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comments1.xml" ContentType="application/vnd.openxmlformats-officedocument.spreadsheetml.comments+xml"/>
  <Override PartName="/xl/threadedComments/threadedComment1.xml" ContentType="application/vnd.ms-excel.threadedcomments+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drawings/drawing2.xml" ContentType="application/vnd.openxmlformats-officedocument.drawing+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comments2.xml" ContentType="application/vnd.openxmlformats-officedocument.spreadsheetml.comments+xml"/>
  <Override PartName="/xl/threadedComments/threadedComment2.xml" ContentType="application/vnd.ms-excel.threadedcomments+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drawings/drawing3.xml" ContentType="application/vnd.openxmlformats-officedocument.drawing+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comments3.xml" ContentType="application/vnd.openxmlformats-officedocument.spreadsheetml.comments+xml"/>
  <Override PartName="/xl/threadedComments/threadedComment3.xml" ContentType="application/vnd.ms-excel.threadedcomments+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drawings/drawing4.xml" ContentType="application/vnd.openxmlformats-officedocument.drawing+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comments4.xml" ContentType="application/vnd.openxmlformats-officedocument.spreadsheetml.comments+xml"/>
  <Override PartName="/xl/threadedComments/threadedComment4.xml" ContentType="application/vnd.ms-excel.threadedcomment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drawings/drawing5.xml" ContentType="application/vnd.openxmlformats-officedocument.drawing+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comments5.xml" ContentType="application/vnd.openxmlformats-officedocument.spreadsheetml.comments+xml"/>
  <Override PartName="/xl/threadedComments/threadedComment5.xml" ContentType="application/vnd.ms-excel.threadedcomments+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charts/chart32.xml" ContentType="application/vnd.openxmlformats-officedocument.drawingml.chart+xml"/>
  <Override PartName="/xl/tables/table36.xml" ContentType="application/vnd.openxmlformats-officedocument.spreadsheetml.table+xml"/>
  <Override PartName="/xl/comments6.xml" ContentType="application/vnd.openxmlformats-officedocument.spreadsheetml.comments+xml"/>
  <Override PartName="/xl/threadedComments/threadedComment6.xml" ContentType="application/vnd.ms-excel.threadedcomments+xml"/>
  <Override PartName="/xl/tables/table37.xml" ContentType="application/vnd.openxmlformats-officedocument.spreadsheetml.table+xml"/>
  <Override PartName="/xl/comments7.xml" ContentType="application/vnd.openxmlformats-officedocument.spreadsheetml.comments+xml"/>
  <Override PartName="/xl/threadedComments/threadedComment7.xml" ContentType="application/vnd.ms-excel.threadedcomments+xml"/>
  <Override PartName="/xl/drawings/drawing6.xml" ContentType="application/vnd.openxmlformats-officedocument.drawing+xml"/>
  <Override PartName="/xl/comments8.xml" ContentType="application/vnd.openxmlformats-officedocument.spreadsheetml.comments+xml"/>
  <Override PartName="/xl/threadedComments/threadedComment8.xml" ContentType="application/vnd.ms-excel.threadedcomments+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fileSharing readOnlyRecommended="1"/>
  <workbookPr filterPrivacy="1" codeName="ThisWorkbook"/>
  <xr:revisionPtr revIDLastSave="0" documentId="8_{071A2350-9E1E-427B-9565-9113BFE5557B}" xr6:coauthVersionLast="47" xr6:coauthVersionMax="47" xr10:uidLastSave="{00000000-0000-0000-0000-000000000000}"/>
  <workbookProtection workbookAlgorithmName="SHA-512" workbookHashValue="zcd/HZJ7m3X6wlRuXjeo+lZnC180F4HlyrfE1ubRadICEMqKd2tfHaSBfUqqeENHnrTAaFN40SvZikxZZTVGzA==" workbookSaltValue="AiGe6m66Wkxq5Jkx0eCZzw==" workbookSpinCount="100000" lockStructure="1"/>
  <bookViews>
    <workbookView xWindow="-120" yWindow="-120" windowWidth="29040" windowHeight="15840" autoFilterDateGrouping="0" xr2:uid="{00000000-000D-0000-FFFF-FFFF00000000}"/>
  </bookViews>
  <sheets>
    <sheet name="TITLE PAGE" sheetId="1" r:id="rId1"/>
    <sheet name="1. Base Year Licences" sheetId="3" r:id="rId2"/>
    <sheet name="2. WC Level Data" sheetId="15" r:id="rId3"/>
    <sheet name="ESWBLY" sheetId="27" r:id="rId4"/>
    <sheet name="ESWESX" sheetId="28" r:id="rId5"/>
    <sheet name="ESWHRT" sheetId="29" r:id="rId6"/>
    <sheet name="ESWNCT" sheetId="30" r:id="rId7"/>
    <sheet name="4. Options Appraisal Summary" sheetId="17" r:id="rId8"/>
    <sheet name="5. Options Benefits" sheetId="18" r:id="rId9"/>
    <sheet name="5a-5c. Cost Profiles" sheetId="26" r:id="rId10"/>
    <sheet name="6. Drought Plan Links" sheetId="19" r:id="rId11"/>
    <sheet name="7. Adaptive Programmes" sheetId="16" r:id="rId12"/>
    <sheet name="8. Business Plan Links " sheetId="22" r:id="rId13"/>
    <sheet name="Option Typs_Grps" sheetId="23" state="veryHidden" r:id="rId14"/>
  </sheets>
  <externalReferences>
    <externalReference r:id="rId15"/>
    <externalReference r:id="rId16"/>
    <externalReference r:id="rId17"/>
  </externalReferences>
  <definedNames>
    <definedName name="_xlnm._FilterDatabase" localSheetId="7" hidden="1">'4. Options Appraisal Summary'!$B$111:$AG$282</definedName>
    <definedName name="_xlnm._FilterDatabase" localSheetId="12" hidden="1">'8. Business Plan Links '!$B$6:$U$98</definedName>
    <definedName name="btnTemplate">"Button 1"</definedName>
    <definedName name="rngCompanyWRZ">"$Q$2:$Q$5"</definedName>
    <definedName name="rngOptions">'Option Typs_Grps'!$B$2:$C$47</definedName>
    <definedName name="rngWRZ">'Option Typs_Grps'!$E$2:$J$133</definedName>
    <definedName name="TBL2d_WCDYAABL">'2. WC Level Data'!$B$55:$CJ$65</definedName>
    <definedName name="TBL2e_WCDYAAFP">'2. WC Level Data'!$B$68:$CJ$80</definedName>
    <definedName name="WRZ_DATA_T3A" localSheetId="3">ESWBLY!$B$22</definedName>
    <definedName name="WRZ_DATA_T3A" localSheetId="4">ESWESX!$B$22</definedName>
    <definedName name="WRZ_DATA_T3A" localSheetId="5">ESWHRT!$B$22</definedName>
    <definedName name="WRZ_DATA_T3A" localSheetId="6">ESWNCT!$B$22</definedName>
    <definedName name="WRZ_DATA_T3A">#REF!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E78" i="17" l="1"/>
  <c r="D4" i="15"/>
  <c r="D7" i="3"/>
  <c r="R85" i="27"/>
  <c r="H22" i="28"/>
  <c r="G25" i="28"/>
  <c r="G26" i="28"/>
  <c r="G27" i="28"/>
  <c r="G28" i="28"/>
  <c r="G29" i="28"/>
  <c r="G30" i="28"/>
  <c r="G33" i="28"/>
  <c r="G34" i="28"/>
  <c r="G35" i="28"/>
  <c r="G36" i="28"/>
  <c r="G37" i="28"/>
  <c r="G38" i="28"/>
  <c r="G40" i="28"/>
  <c r="G24" i="28"/>
  <c r="G32" i="30"/>
  <c r="G31" i="30" s="1"/>
  <c r="Q22" i="28"/>
  <c r="D21" i="30"/>
  <c r="G22" i="28" l="1"/>
  <c r="G41" i="30"/>
  <c r="G42" i="30" s="1"/>
  <c r="F88" i="18"/>
  <c r="B88" i="18" s="1"/>
  <c r="F73" i="18"/>
  <c r="B73" i="18" s="1"/>
  <c r="AH17" i="17"/>
  <c r="AH18" i="17"/>
  <c r="AH30" i="17"/>
  <c r="AE41" i="17"/>
  <c r="F120" i="18" l="1"/>
  <c r="B120" i="18" s="1"/>
  <c r="F121" i="17"/>
  <c r="B121" i="17" s="1"/>
  <c r="AF76" i="17" l="1"/>
  <c r="AF55" i="17"/>
  <c r="AF46" i="17"/>
  <c r="AF12" i="17"/>
  <c r="AF13" i="17"/>
  <c r="AF14" i="17"/>
  <c r="AF15" i="17"/>
  <c r="AF16" i="17"/>
  <c r="AF9" i="17"/>
  <c r="AH9" i="17"/>
  <c r="AH16" i="17"/>
  <c r="AH15" i="17"/>
  <c r="AH14" i="17"/>
  <c r="AH13" i="17"/>
  <c r="AH12" i="17"/>
  <c r="J120" i="27"/>
  <c r="K120" i="27"/>
  <c r="L120" i="27"/>
  <c r="M120" i="27"/>
  <c r="N120" i="27"/>
  <c r="O120" i="27"/>
  <c r="P120" i="27"/>
  <c r="Q120" i="27"/>
  <c r="R120" i="27"/>
  <c r="S120" i="27"/>
  <c r="T120" i="27"/>
  <c r="U120" i="27"/>
  <c r="V120" i="27"/>
  <c r="W120" i="27"/>
  <c r="X120" i="27"/>
  <c r="Y120" i="27"/>
  <c r="Z120" i="27"/>
  <c r="AA120" i="27"/>
  <c r="AB120" i="27"/>
  <c r="AC120" i="27"/>
  <c r="AD120" i="27"/>
  <c r="AE120" i="27"/>
  <c r="AF120" i="27"/>
  <c r="AG120" i="27"/>
  <c r="AH120" i="27"/>
  <c r="AI120" i="27"/>
  <c r="AJ120" i="27"/>
  <c r="AK120" i="27"/>
  <c r="I120" i="27"/>
  <c r="V107" i="18"/>
  <c r="W107" i="18"/>
  <c r="X107" i="18"/>
  <c r="Y107" i="18"/>
  <c r="Z107" i="18"/>
  <c r="AA107" i="18"/>
  <c r="AB107" i="18"/>
  <c r="AC107" i="18"/>
  <c r="AD107" i="18"/>
  <c r="AE107" i="18"/>
  <c r="AF107" i="18"/>
  <c r="AG107" i="18"/>
  <c r="AH107" i="18"/>
  <c r="AI107" i="18"/>
  <c r="AJ107" i="18"/>
  <c r="AK107" i="18"/>
  <c r="AL107" i="18"/>
  <c r="AM107" i="18"/>
  <c r="AN107" i="18"/>
  <c r="AO107" i="18"/>
  <c r="AP107" i="18"/>
  <c r="U107" i="18"/>
  <c r="F95" i="18"/>
  <c r="B95" i="18" s="1"/>
  <c r="F102" i="18"/>
  <c r="B102" i="18" s="1"/>
  <c r="F103" i="18"/>
  <c r="B103" i="18" s="1"/>
  <c r="F104" i="18"/>
  <c r="B104" i="18" s="1"/>
  <c r="F105" i="18"/>
  <c r="B105" i="18" s="1"/>
  <c r="F106" i="18"/>
  <c r="B106" i="18" s="1"/>
  <c r="F107" i="18"/>
  <c r="B107" i="18" s="1"/>
  <c r="F96" i="18"/>
  <c r="B96" i="18" s="1"/>
  <c r="F97" i="18"/>
  <c r="B97" i="18" s="1"/>
  <c r="F98" i="18"/>
  <c r="B98" i="18" s="1"/>
  <c r="F99" i="18"/>
  <c r="B99" i="18" s="1"/>
  <c r="F100" i="18"/>
  <c r="B100" i="18" s="1"/>
  <c r="F101" i="18"/>
  <c r="B101" i="18" s="1"/>
  <c r="F108" i="18"/>
  <c r="B108" i="18" s="1"/>
  <c r="F109" i="18"/>
  <c r="B109" i="18" s="1"/>
  <c r="F11" i="17"/>
  <c r="B11" i="17" s="1"/>
  <c r="F9" i="18"/>
  <c r="B9" i="18" s="1"/>
  <c r="F10" i="18"/>
  <c r="B10" i="18" s="1"/>
  <c r="F11" i="18"/>
  <c r="B11" i="18" s="1"/>
  <c r="F12" i="18"/>
  <c r="B12" i="18" s="1"/>
  <c r="F13" i="18"/>
  <c r="B13" i="18" s="1"/>
  <c r="F14" i="18"/>
  <c r="B14" i="18" s="1"/>
  <c r="F15" i="18"/>
  <c r="B15" i="18" s="1"/>
  <c r="F10" i="17"/>
  <c r="B10" i="17" s="1"/>
  <c r="F8" i="18"/>
  <c r="B8" i="18" s="1"/>
  <c r="T359" i="29"/>
  <c r="U359" i="29"/>
  <c r="V359" i="29"/>
  <c r="W359" i="29"/>
  <c r="X359" i="29"/>
  <c r="Y359" i="29"/>
  <c r="Z359" i="29"/>
  <c r="AA359" i="29"/>
  <c r="AB359" i="29"/>
  <c r="AC359" i="29"/>
  <c r="AD359" i="29"/>
  <c r="AE359" i="29"/>
  <c r="AF359" i="29"/>
  <c r="AG359" i="29"/>
  <c r="AH359" i="29"/>
  <c r="AI359" i="29"/>
  <c r="AJ359" i="29"/>
  <c r="AK359" i="29"/>
  <c r="O359" i="29"/>
  <c r="P359" i="29"/>
  <c r="Q359" i="29"/>
  <c r="R359" i="29"/>
  <c r="S359" i="29"/>
  <c r="M359" i="29"/>
  <c r="N359" i="29"/>
  <c r="L359" i="29"/>
  <c r="K359" i="29"/>
  <c r="J359" i="29"/>
  <c r="I359" i="29"/>
  <c r="J54" i="19"/>
  <c r="F129" i="18"/>
  <c r="B129" i="18" s="1"/>
  <c r="F130" i="18"/>
  <c r="B130" i="18" s="1"/>
  <c r="F131" i="18"/>
  <c r="B131" i="18" s="1"/>
  <c r="F132" i="18"/>
  <c r="B132" i="18" s="1"/>
  <c r="F133" i="18"/>
  <c r="B133" i="18" s="1"/>
  <c r="F134" i="18"/>
  <c r="B134" i="18" s="1"/>
  <c r="F122" i="18" l="1"/>
  <c r="B122" i="18" s="1"/>
  <c r="F123" i="18"/>
  <c r="B123" i="18" s="1"/>
  <c r="F124" i="18"/>
  <c r="B124" i="18" s="1"/>
  <c r="F125" i="18"/>
  <c r="B125" i="18" s="1"/>
  <c r="F126" i="18"/>
  <c r="B126" i="18" s="1"/>
  <c r="F127" i="18"/>
  <c r="B127" i="18" s="1"/>
  <c r="F128" i="18"/>
  <c r="B128" i="18" s="1"/>
  <c r="F121" i="18"/>
  <c r="B121" i="18" s="1"/>
  <c r="F24" i="18"/>
  <c r="F35" i="18"/>
  <c r="F45" i="18"/>
  <c r="F56" i="18"/>
  <c r="F69" i="18"/>
  <c r="F83" i="18"/>
  <c r="F110" i="18"/>
  <c r="F84" i="17"/>
  <c r="B84" i="17" s="1"/>
  <c r="I10" i="3" l="1"/>
  <c r="H10" i="3"/>
  <c r="I36" i="3"/>
  <c r="H42" i="3"/>
  <c r="H36" i="3" s="1"/>
  <c r="AF78" i="17" l="1"/>
  <c r="AD78" i="17"/>
  <c r="AD138" i="17" l="1"/>
  <c r="AD39" i="17"/>
  <c r="AD38" i="17"/>
  <c r="AD37" i="17"/>
  <c r="AD36" i="17"/>
  <c r="AD23" i="17"/>
  <c r="AD137" i="17"/>
  <c r="AD124" i="17"/>
  <c r="AE43" i="17"/>
  <c r="AD43" i="17"/>
  <c r="AD41" i="17"/>
  <c r="AE40" i="17"/>
  <c r="AD40" i="17"/>
  <c r="AE31" i="17"/>
  <c r="AD31" i="17"/>
  <c r="AE30" i="17"/>
  <c r="AD30" i="17"/>
  <c r="AE29" i="17"/>
  <c r="AD44" i="17" l="1"/>
  <c r="AD29" i="17"/>
  <c r="AD14" i="17"/>
  <c r="AD13" i="17"/>
  <c r="AD12" i="17"/>
  <c r="AD9" i="17"/>
  <c r="AD16" i="17" l="1"/>
  <c r="AD15" i="17"/>
  <c r="E3" i="26"/>
  <c r="I266" i="27"/>
  <c r="J266" i="27"/>
  <c r="K266" i="27"/>
  <c r="L266" i="27"/>
  <c r="M266" i="27"/>
  <c r="N266" i="27"/>
  <c r="O266" i="27"/>
  <c r="P266" i="27"/>
  <c r="Q266" i="27"/>
  <c r="R266" i="27"/>
  <c r="S266" i="27"/>
  <c r="T266" i="27"/>
  <c r="U266" i="27"/>
  <c r="V266" i="27"/>
  <c r="W266" i="27"/>
  <c r="X266" i="27"/>
  <c r="Y266" i="27"/>
  <c r="Z266" i="27"/>
  <c r="AA266" i="27"/>
  <c r="AB266" i="27"/>
  <c r="AC266" i="27"/>
  <c r="AD266" i="27"/>
  <c r="AE266" i="27"/>
  <c r="AF266" i="27"/>
  <c r="AG266" i="27"/>
  <c r="AH266" i="27"/>
  <c r="AI266" i="27"/>
  <c r="AJ266" i="27"/>
  <c r="AK266" i="27"/>
  <c r="O85" i="30" l="1"/>
  <c r="F90" i="17" l="1"/>
  <c r="F91" i="17"/>
  <c r="F92" i="17"/>
  <c r="F75" i="17"/>
  <c r="F94" i="17"/>
  <c r="F69" i="17"/>
  <c r="F96" i="17"/>
  <c r="F6" i="17"/>
  <c r="F98" i="17"/>
  <c r="F7" i="17"/>
  <c r="F52" i="17"/>
  <c r="F101" i="17"/>
  <c r="F53" i="17"/>
  <c r="F103" i="17"/>
  <c r="F104" i="17"/>
  <c r="F105" i="17"/>
  <c r="F106" i="17"/>
  <c r="F107" i="17"/>
  <c r="F108" i="17"/>
  <c r="F109" i="17"/>
  <c r="F110" i="17"/>
  <c r="F111" i="17"/>
  <c r="F112" i="17"/>
  <c r="F113" i="17"/>
  <c r="F114" i="17"/>
  <c r="F115" i="17"/>
  <c r="F116" i="17"/>
  <c r="F117" i="17"/>
  <c r="F99" i="17"/>
  <c r="F141" i="17"/>
  <c r="F71" i="17"/>
  <c r="F67" i="17"/>
  <c r="F95" i="17"/>
  <c r="F119" i="17"/>
  <c r="F144" i="17"/>
  <c r="F125" i="17"/>
  <c r="F126" i="17"/>
  <c r="F127" i="17"/>
  <c r="F128" i="17"/>
  <c r="F129" i="17"/>
  <c r="F130" i="17"/>
  <c r="F131" i="17"/>
  <c r="F132" i="17"/>
  <c r="F133" i="17"/>
  <c r="F134" i="17"/>
  <c r="F135" i="17"/>
  <c r="F136" i="17"/>
  <c r="F142" i="17"/>
  <c r="F70" i="17"/>
  <c r="F73" i="17"/>
  <c r="F72" i="17"/>
  <c r="F68" i="17"/>
  <c r="F62" i="17"/>
  <c r="F140" i="17"/>
  <c r="F97" i="17"/>
  <c r="F120" i="17"/>
  <c r="F93" i="17"/>
  <c r="F145" i="17"/>
  <c r="F56" i="17"/>
  <c r="F149" i="17"/>
  <c r="F150" i="17"/>
  <c r="F151" i="17"/>
  <c r="F152" i="17"/>
  <c r="F153" i="17"/>
  <c r="F154" i="17"/>
  <c r="F155" i="17"/>
  <c r="F156" i="17"/>
  <c r="F157" i="17"/>
  <c r="F158" i="17"/>
  <c r="F159" i="17"/>
  <c r="F160" i="17"/>
  <c r="F161" i="17"/>
  <c r="F162" i="17"/>
  <c r="F163" i="17"/>
  <c r="F164" i="17"/>
  <c r="F165" i="17"/>
  <c r="F166" i="17"/>
  <c r="F167" i="17"/>
  <c r="F168" i="17"/>
  <c r="F169" i="17"/>
  <c r="F170" i="17"/>
  <c r="F171" i="17"/>
  <c r="F172" i="17"/>
  <c r="F173" i="17"/>
  <c r="F174" i="17"/>
  <c r="F175" i="17"/>
  <c r="F176" i="17"/>
  <c r="F177" i="17"/>
  <c r="F178" i="17"/>
  <c r="F179" i="17"/>
  <c r="F180" i="17"/>
  <c r="F181" i="17"/>
  <c r="F182" i="17"/>
  <c r="F183" i="17"/>
  <c r="F184" i="17"/>
  <c r="F185" i="17"/>
  <c r="F186" i="17"/>
  <c r="F187" i="17"/>
  <c r="F188" i="17"/>
  <c r="F189" i="17"/>
  <c r="F190" i="17"/>
  <c r="F191" i="17"/>
  <c r="F192" i="17"/>
  <c r="F193" i="17"/>
  <c r="F194" i="17"/>
  <c r="F195" i="17"/>
  <c r="F196" i="17"/>
  <c r="F197" i="17"/>
  <c r="F198" i="17"/>
  <c r="F199" i="17"/>
  <c r="F200" i="17"/>
  <c r="F201" i="17"/>
  <c r="F202" i="17"/>
  <c r="F203" i="17"/>
  <c r="F204" i="17"/>
  <c r="F205" i="17"/>
  <c r="F206" i="17"/>
  <c r="F207" i="17"/>
  <c r="F208" i="17"/>
  <c r="F209" i="17"/>
  <c r="F210" i="17"/>
  <c r="F211" i="17"/>
  <c r="F212" i="17"/>
  <c r="F213" i="17"/>
  <c r="F214" i="17"/>
  <c r="F215" i="17"/>
  <c r="F216" i="17"/>
  <c r="F217" i="17"/>
  <c r="F218" i="17"/>
  <c r="F219" i="17"/>
  <c r="F220" i="17"/>
  <c r="F221" i="17"/>
  <c r="F222" i="17"/>
  <c r="F223" i="17"/>
  <c r="F224" i="17"/>
  <c r="F225" i="17"/>
  <c r="F226" i="17"/>
  <c r="F227" i="17"/>
  <c r="F228" i="17"/>
  <c r="F229" i="17"/>
  <c r="F230" i="17"/>
  <c r="F231" i="17"/>
  <c r="F232" i="17"/>
  <c r="F233" i="17"/>
  <c r="F234" i="17"/>
  <c r="F235" i="17"/>
  <c r="F236" i="17"/>
  <c r="F237" i="17"/>
  <c r="F238" i="17"/>
  <c r="F239" i="17"/>
  <c r="F240" i="17"/>
  <c r="F241" i="17"/>
  <c r="F242" i="17"/>
  <c r="F243" i="17"/>
  <c r="F244" i="17"/>
  <c r="F245" i="17"/>
  <c r="F246" i="17"/>
  <c r="F247" i="17"/>
  <c r="F248" i="17"/>
  <c r="F249" i="17"/>
  <c r="F250" i="17"/>
  <c r="F251" i="17"/>
  <c r="F252" i="17"/>
  <c r="F253" i="17"/>
  <c r="F254" i="17"/>
  <c r="F255" i="17"/>
  <c r="F256" i="17"/>
  <c r="F257" i="17"/>
  <c r="F258" i="17"/>
  <c r="F259" i="17"/>
  <c r="F260" i="17"/>
  <c r="F261" i="17"/>
  <c r="F262" i="17"/>
  <c r="F263" i="17"/>
  <c r="F264" i="17"/>
  <c r="F265" i="17"/>
  <c r="F266" i="17"/>
  <c r="F267" i="17"/>
  <c r="F268" i="17"/>
  <c r="F269" i="17"/>
  <c r="F270" i="17"/>
  <c r="F271" i="17"/>
  <c r="F272" i="17"/>
  <c r="F273" i="17"/>
  <c r="F274" i="17"/>
  <c r="F275" i="17"/>
  <c r="F276" i="17"/>
  <c r="F277" i="17"/>
  <c r="F278" i="17"/>
  <c r="F279" i="17"/>
  <c r="F280" i="17"/>
  <c r="F281" i="17"/>
  <c r="F282" i="17"/>
  <c r="F86" i="17"/>
  <c r="F87" i="17"/>
  <c r="F88" i="17"/>
  <c r="F89" i="17"/>
  <c r="F85" i="17"/>
  <c r="F248" i="18"/>
  <c r="F249" i="18"/>
  <c r="F250" i="18"/>
  <c r="F251" i="18"/>
  <c r="F252" i="18"/>
  <c r="F253" i="18"/>
  <c r="F254" i="18"/>
  <c r="F255" i="18"/>
  <c r="F256" i="18"/>
  <c r="F257" i="18"/>
  <c r="F258" i="18"/>
  <c r="F259" i="18"/>
  <c r="F260" i="18"/>
  <c r="F261" i="18"/>
  <c r="F262" i="18"/>
  <c r="F263" i="18"/>
  <c r="F264" i="18"/>
  <c r="F265" i="18"/>
  <c r="F266" i="18"/>
  <c r="F267" i="18"/>
  <c r="F268" i="18"/>
  <c r="F269" i="18"/>
  <c r="F270" i="18"/>
  <c r="F271" i="18"/>
  <c r="F272" i="18"/>
  <c r="F273" i="18"/>
  <c r="F274" i="18"/>
  <c r="F275" i="18"/>
  <c r="F276" i="18"/>
  <c r="F277" i="18"/>
  <c r="F278" i="18"/>
  <c r="F279" i="18"/>
  <c r="F280" i="18"/>
  <c r="F281" i="18"/>
  <c r="F282" i="18"/>
  <c r="F283" i="18"/>
  <c r="F284" i="18"/>
  <c r="F285" i="18"/>
  <c r="F286" i="18"/>
  <c r="F287" i="18"/>
  <c r="F288" i="18"/>
  <c r="F289" i="18"/>
  <c r="F290" i="18"/>
  <c r="F291" i="18"/>
  <c r="F292" i="18"/>
  <c r="F293" i="18"/>
  <c r="F294" i="18"/>
  <c r="F295" i="18"/>
  <c r="F296" i="18"/>
  <c r="F297" i="18"/>
  <c r="F298" i="18"/>
  <c r="F299" i="18"/>
  <c r="F300" i="18"/>
  <c r="F301" i="18"/>
  <c r="F302" i="18"/>
  <c r="F303" i="18"/>
  <c r="F304" i="18"/>
  <c r="F305" i="18"/>
  <c r="F306" i="18"/>
  <c r="F307" i="18"/>
  <c r="F308" i="18"/>
  <c r="F309" i="18"/>
  <c r="F310" i="18"/>
  <c r="F311" i="18"/>
  <c r="F312" i="18"/>
  <c r="F313" i="18"/>
  <c r="F314" i="18"/>
  <c r="F315" i="18"/>
  <c r="F316" i="18"/>
  <c r="F317" i="18"/>
  <c r="F318" i="18"/>
  <c r="F319" i="18"/>
  <c r="F320" i="18"/>
  <c r="F321" i="18"/>
  <c r="F322" i="18"/>
  <c r="F323" i="18"/>
  <c r="F324" i="18"/>
  <c r="F325" i="18"/>
  <c r="F326" i="18"/>
  <c r="F327" i="18"/>
  <c r="F328" i="18"/>
  <c r="F329" i="18"/>
  <c r="F330" i="18"/>
  <c r="F331" i="18"/>
  <c r="F332" i="18"/>
  <c r="F333" i="18"/>
  <c r="F334" i="18"/>
  <c r="F335" i="18"/>
  <c r="F336" i="18"/>
  <c r="F337" i="18"/>
  <c r="F338" i="18"/>
  <c r="F339" i="18"/>
  <c r="F340" i="18"/>
  <c r="F341" i="18"/>
  <c r="F342" i="18"/>
  <c r="F343" i="18"/>
  <c r="F344" i="18"/>
  <c r="F345" i="18"/>
  <c r="F346" i="18"/>
  <c r="F347" i="18"/>
  <c r="F348" i="18"/>
  <c r="F349" i="18"/>
  <c r="F350" i="18"/>
  <c r="F351" i="18"/>
  <c r="F352" i="18"/>
  <c r="F353" i="18"/>
  <c r="F354" i="18"/>
  <c r="F355" i="18"/>
  <c r="F356" i="18"/>
  <c r="F357" i="18"/>
  <c r="F358" i="18"/>
  <c r="F359" i="18"/>
  <c r="F360" i="18"/>
  <c r="F361" i="18"/>
  <c r="F362" i="18"/>
  <c r="F363" i="18"/>
  <c r="F364" i="18"/>
  <c r="F365" i="18"/>
  <c r="F366" i="18"/>
  <c r="F367" i="18"/>
  <c r="F368" i="18"/>
  <c r="F369" i="18"/>
  <c r="F370" i="18"/>
  <c r="F371" i="18"/>
  <c r="F372" i="18"/>
  <c r="F373" i="18"/>
  <c r="F374" i="18"/>
  <c r="F375" i="18"/>
  <c r="F376" i="18"/>
  <c r="B376" i="18" s="1"/>
  <c r="F377" i="18"/>
  <c r="B377" i="18" s="1"/>
  <c r="F378" i="18"/>
  <c r="B378" i="18" s="1"/>
  <c r="F379" i="18"/>
  <c r="B379" i="18" s="1"/>
  <c r="F380" i="18"/>
  <c r="B380" i="18" s="1"/>
  <c r="F381" i="18"/>
  <c r="B381" i="18" s="1"/>
  <c r="F382" i="18"/>
  <c r="B382" i="18" s="1"/>
  <c r="F383" i="18"/>
  <c r="B383" i="18" s="1"/>
  <c r="F384" i="18"/>
  <c r="B384" i="18" s="1"/>
  <c r="F385" i="18"/>
  <c r="B385" i="18" s="1"/>
  <c r="F386" i="18"/>
  <c r="B386" i="18" s="1"/>
  <c r="F387" i="18"/>
  <c r="B387" i="18" s="1"/>
  <c r="F388" i="18"/>
  <c r="B388" i="18" s="1"/>
  <c r="F389" i="18"/>
  <c r="B389" i="18" s="1"/>
  <c r="F390" i="18"/>
  <c r="B390" i="18" s="1"/>
  <c r="F391" i="18"/>
  <c r="B391" i="18" s="1"/>
  <c r="F392" i="18"/>
  <c r="B392" i="18" s="1"/>
  <c r="F393" i="18"/>
  <c r="B393" i="18" s="1"/>
  <c r="F394" i="18"/>
  <c r="B394" i="18" s="1"/>
  <c r="F395" i="18"/>
  <c r="B395" i="18" s="1"/>
  <c r="F396" i="18"/>
  <c r="B396" i="18" s="1"/>
  <c r="F397" i="18"/>
  <c r="B397" i="18" s="1"/>
  <c r="F398" i="18"/>
  <c r="B398" i="18" s="1"/>
  <c r="F399" i="18"/>
  <c r="B399" i="18" s="1"/>
  <c r="F400" i="18"/>
  <c r="B400" i="18" s="1"/>
  <c r="F401" i="18"/>
  <c r="B401" i="18" s="1"/>
  <c r="F402" i="18"/>
  <c r="B402" i="18" s="1"/>
  <c r="F403" i="18"/>
  <c r="B403" i="18" s="1"/>
  <c r="F404" i="18"/>
  <c r="B404" i="18" s="1"/>
  <c r="F234" i="18"/>
  <c r="F235" i="18"/>
  <c r="F236" i="18"/>
  <c r="F237" i="18"/>
  <c r="F238" i="18"/>
  <c r="F239" i="18"/>
  <c r="F240" i="18"/>
  <c r="F241" i="18"/>
  <c r="F242" i="18"/>
  <c r="F243" i="18"/>
  <c r="F244" i="18"/>
  <c r="F245" i="18"/>
  <c r="F246" i="18"/>
  <c r="F247" i="18"/>
  <c r="B144" i="18"/>
  <c r="B143" i="18"/>
  <c r="B142" i="18"/>
  <c r="B141" i="18"/>
  <c r="B140" i="18"/>
  <c r="B139" i="18"/>
  <c r="B138" i="18"/>
  <c r="B137" i="18"/>
  <c r="K124" i="27" l="1"/>
  <c r="H281" i="22" l="1"/>
  <c r="I281" i="22"/>
  <c r="J281" i="22"/>
  <c r="K281" i="22"/>
  <c r="L281" i="22"/>
  <c r="M281" i="22"/>
  <c r="N281" i="22"/>
  <c r="O281" i="22"/>
  <c r="P281" i="22"/>
  <c r="Q281" i="22"/>
  <c r="R281" i="22"/>
  <c r="S281" i="22"/>
  <c r="T281" i="22"/>
  <c r="U281" i="22"/>
  <c r="V281" i="22"/>
  <c r="W281" i="22"/>
  <c r="X281" i="22"/>
  <c r="Y281" i="22"/>
  <c r="Z281" i="22"/>
  <c r="AA281" i="22"/>
  <c r="H271" i="22"/>
  <c r="I271" i="22"/>
  <c r="J271" i="22"/>
  <c r="K271" i="22"/>
  <c r="L271" i="22"/>
  <c r="V271" i="22"/>
  <c r="W271" i="22"/>
  <c r="X271" i="22"/>
  <c r="Y271" i="22"/>
  <c r="Z271" i="22"/>
  <c r="AA271" i="22"/>
  <c r="H272" i="22"/>
  <c r="I272" i="22"/>
  <c r="J272" i="22"/>
  <c r="K272" i="22"/>
  <c r="L272" i="22"/>
  <c r="V272" i="22"/>
  <c r="W272" i="22"/>
  <c r="X272" i="22"/>
  <c r="Y272" i="22"/>
  <c r="Z272" i="22"/>
  <c r="AA272" i="22"/>
  <c r="H263" i="22"/>
  <c r="I263" i="22"/>
  <c r="J263" i="22"/>
  <c r="K263" i="22"/>
  <c r="L263" i="22"/>
  <c r="M263" i="22"/>
  <c r="N263" i="22"/>
  <c r="O263" i="22"/>
  <c r="P263" i="22"/>
  <c r="Q263" i="22"/>
  <c r="R263" i="22"/>
  <c r="S263" i="22"/>
  <c r="T263" i="22"/>
  <c r="U263" i="22"/>
  <c r="V263" i="22"/>
  <c r="W263" i="22"/>
  <c r="X263" i="22"/>
  <c r="Y263" i="22"/>
  <c r="Z263" i="22"/>
  <c r="AA263" i="22"/>
  <c r="H264" i="22"/>
  <c r="I264" i="22"/>
  <c r="J264" i="22"/>
  <c r="K264" i="22"/>
  <c r="L264" i="22"/>
  <c r="M264" i="22"/>
  <c r="N264" i="22"/>
  <c r="O264" i="22"/>
  <c r="P264" i="22"/>
  <c r="Q264" i="22"/>
  <c r="R264" i="22"/>
  <c r="S264" i="22"/>
  <c r="T264" i="22"/>
  <c r="U264" i="22"/>
  <c r="V264" i="22"/>
  <c r="W264" i="22"/>
  <c r="X264" i="22"/>
  <c r="Y264" i="22"/>
  <c r="Z264" i="22"/>
  <c r="AA264" i="22"/>
  <c r="H265" i="22"/>
  <c r="I265" i="22"/>
  <c r="J265" i="22"/>
  <c r="K265" i="22"/>
  <c r="L265" i="22"/>
  <c r="M265" i="22"/>
  <c r="N265" i="22"/>
  <c r="O265" i="22"/>
  <c r="P265" i="22"/>
  <c r="Q265" i="22"/>
  <c r="R265" i="22"/>
  <c r="S265" i="22"/>
  <c r="T265" i="22"/>
  <c r="U265" i="22"/>
  <c r="V265" i="22"/>
  <c r="W265" i="22"/>
  <c r="X265" i="22"/>
  <c r="Y265" i="22"/>
  <c r="Z265" i="22"/>
  <c r="AA265" i="22"/>
  <c r="H266" i="22"/>
  <c r="I266" i="22"/>
  <c r="J266" i="22"/>
  <c r="K266" i="22"/>
  <c r="L266" i="22"/>
  <c r="M266" i="22"/>
  <c r="N266" i="22"/>
  <c r="O266" i="22"/>
  <c r="P266" i="22"/>
  <c r="Q266" i="22"/>
  <c r="R266" i="22"/>
  <c r="S266" i="22"/>
  <c r="T266" i="22"/>
  <c r="U266" i="22"/>
  <c r="V266" i="22"/>
  <c r="W266" i="22"/>
  <c r="X266" i="22"/>
  <c r="Y266" i="22"/>
  <c r="Z266" i="22"/>
  <c r="AA266" i="22"/>
  <c r="H236" i="22"/>
  <c r="I236" i="22"/>
  <c r="J236" i="22"/>
  <c r="K236" i="22"/>
  <c r="L236" i="22"/>
  <c r="S236" i="22"/>
  <c r="T236" i="22"/>
  <c r="U236" i="22"/>
  <c r="V236" i="22"/>
  <c r="W236" i="22"/>
  <c r="X236" i="22"/>
  <c r="Y236" i="22"/>
  <c r="Z236" i="22"/>
  <c r="AA236" i="22"/>
  <c r="AA223" i="22"/>
  <c r="Z223" i="22"/>
  <c r="Y223" i="22"/>
  <c r="X223" i="22"/>
  <c r="W223" i="22"/>
  <c r="V223" i="22"/>
  <c r="U223" i="22"/>
  <c r="T223" i="22"/>
  <c r="S223" i="22"/>
  <c r="R223" i="22"/>
  <c r="Q223" i="22"/>
  <c r="P223" i="22"/>
  <c r="O223" i="22"/>
  <c r="N223" i="22"/>
  <c r="M223" i="22"/>
  <c r="L223" i="22"/>
  <c r="K223" i="22"/>
  <c r="J223" i="22"/>
  <c r="I223" i="22"/>
  <c r="H223" i="22"/>
  <c r="G223" i="22"/>
  <c r="AA220" i="22"/>
  <c r="Z220" i="22"/>
  <c r="Y220" i="22"/>
  <c r="X220" i="22"/>
  <c r="W220" i="22"/>
  <c r="V220" i="22"/>
  <c r="U220" i="22"/>
  <c r="T220" i="22"/>
  <c r="S220" i="22"/>
  <c r="R220" i="22"/>
  <c r="Q220" i="22"/>
  <c r="P220" i="22"/>
  <c r="O220" i="22"/>
  <c r="N220" i="22"/>
  <c r="M220" i="22"/>
  <c r="L220" i="22"/>
  <c r="K220" i="22"/>
  <c r="J220" i="22"/>
  <c r="I220" i="22"/>
  <c r="H220" i="22"/>
  <c r="G220" i="22"/>
  <c r="AA217" i="22"/>
  <c r="Z217" i="22"/>
  <c r="Y217" i="22"/>
  <c r="X217" i="22"/>
  <c r="W217" i="22"/>
  <c r="V217" i="22"/>
  <c r="L217" i="22"/>
  <c r="K217" i="22"/>
  <c r="J217" i="22"/>
  <c r="I217" i="22"/>
  <c r="H217" i="22"/>
  <c r="G217" i="22"/>
  <c r="AA214" i="22"/>
  <c r="Z214" i="22"/>
  <c r="Y214" i="22"/>
  <c r="X214" i="22"/>
  <c r="W214" i="22"/>
  <c r="V214" i="22"/>
  <c r="U214" i="22"/>
  <c r="T214" i="22"/>
  <c r="S214" i="22"/>
  <c r="R214" i="22"/>
  <c r="Q214" i="22"/>
  <c r="P214" i="22"/>
  <c r="O214" i="22"/>
  <c r="N214" i="22"/>
  <c r="M214" i="22"/>
  <c r="L214" i="22"/>
  <c r="K214" i="22"/>
  <c r="J214" i="22"/>
  <c r="I214" i="22"/>
  <c r="H214" i="22"/>
  <c r="G214" i="22"/>
  <c r="H211" i="22"/>
  <c r="I211" i="22"/>
  <c r="J211" i="22"/>
  <c r="K211" i="22"/>
  <c r="L211" i="22"/>
  <c r="M211" i="22"/>
  <c r="N211" i="22"/>
  <c r="O211" i="22"/>
  <c r="P211" i="22"/>
  <c r="Q211" i="22"/>
  <c r="R211" i="22"/>
  <c r="S211" i="22"/>
  <c r="T211" i="22"/>
  <c r="U211" i="22"/>
  <c r="V211" i="22"/>
  <c r="W211" i="22"/>
  <c r="X211" i="22"/>
  <c r="Y211" i="22"/>
  <c r="Z211" i="22"/>
  <c r="AA211" i="22"/>
  <c r="H205" i="22"/>
  <c r="I205" i="22"/>
  <c r="J205" i="22"/>
  <c r="K205" i="22"/>
  <c r="L205" i="22"/>
  <c r="V205" i="22"/>
  <c r="W205" i="22"/>
  <c r="X205" i="22"/>
  <c r="Y205" i="22"/>
  <c r="Z205" i="22"/>
  <c r="AA205" i="22"/>
  <c r="H183" i="22"/>
  <c r="I183" i="22"/>
  <c r="J183" i="22"/>
  <c r="K183" i="22"/>
  <c r="L183" i="22"/>
  <c r="M183" i="22"/>
  <c r="N183" i="22"/>
  <c r="O183" i="22"/>
  <c r="P183" i="22"/>
  <c r="Q183" i="22"/>
  <c r="R183" i="22"/>
  <c r="S183" i="22"/>
  <c r="T183" i="22"/>
  <c r="U183" i="22"/>
  <c r="V183" i="22"/>
  <c r="W183" i="22"/>
  <c r="X183" i="22"/>
  <c r="Y183" i="22"/>
  <c r="Z183" i="22"/>
  <c r="AA183" i="22"/>
  <c r="H173" i="22"/>
  <c r="I173" i="22"/>
  <c r="J173" i="22"/>
  <c r="K173" i="22"/>
  <c r="L173" i="22"/>
  <c r="V173" i="22"/>
  <c r="W173" i="22"/>
  <c r="X173" i="22"/>
  <c r="Y173" i="22"/>
  <c r="Z173" i="22"/>
  <c r="AA173" i="22"/>
  <c r="H174" i="22"/>
  <c r="I174" i="22"/>
  <c r="J174" i="22"/>
  <c r="K174" i="22"/>
  <c r="L174" i="22"/>
  <c r="V174" i="22"/>
  <c r="W174" i="22"/>
  <c r="X174" i="22"/>
  <c r="Y174" i="22"/>
  <c r="Z174" i="22"/>
  <c r="AA174" i="22"/>
  <c r="S69" i="22"/>
  <c r="T69" i="22"/>
  <c r="U69" i="22"/>
  <c r="V69" i="22"/>
  <c r="W69" i="22"/>
  <c r="X69" i="22"/>
  <c r="Y69" i="22"/>
  <c r="Z69" i="22"/>
  <c r="AA69" i="22"/>
  <c r="H165" i="22"/>
  <c r="I165" i="22"/>
  <c r="J165" i="22"/>
  <c r="K165" i="22"/>
  <c r="L165" i="22"/>
  <c r="M165" i="22"/>
  <c r="N165" i="22"/>
  <c r="O165" i="22"/>
  <c r="P165" i="22"/>
  <c r="Q165" i="22"/>
  <c r="R165" i="22"/>
  <c r="S165" i="22"/>
  <c r="T165" i="22"/>
  <c r="U165" i="22"/>
  <c r="V165" i="22"/>
  <c r="W165" i="22"/>
  <c r="X165" i="22"/>
  <c r="Y165" i="22"/>
  <c r="Z165" i="22"/>
  <c r="AA165" i="22"/>
  <c r="H166" i="22"/>
  <c r="I166" i="22"/>
  <c r="J166" i="22"/>
  <c r="K166" i="22"/>
  <c r="L166" i="22"/>
  <c r="M166" i="22"/>
  <c r="N166" i="22"/>
  <c r="O166" i="22"/>
  <c r="P166" i="22"/>
  <c r="Q166" i="22"/>
  <c r="R166" i="22"/>
  <c r="S166" i="22"/>
  <c r="T166" i="22"/>
  <c r="U166" i="22"/>
  <c r="V166" i="22"/>
  <c r="W166" i="22"/>
  <c r="X166" i="22"/>
  <c r="Y166" i="22"/>
  <c r="Z166" i="22"/>
  <c r="AA166" i="22"/>
  <c r="H167" i="22"/>
  <c r="I167" i="22"/>
  <c r="J167" i="22"/>
  <c r="K167" i="22"/>
  <c r="L167" i="22"/>
  <c r="M167" i="22"/>
  <c r="N167" i="22"/>
  <c r="O167" i="22"/>
  <c r="P167" i="22"/>
  <c r="Q167" i="22"/>
  <c r="R167" i="22"/>
  <c r="S167" i="22"/>
  <c r="T167" i="22"/>
  <c r="U167" i="22"/>
  <c r="V167" i="22"/>
  <c r="W167" i="22"/>
  <c r="X167" i="22"/>
  <c r="Y167" i="22"/>
  <c r="Z167" i="22"/>
  <c r="AA167" i="22"/>
  <c r="H168" i="22"/>
  <c r="I168" i="22"/>
  <c r="J168" i="22"/>
  <c r="K168" i="22"/>
  <c r="L168" i="22"/>
  <c r="M168" i="22"/>
  <c r="N168" i="22"/>
  <c r="O168" i="22"/>
  <c r="P168" i="22"/>
  <c r="Q168" i="22"/>
  <c r="R168" i="22"/>
  <c r="S168" i="22"/>
  <c r="T168" i="22"/>
  <c r="U168" i="22"/>
  <c r="V168" i="22"/>
  <c r="W168" i="22"/>
  <c r="X168" i="22"/>
  <c r="Y168" i="22"/>
  <c r="Z168" i="22"/>
  <c r="AA168" i="22"/>
  <c r="AA125" i="22"/>
  <c r="Z125" i="22"/>
  <c r="Y125" i="22"/>
  <c r="X125" i="22"/>
  <c r="W125" i="22"/>
  <c r="V125" i="22"/>
  <c r="U125" i="22"/>
  <c r="T125" i="22"/>
  <c r="S125" i="22"/>
  <c r="R125" i="22"/>
  <c r="Q125" i="22"/>
  <c r="P125" i="22"/>
  <c r="O125" i="22"/>
  <c r="N125" i="22"/>
  <c r="M125" i="22"/>
  <c r="L125" i="22"/>
  <c r="K125" i="22"/>
  <c r="J125" i="22"/>
  <c r="I125" i="22"/>
  <c r="H125" i="22"/>
  <c r="G125" i="22"/>
  <c r="AA122" i="22"/>
  <c r="Z122" i="22"/>
  <c r="Y122" i="22"/>
  <c r="X122" i="22"/>
  <c r="W122" i="22"/>
  <c r="V122" i="22"/>
  <c r="U122" i="22"/>
  <c r="T122" i="22"/>
  <c r="S122" i="22"/>
  <c r="R122" i="22"/>
  <c r="Q122" i="22"/>
  <c r="P122" i="22"/>
  <c r="O122" i="22"/>
  <c r="N122" i="22"/>
  <c r="M122" i="22"/>
  <c r="L122" i="22"/>
  <c r="K122" i="22"/>
  <c r="J122" i="22"/>
  <c r="I122" i="22"/>
  <c r="H122" i="22"/>
  <c r="G122" i="22"/>
  <c r="AA119" i="22"/>
  <c r="Z119" i="22"/>
  <c r="Y119" i="22"/>
  <c r="X119" i="22"/>
  <c r="W119" i="22"/>
  <c r="V119" i="22"/>
  <c r="L119" i="22"/>
  <c r="K119" i="22"/>
  <c r="J119" i="22"/>
  <c r="I119" i="22"/>
  <c r="H119" i="22"/>
  <c r="G119" i="22"/>
  <c r="AA116" i="22"/>
  <c r="Z116" i="22"/>
  <c r="Y116" i="22"/>
  <c r="X116" i="22"/>
  <c r="W116" i="22"/>
  <c r="V116" i="22"/>
  <c r="U116" i="22"/>
  <c r="T116" i="22"/>
  <c r="S116" i="22"/>
  <c r="R116" i="22"/>
  <c r="Q116" i="22"/>
  <c r="P116" i="22"/>
  <c r="O116" i="22"/>
  <c r="N116" i="22"/>
  <c r="M116" i="22"/>
  <c r="L116" i="22"/>
  <c r="K116" i="22"/>
  <c r="J116" i="22"/>
  <c r="I116" i="22"/>
  <c r="H116" i="22"/>
  <c r="G116" i="22"/>
  <c r="H113" i="22"/>
  <c r="I113" i="22"/>
  <c r="J113" i="22"/>
  <c r="K113" i="22"/>
  <c r="L113" i="22"/>
  <c r="M113" i="22"/>
  <c r="N113" i="22"/>
  <c r="O113" i="22"/>
  <c r="P113" i="22"/>
  <c r="Q113" i="22"/>
  <c r="R113" i="22"/>
  <c r="S113" i="22"/>
  <c r="T113" i="22"/>
  <c r="U113" i="22"/>
  <c r="V113" i="22"/>
  <c r="W113" i="22"/>
  <c r="X113" i="22"/>
  <c r="Y113" i="22"/>
  <c r="Z113" i="22"/>
  <c r="AA113" i="22"/>
  <c r="J85" i="22"/>
  <c r="K85" i="22"/>
  <c r="L85" i="22"/>
  <c r="M85" i="22"/>
  <c r="N85" i="22"/>
  <c r="O85" i="22"/>
  <c r="P85" i="22"/>
  <c r="Q85" i="22"/>
  <c r="R85" i="22"/>
  <c r="S85" i="22"/>
  <c r="T85" i="22"/>
  <c r="U85" i="22"/>
  <c r="V85" i="22"/>
  <c r="W85" i="22"/>
  <c r="X85" i="22"/>
  <c r="Y85" i="22"/>
  <c r="Z85" i="22"/>
  <c r="AA85" i="22"/>
  <c r="G85" i="22"/>
  <c r="H85" i="22"/>
  <c r="H75" i="22"/>
  <c r="I75" i="22"/>
  <c r="J75" i="22"/>
  <c r="K75" i="22"/>
  <c r="L75" i="22"/>
  <c r="V75" i="22"/>
  <c r="W75" i="22"/>
  <c r="X75" i="22"/>
  <c r="Y75" i="22"/>
  <c r="Z75" i="22"/>
  <c r="AA75" i="22"/>
  <c r="H76" i="22"/>
  <c r="I76" i="22"/>
  <c r="J76" i="22"/>
  <c r="K76" i="22"/>
  <c r="L76" i="22"/>
  <c r="V76" i="22"/>
  <c r="W76" i="22"/>
  <c r="X76" i="22"/>
  <c r="Y76" i="22"/>
  <c r="Z76" i="22"/>
  <c r="AA76" i="22"/>
  <c r="H27" i="22"/>
  <c r="I27" i="22"/>
  <c r="J27" i="22"/>
  <c r="K27" i="22"/>
  <c r="L27" i="22"/>
  <c r="M27" i="22"/>
  <c r="N27" i="22"/>
  <c r="O27" i="22"/>
  <c r="P27" i="22"/>
  <c r="Q27" i="22"/>
  <c r="R27" i="22"/>
  <c r="S27" i="22"/>
  <c r="T27" i="22"/>
  <c r="U27" i="22"/>
  <c r="V27" i="22"/>
  <c r="W27" i="22"/>
  <c r="X27" i="22"/>
  <c r="Y27" i="22"/>
  <c r="Z27" i="22"/>
  <c r="AA27" i="22"/>
  <c r="AA24" i="22"/>
  <c r="Z24" i="22"/>
  <c r="Y24" i="22"/>
  <c r="X24" i="22"/>
  <c r="W24" i="22"/>
  <c r="V24" i="22"/>
  <c r="U24" i="22"/>
  <c r="T24" i="22"/>
  <c r="S24" i="22"/>
  <c r="R24" i="22"/>
  <c r="Q24" i="22"/>
  <c r="P24" i="22"/>
  <c r="O24" i="22"/>
  <c r="N24" i="22"/>
  <c r="M24" i="22"/>
  <c r="L24" i="22"/>
  <c r="K24" i="22"/>
  <c r="J24" i="22"/>
  <c r="I24" i="22"/>
  <c r="H24" i="22"/>
  <c r="G24" i="22"/>
  <c r="AA21" i="22"/>
  <c r="Z21" i="22"/>
  <c r="Y21" i="22"/>
  <c r="X21" i="22"/>
  <c r="W21" i="22"/>
  <c r="V21" i="22"/>
  <c r="L21" i="22"/>
  <c r="K21" i="22"/>
  <c r="J21" i="22"/>
  <c r="I21" i="22"/>
  <c r="H21" i="22"/>
  <c r="G21" i="22"/>
  <c r="AA18" i="22"/>
  <c r="Z18" i="22"/>
  <c r="Y18" i="22"/>
  <c r="X18" i="22"/>
  <c r="W18" i="22"/>
  <c r="V18" i="22"/>
  <c r="U18" i="22"/>
  <c r="T18" i="22"/>
  <c r="S18" i="22"/>
  <c r="R18" i="22"/>
  <c r="Q18" i="22"/>
  <c r="P18" i="22"/>
  <c r="O18" i="22"/>
  <c r="N18" i="22"/>
  <c r="M18" i="22"/>
  <c r="L18" i="22"/>
  <c r="K18" i="22"/>
  <c r="J18" i="22"/>
  <c r="I18" i="22"/>
  <c r="H18" i="22"/>
  <c r="G18" i="22"/>
  <c r="H15" i="22"/>
  <c r="I15" i="22"/>
  <c r="J15" i="22"/>
  <c r="K15" i="22"/>
  <c r="L15" i="22"/>
  <c r="M15" i="22"/>
  <c r="N15" i="22"/>
  <c r="O15" i="22"/>
  <c r="P15" i="22"/>
  <c r="Q15" i="22"/>
  <c r="R15" i="22"/>
  <c r="S15" i="22"/>
  <c r="T15" i="22"/>
  <c r="U15" i="22"/>
  <c r="V15" i="22"/>
  <c r="W15" i="22"/>
  <c r="X15" i="22"/>
  <c r="Y15" i="22"/>
  <c r="Z15" i="22"/>
  <c r="AA15" i="22"/>
  <c r="H9" i="22"/>
  <c r="I9" i="22"/>
  <c r="J9" i="22"/>
  <c r="K9" i="22"/>
  <c r="L9" i="22"/>
  <c r="V9" i="22"/>
  <c r="W9" i="22"/>
  <c r="X9" i="22"/>
  <c r="Y9" i="22"/>
  <c r="Z9" i="22"/>
  <c r="AA9" i="22"/>
  <c r="P84" i="16"/>
  <c r="O84" i="16"/>
  <c r="X273" i="22" l="1"/>
  <c r="K77" i="22"/>
  <c r="J77" i="22"/>
  <c r="X77" i="22"/>
  <c r="AA77" i="22"/>
  <c r="Z77" i="22"/>
  <c r="I77" i="22"/>
  <c r="V77" i="22"/>
  <c r="L273" i="22"/>
  <c r="J28" i="22"/>
  <c r="Z273" i="22"/>
  <c r="V273" i="22"/>
  <c r="Y273" i="22"/>
  <c r="W175" i="22"/>
  <c r="H273" i="22"/>
  <c r="L175" i="22"/>
  <c r="K175" i="22"/>
  <c r="AA175" i="22"/>
  <c r="W77" i="22"/>
  <c r="V175" i="22"/>
  <c r="Y175" i="22"/>
  <c r="L77" i="22"/>
  <c r="H175" i="22"/>
  <c r="V224" i="22"/>
  <c r="AA273" i="22"/>
  <c r="Z175" i="22"/>
  <c r="I175" i="22"/>
  <c r="W224" i="22"/>
  <c r="Y77" i="22"/>
  <c r="H77" i="22"/>
  <c r="J175" i="22"/>
  <c r="I273" i="22"/>
  <c r="W28" i="22"/>
  <c r="W126" i="22"/>
  <c r="K273" i="22"/>
  <c r="J224" i="22"/>
  <c r="Z224" i="22"/>
  <c r="J273" i="22"/>
  <c r="Y126" i="22"/>
  <c r="X175" i="22"/>
  <c r="Z28" i="22"/>
  <c r="V126" i="22"/>
  <c r="AA28" i="22"/>
  <c r="V28" i="22"/>
  <c r="X126" i="22"/>
  <c r="AA126" i="22"/>
  <c r="K28" i="22"/>
  <c r="Y28" i="22"/>
  <c r="I28" i="22"/>
  <c r="AA224" i="22"/>
  <c r="I224" i="22"/>
  <c r="W273" i="22"/>
  <c r="K224" i="22"/>
  <c r="Z126" i="22"/>
  <c r="H224" i="22"/>
  <c r="L224" i="22"/>
  <c r="X224" i="22"/>
  <c r="H28" i="22"/>
  <c r="L28" i="22"/>
  <c r="X28" i="22"/>
  <c r="Y224" i="22"/>
  <c r="Q130" i="28"/>
  <c r="N19" i="22" l="1"/>
  <c r="O19" i="22"/>
  <c r="P19" i="22"/>
  <c r="Q19" i="22"/>
  <c r="R19" i="22"/>
  <c r="S19" i="22"/>
  <c r="T19" i="22"/>
  <c r="U19" i="22"/>
  <c r="N20" i="22"/>
  <c r="O20" i="22"/>
  <c r="P20" i="22"/>
  <c r="Q20" i="22"/>
  <c r="R20" i="22"/>
  <c r="S20" i="22"/>
  <c r="T20" i="22"/>
  <c r="U20" i="22"/>
  <c r="M20" i="22"/>
  <c r="M19" i="22"/>
  <c r="AI106" i="17"/>
  <c r="AA106" i="17"/>
  <c r="Z106" i="17"/>
  <c r="AI105" i="17"/>
  <c r="AA105" i="17"/>
  <c r="Z105" i="17"/>
  <c r="L331" i="28"/>
  <c r="K54" i="19"/>
  <c r="F114" i="18"/>
  <c r="B114" i="18" s="1"/>
  <c r="F115" i="18"/>
  <c r="B115" i="18" s="1"/>
  <c r="F116" i="18"/>
  <c r="B116" i="18" s="1"/>
  <c r="F117" i="18"/>
  <c r="B117" i="18" s="1"/>
  <c r="F118" i="18"/>
  <c r="B118" i="18" s="1"/>
  <c r="F119" i="18"/>
  <c r="B119" i="18" s="1"/>
  <c r="F113" i="18"/>
  <c r="B113" i="18" s="1"/>
  <c r="F82" i="17"/>
  <c r="B82" i="17" s="1"/>
  <c r="U118" i="22" l="1"/>
  <c r="U76" i="22"/>
  <c r="Q118" i="22"/>
  <c r="U117" i="22"/>
  <c r="U75" i="22"/>
  <c r="U21" i="22"/>
  <c r="U28" i="22" s="1"/>
  <c r="Q117" i="22"/>
  <c r="Q21" i="22"/>
  <c r="Q28" i="22" s="1"/>
  <c r="T118" i="22"/>
  <c r="T76" i="22"/>
  <c r="P118" i="22"/>
  <c r="T117" i="22"/>
  <c r="T21" i="22"/>
  <c r="T28" i="22" s="1"/>
  <c r="T75" i="22"/>
  <c r="P117" i="22"/>
  <c r="P21" i="22"/>
  <c r="P28" i="22" s="1"/>
  <c r="M117" i="22"/>
  <c r="M21" i="22"/>
  <c r="M28" i="22" s="1"/>
  <c r="S118" i="22"/>
  <c r="S76" i="22"/>
  <c r="O118" i="22"/>
  <c r="S117" i="22"/>
  <c r="S75" i="22"/>
  <c r="S21" i="22"/>
  <c r="S28" i="22" s="1"/>
  <c r="O117" i="22"/>
  <c r="O21" i="22"/>
  <c r="O28" i="22" s="1"/>
  <c r="M118" i="22"/>
  <c r="R118" i="22"/>
  <c r="N118" i="22"/>
  <c r="R117" i="22"/>
  <c r="R21" i="22"/>
  <c r="R28" i="22" s="1"/>
  <c r="N117" i="22"/>
  <c r="N21" i="22"/>
  <c r="N28" i="22" s="1"/>
  <c r="F87" i="18"/>
  <c r="B87" i="18" s="1"/>
  <c r="F89" i="18"/>
  <c r="B89" i="18" s="1"/>
  <c r="F90" i="18"/>
  <c r="B90" i="18" s="1"/>
  <c r="F91" i="18"/>
  <c r="B91" i="18" s="1"/>
  <c r="F92" i="18"/>
  <c r="B92" i="18" s="1"/>
  <c r="F93" i="18"/>
  <c r="B93" i="18" s="1"/>
  <c r="F94" i="18"/>
  <c r="B94" i="18" s="1"/>
  <c r="B110" i="18"/>
  <c r="F111" i="18"/>
  <c r="B111" i="18" s="1"/>
  <c r="F86" i="18"/>
  <c r="B86" i="18" s="1"/>
  <c r="F76" i="18"/>
  <c r="B76" i="18" s="1"/>
  <c r="F77" i="18"/>
  <c r="B77" i="18" s="1"/>
  <c r="F78" i="18"/>
  <c r="B78" i="18" s="1"/>
  <c r="F79" i="18"/>
  <c r="B79" i="18" s="1"/>
  <c r="F80" i="18"/>
  <c r="B80" i="18" s="1"/>
  <c r="F81" i="18"/>
  <c r="B81" i="18" s="1"/>
  <c r="F82" i="18"/>
  <c r="B82" i="18" s="1"/>
  <c r="B83" i="18"/>
  <c r="F84" i="18"/>
  <c r="B84" i="18" s="1"/>
  <c r="F74" i="18"/>
  <c r="B74" i="18" s="1"/>
  <c r="F63" i="18"/>
  <c r="B63" i="18" s="1"/>
  <c r="F64" i="18"/>
  <c r="B64" i="18" s="1"/>
  <c r="F65" i="18"/>
  <c r="B65" i="18" s="1"/>
  <c r="F66" i="18"/>
  <c r="B66" i="18" s="1"/>
  <c r="F67" i="18"/>
  <c r="B67" i="18" s="1"/>
  <c r="F68" i="18"/>
  <c r="B68" i="18" s="1"/>
  <c r="B69" i="18"/>
  <c r="F70" i="18"/>
  <c r="B70" i="18" s="1"/>
  <c r="F62" i="18"/>
  <c r="B62" i="18" s="1"/>
  <c r="F61" i="18"/>
  <c r="B61" i="18" s="1"/>
  <c r="F85" i="18"/>
  <c r="B85" i="18" s="1"/>
  <c r="F71" i="18"/>
  <c r="B71" i="18" s="1"/>
  <c r="F58" i="18"/>
  <c r="B58" i="18" s="1"/>
  <c r="F47" i="18"/>
  <c r="B47" i="18" s="1"/>
  <c r="F37" i="18"/>
  <c r="B37" i="18" s="1"/>
  <c r="F26" i="18"/>
  <c r="B26" i="18" s="1"/>
  <c r="F50" i="18"/>
  <c r="B50" i="18" s="1"/>
  <c r="F51" i="18"/>
  <c r="B51" i="18" s="1"/>
  <c r="F52" i="18"/>
  <c r="B52" i="18" s="1"/>
  <c r="F53" i="18"/>
  <c r="B53" i="18" s="1"/>
  <c r="F54" i="18"/>
  <c r="B54" i="18" s="1"/>
  <c r="F55" i="18"/>
  <c r="B55" i="18" s="1"/>
  <c r="B56" i="18"/>
  <c r="F57" i="18"/>
  <c r="B57" i="18" s="1"/>
  <c r="S77" i="22" l="1"/>
  <c r="T77" i="22"/>
  <c r="U77" i="22"/>
  <c r="R215" i="22"/>
  <c r="R119" i="22"/>
  <c r="R126" i="22" s="1"/>
  <c r="R216" i="22"/>
  <c r="S215" i="22"/>
  <c r="S119" i="22"/>
  <c r="S126" i="22" s="1"/>
  <c r="S173" i="22"/>
  <c r="S216" i="22"/>
  <c r="S272" i="22" s="1"/>
  <c r="S174" i="22"/>
  <c r="Q215" i="22"/>
  <c r="Q119" i="22"/>
  <c r="Q126" i="22" s="1"/>
  <c r="N215" i="22"/>
  <c r="N119" i="22"/>
  <c r="N126" i="22" s="1"/>
  <c r="O215" i="22"/>
  <c r="O119" i="22"/>
  <c r="O126" i="22" s="1"/>
  <c r="T215" i="22"/>
  <c r="T173" i="22"/>
  <c r="T119" i="22"/>
  <c r="T126" i="22" s="1"/>
  <c r="T216" i="22"/>
  <c r="T272" i="22" s="1"/>
  <c r="T174" i="22"/>
  <c r="Q216" i="22"/>
  <c r="N216" i="22"/>
  <c r="M216" i="22"/>
  <c r="O216" i="22"/>
  <c r="P215" i="22"/>
  <c r="P119" i="22"/>
  <c r="P126" i="22" s="1"/>
  <c r="M215" i="22"/>
  <c r="M119" i="22"/>
  <c r="P216" i="22"/>
  <c r="U215" i="22"/>
  <c r="U173" i="22"/>
  <c r="U119" i="22"/>
  <c r="U126" i="22" s="1"/>
  <c r="U216" i="22"/>
  <c r="U272" i="22" s="1"/>
  <c r="U174" i="22"/>
  <c r="F46" i="18"/>
  <c r="B46" i="18" s="1"/>
  <c r="F38" i="18"/>
  <c r="B38" i="18" s="1"/>
  <c r="F39" i="18"/>
  <c r="B39" i="18" s="1"/>
  <c r="F40" i="18"/>
  <c r="B40" i="18" s="1"/>
  <c r="F41" i="18"/>
  <c r="B41" i="18" s="1"/>
  <c r="F42" i="18"/>
  <c r="B42" i="18" s="1"/>
  <c r="F43" i="18"/>
  <c r="B43" i="18" s="1"/>
  <c r="F44" i="18"/>
  <c r="B44" i="18" s="1"/>
  <c r="B45" i="18"/>
  <c r="F27" i="18"/>
  <c r="B27" i="18" s="1"/>
  <c r="F28" i="18"/>
  <c r="B28" i="18" s="1"/>
  <c r="F29" i="18"/>
  <c r="B29" i="18" s="1"/>
  <c r="F30" i="18"/>
  <c r="B30" i="18" s="1"/>
  <c r="F31" i="18"/>
  <c r="B31" i="18" s="1"/>
  <c r="F32" i="18"/>
  <c r="B32" i="18" s="1"/>
  <c r="F33" i="18"/>
  <c r="B33" i="18" s="1"/>
  <c r="F34" i="18"/>
  <c r="B34" i="18" s="1"/>
  <c r="B35" i="18"/>
  <c r="F36" i="18"/>
  <c r="B36" i="18" s="1"/>
  <c r="S175" i="22" l="1"/>
  <c r="M217" i="22"/>
  <c r="M224" i="22" s="1"/>
  <c r="T271" i="22"/>
  <c r="T273" i="22" s="1"/>
  <c r="T217" i="22"/>
  <c r="T224" i="22" s="1"/>
  <c r="Q217" i="22"/>
  <c r="Q224" i="22" s="1"/>
  <c r="U175" i="22"/>
  <c r="N217" i="22"/>
  <c r="N224" i="22" s="1"/>
  <c r="S271" i="22"/>
  <c r="S273" i="22" s="1"/>
  <c r="S217" i="22"/>
  <c r="S224" i="22" s="1"/>
  <c r="U217" i="22"/>
  <c r="U224" i="22" s="1"/>
  <c r="U271" i="22"/>
  <c r="U273" i="22" s="1"/>
  <c r="P217" i="22"/>
  <c r="P224" i="22" s="1"/>
  <c r="T175" i="22"/>
  <c r="O217" i="22"/>
  <c r="O224" i="22" s="1"/>
  <c r="R217" i="22"/>
  <c r="R224" i="22" s="1"/>
  <c r="F17" i="18"/>
  <c r="B17" i="18" s="1"/>
  <c r="B169" i="18"/>
  <c r="B170" i="18"/>
  <c r="B171" i="18"/>
  <c r="B172" i="18"/>
  <c r="B173" i="18"/>
  <c r="B174" i="18"/>
  <c r="B175" i="18"/>
  <c r="B176" i="18"/>
  <c r="B153" i="18"/>
  <c r="B156" i="18"/>
  <c r="B157" i="18"/>
  <c r="B160" i="18"/>
  <c r="B161" i="18"/>
  <c r="B164" i="18"/>
  <c r="B165" i="18"/>
  <c r="B168" i="18"/>
  <c r="B154" i="18"/>
  <c r="B155" i="18"/>
  <c r="B158" i="18"/>
  <c r="B159" i="18"/>
  <c r="B162" i="18"/>
  <c r="B163" i="18"/>
  <c r="B166" i="18"/>
  <c r="B167" i="18"/>
  <c r="F18" i="18"/>
  <c r="B18" i="18" s="1"/>
  <c r="F19" i="18"/>
  <c r="B19" i="18" s="1"/>
  <c r="F20" i="18"/>
  <c r="F21" i="18"/>
  <c r="F22" i="18"/>
  <c r="B22" i="18" s="1"/>
  <c r="B127" i="16"/>
  <c r="B121" i="16"/>
  <c r="B114" i="16"/>
  <c r="B107" i="16"/>
  <c r="C101" i="16"/>
  <c r="AH99" i="17"/>
  <c r="B99" i="17"/>
  <c r="B351" i="18" l="1"/>
  <c r="B352" i="18"/>
  <c r="B353" i="18"/>
  <c r="B354" i="18"/>
  <c r="B355" i="18"/>
  <c r="B356" i="18"/>
  <c r="B357" i="18"/>
  <c r="B358" i="18"/>
  <c r="B359" i="18"/>
  <c r="B360" i="18"/>
  <c r="B361" i="18"/>
  <c r="B362" i="18"/>
  <c r="B363" i="18"/>
  <c r="B364" i="18"/>
  <c r="B365" i="18"/>
  <c r="B366" i="18"/>
  <c r="B367" i="18"/>
  <c r="B368" i="18"/>
  <c r="B369" i="18"/>
  <c r="B370" i="18"/>
  <c r="B371" i="18"/>
  <c r="B372" i="18"/>
  <c r="B373" i="18"/>
  <c r="B374" i="18"/>
  <c r="B375" i="18"/>
  <c r="B350" i="18"/>
  <c r="B349" i="18"/>
  <c r="B348" i="18"/>
  <c r="B347" i="18"/>
  <c r="B346" i="18"/>
  <c r="B345" i="18"/>
  <c r="B344" i="18"/>
  <c r="B343" i="18"/>
  <c r="B342" i="18"/>
  <c r="B341" i="18"/>
  <c r="B340" i="18"/>
  <c r="B339" i="18"/>
  <c r="B338" i="18"/>
  <c r="B337" i="18"/>
  <c r="B336" i="18"/>
  <c r="B335" i="18"/>
  <c r="B334" i="18"/>
  <c r="B333" i="18"/>
  <c r="B332" i="18"/>
  <c r="B331" i="18"/>
  <c r="B330" i="18"/>
  <c r="B329" i="18"/>
  <c r="B328" i="18"/>
  <c r="B327" i="18"/>
  <c r="B326" i="18"/>
  <c r="B325" i="18"/>
  <c r="B324" i="18"/>
  <c r="B323" i="18"/>
  <c r="B322" i="18"/>
  <c r="B321" i="18"/>
  <c r="B320" i="18"/>
  <c r="B319" i="18"/>
  <c r="B318" i="18"/>
  <c r="B317" i="18"/>
  <c r="B316" i="18"/>
  <c r="B315" i="18"/>
  <c r="B314" i="18"/>
  <c r="B313" i="18"/>
  <c r="B312" i="18"/>
  <c r="B311" i="18"/>
  <c r="B310" i="18"/>
  <c r="B309" i="18"/>
  <c r="B308" i="18"/>
  <c r="B307" i="18"/>
  <c r="B306" i="18"/>
  <c r="B305" i="18"/>
  <c r="B304" i="18"/>
  <c r="B303" i="18"/>
  <c r="B302" i="18"/>
  <c r="B301" i="18"/>
  <c r="B300" i="18"/>
  <c r="B299" i="18"/>
  <c r="B298" i="18"/>
  <c r="B297" i="18"/>
  <c r="B296" i="18"/>
  <c r="B295" i="18"/>
  <c r="B294" i="18"/>
  <c r="B293" i="18"/>
  <c r="B292" i="18"/>
  <c r="AH86" i="17"/>
  <c r="B86" i="17"/>
  <c r="B152" i="18"/>
  <c r="B151" i="18"/>
  <c r="B150" i="18"/>
  <c r="B149" i="18"/>
  <c r="B148" i="18"/>
  <c r="B147" i="18"/>
  <c r="B146" i="18"/>
  <c r="B145" i="18"/>
  <c r="E2" i="17"/>
  <c r="AH85" i="17"/>
  <c r="B85" i="17"/>
  <c r="AH79" i="17"/>
  <c r="F79" i="17"/>
  <c r="B79" i="17" s="1"/>
  <c r="AH81" i="17"/>
  <c r="F81" i="17"/>
  <c r="B81" i="17" s="1"/>
  <c r="AH80" i="17"/>
  <c r="F80" i="17"/>
  <c r="B80" i="17" s="1"/>
  <c r="AH92" i="17"/>
  <c r="B92" i="17"/>
  <c r="AH91" i="17"/>
  <c r="B91" i="17"/>
  <c r="AH90" i="17"/>
  <c r="B90" i="17"/>
  <c r="AH89" i="17"/>
  <c r="B89" i="17"/>
  <c r="AH88" i="17"/>
  <c r="B88" i="17"/>
  <c r="AH87" i="17"/>
  <c r="B87" i="17"/>
  <c r="R250" i="22" l="1"/>
  <c r="Q250" i="22"/>
  <c r="P250" i="22"/>
  <c r="O250" i="22"/>
  <c r="N250" i="22"/>
  <c r="M250" i="22"/>
  <c r="R246" i="22"/>
  <c r="Q246" i="22"/>
  <c r="P246" i="22"/>
  <c r="O246" i="22"/>
  <c r="N246" i="22"/>
  <c r="M246" i="22"/>
  <c r="R241" i="22"/>
  <c r="Q241" i="22"/>
  <c r="P241" i="22"/>
  <c r="O241" i="22"/>
  <c r="N241" i="22"/>
  <c r="M241" i="22"/>
  <c r="R237" i="22"/>
  <c r="Q237" i="22"/>
  <c r="P237" i="22"/>
  <c r="O237" i="22"/>
  <c r="N237" i="22"/>
  <c r="M237" i="22"/>
  <c r="R232" i="22"/>
  <c r="Q232" i="22"/>
  <c r="P232" i="22"/>
  <c r="O232" i="22"/>
  <c r="N232" i="22"/>
  <c r="M232" i="22"/>
  <c r="R228" i="22"/>
  <c r="Q228" i="22"/>
  <c r="P228" i="22"/>
  <c r="O228" i="22"/>
  <c r="N228" i="22"/>
  <c r="M228" i="22"/>
  <c r="R152" i="22"/>
  <c r="Q152" i="22"/>
  <c r="P152" i="22"/>
  <c r="O152" i="22"/>
  <c r="N152" i="22"/>
  <c r="M152" i="22"/>
  <c r="R148" i="22"/>
  <c r="Q148" i="22"/>
  <c r="P148" i="22"/>
  <c r="O148" i="22"/>
  <c r="N148" i="22"/>
  <c r="M148" i="22"/>
  <c r="R143" i="22"/>
  <c r="Q143" i="22"/>
  <c r="P143" i="22"/>
  <c r="O143" i="22"/>
  <c r="N143" i="22"/>
  <c r="M143" i="22"/>
  <c r="R139" i="22"/>
  <c r="Q139" i="22"/>
  <c r="P139" i="22"/>
  <c r="O139" i="22"/>
  <c r="N139" i="22"/>
  <c r="M139" i="22"/>
  <c r="R134" i="22"/>
  <c r="Q134" i="22"/>
  <c r="P134" i="22"/>
  <c r="O134" i="22"/>
  <c r="N134" i="22"/>
  <c r="M134" i="22"/>
  <c r="R130" i="22"/>
  <c r="Q130" i="22"/>
  <c r="P130" i="22"/>
  <c r="O130" i="22"/>
  <c r="N130" i="22"/>
  <c r="M130" i="22"/>
  <c r="N54" i="22"/>
  <c r="O54" i="22"/>
  <c r="P54" i="22"/>
  <c r="Q54" i="22"/>
  <c r="R54" i="22"/>
  <c r="M54" i="22"/>
  <c r="N50" i="22"/>
  <c r="O50" i="22"/>
  <c r="P50" i="22"/>
  <c r="Q50" i="22"/>
  <c r="R50" i="22"/>
  <c r="M50" i="22"/>
  <c r="M173" i="22" l="1"/>
  <c r="O174" i="22"/>
  <c r="N173" i="22"/>
  <c r="P174" i="22"/>
  <c r="O173" i="22"/>
  <c r="M272" i="22"/>
  <c r="P173" i="22"/>
  <c r="N272" i="22"/>
  <c r="Q174" i="22"/>
  <c r="R174" i="22"/>
  <c r="Q173" i="22"/>
  <c r="O272" i="22"/>
  <c r="R173" i="22"/>
  <c r="P272" i="22"/>
  <c r="M174" i="22"/>
  <c r="Q272" i="22"/>
  <c r="N174" i="22"/>
  <c r="R272" i="22"/>
  <c r="O236" i="22"/>
  <c r="O271" i="22"/>
  <c r="M236" i="22"/>
  <c r="M271" i="22"/>
  <c r="Q236" i="22"/>
  <c r="Q271" i="22"/>
  <c r="N236" i="22"/>
  <c r="N271" i="22"/>
  <c r="R236" i="22"/>
  <c r="R271" i="22"/>
  <c r="P236" i="22"/>
  <c r="P271" i="22"/>
  <c r="P138" i="22"/>
  <c r="Q147" i="22"/>
  <c r="M156" i="22"/>
  <c r="M245" i="22"/>
  <c r="Q254" i="22"/>
  <c r="N138" i="22"/>
  <c r="O156" i="22"/>
  <c r="O254" i="22"/>
  <c r="Q138" i="22"/>
  <c r="P156" i="22"/>
  <c r="P245" i="22"/>
  <c r="R138" i="22"/>
  <c r="M147" i="22"/>
  <c r="Q156" i="22"/>
  <c r="Q245" i="22"/>
  <c r="M254" i="22"/>
  <c r="O147" i="22"/>
  <c r="P254" i="22"/>
  <c r="O138" i="22"/>
  <c r="R147" i="22"/>
  <c r="N156" i="22"/>
  <c r="N245" i="22"/>
  <c r="R254" i="22"/>
  <c r="N147" i="22"/>
  <c r="R156" i="22"/>
  <c r="R245" i="22"/>
  <c r="N254" i="22"/>
  <c r="M138" i="22"/>
  <c r="P147" i="22"/>
  <c r="O245" i="22"/>
  <c r="G171" i="29"/>
  <c r="H171" i="29"/>
  <c r="I171" i="29"/>
  <c r="J171" i="29"/>
  <c r="K171" i="29"/>
  <c r="L171" i="29"/>
  <c r="M171" i="29"/>
  <c r="N171" i="29"/>
  <c r="O171" i="29"/>
  <c r="P171" i="29"/>
  <c r="Q171" i="29"/>
  <c r="R171" i="29"/>
  <c r="S171" i="29"/>
  <c r="T171" i="29"/>
  <c r="U171" i="29"/>
  <c r="V171" i="29"/>
  <c r="W171" i="29"/>
  <c r="X171" i="29"/>
  <c r="Y171" i="29"/>
  <c r="Z171" i="29"/>
  <c r="AA171" i="29"/>
  <c r="AB171" i="29"/>
  <c r="AC171" i="29"/>
  <c r="AD171" i="29"/>
  <c r="AE171" i="29"/>
  <c r="AF171" i="29"/>
  <c r="AG171" i="29"/>
  <c r="AH171" i="29"/>
  <c r="AI171" i="29"/>
  <c r="AJ171" i="29"/>
  <c r="AK171" i="29"/>
  <c r="O273" i="22" l="1"/>
  <c r="M273" i="22"/>
  <c r="M175" i="22"/>
  <c r="O175" i="22"/>
  <c r="P175" i="22"/>
  <c r="N175" i="22"/>
  <c r="Q175" i="22"/>
  <c r="N273" i="22"/>
  <c r="O267" i="22"/>
  <c r="M267" i="22"/>
  <c r="R273" i="22"/>
  <c r="R175" i="22"/>
  <c r="P273" i="22"/>
  <c r="Q169" i="22"/>
  <c r="Q267" i="22"/>
  <c r="P267" i="22"/>
  <c r="P169" i="22"/>
  <c r="Q273" i="22"/>
  <c r="R169" i="22"/>
  <c r="N169" i="22"/>
  <c r="N267" i="22"/>
  <c r="R267" i="22"/>
  <c r="O169" i="22"/>
  <c r="M169" i="22"/>
  <c r="S34" i="30"/>
  <c r="R34" i="30"/>
  <c r="R125" i="29" l="1"/>
  <c r="AH78" i="17" l="1"/>
  <c r="F78" i="17"/>
  <c r="B78" i="17" s="1"/>
  <c r="F16" i="17"/>
  <c r="B16" i="17" s="1"/>
  <c r="F15" i="17"/>
  <c r="B15" i="17" s="1"/>
  <c r="F12" i="17"/>
  <c r="B12" i="17" s="1"/>
  <c r="F13" i="17"/>
  <c r="B13" i="17" s="1"/>
  <c r="F14" i="17"/>
  <c r="B14" i="17" s="1"/>
  <c r="F9" i="17"/>
  <c r="B9" i="17" s="1"/>
  <c r="I88" i="29"/>
  <c r="J88" i="29"/>
  <c r="K88" i="29"/>
  <c r="L88" i="29"/>
  <c r="M88" i="29"/>
  <c r="N88" i="29"/>
  <c r="O88" i="29"/>
  <c r="P88" i="29"/>
  <c r="Q88" i="29"/>
  <c r="R88" i="29"/>
  <c r="S88" i="29"/>
  <c r="T88" i="29"/>
  <c r="U88" i="29"/>
  <c r="V88" i="29"/>
  <c r="W88" i="29"/>
  <c r="X88" i="29"/>
  <c r="Y88" i="29"/>
  <c r="Z88" i="29"/>
  <c r="AA88" i="29"/>
  <c r="AB88" i="29"/>
  <c r="AC88" i="29"/>
  <c r="AD88" i="29"/>
  <c r="AE88" i="29"/>
  <c r="AF88" i="29"/>
  <c r="AG88" i="29"/>
  <c r="AH88" i="29"/>
  <c r="AI88" i="29"/>
  <c r="AJ88" i="29"/>
  <c r="AK88" i="29"/>
  <c r="B274" i="18"/>
  <c r="B275" i="18"/>
  <c r="B276" i="18"/>
  <c r="B277" i="18"/>
  <c r="B278" i="18"/>
  <c r="B279" i="18"/>
  <c r="B280" i="18"/>
  <c r="B281" i="18"/>
  <c r="B282" i="18"/>
  <c r="B283" i="18"/>
  <c r="B284" i="18"/>
  <c r="B285" i="18"/>
  <c r="B286" i="18"/>
  <c r="B287" i="18"/>
  <c r="B288" i="18"/>
  <c r="B289" i="18"/>
  <c r="B290" i="18"/>
  <c r="B291" i="18"/>
  <c r="B263" i="18"/>
  <c r="B264" i="18"/>
  <c r="B265" i="18"/>
  <c r="B266" i="18"/>
  <c r="B267" i="18"/>
  <c r="B268" i="18"/>
  <c r="B269" i="18"/>
  <c r="B270" i="18"/>
  <c r="B271" i="18"/>
  <c r="B272" i="18"/>
  <c r="B273" i="18"/>
  <c r="B256" i="18"/>
  <c r="B257" i="18"/>
  <c r="B258" i="18"/>
  <c r="B259" i="18"/>
  <c r="B260" i="18"/>
  <c r="B261" i="18"/>
  <c r="B262" i="18"/>
  <c r="B249" i="18"/>
  <c r="B250" i="18"/>
  <c r="B251" i="18"/>
  <c r="B252" i="18"/>
  <c r="B253" i="18"/>
  <c r="B254" i="18"/>
  <c r="B255" i="18"/>
  <c r="B245" i="18"/>
  <c r="B246" i="18"/>
  <c r="B247" i="18"/>
  <c r="B248" i="18"/>
  <c r="B229" i="18"/>
  <c r="B230" i="18"/>
  <c r="B231" i="18"/>
  <c r="B232" i="18"/>
  <c r="F233" i="18"/>
  <c r="B233" i="18" s="1"/>
  <c r="B234" i="18"/>
  <c r="B235" i="18"/>
  <c r="B236" i="18"/>
  <c r="B237" i="18"/>
  <c r="B238" i="18"/>
  <c r="B239" i="18"/>
  <c r="B240" i="18"/>
  <c r="B241" i="18"/>
  <c r="F218" i="18"/>
  <c r="B218" i="18" s="1"/>
  <c r="F217" i="18"/>
  <c r="B217" i="18" s="1"/>
  <c r="F216" i="18"/>
  <c r="B216" i="18" s="1"/>
  <c r="F215" i="18"/>
  <c r="B215" i="18" s="1"/>
  <c r="F214" i="18"/>
  <c r="B214" i="18" s="1"/>
  <c r="F213" i="18"/>
  <c r="B213" i="18" s="1"/>
  <c r="F212" i="18"/>
  <c r="B212" i="18" s="1"/>
  <c r="F211" i="18"/>
  <c r="B211" i="18" s="1"/>
  <c r="F210" i="18"/>
  <c r="B210" i="18" s="1"/>
  <c r="F209" i="18"/>
  <c r="B209" i="18" s="1"/>
  <c r="F208" i="18"/>
  <c r="B208" i="18" s="1"/>
  <c r="F207" i="18"/>
  <c r="B207" i="18" s="1"/>
  <c r="F206" i="18"/>
  <c r="B206" i="18" s="1"/>
  <c r="F205" i="18"/>
  <c r="B205" i="18" s="1"/>
  <c r="B219" i="18"/>
  <c r="B220" i="18"/>
  <c r="B221" i="18"/>
  <c r="B222" i="18"/>
  <c r="B223" i="18"/>
  <c r="B224" i="18"/>
  <c r="B225" i="18"/>
  <c r="B226" i="18"/>
  <c r="B227" i="18"/>
  <c r="B228" i="18"/>
  <c r="B242" i="18"/>
  <c r="F204" i="18"/>
  <c r="B204" i="18" s="1"/>
  <c r="F203" i="18"/>
  <c r="B203" i="18" s="1"/>
  <c r="F202" i="18"/>
  <c r="B202" i="18" s="1"/>
  <c r="F201" i="18"/>
  <c r="B201" i="18" s="1"/>
  <c r="F200" i="18"/>
  <c r="B200" i="18" s="1"/>
  <c r="F199" i="18"/>
  <c r="B199" i="18" s="1"/>
  <c r="F198" i="18"/>
  <c r="B198" i="18" s="1"/>
  <c r="F197" i="18"/>
  <c r="B197" i="18" s="1"/>
  <c r="F196" i="18"/>
  <c r="B196" i="18" s="1"/>
  <c r="F195" i="18"/>
  <c r="B195" i="18" s="1"/>
  <c r="F194" i="18"/>
  <c r="B194" i="18" s="1"/>
  <c r="F193" i="18"/>
  <c r="B193" i="18" s="1"/>
  <c r="F192" i="18"/>
  <c r="B192" i="18" s="1"/>
  <c r="F191" i="18"/>
  <c r="B191" i="18" s="1"/>
  <c r="F136" i="18"/>
  <c r="B136" i="18" s="1"/>
  <c r="F177" i="18"/>
  <c r="B177" i="18" s="1"/>
  <c r="F178" i="18"/>
  <c r="B178" i="18" s="1"/>
  <c r="F179" i="18"/>
  <c r="B179" i="18" s="1"/>
  <c r="F180" i="18"/>
  <c r="B180" i="18" s="1"/>
  <c r="F181" i="18"/>
  <c r="B181" i="18" s="1"/>
  <c r="F182" i="18"/>
  <c r="B182" i="18" s="1"/>
  <c r="F183" i="18"/>
  <c r="B183" i="18" s="1"/>
  <c r="F184" i="18"/>
  <c r="B184" i="18" s="1"/>
  <c r="F185" i="18"/>
  <c r="B185" i="18" s="1"/>
  <c r="F186" i="18"/>
  <c r="B186" i="18" s="1"/>
  <c r="F187" i="18"/>
  <c r="B187" i="18" s="1"/>
  <c r="F188" i="18"/>
  <c r="B188" i="18" s="1"/>
  <c r="F189" i="18"/>
  <c r="B189" i="18" s="1"/>
  <c r="F190" i="18"/>
  <c r="B190" i="18" s="1"/>
  <c r="B243" i="18"/>
  <c r="AH108" i="17"/>
  <c r="AH104" i="17" l="1"/>
  <c r="AH96" i="17"/>
  <c r="AH109" i="17" l="1"/>
  <c r="B109" i="17"/>
  <c r="AH107" i="17"/>
  <c r="B107" i="17"/>
  <c r="B96" i="17"/>
  <c r="B104" i="17"/>
  <c r="AH110" i="17"/>
  <c r="B110" i="17"/>
  <c r="AH115" i="17" l="1"/>
  <c r="AH116" i="17"/>
  <c r="AH117" i="17"/>
  <c r="AH141" i="17"/>
  <c r="AH71" i="17"/>
  <c r="AH67" i="17"/>
  <c r="AH95" i="17"/>
  <c r="AH119" i="17"/>
  <c r="AH144" i="17"/>
  <c r="AH125" i="17"/>
  <c r="AH126" i="17"/>
  <c r="AH127" i="17"/>
  <c r="AH129" i="17"/>
  <c r="AH130" i="17"/>
  <c r="AH131" i="17"/>
  <c r="AH132" i="17"/>
  <c r="AH133" i="17"/>
  <c r="AH134" i="17"/>
  <c r="AH135" i="17"/>
  <c r="AH136" i="17"/>
  <c r="AH142" i="17"/>
  <c r="AH70" i="17"/>
  <c r="AH73" i="17"/>
  <c r="AH68" i="17"/>
  <c r="AH62" i="17"/>
  <c r="AH140" i="17"/>
  <c r="AH97" i="17"/>
  <c r="AH120" i="17"/>
  <c r="AH93" i="17"/>
  <c r="AH145" i="17"/>
  <c r="AH56" i="17"/>
  <c r="AH149" i="17"/>
  <c r="AH150" i="17"/>
  <c r="AH151" i="17"/>
  <c r="AH152" i="17"/>
  <c r="AH153" i="17"/>
  <c r="AH154" i="17"/>
  <c r="AH155" i="17"/>
  <c r="AH156" i="17"/>
  <c r="AH157" i="17"/>
  <c r="AH158" i="17"/>
  <c r="AH159" i="17"/>
  <c r="AH160" i="17"/>
  <c r="AH161" i="17"/>
  <c r="AH162" i="17"/>
  <c r="AH163" i="17"/>
  <c r="AH164" i="17"/>
  <c r="AH165" i="17"/>
  <c r="AH166" i="17"/>
  <c r="AH167" i="17"/>
  <c r="AH168" i="17"/>
  <c r="AH169" i="17"/>
  <c r="AH170" i="17"/>
  <c r="AH171" i="17"/>
  <c r="AH172" i="17"/>
  <c r="AH173" i="17"/>
  <c r="AH174" i="17"/>
  <c r="AH175" i="17"/>
  <c r="AH176" i="17"/>
  <c r="AH177" i="17"/>
  <c r="AH178" i="17"/>
  <c r="AH179" i="17"/>
  <c r="AH180" i="17"/>
  <c r="AH181" i="17"/>
  <c r="AH182" i="17"/>
  <c r="AH183" i="17"/>
  <c r="AH184" i="17"/>
  <c r="AH185" i="17"/>
  <c r="AH186" i="17"/>
  <c r="AH187" i="17"/>
  <c r="AH188" i="17"/>
  <c r="AH189" i="17"/>
  <c r="AH190" i="17"/>
  <c r="AH191" i="17"/>
  <c r="AH192" i="17"/>
  <c r="AH193" i="17"/>
  <c r="AH194" i="17"/>
  <c r="AH195" i="17"/>
  <c r="AH196" i="17"/>
  <c r="AH197" i="17"/>
  <c r="AH198" i="17"/>
  <c r="AH199" i="17"/>
  <c r="AH200" i="17"/>
  <c r="AH201" i="17"/>
  <c r="AH202" i="17"/>
  <c r="AH203" i="17"/>
  <c r="AH204" i="17"/>
  <c r="AH205" i="17"/>
  <c r="AH206" i="17"/>
  <c r="AH207" i="17"/>
  <c r="AH208" i="17"/>
  <c r="AH209" i="17"/>
  <c r="AH210" i="17"/>
  <c r="AH211" i="17"/>
  <c r="AH212" i="17"/>
  <c r="AH213" i="17"/>
  <c r="AH214" i="17"/>
  <c r="AH215" i="17"/>
  <c r="AH216" i="17"/>
  <c r="AH217" i="17"/>
  <c r="AH218" i="17"/>
  <c r="AH219" i="17"/>
  <c r="AH220" i="17"/>
  <c r="AH221" i="17"/>
  <c r="AH222" i="17"/>
  <c r="AH223" i="17"/>
  <c r="AH224" i="17"/>
  <c r="AH225" i="17"/>
  <c r="AH226" i="17"/>
  <c r="AH227" i="17"/>
  <c r="AH228" i="17"/>
  <c r="AH229" i="17"/>
  <c r="AH230" i="17"/>
  <c r="AH231" i="17"/>
  <c r="AH232" i="17"/>
  <c r="AH233" i="17"/>
  <c r="AH234" i="17"/>
  <c r="AH235" i="17"/>
  <c r="AH236" i="17"/>
  <c r="AH237" i="17"/>
  <c r="AH238" i="17"/>
  <c r="AH239" i="17"/>
  <c r="AH240" i="17"/>
  <c r="AH242" i="17"/>
  <c r="AH243" i="17"/>
  <c r="AH244" i="17"/>
  <c r="AH245" i="17"/>
  <c r="AH246" i="17"/>
  <c r="AH247" i="17"/>
  <c r="AH248" i="17"/>
  <c r="AH249" i="17"/>
  <c r="AH250" i="17"/>
  <c r="AH251" i="17"/>
  <c r="AH252" i="17"/>
  <c r="AH253" i="17"/>
  <c r="AH255" i="17"/>
  <c r="AH257" i="17"/>
  <c r="AH258" i="17"/>
  <c r="AH259" i="17"/>
  <c r="AH260" i="17"/>
  <c r="AH261" i="17"/>
  <c r="AH262" i="17"/>
  <c r="AH263" i="17"/>
  <c r="AH264" i="17"/>
  <c r="AH265" i="17"/>
  <c r="AH266" i="17"/>
  <c r="AH267" i="17"/>
  <c r="AH268" i="17"/>
  <c r="AH269" i="17"/>
  <c r="AH270" i="17"/>
  <c r="AH271" i="17"/>
  <c r="AH272" i="17"/>
  <c r="AH273" i="17"/>
  <c r="AH274" i="17"/>
  <c r="AH275" i="17"/>
  <c r="AH276" i="17"/>
  <c r="AH277" i="17"/>
  <c r="AH278" i="17"/>
  <c r="AH279" i="17"/>
  <c r="AH280" i="17"/>
  <c r="AH281" i="17"/>
  <c r="AH282" i="17"/>
  <c r="AH75" i="17"/>
  <c r="AH94" i="17"/>
  <c r="AH69" i="17"/>
  <c r="AH6" i="17"/>
  <c r="AH98" i="17"/>
  <c r="AH7" i="17"/>
  <c r="AH52" i="17"/>
  <c r="AH101" i="17"/>
  <c r="AH53" i="17"/>
  <c r="AH103" i="17"/>
  <c r="AH105" i="17"/>
  <c r="AH106" i="17"/>
  <c r="AH118" i="17"/>
  <c r="AH143" i="17"/>
  <c r="AH76" i="17"/>
  <c r="AH20" i="17"/>
  <c r="AH19" i="17"/>
  <c r="AH148" i="17"/>
  <c r="AH146" i="17"/>
  <c r="AH147" i="17"/>
  <c r="AH123" i="17"/>
  <c r="AH66" i="17"/>
  <c r="AH122" i="17"/>
  <c r="AH65" i="17"/>
  <c r="AH21" i="17"/>
  <c r="AH29" i="17"/>
  <c r="AH31" i="17"/>
  <c r="AH40" i="17"/>
  <c r="AH41" i="17"/>
  <c r="AH43" i="17"/>
  <c r="AH44" i="17"/>
  <c r="AH124" i="17"/>
  <c r="AH137" i="17"/>
  <c r="AH23" i="17"/>
  <c r="AH28" i="17"/>
  <c r="AH36" i="17"/>
  <c r="AH37" i="17"/>
  <c r="AH38" i="17"/>
  <c r="AH39" i="17"/>
  <c r="AH47" i="17"/>
  <c r="AH51" i="17"/>
  <c r="AH139" i="17"/>
  <c r="AH138" i="17"/>
  <c r="AH83" i="17"/>
  <c r="AH46" i="17"/>
  <c r="AH45" i="17"/>
  <c r="AH48" i="17"/>
  <c r="AH22" i="17"/>
  <c r="AH100" i="17"/>
  <c r="AH102" i="17"/>
  <c r="AH54" i="17"/>
  <c r="AH55" i="17"/>
  <c r="B115" i="17" l="1"/>
  <c r="B111" i="17"/>
  <c r="B112" i="17"/>
  <c r="B113" i="17"/>
  <c r="B114" i="17"/>
  <c r="B116" i="17"/>
  <c r="B117" i="17"/>
  <c r="B141" i="17"/>
  <c r="B71" i="17"/>
  <c r="B67" i="17"/>
  <c r="B95" i="17"/>
  <c r="B119" i="17"/>
  <c r="B144" i="17"/>
  <c r="B125" i="17"/>
  <c r="B126" i="17"/>
  <c r="B127" i="17"/>
  <c r="B128" i="17"/>
  <c r="B129" i="17"/>
  <c r="B130" i="17"/>
  <c r="B131" i="17"/>
  <c r="B132" i="17"/>
  <c r="B133" i="17"/>
  <c r="B134" i="17"/>
  <c r="B135" i="17"/>
  <c r="B136" i="17"/>
  <c r="B142" i="17"/>
  <c r="B70" i="17"/>
  <c r="B73" i="17"/>
  <c r="B72" i="17"/>
  <c r="B68" i="17"/>
  <c r="B62" i="17"/>
  <c r="B140" i="17"/>
  <c r="B97" i="17"/>
  <c r="B120" i="17"/>
  <c r="B93" i="17"/>
  <c r="B145" i="17"/>
  <c r="B56" i="17"/>
  <c r="B149" i="17"/>
  <c r="B150" i="17"/>
  <c r="B151" i="17"/>
  <c r="B152" i="17"/>
  <c r="B153" i="17"/>
  <c r="B154" i="17"/>
  <c r="B155" i="17"/>
  <c r="B156" i="17"/>
  <c r="B157" i="17"/>
  <c r="B158" i="17"/>
  <c r="B159" i="17"/>
  <c r="B160" i="17"/>
  <c r="B161" i="17"/>
  <c r="B162" i="17"/>
  <c r="B163" i="17"/>
  <c r="B164" i="17"/>
  <c r="B165" i="17"/>
  <c r="B166" i="17"/>
  <c r="B167" i="17"/>
  <c r="B168" i="17"/>
  <c r="B169" i="17"/>
  <c r="B170" i="17"/>
  <c r="B171" i="17"/>
  <c r="B172" i="17"/>
  <c r="B173" i="17"/>
  <c r="B174" i="17"/>
  <c r="B175" i="17"/>
  <c r="B176" i="17"/>
  <c r="B177" i="17"/>
  <c r="B178" i="17"/>
  <c r="B179" i="17"/>
  <c r="B180" i="17"/>
  <c r="B181" i="17"/>
  <c r="B182" i="17"/>
  <c r="B183" i="17"/>
  <c r="B184" i="17"/>
  <c r="B185" i="17"/>
  <c r="B186" i="17"/>
  <c r="B187" i="17"/>
  <c r="B188" i="17"/>
  <c r="B189" i="17"/>
  <c r="B190" i="17"/>
  <c r="B191" i="17"/>
  <c r="B192" i="17"/>
  <c r="B193" i="17"/>
  <c r="B194" i="17"/>
  <c r="B195" i="17"/>
  <c r="B196" i="17"/>
  <c r="B197" i="17"/>
  <c r="B198" i="17"/>
  <c r="B199" i="17"/>
  <c r="B200" i="17"/>
  <c r="B201" i="17"/>
  <c r="B202" i="17"/>
  <c r="B203" i="17"/>
  <c r="B204" i="17"/>
  <c r="B205" i="17"/>
  <c r="B206" i="17"/>
  <c r="B207" i="17"/>
  <c r="B208" i="17"/>
  <c r="B209" i="17"/>
  <c r="B210" i="17"/>
  <c r="B211" i="17"/>
  <c r="B212" i="17"/>
  <c r="B213" i="17"/>
  <c r="B214" i="17"/>
  <c r="B215" i="17"/>
  <c r="B216" i="17"/>
  <c r="B217" i="17"/>
  <c r="B218" i="17"/>
  <c r="B219" i="17"/>
  <c r="B220" i="17"/>
  <c r="B221" i="17"/>
  <c r="B222" i="17"/>
  <c r="B223" i="17"/>
  <c r="B224" i="17"/>
  <c r="B225" i="17"/>
  <c r="B226" i="17"/>
  <c r="B227" i="17"/>
  <c r="B228" i="17"/>
  <c r="B229" i="17"/>
  <c r="B230" i="17"/>
  <c r="B231" i="17"/>
  <c r="B232" i="17"/>
  <c r="B233" i="17"/>
  <c r="B234" i="17"/>
  <c r="B235" i="17"/>
  <c r="B236" i="17"/>
  <c r="B237" i="17"/>
  <c r="B238" i="17"/>
  <c r="B239" i="17"/>
  <c r="B240" i="17"/>
  <c r="B241" i="17"/>
  <c r="B242" i="17"/>
  <c r="B243" i="17"/>
  <c r="B244" i="17"/>
  <c r="B245" i="17"/>
  <c r="B246" i="17"/>
  <c r="B247" i="17"/>
  <c r="B248" i="17"/>
  <c r="B249" i="17"/>
  <c r="B250" i="17"/>
  <c r="B251" i="17"/>
  <c r="B252" i="17"/>
  <c r="B253" i="17"/>
  <c r="B254" i="17"/>
  <c r="B255" i="17"/>
  <c r="B256" i="17"/>
  <c r="B257" i="17"/>
  <c r="B258" i="17"/>
  <c r="B259" i="17"/>
  <c r="B260" i="17"/>
  <c r="B261" i="17"/>
  <c r="B262" i="17"/>
  <c r="B263" i="17"/>
  <c r="B264" i="17"/>
  <c r="B265" i="17"/>
  <c r="B266" i="17"/>
  <c r="B267" i="17"/>
  <c r="B268" i="17"/>
  <c r="B269" i="17"/>
  <c r="B270" i="17"/>
  <c r="B271" i="17"/>
  <c r="B272" i="17"/>
  <c r="B273" i="17"/>
  <c r="B274" i="17"/>
  <c r="B275" i="17"/>
  <c r="B276" i="17"/>
  <c r="B277" i="17"/>
  <c r="B278" i="17"/>
  <c r="B279" i="17"/>
  <c r="B280" i="17"/>
  <c r="B281" i="17"/>
  <c r="B282" i="17"/>
  <c r="F283" i="17"/>
  <c r="B283" i="17" s="1"/>
  <c r="F284" i="17"/>
  <c r="B284" i="17" s="1"/>
  <c r="F285" i="17"/>
  <c r="B285" i="17" s="1"/>
  <c r="F286" i="17"/>
  <c r="B286" i="17" s="1"/>
  <c r="F287" i="17"/>
  <c r="B287" i="17" s="1"/>
  <c r="F288" i="17"/>
  <c r="B288" i="17" s="1"/>
  <c r="F289" i="17"/>
  <c r="B289" i="17" s="1"/>
  <c r="F290" i="17"/>
  <c r="B290" i="17" s="1"/>
  <c r="F291" i="17"/>
  <c r="B291" i="17" s="1"/>
  <c r="F292" i="17"/>
  <c r="B292" i="17" s="1"/>
  <c r="F293" i="17"/>
  <c r="B293" i="17" s="1"/>
  <c r="F294" i="17"/>
  <c r="B294" i="17" s="1"/>
  <c r="F295" i="17"/>
  <c r="B295" i="17" s="1"/>
  <c r="F296" i="17"/>
  <c r="B296" i="17" s="1"/>
  <c r="F297" i="17"/>
  <c r="B297" i="17" s="1"/>
  <c r="F298" i="17"/>
  <c r="B298" i="17" s="1"/>
  <c r="F299" i="17"/>
  <c r="B299" i="17" s="1"/>
  <c r="F300" i="17"/>
  <c r="B300" i="17" s="1"/>
  <c r="F301" i="17"/>
  <c r="B301" i="17" s="1"/>
  <c r="F302" i="17"/>
  <c r="B302" i="17" s="1"/>
  <c r="F303" i="17"/>
  <c r="B303" i="17" s="1"/>
  <c r="F304" i="17"/>
  <c r="B304" i="17" s="1"/>
  <c r="F305" i="17"/>
  <c r="B305" i="17" s="1"/>
  <c r="F306" i="17"/>
  <c r="B306" i="17" s="1"/>
  <c r="F307" i="17"/>
  <c r="B307" i="17" s="1"/>
  <c r="F308" i="17"/>
  <c r="B308" i="17" s="1"/>
  <c r="F309" i="17"/>
  <c r="B309" i="17" s="1"/>
  <c r="F310" i="17"/>
  <c r="B310" i="17" s="1"/>
  <c r="F311" i="17"/>
  <c r="B311" i="17" s="1"/>
  <c r="F312" i="17"/>
  <c r="B312" i="17" s="1"/>
  <c r="F313" i="17"/>
  <c r="B313" i="17" s="1"/>
  <c r="F314" i="17"/>
  <c r="B314" i="17" s="1"/>
  <c r="F315" i="17"/>
  <c r="B315" i="17" s="1"/>
  <c r="G272" i="22" l="1"/>
  <c r="G271" i="22"/>
  <c r="G174" i="22"/>
  <c r="G173" i="22"/>
  <c r="G76" i="22"/>
  <c r="G75" i="22"/>
  <c r="AA114" i="17"/>
  <c r="Z114" i="17"/>
  <c r="G265" i="22"/>
  <c r="G167" i="22"/>
  <c r="E2" i="22"/>
  <c r="E198" i="22" s="1"/>
  <c r="I6" i="16"/>
  <c r="I171" i="16" s="1"/>
  <c r="D9" i="19"/>
  <c r="D73" i="19" s="1"/>
  <c r="E2" i="18"/>
  <c r="E13" i="30"/>
  <c r="E184" i="30" s="1"/>
  <c r="E13" i="29"/>
  <c r="E184" i="29" s="1"/>
  <c r="E13" i="28"/>
  <c r="E184" i="28" s="1"/>
  <c r="E13" i="27"/>
  <c r="E184" i="27" s="1"/>
  <c r="D15" i="15"/>
  <c r="H69" i="22"/>
  <c r="I69" i="22"/>
  <c r="J69" i="22"/>
  <c r="K69" i="22"/>
  <c r="L69" i="22"/>
  <c r="M69" i="22"/>
  <c r="N69" i="22"/>
  <c r="O69" i="22"/>
  <c r="P69" i="22"/>
  <c r="Q69" i="22"/>
  <c r="R69" i="22"/>
  <c r="G69" i="22"/>
  <c r="G68" i="22"/>
  <c r="B103" i="17"/>
  <c r="B105" i="17"/>
  <c r="B106" i="17"/>
  <c r="Y135" i="18"/>
  <c r="Z135" i="18"/>
  <c r="AA135" i="18"/>
  <c r="AB135" i="18"/>
  <c r="B135" i="18"/>
  <c r="B112" i="18"/>
  <c r="I85" i="22"/>
  <c r="J247" i="28"/>
  <c r="J257" i="28" s="1"/>
  <c r="CJ43" i="15"/>
  <c r="AK43" i="15"/>
  <c r="AJ43" i="15"/>
  <c r="AI43" i="15"/>
  <c r="AH43" i="15"/>
  <c r="AG43" i="15"/>
  <c r="AF43" i="15"/>
  <c r="AE43" i="15"/>
  <c r="AD43" i="15"/>
  <c r="AC43" i="15"/>
  <c r="AB43" i="15"/>
  <c r="AA43" i="15"/>
  <c r="Z43" i="15"/>
  <c r="Y43" i="15"/>
  <c r="X43" i="15"/>
  <c r="W43" i="15"/>
  <c r="V43" i="15"/>
  <c r="U43" i="15"/>
  <c r="T43" i="15"/>
  <c r="S43" i="15"/>
  <c r="R43" i="15"/>
  <c r="Q43" i="15"/>
  <c r="P43" i="15"/>
  <c r="O43" i="15"/>
  <c r="N43" i="15"/>
  <c r="M43" i="15"/>
  <c r="L43" i="15"/>
  <c r="K43" i="15"/>
  <c r="J43" i="15"/>
  <c r="I43" i="15"/>
  <c r="H43" i="15"/>
  <c r="B101" i="17"/>
  <c r="S32" i="30"/>
  <c r="R32" i="30"/>
  <c r="R129" i="30"/>
  <c r="M129" i="30"/>
  <c r="H145" i="30"/>
  <c r="I133" i="30"/>
  <c r="D104" i="30"/>
  <c r="H129" i="30"/>
  <c r="I129" i="30"/>
  <c r="J129" i="30"/>
  <c r="M311" i="30"/>
  <c r="B53" i="17"/>
  <c r="B52" i="17"/>
  <c r="H254" i="22"/>
  <c r="I254" i="22"/>
  <c r="J254" i="22"/>
  <c r="K254" i="22"/>
  <c r="L254" i="22"/>
  <c r="S254" i="22"/>
  <c r="T254" i="22"/>
  <c r="U254" i="22"/>
  <c r="V254" i="22"/>
  <c r="W254" i="22"/>
  <c r="X254" i="22"/>
  <c r="Y254" i="22"/>
  <c r="Z254" i="22"/>
  <c r="AA254" i="22"/>
  <c r="H156" i="22"/>
  <c r="I156" i="22"/>
  <c r="J156" i="22"/>
  <c r="K156" i="22"/>
  <c r="L156" i="22"/>
  <c r="S156" i="22"/>
  <c r="T156" i="22"/>
  <c r="U156" i="22"/>
  <c r="V156" i="22"/>
  <c r="W156" i="22"/>
  <c r="X156" i="22"/>
  <c r="Y156" i="22"/>
  <c r="Z156" i="22"/>
  <c r="AA156" i="22"/>
  <c r="H58" i="22"/>
  <c r="I58" i="22"/>
  <c r="J58" i="22"/>
  <c r="K58" i="22"/>
  <c r="L58" i="22"/>
  <c r="M58" i="22"/>
  <c r="N58" i="22"/>
  <c r="O58" i="22"/>
  <c r="P58" i="22"/>
  <c r="Q58" i="22"/>
  <c r="R58" i="22"/>
  <c r="S58" i="22"/>
  <c r="T58" i="22"/>
  <c r="U58" i="22"/>
  <c r="V58" i="22"/>
  <c r="W58" i="22"/>
  <c r="X58" i="22"/>
  <c r="Y58" i="22"/>
  <c r="Z58" i="22"/>
  <c r="AA58" i="22"/>
  <c r="F6" i="18"/>
  <c r="B6" i="18" s="1"/>
  <c r="F18" i="17"/>
  <c r="B18" i="17" s="1"/>
  <c r="F17" i="17"/>
  <c r="B17" i="17" s="1"/>
  <c r="F8" i="17"/>
  <c r="B8" i="17" s="1"/>
  <c r="F29" i="17"/>
  <c r="B29" i="17" s="1"/>
  <c r="F30" i="17"/>
  <c r="B30" i="17" s="1"/>
  <c r="F31" i="17"/>
  <c r="B31" i="17" s="1"/>
  <c r="F40" i="17"/>
  <c r="B40" i="17" s="1"/>
  <c r="F41" i="17"/>
  <c r="B41" i="17" s="1"/>
  <c r="F43" i="17"/>
  <c r="B43" i="17" s="1"/>
  <c r="F44" i="17"/>
  <c r="B44" i="17" s="1"/>
  <c r="F24" i="17"/>
  <c r="B24" i="17" s="1"/>
  <c r="F25" i="17"/>
  <c r="B25" i="17" s="1"/>
  <c r="F26" i="17"/>
  <c r="B26" i="17" s="1"/>
  <c r="F27" i="17"/>
  <c r="B27" i="17" s="1"/>
  <c r="F124" i="17"/>
  <c r="B124" i="17" s="1"/>
  <c r="F137" i="17"/>
  <c r="B137" i="17" s="1"/>
  <c r="F23" i="17"/>
  <c r="B23" i="17" s="1"/>
  <c r="F28" i="17"/>
  <c r="B28" i="17" s="1"/>
  <c r="F32" i="17"/>
  <c r="B32" i="17" s="1"/>
  <c r="F33" i="17"/>
  <c r="B33" i="17" s="1"/>
  <c r="F34" i="17"/>
  <c r="B34" i="17" s="1"/>
  <c r="F35" i="17"/>
  <c r="B35" i="17" s="1"/>
  <c r="F36" i="17"/>
  <c r="B36" i="17" s="1"/>
  <c r="F37" i="17"/>
  <c r="B37" i="17" s="1"/>
  <c r="F38" i="17"/>
  <c r="B38" i="17" s="1"/>
  <c r="F39" i="17"/>
  <c r="B39" i="17" s="1"/>
  <c r="F47" i="17"/>
  <c r="B47" i="17" s="1"/>
  <c r="F51" i="17"/>
  <c r="B51" i="17" s="1"/>
  <c r="F42" i="17"/>
  <c r="B42" i="17" s="1"/>
  <c r="F139" i="17"/>
  <c r="B139" i="17" s="1"/>
  <c r="F138" i="17"/>
  <c r="B138" i="17" s="1"/>
  <c r="F83" i="17"/>
  <c r="B83" i="17" s="1"/>
  <c r="F46" i="17"/>
  <c r="B46" i="17" s="1"/>
  <c r="F45" i="17"/>
  <c r="B45" i="17" s="1"/>
  <c r="F48" i="17"/>
  <c r="B48" i="17" s="1"/>
  <c r="F49" i="17"/>
  <c r="B49" i="17" s="1"/>
  <c r="F50" i="17"/>
  <c r="B50" i="17" s="1"/>
  <c r="F22" i="17"/>
  <c r="B22" i="17" s="1"/>
  <c r="F100" i="17"/>
  <c r="B100" i="17" s="1"/>
  <c r="F102" i="17"/>
  <c r="B102" i="17" s="1"/>
  <c r="F54" i="17"/>
  <c r="B54" i="17" s="1"/>
  <c r="F55" i="17"/>
  <c r="B55" i="17" s="1"/>
  <c r="F21" i="17"/>
  <c r="B21" i="17" s="1"/>
  <c r="F57" i="17"/>
  <c r="B57" i="17" s="1"/>
  <c r="F58" i="17"/>
  <c r="B58" i="17" s="1"/>
  <c r="F59" i="17"/>
  <c r="B59" i="17" s="1"/>
  <c r="F60" i="17"/>
  <c r="B60" i="17" s="1"/>
  <c r="F61" i="17"/>
  <c r="B61" i="17" s="1"/>
  <c r="F19" i="17"/>
  <c r="B19" i="17" s="1"/>
  <c r="F63" i="17"/>
  <c r="B63" i="17" s="1"/>
  <c r="F64" i="17"/>
  <c r="B64" i="17" s="1"/>
  <c r="F148" i="17"/>
  <c r="B148" i="17" s="1"/>
  <c r="F146" i="17"/>
  <c r="B146" i="17" s="1"/>
  <c r="F147" i="17"/>
  <c r="B147" i="17" s="1"/>
  <c r="F123" i="17"/>
  <c r="B123" i="17" s="1"/>
  <c r="F66" i="17"/>
  <c r="B66" i="17" s="1"/>
  <c r="F122" i="17"/>
  <c r="B122" i="17" s="1"/>
  <c r="F65" i="17"/>
  <c r="B65" i="17" s="1"/>
  <c r="F20" i="17"/>
  <c r="B20" i="17" s="1"/>
  <c r="F118" i="17"/>
  <c r="B118" i="17" s="1"/>
  <c r="F74" i="17"/>
  <c r="B74" i="17" s="1"/>
  <c r="F143" i="17"/>
  <c r="B143" i="17" s="1"/>
  <c r="F76" i="17"/>
  <c r="B76" i="17" s="1"/>
  <c r="F77" i="17"/>
  <c r="B77" i="17" s="1"/>
  <c r="O97" i="22"/>
  <c r="O195" i="22" s="1"/>
  <c r="O293" i="22" s="1"/>
  <c r="P97" i="22"/>
  <c r="P195" i="22" s="1"/>
  <c r="P293" i="22" s="1"/>
  <c r="Q97" i="22"/>
  <c r="Q195" i="22" s="1"/>
  <c r="Q293" i="22" s="1"/>
  <c r="V107" i="22"/>
  <c r="W107" i="22"/>
  <c r="X107" i="22"/>
  <c r="Y107" i="22"/>
  <c r="Z107" i="22"/>
  <c r="AA107" i="22"/>
  <c r="G266" i="30"/>
  <c r="G85" i="30"/>
  <c r="G266" i="29"/>
  <c r="G85" i="29"/>
  <c r="G266" i="28"/>
  <c r="G85" i="28"/>
  <c r="G266" i="27"/>
  <c r="G85" i="27"/>
  <c r="B75" i="17"/>
  <c r="B94" i="17"/>
  <c r="B69" i="17"/>
  <c r="B6" i="17"/>
  <c r="B98" i="17"/>
  <c r="B7" i="17"/>
  <c r="G130" i="28"/>
  <c r="H130" i="28"/>
  <c r="I130" i="28"/>
  <c r="J130" i="28"/>
  <c r="K130" i="28"/>
  <c r="L130" i="28"/>
  <c r="M130" i="28"/>
  <c r="N130" i="28"/>
  <c r="O130" i="28"/>
  <c r="P130" i="28"/>
  <c r="R130" i="28"/>
  <c r="S130" i="28"/>
  <c r="T130" i="28"/>
  <c r="U130" i="28"/>
  <c r="V130" i="28"/>
  <c r="W130" i="28"/>
  <c r="X130" i="28"/>
  <c r="Y130" i="28"/>
  <c r="Z130" i="28"/>
  <c r="AA130" i="28"/>
  <c r="F72" i="18"/>
  <c r="B72" i="18" s="1"/>
  <c r="B193" i="16"/>
  <c r="B187" i="16"/>
  <c r="B180" i="16"/>
  <c r="B173" i="16"/>
  <c r="C167" i="16"/>
  <c r="F75" i="18"/>
  <c r="B75" i="18" s="1"/>
  <c r="F59" i="18"/>
  <c r="B59" i="18" s="1"/>
  <c r="F60" i="18"/>
  <c r="B60" i="18" s="1"/>
  <c r="F48" i="18"/>
  <c r="B48" i="18" s="1"/>
  <c r="F49" i="18"/>
  <c r="B49" i="18" s="1"/>
  <c r="AJ213" i="30"/>
  <c r="AJ212" i="30" s="1"/>
  <c r="AJ309" i="30" s="1"/>
  <c r="AE213" i="30"/>
  <c r="AE212" i="30" s="1"/>
  <c r="AE309" i="30" s="1"/>
  <c r="W213" i="30"/>
  <c r="O213" i="30"/>
  <c r="AI32" i="30"/>
  <c r="AI31" i="30" s="1"/>
  <c r="AI128" i="30" s="1"/>
  <c r="AA32" i="30"/>
  <c r="AA31" i="30" s="1"/>
  <c r="AA128" i="30" s="1"/>
  <c r="K32" i="30"/>
  <c r="R127" i="30"/>
  <c r="H127" i="30"/>
  <c r="AE213" i="29"/>
  <c r="AE212" i="29" s="1"/>
  <c r="AE309" i="29" s="1"/>
  <c r="AD213" i="29"/>
  <c r="W213" i="29"/>
  <c r="W212" i="29" s="1"/>
  <c r="W309" i="29" s="1"/>
  <c r="V213" i="29"/>
  <c r="V212" i="29" s="1"/>
  <c r="V309" i="29" s="1"/>
  <c r="O213" i="29"/>
  <c r="O212" i="29" s="1"/>
  <c r="O309" i="29" s="1"/>
  <c r="N213" i="29"/>
  <c r="N212" i="29" s="1"/>
  <c r="N309" i="29" s="1"/>
  <c r="AK213" i="29"/>
  <c r="AK222" i="29" s="1"/>
  <c r="AK223" i="29" s="1"/>
  <c r="AJ213" i="29"/>
  <c r="AJ212" i="29" s="1"/>
  <c r="AJ309" i="29" s="1"/>
  <c r="AK130" i="28"/>
  <c r="AJ130" i="28"/>
  <c r="AI130" i="28"/>
  <c r="AH130" i="28"/>
  <c r="AG130" i="28"/>
  <c r="AF130" i="28"/>
  <c r="AE130" i="28"/>
  <c r="AD130" i="28"/>
  <c r="AC130" i="28"/>
  <c r="AB130" i="28"/>
  <c r="I32" i="29"/>
  <c r="I41" i="29" s="1"/>
  <c r="I42" i="29" s="1"/>
  <c r="I373" i="29" s="1"/>
  <c r="M32" i="29"/>
  <c r="M31" i="29" s="1"/>
  <c r="M128" i="29" s="1"/>
  <c r="Q32" i="29"/>
  <c r="Q31" i="29" s="1"/>
  <c r="Q128" i="29" s="1"/>
  <c r="U32" i="29"/>
  <c r="U31" i="29" s="1"/>
  <c r="U128" i="29" s="1"/>
  <c r="Y32" i="29"/>
  <c r="Y31" i="29" s="1"/>
  <c r="Y128" i="29" s="1"/>
  <c r="AC32" i="29"/>
  <c r="AC31" i="29" s="1"/>
  <c r="AC128" i="29" s="1"/>
  <c r="AG32" i="29"/>
  <c r="AK32" i="29"/>
  <c r="AK31" i="29" s="1"/>
  <c r="AK128" i="29" s="1"/>
  <c r="J32" i="29"/>
  <c r="J31" i="29" s="1"/>
  <c r="J128" i="29" s="1"/>
  <c r="R32" i="29"/>
  <c r="R31" i="29" s="1"/>
  <c r="R128" i="29" s="1"/>
  <c r="Z32" i="29"/>
  <c r="AH32" i="29"/>
  <c r="AH31" i="29" s="1"/>
  <c r="AH128" i="29" s="1"/>
  <c r="H213" i="30"/>
  <c r="H212" i="30" s="1"/>
  <c r="H309" i="30" s="1"/>
  <c r="L213" i="30"/>
  <c r="L212" i="30" s="1"/>
  <c r="L309" i="30" s="1"/>
  <c r="P213" i="30"/>
  <c r="P222" i="30" s="1"/>
  <c r="P223" i="30" s="1"/>
  <c r="X213" i="30"/>
  <c r="X212" i="30" s="1"/>
  <c r="X309" i="30" s="1"/>
  <c r="AB213" i="30"/>
  <c r="AB212" i="30" s="1"/>
  <c r="AB309" i="30" s="1"/>
  <c r="AF213" i="30"/>
  <c r="S32" i="29"/>
  <c r="S31" i="29" s="1"/>
  <c r="S128" i="29" s="1"/>
  <c r="AI213" i="29"/>
  <c r="AI212" i="29" s="1"/>
  <c r="AI309" i="29" s="1"/>
  <c r="T32" i="29"/>
  <c r="T31" i="29" s="1"/>
  <c r="T128" i="29" s="1"/>
  <c r="AB32" i="29"/>
  <c r="AB31" i="29" s="1"/>
  <c r="AB128" i="29" s="1"/>
  <c r="AJ32" i="29"/>
  <c r="AJ31" i="29" s="1"/>
  <c r="AJ128" i="29" s="1"/>
  <c r="T213" i="30"/>
  <c r="T212" i="30" s="1"/>
  <c r="T309" i="30" s="1"/>
  <c r="I32" i="30"/>
  <c r="I31" i="30" s="1"/>
  <c r="I128" i="30" s="1"/>
  <c r="M32" i="30"/>
  <c r="Q32" i="30"/>
  <c r="Y32" i="30"/>
  <c r="AG32" i="30"/>
  <c r="AG31" i="30" s="1"/>
  <c r="AG128" i="30" s="1"/>
  <c r="O32" i="30"/>
  <c r="O31" i="30" s="1"/>
  <c r="O128" i="30" s="1"/>
  <c r="W32" i="30"/>
  <c r="AE32" i="30"/>
  <c r="U32" i="30"/>
  <c r="U31" i="30" s="1"/>
  <c r="U128" i="30" s="1"/>
  <c r="AC32" i="30"/>
  <c r="J32" i="30"/>
  <c r="J31" i="30" s="1"/>
  <c r="J128" i="30" s="1"/>
  <c r="Z32" i="30"/>
  <c r="Z31" i="30" s="1"/>
  <c r="Z128" i="30" s="1"/>
  <c r="AH32" i="30"/>
  <c r="K32" i="29"/>
  <c r="K31" i="29" s="1"/>
  <c r="K128" i="29" s="1"/>
  <c r="AA32" i="29"/>
  <c r="AI32" i="29"/>
  <c r="AI31" i="29" s="1"/>
  <c r="AI128" i="29" s="1"/>
  <c r="H213" i="29"/>
  <c r="H212" i="29" s="1"/>
  <c r="H309" i="29" s="1"/>
  <c r="P213" i="29"/>
  <c r="P212" i="29" s="1"/>
  <c r="P309" i="29" s="1"/>
  <c r="X213" i="29"/>
  <c r="AF213" i="29"/>
  <c r="AF212" i="29" s="1"/>
  <c r="AF309" i="29" s="1"/>
  <c r="I213" i="30"/>
  <c r="I212" i="30" s="1"/>
  <c r="I309" i="30" s="1"/>
  <c r="Q213" i="30"/>
  <c r="Q212" i="30" s="1"/>
  <c r="Q309" i="30" s="1"/>
  <c r="Y213" i="30"/>
  <c r="Y212" i="30" s="1"/>
  <c r="Y309" i="30" s="1"/>
  <c r="AG213" i="30"/>
  <c r="AG212" i="30" s="1"/>
  <c r="AG309" i="30" s="1"/>
  <c r="L32" i="29"/>
  <c r="L31" i="29" s="1"/>
  <c r="L128" i="29" s="1"/>
  <c r="I213" i="29"/>
  <c r="I212" i="29" s="1"/>
  <c r="I309" i="29" s="1"/>
  <c r="Q213" i="29"/>
  <c r="Q212" i="29" s="1"/>
  <c r="Q309" i="29" s="1"/>
  <c r="Y213" i="29"/>
  <c r="Y212" i="29" s="1"/>
  <c r="Y309" i="29" s="1"/>
  <c r="AG213" i="29"/>
  <c r="AG212" i="29" s="1"/>
  <c r="AG309" i="29" s="1"/>
  <c r="L32" i="30"/>
  <c r="T32" i="30"/>
  <c r="AB32" i="30"/>
  <c r="AB31" i="30" s="1"/>
  <c r="AB128" i="30" s="1"/>
  <c r="AJ32" i="30"/>
  <c r="AJ31" i="30" s="1"/>
  <c r="AJ128" i="30" s="1"/>
  <c r="J213" i="30"/>
  <c r="R213" i="30"/>
  <c r="R212" i="30" s="1"/>
  <c r="R309" i="30" s="1"/>
  <c r="Z213" i="30"/>
  <c r="Z212" i="30" s="1"/>
  <c r="Z309" i="30" s="1"/>
  <c r="AH213" i="30"/>
  <c r="J213" i="29"/>
  <c r="J212" i="29" s="1"/>
  <c r="J309" i="29" s="1"/>
  <c r="R213" i="29"/>
  <c r="R212" i="29" s="1"/>
  <c r="R309" i="29" s="1"/>
  <c r="Z213" i="29"/>
  <c r="Z212" i="29" s="1"/>
  <c r="Z309" i="29" s="1"/>
  <c r="AH213" i="29"/>
  <c r="AK32" i="30"/>
  <c r="AK31" i="30" s="1"/>
  <c r="AK128" i="30" s="1"/>
  <c r="K213" i="30"/>
  <c r="K212" i="30" s="1"/>
  <c r="K309" i="30" s="1"/>
  <c r="S213" i="30"/>
  <c r="AA213" i="30"/>
  <c r="AA212" i="30" s="1"/>
  <c r="AA309" i="30" s="1"/>
  <c r="AI213" i="30"/>
  <c r="AI212" i="30" s="1"/>
  <c r="AI309" i="30" s="1"/>
  <c r="N32" i="29"/>
  <c r="N31" i="29" s="1"/>
  <c r="N128" i="29" s="1"/>
  <c r="V32" i="29"/>
  <c r="V31" i="29" s="1"/>
  <c r="V128" i="29" s="1"/>
  <c r="AD32" i="29"/>
  <c r="AD31" i="29" s="1"/>
  <c r="AD128" i="29" s="1"/>
  <c r="K213" i="29"/>
  <c r="AA213" i="29"/>
  <c r="AA212" i="29" s="1"/>
  <c r="AA309" i="29" s="1"/>
  <c r="N32" i="30"/>
  <c r="V32" i="30"/>
  <c r="AD32" i="30"/>
  <c r="AD31" i="30" s="1"/>
  <c r="AD128" i="30" s="1"/>
  <c r="O32" i="29"/>
  <c r="O31" i="29" s="1"/>
  <c r="O128" i="29" s="1"/>
  <c r="W32" i="29"/>
  <c r="W31" i="29" s="1"/>
  <c r="W128" i="29" s="1"/>
  <c r="AE32" i="29"/>
  <c r="AE31" i="29" s="1"/>
  <c r="AE128" i="29" s="1"/>
  <c r="L213" i="29"/>
  <c r="L212" i="29" s="1"/>
  <c r="L309" i="29" s="1"/>
  <c r="T213" i="29"/>
  <c r="T212" i="29" s="1"/>
  <c r="T309" i="29" s="1"/>
  <c r="AB213" i="29"/>
  <c r="AB212" i="29" s="1"/>
  <c r="AB309" i="29" s="1"/>
  <c r="M213" i="30"/>
  <c r="U213" i="30"/>
  <c r="AC213" i="30"/>
  <c r="AK213" i="30"/>
  <c r="AK222" i="30" s="1"/>
  <c r="AK223" i="30" s="1"/>
  <c r="AK391" i="30" s="1"/>
  <c r="H32" i="29"/>
  <c r="H31" i="29" s="1"/>
  <c r="H128" i="29" s="1"/>
  <c r="P32" i="29"/>
  <c r="P31" i="29" s="1"/>
  <c r="P128" i="29" s="1"/>
  <c r="X32" i="29"/>
  <c r="X31" i="29" s="1"/>
  <c r="X128" i="29" s="1"/>
  <c r="AF32" i="29"/>
  <c r="M213" i="29"/>
  <c r="M212" i="29" s="1"/>
  <c r="M309" i="29" s="1"/>
  <c r="U213" i="29"/>
  <c r="U212" i="29" s="1"/>
  <c r="U309" i="29" s="1"/>
  <c r="AC213" i="29"/>
  <c r="H32" i="30"/>
  <c r="H31" i="30" s="1"/>
  <c r="H128" i="30" s="1"/>
  <c r="P32" i="30"/>
  <c r="P31" i="30" s="1"/>
  <c r="P128" i="30" s="1"/>
  <c r="X32" i="30"/>
  <c r="X31" i="30" s="1"/>
  <c r="X128" i="30" s="1"/>
  <c r="AF32" i="30"/>
  <c r="AF31" i="30" s="1"/>
  <c r="AF128" i="30" s="1"/>
  <c r="N213" i="30"/>
  <c r="V213" i="30"/>
  <c r="AD213" i="30"/>
  <c r="AD212" i="30" s="1"/>
  <c r="AD309" i="30" s="1"/>
  <c r="S213" i="29"/>
  <c r="S212" i="29" s="1"/>
  <c r="S309" i="29" s="1"/>
  <c r="E76" i="26"/>
  <c r="M67" i="22"/>
  <c r="R45" i="22"/>
  <c r="Q45" i="22"/>
  <c r="P45" i="22"/>
  <c r="O45" i="22"/>
  <c r="N45" i="22"/>
  <c r="M45" i="22"/>
  <c r="R36" i="22"/>
  <c r="Q36" i="22"/>
  <c r="P36" i="22"/>
  <c r="O36" i="22"/>
  <c r="N36" i="22"/>
  <c r="M36" i="22"/>
  <c r="R41" i="22"/>
  <c r="R32" i="22"/>
  <c r="M68" i="22"/>
  <c r="N41" i="22"/>
  <c r="O41" i="22"/>
  <c r="P41" i="22"/>
  <c r="Q41" i="22"/>
  <c r="M41" i="22"/>
  <c r="N32" i="22"/>
  <c r="O32" i="22"/>
  <c r="P32" i="22"/>
  <c r="Q32" i="22"/>
  <c r="M32" i="22"/>
  <c r="F7" i="18"/>
  <c r="B7" i="18" s="1"/>
  <c r="F16" i="18"/>
  <c r="B16" i="18" s="1"/>
  <c r="B20" i="18"/>
  <c r="B21" i="18"/>
  <c r="F23" i="18"/>
  <c r="B23" i="18" s="1"/>
  <c r="B24" i="18"/>
  <c r="F25" i="18"/>
  <c r="B25" i="18" s="1"/>
  <c r="N194" i="22"/>
  <c r="N292" i="22" s="1"/>
  <c r="O194" i="22"/>
  <c r="O292" i="22" s="1"/>
  <c r="P194" i="22"/>
  <c r="P292" i="22" s="1"/>
  <c r="Q194" i="22"/>
  <c r="Q292" i="22" s="1"/>
  <c r="M194" i="22"/>
  <c r="M292" i="22" s="1"/>
  <c r="I266" i="30"/>
  <c r="L266" i="30"/>
  <c r="AK85" i="28"/>
  <c r="I85" i="29"/>
  <c r="L85" i="29"/>
  <c r="K266" i="29"/>
  <c r="AF266" i="29"/>
  <c r="X266" i="29"/>
  <c r="P266" i="29"/>
  <c r="AG85" i="30"/>
  <c r="Y85" i="30"/>
  <c r="Q85" i="30"/>
  <c r="I85" i="30"/>
  <c r="AK266" i="30"/>
  <c r="AC266" i="30"/>
  <c r="U266" i="30"/>
  <c r="M266" i="30"/>
  <c r="U85" i="28"/>
  <c r="AI266" i="29"/>
  <c r="AA266" i="29"/>
  <c r="S266" i="29"/>
  <c r="Z266" i="28"/>
  <c r="Z85" i="29"/>
  <c r="AF85" i="28"/>
  <c r="P85" i="28"/>
  <c r="W85" i="28"/>
  <c r="J266" i="28"/>
  <c r="AJ266" i="28"/>
  <c r="AB266" i="28"/>
  <c r="T266" i="28"/>
  <c r="AJ85" i="29"/>
  <c r="AB85" i="29"/>
  <c r="T85" i="29"/>
  <c r="H266" i="29"/>
  <c r="AH266" i="29"/>
  <c r="Z266" i="29"/>
  <c r="R266" i="29"/>
  <c r="AI85" i="30"/>
  <c r="AA85" i="30"/>
  <c r="S85" i="30"/>
  <c r="K85" i="30"/>
  <c r="AE266" i="30"/>
  <c r="W266" i="30"/>
  <c r="O266" i="30"/>
  <c r="R85" i="29"/>
  <c r="X85" i="28"/>
  <c r="AE85" i="28"/>
  <c r="O85" i="28"/>
  <c r="L85" i="28"/>
  <c r="M85" i="28"/>
  <c r="AD85" i="28"/>
  <c r="V85" i="28"/>
  <c r="N85" i="28"/>
  <c r="H266" i="28"/>
  <c r="I266" i="28"/>
  <c r="AI266" i="28"/>
  <c r="AA266" i="28"/>
  <c r="S266" i="28"/>
  <c r="H85" i="29"/>
  <c r="AI85" i="29"/>
  <c r="AA85" i="29"/>
  <c r="S85" i="29"/>
  <c r="L266" i="29"/>
  <c r="AG266" i="29"/>
  <c r="Y266" i="29"/>
  <c r="Q266" i="29"/>
  <c r="AH85" i="30"/>
  <c r="Z85" i="30"/>
  <c r="R85" i="30"/>
  <c r="J85" i="30"/>
  <c r="AD266" i="30"/>
  <c r="V266" i="30"/>
  <c r="N266" i="30"/>
  <c r="AH85" i="29"/>
  <c r="J85" i="28"/>
  <c r="AJ85" i="28"/>
  <c r="AB85" i="28"/>
  <c r="T85" i="28"/>
  <c r="AG266" i="28"/>
  <c r="Y266" i="28"/>
  <c r="Q266" i="28"/>
  <c r="K85" i="29"/>
  <c r="AG85" i="29"/>
  <c r="Y85" i="29"/>
  <c r="Q85" i="29"/>
  <c r="J266" i="29"/>
  <c r="AE266" i="29"/>
  <c r="W266" i="29"/>
  <c r="O266" i="29"/>
  <c r="AF85" i="30"/>
  <c r="X85" i="30"/>
  <c r="P85" i="30"/>
  <c r="AJ266" i="30"/>
  <c r="AB266" i="30"/>
  <c r="T266" i="30"/>
  <c r="AC85" i="28"/>
  <c r="H85" i="28"/>
  <c r="I85" i="28"/>
  <c r="AI85" i="28"/>
  <c r="AA85" i="28"/>
  <c r="S85" i="28"/>
  <c r="AF266" i="28"/>
  <c r="X266" i="28"/>
  <c r="P266" i="28"/>
  <c r="J85" i="29"/>
  <c r="AF85" i="29"/>
  <c r="X85" i="29"/>
  <c r="P85" i="29"/>
  <c r="I266" i="29"/>
  <c r="AD266" i="29"/>
  <c r="V266" i="29"/>
  <c r="N266" i="29"/>
  <c r="AE85" i="30"/>
  <c r="W85" i="30"/>
  <c r="H266" i="30"/>
  <c r="AI266" i="30"/>
  <c r="AA266" i="30"/>
  <c r="S266" i="30"/>
  <c r="K85" i="28"/>
  <c r="R266" i="28"/>
  <c r="AH85" i="28"/>
  <c r="Z85" i="28"/>
  <c r="R85" i="28"/>
  <c r="AE266" i="28"/>
  <c r="W266" i="28"/>
  <c r="O266" i="28"/>
  <c r="AE85" i="29"/>
  <c r="W85" i="29"/>
  <c r="O85" i="29"/>
  <c r="AK266" i="29"/>
  <c r="AC266" i="29"/>
  <c r="U266" i="29"/>
  <c r="M266" i="29"/>
  <c r="AD85" i="30"/>
  <c r="V85" i="30"/>
  <c r="N85" i="30"/>
  <c r="AH266" i="30"/>
  <c r="Z266" i="30"/>
  <c r="R266" i="30"/>
  <c r="AG85" i="28"/>
  <c r="Y85" i="28"/>
  <c r="Q85" i="28"/>
  <c r="L266" i="28"/>
  <c r="M266" i="28"/>
  <c r="AD266" i="28"/>
  <c r="V266" i="28"/>
  <c r="N266" i="28"/>
  <c r="M85" i="29"/>
  <c r="AD85" i="29"/>
  <c r="V85" i="29"/>
  <c r="N85" i="29"/>
  <c r="AJ266" i="29"/>
  <c r="AB266" i="29"/>
  <c r="T266" i="29"/>
  <c r="AK85" i="30"/>
  <c r="AC85" i="30"/>
  <c r="U85" i="30"/>
  <c r="M85" i="30"/>
  <c r="K266" i="30"/>
  <c r="AG266" i="30"/>
  <c r="Y266" i="30"/>
  <c r="Q266" i="30"/>
  <c r="AH266" i="28"/>
  <c r="K266" i="28"/>
  <c r="AK266" i="28"/>
  <c r="AC266" i="28"/>
  <c r="U266" i="28"/>
  <c r="AK85" i="29"/>
  <c r="AC85" i="29"/>
  <c r="U85" i="29"/>
  <c r="H85" i="30"/>
  <c r="AJ85" i="30"/>
  <c r="AB85" i="30"/>
  <c r="T85" i="30"/>
  <c r="L85" i="30"/>
  <c r="J266" i="30"/>
  <c r="AF266" i="30"/>
  <c r="X266" i="30"/>
  <c r="P266" i="30"/>
  <c r="AF230" i="28"/>
  <c r="X230" i="28"/>
  <c r="P230" i="28"/>
  <c r="AH230" i="28"/>
  <c r="Z230" i="28"/>
  <c r="AI232" i="28"/>
  <c r="AD230" i="28"/>
  <c r="V230" i="28"/>
  <c r="N230" i="28"/>
  <c r="AJ230" i="28"/>
  <c r="AB230" i="28"/>
  <c r="T230" i="28"/>
  <c r="R230" i="28"/>
  <c r="AJ232" i="28"/>
  <c r="AF232" i="28"/>
  <c r="AB232" i="28"/>
  <c r="X232" i="28"/>
  <c r="T232" i="28"/>
  <c r="P232" i="28"/>
  <c r="AH231" i="28"/>
  <c r="AD231" i="28"/>
  <c r="Z231" i="28"/>
  <c r="V231" i="28"/>
  <c r="R231" i="28"/>
  <c r="N231" i="28"/>
  <c r="S232" i="28"/>
  <c r="AC231" i="28"/>
  <c r="AK230" i="28"/>
  <c r="Q230" i="28"/>
  <c r="AG230" i="28"/>
  <c r="AC230" i="28"/>
  <c r="Y230" i="28"/>
  <c r="U230" i="28"/>
  <c r="AH233" i="28"/>
  <c r="AD233" i="28"/>
  <c r="Z233" i="28"/>
  <c r="V233" i="28"/>
  <c r="R233" i="28"/>
  <c r="N233" i="28"/>
  <c r="AJ231" i="28"/>
  <c r="AF231" i="28"/>
  <c r="AB231" i="28"/>
  <c r="X231" i="28"/>
  <c r="T231" i="28"/>
  <c r="P231" i="28"/>
  <c r="AE232" i="28"/>
  <c r="AA232" i="28"/>
  <c r="W232" i="28"/>
  <c r="O232" i="28"/>
  <c r="AK231" i="28"/>
  <c r="AG231" i="28"/>
  <c r="Y231" i="28"/>
  <c r="U231" i="28"/>
  <c r="Q231" i="28"/>
  <c r="AK232" i="28"/>
  <c r="AK233" i="28"/>
  <c r="AG232" i="28"/>
  <c r="AG233" i="28"/>
  <c r="AC233" i="28"/>
  <c r="AC232" i="28"/>
  <c r="Y232" i="28"/>
  <c r="Y233" i="28"/>
  <c r="U232" i="28"/>
  <c r="U233" i="28"/>
  <c r="Q233" i="28"/>
  <c r="Q232" i="28"/>
  <c r="AI231" i="28"/>
  <c r="AI233" i="28"/>
  <c r="AE231" i="28"/>
  <c r="AE233" i="28"/>
  <c r="AA231" i="28"/>
  <c r="AA233" i="28"/>
  <c r="W231" i="28"/>
  <c r="W233" i="28"/>
  <c r="S231" i="28"/>
  <c r="S233" i="28"/>
  <c r="O231" i="28"/>
  <c r="O233" i="28"/>
  <c r="AI230" i="28"/>
  <c r="AE230" i="28"/>
  <c r="AA230" i="28"/>
  <c r="W230" i="28"/>
  <c r="S230" i="28"/>
  <c r="O230" i="28"/>
  <c r="AJ233" i="28"/>
  <c r="AF233" i="28"/>
  <c r="AB233" i="28"/>
  <c r="X233" i="28"/>
  <c r="T233" i="28"/>
  <c r="P233" i="28"/>
  <c r="AH232" i="28"/>
  <c r="AD232" i="28"/>
  <c r="Z232" i="28"/>
  <c r="V232" i="28"/>
  <c r="R232" i="28"/>
  <c r="N232" i="28"/>
  <c r="H266" i="27"/>
  <c r="N85" i="27"/>
  <c r="O85" i="27"/>
  <c r="P85" i="27"/>
  <c r="Q85" i="27"/>
  <c r="S85" i="27"/>
  <c r="T85" i="27"/>
  <c r="U85" i="27"/>
  <c r="V85" i="27"/>
  <c r="W85" i="27"/>
  <c r="X85" i="27"/>
  <c r="Y85" i="27"/>
  <c r="Z85" i="27"/>
  <c r="AA85" i="27"/>
  <c r="AB85" i="27"/>
  <c r="AC85" i="27"/>
  <c r="AD85" i="27"/>
  <c r="AE85" i="27"/>
  <c r="AF85" i="27"/>
  <c r="AG85" i="27"/>
  <c r="AH85" i="27"/>
  <c r="AI85" i="27"/>
  <c r="AJ85" i="27"/>
  <c r="AK85" i="27"/>
  <c r="I85" i="27"/>
  <c r="K85" i="27"/>
  <c r="L85" i="27"/>
  <c r="J337" i="28"/>
  <c r="K337" i="28" s="1"/>
  <c r="L337" i="28" s="1"/>
  <c r="M337" i="28" s="1"/>
  <c r="N337" i="28" s="1"/>
  <c r="O337" i="28" s="1"/>
  <c r="P337" i="28" s="1"/>
  <c r="Q337" i="28" s="1"/>
  <c r="R337" i="28" s="1"/>
  <c r="S337" i="28" s="1"/>
  <c r="T337" i="28" s="1"/>
  <c r="U337" i="28" s="1"/>
  <c r="V337" i="28" s="1"/>
  <c r="W337" i="28" s="1"/>
  <c r="X337" i="28" s="1"/>
  <c r="Y337" i="28" s="1"/>
  <c r="Z337" i="28" s="1"/>
  <c r="AA337" i="28" s="1"/>
  <c r="AB337" i="28" s="1"/>
  <c r="AC337" i="28" s="1"/>
  <c r="AD337" i="28" s="1"/>
  <c r="AE337" i="28" s="1"/>
  <c r="AF337" i="28" s="1"/>
  <c r="AG337" i="28" s="1"/>
  <c r="AH337" i="28" s="1"/>
  <c r="AI337" i="28" s="1"/>
  <c r="AJ337" i="28" s="1"/>
  <c r="AK337" i="28" s="1"/>
  <c r="AK353" i="28" s="1"/>
  <c r="J156" i="28"/>
  <c r="K156" i="28" s="1"/>
  <c r="J66" i="28"/>
  <c r="K66" i="28" s="1"/>
  <c r="J337" i="29"/>
  <c r="K337" i="29" s="1"/>
  <c r="L337" i="29" s="1"/>
  <c r="M337" i="29" s="1"/>
  <c r="N337" i="29" s="1"/>
  <c r="O337" i="29" s="1"/>
  <c r="P337" i="29" s="1"/>
  <c r="Q337" i="29" s="1"/>
  <c r="R337" i="29" s="1"/>
  <c r="S337" i="29" s="1"/>
  <c r="T337" i="29" s="1"/>
  <c r="U337" i="29" s="1"/>
  <c r="V337" i="29" s="1"/>
  <c r="W337" i="29" s="1"/>
  <c r="X337" i="29" s="1"/>
  <c r="Y337" i="29" s="1"/>
  <c r="Z337" i="29" s="1"/>
  <c r="AA337" i="29" s="1"/>
  <c r="AB337" i="29" s="1"/>
  <c r="AC337" i="29" s="1"/>
  <c r="AD337" i="29" s="1"/>
  <c r="AE337" i="29" s="1"/>
  <c r="AF337" i="29" s="1"/>
  <c r="AG337" i="29" s="1"/>
  <c r="AH337" i="29" s="1"/>
  <c r="AI337" i="29" s="1"/>
  <c r="AJ337" i="29" s="1"/>
  <c r="AK337" i="29" s="1"/>
  <c r="AK347" i="29" s="1"/>
  <c r="J247" i="29"/>
  <c r="K247" i="29" s="1"/>
  <c r="L247" i="29" s="1"/>
  <c r="M247" i="29" s="1"/>
  <c r="N247" i="29" s="1"/>
  <c r="O247" i="29" s="1"/>
  <c r="P247" i="29" s="1"/>
  <c r="Q247" i="29" s="1"/>
  <c r="R247" i="29" s="1"/>
  <c r="S247" i="29" s="1"/>
  <c r="T247" i="29" s="1"/>
  <c r="U247" i="29" s="1"/>
  <c r="V247" i="29" s="1"/>
  <c r="W247" i="29" s="1"/>
  <c r="X247" i="29" s="1"/>
  <c r="Y247" i="29" s="1"/>
  <c r="Z247" i="29" s="1"/>
  <c r="AA247" i="29" s="1"/>
  <c r="AB247" i="29" s="1"/>
  <c r="AC247" i="29" s="1"/>
  <c r="AD247" i="29" s="1"/>
  <c r="AE247" i="29" s="1"/>
  <c r="AF247" i="29" s="1"/>
  <c r="AG247" i="29" s="1"/>
  <c r="AH247" i="29" s="1"/>
  <c r="AI247" i="29" s="1"/>
  <c r="AJ247" i="29" s="1"/>
  <c r="AK247" i="29" s="1"/>
  <c r="AK264" i="29" s="1"/>
  <c r="J156" i="29"/>
  <c r="K156" i="29" s="1"/>
  <c r="L156" i="29" s="1"/>
  <c r="M156" i="29" s="1"/>
  <c r="N156" i="29" s="1"/>
  <c r="O156" i="29" s="1"/>
  <c r="P156" i="29" s="1"/>
  <c r="Q156" i="29" s="1"/>
  <c r="R156" i="29" s="1"/>
  <c r="S156" i="29" s="1"/>
  <c r="T156" i="29" s="1"/>
  <c r="U156" i="29" s="1"/>
  <c r="V156" i="29" s="1"/>
  <c r="W156" i="29" s="1"/>
  <c r="X156" i="29" s="1"/>
  <c r="Y156" i="29" s="1"/>
  <c r="Z156" i="29" s="1"/>
  <c r="AA156" i="29" s="1"/>
  <c r="AB156" i="29" s="1"/>
  <c r="AC156" i="29" s="1"/>
  <c r="AD156" i="29" s="1"/>
  <c r="AE156" i="29" s="1"/>
  <c r="AF156" i="29" s="1"/>
  <c r="AG156" i="29" s="1"/>
  <c r="AH156" i="29" s="1"/>
  <c r="AI156" i="29" s="1"/>
  <c r="AJ156" i="29" s="1"/>
  <c r="AK156" i="29" s="1"/>
  <c r="AK173" i="29" s="1"/>
  <c r="J66" i="29"/>
  <c r="K66" i="29" s="1"/>
  <c r="J337" i="30"/>
  <c r="K337" i="30" s="1"/>
  <c r="J247" i="30"/>
  <c r="K247" i="30" s="1"/>
  <c r="H85" i="27"/>
  <c r="M85" i="27"/>
  <c r="J85" i="27"/>
  <c r="J247" i="27"/>
  <c r="K247" i="27" s="1"/>
  <c r="L247" i="27" s="1"/>
  <c r="M247" i="27" s="1"/>
  <c r="N247" i="27" s="1"/>
  <c r="O247" i="27" s="1"/>
  <c r="P247" i="27" s="1"/>
  <c r="Q247" i="27" s="1"/>
  <c r="R247" i="27" s="1"/>
  <c r="S247" i="27" s="1"/>
  <c r="T247" i="27" s="1"/>
  <c r="U247" i="27" s="1"/>
  <c r="V247" i="27" s="1"/>
  <c r="W247" i="27" s="1"/>
  <c r="X247" i="27" s="1"/>
  <c r="Y247" i="27" s="1"/>
  <c r="Z247" i="27" s="1"/>
  <c r="AA247" i="27" s="1"/>
  <c r="AB247" i="27" s="1"/>
  <c r="AC247" i="27" s="1"/>
  <c r="AD247" i="27" s="1"/>
  <c r="AE247" i="27" s="1"/>
  <c r="AF247" i="27" s="1"/>
  <c r="AG247" i="27" s="1"/>
  <c r="AH247" i="27" s="1"/>
  <c r="AI247" i="27" s="1"/>
  <c r="AJ247" i="27" s="1"/>
  <c r="AK247" i="27" s="1"/>
  <c r="AK257" i="27" s="1"/>
  <c r="J337" i="27"/>
  <c r="K337" i="27" s="1"/>
  <c r="J156" i="27"/>
  <c r="K156" i="27" s="1"/>
  <c r="L156" i="27" s="1"/>
  <c r="M156" i="27" s="1"/>
  <c r="N156" i="27" s="1"/>
  <c r="N173" i="27" s="1"/>
  <c r="J36" i="3"/>
  <c r="CG79" i="15"/>
  <c r="CF79" i="15"/>
  <c r="CE79" i="15"/>
  <c r="CD79" i="15"/>
  <c r="CC79" i="15"/>
  <c r="CB79" i="15"/>
  <c r="CA79" i="15"/>
  <c r="BZ79" i="15"/>
  <c r="BY79" i="15"/>
  <c r="BX79" i="15"/>
  <c r="BW79" i="15"/>
  <c r="BV79" i="15"/>
  <c r="BU79" i="15"/>
  <c r="BT79" i="15"/>
  <c r="BS79" i="15"/>
  <c r="BR79" i="15"/>
  <c r="BQ79" i="15"/>
  <c r="BP79" i="15"/>
  <c r="BO79" i="15"/>
  <c r="BN79" i="15"/>
  <c r="BM79" i="15"/>
  <c r="BL79" i="15"/>
  <c r="BK79" i="15"/>
  <c r="BJ79" i="15"/>
  <c r="BI79" i="15"/>
  <c r="BH79" i="15"/>
  <c r="BG79" i="15"/>
  <c r="BF79" i="15"/>
  <c r="BE79" i="15"/>
  <c r="BD79" i="15"/>
  <c r="BC79" i="15"/>
  <c r="BB79" i="15"/>
  <c r="BA79" i="15"/>
  <c r="AZ79" i="15"/>
  <c r="AY79" i="15"/>
  <c r="AX79" i="15"/>
  <c r="AW79" i="15"/>
  <c r="AV79" i="15"/>
  <c r="AU79" i="15"/>
  <c r="AT79" i="15"/>
  <c r="AS79" i="15"/>
  <c r="AR79" i="15"/>
  <c r="AQ79" i="15"/>
  <c r="AP79" i="15"/>
  <c r="AO79" i="15"/>
  <c r="AN79" i="15"/>
  <c r="AM79" i="15"/>
  <c r="AL79" i="15"/>
  <c r="AK59" i="15"/>
  <c r="AJ59" i="15"/>
  <c r="AI59" i="15"/>
  <c r="AH59" i="15"/>
  <c r="AG59" i="15"/>
  <c r="AF59" i="15"/>
  <c r="AE59" i="15"/>
  <c r="AD59" i="15"/>
  <c r="AC59" i="15"/>
  <c r="AB59" i="15"/>
  <c r="AA59" i="15"/>
  <c r="Z59" i="15"/>
  <c r="Y59" i="15"/>
  <c r="X59" i="15"/>
  <c r="W59" i="15"/>
  <c r="V59" i="15"/>
  <c r="U59" i="15"/>
  <c r="T59" i="15"/>
  <c r="S59" i="15"/>
  <c r="R59" i="15"/>
  <c r="Q59" i="15"/>
  <c r="P59" i="15"/>
  <c r="O59" i="15"/>
  <c r="N59" i="15"/>
  <c r="M59" i="15"/>
  <c r="L59" i="15"/>
  <c r="K59" i="15"/>
  <c r="J59" i="15"/>
  <c r="I59" i="15"/>
  <c r="H59" i="15"/>
  <c r="G59" i="15"/>
  <c r="G58" i="15"/>
  <c r="AK57" i="15"/>
  <c r="AJ57" i="15"/>
  <c r="AI57" i="15"/>
  <c r="AH57" i="15"/>
  <c r="AG57" i="15"/>
  <c r="AF57" i="15"/>
  <c r="AE57" i="15"/>
  <c r="AD57" i="15"/>
  <c r="AC57" i="15"/>
  <c r="AB57" i="15"/>
  <c r="AA57" i="15"/>
  <c r="Z57" i="15"/>
  <c r="Y57" i="15"/>
  <c r="X57" i="15"/>
  <c r="W57" i="15"/>
  <c r="V57" i="15"/>
  <c r="U57" i="15"/>
  <c r="T57" i="15"/>
  <c r="S57" i="15"/>
  <c r="R57" i="15"/>
  <c r="Q57" i="15"/>
  <c r="P57" i="15"/>
  <c r="O57" i="15"/>
  <c r="N57" i="15"/>
  <c r="M57" i="15"/>
  <c r="L57" i="15"/>
  <c r="K57" i="15"/>
  <c r="J57" i="15"/>
  <c r="I57" i="15"/>
  <c r="H57" i="15"/>
  <c r="G57" i="15"/>
  <c r="AK56" i="15"/>
  <c r="AJ56" i="15"/>
  <c r="AI56" i="15"/>
  <c r="AH56" i="15"/>
  <c r="AG56" i="15"/>
  <c r="AF56" i="15"/>
  <c r="AE56" i="15"/>
  <c r="AD56" i="15"/>
  <c r="AC56" i="15"/>
  <c r="AB56" i="15"/>
  <c r="AA56" i="15"/>
  <c r="Z56" i="15"/>
  <c r="Y56" i="15"/>
  <c r="X56" i="15"/>
  <c r="W56" i="15"/>
  <c r="V56" i="15"/>
  <c r="U56" i="15"/>
  <c r="T56" i="15"/>
  <c r="S56" i="15"/>
  <c r="R56" i="15"/>
  <c r="Q56" i="15"/>
  <c r="P56" i="15"/>
  <c r="O56" i="15"/>
  <c r="N56" i="15"/>
  <c r="M56" i="15"/>
  <c r="L56" i="15"/>
  <c r="K56" i="15"/>
  <c r="J56" i="15"/>
  <c r="I56" i="15"/>
  <c r="H56" i="15"/>
  <c r="G56" i="15"/>
  <c r="AK118" i="19"/>
  <c r="AJ118" i="19"/>
  <c r="AI118" i="19"/>
  <c r="AH118" i="19"/>
  <c r="AG118" i="19"/>
  <c r="AF118" i="19"/>
  <c r="AE118" i="19"/>
  <c r="AD118" i="19"/>
  <c r="AC118" i="19"/>
  <c r="AB118" i="19"/>
  <c r="AA118" i="19"/>
  <c r="Z118" i="19"/>
  <c r="Y118" i="19"/>
  <c r="X118" i="19"/>
  <c r="W118" i="19"/>
  <c r="V118" i="19"/>
  <c r="U118" i="19"/>
  <c r="T118" i="19"/>
  <c r="S118" i="19"/>
  <c r="R118" i="19"/>
  <c r="Q118" i="19"/>
  <c r="P118" i="19"/>
  <c r="O118" i="19"/>
  <c r="N118" i="19"/>
  <c r="M118" i="19"/>
  <c r="L118" i="19"/>
  <c r="K118" i="19"/>
  <c r="J118" i="19"/>
  <c r="C104" i="19"/>
  <c r="AK388" i="30"/>
  <c r="AJ388" i="30"/>
  <c r="AI388" i="30"/>
  <c r="AH388" i="30"/>
  <c r="AG388" i="30"/>
  <c r="AF388" i="30"/>
  <c r="AE388" i="30"/>
  <c r="AD388" i="30"/>
  <c r="AC388" i="30"/>
  <c r="AB388" i="30"/>
  <c r="AA388" i="30"/>
  <c r="Z388" i="30"/>
  <c r="Y388" i="30"/>
  <c r="X388" i="30"/>
  <c r="W388" i="30"/>
  <c r="V388" i="30"/>
  <c r="U388" i="30"/>
  <c r="T388" i="30"/>
  <c r="S388" i="30"/>
  <c r="R388" i="30"/>
  <c r="Q388" i="30"/>
  <c r="P388" i="30"/>
  <c r="O388" i="30"/>
  <c r="N388" i="30"/>
  <c r="M388" i="30"/>
  <c r="L388" i="30"/>
  <c r="K388" i="30"/>
  <c r="J388" i="30"/>
  <c r="I388" i="30"/>
  <c r="H388" i="30"/>
  <c r="G388" i="30"/>
  <c r="AK387" i="30"/>
  <c r="AJ387" i="30"/>
  <c r="AI387" i="30"/>
  <c r="AH387" i="30"/>
  <c r="AG387" i="30"/>
  <c r="AF387" i="30"/>
  <c r="AE387" i="30"/>
  <c r="AD387" i="30"/>
  <c r="AC387" i="30"/>
  <c r="AB387" i="30"/>
  <c r="AA387" i="30"/>
  <c r="Z387" i="30"/>
  <c r="Y387" i="30"/>
  <c r="X387" i="30"/>
  <c r="W387" i="30"/>
  <c r="V387" i="30"/>
  <c r="U387" i="30"/>
  <c r="T387" i="30"/>
  <c r="S387" i="30"/>
  <c r="R387" i="30"/>
  <c r="Q387" i="30"/>
  <c r="P387" i="30"/>
  <c r="O387" i="30"/>
  <c r="N387" i="30"/>
  <c r="M387" i="30"/>
  <c r="L387" i="30"/>
  <c r="K387" i="30"/>
  <c r="J387" i="30"/>
  <c r="I387" i="30"/>
  <c r="H387" i="30"/>
  <c r="G387" i="30"/>
  <c r="AK386" i="30"/>
  <c r="AJ386" i="30"/>
  <c r="AI386" i="30"/>
  <c r="AH386" i="30"/>
  <c r="AG386" i="30"/>
  <c r="AF386" i="30"/>
  <c r="AE386" i="30"/>
  <c r="AD386" i="30"/>
  <c r="AC386" i="30"/>
  <c r="AB386" i="30"/>
  <c r="AA386" i="30"/>
  <c r="Z386" i="30"/>
  <c r="Y386" i="30"/>
  <c r="X386" i="30"/>
  <c r="W386" i="30"/>
  <c r="V386" i="30"/>
  <c r="U386" i="30"/>
  <c r="T386" i="30"/>
  <c r="S386" i="30"/>
  <c r="R386" i="30"/>
  <c r="Q386" i="30"/>
  <c r="P386" i="30"/>
  <c r="O386" i="30"/>
  <c r="N386" i="30"/>
  <c r="M386" i="30"/>
  <c r="L386" i="30"/>
  <c r="K386" i="30"/>
  <c r="J386" i="30"/>
  <c r="I386" i="30"/>
  <c r="H386" i="30"/>
  <c r="G386" i="30"/>
  <c r="AK370" i="30"/>
  <c r="AJ370" i="30"/>
  <c r="AI370" i="30"/>
  <c r="AH370" i="30"/>
  <c r="AG370" i="30"/>
  <c r="AF370" i="30"/>
  <c r="AE370" i="30"/>
  <c r="AD370" i="30"/>
  <c r="AC370" i="30"/>
  <c r="AB370" i="30"/>
  <c r="AA370" i="30"/>
  <c r="Z370" i="30"/>
  <c r="Y370" i="30"/>
  <c r="X370" i="30"/>
  <c r="W370" i="30"/>
  <c r="V370" i="30"/>
  <c r="U370" i="30"/>
  <c r="T370" i="30"/>
  <c r="S370" i="30"/>
  <c r="R370" i="30"/>
  <c r="Q370" i="30"/>
  <c r="P370" i="30"/>
  <c r="O370" i="30"/>
  <c r="N370" i="30"/>
  <c r="M370" i="30"/>
  <c r="L370" i="30"/>
  <c r="K370" i="30"/>
  <c r="J370" i="30"/>
  <c r="I370" i="30"/>
  <c r="H370" i="30"/>
  <c r="G370" i="30"/>
  <c r="AK369" i="30"/>
  <c r="AJ369" i="30"/>
  <c r="AI369" i="30"/>
  <c r="AH369" i="30"/>
  <c r="AG369" i="30"/>
  <c r="AF369" i="30"/>
  <c r="AE369" i="30"/>
  <c r="AD369" i="30"/>
  <c r="AC369" i="30"/>
  <c r="AB369" i="30"/>
  <c r="AA369" i="30"/>
  <c r="Z369" i="30"/>
  <c r="Y369" i="30"/>
  <c r="X369" i="30"/>
  <c r="W369" i="30"/>
  <c r="V369" i="30"/>
  <c r="U369" i="30"/>
  <c r="T369" i="30"/>
  <c r="S369" i="30"/>
  <c r="R369" i="30"/>
  <c r="Q369" i="30"/>
  <c r="P369" i="30"/>
  <c r="O369" i="30"/>
  <c r="N369" i="30"/>
  <c r="M369" i="30"/>
  <c r="L369" i="30"/>
  <c r="K369" i="30"/>
  <c r="J369" i="30"/>
  <c r="I369" i="30"/>
  <c r="H369" i="30"/>
  <c r="G369" i="30"/>
  <c r="AK368" i="30"/>
  <c r="AJ368" i="30"/>
  <c r="AI368" i="30"/>
  <c r="AH368" i="30"/>
  <c r="AG368" i="30"/>
  <c r="AF368" i="30"/>
  <c r="AE368" i="30"/>
  <c r="AD368" i="30"/>
  <c r="AC368" i="30"/>
  <c r="AB368" i="30"/>
  <c r="AA368" i="30"/>
  <c r="Z368" i="30"/>
  <c r="Y368" i="30"/>
  <c r="X368" i="30"/>
  <c r="W368" i="30"/>
  <c r="V368" i="30"/>
  <c r="U368" i="30"/>
  <c r="T368" i="30"/>
  <c r="S368" i="30"/>
  <c r="R368" i="30"/>
  <c r="Q368" i="30"/>
  <c r="P368" i="30"/>
  <c r="O368" i="30"/>
  <c r="N368" i="30"/>
  <c r="M368" i="30"/>
  <c r="L368" i="30"/>
  <c r="K368" i="30"/>
  <c r="J368" i="30"/>
  <c r="I368" i="30"/>
  <c r="H368" i="30"/>
  <c r="G368" i="30"/>
  <c r="AK359" i="30"/>
  <c r="AJ359" i="30"/>
  <c r="AI359" i="30"/>
  <c r="AH359" i="30"/>
  <c r="AG359" i="30"/>
  <c r="AF359" i="30"/>
  <c r="AE359" i="30"/>
  <c r="AD359" i="30"/>
  <c r="AC359" i="30"/>
  <c r="AB359" i="30"/>
  <c r="AA359" i="30"/>
  <c r="Z359" i="30"/>
  <c r="Y359" i="30"/>
  <c r="X359" i="30"/>
  <c r="W359" i="30"/>
  <c r="V359" i="30"/>
  <c r="U359" i="30"/>
  <c r="T359" i="30"/>
  <c r="S359" i="30"/>
  <c r="R359" i="30"/>
  <c r="Q359" i="30"/>
  <c r="P359" i="30"/>
  <c r="O359" i="30"/>
  <c r="N359" i="30"/>
  <c r="M359" i="30"/>
  <c r="L359" i="30"/>
  <c r="K359" i="30"/>
  <c r="J359" i="30"/>
  <c r="I359" i="30"/>
  <c r="H359" i="30"/>
  <c r="G359" i="30"/>
  <c r="G355" i="30"/>
  <c r="G354" i="30"/>
  <c r="G353" i="30"/>
  <c r="AK352" i="30"/>
  <c r="AJ352" i="30"/>
  <c r="AI352" i="30"/>
  <c r="AH352" i="30"/>
  <c r="AG352" i="30"/>
  <c r="AF352" i="30"/>
  <c r="AE352" i="30"/>
  <c r="AD352" i="30"/>
  <c r="AC352" i="30"/>
  <c r="AB352" i="30"/>
  <c r="AA352" i="30"/>
  <c r="Z352" i="30"/>
  <c r="Y352" i="30"/>
  <c r="X352" i="30"/>
  <c r="W352" i="30"/>
  <c r="V352" i="30"/>
  <c r="U352" i="30"/>
  <c r="T352" i="30"/>
  <c r="S352" i="30"/>
  <c r="R352" i="30"/>
  <c r="Q352" i="30"/>
  <c r="P352" i="30"/>
  <c r="O352" i="30"/>
  <c r="N352" i="30"/>
  <c r="M352" i="30"/>
  <c r="L352" i="30"/>
  <c r="K352" i="30"/>
  <c r="J352" i="30"/>
  <c r="I352" i="30"/>
  <c r="H352" i="30"/>
  <c r="G352" i="30"/>
  <c r="G347" i="30"/>
  <c r="AK331" i="30"/>
  <c r="AJ331" i="30"/>
  <c r="AI331" i="30"/>
  <c r="AH331" i="30"/>
  <c r="AG331" i="30"/>
  <c r="AF331" i="30"/>
  <c r="AE331" i="30"/>
  <c r="AD331" i="30"/>
  <c r="AC331" i="30"/>
  <c r="AB331" i="30"/>
  <c r="AA331" i="30"/>
  <c r="Z331" i="30"/>
  <c r="Y331" i="30"/>
  <c r="X331" i="30"/>
  <c r="W331" i="30"/>
  <c r="V331" i="30"/>
  <c r="U331" i="30"/>
  <c r="T331" i="30"/>
  <c r="S331" i="30"/>
  <c r="R331" i="30"/>
  <c r="Q331" i="30"/>
  <c r="P331" i="30"/>
  <c r="O331" i="30"/>
  <c r="N331" i="30"/>
  <c r="M331" i="30"/>
  <c r="L331" i="30"/>
  <c r="K331" i="30"/>
  <c r="J331" i="30"/>
  <c r="I331" i="30"/>
  <c r="H331" i="30"/>
  <c r="G331" i="30"/>
  <c r="AK330" i="30"/>
  <c r="AJ330" i="30"/>
  <c r="AI330" i="30"/>
  <c r="AH330" i="30"/>
  <c r="AG330" i="30"/>
  <c r="AF330" i="30"/>
  <c r="AE330" i="30"/>
  <c r="AD330" i="30"/>
  <c r="AC330" i="30"/>
  <c r="AB330" i="30"/>
  <c r="AA330" i="30"/>
  <c r="Z330" i="30"/>
  <c r="Y330" i="30"/>
  <c r="X330" i="30"/>
  <c r="W330" i="30"/>
  <c r="V330" i="30"/>
  <c r="U330" i="30"/>
  <c r="T330" i="30"/>
  <c r="S330" i="30"/>
  <c r="R330" i="30"/>
  <c r="Q330" i="30"/>
  <c r="P330" i="30"/>
  <c r="O330" i="30"/>
  <c r="N330" i="30"/>
  <c r="M330" i="30"/>
  <c r="L330" i="30"/>
  <c r="K330" i="30"/>
  <c r="J330" i="30"/>
  <c r="I330" i="30"/>
  <c r="H330" i="30"/>
  <c r="G330" i="30"/>
  <c r="AK329" i="30"/>
  <c r="AJ329" i="30"/>
  <c r="AI329" i="30"/>
  <c r="AH329" i="30"/>
  <c r="AG329" i="30"/>
  <c r="AF329" i="30"/>
  <c r="AE329" i="30"/>
  <c r="AD329" i="30"/>
  <c r="AC329" i="30"/>
  <c r="AB329" i="30"/>
  <c r="AA329" i="30"/>
  <c r="Z329" i="30"/>
  <c r="Y329" i="30"/>
  <c r="X329" i="30"/>
  <c r="W329" i="30"/>
  <c r="V329" i="30"/>
  <c r="U329" i="30"/>
  <c r="T329" i="30"/>
  <c r="S329" i="30"/>
  <c r="R329" i="30"/>
  <c r="Q329" i="30"/>
  <c r="P329" i="30"/>
  <c r="O329" i="30"/>
  <c r="N329" i="30"/>
  <c r="M329" i="30"/>
  <c r="L329" i="30"/>
  <c r="K329" i="30"/>
  <c r="J329" i="30"/>
  <c r="I329" i="30"/>
  <c r="H329" i="30"/>
  <c r="G329" i="30"/>
  <c r="AK328" i="30"/>
  <c r="AJ328" i="30"/>
  <c r="AI328" i="30"/>
  <c r="AH328" i="30"/>
  <c r="AG328" i="30"/>
  <c r="AF328" i="30"/>
  <c r="AE328" i="30"/>
  <c r="AD328" i="30"/>
  <c r="AC328" i="30"/>
  <c r="AB328" i="30"/>
  <c r="AA328" i="30"/>
  <c r="Z328" i="30"/>
  <c r="Y328" i="30"/>
  <c r="X328" i="30"/>
  <c r="W328" i="30"/>
  <c r="V328" i="30"/>
  <c r="U328" i="30"/>
  <c r="T328" i="30"/>
  <c r="S328" i="30"/>
  <c r="R328" i="30"/>
  <c r="Q328" i="30"/>
  <c r="P328" i="30"/>
  <c r="O328" i="30"/>
  <c r="N328" i="30"/>
  <c r="M328" i="30"/>
  <c r="L328" i="30"/>
  <c r="K328" i="30"/>
  <c r="J328" i="30"/>
  <c r="I328" i="30"/>
  <c r="H328" i="30"/>
  <c r="G328" i="30"/>
  <c r="AK327" i="30"/>
  <c r="AJ327" i="30"/>
  <c r="AI327" i="30"/>
  <c r="AH327" i="30"/>
  <c r="AG327" i="30"/>
  <c r="AF327" i="30"/>
  <c r="AE327" i="30"/>
  <c r="AD327" i="30"/>
  <c r="AC327" i="30"/>
  <c r="AB327" i="30"/>
  <c r="AA327" i="30"/>
  <c r="Z327" i="30"/>
  <c r="Y327" i="30"/>
  <c r="X327" i="30"/>
  <c r="W327" i="30"/>
  <c r="V327" i="30"/>
  <c r="U327" i="30"/>
  <c r="T327" i="30"/>
  <c r="S327" i="30"/>
  <c r="R327" i="30"/>
  <c r="Q327" i="30"/>
  <c r="P327" i="30"/>
  <c r="O327" i="30"/>
  <c r="N327" i="30"/>
  <c r="M327" i="30"/>
  <c r="L327" i="30"/>
  <c r="K327" i="30"/>
  <c r="J327" i="30"/>
  <c r="I327" i="30"/>
  <c r="H327" i="30"/>
  <c r="G327" i="30"/>
  <c r="AK326" i="30"/>
  <c r="AJ326" i="30"/>
  <c r="AI326" i="30"/>
  <c r="AH326" i="30"/>
  <c r="AG326" i="30"/>
  <c r="AF326" i="30"/>
  <c r="AE326" i="30"/>
  <c r="AD326" i="30"/>
  <c r="AC326" i="30"/>
  <c r="AB326" i="30"/>
  <c r="AA326" i="30"/>
  <c r="Z326" i="30"/>
  <c r="Y326" i="30"/>
  <c r="X326" i="30"/>
  <c r="W326" i="30"/>
  <c r="V326" i="30"/>
  <c r="U326" i="30"/>
  <c r="T326" i="30"/>
  <c r="S326" i="30"/>
  <c r="R326" i="30"/>
  <c r="Q326" i="30"/>
  <c r="P326" i="30"/>
  <c r="O326" i="30"/>
  <c r="N326" i="30"/>
  <c r="M326" i="30"/>
  <c r="L326" i="30"/>
  <c r="K326" i="30"/>
  <c r="J326" i="30"/>
  <c r="I326" i="30"/>
  <c r="H326" i="30"/>
  <c r="G326" i="30"/>
  <c r="AK325" i="30"/>
  <c r="AJ325" i="30"/>
  <c r="AI325" i="30"/>
  <c r="AH325" i="30"/>
  <c r="AG325" i="30"/>
  <c r="AF325" i="30"/>
  <c r="AE325" i="30"/>
  <c r="AD325" i="30"/>
  <c r="AC325" i="30"/>
  <c r="AB325" i="30"/>
  <c r="AA325" i="30"/>
  <c r="Z325" i="30"/>
  <c r="Y325" i="30"/>
  <c r="X325" i="30"/>
  <c r="W325" i="30"/>
  <c r="V325" i="30"/>
  <c r="U325" i="30"/>
  <c r="T325" i="30"/>
  <c r="S325" i="30"/>
  <c r="R325" i="30"/>
  <c r="Q325" i="30"/>
  <c r="P325" i="30"/>
  <c r="O325" i="30"/>
  <c r="N325" i="30"/>
  <c r="M325" i="30"/>
  <c r="L325" i="30"/>
  <c r="K325" i="30"/>
  <c r="J325" i="30"/>
  <c r="I325" i="30"/>
  <c r="H325" i="30"/>
  <c r="G325" i="30"/>
  <c r="G324" i="30"/>
  <c r="AK319" i="30"/>
  <c r="AJ319" i="30"/>
  <c r="AI319" i="30"/>
  <c r="AH319" i="30"/>
  <c r="AG319" i="30"/>
  <c r="AF319" i="30"/>
  <c r="AE319" i="30"/>
  <c r="AD319" i="30"/>
  <c r="AC319" i="30"/>
  <c r="AB319" i="30"/>
  <c r="AA319" i="30"/>
  <c r="Z319" i="30"/>
  <c r="Y319" i="30"/>
  <c r="X319" i="30"/>
  <c r="W319" i="30"/>
  <c r="V319" i="30"/>
  <c r="U319" i="30"/>
  <c r="T319" i="30"/>
  <c r="S319" i="30"/>
  <c r="R319" i="30"/>
  <c r="Q319" i="30"/>
  <c r="P319" i="30"/>
  <c r="O319" i="30"/>
  <c r="N319" i="30"/>
  <c r="M319" i="30"/>
  <c r="L319" i="30"/>
  <c r="K319" i="30"/>
  <c r="J319" i="30"/>
  <c r="I319" i="30"/>
  <c r="H319" i="30"/>
  <c r="G319" i="30"/>
  <c r="AK318" i="30"/>
  <c r="AJ318" i="30"/>
  <c r="AI318" i="30"/>
  <c r="AH318" i="30"/>
  <c r="AG318" i="30"/>
  <c r="AF318" i="30"/>
  <c r="AE318" i="30"/>
  <c r="AD318" i="30"/>
  <c r="AC318" i="30"/>
  <c r="AB318" i="30"/>
  <c r="AA318" i="30"/>
  <c r="Z318" i="30"/>
  <c r="Y318" i="30"/>
  <c r="X318" i="30"/>
  <c r="W318" i="30"/>
  <c r="V318" i="30"/>
  <c r="U318" i="30"/>
  <c r="T318" i="30"/>
  <c r="S318" i="30"/>
  <c r="R318" i="30"/>
  <c r="Q318" i="30"/>
  <c r="P318" i="30"/>
  <c r="O318" i="30"/>
  <c r="N318" i="30"/>
  <c r="M318" i="30"/>
  <c r="L318" i="30"/>
  <c r="K318" i="30"/>
  <c r="J318" i="30"/>
  <c r="I318" i="30"/>
  <c r="H318" i="30"/>
  <c r="G318" i="30"/>
  <c r="AK317" i="30"/>
  <c r="AJ317" i="30"/>
  <c r="AI317" i="30"/>
  <c r="AH317" i="30"/>
  <c r="AG317" i="30"/>
  <c r="AF317" i="30"/>
  <c r="AE317" i="30"/>
  <c r="AD317" i="30"/>
  <c r="AC317" i="30"/>
  <c r="AB317" i="30"/>
  <c r="AA317" i="30"/>
  <c r="Z317" i="30"/>
  <c r="Y317" i="30"/>
  <c r="X317" i="30"/>
  <c r="W317" i="30"/>
  <c r="V317" i="30"/>
  <c r="U317" i="30"/>
  <c r="T317" i="30"/>
  <c r="S317" i="30"/>
  <c r="R317" i="30"/>
  <c r="Q317" i="30"/>
  <c r="P317" i="30"/>
  <c r="O317" i="30"/>
  <c r="N317" i="30"/>
  <c r="M317" i="30"/>
  <c r="L317" i="30"/>
  <c r="K317" i="30"/>
  <c r="J317" i="30"/>
  <c r="I317" i="30"/>
  <c r="H317" i="30"/>
  <c r="G317" i="30"/>
  <c r="AK316" i="30"/>
  <c r="AJ316" i="30"/>
  <c r="AI316" i="30"/>
  <c r="AH316" i="30"/>
  <c r="AG316" i="30"/>
  <c r="AF316" i="30"/>
  <c r="AE316" i="30"/>
  <c r="AD316" i="30"/>
  <c r="AC316" i="30"/>
  <c r="AB316" i="30"/>
  <c r="AA316" i="30"/>
  <c r="Z316" i="30"/>
  <c r="Y316" i="30"/>
  <c r="X316" i="30"/>
  <c r="W316" i="30"/>
  <c r="V316" i="30"/>
  <c r="U316" i="30"/>
  <c r="T316" i="30"/>
  <c r="S316" i="30"/>
  <c r="R316" i="30"/>
  <c r="Q316" i="30"/>
  <c r="P316" i="30"/>
  <c r="O316" i="30"/>
  <c r="N316" i="30"/>
  <c r="M316" i="30"/>
  <c r="L316" i="30"/>
  <c r="K316" i="30"/>
  <c r="J316" i="30"/>
  <c r="I316" i="30"/>
  <c r="H316" i="30"/>
  <c r="G316" i="30"/>
  <c r="AK314" i="30"/>
  <c r="AJ314" i="30"/>
  <c r="AI314" i="30"/>
  <c r="AH314" i="30"/>
  <c r="AG314" i="30"/>
  <c r="AF314" i="30"/>
  <c r="AE314" i="30"/>
  <c r="AD314" i="30"/>
  <c r="AC314" i="30"/>
  <c r="AB314" i="30"/>
  <c r="AA314" i="30"/>
  <c r="Z314" i="30"/>
  <c r="Y314" i="30"/>
  <c r="X314" i="30"/>
  <c r="W314" i="30"/>
  <c r="V314" i="30"/>
  <c r="U314" i="30"/>
  <c r="T314" i="30"/>
  <c r="S314" i="30"/>
  <c r="R314" i="30"/>
  <c r="Q314" i="30"/>
  <c r="P314" i="30"/>
  <c r="O314" i="30"/>
  <c r="M314" i="30"/>
  <c r="L314" i="30"/>
  <c r="K314" i="30"/>
  <c r="J314" i="30"/>
  <c r="I314" i="30"/>
  <c r="H314" i="30"/>
  <c r="G314" i="30"/>
  <c r="AK311" i="30"/>
  <c r="AJ311" i="30"/>
  <c r="AI311" i="30"/>
  <c r="AH311" i="30"/>
  <c r="AG311" i="30"/>
  <c r="AF311" i="30"/>
  <c r="AE311" i="30"/>
  <c r="AD311" i="30"/>
  <c r="AC311" i="30"/>
  <c r="AB311" i="30"/>
  <c r="AA311" i="30"/>
  <c r="Z311" i="30"/>
  <c r="Y311" i="30"/>
  <c r="X311" i="30"/>
  <c r="W311" i="30"/>
  <c r="V311" i="30"/>
  <c r="U311" i="30"/>
  <c r="T311" i="30"/>
  <c r="S311" i="30"/>
  <c r="R311" i="30"/>
  <c r="Q311" i="30"/>
  <c r="P311" i="30"/>
  <c r="O311" i="30"/>
  <c r="N311" i="30"/>
  <c r="L311" i="30"/>
  <c r="K311" i="30"/>
  <c r="J311" i="30"/>
  <c r="I311" i="30"/>
  <c r="H311" i="30"/>
  <c r="G311" i="30"/>
  <c r="AK310" i="30"/>
  <c r="AJ310" i="30"/>
  <c r="AI310" i="30"/>
  <c r="AH310" i="30"/>
  <c r="AG310" i="30"/>
  <c r="AF310" i="30"/>
  <c r="AE310" i="30"/>
  <c r="AD310" i="30"/>
  <c r="AC310" i="30"/>
  <c r="AB310" i="30"/>
  <c r="AA310" i="30"/>
  <c r="Z310" i="30"/>
  <c r="Y310" i="30"/>
  <c r="X310" i="30"/>
  <c r="W310" i="30"/>
  <c r="V310" i="30"/>
  <c r="U310" i="30"/>
  <c r="T310" i="30"/>
  <c r="S310" i="30"/>
  <c r="R310" i="30"/>
  <c r="Q310" i="30"/>
  <c r="P310" i="30"/>
  <c r="O310" i="30"/>
  <c r="N310" i="30"/>
  <c r="M310" i="30"/>
  <c r="L310" i="30"/>
  <c r="K310" i="30"/>
  <c r="J310" i="30"/>
  <c r="I310" i="30"/>
  <c r="H310" i="30"/>
  <c r="G310" i="30"/>
  <c r="AK308" i="30"/>
  <c r="AJ308" i="30"/>
  <c r="AI308" i="30"/>
  <c r="AH308" i="30"/>
  <c r="AG308" i="30"/>
  <c r="AF308" i="30"/>
  <c r="AE308" i="30"/>
  <c r="AD308" i="30"/>
  <c r="AC308" i="30"/>
  <c r="AB308" i="30"/>
  <c r="AA308" i="30"/>
  <c r="Z308" i="30"/>
  <c r="Y308" i="30"/>
  <c r="X308" i="30"/>
  <c r="W308" i="30"/>
  <c r="V308" i="30"/>
  <c r="U308" i="30"/>
  <c r="T308" i="30"/>
  <c r="S308" i="30"/>
  <c r="R308" i="30"/>
  <c r="Q308" i="30"/>
  <c r="P308" i="30"/>
  <c r="O308" i="30"/>
  <c r="N308" i="30"/>
  <c r="M308" i="30"/>
  <c r="L308" i="30"/>
  <c r="K308" i="30"/>
  <c r="J308" i="30"/>
  <c r="I308" i="30"/>
  <c r="H308" i="30"/>
  <c r="G308" i="30"/>
  <c r="AK307" i="30"/>
  <c r="AJ307" i="30"/>
  <c r="AI307" i="30"/>
  <c r="AH307" i="30"/>
  <c r="AG307" i="30"/>
  <c r="AF307" i="30"/>
  <c r="AE307" i="30"/>
  <c r="AD307" i="30"/>
  <c r="AC307" i="30"/>
  <c r="AB307" i="30"/>
  <c r="AA307" i="30"/>
  <c r="Z307" i="30"/>
  <c r="Y307" i="30"/>
  <c r="X307" i="30"/>
  <c r="W307" i="30"/>
  <c r="V307" i="30"/>
  <c r="U307" i="30"/>
  <c r="T307" i="30"/>
  <c r="S307" i="30"/>
  <c r="R307" i="30"/>
  <c r="Q307" i="30"/>
  <c r="P307" i="30"/>
  <c r="O307" i="30"/>
  <c r="N307" i="30"/>
  <c r="M307" i="30"/>
  <c r="L307" i="30"/>
  <c r="K307" i="30"/>
  <c r="J307" i="30"/>
  <c r="I307" i="30"/>
  <c r="H307" i="30"/>
  <c r="G307" i="30"/>
  <c r="AK306" i="30"/>
  <c r="AJ306" i="30"/>
  <c r="AI306" i="30"/>
  <c r="AH306" i="30"/>
  <c r="AG306" i="30"/>
  <c r="AF306" i="30"/>
  <c r="AE306" i="30"/>
  <c r="AD306" i="30"/>
  <c r="AC306" i="30"/>
  <c r="AB306" i="30"/>
  <c r="AA306" i="30"/>
  <c r="Z306" i="30"/>
  <c r="Y306" i="30"/>
  <c r="X306" i="30"/>
  <c r="W306" i="30"/>
  <c r="V306" i="30"/>
  <c r="U306" i="30"/>
  <c r="T306" i="30"/>
  <c r="S306" i="30"/>
  <c r="R306" i="30"/>
  <c r="Q306" i="30"/>
  <c r="P306" i="30"/>
  <c r="O306" i="30"/>
  <c r="N306" i="30"/>
  <c r="M306" i="30"/>
  <c r="L306" i="30"/>
  <c r="K306" i="30"/>
  <c r="J306" i="30"/>
  <c r="I306" i="30"/>
  <c r="H306" i="30"/>
  <c r="G306" i="30"/>
  <c r="AK305" i="30"/>
  <c r="AJ305" i="30"/>
  <c r="AI305" i="30"/>
  <c r="AH305" i="30"/>
  <c r="AG305" i="30"/>
  <c r="AF305" i="30"/>
  <c r="AE305" i="30"/>
  <c r="AD305" i="30"/>
  <c r="AC305" i="30"/>
  <c r="AB305" i="30"/>
  <c r="AA305" i="30"/>
  <c r="Z305" i="30"/>
  <c r="Y305" i="30"/>
  <c r="X305" i="30"/>
  <c r="W305" i="30"/>
  <c r="V305" i="30"/>
  <c r="U305" i="30"/>
  <c r="T305" i="30"/>
  <c r="S305" i="30"/>
  <c r="R305" i="30"/>
  <c r="Q305" i="30"/>
  <c r="P305" i="30"/>
  <c r="O305" i="30"/>
  <c r="N305" i="30"/>
  <c r="M305" i="30"/>
  <c r="L305" i="30"/>
  <c r="K305" i="30"/>
  <c r="J305" i="30"/>
  <c r="I305" i="30"/>
  <c r="H305" i="30"/>
  <c r="G305" i="30"/>
  <c r="AK304" i="30"/>
  <c r="AK361" i="30" s="1"/>
  <c r="AJ304" i="30"/>
  <c r="AJ361" i="30" s="1"/>
  <c r="AI304" i="30"/>
  <c r="AI361" i="30" s="1"/>
  <c r="AH304" i="30"/>
  <c r="AH361" i="30" s="1"/>
  <c r="AG304" i="30"/>
  <c r="AG361" i="30" s="1"/>
  <c r="AF304" i="30"/>
  <c r="AF361" i="30" s="1"/>
  <c r="AE304" i="30"/>
  <c r="AE361" i="30" s="1"/>
  <c r="AD304" i="30"/>
  <c r="AD361" i="30" s="1"/>
  <c r="AC304" i="30"/>
  <c r="AC361" i="30" s="1"/>
  <c r="AB304" i="30"/>
  <c r="AB361" i="30" s="1"/>
  <c r="AA304" i="30"/>
  <c r="AA361" i="30" s="1"/>
  <c r="Z304" i="30"/>
  <c r="Z361" i="30" s="1"/>
  <c r="Y304" i="30"/>
  <c r="Y361" i="30" s="1"/>
  <c r="X304" i="30"/>
  <c r="X361" i="30" s="1"/>
  <c r="W304" i="30"/>
  <c r="W361" i="30" s="1"/>
  <c r="V304" i="30"/>
  <c r="V361" i="30" s="1"/>
  <c r="U304" i="30"/>
  <c r="U361" i="30" s="1"/>
  <c r="T304" i="30"/>
  <c r="T361" i="30" s="1"/>
  <c r="S304" i="30"/>
  <c r="S361" i="30" s="1"/>
  <c r="R304" i="30"/>
  <c r="R361" i="30" s="1"/>
  <c r="Q304" i="30"/>
  <c r="Q361" i="30" s="1"/>
  <c r="P304" i="30"/>
  <c r="P361" i="30" s="1"/>
  <c r="O304" i="30"/>
  <c r="O361" i="30" s="1"/>
  <c r="N304" i="30"/>
  <c r="N361" i="30" s="1"/>
  <c r="M304" i="30"/>
  <c r="M361" i="30" s="1"/>
  <c r="L304" i="30"/>
  <c r="L361" i="30" s="1"/>
  <c r="K304" i="30"/>
  <c r="K361" i="30" s="1"/>
  <c r="J304" i="30"/>
  <c r="J361" i="30" s="1"/>
  <c r="I304" i="30"/>
  <c r="I361" i="30" s="1"/>
  <c r="H304" i="30"/>
  <c r="H361" i="30" s="1"/>
  <c r="G304" i="30"/>
  <c r="G361" i="30" s="1"/>
  <c r="AK271" i="30"/>
  <c r="AJ271" i="30"/>
  <c r="AI271" i="30"/>
  <c r="AH271" i="30"/>
  <c r="AG271" i="30"/>
  <c r="AF271" i="30"/>
  <c r="AE271" i="30"/>
  <c r="AD271" i="30"/>
  <c r="AC271" i="30"/>
  <c r="AB271" i="30"/>
  <c r="AA271" i="30"/>
  <c r="Z271" i="30"/>
  <c r="Y271" i="30"/>
  <c r="X271" i="30"/>
  <c r="W271" i="30"/>
  <c r="V271" i="30"/>
  <c r="U271" i="30"/>
  <c r="T271" i="30"/>
  <c r="S271" i="30"/>
  <c r="R271" i="30"/>
  <c r="Q271" i="30"/>
  <c r="P271" i="30"/>
  <c r="O271" i="30"/>
  <c r="N271" i="30"/>
  <c r="M271" i="30"/>
  <c r="L271" i="30"/>
  <c r="K271" i="30"/>
  <c r="J271" i="30"/>
  <c r="I271" i="30"/>
  <c r="H271" i="30"/>
  <c r="G271" i="30"/>
  <c r="AK269" i="30"/>
  <c r="AJ269" i="30"/>
  <c r="AI269" i="30"/>
  <c r="AH269" i="30"/>
  <c r="AG269" i="30"/>
  <c r="AF269" i="30"/>
  <c r="AE269" i="30"/>
  <c r="AD269" i="30"/>
  <c r="AC269" i="30"/>
  <c r="AB269" i="30"/>
  <c r="AA269" i="30"/>
  <c r="Z269" i="30"/>
  <c r="Y269" i="30"/>
  <c r="X269" i="30"/>
  <c r="W269" i="30"/>
  <c r="V269" i="30"/>
  <c r="U269" i="30"/>
  <c r="T269" i="30"/>
  <c r="S269" i="30"/>
  <c r="R269" i="30"/>
  <c r="Q269" i="30"/>
  <c r="P269" i="30"/>
  <c r="O269" i="30"/>
  <c r="N269" i="30"/>
  <c r="M269" i="30"/>
  <c r="L269" i="30"/>
  <c r="K269" i="30"/>
  <c r="J269" i="30"/>
  <c r="I269" i="30"/>
  <c r="H269" i="30"/>
  <c r="G269" i="30"/>
  <c r="G265" i="30"/>
  <c r="G264" i="30"/>
  <c r="G263" i="30"/>
  <c r="AK262" i="30"/>
  <c r="AJ262" i="30"/>
  <c r="AI262" i="30"/>
  <c r="AH262" i="30"/>
  <c r="AG262" i="30"/>
  <c r="AF262" i="30"/>
  <c r="AE262" i="30"/>
  <c r="AD262" i="30"/>
  <c r="AC262" i="30"/>
  <c r="AB262" i="30"/>
  <c r="AA262" i="30"/>
  <c r="Z262" i="30"/>
  <c r="Y262" i="30"/>
  <c r="X262" i="30"/>
  <c r="W262" i="30"/>
  <c r="V262" i="30"/>
  <c r="U262" i="30"/>
  <c r="T262" i="30"/>
  <c r="S262" i="30"/>
  <c r="R262" i="30"/>
  <c r="Q262" i="30"/>
  <c r="P262" i="30"/>
  <c r="O262" i="30"/>
  <c r="N262" i="30"/>
  <c r="M262" i="30"/>
  <c r="L262" i="30"/>
  <c r="K262" i="30"/>
  <c r="J262" i="30"/>
  <c r="I262" i="30"/>
  <c r="H262" i="30"/>
  <c r="G262" i="30"/>
  <c r="G257" i="30"/>
  <c r="AK242" i="30"/>
  <c r="AK389" i="30" s="1"/>
  <c r="AJ242" i="30"/>
  <c r="AJ389" i="30" s="1"/>
  <c r="AI242" i="30"/>
  <c r="AI389" i="30" s="1"/>
  <c r="AH242" i="30"/>
  <c r="AH389" i="30" s="1"/>
  <c r="AG242" i="30"/>
  <c r="AG389" i="30" s="1"/>
  <c r="AF242" i="30"/>
  <c r="AF389" i="30" s="1"/>
  <c r="AE242" i="30"/>
  <c r="AE389" i="30" s="1"/>
  <c r="AD242" i="30"/>
  <c r="AD389" i="30" s="1"/>
  <c r="AC242" i="30"/>
  <c r="AC389" i="30" s="1"/>
  <c r="AB242" i="30"/>
  <c r="AB389" i="30" s="1"/>
  <c r="AA242" i="30"/>
  <c r="AA389" i="30" s="1"/>
  <c r="Z242" i="30"/>
  <c r="Z389" i="30" s="1"/>
  <c r="Y242" i="30"/>
  <c r="Y389" i="30" s="1"/>
  <c r="X242" i="30"/>
  <c r="X389" i="30" s="1"/>
  <c r="W242" i="30"/>
  <c r="W389" i="30" s="1"/>
  <c r="V242" i="30"/>
  <c r="V389" i="30" s="1"/>
  <c r="U242" i="30"/>
  <c r="U389" i="30" s="1"/>
  <c r="T242" i="30"/>
  <c r="S242" i="30"/>
  <c r="S389" i="30" s="1"/>
  <c r="R242" i="30"/>
  <c r="R389" i="30" s="1"/>
  <c r="Q242" i="30"/>
  <c r="Q389" i="30" s="1"/>
  <c r="P242" i="30"/>
  <c r="P389" i="30" s="1"/>
  <c r="O242" i="30"/>
  <c r="O389" i="30" s="1"/>
  <c r="N242" i="30"/>
  <c r="N389" i="30" s="1"/>
  <c r="M242" i="30"/>
  <c r="M389" i="30" s="1"/>
  <c r="L242" i="30"/>
  <c r="L389" i="30" s="1"/>
  <c r="K242" i="30"/>
  <c r="K389" i="30" s="1"/>
  <c r="J242" i="30"/>
  <c r="J389" i="30" s="1"/>
  <c r="I242" i="30"/>
  <c r="I389" i="30" s="1"/>
  <c r="H242" i="30"/>
  <c r="H389" i="30" s="1"/>
  <c r="G242" i="30"/>
  <c r="G389" i="30" s="1"/>
  <c r="AK233" i="30"/>
  <c r="AJ233" i="30"/>
  <c r="AI233" i="30"/>
  <c r="AH233" i="30"/>
  <c r="AG233" i="30"/>
  <c r="AF233" i="30"/>
  <c r="AE233" i="30"/>
  <c r="AD233" i="30"/>
  <c r="AC233" i="30"/>
  <c r="AB233" i="30"/>
  <c r="AA233" i="30"/>
  <c r="Z233" i="30"/>
  <c r="Y233" i="30"/>
  <c r="X233" i="30"/>
  <c r="W233" i="30"/>
  <c r="V233" i="30"/>
  <c r="U233" i="30"/>
  <c r="T233" i="30"/>
  <c r="S233" i="30"/>
  <c r="R233" i="30"/>
  <c r="Q233" i="30"/>
  <c r="P233" i="30"/>
  <c r="O233" i="30"/>
  <c r="N233" i="30"/>
  <c r="M233" i="30"/>
  <c r="L233" i="30"/>
  <c r="K233" i="30"/>
  <c r="J233" i="30"/>
  <c r="I233" i="30"/>
  <c r="H233" i="30"/>
  <c r="G233" i="30"/>
  <c r="AK232" i="30"/>
  <c r="AJ232" i="30"/>
  <c r="AI232" i="30"/>
  <c r="AH232" i="30"/>
  <c r="AG232" i="30"/>
  <c r="AF232" i="30"/>
  <c r="AE232" i="30"/>
  <c r="AD232" i="30"/>
  <c r="AC232" i="30"/>
  <c r="AB232" i="30"/>
  <c r="AA232" i="30"/>
  <c r="Z232" i="30"/>
  <c r="Y232" i="30"/>
  <c r="X232" i="30"/>
  <c r="W232" i="30"/>
  <c r="V232" i="30"/>
  <c r="U232" i="30"/>
  <c r="T232" i="30"/>
  <c r="S232" i="30"/>
  <c r="R232" i="30"/>
  <c r="Q232" i="30"/>
  <c r="P232" i="30"/>
  <c r="O232" i="30"/>
  <c r="N232" i="30"/>
  <c r="M232" i="30"/>
  <c r="L232" i="30"/>
  <c r="K232" i="30"/>
  <c r="J232" i="30"/>
  <c r="I232" i="30"/>
  <c r="H232" i="30"/>
  <c r="G232" i="30"/>
  <c r="AK231" i="30"/>
  <c r="AJ231" i="30"/>
  <c r="AI231" i="30"/>
  <c r="AH231" i="30"/>
  <c r="AG231" i="30"/>
  <c r="AF231" i="30"/>
  <c r="AE231" i="30"/>
  <c r="AD231" i="30"/>
  <c r="AC231" i="30"/>
  <c r="AB231" i="30"/>
  <c r="AA231" i="30"/>
  <c r="Z231" i="30"/>
  <c r="Y231" i="30"/>
  <c r="X231" i="30"/>
  <c r="W231" i="30"/>
  <c r="V231" i="30"/>
  <c r="U231" i="30"/>
  <c r="T231" i="30"/>
  <c r="S231" i="30"/>
  <c r="R231" i="30"/>
  <c r="Q231" i="30"/>
  <c r="P231" i="30"/>
  <c r="O231" i="30"/>
  <c r="N231" i="30"/>
  <c r="M231" i="30"/>
  <c r="L231" i="30"/>
  <c r="K231" i="30"/>
  <c r="J231" i="30"/>
  <c r="I231" i="30"/>
  <c r="H231" i="30"/>
  <c r="G231" i="30"/>
  <c r="AK230" i="30"/>
  <c r="AJ230" i="30"/>
  <c r="AI230" i="30"/>
  <c r="AH230" i="30"/>
  <c r="AG230" i="30"/>
  <c r="AF230" i="30"/>
  <c r="AE230" i="30"/>
  <c r="AD230" i="30"/>
  <c r="AC230" i="30"/>
  <c r="AB230" i="30"/>
  <c r="AA230" i="30"/>
  <c r="Z230" i="30"/>
  <c r="Y230" i="30"/>
  <c r="X230" i="30"/>
  <c r="W230" i="30"/>
  <c r="V230" i="30"/>
  <c r="U230" i="30"/>
  <c r="T230" i="30"/>
  <c r="S230" i="30"/>
  <c r="R230" i="30"/>
  <c r="Q230" i="30"/>
  <c r="P230" i="30"/>
  <c r="O230" i="30"/>
  <c r="N230" i="30"/>
  <c r="M230" i="30"/>
  <c r="L230" i="30"/>
  <c r="K230" i="30"/>
  <c r="J230" i="30"/>
  <c r="I230" i="30"/>
  <c r="H230" i="30"/>
  <c r="G230" i="30"/>
  <c r="G213" i="30"/>
  <c r="AK178" i="30"/>
  <c r="P125" i="19" s="1"/>
  <c r="AJ178" i="30"/>
  <c r="AI178" i="30"/>
  <c r="AH178" i="30"/>
  <c r="AG178" i="30"/>
  <c r="AF178" i="30"/>
  <c r="O125" i="19" s="1"/>
  <c r="AE178" i="30"/>
  <c r="AD178" i="30"/>
  <c r="AC178" i="30"/>
  <c r="AB178" i="30"/>
  <c r="AA178" i="30"/>
  <c r="N125" i="19" s="1"/>
  <c r="Z178" i="30"/>
  <c r="Y178" i="30"/>
  <c r="X178" i="30"/>
  <c r="W178" i="30"/>
  <c r="V178" i="30"/>
  <c r="M125" i="19" s="1"/>
  <c r="U178" i="30"/>
  <c r="T178" i="30"/>
  <c r="S178" i="30"/>
  <c r="R178" i="30"/>
  <c r="Q178" i="30"/>
  <c r="L125" i="19" s="1"/>
  <c r="P178" i="30"/>
  <c r="O178" i="30"/>
  <c r="N178" i="30"/>
  <c r="M178" i="30"/>
  <c r="L178" i="30"/>
  <c r="K125" i="19" s="1"/>
  <c r="K178" i="30"/>
  <c r="J178" i="30"/>
  <c r="I178" i="30"/>
  <c r="H178" i="30"/>
  <c r="G178" i="30"/>
  <c r="G174" i="30"/>
  <c r="G173" i="30"/>
  <c r="G172" i="30"/>
  <c r="AK171" i="30"/>
  <c r="AJ171" i="30"/>
  <c r="AI171" i="30"/>
  <c r="AH171" i="30"/>
  <c r="AG171" i="30"/>
  <c r="AF171" i="30"/>
  <c r="AE171" i="30"/>
  <c r="AD171" i="30"/>
  <c r="AC171" i="30"/>
  <c r="AB171" i="30"/>
  <c r="AA171" i="30"/>
  <c r="Z171" i="30"/>
  <c r="Y171" i="30"/>
  <c r="X171" i="30"/>
  <c r="W171" i="30"/>
  <c r="V171" i="30"/>
  <c r="U171" i="30"/>
  <c r="T171" i="30"/>
  <c r="S171" i="30"/>
  <c r="R171" i="30"/>
  <c r="Q171" i="30"/>
  <c r="P171" i="30"/>
  <c r="O171" i="30"/>
  <c r="N171" i="30"/>
  <c r="M171" i="30"/>
  <c r="L171" i="30"/>
  <c r="K171" i="30"/>
  <c r="J171" i="30"/>
  <c r="I171" i="30"/>
  <c r="H171" i="30"/>
  <c r="G171" i="30"/>
  <c r="G166" i="30"/>
  <c r="H174" i="30"/>
  <c r="AK150" i="30"/>
  <c r="AJ150" i="30"/>
  <c r="AI150" i="30"/>
  <c r="AH150" i="30"/>
  <c r="AG150" i="30"/>
  <c r="AF150" i="30"/>
  <c r="AE150" i="30"/>
  <c r="AD150" i="30"/>
  <c r="AC150" i="30"/>
  <c r="AB150" i="30"/>
  <c r="AA150" i="30"/>
  <c r="Z150" i="30"/>
  <c r="Y150" i="30"/>
  <c r="X150" i="30"/>
  <c r="W150" i="30"/>
  <c r="V150" i="30"/>
  <c r="U150" i="30"/>
  <c r="T150" i="30"/>
  <c r="S150" i="30"/>
  <c r="R150" i="30"/>
  <c r="Q150" i="30"/>
  <c r="P150" i="30"/>
  <c r="O150" i="30"/>
  <c r="N150" i="30"/>
  <c r="M150" i="30"/>
  <c r="L150" i="30"/>
  <c r="K150" i="30"/>
  <c r="J150" i="30"/>
  <c r="I150" i="30"/>
  <c r="H150" i="30"/>
  <c r="G150" i="30"/>
  <c r="AK149" i="30"/>
  <c r="AJ149" i="30"/>
  <c r="AI149" i="30"/>
  <c r="AH149" i="30"/>
  <c r="AG149" i="30"/>
  <c r="AF149" i="30"/>
  <c r="AE149" i="30"/>
  <c r="AD149" i="30"/>
  <c r="AC149" i="30"/>
  <c r="AB149" i="30"/>
  <c r="AA149" i="30"/>
  <c r="Z149" i="30"/>
  <c r="Y149" i="30"/>
  <c r="X149" i="30"/>
  <c r="W149" i="30"/>
  <c r="V149" i="30"/>
  <c r="U149" i="30"/>
  <c r="T149" i="30"/>
  <c r="S149" i="30"/>
  <c r="R149" i="30"/>
  <c r="Q149" i="30"/>
  <c r="P149" i="30"/>
  <c r="O149" i="30"/>
  <c r="N149" i="30"/>
  <c r="M149" i="30"/>
  <c r="L149" i="30"/>
  <c r="K149" i="30"/>
  <c r="J149" i="30"/>
  <c r="I149" i="30"/>
  <c r="H149" i="30"/>
  <c r="G149" i="30"/>
  <c r="AK148" i="30"/>
  <c r="AJ148" i="30"/>
  <c r="AI148" i="30"/>
  <c r="AH148" i="30"/>
  <c r="AG148" i="30"/>
  <c r="AF148" i="30"/>
  <c r="AE148" i="30"/>
  <c r="AD148" i="30"/>
  <c r="AC148" i="30"/>
  <c r="AB148" i="30"/>
  <c r="AA148" i="30"/>
  <c r="Z148" i="30"/>
  <c r="Y148" i="30"/>
  <c r="X148" i="30"/>
  <c r="W148" i="30"/>
  <c r="V148" i="30"/>
  <c r="U148" i="30"/>
  <c r="T148" i="30"/>
  <c r="S148" i="30"/>
  <c r="R148" i="30"/>
  <c r="Q148" i="30"/>
  <c r="P148" i="30"/>
  <c r="O148" i="30"/>
  <c r="N148" i="30"/>
  <c r="M148" i="30"/>
  <c r="L148" i="30"/>
  <c r="K148" i="30"/>
  <c r="J148" i="30"/>
  <c r="I148" i="30"/>
  <c r="H148" i="30"/>
  <c r="G148" i="30"/>
  <c r="AK147" i="30"/>
  <c r="AJ147" i="30"/>
  <c r="AI147" i="30"/>
  <c r="AH147" i="30"/>
  <c r="AG147" i="30"/>
  <c r="AF147" i="30"/>
  <c r="AE147" i="30"/>
  <c r="AD147" i="30"/>
  <c r="AC147" i="30"/>
  <c r="AB147" i="30"/>
  <c r="AA147" i="30"/>
  <c r="Z147" i="30"/>
  <c r="Y147" i="30"/>
  <c r="X147" i="30"/>
  <c r="W147" i="30"/>
  <c r="V147" i="30"/>
  <c r="U147" i="30"/>
  <c r="T147" i="30"/>
  <c r="S147" i="30"/>
  <c r="R147" i="30"/>
  <c r="Q147" i="30"/>
  <c r="P147" i="30"/>
  <c r="O147" i="30"/>
  <c r="N147" i="30"/>
  <c r="M147" i="30"/>
  <c r="L147" i="30"/>
  <c r="K147" i="30"/>
  <c r="J147" i="30"/>
  <c r="I147" i="30"/>
  <c r="H147" i="30"/>
  <c r="G147" i="30"/>
  <c r="AK146" i="30"/>
  <c r="AJ146" i="30"/>
  <c r="AI146" i="30"/>
  <c r="AH146" i="30"/>
  <c r="AG146" i="30"/>
  <c r="AF146" i="30"/>
  <c r="AE146" i="30"/>
  <c r="AD146" i="30"/>
  <c r="AC146" i="30"/>
  <c r="AB146" i="30"/>
  <c r="AA146" i="30"/>
  <c r="Z146" i="30"/>
  <c r="Y146" i="30"/>
  <c r="X146" i="30"/>
  <c r="W146" i="30"/>
  <c r="V146" i="30"/>
  <c r="U146" i="30"/>
  <c r="T146" i="30"/>
  <c r="S146" i="30"/>
  <c r="R146" i="30"/>
  <c r="Q146" i="30"/>
  <c r="P146" i="30"/>
  <c r="O146" i="30"/>
  <c r="N146" i="30"/>
  <c r="M146" i="30"/>
  <c r="L146" i="30"/>
  <c r="K146" i="30"/>
  <c r="J146" i="30"/>
  <c r="I146" i="30"/>
  <c r="H146" i="30"/>
  <c r="G146" i="30"/>
  <c r="AK145" i="30"/>
  <c r="AJ145" i="30"/>
  <c r="AI145" i="30"/>
  <c r="AH145" i="30"/>
  <c r="AG145" i="30"/>
  <c r="AF145" i="30"/>
  <c r="AE145" i="30"/>
  <c r="AD145" i="30"/>
  <c r="AC145" i="30"/>
  <c r="AB145" i="30"/>
  <c r="AA145" i="30"/>
  <c r="Z145" i="30"/>
  <c r="Y145" i="30"/>
  <c r="X145" i="30"/>
  <c r="W145" i="30"/>
  <c r="V145" i="30"/>
  <c r="U145" i="30"/>
  <c r="T145" i="30"/>
  <c r="S145" i="30"/>
  <c r="R145" i="30"/>
  <c r="Q145" i="30"/>
  <c r="P145" i="30"/>
  <c r="O145" i="30"/>
  <c r="N145" i="30"/>
  <c r="M145" i="30"/>
  <c r="L145" i="30"/>
  <c r="K145" i="30"/>
  <c r="J145" i="30"/>
  <c r="I145" i="30"/>
  <c r="G145" i="30"/>
  <c r="AK144" i="30"/>
  <c r="AJ144" i="30"/>
  <c r="AI144" i="30"/>
  <c r="AH144" i="30"/>
  <c r="AG144" i="30"/>
  <c r="AF144" i="30"/>
  <c r="AE144" i="30"/>
  <c r="AD144" i="30"/>
  <c r="AC144" i="30"/>
  <c r="AB144" i="30"/>
  <c r="AA144" i="30"/>
  <c r="Z144" i="30"/>
  <c r="Y144" i="30"/>
  <c r="X144" i="30"/>
  <c r="W144" i="30"/>
  <c r="V144" i="30"/>
  <c r="U144" i="30"/>
  <c r="T144" i="30"/>
  <c r="S144" i="30"/>
  <c r="R144" i="30"/>
  <c r="Q144" i="30"/>
  <c r="P144" i="30"/>
  <c r="O144" i="30"/>
  <c r="N144" i="30"/>
  <c r="M144" i="30"/>
  <c r="L144" i="30"/>
  <c r="K144" i="30"/>
  <c r="J144" i="30"/>
  <c r="I144" i="30"/>
  <c r="H144" i="30"/>
  <c r="G144" i="30"/>
  <c r="G143" i="30"/>
  <c r="AK138" i="30"/>
  <c r="AJ138" i="30"/>
  <c r="AI138" i="30"/>
  <c r="AH138" i="30"/>
  <c r="AG138" i="30"/>
  <c r="AF138" i="30"/>
  <c r="AE138" i="30"/>
  <c r="AD138" i="30"/>
  <c r="AC138" i="30"/>
  <c r="AB138" i="30"/>
  <c r="AA138" i="30"/>
  <c r="Z138" i="30"/>
  <c r="Y138" i="30"/>
  <c r="X138" i="30"/>
  <c r="W138" i="30"/>
  <c r="V138" i="30"/>
  <c r="U138" i="30"/>
  <c r="T138" i="30"/>
  <c r="S138" i="30"/>
  <c r="R138" i="30"/>
  <c r="Q138" i="30"/>
  <c r="P138" i="30"/>
  <c r="O138" i="30"/>
  <c r="N138" i="30"/>
  <c r="M138" i="30"/>
  <c r="L138" i="30"/>
  <c r="K138" i="30"/>
  <c r="J138" i="30"/>
  <c r="I138" i="30"/>
  <c r="H138" i="30"/>
  <c r="G138" i="30"/>
  <c r="AK137" i="30"/>
  <c r="AJ137" i="30"/>
  <c r="AI137" i="30"/>
  <c r="AH137" i="30"/>
  <c r="AG137" i="30"/>
  <c r="AF137" i="30"/>
  <c r="AE137" i="30"/>
  <c r="AD137" i="30"/>
  <c r="AC137" i="30"/>
  <c r="AB137" i="30"/>
  <c r="AA137" i="30"/>
  <c r="Z137" i="30"/>
  <c r="Y137" i="30"/>
  <c r="X137" i="30"/>
  <c r="W137" i="30"/>
  <c r="V137" i="30"/>
  <c r="U137" i="30"/>
  <c r="T137" i="30"/>
  <c r="S137" i="30"/>
  <c r="R137" i="30"/>
  <c r="Q137" i="30"/>
  <c r="P137" i="30"/>
  <c r="O137" i="30"/>
  <c r="N137" i="30"/>
  <c r="M137" i="30"/>
  <c r="L137" i="30"/>
  <c r="K137" i="30"/>
  <c r="J137" i="30"/>
  <c r="I137" i="30"/>
  <c r="H137" i="30"/>
  <c r="G137" i="30"/>
  <c r="AK136" i="30"/>
  <c r="AJ136" i="30"/>
  <c r="AI136" i="30"/>
  <c r="AH136" i="30"/>
  <c r="AG136" i="30"/>
  <c r="AF136" i="30"/>
  <c r="AE136" i="30"/>
  <c r="AD136" i="30"/>
  <c r="AC136" i="30"/>
  <c r="AB136" i="30"/>
  <c r="AA136" i="30"/>
  <c r="Z136" i="30"/>
  <c r="Y136" i="30"/>
  <c r="X136" i="30"/>
  <c r="W136" i="30"/>
  <c r="V136" i="30"/>
  <c r="U136" i="30"/>
  <c r="T136" i="30"/>
  <c r="S136" i="30"/>
  <c r="R136" i="30"/>
  <c r="Q136" i="30"/>
  <c r="P136" i="30"/>
  <c r="O136" i="30"/>
  <c r="N136" i="30"/>
  <c r="M136" i="30"/>
  <c r="L136" i="30"/>
  <c r="K136" i="30"/>
  <c r="J136" i="30"/>
  <c r="I136" i="30"/>
  <c r="H136" i="30"/>
  <c r="G136" i="30"/>
  <c r="AK135" i="30"/>
  <c r="AJ135" i="30"/>
  <c r="AI135" i="30"/>
  <c r="AH135" i="30"/>
  <c r="AG135" i="30"/>
  <c r="AF135" i="30"/>
  <c r="AE135" i="30"/>
  <c r="AD135" i="30"/>
  <c r="AC135" i="30"/>
  <c r="AB135" i="30"/>
  <c r="AA135" i="30"/>
  <c r="Z135" i="30"/>
  <c r="Y135" i="30"/>
  <c r="X135" i="30"/>
  <c r="W135" i="30"/>
  <c r="V135" i="30"/>
  <c r="U135" i="30"/>
  <c r="T135" i="30"/>
  <c r="S135" i="30"/>
  <c r="R135" i="30"/>
  <c r="Q135" i="30"/>
  <c r="P135" i="30"/>
  <c r="O135" i="30"/>
  <c r="N135" i="30"/>
  <c r="M135" i="30"/>
  <c r="L135" i="30"/>
  <c r="K135" i="30"/>
  <c r="J135" i="30"/>
  <c r="I135" i="30"/>
  <c r="H135" i="30"/>
  <c r="G135" i="30"/>
  <c r="AK133" i="30"/>
  <c r="AJ133" i="30"/>
  <c r="AI133" i="30"/>
  <c r="AH133" i="30"/>
  <c r="AG133" i="30"/>
  <c r="AF133" i="30"/>
  <c r="AE133" i="30"/>
  <c r="AD133" i="30"/>
  <c r="AC133" i="30"/>
  <c r="AB133" i="30"/>
  <c r="AA133" i="30"/>
  <c r="Z133" i="30"/>
  <c r="Y133" i="30"/>
  <c r="X133" i="30"/>
  <c r="W133" i="30"/>
  <c r="V133" i="30"/>
  <c r="U133" i="30"/>
  <c r="T133" i="30"/>
  <c r="S133" i="30"/>
  <c r="R133" i="30"/>
  <c r="Q133" i="30"/>
  <c r="P133" i="30"/>
  <c r="O133" i="30"/>
  <c r="M133" i="30"/>
  <c r="L133" i="30"/>
  <c r="K133" i="30"/>
  <c r="J133" i="30"/>
  <c r="H133" i="30"/>
  <c r="G133" i="30"/>
  <c r="AK130" i="30"/>
  <c r="AJ130" i="30"/>
  <c r="AI130" i="30"/>
  <c r="AH130" i="30"/>
  <c r="AG130" i="30"/>
  <c r="AF130" i="30"/>
  <c r="AE130" i="30"/>
  <c r="AD130" i="30"/>
  <c r="AC130" i="30"/>
  <c r="AB130" i="30"/>
  <c r="AA130" i="30"/>
  <c r="Z130" i="30"/>
  <c r="Y130" i="30"/>
  <c r="X130" i="30"/>
  <c r="W130" i="30"/>
  <c r="V130" i="30"/>
  <c r="U130" i="30"/>
  <c r="T130" i="30"/>
  <c r="S130" i="30"/>
  <c r="R130" i="30"/>
  <c r="Q130" i="30"/>
  <c r="P130" i="30"/>
  <c r="O130" i="30"/>
  <c r="N130" i="30"/>
  <c r="M130" i="30"/>
  <c r="L130" i="30"/>
  <c r="K130" i="30"/>
  <c r="J130" i="30"/>
  <c r="I130" i="30"/>
  <c r="H130" i="30"/>
  <c r="G130" i="30"/>
  <c r="AK129" i="30"/>
  <c r="AJ129" i="30"/>
  <c r="AI129" i="30"/>
  <c r="AH129" i="30"/>
  <c r="AG129" i="30"/>
  <c r="AF129" i="30"/>
  <c r="AE129" i="30"/>
  <c r="AD129" i="30"/>
  <c r="AC129" i="30"/>
  <c r="AB129" i="30"/>
  <c r="AA129" i="30"/>
  <c r="Z129" i="30"/>
  <c r="Y129" i="30"/>
  <c r="X129" i="30"/>
  <c r="W129" i="30"/>
  <c r="V129" i="30"/>
  <c r="U129" i="30"/>
  <c r="T129" i="30"/>
  <c r="S129" i="30"/>
  <c r="Q129" i="30"/>
  <c r="P129" i="30"/>
  <c r="O129" i="30"/>
  <c r="N129" i="30"/>
  <c r="L129" i="30"/>
  <c r="K129" i="30"/>
  <c r="G129" i="30"/>
  <c r="AK127" i="30"/>
  <c r="AJ127" i="30"/>
  <c r="AI127" i="30"/>
  <c r="AH127" i="30"/>
  <c r="AG127" i="30"/>
  <c r="AF127" i="30"/>
  <c r="AE127" i="30"/>
  <c r="AD127" i="30"/>
  <c r="AC127" i="30"/>
  <c r="AB127" i="30"/>
  <c r="AA127" i="30"/>
  <c r="Z127" i="30"/>
  <c r="Y127" i="30"/>
  <c r="X127" i="30"/>
  <c r="W127" i="30"/>
  <c r="V127" i="30"/>
  <c r="U127" i="30"/>
  <c r="T127" i="30"/>
  <c r="S127" i="30"/>
  <c r="Q127" i="30"/>
  <c r="P127" i="30"/>
  <c r="O127" i="30"/>
  <c r="N127" i="30"/>
  <c r="M127" i="30"/>
  <c r="L127" i="30"/>
  <c r="K127" i="30"/>
  <c r="J127" i="30"/>
  <c r="I127" i="30"/>
  <c r="G127" i="30"/>
  <c r="AK126" i="30"/>
  <c r="AJ126" i="30"/>
  <c r="AI126" i="30"/>
  <c r="AH126" i="30"/>
  <c r="AG126" i="30"/>
  <c r="AF126" i="30"/>
  <c r="AE126" i="30"/>
  <c r="AD126" i="30"/>
  <c r="AC126" i="30"/>
  <c r="AB126" i="30"/>
  <c r="AA126" i="30"/>
  <c r="Z126" i="30"/>
  <c r="Y126" i="30"/>
  <c r="X126" i="30"/>
  <c r="W126" i="30"/>
  <c r="V126" i="30"/>
  <c r="U126" i="30"/>
  <c r="T126" i="30"/>
  <c r="S126" i="30"/>
  <c r="R126" i="30"/>
  <c r="Q126" i="30"/>
  <c r="P126" i="30"/>
  <c r="O126" i="30"/>
  <c r="N126" i="30"/>
  <c r="M126" i="30"/>
  <c r="L126" i="30"/>
  <c r="K126" i="30"/>
  <c r="J126" i="30"/>
  <c r="I126" i="30"/>
  <c r="H126" i="30"/>
  <c r="G126" i="30"/>
  <c r="AK125" i="30"/>
  <c r="AJ125" i="30"/>
  <c r="AI125" i="30"/>
  <c r="AH125" i="30"/>
  <c r="AG125" i="30"/>
  <c r="AF125" i="30"/>
  <c r="AE125" i="30"/>
  <c r="AD125" i="30"/>
  <c r="AC125" i="30"/>
  <c r="AB125" i="30"/>
  <c r="AA125" i="30"/>
  <c r="Z125" i="30"/>
  <c r="Y125" i="30"/>
  <c r="X125" i="30"/>
  <c r="W125" i="30"/>
  <c r="V125" i="30"/>
  <c r="U125" i="30"/>
  <c r="T125" i="30"/>
  <c r="S125" i="30"/>
  <c r="R125" i="30"/>
  <c r="Q125" i="30"/>
  <c r="P125" i="30"/>
  <c r="O125" i="30"/>
  <c r="N125" i="30"/>
  <c r="M125" i="30"/>
  <c r="L125" i="30"/>
  <c r="K125" i="30"/>
  <c r="J125" i="30"/>
  <c r="I125" i="30"/>
  <c r="H125" i="30"/>
  <c r="G125" i="30"/>
  <c r="AK124" i="30"/>
  <c r="AJ124" i="30"/>
  <c r="AI124" i="30"/>
  <c r="AH124" i="30"/>
  <c r="AG124" i="30"/>
  <c r="AF124" i="30"/>
  <c r="AE124" i="30"/>
  <c r="AD124" i="30"/>
  <c r="AC124" i="30"/>
  <c r="AB124" i="30"/>
  <c r="AA124" i="30"/>
  <c r="Z124" i="30"/>
  <c r="Y124" i="30"/>
  <c r="X124" i="30"/>
  <c r="W124" i="30"/>
  <c r="V124" i="30"/>
  <c r="U124" i="30"/>
  <c r="T124" i="30"/>
  <c r="S124" i="30"/>
  <c r="R124" i="30"/>
  <c r="Q124" i="30"/>
  <c r="P124" i="30"/>
  <c r="O124" i="30"/>
  <c r="N124" i="30"/>
  <c r="M124" i="30"/>
  <c r="L124" i="30"/>
  <c r="K124" i="30"/>
  <c r="J124" i="30"/>
  <c r="I124" i="30"/>
  <c r="H124" i="30"/>
  <c r="G124" i="30"/>
  <c r="AK123" i="30"/>
  <c r="AK180" i="30" s="1"/>
  <c r="AJ123" i="30"/>
  <c r="AJ180" i="30" s="1"/>
  <c r="AI123" i="30"/>
  <c r="AI180" i="30" s="1"/>
  <c r="AH123" i="30"/>
  <c r="AH180" i="30" s="1"/>
  <c r="AG123" i="30"/>
  <c r="AG180" i="30" s="1"/>
  <c r="AF123" i="30"/>
  <c r="AF180" i="30" s="1"/>
  <c r="AE123" i="30"/>
  <c r="AE180" i="30" s="1"/>
  <c r="AD123" i="30"/>
  <c r="AD180" i="30" s="1"/>
  <c r="AC123" i="30"/>
  <c r="AC180" i="30" s="1"/>
  <c r="AB123" i="30"/>
  <c r="AB180" i="30" s="1"/>
  <c r="AA123" i="30"/>
  <c r="AA180" i="30" s="1"/>
  <c r="Z123" i="30"/>
  <c r="Z180" i="30" s="1"/>
  <c r="Y123" i="30"/>
  <c r="Y180" i="30" s="1"/>
  <c r="X123" i="30"/>
  <c r="X180" i="30" s="1"/>
  <c r="W123" i="30"/>
  <c r="W180" i="30" s="1"/>
  <c r="V123" i="30"/>
  <c r="V180" i="30" s="1"/>
  <c r="U123" i="30"/>
  <c r="U180" i="30" s="1"/>
  <c r="T123" i="30"/>
  <c r="T180" i="30" s="1"/>
  <c r="S123" i="30"/>
  <c r="S180" i="30" s="1"/>
  <c r="R123" i="30"/>
  <c r="R180" i="30" s="1"/>
  <c r="Q123" i="30"/>
  <c r="Q180" i="30" s="1"/>
  <c r="P123" i="30"/>
  <c r="P180" i="30" s="1"/>
  <c r="O123" i="30"/>
  <c r="O180" i="30" s="1"/>
  <c r="N123" i="30"/>
  <c r="N180" i="30" s="1"/>
  <c r="M123" i="30"/>
  <c r="M180" i="30" s="1"/>
  <c r="L123" i="30"/>
  <c r="L180" i="30" s="1"/>
  <c r="K123" i="30"/>
  <c r="K180" i="30" s="1"/>
  <c r="J123" i="30"/>
  <c r="J180" i="30" s="1"/>
  <c r="I123" i="30"/>
  <c r="I180" i="30" s="1"/>
  <c r="H123" i="30"/>
  <c r="H180" i="30" s="1"/>
  <c r="G123" i="30"/>
  <c r="G180" i="30" s="1"/>
  <c r="AK90" i="30"/>
  <c r="AJ90" i="30"/>
  <c r="AI90" i="30"/>
  <c r="AH90" i="30"/>
  <c r="AG90" i="30"/>
  <c r="AF90" i="30"/>
  <c r="AE90" i="30"/>
  <c r="AD90" i="30"/>
  <c r="AC90" i="30"/>
  <c r="AB90" i="30"/>
  <c r="AA90" i="30"/>
  <c r="Z90" i="30"/>
  <c r="Y90" i="30"/>
  <c r="X90" i="30"/>
  <c r="W90" i="30"/>
  <c r="V90" i="30"/>
  <c r="U90" i="30"/>
  <c r="T90" i="30"/>
  <c r="S90" i="30"/>
  <c r="R90" i="30"/>
  <c r="Q90" i="30"/>
  <c r="P90" i="30"/>
  <c r="O90" i="30"/>
  <c r="N90" i="30"/>
  <c r="M90" i="30"/>
  <c r="L90" i="30"/>
  <c r="K90" i="30"/>
  <c r="J90" i="30"/>
  <c r="I90" i="30"/>
  <c r="H90" i="30"/>
  <c r="G90" i="30"/>
  <c r="AK88" i="30"/>
  <c r="AJ88" i="30"/>
  <c r="AI88" i="30"/>
  <c r="AH88" i="30"/>
  <c r="AG88" i="30"/>
  <c r="AF88" i="30"/>
  <c r="AE88" i="30"/>
  <c r="AD88" i="30"/>
  <c r="AC88" i="30"/>
  <c r="AB88" i="30"/>
  <c r="AA88" i="30"/>
  <c r="Z88" i="30"/>
  <c r="Y88" i="30"/>
  <c r="X88" i="30"/>
  <c r="W88" i="30"/>
  <c r="V88" i="30"/>
  <c r="U88" i="30"/>
  <c r="T88" i="30"/>
  <c r="S88" i="30"/>
  <c r="R88" i="30"/>
  <c r="Q88" i="30"/>
  <c r="P88" i="30"/>
  <c r="O88" i="30"/>
  <c r="N88" i="30"/>
  <c r="M88" i="30"/>
  <c r="L88" i="30"/>
  <c r="K88" i="30"/>
  <c r="J88" i="30"/>
  <c r="I88" i="30"/>
  <c r="H88" i="30"/>
  <c r="G88" i="30"/>
  <c r="G84" i="30"/>
  <c r="G83" i="30"/>
  <c r="G82" i="30"/>
  <c r="AK81" i="30"/>
  <c r="AJ81" i="30"/>
  <c r="AI81" i="30"/>
  <c r="AH81" i="30"/>
  <c r="AG81" i="30"/>
  <c r="AF81" i="30"/>
  <c r="AE81" i="30"/>
  <c r="AD81" i="30"/>
  <c r="AC81" i="30"/>
  <c r="AB81" i="30"/>
  <c r="AA81" i="30"/>
  <c r="Z81" i="30"/>
  <c r="Y81" i="30"/>
  <c r="X81" i="30"/>
  <c r="W81" i="30"/>
  <c r="V81" i="30"/>
  <c r="U81" i="30"/>
  <c r="T81" i="30"/>
  <c r="S81" i="30"/>
  <c r="R81" i="30"/>
  <c r="Q81" i="30"/>
  <c r="P81" i="30"/>
  <c r="O81" i="30"/>
  <c r="N81" i="30"/>
  <c r="M81" i="30"/>
  <c r="L81" i="30"/>
  <c r="K81" i="30"/>
  <c r="J81" i="30"/>
  <c r="I81" i="30"/>
  <c r="H81" i="30"/>
  <c r="G81" i="30"/>
  <c r="G76" i="30"/>
  <c r="AK61" i="30"/>
  <c r="AK371" i="30" s="1"/>
  <c r="AJ61" i="30"/>
  <c r="AJ371" i="30" s="1"/>
  <c r="AI61" i="30"/>
  <c r="AI371" i="30" s="1"/>
  <c r="AH61" i="30"/>
  <c r="AH371" i="30" s="1"/>
  <c r="AG61" i="30"/>
  <c r="AG371" i="30" s="1"/>
  <c r="AF61" i="30"/>
  <c r="AF371" i="30" s="1"/>
  <c r="AE61" i="30"/>
  <c r="AE371" i="30" s="1"/>
  <c r="AD61" i="30"/>
  <c r="AD371" i="30" s="1"/>
  <c r="AC61" i="30"/>
  <c r="AC371" i="30" s="1"/>
  <c r="AB61" i="30"/>
  <c r="AB371" i="30" s="1"/>
  <c r="AA61" i="30"/>
  <c r="Z61" i="30"/>
  <c r="Y61" i="30"/>
  <c r="Y371" i="30" s="1"/>
  <c r="X61" i="30"/>
  <c r="X371" i="30" s="1"/>
  <c r="W61" i="30"/>
  <c r="V61" i="30"/>
  <c r="V371" i="30" s="1"/>
  <c r="U61" i="30"/>
  <c r="U371" i="30" s="1"/>
  <c r="T61" i="30"/>
  <c r="T371" i="30" s="1"/>
  <c r="S61" i="30"/>
  <c r="S371" i="30" s="1"/>
  <c r="R61" i="30"/>
  <c r="R371" i="30" s="1"/>
  <c r="Q61" i="30"/>
  <c r="Q371" i="30" s="1"/>
  <c r="P61" i="30"/>
  <c r="P371" i="30" s="1"/>
  <c r="O61" i="30"/>
  <c r="O371" i="30" s="1"/>
  <c r="N61" i="30"/>
  <c r="M61" i="30"/>
  <c r="M371" i="30" s="1"/>
  <c r="L61" i="30"/>
  <c r="L371" i="30" s="1"/>
  <c r="K61" i="30"/>
  <c r="K371" i="30" s="1"/>
  <c r="J61" i="30"/>
  <c r="I61" i="30"/>
  <c r="I371" i="30" s="1"/>
  <c r="H61" i="30"/>
  <c r="H371" i="30" s="1"/>
  <c r="G61" i="30"/>
  <c r="AK52" i="30"/>
  <c r="AJ52" i="30"/>
  <c r="AI52" i="30"/>
  <c r="AH52" i="30"/>
  <c r="AG52" i="30"/>
  <c r="AF52" i="30"/>
  <c r="AE52" i="30"/>
  <c r="AD52" i="30"/>
  <c r="AC52" i="30"/>
  <c r="AB52" i="30"/>
  <c r="AA52" i="30"/>
  <c r="Z52" i="30"/>
  <c r="Y52" i="30"/>
  <c r="X52" i="30"/>
  <c r="W52" i="30"/>
  <c r="V52" i="30"/>
  <c r="U52" i="30"/>
  <c r="T52" i="30"/>
  <c r="S52" i="30"/>
  <c r="R52" i="30"/>
  <c r="Q52" i="30"/>
  <c r="P52" i="30"/>
  <c r="O52" i="30"/>
  <c r="N52" i="30"/>
  <c r="M52" i="30"/>
  <c r="L52" i="30"/>
  <c r="K52" i="30"/>
  <c r="J52" i="30"/>
  <c r="I52" i="30"/>
  <c r="H52" i="30"/>
  <c r="G52" i="30"/>
  <c r="AK51" i="30"/>
  <c r="AJ51" i="30"/>
  <c r="AI51" i="30"/>
  <c r="AH51" i="30"/>
  <c r="AG51" i="30"/>
  <c r="AF51" i="30"/>
  <c r="AE51" i="30"/>
  <c r="AD51" i="30"/>
  <c r="AC51" i="30"/>
  <c r="AB51" i="30"/>
  <c r="AA51" i="30"/>
  <c r="Z51" i="30"/>
  <c r="Y51" i="30"/>
  <c r="X51" i="30"/>
  <c r="W51" i="30"/>
  <c r="V51" i="30"/>
  <c r="U51" i="30"/>
  <c r="T51" i="30"/>
  <c r="S51" i="30"/>
  <c r="R51" i="30"/>
  <c r="Q51" i="30"/>
  <c r="P51" i="30"/>
  <c r="O51" i="30"/>
  <c r="N51" i="30"/>
  <c r="M51" i="30"/>
  <c r="L51" i="30"/>
  <c r="K51" i="30"/>
  <c r="J51" i="30"/>
  <c r="I51" i="30"/>
  <c r="H51" i="30"/>
  <c r="G51" i="30"/>
  <c r="AK50" i="30"/>
  <c r="AJ50" i="30"/>
  <c r="AI50" i="30"/>
  <c r="AH50" i="30"/>
  <c r="AG50" i="30"/>
  <c r="AF50" i="30"/>
  <c r="AE50" i="30"/>
  <c r="AD50" i="30"/>
  <c r="AC50" i="30"/>
  <c r="AB50" i="30"/>
  <c r="AA50" i="30"/>
  <c r="Z50" i="30"/>
  <c r="Y50" i="30"/>
  <c r="X50" i="30"/>
  <c r="W50" i="30"/>
  <c r="V50" i="30"/>
  <c r="U50" i="30"/>
  <c r="T50" i="30"/>
  <c r="S50" i="30"/>
  <c r="R50" i="30"/>
  <c r="Q50" i="30"/>
  <c r="P50" i="30"/>
  <c r="O50" i="30"/>
  <c r="N50" i="30"/>
  <c r="M50" i="30"/>
  <c r="L50" i="30"/>
  <c r="K50" i="30"/>
  <c r="J50" i="30"/>
  <c r="I50" i="30"/>
  <c r="H50" i="30"/>
  <c r="G50" i="30"/>
  <c r="AK49" i="30"/>
  <c r="AJ49" i="30"/>
  <c r="AI49" i="30"/>
  <c r="AH49" i="30"/>
  <c r="AG49" i="30"/>
  <c r="AF49" i="30"/>
  <c r="AE49" i="30"/>
  <c r="AD49" i="30"/>
  <c r="AC49" i="30"/>
  <c r="AB49" i="30"/>
  <c r="AA49" i="30"/>
  <c r="Z49" i="30"/>
  <c r="Y49" i="30"/>
  <c r="X49" i="30"/>
  <c r="W49" i="30"/>
  <c r="V49" i="30"/>
  <c r="U49" i="30"/>
  <c r="T49" i="30"/>
  <c r="S49" i="30"/>
  <c r="R49" i="30"/>
  <c r="Q49" i="30"/>
  <c r="P49" i="30"/>
  <c r="O49" i="30"/>
  <c r="N49" i="30"/>
  <c r="M49" i="30"/>
  <c r="L49" i="30"/>
  <c r="K49" i="30"/>
  <c r="J49" i="30"/>
  <c r="I49" i="30"/>
  <c r="H49" i="30"/>
  <c r="G49" i="30"/>
  <c r="G128" i="30"/>
  <c r="AK86" i="19"/>
  <c r="AJ86" i="19"/>
  <c r="AI86" i="19"/>
  <c r="AH86" i="19"/>
  <c r="AG86" i="19"/>
  <c r="AF86" i="19"/>
  <c r="AE86" i="19"/>
  <c r="AD86" i="19"/>
  <c r="AC86" i="19"/>
  <c r="AB86" i="19"/>
  <c r="AA86" i="19"/>
  <c r="Z86" i="19"/>
  <c r="Y86" i="19"/>
  <c r="X86" i="19"/>
  <c r="W86" i="19"/>
  <c r="V86" i="19"/>
  <c r="U86" i="19"/>
  <c r="T86" i="19"/>
  <c r="S86" i="19"/>
  <c r="R86" i="19"/>
  <c r="Q86" i="19"/>
  <c r="P86" i="19"/>
  <c r="O86" i="19"/>
  <c r="N86" i="19"/>
  <c r="M86" i="19"/>
  <c r="L86" i="19"/>
  <c r="K86" i="19"/>
  <c r="J86" i="19"/>
  <c r="C72" i="19"/>
  <c r="AK388" i="29"/>
  <c r="AJ388" i="29"/>
  <c r="AI388" i="29"/>
  <c r="AH388" i="29"/>
  <c r="AG388" i="29"/>
  <c r="AF388" i="29"/>
  <c r="AE388" i="29"/>
  <c r="AD388" i="29"/>
  <c r="AC388" i="29"/>
  <c r="AB388" i="29"/>
  <c r="AA388" i="29"/>
  <c r="Z388" i="29"/>
  <c r="Y388" i="29"/>
  <c r="X388" i="29"/>
  <c r="W388" i="29"/>
  <c r="V388" i="29"/>
  <c r="U388" i="29"/>
  <c r="T388" i="29"/>
  <c r="S388" i="29"/>
  <c r="R388" i="29"/>
  <c r="Q388" i="29"/>
  <c r="P388" i="29"/>
  <c r="O388" i="29"/>
  <c r="N388" i="29"/>
  <c r="M388" i="29"/>
  <c r="L388" i="29"/>
  <c r="K388" i="29"/>
  <c r="J388" i="29"/>
  <c r="I388" i="29"/>
  <c r="H388" i="29"/>
  <c r="G388" i="29"/>
  <c r="AK387" i="29"/>
  <c r="AJ387" i="29"/>
  <c r="AI387" i="29"/>
  <c r="AH387" i="29"/>
  <c r="AG387" i="29"/>
  <c r="AF387" i="29"/>
  <c r="AE387" i="29"/>
  <c r="AD387" i="29"/>
  <c r="AC387" i="29"/>
  <c r="AB387" i="29"/>
  <c r="AA387" i="29"/>
  <c r="Z387" i="29"/>
  <c r="Y387" i="29"/>
  <c r="X387" i="29"/>
  <c r="W387" i="29"/>
  <c r="V387" i="29"/>
  <c r="U387" i="29"/>
  <c r="T387" i="29"/>
  <c r="S387" i="29"/>
  <c r="R387" i="29"/>
  <c r="Q387" i="29"/>
  <c r="P387" i="29"/>
  <c r="O387" i="29"/>
  <c r="N387" i="29"/>
  <c r="M387" i="29"/>
  <c r="L387" i="29"/>
  <c r="K387" i="29"/>
  <c r="J387" i="29"/>
  <c r="I387" i="29"/>
  <c r="H387" i="29"/>
  <c r="G387" i="29"/>
  <c r="AK386" i="29"/>
  <c r="AJ386" i="29"/>
  <c r="AI386" i="29"/>
  <c r="AH386" i="29"/>
  <c r="AG386" i="29"/>
  <c r="AF386" i="29"/>
  <c r="AE386" i="29"/>
  <c r="AD386" i="29"/>
  <c r="AC386" i="29"/>
  <c r="AB386" i="29"/>
  <c r="AA386" i="29"/>
  <c r="Z386" i="29"/>
  <c r="Y386" i="29"/>
  <c r="X386" i="29"/>
  <c r="W386" i="29"/>
  <c r="V386" i="29"/>
  <c r="U386" i="29"/>
  <c r="T386" i="29"/>
  <c r="S386" i="29"/>
  <c r="R386" i="29"/>
  <c r="Q386" i="29"/>
  <c r="P386" i="29"/>
  <c r="O386" i="29"/>
  <c r="N386" i="29"/>
  <c r="M386" i="29"/>
  <c r="L386" i="29"/>
  <c r="K386" i="29"/>
  <c r="J386" i="29"/>
  <c r="I386" i="29"/>
  <c r="H386" i="29"/>
  <c r="G386" i="29"/>
  <c r="AK370" i="29"/>
  <c r="AJ370" i="29"/>
  <c r="AI370" i="29"/>
  <c r="AH370" i="29"/>
  <c r="AG370" i="29"/>
  <c r="AF370" i="29"/>
  <c r="AE370" i="29"/>
  <c r="AD370" i="29"/>
  <c r="AC370" i="29"/>
  <c r="AB370" i="29"/>
  <c r="AA370" i="29"/>
  <c r="Z370" i="29"/>
  <c r="Y370" i="29"/>
  <c r="X370" i="29"/>
  <c r="W370" i="29"/>
  <c r="V370" i="29"/>
  <c r="U370" i="29"/>
  <c r="T370" i="29"/>
  <c r="S370" i="29"/>
  <c r="R370" i="29"/>
  <c r="Q370" i="29"/>
  <c r="P370" i="29"/>
  <c r="O370" i="29"/>
  <c r="N370" i="29"/>
  <c r="M370" i="29"/>
  <c r="L370" i="29"/>
  <c r="K370" i="29"/>
  <c r="J370" i="29"/>
  <c r="I370" i="29"/>
  <c r="H370" i="29"/>
  <c r="G370" i="29"/>
  <c r="AK369" i="29"/>
  <c r="AJ369" i="29"/>
  <c r="AI369" i="29"/>
  <c r="AH369" i="29"/>
  <c r="AG369" i="29"/>
  <c r="AF369" i="29"/>
  <c r="AE369" i="29"/>
  <c r="AD369" i="29"/>
  <c r="AC369" i="29"/>
  <c r="AB369" i="29"/>
  <c r="AA369" i="29"/>
  <c r="Z369" i="29"/>
  <c r="Y369" i="29"/>
  <c r="X369" i="29"/>
  <c r="W369" i="29"/>
  <c r="V369" i="29"/>
  <c r="U369" i="29"/>
  <c r="T369" i="29"/>
  <c r="S369" i="29"/>
  <c r="R369" i="29"/>
  <c r="Q369" i="29"/>
  <c r="P369" i="29"/>
  <c r="O369" i="29"/>
  <c r="N369" i="29"/>
  <c r="M369" i="29"/>
  <c r="L369" i="29"/>
  <c r="K369" i="29"/>
  <c r="J369" i="29"/>
  <c r="I369" i="29"/>
  <c r="H369" i="29"/>
  <c r="G369" i="29"/>
  <c r="AK368" i="29"/>
  <c r="AJ368" i="29"/>
  <c r="AI368" i="29"/>
  <c r="AH368" i="29"/>
  <c r="AG368" i="29"/>
  <c r="AF368" i="29"/>
  <c r="AE368" i="29"/>
  <c r="AD368" i="29"/>
  <c r="AC368" i="29"/>
  <c r="AB368" i="29"/>
  <c r="AA368" i="29"/>
  <c r="Z368" i="29"/>
  <c r="Y368" i="29"/>
  <c r="X368" i="29"/>
  <c r="W368" i="29"/>
  <c r="V368" i="29"/>
  <c r="U368" i="29"/>
  <c r="T368" i="29"/>
  <c r="S368" i="29"/>
  <c r="R368" i="29"/>
  <c r="Q368" i="29"/>
  <c r="P368" i="29"/>
  <c r="O368" i="29"/>
  <c r="N368" i="29"/>
  <c r="M368" i="29"/>
  <c r="L368" i="29"/>
  <c r="K368" i="29"/>
  <c r="J368" i="29"/>
  <c r="I368" i="29"/>
  <c r="H368" i="29"/>
  <c r="G368" i="29"/>
  <c r="H359" i="29"/>
  <c r="G359" i="29"/>
  <c r="G355" i="29"/>
  <c r="G354" i="29"/>
  <c r="G353" i="29"/>
  <c r="AK352" i="29"/>
  <c r="AJ352" i="29"/>
  <c r="AI352" i="29"/>
  <c r="AH352" i="29"/>
  <c r="AG352" i="29"/>
  <c r="AF352" i="29"/>
  <c r="AE352" i="29"/>
  <c r="AD352" i="29"/>
  <c r="AC352" i="29"/>
  <c r="AB352" i="29"/>
  <c r="AA352" i="29"/>
  <c r="Z352" i="29"/>
  <c r="Y352" i="29"/>
  <c r="X352" i="29"/>
  <c r="W352" i="29"/>
  <c r="V352" i="29"/>
  <c r="U352" i="29"/>
  <c r="T352" i="29"/>
  <c r="S352" i="29"/>
  <c r="R352" i="29"/>
  <c r="Q352" i="29"/>
  <c r="P352" i="29"/>
  <c r="O352" i="29"/>
  <c r="N352" i="29"/>
  <c r="M352" i="29"/>
  <c r="L352" i="29"/>
  <c r="K352" i="29"/>
  <c r="J352" i="29"/>
  <c r="I352" i="29"/>
  <c r="H352" i="29"/>
  <c r="G352" i="29"/>
  <c r="G347" i="29"/>
  <c r="H355" i="29"/>
  <c r="AK331" i="29"/>
  <c r="AJ331" i="29"/>
  <c r="AI331" i="29"/>
  <c r="AH331" i="29"/>
  <c r="AG331" i="29"/>
  <c r="AF331" i="29"/>
  <c r="AE331" i="29"/>
  <c r="AD331" i="29"/>
  <c r="AC331" i="29"/>
  <c r="AB331" i="29"/>
  <c r="AA331" i="29"/>
  <c r="Z331" i="29"/>
  <c r="Y331" i="29"/>
  <c r="X331" i="29"/>
  <c r="W331" i="29"/>
  <c r="V331" i="29"/>
  <c r="U331" i="29"/>
  <c r="T331" i="29"/>
  <c r="S331" i="29"/>
  <c r="R331" i="29"/>
  <c r="Q331" i="29"/>
  <c r="P331" i="29"/>
  <c r="O331" i="29"/>
  <c r="N331" i="29"/>
  <c r="M331" i="29"/>
  <c r="L331" i="29"/>
  <c r="K331" i="29"/>
  <c r="J331" i="29"/>
  <c r="I331" i="29"/>
  <c r="H331" i="29"/>
  <c r="G331" i="29"/>
  <c r="AK330" i="29"/>
  <c r="AJ330" i="29"/>
  <c r="AI330" i="29"/>
  <c r="AH330" i="29"/>
  <c r="AG330" i="29"/>
  <c r="AF330" i="29"/>
  <c r="AE330" i="29"/>
  <c r="AD330" i="29"/>
  <c r="AC330" i="29"/>
  <c r="AB330" i="29"/>
  <c r="AA330" i="29"/>
  <c r="Z330" i="29"/>
  <c r="Y330" i="29"/>
  <c r="X330" i="29"/>
  <c r="W330" i="29"/>
  <c r="V330" i="29"/>
  <c r="U330" i="29"/>
  <c r="T330" i="29"/>
  <c r="S330" i="29"/>
  <c r="R330" i="29"/>
  <c r="Q330" i="29"/>
  <c r="P330" i="29"/>
  <c r="O330" i="29"/>
  <c r="N330" i="29"/>
  <c r="M330" i="29"/>
  <c r="L330" i="29"/>
  <c r="K330" i="29"/>
  <c r="J330" i="29"/>
  <c r="I330" i="29"/>
  <c r="H330" i="29"/>
  <c r="G330" i="29"/>
  <c r="AK329" i="29"/>
  <c r="AJ329" i="29"/>
  <c r="AI329" i="29"/>
  <c r="AH329" i="29"/>
  <c r="AG329" i="29"/>
  <c r="AF329" i="29"/>
  <c r="AE329" i="29"/>
  <c r="AD329" i="29"/>
  <c r="AC329" i="29"/>
  <c r="AB329" i="29"/>
  <c r="AA329" i="29"/>
  <c r="Z329" i="29"/>
  <c r="Y329" i="29"/>
  <c r="X329" i="29"/>
  <c r="W329" i="29"/>
  <c r="V329" i="29"/>
  <c r="U329" i="29"/>
  <c r="T329" i="29"/>
  <c r="S329" i="29"/>
  <c r="R329" i="29"/>
  <c r="Q329" i="29"/>
  <c r="P329" i="29"/>
  <c r="O329" i="29"/>
  <c r="N329" i="29"/>
  <c r="M329" i="29"/>
  <c r="L329" i="29"/>
  <c r="K329" i="29"/>
  <c r="J329" i="29"/>
  <c r="I329" i="29"/>
  <c r="H329" i="29"/>
  <c r="G329" i="29"/>
  <c r="AK328" i="29"/>
  <c r="AJ328" i="29"/>
  <c r="AI328" i="29"/>
  <c r="AH328" i="29"/>
  <c r="AG328" i="29"/>
  <c r="AF328" i="29"/>
  <c r="AE328" i="29"/>
  <c r="AD328" i="29"/>
  <c r="AC328" i="29"/>
  <c r="AB328" i="29"/>
  <c r="AA328" i="29"/>
  <c r="Z328" i="29"/>
  <c r="Y328" i="29"/>
  <c r="X328" i="29"/>
  <c r="W328" i="29"/>
  <c r="V328" i="29"/>
  <c r="U328" i="29"/>
  <c r="T328" i="29"/>
  <c r="S328" i="29"/>
  <c r="R328" i="29"/>
  <c r="Q328" i="29"/>
  <c r="P328" i="29"/>
  <c r="O328" i="29"/>
  <c r="N328" i="29"/>
  <c r="M328" i="29"/>
  <c r="L328" i="29"/>
  <c r="K328" i="29"/>
  <c r="J328" i="29"/>
  <c r="I328" i="29"/>
  <c r="H328" i="29"/>
  <c r="G328" i="29"/>
  <c r="AK327" i="29"/>
  <c r="AJ327" i="29"/>
  <c r="AI327" i="29"/>
  <c r="AH327" i="29"/>
  <c r="AG327" i="29"/>
  <c r="AF327" i="29"/>
  <c r="AE327" i="29"/>
  <c r="AD327" i="29"/>
  <c r="AC327" i="29"/>
  <c r="AB327" i="29"/>
  <c r="AA327" i="29"/>
  <c r="Z327" i="29"/>
  <c r="Y327" i="29"/>
  <c r="X327" i="29"/>
  <c r="W327" i="29"/>
  <c r="V327" i="29"/>
  <c r="U327" i="29"/>
  <c r="T327" i="29"/>
  <c r="S327" i="29"/>
  <c r="R327" i="29"/>
  <c r="Q327" i="29"/>
  <c r="P327" i="29"/>
  <c r="O327" i="29"/>
  <c r="N327" i="29"/>
  <c r="M327" i="29"/>
  <c r="L327" i="29"/>
  <c r="K327" i="29"/>
  <c r="J327" i="29"/>
  <c r="I327" i="29"/>
  <c r="H327" i="29"/>
  <c r="G327" i="29"/>
  <c r="AK326" i="29"/>
  <c r="AJ326" i="29"/>
  <c r="AI326" i="29"/>
  <c r="AH326" i="29"/>
  <c r="AG326" i="29"/>
  <c r="AF326" i="29"/>
  <c r="AE326" i="29"/>
  <c r="AD326" i="29"/>
  <c r="AC326" i="29"/>
  <c r="AB326" i="29"/>
  <c r="AA326" i="29"/>
  <c r="Z326" i="29"/>
  <c r="Y326" i="29"/>
  <c r="X326" i="29"/>
  <c r="W326" i="29"/>
  <c r="V326" i="29"/>
  <c r="U326" i="29"/>
  <c r="T326" i="29"/>
  <c r="S326" i="29"/>
  <c r="R326" i="29"/>
  <c r="Q326" i="29"/>
  <c r="P326" i="29"/>
  <c r="O326" i="29"/>
  <c r="N326" i="29"/>
  <c r="M326" i="29"/>
  <c r="L326" i="29"/>
  <c r="K326" i="29"/>
  <c r="J326" i="29"/>
  <c r="I326" i="29"/>
  <c r="H326" i="29"/>
  <c r="G326" i="29"/>
  <c r="AK325" i="29"/>
  <c r="AJ325" i="29"/>
  <c r="AI325" i="29"/>
  <c r="AH325" i="29"/>
  <c r="AG325" i="29"/>
  <c r="AF325" i="29"/>
  <c r="AE325" i="29"/>
  <c r="AD325" i="29"/>
  <c r="AC325" i="29"/>
  <c r="AB325" i="29"/>
  <c r="AA325" i="29"/>
  <c r="Z325" i="29"/>
  <c r="Y325" i="29"/>
  <c r="X325" i="29"/>
  <c r="W325" i="29"/>
  <c r="V325" i="29"/>
  <c r="U325" i="29"/>
  <c r="T325" i="29"/>
  <c r="S325" i="29"/>
  <c r="R325" i="29"/>
  <c r="Q325" i="29"/>
  <c r="P325" i="29"/>
  <c r="O325" i="29"/>
  <c r="N325" i="29"/>
  <c r="M325" i="29"/>
  <c r="L325" i="29"/>
  <c r="K325" i="29"/>
  <c r="J325" i="29"/>
  <c r="I325" i="29"/>
  <c r="H325" i="29"/>
  <c r="G325" i="29"/>
  <c r="G324" i="29"/>
  <c r="AK319" i="29"/>
  <c r="AJ319" i="29"/>
  <c r="AI319" i="29"/>
  <c r="AH319" i="29"/>
  <c r="AG319" i="29"/>
  <c r="AF319" i="29"/>
  <c r="AE319" i="29"/>
  <c r="AD319" i="29"/>
  <c r="AC319" i="29"/>
  <c r="AB319" i="29"/>
  <c r="AA319" i="29"/>
  <c r="Z319" i="29"/>
  <c r="Y319" i="29"/>
  <c r="X319" i="29"/>
  <c r="W319" i="29"/>
  <c r="V319" i="29"/>
  <c r="U319" i="29"/>
  <c r="T319" i="29"/>
  <c r="S319" i="29"/>
  <c r="R319" i="29"/>
  <c r="Q319" i="29"/>
  <c r="P319" i="29"/>
  <c r="O319" i="29"/>
  <c r="N319" i="29"/>
  <c r="M319" i="29"/>
  <c r="L319" i="29"/>
  <c r="K319" i="29"/>
  <c r="J319" i="29"/>
  <c r="I319" i="29"/>
  <c r="H319" i="29"/>
  <c r="G319" i="29"/>
  <c r="AK318" i="29"/>
  <c r="AJ318" i="29"/>
  <c r="AI318" i="29"/>
  <c r="AH318" i="29"/>
  <c r="AG318" i="29"/>
  <c r="AF318" i="29"/>
  <c r="AE318" i="29"/>
  <c r="AD318" i="29"/>
  <c r="AC318" i="29"/>
  <c r="AB318" i="29"/>
  <c r="AA318" i="29"/>
  <c r="Z318" i="29"/>
  <c r="Y318" i="29"/>
  <c r="X318" i="29"/>
  <c r="W318" i="29"/>
  <c r="V318" i="29"/>
  <c r="U318" i="29"/>
  <c r="T318" i="29"/>
  <c r="S318" i="29"/>
  <c r="R318" i="29"/>
  <c r="Q318" i="29"/>
  <c r="P318" i="29"/>
  <c r="O318" i="29"/>
  <c r="N318" i="29"/>
  <c r="M318" i="29"/>
  <c r="L318" i="29"/>
  <c r="K318" i="29"/>
  <c r="J318" i="29"/>
  <c r="I318" i="29"/>
  <c r="H318" i="29"/>
  <c r="G318" i="29"/>
  <c r="AK317" i="29"/>
  <c r="AJ317" i="29"/>
  <c r="AI317" i="29"/>
  <c r="AH317" i="29"/>
  <c r="AG317" i="29"/>
  <c r="AF317" i="29"/>
  <c r="AE317" i="29"/>
  <c r="AD317" i="29"/>
  <c r="AC317" i="29"/>
  <c r="AB317" i="29"/>
  <c r="AA317" i="29"/>
  <c r="Z317" i="29"/>
  <c r="Y317" i="29"/>
  <c r="X317" i="29"/>
  <c r="W317" i="29"/>
  <c r="V317" i="29"/>
  <c r="U317" i="29"/>
  <c r="T317" i="29"/>
  <c r="S317" i="29"/>
  <c r="R317" i="29"/>
  <c r="Q317" i="29"/>
  <c r="P317" i="29"/>
  <c r="O317" i="29"/>
  <c r="N317" i="29"/>
  <c r="M317" i="29"/>
  <c r="L317" i="29"/>
  <c r="K317" i="29"/>
  <c r="J317" i="29"/>
  <c r="I317" i="29"/>
  <c r="H317" i="29"/>
  <c r="G317" i="29"/>
  <c r="AK316" i="29"/>
  <c r="AJ316" i="29"/>
  <c r="AI316" i="29"/>
  <c r="AH316" i="29"/>
  <c r="AG316" i="29"/>
  <c r="AF316" i="29"/>
  <c r="AE316" i="29"/>
  <c r="AD316" i="29"/>
  <c r="AC316" i="29"/>
  <c r="AB316" i="29"/>
  <c r="AA316" i="29"/>
  <c r="Z316" i="29"/>
  <c r="Y316" i="29"/>
  <c r="X316" i="29"/>
  <c r="W316" i="29"/>
  <c r="V316" i="29"/>
  <c r="U316" i="29"/>
  <c r="T316" i="29"/>
  <c r="S316" i="29"/>
  <c r="R316" i="29"/>
  <c r="Q316" i="29"/>
  <c r="P316" i="29"/>
  <c r="O316" i="29"/>
  <c r="N316" i="29"/>
  <c r="M316" i="29"/>
  <c r="L316" i="29"/>
  <c r="K316" i="29"/>
  <c r="J316" i="29"/>
  <c r="I316" i="29"/>
  <c r="H316" i="29"/>
  <c r="G316" i="29"/>
  <c r="AK314" i="29"/>
  <c r="AJ314" i="29"/>
  <c r="AI314" i="29"/>
  <c r="AH314" i="29"/>
  <c r="AG314" i="29"/>
  <c r="AF314" i="29"/>
  <c r="AE314" i="29"/>
  <c r="AD314" i="29"/>
  <c r="AC314" i="29"/>
  <c r="AB314" i="29"/>
  <c r="AA314" i="29"/>
  <c r="Z314" i="29"/>
  <c r="Y314" i="29"/>
  <c r="X314" i="29"/>
  <c r="W314" i="29"/>
  <c r="V314" i="29"/>
  <c r="U314" i="29"/>
  <c r="T314" i="29"/>
  <c r="S314" i="29"/>
  <c r="R314" i="29"/>
  <c r="Q314" i="29"/>
  <c r="P314" i="29"/>
  <c r="O314" i="29"/>
  <c r="M314" i="29"/>
  <c r="L314" i="29"/>
  <c r="K314" i="29"/>
  <c r="J314" i="29"/>
  <c r="I314" i="29"/>
  <c r="H314" i="29"/>
  <c r="G314" i="29"/>
  <c r="AK311" i="29"/>
  <c r="AJ311" i="29"/>
  <c r="AI311" i="29"/>
  <c r="AH311" i="29"/>
  <c r="AG311" i="29"/>
  <c r="AF311" i="29"/>
  <c r="AE311" i="29"/>
  <c r="AD311" i="29"/>
  <c r="AC311" i="29"/>
  <c r="AB311" i="29"/>
  <c r="AA311" i="29"/>
  <c r="Z311" i="29"/>
  <c r="Y311" i="29"/>
  <c r="X311" i="29"/>
  <c r="W311" i="29"/>
  <c r="V311" i="29"/>
  <c r="U311" i="29"/>
  <c r="T311" i="29"/>
  <c r="S311" i="29"/>
  <c r="R311" i="29"/>
  <c r="Q311" i="29"/>
  <c r="P311" i="29"/>
  <c r="O311" i="29"/>
  <c r="N311" i="29"/>
  <c r="M311" i="29"/>
  <c r="L311" i="29"/>
  <c r="K311" i="29"/>
  <c r="J311" i="29"/>
  <c r="I311" i="29"/>
  <c r="H311" i="29"/>
  <c r="G311" i="29"/>
  <c r="AK310" i="29"/>
  <c r="AJ310" i="29"/>
  <c r="AI310" i="29"/>
  <c r="AH310" i="29"/>
  <c r="AG310" i="29"/>
  <c r="AF310" i="29"/>
  <c r="AE310" i="29"/>
  <c r="AD310" i="29"/>
  <c r="AC310" i="29"/>
  <c r="AB310" i="29"/>
  <c r="AA310" i="29"/>
  <c r="Z310" i="29"/>
  <c r="Y310" i="29"/>
  <c r="X310" i="29"/>
  <c r="W310" i="29"/>
  <c r="V310" i="29"/>
  <c r="U310" i="29"/>
  <c r="T310" i="29"/>
  <c r="S310" i="29"/>
  <c r="R310" i="29"/>
  <c r="Q310" i="29"/>
  <c r="P310" i="29"/>
  <c r="O310" i="29"/>
  <c r="N310" i="29"/>
  <c r="M310" i="29"/>
  <c r="L310" i="29"/>
  <c r="K310" i="29"/>
  <c r="J310" i="29"/>
  <c r="I310" i="29"/>
  <c r="H310" i="29"/>
  <c r="G310" i="29"/>
  <c r="AK308" i="29"/>
  <c r="AJ308" i="29"/>
  <c r="AI308" i="29"/>
  <c r="AH308" i="29"/>
  <c r="AG308" i="29"/>
  <c r="AF308" i="29"/>
  <c r="AE308" i="29"/>
  <c r="AD308" i="29"/>
  <c r="AC308" i="29"/>
  <c r="AB308" i="29"/>
  <c r="AA308" i="29"/>
  <c r="Z308" i="29"/>
  <c r="Y308" i="29"/>
  <c r="X308" i="29"/>
  <c r="W308" i="29"/>
  <c r="V308" i="29"/>
  <c r="U308" i="29"/>
  <c r="T308" i="29"/>
  <c r="S308" i="29"/>
  <c r="R308" i="29"/>
  <c r="Q308" i="29"/>
  <c r="P308" i="29"/>
  <c r="O308" i="29"/>
  <c r="N308" i="29"/>
  <c r="M308" i="29"/>
  <c r="L308" i="29"/>
  <c r="K308" i="29"/>
  <c r="J308" i="29"/>
  <c r="I308" i="29"/>
  <c r="H308" i="29"/>
  <c r="G308" i="29"/>
  <c r="AK307" i="29"/>
  <c r="AJ307" i="29"/>
  <c r="AI307" i="29"/>
  <c r="AH307" i="29"/>
  <c r="AG307" i="29"/>
  <c r="AF307" i="29"/>
  <c r="AE307" i="29"/>
  <c r="AD307" i="29"/>
  <c r="AC307" i="29"/>
  <c r="AB307" i="29"/>
  <c r="AA307" i="29"/>
  <c r="Z307" i="29"/>
  <c r="Y307" i="29"/>
  <c r="X307" i="29"/>
  <c r="W307" i="29"/>
  <c r="V307" i="29"/>
  <c r="U307" i="29"/>
  <c r="T307" i="29"/>
  <c r="S307" i="29"/>
  <c r="R307" i="29"/>
  <c r="Q307" i="29"/>
  <c r="P307" i="29"/>
  <c r="O307" i="29"/>
  <c r="N307" i="29"/>
  <c r="M307" i="29"/>
  <c r="L307" i="29"/>
  <c r="K307" i="29"/>
  <c r="J307" i="29"/>
  <c r="I307" i="29"/>
  <c r="H307" i="29"/>
  <c r="G307" i="29"/>
  <c r="AK306" i="29"/>
  <c r="AJ306" i="29"/>
  <c r="AI306" i="29"/>
  <c r="AH306" i="29"/>
  <c r="AG306" i="29"/>
  <c r="AF306" i="29"/>
  <c r="AE306" i="29"/>
  <c r="AD306" i="29"/>
  <c r="AC306" i="29"/>
  <c r="AB306" i="29"/>
  <c r="AA306" i="29"/>
  <c r="Z306" i="29"/>
  <c r="Y306" i="29"/>
  <c r="X306" i="29"/>
  <c r="W306" i="29"/>
  <c r="V306" i="29"/>
  <c r="U306" i="29"/>
  <c r="T306" i="29"/>
  <c r="S306" i="29"/>
  <c r="R306" i="29"/>
  <c r="Q306" i="29"/>
  <c r="P306" i="29"/>
  <c r="O306" i="29"/>
  <c r="N306" i="29"/>
  <c r="M306" i="29"/>
  <c r="L306" i="29"/>
  <c r="K306" i="29"/>
  <c r="J306" i="29"/>
  <c r="I306" i="29"/>
  <c r="H306" i="29"/>
  <c r="G306" i="29"/>
  <c r="AK305" i="29"/>
  <c r="AJ305" i="29"/>
  <c r="AI305" i="29"/>
  <c r="AH305" i="29"/>
  <c r="AG305" i="29"/>
  <c r="AF305" i="29"/>
  <c r="AE305" i="29"/>
  <c r="AD305" i="29"/>
  <c r="AC305" i="29"/>
  <c r="AB305" i="29"/>
  <c r="AA305" i="29"/>
  <c r="Z305" i="29"/>
  <c r="Y305" i="29"/>
  <c r="X305" i="29"/>
  <c r="W305" i="29"/>
  <c r="V305" i="29"/>
  <c r="U305" i="29"/>
  <c r="T305" i="29"/>
  <c r="S305" i="29"/>
  <c r="R305" i="29"/>
  <c r="Q305" i="29"/>
  <c r="P305" i="29"/>
  <c r="O305" i="29"/>
  <c r="N305" i="29"/>
  <c r="M305" i="29"/>
  <c r="L305" i="29"/>
  <c r="K305" i="29"/>
  <c r="J305" i="29"/>
  <c r="I305" i="29"/>
  <c r="H305" i="29"/>
  <c r="G305" i="29"/>
  <c r="AK304" i="29"/>
  <c r="AK361" i="29" s="1"/>
  <c r="AJ304" i="29"/>
  <c r="AJ361" i="29" s="1"/>
  <c r="AI304" i="29"/>
  <c r="AI361" i="29" s="1"/>
  <c r="AH304" i="29"/>
  <c r="AH361" i="29" s="1"/>
  <c r="AG304" i="29"/>
  <c r="AG361" i="29" s="1"/>
  <c r="AF304" i="29"/>
  <c r="AF361" i="29" s="1"/>
  <c r="AE304" i="29"/>
  <c r="AE361" i="29" s="1"/>
  <c r="AD304" i="29"/>
  <c r="AD361" i="29" s="1"/>
  <c r="AC304" i="29"/>
  <c r="AC361" i="29" s="1"/>
  <c r="AB304" i="29"/>
  <c r="AB361" i="29" s="1"/>
  <c r="AA304" i="29"/>
  <c r="AA361" i="29" s="1"/>
  <c r="Z304" i="29"/>
  <c r="Z361" i="29" s="1"/>
  <c r="Y304" i="29"/>
  <c r="Y361" i="29" s="1"/>
  <c r="X304" i="29"/>
  <c r="X361" i="29" s="1"/>
  <c r="W304" i="29"/>
  <c r="W361" i="29" s="1"/>
  <c r="V304" i="29"/>
  <c r="V361" i="29" s="1"/>
  <c r="U304" i="29"/>
  <c r="U361" i="29" s="1"/>
  <c r="T304" i="29"/>
  <c r="T361" i="29" s="1"/>
  <c r="S304" i="29"/>
  <c r="S361" i="29" s="1"/>
  <c r="R304" i="29"/>
  <c r="R361" i="29" s="1"/>
  <c r="Q304" i="29"/>
  <c r="Q361" i="29" s="1"/>
  <c r="P304" i="29"/>
  <c r="P361" i="29" s="1"/>
  <c r="O304" i="29"/>
  <c r="O361" i="29" s="1"/>
  <c r="N304" i="29"/>
  <c r="N361" i="29" s="1"/>
  <c r="M304" i="29"/>
  <c r="M361" i="29" s="1"/>
  <c r="L304" i="29"/>
  <c r="L361" i="29" s="1"/>
  <c r="K304" i="29"/>
  <c r="K361" i="29" s="1"/>
  <c r="J304" i="29"/>
  <c r="J361" i="29" s="1"/>
  <c r="I304" i="29"/>
  <c r="I361" i="29" s="1"/>
  <c r="H304" i="29"/>
  <c r="H361" i="29" s="1"/>
  <c r="G304" i="29"/>
  <c r="G361" i="29" s="1"/>
  <c r="AK271" i="29"/>
  <c r="AJ271" i="29"/>
  <c r="AI271" i="29"/>
  <c r="AH271" i="29"/>
  <c r="AG271" i="29"/>
  <c r="AF271" i="29"/>
  <c r="AE271" i="29"/>
  <c r="AD271" i="29"/>
  <c r="AC271" i="29"/>
  <c r="AB271" i="29"/>
  <c r="AA271" i="29"/>
  <c r="Z271" i="29"/>
  <c r="Y271" i="29"/>
  <c r="X271" i="29"/>
  <c r="W271" i="29"/>
  <c r="V271" i="29"/>
  <c r="U271" i="29"/>
  <c r="T271" i="29"/>
  <c r="S271" i="29"/>
  <c r="R271" i="29"/>
  <c r="Q271" i="29"/>
  <c r="P271" i="29"/>
  <c r="O271" i="29"/>
  <c r="N271" i="29"/>
  <c r="M271" i="29"/>
  <c r="L271" i="29"/>
  <c r="K271" i="29"/>
  <c r="J271" i="29"/>
  <c r="I271" i="29"/>
  <c r="H271" i="29"/>
  <c r="G271" i="29"/>
  <c r="AK269" i="29"/>
  <c r="AJ269" i="29"/>
  <c r="AI269" i="29"/>
  <c r="AH269" i="29"/>
  <c r="AG269" i="29"/>
  <c r="AF269" i="29"/>
  <c r="AE269" i="29"/>
  <c r="AD269" i="29"/>
  <c r="AC269" i="29"/>
  <c r="AB269" i="29"/>
  <c r="AA269" i="29"/>
  <c r="Z269" i="29"/>
  <c r="Y269" i="29"/>
  <c r="X269" i="29"/>
  <c r="W269" i="29"/>
  <c r="V269" i="29"/>
  <c r="U269" i="29"/>
  <c r="T269" i="29"/>
  <c r="S269" i="29"/>
  <c r="R269" i="29"/>
  <c r="Q269" i="29"/>
  <c r="P269" i="29"/>
  <c r="O269" i="29"/>
  <c r="N269" i="29"/>
  <c r="M269" i="29"/>
  <c r="L269" i="29"/>
  <c r="K269" i="29"/>
  <c r="J269" i="29"/>
  <c r="I269" i="29"/>
  <c r="H269" i="29"/>
  <c r="G269" i="29"/>
  <c r="G265" i="29"/>
  <c r="G264" i="29"/>
  <c r="G263" i="29"/>
  <c r="AK262" i="29"/>
  <c r="AJ262" i="29"/>
  <c r="AI262" i="29"/>
  <c r="AH262" i="29"/>
  <c r="AG262" i="29"/>
  <c r="AF262" i="29"/>
  <c r="AE262" i="29"/>
  <c r="AD262" i="29"/>
  <c r="AC262" i="29"/>
  <c r="AB262" i="29"/>
  <c r="AA262" i="29"/>
  <c r="Z262" i="29"/>
  <c r="Y262" i="29"/>
  <c r="X262" i="29"/>
  <c r="W262" i="29"/>
  <c r="V262" i="29"/>
  <c r="U262" i="29"/>
  <c r="T262" i="29"/>
  <c r="S262" i="29"/>
  <c r="R262" i="29"/>
  <c r="Q262" i="29"/>
  <c r="P262" i="29"/>
  <c r="O262" i="29"/>
  <c r="N262" i="29"/>
  <c r="M262" i="29"/>
  <c r="L262" i="29"/>
  <c r="K262" i="29"/>
  <c r="J262" i="29"/>
  <c r="I262" i="29"/>
  <c r="H262" i="29"/>
  <c r="G262" i="29"/>
  <c r="G257" i="29"/>
  <c r="H265" i="29"/>
  <c r="AK242" i="29"/>
  <c r="AK389" i="29" s="1"/>
  <c r="AJ242" i="29"/>
  <c r="AJ389" i="29" s="1"/>
  <c r="AI242" i="29"/>
  <c r="AI389" i="29" s="1"/>
  <c r="AH242" i="29"/>
  <c r="AH389" i="29" s="1"/>
  <c r="AG242" i="29"/>
  <c r="AG389" i="29" s="1"/>
  <c r="AF242" i="29"/>
  <c r="AF389" i="29" s="1"/>
  <c r="AE242" i="29"/>
  <c r="AE389" i="29" s="1"/>
  <c r="AD242" i="29"/>
  <c r="AD389" i="29" s="1"/>
  <c r="AC242" i="29"/>
  <c r="AC389" i="29" s="1"/>
  <c r="AB242" i="29"/>
  <c r="AB389" i="29" s="1"/>
  <c r="AA242" i="29"/>
  <c r="AA389" i="29" s="1"/>
  <c r="Z242" i="29"/>
  <c r="Z389" i="29" s="1"/>
  <c r="Y242" i="29"/>
  <c r="Y389" i="29" s="1"/>
  <c r="X242" i="29"/>
  <c r="X389" i="29" s="1"/>
  <c r="W242" i="29"/>
  <c r="W389" i="29" s="1"/>
  <c r="V242" i="29"/>
  <c r="V389" i="29" s="1"/>
  <c r="U242" i="29"/>
  <c r="U389" i="29" s="1"/>
  <c r="T242" i="29"/>
  <c r="T389" i="29" s="1"/>
  <c r="S242" i="29"/>
  <c r="S389" i="29" s="1"/>
  <c r="R242" i="29"/>
  <c r="R389" i="29" s="1"/>
  <c r="Q242" i="29"/>
  <c r="Q389" i="29" s="1"/>
  <c r="P242" i="29"/>
  <c r="P389" i="29" s="1"/>
  <c r="O242" i="29"/>
  <c r="O389" i="29" s="1"/>
  <c r="N242" i="29"/>
  <c r="N389" i="29" s="1"/>
  <c r="M242" i="29"/>
  <c r="M389" i="29" s="1"/>
  <c r="L242" i="29"/>
  <c r="L389" i="29" s="1"/>
  <c r="K242" i="29"/>
  <c r="K389" i="29" s="1"/>
  <c r="J242" i="29"/>
  <c r="J389" i="29" s="1"/>
  <c r="I242" i="29"/>
  <c r="I389" i="29" s="1"/>
  <c r="H242" i="29"/>
  <c r="H389" i="29" s="1"/>
  <c r="G242" i="29"/>
  <c r="G389" i="29" s="1"/>
  <c r="AK233" i="29"/>
  <c r="AJ233" i="29"/>
  <c r="AI233" i="29"/>
  <c r="AH233" i="29"/>
  <c r="AG233" i="29"/>
  <c r="AF233" i="29"/>
  <c r="AE233" i="29"/>
  <c r="AD233" i="29"/>
  <c r="AC233" i="29"/>
  <c r="AB233" i="29"/>
  <c r="AA233" i="29"/>
  <c r="Z233" i="29"/>
  <c r="Y233" i="29"/>
  <c r="X233" i="29"/>
  <c r="W233" i="29"/>
  <c r="V233" i="29"/>
  <c r="U233" i="29"/>
  <c r="T233" i="29"/>
  <c r="S233" i="29"/>
  <c r="R233" i="29"/>
  <c r="Q233" i="29"/>
  <c r="P233" i="29"/>
  <c r="O233" i="29"/>
  <c r="N233" i="29"/>
  <c r="M233" i="29"/>
  <c r="L233" i="29"/>
  <c r="K233" i="29"/>
  <c r="J233" i="29"/>
  <c r="I233" i="29"/>
  <c r="H233" i="29"/>
  <c r="G233" i="29"/>
  <c r="AK232" i="29"/>
  <c r="AJ232" i="29"/>
  <c r="AI232" i="29"/>
  <c r="AH232" i="29"/>
  <c r="AG232" i="29"/>
  <c r="AF232" i="29"/>
  <c r="AE232" i="29"/>
  <c r="AD232" i="29"/>
  <c r="AC232" i="29"/>
  <c r="AB232" i="29"/>
  <c r="AA232" i="29"/>
  <c r="Z232" i="29"/>
  <c r="Y232" i="29"/>
  <c r="X232" i="29"/>
  <c r="W232" i="29"/>
  <c r="V232" i="29"/>
  <c r="U232" i="29"/>
  <c r="T232" i="29"/>
  <c r="S232" i="29"/>
  <c r="R232" i="29"/>
  <c r="Q232" i="29"/>
  <c r="P232" i="29"/>
  <c r="O232" i="29"/>
  <c r="N232" i="29"/>
  <c r="M232" i="29"/>
  <c r="L232" i="29"/>
  <c r="K232" i="29"/>
  <c r="J232" i="29"/>
  <c r="I232" i="29"/>
  <c r="H232" i="29"/>
  <c r="G232" i="29"/>
  <c r="AK231" i="29"/>
  <c r="AJ231" i="29"/>
  <c r="AI231" i="29"/>
  <c r="AH231" i="29"/>
  <c r="AG231" i="29"/>
  <c r="AF231" i="29"/>
  <c r="AE231" i="29"/>
  <c r="AD231" i="29"/>
  <c r="AC231" i="29"/>
  <c r="AB231" i="29"/>
  <c r="AA231" i="29"/>
  <c r="Z231" i="29"/>
  <c r="Y231" i="29"/>
  <c r="X231" i="29"/>
  <c r="W231" i="29"/>
  <c r="V231" i="29"/>
  <c r="U231" i="29"/>
  <c r="T231" i="29"/>
  <c r="S231" i="29"/>
  <c r="R231" i="29"/>
  <c r="Q231" i="29"/>
  <c r="P231" i="29"/>
  <c r="O231" i="29"/>
  <c r="N231" i="29"/>
  <c r="M231" i="29"/>
  <c r="L231" i="29"/>
  <c r="K231" i="29"/>
  <c r="J231" i="29"/>
  <c r="I231" i="29"/>
  <c r="H231" i="29"/>
  <c r="G231" i="29"/>
  <c r="AK230" i="29"/>
  <c r="AJ230" i="29"/>
  <c r="AI230" i="29"/>
  <c r="AH230" i="29"/>
  <c r="AG230" i="29"/>
  <c r="AF230" i="29"/>
  <c r="AE230" i="29"/>
  <c r="AD230" i="29"/>
  <c r="AC230" i="29"/>
  <c r="AB230" i="29"/>
  <c r="AA230" i="29"/>
  <c r="Z230" i="29"/>
  <c r="Y230" i="29"/>
  <c r="X230" i="29"/>
  <c r="W230" i="29"/>
  <c r="V230" i="29"/>
  <c r="U230" i="29"/>
  <c r="T230" i="29"/>
  <c r="S230" i="29"/>
  <c r="R230" i="29"/>
  <c r="Q230" i="29"/>
  <c r="P230" i="29"/>
  <c r="O230" i="29"/>
  <c r="N230" i="29"/>
  <c r="M230" i="29"/>
  <c r="L230" i="29"/>
  <c r="K230" i="29"/>
  <c r="J230" i="29"/>
  <c r="I230" i="29"/>
  <c r="H230" i="29"/>
  <c r="G230" i="29"/>
  <c r="G213" i="29"/>
  <c r="G212" i="29" s="1"/>
  <c r="G309" i="29" s="1"/>
  <c r="C185" i="29"/>
  <c r="AK178" i="29"/>
  <c r="P93" i="19" s="1"/>
  <c r="AJ178" i="29"/>
  <c r="AI178" i="29"/>
  <c r="AH178" i="29"/>
  <c r="AG178" i="29"/>
  <c r="AF178" i="29"/>
  <c r="O93" i="19" s="1"/>
  <c r="AE178" i="29"/>
  <c r="AD178" i="29"/>
  <c r="AC178" i="29"/>
  <c r="AB178" i="29"/>
  <c r="AA178" i="29"/>
  <c r="N93" i="19" s="1"/>
  <c r="Z178" i="29"/>
  <c r="Y178" i="29"/>
  <c r="X178" i="29"/>
  <c r="W178" i="29"/>
  <c r="V178" i="29"/>
  <c r="M93" i="19" s="1"/>
  <c r="U178" i="29"/>
  <c r="T178" i="29"/>
  <c r="S178" i="29"/>
  <c r="R178" i="29"/>
  <c r="Q178" i="29"/>
  <c r="L93" i="19" s="1"/>
  <c r="P178" i="29"/>
  <c r="O178" i="29"/>
  <c r="N178" i="29"/>
  <c r="M178" i="29"/>
  <c r="L178" i="29"/>
  <c r="K93" i="19" s="1"/>
  <c r="K178" i="29"/>
  <c r="J178" i="29"/>
  <c r="I178" i="29"/>
  <c r="H178" i="29"/>
  <c r="G178" i="29"/>
  <c r="G174" i="29"/>
  <c r="G173" i="29"/>
  <c r="G172" i="29"/>
  <c r="G166" i="29"/>
  <c r="H173" i="29"/>
  <c r="AK150" i="29"/>
  <c r="AJ150" i="29"/>
  <c r="AI150" i="29"/>
  <c r="AH150" i="29"/>
  <c r="AG150" i="29"/>
  <c r="AF150" i="29"/>
  <c r="AE150" i="29"/>
  <c r="AD150" i="29"/>
  <c r="AC150" i="29"/>
  <c r="AB150" i="29"/>
  <c r="AA150" i="29"/>
  <c r="Z150" i="29"/>
  <c r="Y150" i="29"/>
  <c r="X150" i="29"/>
  <c r="W150" i="29"/>
  <c r="V150" i="29"/>
  <c r="U150" i="29"/>
  <c r="T150" i="29"/>
  <c r="S150" i="29"/>
  <c r="R150" i="29"/>
  <c r="Q150" i="29"/>
  <c r="P150" i="29"/>
  <c r="O150" i="29"/>
  <c r="N150" i="29"/>
  <c r="M150" i="29"/>
  <c r="L150" i="29"/>
  <c r="K150" i="29"/>
  <c r="J150" i="29"/>
  <c r="I150" i="29"/>
  <c r="H150" i="29"/>
  <c r="G150" i="29"/>
  <c r="AK149" i="29"/>
  <c r="AJ149" i="29"/>
  <c r="AI149" i="29"/>
  <c r="AH149" i="29"/>
  <c r="AG149" i="29"/>
  <c r="AF149" i="29"/>
  <c r="AE149" i="29"/>
  <c r="AD149" i="29"/>
  <c r="AC149" i="29"/>
  <c r="AB149" i="29"/>
  <c r="AA149" i="29"/>
  <c r="Z149" i="29"/>
  <c r="Y149" i="29"/>
  <c r="X149" i="29"/>
  <c r="W149" i="29"/>
  <c r="V149" i="29"/>
  <c r="U149" i="29"/>
  <c r="T149" i="29"/>
  <c r="S149" i="29"/>
  <c r="R149" i="29"/>
  <c r="Q149" i="29"/>
  <c r="P149" i="29"/>
  <c r="O149" i="29"/>
  <c r="N149" i="29"/>
  <c r="M149" i="29"/>
  <c r="L149" i="29"/>
  <c r="K149" i="29"/>
  <c r="J149" i="29"/>
  <c r="I149" i="29"/>
  <c r="H149" i="29"/>
  <c r="G149" i="29"/>
  <c r="AK148" i="29"/>
  <c r="AJ148" i="29"/>
  <c r="AI148" i="29"/>
  <c r="AH148" i="29"/>
  <c r="AG148" i="29"/>
  <c r="AF148" i="29"/>
  <c r="AE148" i="29"/>
  <c r="AD148" i="29"/>
  <c r="AC148" i="29"/>
  <c r="AB148" i="29"/>
  <c r="AA148" i="29"/>
  <c r="Z148" i="29"/>
  <c r="Y148" i="29"/>
  <c r="X148" i="29"/>
  <c r="W148" i="29"/>
  <c r="V148" i="29"/>
  <c r="U148" i="29"/>
  <c r="T148" i="29"/>
  <c r="S148" i="29"/>
  <c r="R148" i="29"/>
  <c r="Q148" i="29"/>
  <c r="P148" i="29"/>
  <c r="O148" i="29"/>
  <c r="N148" i="29"/>
  <c r="M148" i="29"/>
  <c r="L148" i="29"/>
  <c r="K148" i="29"/>
  <c r="J148" i="29"/>
  <c r="I148" i="29"/>
  <c r="H148" i="29"/>
  <c r="G148" i="29"/>
  <c r="AK147" i="29"/>
  <c r="AJ147" i="29"/>
  <c r="AI147" i="29"/>
  <c r="AH147" i="29"/>
  <c r="AG147" i="29"/>
  <c r="AF147" i="29"/>
  <c r="AE147" i="29"/>
  <c r="AD147" i="29"/>
  <c r="AC147" i="29"/>
  <c r="AB147" i="29"/>
  <c r="AA147" i="29"/>
  <c r="Z147" i="29"/>
  <c r="Y147" i="29"/>
  <c r="X147" i="29"/>
  <c r="W147" i="29"/>
  <c r="V147" i="29"/>
  <c r="U147" i="29"/>
  <c r="T147" i="29"/>
  <c r="S147" i="29"/>
  <c r="R147" i="29"/>
  <c r="Q147" i="29"/>
  <c r="P147" i="29"/>
  <c r="O147" i="29"/>
  <c r="N147" i="29"/>
  <c r="M147" i="29"/>
  <c r="L147" i="29"/>
  <c r="K147" i="29"/>
  <c r="J147" i="29"/>
  <c r="I147" i="29"/>
  <c r="H147" i="29"/>
  <c r="G147" i="29"/>
  <c r="AK146" i="29"/>
  <c r="AJ146" i="29"/>
  <c r="AI146" i="29"/>
  <c r="AH146" i="29"/>
  <c r="AG146" i="29"/>
  <c r="AF146" i="29"/>
  <c r="AE146" i="29"/>
  <c r="AD146" i="29"/>
  <c r="AC146" i="29"/>
  <c r="AB146" i="29"/>
  <c r="AA146" i="29"/>
  <c r="Z146" i="29"/>
  <c r="Y146" i="29"/>
  <c r="X146" i="29"/>
  <c r="W146" i="29"/>
  <c r="V146" i="29"/>
  <c r="U146" i="29"/>
  <c r="T146" i="29"/>
  <c r="S146" i="29"/>
  <c r="R146" i="29"/>
  <c r="Q146" i="29"/>
  <c r="P146" i="29"/>
  <c r="O146" i="29"/>
  <c r="N146" i="29"/>
  <c r="M146" i="29"/>
  <c r="L146" i="29"/>
  <c r="K146" i="29"/>
  <c r="J146" i="29"/>
  <c r="I146" i="29"/>
  <c r="H146" i="29"/>
  <c r="G146" i="29"/>
  <c r="AK145" i="29"/>
  <c r="AJ145" i="29"/>
  <c r="AI145" i="29"/>
  <c r="AH145" i="29"/>
  <c r="AG145" i="29"/>
  <c r="AF145" i="29"/>
  <c r="AE145" i="29"/>
  <c r="AD145" i="29"/>
  <c r="AC145" i="29"/>
  <c r="AB145" i="29"/>
  <c r="AA145" i="29"/>
  <c r="Z145" i="29"/>
  <c r="Y145" i="29"/>
  <c r="X145" i="29"/>
  <c r="W145" i="29"/>
  <c r="V145" i="29"/>
  <c r="U145" i="29"/>
  <c r="T145" i="29"/>
  <c r="S145" i="29"/>
  <c r="R145" i="29"/>
  <c r="Q145" i="29"/>
  <c r="P145" i="29"/>
  <c r="O145" i="29"/>
  <c r="N145" i="29"/>
  <c r="M145" i="29"/>
  <c r="L145" i="29"/>
  <c r="K145" i="29"/>
  <c r="J145" i="29"/>
  <c r="I145" i="29"/>
  <c r="H145" i="29"/>
  <c r="G145" i="29"/>
  <c r="AK144" i="29"/>
  <c r="AJ144" i="29"/>
  <c r="AI144" i="29"/>
  <c r="AH144" i="29"/>
  <c r="AG144" i="29"/>
  <c r="AF144" i="29"/>
  <c r="AE144" i="29"/>
  <c r="AD144" i="29"/>
  <c r="AC144" i="29"/>
  <c r="AB144" i="29"/>
  <c r="AA144" i="29"/>
  <c r="Z144" i="29"/>
  <c r="Y144" i="29"/>
  <c r="X144" i="29"/>
  <c r="W144" i="29"/>
  <c r="V144" i="29"/>
  <c r="U144" i="29"/>
  <c r="T144" i="29"/>
  <c r="S144" i="29"/>
  <c r="R144" i="29"/>
  <c r="Q144" i="29"/>
  <c r="P144" i="29"/>
  <c r="O144" i="29"/>
  <c r="N144" i="29"/>
  <c r="M144" i="29"/>
  <c r="L144" i="29"/>
  <c r="K144" i="29"/>
  <c r="J144" i="29"/>
  <c r="I144" i="29"/>
  <c r="H144" i="29"/>
  <c r="G144" i="29"/>
  <c r="G143" i="29"/>
  <c r="AK138" i="29"/>
  <c r="AJ138" i="29"/>
  <c r="AI138" i="29"/>
  <c r="AH138" i="29"/>
  <c r="AG138" i="29"/>
  <c r="AF138" i="29"/>
  <c r="AE138" i="29"/>
  <c r="AD138" i="29"/>
  <c r="AC138" i="29"/>
  <c r="AB138" i="29"/>
  <c r="AA138" i="29"/>
  <c r="Z138" i="29"/>
  <c r="Y138" i="29"/>
  <c r="X138" i="29"/>
  <c r="W138" i="29"/>
  <c r="V138" i="29"/>
  <c r="U138" i="29"/>
  <c r="T138" i="29"/>
  <c r="S138" i="29"/>
  <c r="R138" i="29"/>
  <c r="Q138" i="29"/>
  <c r="P138" i="29"/>
  <c r="O138" i="29"/>
  <c r="N138" i="29"/>
  <c r="M138" i="29"/>
  <c r="L138" i="29"/>
  <c r="K138" i="29"/>
  <c r="J138" i="29"/>
  <c r="I138" i="29"/>
  <c r="H138" i="29"/>
  <c r="G138" i="29"/>
  <c r="AK137" i="29"/>
  <c r="AJ137" i="29"/>
  <c r="AI137" i="29"/>
  <c r="AH137" i="29"/>
  <c r="AG137" i="29"/>
  <c r="AF137" i="29"/>
  <c r="AE137" i="29"/>
  <c r="AD137" i="29"/>
  <c r="AC137" i="29"/>
  <c r="AB137" i="29"/>
  <c r="AA137" i="29"/>
  <c r="Z137" i="29"/>
  <c r="Y137" i="29"/>
  <c r="X137" i="29"/>
  <c r="W137" i="29"/>
  <c r="V137" i="29"/>
  <c r="U137" i="29"/>
  <c r="T137" i="29"/>
  <c r="S137" i="29"/>
  <c r="R137" i="29"/>
  <c r="Q137" i="29"/>
  <c r="P137" i="29"/>
  <c r="O137" i="29"/>
  <c r="N137" i="29"/>
  <c r="M137" i="29"/>
  <c r="L137" i="29"/>
  <c r="K137" i="29"/>
  <c r="J137" i="29"/>
  <c r="I137" i="29"/>
  <c r="H137" i="29"/>
  <c r="G137" i="29"/>
  <c r="AK136" i="29"/>
  <c r="AJ136" i="29"/>
  <c r="AI136" i="29"/>
  <c r="AH136" i="29"/>
  <c r="AG136" i="29"/>
  <c r="AF136" i="29"/>
  <c r="AE136" i="29"/>
  <c r="AD136" i="29"/>
  <c r="AC136" i="29"/>
  <c r="AB136" i="29"/>
  <c r="AA136" i="29"/>
  <c r="Z136" i="29"/>
  <c r="Y136" i="29"/>
  <c r="X136" i="29"/>
  <c r="W136" i="29"/>
  <c r="V136" i="29"/>
  <c r="U136" i="29"/>
  <c r="T136" i="29"/>
  <c r="S136" i="29"/>
  <c r="R136" i="29"/>
  <c r="Q136" i="29"/>
  <c r="P136" i="29"/>
  <c r="O136" i="29"/>
  <c r="N136" i="29"/>
  <c r="M136" i="29"/>
  <c r="L136" i="29"/>
  <c r="K136" i="29"/>
  <c r="J136" i="29"/>
  <c r="I136" i="29"/>
  <c r="H136" i="29"/>
  <c r="G136" i="29"/>
  <c r="AK135" i="29"/>
  <c r="AJ135" i="29"/>
  <c r="AI135" i="29"/>
  <c r="AH135" i="29"/>
  <c r="AG135" i="29"/>
  <c r="AF135" i="29"/>
  <c r="AE135" i="29"/>
  <c r="AD135" i="29"/>
  <c r="AC135" i="29"/>
  <c r="AB135" i="29"/>
  <c r="AA135" i="29"/>
  <c r="Z135" i="29"/>
  <c r="Y135" i="29"/>
  <c r="X135" i="29"/>
  <c r="W135" i="29"/>
  <c r="V135" i="29"/>
  <c r="U135" i="29"/>
  <c r="T135" i="29"/>
  <c r="S135" i="29"/>
  <c r="R135" i="29"/>
  <c r="Q135" i="29"/>
  <c r="P135" i="29"/>
  <c r="O135" i="29"/>
  <c r="N135" i="29"/>
  <c r="M135" i="29"/>
  <c r="L135" i="29"/>
  <c r="K135" i="29"/>
  <c r="J135" i="29"/>
  <c r="I135" i="29"/>
  <c r="H135" i="29"/>
  <c r="G135" i="29"/>
  <c r="AK133" i="29"/>
  <c r="AJ133" i="29"/>
  <c r="AI133" i="29"/>
  <c r="AH133" i="29"/>
  <c r="AG133" i="29"/>
  <c r="AF133" i="29"/>
  <c r="AE133" i="29"/>
  <c r="AD133" i="29"/>
  <c r="AC133" i="29"/>
  <c r="AB133" i="29"/>
  <c r="AA133" i="29"/>
  <c r="Z133" i="29"/>
  <c r="Y133" i="29"/>
  <c r="X133" i="29"/>
  <c r="W133" i="29"/>
  <c r="V133" i="29"/>
  <c r="U133" i="29"/>
  <c r="T133" i="29"/>
  <c r="S133" i="29"/>
  <c r="R133" i="29"/>
  <c r="Q133" i="29"/>
  <c r="P133" i="29"/>
  <c r="O133" i="29"/>
  <c r="M133" i="29"/>
  <c r="L133" i="29"/>
  <c r="K133" i="29"/>
  <c r="J133" i="29"/>
  <c r="I133" i="29"/>
  <c r="H133" i="29"/>
  <c r="G133" i="29"/>
  <c r="AK130" i="29"/>
  <c r="AJ130" i="29"/>
  <c r="AI130" i="29"/>
  <c r="AH130" i="29"/>
  <c r="AG130" i="29"/>
  <c r="AF130" i="29"/>
  <c r="AE130" i="29"/>
  <c r="AD130" i="29"/>
  <c r="AC130" i="29"/>
  <c r="AB130" i="29"/>
  <c r="AA130" i="29"/>
  <c r="Z130" i="29"/>
  <c r="Y130" i="29"/>
  <c r="X130" i="29"/>
  <c r="W130" i="29"/>
  <c r="V130" i="29"/>
  <c r="U130" i="29"/>
  <c r="T130" i="29"/>
  <c r="S130" i="29"/>
  <c r="R130" i="29"/>
  <c r="Q130" i="29"/>
  <c r="P130" i="29"/>
  <c r="O130" i="29"/>
  <c r="N130" i="29"/>
  <c r="M130" i="29"/>
  <c r="L130" i="29"/>
  <c r="K130" i="29"/>
  <c r="J130" i="29"/>
  <c r="I130" i="29"/>
  <c r="H130" i="29"/>
  <c r="G130" i="29"/>
  <c r="AK129" i="29"/>
  <c r="AJ129" i="29"/>
  <c r="AI129" i="29"/>
  <c r="AH129" i="29"/>
  <c r="AG129" i="29"/>
  <c r="AF129" i="29"/>
  <c r="AE129" i="29"/>
  <c r="AD129" i="29"/>
  <c r="AC129" i="29"/>
  <c r="AB129" i="29"/>
  <c r="AA129" i="29"/>
  <c r="Z129" i="29"/>
  <c r="Y129" i="29"/>
  <c r="X129" i="29"/>
  <c r="W129" i="29"/>
  <c r="V129" i="29"/>
  <c r="U129" i="29"/>
  <c r="T129" i="29"/>
  <c r="S129" i="29"/>
  <c r="R129" i="29"/>
  <c r="Q129" i="29"/>
  <c r="P129" i="29"/>
  <c r="O129" i="29"/>
  <c r="N129" i="29"/>
  <c r="M129" i="29"/>
  <c r="L129" i="29"/>
  <c r="K129" i="29"/>
  <c r="J129" i="29"/>
  <c r="I129" i="29"/>
  <c r="H129" i="29"/>
  <c r="G129" i="29"/>
  <c r="AK127" i="29"/>
  <c r="AJ127" i="29"/>
  <c r="AI127" i="29"/>
  <c r="AH127" i="29"/>
  <c r="AG127" i="29"/>
  <c r="AF127" i="29"/>
  <c r="AE127" i="29"/>
  <c r="AD127" i="29"/>
  <c r="AC127" i="29"/>
  <c r="AB127" i="29"/>
  <c r="AA127" i="29"/>
  <c r="Z127" i="29"/>
  <c r="Y127" i="29"/>
  <c r="X127" i="29"/>
  <c r="W127" i="29"/>
  <c r="V127" i="29"/>
  <c r="U127" i="29"/>
  <c r="T127" i="29"/>
  <c r="S127" i="29"/>
  <c r="R127" i="29"/>
  <c r="Q127" i="29"/>
  <c r="P127" i="29"/>
  <c r="O127" i="29"/>
  <c r="N127" i="29"/>
  <c r="M127" i="29"/>
  <c r="L127" i="29"/>
  <c r="K127" i="29"/>
  <c r="J127" i="29"/>
  <c r="I127" i="29"/>
  <c r="H127" i="29"/>
  <c r="G127" i="29"/>
  <c r="AK126" i="29"/>
  <c r="AJ126" i="29"/>
  <c r="AI126" i="29"/>
  <c r="AH126" i="29"/>
  <c r="AG126" i="29"/>
  <c r="AF126" i="29"/>
  <c r="AE126" i="29"/>
  <c r="AD126" i="29"/>
  <c r="AC126" i="29"/>
  <c r="AB126" i="29"/>
  <c r="AA126" i="29"/>
  <c r="Z126" i="29"/>
  <c r="Y126" i="29"/>
  <c r="X126" i="29"/>
  <c r="W126" i="29"/>
  <c r="V126" i="29"/>
  <c r="U126" i="29"/>
  <c r="T126" i="29"/>
  <c r="S126" i="29"/>
  <c r="R126" i="29"/>
  <c r="Q126" i="29"/>
  <c r="P126" i="29"/>
  <c r="O126" i="29"/>
  <c r="N126" i="29"/>
  <c r="M126" i="29"/>
  <c r="L126" i="29"/>
  <c r="K126" i="29"/>
  <c r="J126" i="29"/>
  <c r="I126" i="29"/>
  <c r="H126" i="29"/>
  <c r="G126" i="29"/>
  <c r="AK125" i="29"/>
  <c r="AJ125" i="29"/>
  <c r="AI125" i="29"/>
  <c r="AH125" i="29"/>
  <c r="AG125" i="29"/>
  <c r="AF125" i="29"/>
  <c r="AE125" i="29"/>
  <c r="AD125" i="29"/>
  <c r="AC125" i="29"/>
  <c r="AB125" i="29"/>
  <c r="AA125" i="29"/>
  <c r="Z125" i="29"/>
  <c r="Y125" i="29"/>
  <c r="X125" i="29"/>
  <c r="W125" i="29"/>
  <c r="V125" i="29"/>
  <c r="U125" i="29"/>
  <c r="S125" i="29"/>
  <c r="Q125" i="29"/>
  <c r="P125" i="29"/>
  <c r="O125" i="29"/>
  <c r="N125" i="29"/>
  <c r="M125" i="29"/>
  <c r="L125" i="29"/>
  <c r="K125" i="29"/>
  <c r="J125" i="29"/>
  <c r="I125" i="29"/>
  <c r="H125" i="29"/>
  <c r="G125" i="29"/>
  <c r="AK124" i="29"/>
  <c r="AJ124" i="29"/>
  <c r="AI124" i="29"/>
  <c r="AH124" i="29"/>
  <c r="AG124" i="29"/>
  <c r="AF124" i="29"/>
  <c r="AE124" i="29"/>
  <c r="AD124" i="29"/>
  <c r="AC124" i="29"/>
  <c r="AB124" i="29"/>
  <c r="AA124" i="29"/>
  <c r="Z124" i="29"/>
  <c r="Y124" i="29"/>
  <c r="X124" i="29"/>
  <c r="W124" i="29"/>
  <c r="V124" i="29"/>
  <c r="U124" i="29"/>
  <c r="T124" i="29"/>
  <c r="S124" i="29"/>
  <c r="R124" i="29"/>
  <c r="Q124" i="29"/>
  <c r="P124" i="29"/>
  <c r="O124" i="29"/>
  <c r="N124" i="29"/>
  <c r="M124" i="29"/>
  <c r="L124" i="29"/>
  <c r="K124" i="29"/>
  <c r="J124" i="29"/>
  <c r="I124" i="29"/>
  <c r="H124" i="29"/>
  <c r="G124" i="29"/>
  <c r="AK123" i="29"/>
  <c r="AK180" i="29" s="1"/>
  <c r="AJ123" i="29"/>
  <c r="AJ180" i="29" s="1"/>
  <c r="AI123" i="29"/>
  <c r="AI180" i="29" s="1"/>
  <c r="AH123" i="29"/>
  <c r="AH180" i="29" s="1"/>
  <c r="AG123" i="29"/>
  <c r="AG180" i="29" s="1"/>
  <c r="AF123" i="29"/>
  <c r="AF180" i="29" s="1"/>
  <c r="AE123" i="29"/>
  <c r="AE180" i="29" s="1"/>
  <c r="AD123" i="29"/>
  <c r="AD180" i="29" s="1"/>
  <c r="AC123" i="29"/>
  <c r="AC180" i="29" s="1"/>
  <c r="AB123" i="29"/>
  <c r="AB180" i="29" s="1"/>
  <c r="AA123" i="29"/>
  <c r="AA180" i="29" s="1"/>
  <c r="Z123" i="29"/>
  <c r="Z180" i="29" s="1"/>
  <c r="Y123" i="29"/>
  <c r="Y180" i="29" s="1"/>
  <c r="X123" i="29"/>
  <c r="X180" i="29" s="1"/>
  <c r="W123" i="29"/>
  <c r="W180" i="29" s="1"/>
  <c r="V123" i="29"/>
  <c r="V180" i="29" s="1"/>
  <c r="U123" i="29"/>
  <c r="U180" i="29" s="1"/>
  <c r="T123" i="29"/>
  <c r="T180" i="29" s="1"/>
  <c r="S123" i="29"/>
  <c r="S180" i="29" s="1"/>
  <c r="R123" i="29"/>
  <c r="R180" i="29" s="1"/>
  <c r="Q123" i="29"/>
  <c r="Q180" i="29" s="1"/>
  <c r="P123" i="29"/>
  <c r="P180" i="29" s="1"/>
  <c r="O123" i="29"/>
  <c r="O180" i="29" s="1"/>
  <c r="N123" i="29"/>
  <c r="N180" i="29" s="1"/>
  <c r="M123" i="29"/>
  <c r="M180" i="29" s="1"/>
  <c r="L123" i="29"/>
  <c r="L180" i="29" s="1"/>
  <c r="K123" i="29"/>
  <c r="K180" i="29" s="1"/>
  <c r="J123" i="29"/>
  <c r="J180" i="29" s="1"/>
  <c r="I123" i="29"/>
  <c r="I180" i="29" s="1"/>
  <c r="H123" i="29"/>
  <c r="H180" i="29" s="1"/>
  <c r="G123" i="29"/>
  <c r="G180" i="29" s="1"/>
  <c r="AK90" i="29"/>
  <c r="AJ90" i="29"/>
  <c r="AI90" i="29"/>
  <c r="AH90" i="29"/>
  <c r="AG90" i="29"/>
  <c r="AF90" i="29"/>
  <c r="AE90" i="29"/>
  <c r="AD90" i="29"/>
  <c r="AC90" i="29"/>
  <c r="AB90" i="29"/>
  <c r="AA90" i="29"/>
  <c r="Z90" i="29"/>
  <c r="Y90" i="29"/>
  <c r="X90" i="29"/>
  <c r="W90" i="29"/>
  <c r="V90" i="29"/>
  <c r="U90" i="29"/>
  <c r="T90" i="29"/>
  <c r="S90" i="29"/>
  <c r="R90" i="29"/>
  <c r="Q90" i="29"/>
  <c r="P90" i="29"/>
  <c r="O90" i="29"/>
  <c r="N90" i="29"/>
  <c r="M90" i="29"/>
  <c r="L90" i="29"/>
  <c r="K90" i="29"/>
  <c r="J90" i="29"/>
  <c r="I90" i="29"/>
  <c r="H90" i="29"/>
  <c r="G90" i="29"/>
  <c r="H88" i="29"/>
  <c r="G88" i="29"/>
  <c r="G84" i="29"/>
  <c r="G83" i="29"/>
  <c r="G82" i="29"/>
  <c r="AK81" i="29"/>
  <c r="AJ81" i="29"/>
  <c r="AI81" i="29"/>
  <c r="AH81" i="29"/>
  <c r="AG81" i="29"/>
  <c r="AF81" i="29"/>
  <c r="AE81" i="29"/>
  <c r="AD81" i="29"/>
  <c r="AC81" i="29"/>
  <c r="AB81" i="29"/>
  <c r="AA81" i="29"/>
  <c r="Z81" i="29"/>
  <c r="Y81" i="29"/>
  <c r="X81" i="29"/>
  <c r="W81" i="29"/>
  <c r="V81" i="29"/>
  <c r="U81" i="29"/>
  <c r="T81" i="29"/>
  <c r="S81" i="29"/>
  <c r="R81" i="29"/>
  <c r="Q81" i="29"/>
  <c r="P81" i="29"/>
  <c r="O81" i="29"/>
  <c r="N81" i="29"/>
  <c r="M81" i="29"/>
  <c r="L81" i="29"/>
  <c r="K81" i="29"/>
  <c r="J81" i="29"/>
  <c r="I81" i="29"/>
  <c r="H81" i="29"/>
  <c r="G81" i="29"/>
  <c r="G76" i="29"/>
  <c r="H84" i="29"/>
  <c r="AK61" i="29"/>
  <c r="AK371" i="29" s="1"/>
  <c r="AJ61" i="29"/>
  <c r="AJ371" i="29" s="1"/>
  <c r="AI61" i="29"/>
  <c r="AI371" i="29" s="1"/>
  <c r="AH61" i="29"/>
  <c r="AH371" i="29" s="1"/>
  <c r="AG61" i="29"/>
  <c r="AG371" i="29" s="1"/>
  <c r="AF61" i="29"/>
  <c r="AF371" i="29" s="1"/>
  <c r="AE61" i="29"/>
  <c r="AE371" i="29" s="1"/>
  <c r="AD61" i="29"/>
  <c r="AD371" i="29" s="1"/>
  <c r="AC61" i="29"/>
  <c r="AC371" i="29" s="1"/>
  <c r="AB61" i="29"/>
  <c r="AB371" i="29" s="1"/>
  <c r="AA61" i="29"/>
  <c r="AA371" i="29" s="1"/>
  <c r="Z61" i="29"/>
  <c r="Z371" i="29" s="1"/>
  <c r="Y61" i="29"/>
  <c r="Y371" i="29" s="1"/>
  <c r="X61" i="29"/>
  <c r="X371" i="29" s="1"/>
  <c r="W61" i="29"/>
  <c r="W371" i="29" s="1"/>
  <c r="V61" i="29"/>
  <c r="V371" i="29" s="1"/>
  <c r="U61" i="29"/>
  <c r="U371" i="29" s="1"/>
  <c r="T61" i="29"/>
  <c r="T371" i="29" s="1"/>
  <c r="S61" i="29"/>
  <c r="S371" i="29" s="1"/>
  <c r="R61" i="29"/>
  <c r="R371" i="29" s="1"/>
  <c r="Q61" i="29"/>
  <c r="Q371" i="29" s="1"/>
  <c r="P61" i="29"/>
  <c r="P371" i="29" s="1"/>
  <c r="O61" i="29"/>
  <c r="O371" i="29" s="1"/>
  <c r="N61" i="29"/>
  <c r="N371" i="29" s="1"/>
  <c r="M61" i="29"/>
  <c r="M371" i="29" s="1"/>
  <c r="L61" i="29"/>
  <c r="L371" i="29" s="1"/>
  <c r="K61" i="29"/>
  <c r="K371" i="29" s="1"/>
  <c r="J61" i="29"/>
  <c r="J371" i="29" s="1"/>
  <c r="I61" i="29"/>
  <c r="I371" i="29" s="1"/>
  <c r="H61" i="29"/>
  <c r="H371" i="29" s="1"/>
  <c r="G61" i="29"/>
  <c r="G371" i="29" s="1"/>
  <c r="AK52" i="29"/>
  <c r="AJ52" i="29"/>
  <c r="AI52" i="29"/>
  <c r="AH52" i="29"/>
  <c r="AG52" i="29"/>
  <c r="AF52" i="29"/>
  <c r="AE52" i="29"/>
  <c r="AD52" i="29"/>
  <c r="AC52" i="29"/>
  <c r="AB52" i="29"/>
  <c r="AA52" i="29"/>
  <c r="Z52" i="29"/>
  <c r="Y52" i="29"/>
  <c r="X52" i="29"/>
  <c r="W52" i="29"/>
  <c r="V52" i="29"/>
  <c r="U52" i="29"/>
  <c r="T52" i="29"/>
  <c r="S52" i="29"/>
  <c r="R52" i="29"/>
  <c r="Q52" i="29"/>
  <c r="P52" i="29"/>
  <c r="O52" i="29"/>
  <c r="N52" i="29"/>
  <c r="M52" i="29"/>
  <c r="L52" i="29"/>
  <c r="K52" i="29"/>
  <c r="J52" i="29"/>
  <c r="I52" i="29"/>
  <c r="H52" i="29"/>
  <c r="G52" i="29"/>
  <c r="AK51" i="29"/>
  <c r="AJ51" i="29"/>
  <c r="AI51" i="29"/>
  <c r="AH51" i="29"/>
  <c r="AG51" i="29"/>
  <c r="AF51" i="29"/>
  <c r="AE51" i="29"/>
  <c r="AD51" i="29"/>
  <c r="AC51" i="29"/>
  <c r="AB51" i="29"/>
  <c r="AA51" i="29"/>
  <c r="Z51" i="29"/>
  <c r="Y51" i="29"/>
  <c r="X51" i="29"/>
  <c r="W51" i="29"/>
  <c r="V51" i="29"/>
  <c r="U51" i="29"/>
  <c r="T51" i="29"/>
  <c r="S51" i="29"/>
  <c r="R51" i="29"/>
  <c r="Q51" i="29"/>
  <c r="P51" i="29"/>
  <c r="O51" i="29"/>
  <c r="N51" i="29"/>
  <c r="M51" i="29"/>
  <c r="L51" i="29"/>
  <c r="K51" i="29"/>
  <c r="J51" i="29"/>
  <c r="I51" i="29"/>
  <c r="H51" i="29"/>
  <c r="G51" i="29"/>
  <c r="AK50" i="29"/>
  <c r="AJ50" i="29"/>
  <c r="AI50" i="29"/>
  <c r="AH50" i="29"/>
  <c r="AG50" i="29"/>
  <c r="AF50" i="29"/>
  <c r="AE50" i="29"/>
  <c r="AD50" i="29"/>
  <c r="AC50" i="29"/>
  <c r="AB50" i="29"/>
  <c r="AA50" i="29"/>
  <c r="Z50" i="29"/>
  <c r="Y50" i="29"/>
  <c r="X50" i="29"/>
  <c r="W50" i="29"/>
  <c r="V50" i="29"/>
  <c r="U50" i="29"/>
  <c r="T50" i="29"/>
  <c r="S50" i="29"/>
  <c r="R50" i="29"/>
  <c r="Q50" i="29"/>
  <c r="P50" i="29"/>
  <c r="O50" i="29"/>
  <c r="N50" i="29"/>
  <c r="M50" i="29"/>
  <c r="L50" i="29"/>
  <c r="K50" i="29"/>
  <c r="J50" i="29"/>
  <c r="I50" i="29"/>
  <c r="H50" i="29"/>
  <c r="G50" i="29"/>
  <c r="AK49" i="29"/>
  <c r="AJ49" i="29"/>
  <c r="AI49" i="29"/>
  <c r="AH49" i="29"/>
  <c r="AG49" i="29"/>
  <c r="AF49" i="29"/>
  <c r="AE49" i="29"/>
  <c r="AD49" i="29"/>
  <c r="AC49" i="29"/>
  <c r="AB49" i="29"/>
  <c r="AA49" i="29"/>
  <c r="Z49" i="29"/>
  <c r="Y49" i="29"/>
  <c r="X49" i="29"/>
  <c r="W49" i="29"/>
  <c r="V49" i="29"/>
  <c r="U49" i="29"/>
  <c r="T49" i="29"/>
  <c r="S49" i="29"/>
  <c r="R49" i="29"/>
  <c r="Q49" i="29"/>
  <c r="P49" i="29"/>
  <c r="O49" i="29"/>
  <c r="N49" i="29"/>
  <c r="M49" i="29"/>
  <c r="L49" i="29"/>
  <c r="K49" i="29"/>
  <c r="J49" i="29"/>
  <c r="I49" i="29"/>
  <c r="H49" i="29"/>
  <c r="G49" i="29"/>
  <c r="G32" i="29"/>
  <c r="AK54" i="19"/>
  <c r="AJ54" i="19"/>
  <c r="AI54" i="19"/>
  <c r="AH54" i="19"/>
  <c r="AG54" i="19"/>
  <c r="AF54" i="19"/>
  <c r="AE54" i="19"/>
  <c r="AD54" i="19"/>
  <c r="AC54" i="19"/>
  <c r="AB54" i="19"/>
  <c r="AA54" i="19"/>
  <c r="Z54" i="19"/>
  <c r="Y54" i="19"/>
  <c r="X54" i="19"/>
  <c r="W54" i="19"/>
  <c r="V54" i="19"/>
  <c r="U54" i="19"/>
  <c r="T54" i="19"/>
  <c r="S54" i="19"/>
  <c r="R54" i="19"/>
  <c r="Q54" i="19"/>
  <c r="P54" i="19"/>
  <c r="O54" i="19"/>
  <c r="N54" i="19"/>
  <c r="M54" i="19"/>
  <c r="L54" i="19"/>
  <c r="C40" i="19"/>
  <c r="AK388" i="28"/>
  <c r="AJ388" i="28"/>
  <c r="AI388" i="28"/>
  <c r="AH388" i="28"/>
  <c r="AG388" i="28"/>
  <c r="AF388" i="28"/>
  <c r="AE388" i="28"/>
  <c r="AD388" i="28"/>
  <c r="AC388" i="28"/>
  <c r="AB388" i="28"/>
  <c r="AA388" i="28"/>
  <c r="Z388" i="28"/>
  <c r="Y388" i="28"/>
  <c r="X388" i="28"/>
  <c r="W388" i="28"/>
  <c r="V388" i="28"/>
  <c r="U388" i="28"/>
  <c r="T388" i="28"/>
  <c r="S388" i="28"/>
  <c r="R388" i="28"/>
  <c r="Q388" i="28"/>
  <c r="P388" i="28"/>
  <c r="O388" i="28"/>
  <c r="N388" i="28"/>
  <c r="M388" i="28"/>
  <c r="L388" i="28"/>
  <c r="K388" i="28"/>
  <c r="J388" i="28"/>
  <c r="I388" i="28"/>
  <c r="H388" i="28"/>
  <c r="G388" i="28"/>
  <c r="AK387" i="28"/>
  <c r="AJ387" i="28"/>
  <c r="AI387" i="28"/>
  <c r="AH387" i="28"/>
  <c r="AG387" i="28"/>
  <c r="AF387" i="28"/>
  <c r="AE387" i="28"/>
  <c r="AD387" i="28"/>
  <c r="AC387" i="28"/>
  <c r="AB387" i="28"/>
  <c r="AA387" i="28"/>
  <c r="Z387" i="28"/>
  <c r="Y387" i="28"/>
  <c r="X387" i="28"/>
  <c r="W387" i="28"/>
  <c r="V387" i="28"/>
  <c r="U387" i="28"/>
  <c r="T387" i="28"/>
  <c r="S387" i="28"/>
  <c r="R387" i="28"/>
  <c r="Q387" i="28"/>
  <c r="P387" i="28"/>
  <c r="O387" i="28"/>
  <c r="N387" i="28"/>
  <c r="M387" i="28"/>
  <c r="L387" i="28"/>
  <c r="K387" i="28"/>
  <c r="J387" i="28"/>
  <c r="I387" i="28"/>
  <c r="H387" i="28"/>
  <c r="G387" i="28"/>
  <c r="AK386" i="28"/>
  <c r="AJ386" i="28"/>
  <c r="AI386" i="28"/>
  <c r="AH386" i="28"/>
  <c r="AG386" i="28"/>
  <c r="AF386" i="28"/>
  <c r="AE386" i="28"/>
  <c r="AD386" i="28"/>
  <c r="AC386" i="28"/>
  <c r="AB386" i="28"/>
  <c r="AA386" i="28"/>
  <c r="Z386" i="28"/>
  <c r="Y386" i="28"/>
  <c r="X386" i="28"/>
  <c r="W386" i="28"/>
  <c r="V386" i="28"/>
  <c r="U386" i="28"/>
  <c r="T386" i="28"/>
  <c r="S386" i="28"/>
  <c r="R386" i="28"/>
  <c r="Q386" i="28"/>
  <c r="P386" i="28"/>
  <c r="O386" i="28"/>
  <c r="N386" i="28"/>
  <c r="M386" i="28"/>
  <c r="L386" i="28"/>
  <c r="K386" i="28"/>
  <c r="J386" i="28"/>
  <c r="I386" i="28"/>
  <c r="H386" i="28"/>
  <c r="G386" i="28"/>
  <c r="AK370" i="28"/>
  <c r="AJ370" i="28"/>
  <c r="AI370" i="28"/>
  <c r="AH370" i="28"/>
  <c r="AG370" i="28"/>
  <c r="AF370" i="28"/>
  <c r="AE370" i="28"/>
  <c r="AD370" i="28"/>
  <c r="AC370" i="28"/>
  <c r="AB370" i="28"/>
  <c r="AA370" i="28"/>
  <c r="Z370" i="28"/>
  <c r="Y370" i="28"/>
  <c r="X370" i="28"/>
  <c r="W370" i="28"/>
  <c r="V370" i="28"/>
  <c r="U370" i="28"/>
  <c r="T370" i="28"/>
  <c r="S370" i="28"/>
  <c r="R370" i="28"/>
  <c r="Q370" i="28"/>
  <c r="P370" i="28"/>
  <c r="O370" i="28"/>
  <c r="N370" i="28"/>
  <c r="M370" i="28"/>
  <c r="L370" i="28"/>
  <c r="K370" i="28"/>
  <c r="J370" i="28"/>
  <c r="I370" i="28"/>
  <c r="H370" i="28"/>
  <c r="G370" i="28"/>
  <c r="AK369" i="28"/>
  <c r="AJ369" i="28"/>
  <c r="AI369" i="28"/>
  <c r="AH369" i="28"/>
  <c r="AG369" i="28"/>
  <c r="AF369" i="28"/>
  <c r="AE369" i="28"/>
  <c r="AD369" i="28"/>
  <c r="AC369" i="28"/>
  <c r="AB369" i="28"/>
  <c r="AA369" i="28"/>
  <c r="Z369" i="28"/>
  <c r="Y369" i="28"/>
  <c r="X369" i="28"/>
  <c r="W369" i="28"/>
  <c r="V369" i="28"/>
  <c r="U369" i="28"/>
  <c r="T369" i="28"/>
  <c r="S369" i="28"/>
  <c r="R369" i="28"/>
  <c r="Q369" i="28"/>
  <c r="P369" i="28"/>
  <c r="O369" i="28"/>
  <c r="N369" i="28"/>
  <c r="M369" i="28"/>
  <c r="L369" i="28"/>
  <c r="K369" i="28"/>
  <c r="J369" i="28"/>
  <c r="I369" i="28"/>
  <c r="H369" i="28"/>
  <c r="G369" i="28"/>
  <c r="AK368" i="28"/>
  <c r="AJ368" i="28"/>
  <c r="AI368" i="28"/>
  <c r="AH368" i="28"/>
  <c r="AG368" i="28"/>
  <c r="AF368" i="28"/>
  <c r="AE368" i="28"/>
  <c r="AD368" i="28"/>
  <c r="AC368" i="28"/>
  <c r="AB368" i="28"/>
  <c r="AA368" i="28"/>
  <c r="Z368" i="28"/>
  <c r="Y368" i="28"/>
  <c r="X368" i="28"/>
  <c r="W368" i="28"/>
  <c r="V368" i="28"/>
  <c r="U368" i="28"/>
  <c r="T368" i="28"/>
  <c r="S368" i="28"/>
  <c r="R368" i="28"/>
  <c r="Q368" i="28"/>
  <c r="P368" i="28"/>
  <c r="O368" i="28"/>
  <c r="N368" i="28"/>
  <c r="M368" i="28"/>
  <c r="L368" i="28"/>
  <c r="K368" i="28"/>
  <c r="J368" i="28"/>
  <c r="I368" i="28"/>
  <c r="H368" i="28"/>
  <c r="G368" i="28"/>
  <c r="AK359" i="28"/>
  <c r="AJ359" i="28"/>
  <c r="AI359" i="28"/>
  <c r="AH359" i="28"/>
  <c r="AG359" i="28"/>
  <c r="AF359" i="28"/>
  <c r="AE359" i="28"/>
  <c r="AD359" i="28"/>
  <c r="AC359" i="28"/>
  <c r="AB359" i="28"/>
  <c r="AA359" i="28"/>
  <c r="Z359" i="28"/>
  <c r="Y359" i="28"/>
  <c r="X359" i="28"/>
  <c r="W359" i="28"/>
  <c r="V359" i="28"/>
  <c r="U359" i="28"/>
  <c r="T359" i="28"/>
  <c r="S359" i="28"/>
  <c r="R359" i="28"/>
  <c r="Q359" i="28"/>
  <c r="P359" i="28"/>
  <c r="O359" i="28"/>
  <c r="N359" i="28"/>
  <c r="M359" i="28"/>
  <c r="L359" i="28"/>
  <c r="K359" i="28"/>
  <c r="J359" i="28"/>
  <c r="I359" i="28"/>
  <c r="H359" i="28"/>
  <c r="G359" i="28"/>
  <c r="G355" i="28"/>
  <c r="G354" i="28"/>
  <c r="G353" i="28"/>
  <c r="AK352" i="28"/>
  <c r="AJ352" i="28"/>
  <c r="AI352" i="28"/>
  <c r="AH352" i="28"/>
  <c r="AG352" i="28"/>
  <c r="AF352" i="28"/>
  <c r="AE352" i="28"/>
  <c r="AD352" i="28"/>
  <c r="AC352" i="28"/>
  <c r="AB352" i="28"/>
  <c r="AA352" i="28"/>
  <c r="Z352" i="28"/>
  <c r="Y352" i="28"/>
  <c r="X352" i="28"/>
  <c r="W352" i="28"/>
  <c r="V352" i="28"/>
  <c r="U352" i="28"/>
  <c r="T352" i="28"/>
  <c r="S352" i="28"/>
  <c r="R352" i="28"/>
  <c r="Q352" i="28"/>
  <c r="P352" i="28"/>
  <c r="O352" i="28"/>
  <c r="N352" i="28"/>
  <c r="M352" i="28"/>
  <c r="L352" i="28"/>
  <c r="K352" i="28"/>
  <c r="J352" i="28"/>
  <c r="I352" i="28"/>
  <c r="H352" i="28"/>
  <c r="G352" i="28"/>
  <c r="G347" i="28"/>
  <c r="AK331" i="28"/>
  <c r="AJ331" i="28"/>
  <c r="AI331" i="28"/>
  <c r="AH331" i="28"/>
  <c r="AG331" i="28"/>
  <c r="AF331" i="28"/>
  <c r="AE331" i="28"/>
  <c r="AD331" i="28"/>
  <c r="AC331" i="28"/>
  <c r="AB331" i="28"/>
  <c r="AA331" i="28"/>
  <c r="Z331" i="28"/>
  <c r="Y331" i="28"/>
  <c r="X331" i="28"/>
  <c r="W331" i="28"/>
  <c r="V331" i="28"/>
  <c r="U331" i="28"/>
  <c r="T331" i="28"/>
  <c r="S331" i="28"/>
  <c r="R331" i="28"/>
  <c r="Q331" i="28"/>
  <c r="P331" i="28"/>
  <c r="O331" i="28"/>
  <c r="N331" i="28"/>
  <c r="M331" i="28"/>
  <c r="K331" i="28"/>
  <c r="J331" i="28"/>
  <c r="I331" i="28"/>
  <c r="H331" i="28"/>
  <c r="G331" i="28"/>
  <c r="AK330" i="28"/>
  <c r="AJ330" i="28"/>
  <c r="AI330" i="28"/>
  <c r="AH330" i="28"/>
  <c r="AG330" i="28"/>
  <c r="AF330" i="28"/>
  <c r="AE330" i="28"/>
  <c r="AD330" i="28"/>
  <c r="AC330" i="28"/>
  <c r="AB330" i="28"/>
  <c r="AA330" i="28"/>
  <c r="Z330" i="28"/>
  <c r="Y330" i="28"/>
  <c r="X330" i="28"/>
  <c r="W330" i="28"/>
  <c r="V330" i="28"/>
  <c r="U330" i="28"/>
  <c r="T330" i="28"/>
  <c r="S330" i="28"/>
  <c r="R330" i="28"/>
  <c r="Q330" i="28"/>
  <c r="P330" i="28"/>
  <c r="O330" i="28"/>
  <c r="N330" i="28"/>
  <c r="M330" i="28"/>
  <c r="L330" i="28"/>
  <c r="K330" i="28"/>
  <c r="J330" i="28"/>
  <c r="I330" i="28"/>
  <c r="H330" i="28"/>
  <c r="G330" i="28"/>
  <c r="AK329" i="28"/>
  <c r="AJ329" i="28"/>
  <c r="AI329" i="28"/>
  <c r="AH329" i="28"/>
  <c r="AG329" i="28"/>
  <c r="AF329" i="28"/>
  <c r="AE329" i="28"/>
  <c r="AD329" i="28"/>
  <c r="AC329" i="28"/>
  <c r="AB329" i="28"/>
  <c r="AA329" i="28"/>
  <c r="Z329" i="28"/>
  <c r="Y329" i="28"/>
  <c r="X329" i="28"/>
  <c r="W329" i="28"/>
  <c r="V329" i="28"/>
  <c r="U329" i="28"/>
  <c r="T329" i="28"/>
  <c r="S329" i="28"/>
  <c r="R329" i="28"/>
  <c r="Q329" i="28"/>
  <c r="P329" i="28"/>
  <c r="O329" i="28"/>
  <c r="N329" i="28"/>
  <c r="M329" i="28"/>
  <c r="L329" i="28"/>
  <c r="K329" i="28"/>
  <c r="J329" i="28"/>
  <c r="I329" i="28"/>
  <c r="H329" i="28"/>
  <c r="G329" i="28"/>
  <c r="AK328" i="28"/>
  <c r="AJ328" i="28"/>
  <c r="AI328" i="28"/>
  <c r="AH328" i="28"/>
  <c r="AG328" i="28"/>
  <c r="AF328" i="28"/>
  <c r="AE328" i="28"/>
  <c r="AD328" i="28"/>
  <c r="AC328" i="28"/>
  <c r="AB328" i="28"/>
  <c r="AA328" i="28"/>
  <c r="Z328" i="28"/>
  <c r="Y328" i="28"/>
  <c r="X328" i="28"/>
  <c r="W328" i="28"/>
  <c r="V328" i="28"/>
  <c r="U328" i="28"/>
  <c r="T328" i="28"/>
  <c r="S328" i="28"/>
  <c r="R328" i="28"/>
  <c r="Q328" i="28"/>
  <c r="P328" i="28"/>
  <c r="O328" i="28"/>
  <c r="N328" i="28"/>
  <c r="M328" i="28"/>
  <c r="L328" i="28"/>
  <c r="K328" i="28"/>
  <c r="J328" i="28"/>
  <c r="I328" i="28"/>
  <c r="H328" i="28"/>
  <c r="G328" i="28"/>
  <c r="AK327" i="28"/>
  <c r="AJ327" i="28"/>
  <c r="AI327" i="28"/>
  <c r="AH327" i="28"/>
  <c r="AG327" i="28"/>
  <c r="AF327" i="28"/>
  <c r="AE327" i="28"/>
  <c r="AD327" i="28"/>
  <c r="AC327" i="28"/>
  <c r="AB327" i="28"/>
  <c r="AA327" i="28"/>
  <c r="Z327" i="28"/>
  <c r="Y327" i="28"/>
  <c r="X327" i="28"/>
  <c r="W327" i="28"/>
  <c r="V327" i="28"/>
  <c r="U327" i="28"/>
  <c r="T327" i="28"/>
  <c r="S327" i="28"/>
  <c r="R327" i="28"/>
  <c r="Q327" i="28"/>
  <c r="P327" i="28"/>
  <c r="O327" i="28"/>
  <c r="N327" i="28"/>
  <c r="M327" i="28"/>
  <c r="L327" i="28"/>
  <c r="K327" i="28"/>
  <c r="J327" i="28"/>
  <c r="I327" i="28"/>
  <c r="H327" i="28"/>
  <c r="G327" i="28"/>
  <c r="AK326" i="28"/>
  <c r="AJ326" i="28"/>
  <c r="AI326" i="28"/>
  <c r="AH326" i="28"/>
  <c r="AG326" i="28"/>
  <c r="AF326" i="28"/>
  <c r="AE326" i="28"/>
  <c r="AD326" i="28"/>
  <c r="AC326" i="28"/>
  <c r="AB326" i="28"/>
  <c r="AA326" i="28"/>
  <c r="Z326" i="28"/>
  <c r="Y326" i="28"/>
  <c r="X326" i="28"/>
  <c r="W326" i="28"/>
  <c r="V326" i="28"/>
  <c r="U326" i="28"/>
  <c r="T326" i="28"/>
  <c r="S326" i="28"/>
  <c r="R326" i="28"/>
  <c r="Q326" i="28"/>
  <c r="P326" i="28"/>
  <c r="O326" i="28"/>
  <c r="N326" i="28"/>
  <c r="M326" i="28"/>
  <c r="L326" i="28"/>
  <c r="K326" i="28"/>
  <c r="J326" i="28"/>
  <c r="I326" i="28"/>
  <c r="H326" i="28"/>
  <c r="G326" i="28"/>
  <c r="AK325" i="28"/>
  <c r="AJ325" i="28"/>
  <c r="AI325" i="28"/>
  <c r="AH325" i="28"/>
  <c r="AG325" i="28"/>
  <c r="AF325" i="28"/>
  <c r="AE325" i="28"/>
  <c r="AD325" i="28"/>
  <c r="AC325" i="28"/>
  <c r="AB325" i="28"/>
  <c r="AA325" i="28"/>
  <c r="Z325" i="28"/>
  <c r="Y325" i="28"/>
  <c r="X325" i="28"/>
  <c r="W325" i="28"/>
  <c r="V325" i="28"/>
  <c r="U325" i="28"/>
  <c r="T325" i="28"/>
  <c r="S325" i="28"/>
  <c r="R325" i="28"/>
  <c r="Q325" i="28"/>
  <c r="P325" i="28"/>
  <c r="O325" i="28"/>
  <c r="N325" i="28"/>
  <c r="M325" i="28"/>
  <c r="L325" i="28"/>
  <c r="K325" i="28"/>
  <c r="J325" i="28"/>
  <c r="I325" i="28"/>
  <c r="H325" i="28"/>
  <c r="G325" i="28"/>
  <c r="G324" i="28"/>
  <c r="AK319" i="28"/>
  <c r="AJ319" i="28"/>
  <c r="AI319" i="28"/>
  <c r="AH319" i="28"/>
  <c r="AG319" i="28"/>
  <c r="AF319" i="28"/>
  <c r="AE319" i="28"/>
  <c r="AD319" i="28"/>
  <c r="AC319" i="28"/>
  <c r="AB319" i="28"/>
  <c r="AA319" i="28"/>
  <c r="Z319" i="28"/>
  <c r="Y319" i="28"/>
  <c r="X319" i="28"/>
  <c r="W319" i="28"/>
  <c r="V319" i="28"/>
  <c r="U319" i="28"/>
  <c r="T319" i="28"/>
  <c r="S319" i="28"/>
  <c r="R319" i="28"/>
  <c r="Q319" i="28"/>
  <c r="P319" i="28"/>
  <c r="O319" i="28"/>
  <c r="N319" i="28"/>
  <c r="M319" i="28"/>
  <c r="L319" i="28"/>
  <c r="K319" i="28"/>
  <c r="J319" i="28"/>
  <c r="I319" i="28"/>
  <c r="H319" i="28"/>
  <c r="G319" i="28"/>
  <c r="AK318" i="28"/>
  <c r="AJ318" i="28"/>
  <c r="AI318" i="28"/>
  <c r="AH318" i="28"/>
  <c r="AG318" i="28"/>
  <c r="AF318" i="28"/>
  <c r="AE318" i="28"/>
  <c r="AD318" i="28"/>
  <c r="AC318" i="28"/>
  <c r="AB318" i="28"/>
  <c r="AA318" i="28"/>
  <c r="Z318" i="28"/>
  <c r="Y318" i="28"/>
  <c r="X318" i="28"/>
  <c r="W318" i="28"/>
  <c r="V318" i="28"/>
  <c r="U318" i="28"/>
  <c r="T318" i="28"/>
  <c r="S318" i="28"/>
  <c r="R318" i="28"/>
  <c r="Q318" i="28"/>
  <c r="P318" i="28"/>
  <c r="O318" i="28"/>
  <c r="N318" i="28"/>
  <c r="M318" i="28"/>
  <c r="L318" i="28"/>
  <c r="K318" i="28"/>
  <c r="J318" i="28"/>
  <c r="I318" i="28"/>
  <c r="H318" i="28"/>
  <c r="G318" i="28"/>
  <c r="AK317" i="28"/>
  <c r="AJ317" i="28"/>
  <c r="AI317" i="28"/>
  <c r="AH317" i="28"/>
  <c r="AG317" i="28"/>
  <c r="AF317" i="28"/>
  <c r="AE317" i="28"/>
  <c r="AD317" i="28"/>
  <c r="AC317" i="28"/>
  <c r="AB317" i="28"/>
  <c r="AA317" i="28"/>
  <c r="Z317" i="28"/>
  <c r="Y317" i="28"/>
  <c r="X317" i="28"/>
  <c r="W317" i="28"/>
  <c r="V317" i="28"/>
  <c r="U317" i="28"/>
  <c r="T317" i="28"/>
  <c r="S317" i="28"/>
  <c r="R317" i="28"/>
  <c r="Q317" i="28"/>
  <c r="P317" i="28"/>
  <c r="O317" i="28"/>
  <c r="N317" i="28"/>
  <c r="M317" i="28"/>
  <c r="L317" i="28"/>
  <c r="K317" i="28"/>
  <c r="J317" i="28"/>
  <c r="I317" i="28"/>
  <c r="H317" i="28"/>
  <c r="G317" i="28"/>
  <c r="AK316" i="28"/>
  <c r="AJ316" i="28"/>
  <c r="AI316" i="28"/>
  <c r="AH316" i="28"/>
  <c r="AG316" i="28"/>
  <c r="AF316" i="28"/>
  <c r="AE316" i="28"/>
  <c r="AD316" i="28"/>
  <c r="AC316" i="28"/>
  <c r="AB316" i="28"/>
  <c r="AA316" i="28"/>
  <c r="Z316" i="28"/>
  <c r="Y316" i="28"/>
  <c r="X316" i="28"/>
  <c r="W316" i="28"/>
  <c r="V316" i="28"/>
  <c r="U316" i="28"/>
  <c r="T316" i="28"/>
  <c r="S316" i="28"/>
  <c r="R316" i="28"/>
  <c r="Q316" i="28"/>
  <c r="P316" i="28"/>
  <c r="O316" i="28"/>
  <c r="N316" i="28"/>
  <c r="M316" i="28"/>
  <c r="L316" i="28"/>
  <c r="K316" i="28"/>
  <c r="J316" i="28"/>
  <c r="I316" i="28"/>
  <c r="H316" i="28"/>
  <c r="G316" i="28"/>
  <c r="AK314" i="28"/>
  <c r="AJ314" i="28"/>
  <c r="AI314" i="28"/>
  <c r="AH314" i="28"/>
  <c r="AG314" i="28"/>
  <c r="AF314" i="28"/>
  <c r="AE314" i="28"/>
  <c r="AD314" i="28"/>
  <c r="AC314" i="28"/>
  <c r="AB314" i="28"/>
  <c r="AA314" i="28"/>
  <c r="Z314" i="28"/>
  <c r="Y314" i="28"/>
  <c r="X314" i="28"/>
  <c r="W314" i="28"/>
  <c r="V314" i="28"/>
  <c r="U314" i="28"/>
  <c r="T314" i="28"/>
  <c r="S314" i="28"/>
  <c r="R314" i="28"/>
  <c r="Q314" i="28"/>
  <c r="P314" i="28"/>
  <c r="O314" i="28"/>
  <c r="N314" i="28"/>
  <c r="M314" i="28"/>
  <c r="L314" i="28"/>
  <c r="K314" i="28"/>
  <c r="J314" i="28"/>
  <c r="I314" i="28"/>
  <c r="H314" i="28"/>
  <c r="G314" i="28"/>
  <c r="AK311" i="28"/>
  <c r="AJ311" i="28"/>
  <c r="AI311" i="28"/>
  <c r="AH311" i="28"/>
  <c r="AG311" i="28"/>
  <c r="AF311" i="28"/>
  <c r="AE311" i="28"/>
  <c r="AD311" i="28"/>
  <c r="AC311" i="28"/>
  <c r="AB311" i="28"/>
  <c r="AA311" i="28"/>
  <c r="Z311" i="28"/>
  <c r="Y311" i="28"/>
  <c r="X311" i="28"/>
  <c r="W311" i="28"/>
  <c r="V311" i="28"/>
  <c r="U311" i="28"/>
  <c r="T311" i="28"/>
  <c r="S311" i="28"/>
  <c r="R311" i="28"/>
  <c r="Q311" i="28"/>
  <c r="P311" i="28"/>
  <c r="O311" i="28"/>
  <c r="N311" i="28"/>
  <c r="M311" i="28"/>
  <c r="L311" i="28"/>
  <c r="K311" i="28"/>
  <c r="J311" i="28"/>
  <c r="I311" i="28"/>
  <c r="H311" i="28"/>
  <c r="G311" i="28"/>
  <c r="AK310" i="28"/>
  <c r="AJ310" i="28"/>
  <c r="AI310" i="28"/>
  <c r="AH310" i="28"/>
  <c r="AG310" i="28"/>
  <c r="AF310" i="28"/>
  <c r="AE310" i="28"/>
  <c r="AD310" i="28"/>
  <c r="AC310" i="28"/>
  <c r="AB310" i="28"/>
  <c r="AA310" i="28"/>
  <c r="Z310" i="28"/>
  <c r="Y310" i="28"/>
  <c r="X310" i="28"/>
  <c r="W310" i="28"/>
  <c r="V310" i="28"/>
  <c r="U310" i="28"/>
  <c r="T310" i="28"/>
  <c r="S310" i="28"/>
  <c r="R310" i="28"/>
  <c r="Q310" i="28"/>
  <c r="P310" i="28"/>
  <c r="O310" i="28"/>
  <c r="N310" i="28"/>
  <c r="M310" i="28"/>
  <c r="L310" i="28"/>
  <c r="K310" i="28"/>
  <c r="J310" i="28"/>
  <c r="I310" i="28"/>
  <c r="H310" i="28"/>
  <c r="G310" i="28"/>
  <c r="AK308" i="28"/>
  <c r="AJ308" i="28"/>
  <c r="AI308" i="28"/>
  <c r="AH308" i="28"/>
  <c r="AG308" i="28"/>
  <c r="AF308" i="28"/>
  <c r="AE308" i="28"/>
  <c r="AD308" i="28"/>
  <c r="AC308" i="28"/>
  <c r="AB308" i="28"/>
  <c r="AA308" i="28"/>
  <c r="Z308" i="28"/>
  <c r="Y308" i="28"/>
  <c r="X308" i="28"/>
  <c r="W308" i="28"/>
  <c r="V308" i="28"/>
  <c r="U308" i="28"/>
  <c r="T308" i="28"/>
  <c r="S308" i="28"/>
  <c r="R308" i="28"/>
  <c r="Q308" i="28"/>
  <c r="P308" i="28"/>
  <c r="O308" i="28"/>
  <c r="N308" i="28"/>
  <c r="M308" i="28"/>
  <c r="L308" i="28"/>
  <c r="K308" i="28"/>
  <c r="J308" i="28"/>
  <c r="I308" i="28"/>
  <c r="H308" i="28"/>
  <c r="G308" i="28"/>
  <c r="AK307" i="28"/>
  <c r="AJ307" i="28"/>
  <c r="AI307" i="28"/>
  <c r="AH307" i="28"/>
  <c r="AG307" i="28"/>
  <c r="AF307" i="28"/>
  <c r="AE307" i="28"/>
  <c r="AD307" i="28"/>
  <c r="AC307" i="28"/>
  <c r="AB307" i="28"/>
  <c r="AA307" i="28"/>
  <c r="Z307" i="28"/>
  <c r="Y307" i="28"/>
  <c r="X307" i="28"/>
  <c r="W307" i="28"/>
  <c r="V307" i="28"/>
  <c r="U307" i="28"/>
  <c r="T307" i="28"/>
  <c r="S307" i="28"/>
  <c r="R307" i="28"/>
  <c r="Q307" i="28"/>
  <c r="P307" i="28"/>
  <c r="O307" i="28"/>
  <c r="N307" i="28"/>
  <c r="M307" i="28"/>
  <c r="L307" i="28"/>
  <c r="K307" i="28"/>
  <c r="J307" i="28"/>
  <c r="I307" i="28"/>
  <c r="H307" i="28"/>
  <c r="G307" i="28"/>
  <c r="AK306" i="28"/>
  <c r="AJ306" i="28"/>
  <c r="AI306" i="28"/>
  <c r="AH306" i="28"/>
  <c r="AG306" i="28"/>
  <c r="AF306" i="28"/>
  <c r="AE306" i="28"/>
  <c r="AD306" i="28"/>
  <c r="AC306" i="28"/>
  <c r="AB306" i="28"/>
  <c r="AA306" i="28"/>
  <c r="Z306" i="28"/>
  <c r="Y306" i="28"/>
  <c r="X306" i="28"/>
  <c r="W306" i="28"/>
  <c r="V306" i="28"/>
  <c r="U306" i="28"/>
  <c r="T306" i="28"/>
  <c r="S306" i="28"/>
  <c r="R306" i="28"/>
  <c r="Q306" i="28"/>
  <c r="P306" i="28"/>
  <c r="O306" i="28"/>
  <c r="N306" i="28"/>
  <c r="M306" i="28"/>
  <c r="L306" i="28"/>
  <c r="K306" i="28"/>
  <c r="J306" i="28"/>
  <c r="I306" i="28"/>
  <c r="H306" i="28"/>
  <c r="G306" i="28"/>
  <c r="AK305" i="28"/>
  <c r="AJ305" i="28"/>
  <c r="AI305" i="28"/>
  <c r="AH305" i="28"/>
  <c r="AG305" i="28"/>
  <c r="AF305" i="28"/>
  <c r="AE305" i="28"/>
  <c r="AD305" i="28"/>
  <c r="AC305" i="28"/>
  <c r="AB305" i="28"/>
  <c r="AA305" i="28"/>
  <c r="Z305" i="28"/>
  <c r="Y305" i="28"/>
  <c r="X305" i="28"/>
  <c r="W305" i="28"/>
  <c r="V305" i="28"/>
  <c r="U305" i="28"/>
  <c r="T305" i="28"/>
  <c r="S305" i="28"/>
  <c r="R305" i="28"/>
  <c r="Q305" i="28"/>
  <c r="P305" i="28"/>
  <c r="O305" i="28"/>
  <c r="N305" i="28"/>
  <c r="M305" i="28"/>
  <c r="L305" i="28"/>
  <c r="K305" i="28"/>
  <c r="J305" i="28"/>
  <c r="I305" i="28"/>
  <c r="H305" i="28"/>
  <c r="G305" i="28"/>
  <c r="AK304" i="28"/>
  <c r="AK361" i="28" s="1"/>
  <c r="AJ304" i="28"/>
  <c r="AJ361" i="28" s="1"/>
  <c r="AI304" i="28"/>
  <c r="AI361" i="28" s="1"/>
  <c r="AH304" i="28"/>
  <c r="AH361" i="28" s="1"/>
  <c r="AG304" i="28"/>
  <c r="AG361" i="28" s="1"/>
  <c r="AF304" i="28"/>
  <c r="AF361" i="28" s="1"/>
  <c r="AE304" i="28"/>
  <c r="AE361" i="28" s="1"/>
  <c r="AD304" i="28"/>
  <c r="AD361" i="28" s="1"/>
  <c r="AC304" i="28"/>
  <c r="AC361" i="28" s="1"/>
  <c r="AB304" i="28"/>
  <c r="AB361" i="28" s="1"/>
  <c r="AA304" i="28"/>
  <c r="AA361" i="28" s="1"/>
  <c r="Z304" i="28"/>
  <c r="Z361" i="28" s="1"/>
  <c r="Y304" i="28"/>
  <c r="Y361" i="28" s="1"/>
  <c r="X304" i="28"/>
  <c r="X361" i="28" s="1"/>
  <c r="W304" i="28"/>
  <c r="W361" i="28" s="1"/>
  <c r="V304" i="28"/>
  <c r="V361" i="28" s="1"/>
  <c r="U304" i="28"/>
  <c r="U361" i="28" s="1"/>
  <c r="T304" i="28"/>
  <c r="T361" i="28" s="1"/>
  <c r="S304" i="28"/>
  <c r="S361" i="28" s="1"/>
  <c r="R304" i="28"/>
  <c r="R361" i="28" s="1"/>
  <c r="Q304" i="28"/>
  <c r="Q361" i="28" s="1"/>
  <c r="P304" i="28"/>
  <c r="P361" i="28" s="1"/>
  <c r="O304" i="28"/>
  <c r="O361" i="28" s="1"/>
  <c r="N304" i="28"/>
  <c r="N361" i="28" s="1"/>
  <c r="M304" i="28"/>
  <c r="M361" i="28" s="1"/>
  <c r="L304" i="28"/>
  <c r="L361" i="28" s="1"/>
  <c r="K304" i="28"/>
  <c r="K361" i="28" s="1"/>
  <c r="J304" i="28"/>
  <c r="J361" i="28" s="1"/>
  <c r="I304" i="28"/>
  <c r="I361" i="28" s="1"/>
  <c r="H304" i="28"/>
  <c r="H361" i="28" s="1"/>
  <c r="G304" i="28"/>
  <c r="G361" i="28" s="1"/>
  <c r="AK271" i="28"/>
  <c r="AJ271" i="28"/>
  <c r="AI271" i="28"/>
  <c r="AH271" i="28"/>
  <c r="AG271" i="28"/>
  <c r="AF271" i="28"/>
  <c r="AE271" i="28"/>
  <c r="AD271" i="28"/>
  <c r="AC271" i="28"/>
  <c r="AB271" i="28"/>
  <c r="AA271" i="28"/>
  <c r="Z271" i="28"/>
  <c r="Y271" i="28"/>
  <c r="X271" i="28"/>
  <c r="W271" i="28"/>
  <c r="V271" i="28"/>
  <c r="U271" i="28"/>
  <c r="T271" i="28"/>
  <c r="S271" i="28"/>
  <c r="R271" i="28"/>
  <c r="Q271" i="28"/>
  <c r="P271" i="28"/>
  <c r="O271" i="28"/>
  <c r="N271" i="28"/>
  <c r="M271" i="28"/>
  <c r="L271" i="28"/>
  <c r="K271" i="28"/>
  <c r="J271" i="28"/>
  <c r="I271" i="28"/>
  <c r="H271" i="28"/>
  <c r="G271" i="28"/>
  <c r="AK269" i="28"/>
  <c r="AJ269" i="28"/>
  <c r="AI269" i="28"/>
  <c r="AH269" i="28"/>
  <c r="AG269" i="28"/>
  <c r="AF269" i="28"/>
  <c r="AE269" i="28"/>
  <c r="AD269" i="28"/>
  <c r="AC269" i="28"/>
  <c r="AB269" i="28"/>
  <c r="AA269" i="28"/>
  <c r="Z269" i="28"/>
  <c r="Y269" i="28"/>
  <c r="X269" i="28"/>
  <c r="W269" i="28"/>
  <c r="V269" i="28"/>
  <c r="U269" i="28"/>
  <c r="T269" i="28"/>
  <c r="S269" i="28"/>
  <c r="R269" i="28"/>
  <c r="Q269" i="28"/>
  <c r="P269" i="28"/>
  <c r="O269" i="28"/>
  <c r="N269" i="28"/>
  <c r="M269" i="28"/>
  <c r="L269" i="28"/>
  <c r="K269" i="28"/>
  <c r="J269" i="28"/>
  <c r="I269" i="28"/>
  <c r="H269" i="28"/>
  <c r="G269" i="28"/>
  <c r="G265" i="28"/>
  <c r="G264" i="28"/>
  <c r="G263" i="28"/>
  <c r="AK262" i="28"/>
  <c r="AJ262" i="28"/>
  <c r="AI262" i="28"/>
  <c r="AH262" i="28"/>
  <c r="AG262" i="28"/>
  <c r="AF262" i="28"/>
  <c r="AE262" i="28"/>
  <c r="AD262" i="28"/>
  <c r="AC262" i="28"/>
  <c r="AB262" i="28"/>
  <c r="AA262" i="28"/>
  <c r="Z262" i="28"/>
  <c r="Y262" i="28"/>
  <c r="X262" i="28"/>
  <c r="W262" i="28"/>
  <c r="V262" i="28"/>
  <c r="U262" i="28"/>
  <c r="T262" i="28"/>
  <c r="S262" i="28"/>
  <c r="R262" i="28"/>
  <c r="Q262" i="28"/>
  <c r="P262" i="28"/>
  <c r="O262" i="28"/>
  <c r="N262" i="28"/>
  <c r="M262" i="28"/>
  <c r="L262" i="28"/>
  <c r="K262" i="28"/>
  <c r="J262" i="28"/>
  <c r="I262" i="28"/>
  <c r="H262" i="28"/>
  <c r="G262" i="28"/>
  <c r="G257" i="28"/>
  <c r="H263" i="28"/>
  <c r="AK242" i="28"/>
  <c r="AK389" i="28" s="1"/>
  <c r="AJ242" i="28"/>
  <c r="AJ389" i="28" s="1"/>
  <c r="AI242" i="28"/>
  <c r="AI389" i="28" s="1"/>
  <c r="AH242" i="28"/>
  <c r="AH389" i="28" s="1"/>
  <c r="AG242" i="28"/>
  <c r="AG389" i="28" s="1"/>
  <c r="AF242" i="28"/>
  <c r="AF389" i="28" s="1"/>
  <c r="AE242" i="28"/>
  <c r="AE389" i="28" s="1"/>
  <c r="AD242" i="28"/>
  <c r="AD389" i="28" s="1"/>
  <c r="AC242" i="28"/>
  <c r="AC389" i="28" s="1"/>
  <c r="AB242" i="28"/>
  <c r="AB389" i="28" s="1"/>
  <c r="AA242" i="28"/>
  <c r="AA389" i="28" s="1"/>
  <c r="Z242" i="28"/>
  <c r="Z389" i="28" s="1"/>
  <c r="Y242" i="28"/>
  <c r="Y389" i="28" s="1"/>
  <c r="X242" i="28"/>
  <c r="X389" i="28" s="1"/>
  <c r="W242" i="28"/>
  <c r="W389" i="28" s="1"/>
  <c r="V242" i="28"/>
  <c r="V389" i="28" s="1"/>
  <c r="U242" i="28"/>
  <c r="U389" i="28" s="1"/>
  <c r="T242" i="28"/>
  <c r="T389" i="28" s="1"/>
  <c r="S242" i="28"/>
  <c r="S389" i="28" s="1"/>
  <c r="R242" i="28"/>
  <c r="R389" i="28" s="1"/>
  <c r="Q242" i="28"/>
  <c r="Q389" i="28" s="1"/>
  <c r="P242" i="28"/>
  <c r="P389" i="28" s="1"/>
  <c r="O242" i="28"/>
  <c r="O389" i="28" s="1"/>
  <c r="N242" i="28"/>
  <c r="N389" i="28" s="1"/>
  <c r="M242" i="28"/>
  <c r="M389" i="28" s="1"/>
  <c r="L242" i="28"/>
  <c r="L389" i="28" s="1"/>
  <c r="K242" i="28"/>
  <c r="K389" i="28" s="1"/>
  <c r="J242" i="28"/>
  <c r="J389" i="28" s="1"/>
  <c r="I242" i="28"/>
  <c r="I389" i="28" s="1"/>
  <c r="H242" i="28"/>
  <c r="H389" i="28" s="1"/>
  <c r="G242" i="28"/>
  <c r="G389" i="28" s="1"/>
  <c r="M233" i="28"/>
  <c r="L233" i="28"/>
  <c r="K233" i="28"/>
  <c r="J233" i="28"/>
  <c r="I233" i="28"/>
  <c r="H233" i="28"/>
  <c r="G233" i="28"/>
  <c r="M232" i="28"/>
  <c r="L232" i="28"/>
  <c r="K232" i="28"/>
  <c r="J232" i="28"/>
  <c r="I232" i="28"/>
  <c r="H232" i="28"/>
  <c r="G232" i="28"/>
  <c r="M231" i="28"/>
  <c r="L231" i="28"/>
  <c r="K231" i="28"/>
  <c r="J231" i="28"/>
  <c r="I231" i="28"/>
  <c r="H231" i="28"/>
  <c r="G231" i="28"/>
  <c r="M230" i="28"/>
  <c r="L230" i="28"/>
  <c r="K230" i="28"/>
  <c r="J230" i="28"/>
  <c r="I230" i="28"/>
  <c r="H230" i="28"/>
  <c r="G230" i="28"/>
  <c r="AK213" i="28"/>
  <c r="AK222" i="28" s="1"/>
  <c r="AK223" i="28" s="1"/>
  <c r="AK391" i="28" s="1"/>
  <c r="AJ213" i="28"/>
  <c r="AJ222" i="28" s="1"/>
  <c r="AJ223" i="28" s="1"/>
  <c r="AI213" i="28"/>
  <c r="AH213" i="28"/>
  <c r="AG213" i="28"/>
  <c r="AG222" i="28" s="1"/>
  <c r="AG223" i="28" s="1"/>
  <c r="AG391" i="28" s="1"/>
  <c r="AF213" i="28"/>
  <c r="AF222" i="28" s="1"/>
  <c r="AF223" i="28" s="1"/>
  <c r="AF391" i="28" s="1"/>
  <c r="AE213" i="28"/>
  <c r="AE212" i="28" s="1"/>
  <c r="AE309" i="28" s="1"/>
  <c r="AD213" i="28"/>
  <c r="AC213" i="28"/>
  <c r="AC222" i="28" s="1"/>
  <c r="AC223" i="28" s="1"/>
  <c r="AC391" i="28" s="1"/>
  <c r="AB213" i="28"/>
  <c r="AB212" i="28" s="1"/>
  <c r="AB309" i="28" s="1"/>
  <c r="AA213" i="28"/>
  <c r="AA222" i="28" s="1"/>
  <c r="AA223" i="28" s="1"/>
  <c r="AA391" i="28" s="1"/>
  <c r="Z213" i="28"/>
  <c r="Y213" i="28"/>
  <c r="Y222" i="28" s="1"/>
  <c r="Y223" i="28" s="1"/>
  <c r="X213" i="28"/>
  <c r="X212" i="28" s="1"/>
  <c r="X309" i="28" s="1"/>
  <c r="W213" i="28"/>
  <c r="V213" i="28"/>
  <c r="U213" i="28"/>
  <c r="U222" i="28" s="1"/>
  <c r="U223" i="28" s="1"/>
  <c r="U391" i="28" s="1"/>
  <c r="T213" i="28"/>
  <c r="T222" i="28" s="1"/>
  <c r="T223" i="28" s="1"/>
  <c r="T391" i="28" s="1"/>
  <c r="S213" i="28"/>
  <c r="S212" i="28" s="1"/>
  <c r="S309" i="28" s="1"/>
  <c r="R213" i="28"/>
  <c r="Q213" i="28"/>
  <c r="Q222" i="28" s="1"/>
  <c r="Q223" i="28" s="1"/>
  <c r="Q391" i="28" s="1"/>
  <c r="P213" i="28"/>
  <c r="P212" i="28" s="1"/>
  <c r="P309" i="28" s="1"/>
  <c r="O213" i="28"/>
  <c r="O212" i="28" s="1"/>
  <c r="O309" i="28" s="1"/>
  <c r="N213" i="28"/>
  <c r="M213" i="28"/>
  <c r="M222" i="28" s="1"/>
  <c r="M223" i="28" s="1"/>
  <c r="M391" i="28" s="1"/>
  <c r="L213" i="28"/>
  <c r="L212" i="28" s="1"/>
  <c r="L309" i="28" s="1"/>
  <c r="K213" i="28"/>
  <c r="J213" i="28"/>
  <c r="I213" i="28"/>
  <c r="H213" i="28"/>
  <c r="H222" i="28" s="1"/>
  <c r="H223" i="28" s="1"/>
  <c r="G213" i="28"/>
  <c r="AK178" i="28"/>
  <c r="P61" i="19" s="1"/>
  <c r="AJ178" i="28"/>
  <c r="AI178" i="28"/>
  <c r="AH178" i="28"/>
  <c r="AG178" i="28"/>
  <c r="AF178" i="28"/>
  <c r="O61" i="19" s="1"/>
  <c r="AE178" i="28"/>
  <c r="AD178" i="28"/>
  <c r="AC178" i="28"/>
  <c r="AB178" i="28"/>
  <c r="AA178" i="28"/>
  <c r="N61" i="19" s="1"/>
  <c r="Z178" i="28"/>
  <c r="Y178" i="28"/>
  <c r="X178" i="28"/>
  <c r="W178" i="28"/>
  <c r="V178" i="28"/>
  <c r="M61" i="19" s="1"/>
  <c r="U178" i="28"/>
  <c r="T178" i="28"/>
  <c r="S178" i="28"/>
  <c r="R178" i="28"/>
  <c r="Q178" i="28"/>
  <c r="L61" i="19" s="1"/>
  <c r="P178" i="28"/>
  <c r="O178" i="28"/>
  <c r="N178" i="28"/>
  <c r="M178" i="28"/>
  <c r="L178" i="28"/>
  <c r="K61" i="19" s="1"/>
  <c r="K178" i="28"/>
  <c r="J178" i="28"/>
  <c r="I178" i="28"/>
  <c r="H178" i="28"/>
  <c r="G178" i="28"/>
  <c r="G174" i="28"/>
  <c r="G173" i="28"/>
  <c r="G172" i="28"/>
  <c r="AK171" i="28"/>
  <c r="AJ171" i="28"/>
  <c r="AI171" i="28"/>
  <c r="AH171" i="28"/>
  <c r="AG171" i="28"/>
  <c r="AF171" i="28"/>
  <c r="AE171" i="28"/>
  <c r="AD171" i="28"/>
  <c r="AC171" i="28"/>
  <c r="AB171" i="28"/>
  <c r="AA171" i="28"/>
  <c r="Z171" i="28"/>
  <c r="Y171" i="28"/>
  <c r="X171" i="28"/>
  <c r="W171" i="28"/>
  <c r="V171" i="28"/>
  <c r="U171" i="28"/>
  <c r="T171" i="28"/>
  <c r="S171" i="28"/>
  <c r="R171" i="28"/>
  <c r="Q171" i="28"/>
  <c r="P171" i="28"/>
  <c r="O171" i="28"/>
  <c r="N171" i="28"/>
  <c r="M171" i="28"/>
  <c r="L171" i="28"/>
  <c r="K171" i="28"/>
  <c r="J171" i="28"/>
  <c r="I171" i="28"/>
  <c r="H171" i="28"/>
  <c r="G171" i="28"/>
  <c r="G166" i="28"/>
  <c r="AK150" i="28"/>
  <c r="AJ150" i="28"/>
  <c r="AI150" i="28"/>
  <c r="AH150" i="28"/>
  <c r="AG150" i="28"/>
  <c r="AF150" i="28"/>
  <c r="AE150" i="28"/>
  <c r="AD150" i="28"/>
  <c r="AC150" i="28"/>
  <c r="AB150" i="28"/>
  <c r="AA150" i="28"/>
  <c r="Z150" i="28"/>
  <c r="Y150" i="28"/>
  <c r="X150" i="28"/>
  <c r="W150" i="28"/>
  <c r="V150" i="28"/>
  <c r="U150" i="28"/>
  <c r="T150" i="28"/>
  <c r="S150" i="28"/>
  <c r="R150" i="28"/>
  <c r="Q150" i="28"/>
  <c r="P150" i="28"/>
  <c r="O150" i="28"/>
  <c r="N150" i="28"/>
  <c r="M150" i="28"/>
  <c r="L150" i="28"/>
  <c r="K150" i="28"/>
  <c r="J150" i="28"/>
  <c r="I150" i="28"/>
  <c r="H150" i="28"/>
  <c r="G150" i="28"/>
  <c r="AK149" i="28"/>
  <c r="AJ149" i="28"/>
  <c r="AI149" i="28"/>
  <c r="AH149" i="28"/>
  <c r="AG149" i="28"/>
  <c r="AF149" i="28"/>
  <c r="AE149" i="28"/>
  <c r="AD149" i="28"/>
  <c r="AC149" i="28"/>
  <c r="AB149" i="28"/>
  <c r="AA149" i="28"/>
  <c r="Z149" i="28"/>
  <c r="Y149" i="28"/>
  <c r="X149" i="28"/>
  <c r="W149" i="28"/>
  <c r="V149" i="28"/>
  <c r="U149" i="28"/>
  <c r="T149" i="28"/>
  <c r="S149" i="28"/>
  <c r="R149" i="28"/>
  <c r="Q149" i="28"/>
  <c r="P149" i="28"/>
  <c r="O149" i="28"/>
  <c r="N149" i="28"/>
  <c r="M149" i="28"/>
  <c r="L149" i="28"/>
  <c r="K149" i="28"/>
  <c r="J149" i="28"/>
  <c r="I149" i="28"/>
  <c r="H149" i="28"/>
  <c r="G149" i="28"/>
  <c r="AK148" i="28"/>
  <c r="AJ148" i="28"/>
  <c r="AI148" i="28"/>
  <c r="AH148" i="28"/>
  <c r="AG148" i="28"/>
  <c r="AF148" i="28"/>
  <c r="AE148" i="28"/>
  <c r="AD148" i="28"/>
  <c r="AC148" i="28"/>
  <c r="AB148" i="28"/>
  <c r="AA148" i="28"/>
  <c r="Z148" i="28"/>
  <c r="Y148" i="28"/>
  <c r="X148" i="28"/>
  <c r="W148" i="28"/>
  <c r="V148" i="28"/>
  <c r="U148" i="28"/>
  <c r="T148" i="28"/>
  <c r="S148" i="28"/>
  <c r="R148" i="28"/>
  <c r="Q148" i="28"/>
  <c r="P148" i="28"/>
  <c r="O148" i="28"/>
  <c r="N148" i="28"/>
  <c r="M148" i="28"/>
  <c r="L148" i="28"/>
  <c r="K148" i="28"/>
  <c r="J148" i="28"/>
  <c r="I148" i="28"/>
  <c r="H148" i="28"/>
  <c r="G148" i="28"/>
  <c r="AK147" i="28"/>
  <c r="AJ147" i="28"/>
  <c r="AI147" i="28"/>
  <c r="AH147" i="28"/>
  <c r="AG147" i="28"/>
  <c r="AF147" i="28"/>
  <c r="AE147" i="28"/>
  <c r="AD147" i="28"/>
  <c r="AC147" i="28"/>
  <c r="AB147" i="28"/>
  <c r="AA147" i="28"/>
  <c r="Z147" i="28"/>
  <c r="Y147" i="28"/>
  <c r="X147" i="28"/>
  <c r="W147" i="28"/>
  <c r="V147" i="28"/>
  <c r="U147" i="28"/>
  <c r="T147" i="28"/>
  <c r="S147" i="28"/>
  <c r="R147" i="28"/>
  <c r="Q147" i="28"/>
  <c r="P147" i="28"/>
  <c r="O147" i="28"/>
  <c r="N147" i="28"/>
  <c r="M147" i="28"/>
  <c r="L147" i="28"/>
  <c r="K147" i="28"/>
  <c r="J147" i="28"/>
  <c r="I147" i="28"/>
  <c r="H147" i="28"/>
  <c r="G147" i="28"/>
  <c r="AK146" i="28"/>
  <c r="AJ146" i="28"/>
  <c r="AI146" i="28"/>
  <c r="AH146" i="28"/>
  <c r="AG146" i="28"/>
  <c r="AF146" i="28"/>
  <c r="AE146" i="28"/>
  <c r="AD146" i="28"/>
  <c r="AC146" i="28"/>
  <c r="AB146" i="28"/>
  <c r="AA146" i="28"/>
  <c r="Z146" i="28"/>
  <c r="Y146" i="28"/>
  <c r="X146" i="28"/>
  <c r="W146" i="28"/>
  <c r="V146" i="28"/>
  <c r="U146" i="28"/>
  <c r="T146" i="28"/>
  <c r="S146" i="28"/>
  <c r="R146" i="28"/>
  <c r="Q146" i="28"/>
  <c r="P146" i="28"/>
  <c r="O146" i="28"/>
  <c r="N146" i="28"/>
  <c r="M146" i="28"/>
  <c r="L146" i="28"/>
  <c r="K146" i="28"/>
  <c r="J146" i="28"/>
  <c r="I146" i="28"/>
  <c r="H146" i="28"/>
  <c r="G146" i="28"/>
  <c r="AK145" i="28"/>
  <c r="AJ145" i="28"/>
  <c r="AI145" i="28"/>
  <c r="AH145" i="28"/>
  <c r="AG145" i="28"/>
  <c r="AF145" i="28"/>
  <c r="AE145" i="28"/>
  <c r="AD145" i="28"/>
  <c r="AC145" i="28"/>
  <c r="AB145" i="28"/>
  <c r="AA145" i="28"/>
  <c r="Z145" i="28"/>
  <c r="Y145" i="28"/>
  <c r="X145" i="28"/>
  <c r="W145" i="28"/>
  <c r="V145" i="28"/>
  <c r="U145" i="28"/>
  <c r="T145" i="28"/>
  <c r="S145" i="28"/>
  <c r="R145" i="28"/>
  <c r="Q145" i="28"/>
  <c r="P145" i="28"/>
  <c r="O145" i="28"/>
  <c r="N145" i="28"/>
  <c r="M145" i="28"/>
  <c r="L145" i="28"/>
  <c r="K145" i="28"/>
  <c r="J145" i="28"/>
  <c r="I145" i="28"/>
  <c r="H145" i="28"/>
  <c r="G145" i="28"/>
  <c r="AK144" i="28"/>
  <c r="AJ144" i="28"/>
  <c r="AI144" i="28"/>
  <c r="AH144" i="28"/>
  <c r="AG144" i="28"/>
  <c r="AF144" i="28"/>
  <c r="AE144" i="28"/>
  <c r="AD144" i="28"/>
  <c r="AC144" i="28"/>
  <c r="AB144" i="28"/>
  <c r="AA144" i="28"/>
  <c r="Z144" i="28"/>
  <c r="Y144" i="28"/>
  <c r="X144" i="28"/>
  <c r="W144" i="28"/>
  <c r="V144" i="28"/>
  <c r="U144" i="28"/>
  <c r="T144" i="28"/>
  <c r="S144" i="28"/>
  <c r="R144" i="28"/>
  <c r="Q144" i="28"/>
  <c r="P144" i="28"/>
  <c r="O144" i="28"/>
  <c r="N144" i="28"/>
  <c r="M144" i="28"/>
  <c r="L144" i="28"/>
  <c r="K144" i="28"/>
  <c r="J144" i="28"/>
  <c r="I144" i="28"/>
  <c r="H144" i="28"/>
  <c r="G144" i="28"/>
  <c r="N143" i="28"/>
  <c r="G143" i="28"/>
  <c r="AK138" i="28"/>
  <c r="AJ138" i="28"/>
  <c r="AI138" i="28"/>
  <c r="AH138" i="28"/>
  <c r="AG138" i="28"/>
  <c r="AF138" i="28"/>
  <c r="AE138" i="28"/>
  <c r="AD138" i="28"/>
  <c r="AC138" i="28"/>
  <c r="AB138" i="28"/>
  <c r="AA138" i="28"/>
  <c r="Z138" i="28"/>
  <c r="Y138" i="28"/>
  <c r="X138" i="28"/>
  <c r="W138" i="28"/>
  <c r="V138" i="28"/>
  <c r="U138" i="28"/>
  <c r="T138" i="28"/>
  <c r="S138" i="28"/>
  <c r="R138" i="28"/>
  <c r="Q138" i="28"/>
  <c r="P138" i="28"/>
  <c r="O138" i="28"/>
  <c r="N138" i="28"/>
  <c r="M138" i="28"/>
  <c r="L138" i="28"/>
  <c r="K138" i="28"/>
  <c r="J138" i="28"/>
  <c r="I138" i="28"/>
  <c r="H138" i="28"/>
  <c r="G138" i="28"/>
  <c r="AK137" i="28"/>
  <c r="AJ137" i="28"/>
  <c r="AI137" i="28"/>
  <c r="AH137" i="28"/>
  <c r="AG137" i="28"/>
  <c r="AF137" i="28"/>
  <c r="AE137" i="28"/>
  <c r="AD137" i="28"/>
  <c r="AC137" i="28"/>
  <c r="AB137" i="28"/>
  <c r="AA137" i="28"/>
  <c r="Z137" i="28"/>
  <c r="Y137" i="28"/>
  <c r="X137" i="28"/>
  <c r="W137" i="28"/>
  <c r="V137" i="28"/>
  <c r="U137" i="28"/>
  <c r="T137" i="28"/>
  <c r="S137" i="28"/>
  <c r="R137" i="28"/>
  <c r="Q137" i="28"/>
  <c r="P137" i="28"/>
  <c r="O137" i="28"/>
  <c r="N137" i="28"/>
  <c r="M137" i="28"/>
  <c r="L137" i="28"/>
  <c r="K137" i="28"/>
  <c r="J137" i="28"/>
  <c r="I137" i="28"/>
  <c r="H137" i="28"/>
  <c r="G137" i="28"/>
  <c r="AK136" i="28"/>
  <c r="AJ136" i="28"/>
  <c r="AI136" i="28"/>
  <c r="AH136" i="28"/>
  <c r="AG136" i="28"/>
  <c r="AF136" i="28"/>
  <c r="AE136" i="28"/>
  <c r="AD136" i="28"/>
  <c r="AC136" i="28"/>
  <c r="AB136" i="28"/>
  <c r="AA136" i="28"/>
  <c r="Z136" i="28"/>
  <c r="Y136" i="28"/>
  <c r="X136" i="28"/>
  <c r="W136" i="28"/>
  <c r="V136" i="28"/>
  <c r="U136" i="28"/>
  <c r="T136" i="28"/>
  <c r="S136" i="28"/>
  <c r="R136" i="28"/>
  <c r="Q136" i="28"/>
  <c r="P136" i="28"/>
  <c r="O136" i="28"/>
  <c r="N136" i="28"/>
  <c r="M136" i="28"/>
  <c r="L136" i="28"/>
  <c r="K136" i="28"/>
  <c r="J136" i="28"/>
  <c r="I136" i="28"/>
  <c r="H136" i="28"/>
  <c r="G136" i="28"/>
  <c r="AK135" i="28"/>
  <c r="AJ135" i="28"/>
  <c r="AI135" i="28"/>
  <c r="AH135" i="28"/>
  <c r="AG135" i="28"/>
  <c r="AF135" i="28"/>
  <c r="AE135" i="28"/>
  <c r="AD135" i="28"/>
  <c r="AC135" i="28"/>
  <c r="AB135" i="28"/>
  <c r="AA135" i="28"/>
  <c r="Z135" i="28"/>
  <c r="Y135" i="28"/>
  <c r="X135" i="28"/>
  <c r="W135" i="28"/>
  <c r="V135" i="28"/>
  <c r="U135" i="28"/>
  <c r="T135" i="28"/>
  <c r="S135" i="28"/>
  <c r="R135" i="28"/>
  <c r="Q135" i="28"/>
  <c r="P135" i="28"/>
  <c r="O135" i="28"/>
  <c r="N135" i="28"/>
  <c r="M135" i="28"/>
  <c r="L135" i="28"/>
  <c r="K135" i="28"/>
  <c r="J135" i="28"/>
  <c r="I135" i="28"/>
  <c r="H135" i="28"/>
  <c r="G135" i="28"/>
  <c r="AK133" i="28"/>
  <c r="AJ133" i="28"/>
  <c r="AI133" i="28"/>
  <c r="AH133" i="28"/>
  <c r="AG133" i="28"/>
  <c r="AF133" i="28"/>
  <c r="AE133" i="28"/>
  <c r="AD133" i="28"/>
  <c r="AC133" i="28"/>
  <c r="AB133" i="28"/>
  <c r="AA133" i="28"/>
  <c r="Z133" i="28"/>
  <c r="Y133" i="28"/>
  <c r="X133" i="28"/>
  <c r="W133" i="28"/>
  <c r="V133" i="28"/>
  <c r="U133" i="28"/>
  <c r="T133" i="28"/>
  <c r="S133" i="28"/>
  <c r="R133" i="28"/>
  <c r="Q133" i="28"/>
  <c r="P133" i="28"/>
  <c r="O133" i="28"/>
  <c r="N133" i="28"/>
  <c r="M133" i="28"/>
  <c r="L133" i="28"/>
  <c r="K133" i="28"/>
  <c r="J133" i="28"/>
  <c r="I133" i="28"/>
  <c r="H133" i="28"/>
  <c r="G133" i="28"/>
  <c r="AK129" i="28"/>
  <c r="AJ129" i="28"/>
  <c r="AI129" i="28"/>
  <c r="AH129" i="28"/>
  <c r="AG129" i="28"/>
  <c r="AF129" i="28"/>
  <c r="AE129" i="28"/>
  <c r="AD129" i="28"/>
  <c r="AC129" i="28"/>
  <c r="AB129" i="28"/>
  <c r="AA129" i="28"/>
  <c r="Z129" i="28"/>
  <c r="Y129" i="28"/>
  <c r="X129" i="28"/>
  <c r="W129" i="28"/>
  <c r="V129" i="28"/>
  <c r="U129" i="28"/>
  <c r="T129" i="28"/>
  <c r="S129" i="28"/>
  <c r="R129" i="28"/>
  <c r="Q129" i="28"/>
  <c r="P129" i="28"/>
  <c r="O129" i="28"/>
  <c r="N129" i="28"/>
  <c r="M129" i="28"/>
  <c r="L129" i="28"/>
  <c r="K129" i="28"/>
  <c r="J129" i="28"/>
  <c r="I129" i="28"/>
  <c r="H129" i="28"/>
  <c r="G129" i="28"/>
  <c r="AK127" i="28"/>
  <c r="AJ127" i="28"/>
  <c r="AI127" i="28"/>
  <c r="AH127" i="28"/>
  <c r="AG127" i="28"/>
  <c r="AF127" i="28"/>
  <c r="AE127" i="28"/>
  <c r="AD127" i="28"/>
  <c r="AC127" i="28"/>
  <c r="AB127" i="28"/>
  <c r="AA127" i="28"/>
  <c r="Z127" i="28"/>
  <c r="Y127" i="28"/>
  <c r="X127" i="28"/>
  <c r="W127" i="28"/>
  <c r="V127" i="28"/>
  <c r="U127" i="28"/>
  <c r="T127" i="28"/>
  <c r="S127" i="28"/>
  <c r="R127" i="28"/>
  <c r="Q127" i="28"/>
  <c r="P127" i="28"/>
  <c r="O127" i="28"/>
  <c r="N127" i="28"/>
  <c r="M127" i="28"/>
  <c r="L127" i="28"/>
  <c r="K127" i="28"/>
  <c r="J127" i="28"/>
  <c r="I127" i="28"/>
  <c r="H127" i="28"/>
  <c r="G127" i="28"/>
  <c r="AK126" i="28"/>
  <c r="AJ126" i="28"/>
  <c r="AI126" i="28"/>
  <c r="AH126" i="28"/>
  <c r="AG126" i="28"/>
  <c r="AF126" i="28"/>
  <c r="AE126" i="28"/>
  <c r="AD126" i="28"/>
  <c r="AC126" i="28"/>
  <c r="AB126" i="28"/>
  <c r="AA126" i="28"/>
  <c r="Z126" i="28"/>
  <c r="Y126" i="28"/>
  <c r="X126" i="28"/>
  <c r="W126" i="28"/>
  <c r="V126" i="28"/>
  <c r="U126" i="28"/>
  <c r="T126" i="28"/>
  <c r="S126" i="28"/>
  <c r="R126" i="28"/>
  <c r="Q126" i="28"/>
  <c r="P126" i="28"/>
  <c r="O126" i="28"/>
  <c r="N126" i="28"/>
  <c r="M126" i="28"/>
  <c r="L126" i="28"/>
  <c r="K126" i="28"/>
  <c r="J126" i="28"/>
  <c r="I126" i="28"/>
  <c r="H126" i="28"/>
  <c r="G126" i="28"/>
  <c r="AK125" i="28"/>
  <c r="AJ125" i="28"/>
  <c r="AI125" i="28"/>
  <c r="AH125" i="28"/>
  <c r="AG125" i="28"/>
  <c r="AF125" i="28"/>
  <c r="AE125" i="28"/>
  <c r="AD125" i="28"/>
  <c r="AC125" i="28"/>
  <c r="AB125" i="28"/>
  <c r="AA125" i="28"/>
  <c r="Z125" i="28"/>
  <c r="Y125" i="28"/>
  <c r="X125" i="28"/>
  <c r="W125" i="28"/>
  <c r="V125" i="28"/>
  <c r="U125" i="28"/>
  <c r="T125" i="28"/>
  <c r="S125" i="28"/>
  <c r="R125" i="28"/>
  <c r="Q125" i="28"/>
  <c r="P125" i="28"/>
  <c r="O125" i="28"/>
  <c r="N125" i="28"/>
  <c r="M125" i="28"/>
  <c r="L125" i="28"/>
  <c r="K125" i="28"/>
  <c r="J125" i="28"/>
  <c r="I125" i="28"/>
  <c r="H125" i="28"/>
  <c r="G125" i="28"/>
  <c r="AK124" i="28"/>
  <c r="AJ124" i="28"/>
  <c r="AI124" i="28"/>
  <c r="AH124" i="28"/>
  <c r="AG124" i="28"/>
  <c r="AF124" i="28"/>
  <c r="AE124" i="28"/>
  <c r="AD124" i="28"/>
  <c r="AC124" i="28"/>
  <c r="AB124" i="28"/>
  <c r="AA124" i="28"/>
  <c r="Z124" i="28"/>
  <c r="Y124" i="28"/>
  <c r="X124" i="28"/>
  <c r="W124" i="28"/>
  <c r="V124" i="28"/>
  <c r="U124" i="28"/>
  <c r="T124" i="28"/>
  <c r="S124" i="28"/>
  <c r="R124" i="28"/>
  <c r="Q124" i="28"/>
  <c r="P124" i="28"/>
  <c r="O124" i="28"/>
  <c r="N124" i="28"/>
  <c r="M124" i="28"/>
  <c r="L124" i="28"/>
  <c r="K124" i="28"/>
  <c r="J124" i="28"/>
  <c r="I124" i="28"/>
  <c r="H124" i="28"/>
  <c r="G124" i="28"/>
  <c r="AK123" i="28"/>
  <c r="AK180" i="28" s="1"/>
  <c r="AJ123" i="28"/>
  <c r="AJ180" i="28" s="1"/>
  <c r="AI123" i="28"/>
  <c r="AI180" i="28" s="1"/>
  <c r="AH123" i="28"/>
  <c r="AH180" i="28" s="1"/>
  <c r="AG123" i="28"/>
  <c r="AG180" i="28" s="1"/>
  <c r="AF123" i="28"/>
  <c r="AF180" i="28" s="1"/>
  <c r="AE123" i="28"/>
  <c r="AE180" i="28" s="1"/>
  <c r="AD123" i="28"/>
  <c r="AD180" i="28" s="1"/>
  <c r="AC123" i="28"/>
  <c r="AC180" i="28" s="1"/>
  <c r="AB123" i="28"/>
  <c r="AB180" i="28" s="1"/>
  <c r="AA123" i="28"/>
  <c r="AA180" i="28" s="1"/>
  <c r="Z123" i="28"/>
  <c r="Z180" i="28" s="1"/>
  <c r="Y123" i="28"/>
  <c r="Y180" i="28" s="1"/>
  <c r="X123" i="28"/>
  <c r="X180" i="28" s="1"/>
  <c r="W123" i="28"/>
  <c r="W180" i="28" s="1"/>
  <c r="V123" i="28"/>
  <c r="V180" i="28" s="1"/>
  <c r="U123" i="28"/>
  <c r="U180" i="28" s="1"/>
  <c r="T123" i="28"/>
  <c r="T180" i="28" s="1"/>
  <c r="S123" i="28"/>
  <c r="S180" i="28" s="1"/>
  <c r="R123" i="28"/>
  <c r="R180" i="28" s="1"/>
  <c r="Q123" i="28"/>
  <c r="Q180" i="28" s="1"/>
  <c r="P123" i="28"/>
  <c r="P180" i="28" s="1"/>
  <c r="O123" i="28"/>
  <c r="O180" i="28" s="1"/>
  <c r="N123" i="28"/>
  <c r="N180" i="28" s="1"/>
  <c r="M123" i="28"/>
  <c r="M180" i="28" s="1"/>
  <c r="L123" i="28"/>
  <c r="L180" i="28" s="1"/>
  <c r="K123" i="28"/>
  <c r="K180" i="28" s="1"/>
  <c r="J123" i="28"/>
  <c r="J180" i="28" s="1"/>
  <c r="I123" i="28"/>
  <c r="I180" i="28" s="1"/>
  <c r="H123" i="28"/>
  <c r="H180" i="28" s="1"/>
  <c r="G123" i="28"/>
  <c r="G180" i="28" s="1"/>
  <c r="AK90" i="28"/>
  <c r="AJ90" i="28"/>
  <c r="AI90" i="28"/>
  <c r="AH90" i="28"/>
  <c r="AG90" i="28"/>
  <c r="AF90" i="28"/>
  <c r="AE90" i="28"/>
  <c r="AD90" i="28"/>
  <c r="AC90" i="28"/>
  <c r="AB90" i="28"/>
  <c r="AA90" i="28"/>
  <c r="Z90" i="28"/>
  <c r="Y90" i="28"/>
  <c r="X90" i="28"/>
  <c r="W90" i="28"/>
  <c r="V90" i="28"/>
  <c r="U90" i="28"/>
  <c r="T90" i="28"/>
  <c r="S90" i="28"/>
  <c r="R90" i="28"/>
  <c r="Q90" i="28"/>
  <c r="P90" i="28"/>
  <c r="O90" i="28"/>
  <c r="N90" i="28"/>
  <c r="M90" i="28"/>
  <c r="L90" i="28"/>
  <c r="K90" i="28"/>
  <c r="J90" i="28"/>
  <c r="I90" i="28"/>
  <c r="H90" i="28"/>
  <c r="G90" i="28"/>
  <c r="AK88" i="28"/>
  <c r="AJ88" i="28"/>
  <c r="AI88" i="28"/>
  <c r="AH88" i="28"/>
  <c r="AG88" i="28"/>
  <c r="AF88" i="28"/>
  <c r="AE88" i="28"/>
  <c r="AD88" i="28"/>
  <c r="AC88" i="28"/>
  <c r="AB88" i="28"/>
  <c r="AA88" i="28"/>
  <c r="Z88" i="28"/>
  <c r="Y88" i="28"/>
  <c r="X88" i="28"/>
  <c r="W88" i="28"/>
  <c r="V88" i="28"/>
  <c r="U88" i="28"/>
  <c r="T88" i="28"/>
  <c r="S88" i="28"/>
  <c r="R88" i="28"/>
  <c r="Q88" i="28"/>
  <c r="P88" i="28"/>
  <c r="O88" i="28"/>
  <c r="N88" i="28"/>
  <c r="M88" i="28"/>
  <c r="L88" i="28"/>
  <c r="K88" i="28"/>
  <c r="J88" i="28"/>
  <c r="I88" i="28"/>
  <c r="H88" i="28"/>
  <c r="G88" i="28"/>
  <c r="G84" i="28"/>
  <c r="G83" i="28"/>
  <c r="G82" i="28"/>
  <c r="AK81" i="28"/>
  <c r="AJ81" i="28"/>
  <c r="AI81" i="28"/>
  <c r="AH81" i="28"/>
  <c r="AG81" i="28"/>
  <c r="AF81" i="28"/>
  <c r="AE81" i="28"/>
  <c r="AD81" i="28"/>
  <c r="AC81" i="28"/>
  <c r="AB81" i="28"/>
  <c r="AA81" i="28"/>
  <c r="Z81" i="28"/>
  <c r="Y81" i="28"/>
  <c r="X81" i="28"/>
  <c r="W81" i="28"/>
  <c r="V81" i="28"/>
  <c r="U81" i="28"/>
  <c r="T81" i="28"/>
  <c r="S81" i="28"/>
  <c r="R81" i="28"/>
  <c r="Q81" i="28"/>
  <c r="P81" i="28"/>
  <c r="O81" i="28"/>
  <c r="N81" i="28"/>
  <c r="M81" i="28"/>
  <c r="L81" i="28"/>
  <c r="K81" i="28"/>
  <c r="J81" i="28"/>
  <c r="I81" i="28"/>
  <c r="H81" i="28"/>
  <c r="G81" i="28"/>
  <c r="G76" i="28"/>
  <c r="AK61" i="28"/>
  <c r="AK371" i="28" s="1"/>
  <c r="AJ61" i="28"/>
  <c r="AJ371" i="28" s="1"/>
  <c r="AI61" i="28"/>
  <c r="AI371" i="28" s="1"/>
  <c r="AH61" i="28"/>
  <c r="AH371" i="28" s="1"/>
  <c r="AG61" i="28"/>
  <c r="AF61" i="28"/>
  <c r="AF371" i="28" s="1"/>
  <c r="AE61" i="28"/>
  <c r="AE371" i="28" s="1"/>
  <c r="AD61" i="28"/>
  <c r="AD371" i="28" s="1"/>
  <c r="AC61" i="28"/>
  <c r="AC371" i="28" s="1"/>
  <c r="AB61" i="28"/>
  <c r="AB371" i="28" s="1"/>
  <c r="AA61" i="28"/>
  <c r="AA371" i="28" s="1"/>
  <c r="Z61" i="28"/>
  <c r="Z371" i="28" s="1"/>
  <c r="Y61" i="28"/>
  <c r="X61" i="28"/>
  <c r="X371" i="28" s="1"/>
  <c r="W61" i="28"/>
  <c r="W371" i="28" s="1"/>
  <c r="V61" i="28"/>
  <c r="U61" i="28"/>
  <c r="T61" i="28"/>
  <c r="T371" i="28" s="1"/>
  <c r="S61" i="28"/>
  <c r="S371" i="28" s="1"/>
  <c r="R61" i="28"/>
  <c r="R371" i="28" s="1"/>
  <c r="Q61" i="28"/>
  <c r="Q371" i="28" s="1"/>
  <c r="P61" i="28"/>
  <c r="P371" i="28" s="1"/>
  <c r="O61" i="28"/>
  <c r="O371" i="28" s="1"/>
  <c r="N61" i="28"/>
  <c r="N371" i="28" s="1"/>
  <c r="M61" i="28"/>
  <c r="M371" i="28" s="1"/>
  <c r="L61" i="28"/>
  <c r="L371" i="28" s="1"/>
  <c r="K61" i="28"/>
  <c r="K371" i="28" s="1"/>
  <c r="J61" i="28"/>
  <c r="J371" i="28" s="1"/>
  <c r="I61" i="28"/>
  <c r="H61" i="28"/>
  <c r="H371" i="28" s="1"/>
  <c r="G61" i="28"/>
  <c r="G371" i="28" s="1"/>
  <c r="AK52" i="28"/>
  <c r="AJ52" i="28"/>
  <c r="AI52" i="28"/>
  <c r="AH52" i="28"/>
  <c r="AG52" i="28"/>
  <c r="AF52" i="28"/>
  <c r="AE52" i="28"/>
  <c r="AD52" i="28"/>
  <c r="AC52" i="28"/>
  <c r="AB52" i="28"/>
  <c r="AA52" i="28"/>
  <c r="Z52" i="28"/>
  <c r="Y52" i="28"/>
  <c r="X52" i="28"/>
  <c r="W52" i="28"/>
  <c r="V52" i="28"/>
  <c r="U52" i="28"/>
  <c r="T52" i="28"/>
  <c r="S52" i="28"/>
  <c r="R52" i="28"/>
  <c r="Q52" i="28"/>
  <c r="P52" i="28"/>
  <c r="O52" i="28"/>
  <c r="N52" i="28"/>
  <c r="M52" i="28"/>
  <c r="L52" i="28"/>
  <c r="K52" i="28"/>
  <c r="J52" i="28"/>
  <c r="I52" i="28"/>
  <c r="H52" i="28"/>
  <c r="G52" i="28"/>
  <c r="AK51" i="28"/>
  <c r="AJ51" i="28"/>
  <c r="AI51" i="28"/>
  <c r="AH51" i="28"/>
  <c r="AG51" i="28"/>
  <c r="AF51" i="28"/>
  <c r="AE51" i="28"/>
  <c r="AD51" i="28"/>
  <c r="AC51" i="28"/>
  <c r="AB51" i="28"/>
  <c r="AA51" i="28"/>
  <c r="Z51" i="28"/>
  <c r="Y51" i="28"/>
  <c r="X51" i="28"/>
  <c r="W51" i="28"/>
  <c r="V51" i="28"/>
  <c r="U51" i="28"/>
  <c r="T51" i="28"/>
  <c r="S51" i="28"/>
  <c r="R51" i="28"/>
  <c r="Q51" i="28"/>
  <c r="P51" i="28"/>
  <c r="O51" i="28"/>
  <c r="N51" i="28"/>
  <c r="M51" i="28"/>
  <c r="L51" i="28"/>
  <c r="K51" i="28"/>
  <c r="J51" i="28"/>
  <c r="I51" i="28"/>
  <c r="H51" i="28"/>
  <c r="G51" i="28"/>
  <c r="AK50" i="28"/>
  <c r="AJ50" i="28"/>
  <c r="AI50" i="28"/>
  <c r="AH50" i="28"/>
  <c r="AG50" i="28"/>
  <c r="AF50" i="28"/>
  <c r="AE50" i="28"/>
  <c r="AD50" i="28"/>
  <c r="AC50" i="28"/>
  <c r="AB50" i="28"/>
  <c r="AA50" i="28"/>
  <c r="Z50" i="28"/>
  <c r="Y50" i="28"/>
  <c r="X50" i="28"/>
  <c r="W50" i="28"/>
  <c r="V50" i="28"/>
  <c r="U50" i="28"/>
  <c r="T50" i="28"/>
  <c r="S50" i="28"/>
  <c r="R50" i="28"/>
  <c r="Q50" i="28"/>
  <c r="P50" i="28"/>
  <c r="O50" i="28"/>
  <c r="N50" i="28"/>
  <c r="M50" i="28"/>
  <c r="L50" i="28"/>
  <c r="K50" i="28"/>
  <c r="J50" i="28"/>
  <c r="I50" i="28"/>
  <c r="H50" i="28"/>
  <c r="G50" i="28"/>
  <c r="AK49" i="28"/>
  <c r="AJ49" i="28"/>
  <c r="AI49" i="28"/>
  <c r="AH49" i="28"/>
  <c r="AG49" i="28"/>
  <c r="AF49" i="28"/>
  <c r="AE49" i="28"/>
  <c r="AD49" i="28"/>
  <c r="AC49" i="28"/>
  <c r="AB49" i="28"/>
  <c r="AA49" i="28"/>
  <c r="Z49" i="28"/>
  <c r="Y49" i="28"/>
  <c r="X49" i="28"/>
  <c r="W49" i="28"/>
  <c r="V49" i="28"/>
  <c r="U49" i="28"/>
  <c r="T49" i="28"/>
  <c r="S49" i="28"/>
  <c r="R49" i="28"/>
  <c r="Q49" i="28"/>
  <c r="P49" i="28"/>
  <c r="O49" i="28"/>
  <c r="N49" i="28"/>
  <c r="M49" i="28"/>
  <c r="L49" i="28"/>
  <c r="K49" i="28"/>
  <c r="J49" i="28"/>
  <c r="I49" i="28"/>
  <c r="H49" i="28"/>
  <c r="G49" i="28"/>
  <c r="AK32" i="28"/>
  <c r="AK31" i="28" s="1"/>
  <c r="AK128" i="28" s="1"/>
  <c r="AJ32" i="28"/>
  <c r="AJ41" i="28" s="1"/>
  <c r="AJ42" i="28" s="1"/>
  <c r="AJ373" i="28" s="1"/>
  <c r="AI32" i="28"/>
  <c r="AI41" i="28" s="1"/>
  <c r="AI42" i="28" s="1"/>
  <c r="AH32" i="28"/>
  <c r="AH41" i="28" s="1"/>
  <c r="AH42" i="28" s="1"/>
  <c r="AH373" i="28" s="1"/>
  <c r="AG32" i="28"/>
  <c r="AG41" i="28" s="1"/>
  <c r="AG42" i="28" s="1"/>
  <c r="AG373" i="28" s="1"/>
  <c r="AF32" i="28"/>
  <c r="AF41" i="28" s="1"/>
  <c r="AF42" i="28" s="1"/>
  <c r="AF373" i="28" s="1"/>
  <c r="AE32" i="28"/>
  <c r="AE41" i="28" s="1"/>
  <c r="AE42" i="28" s="1"/>
  <c r="AD32" i="28"/>
  <c r="AD31" i="28" s="1"/>
  <c r="AD128" i="28" s="1"/>
  <c r="AC32" i="28"/>
  <c r="AC31" i="28" s="1"/>
  <c r="AC128" i="28" s="1"/>
  <c r="AB32" i="28"/>
  <c r="AA32" i="28"/>
  <c r="AA41" i="28" s="1"/>
  <c r="AA42" i="28" s="1"/>
  <c r="Z32" i="28"/>
  <c r="Z41" i="28" s="1"/>
  <c r="Z42" i="28" s="1"/>
  <c r="Y32" i="28"/>
  <c r="Y41" i="28" s="1"/>
  <c r="Y42" i="28" s="1"/>
  <c r="Y373" i="28" s="1"/>
  <c r="X32" i="28"/>
  <c r="W32" i="28"/>
  <c r="W41" i="28" s="1"/>
  <c r="W42" i="28" s="1"/>
  <c r="W373" i="28" s="1"/>
  <c r="V32" i="28"/>
  <c r="V31" i="28" s="1"/>
  <c r="V128" i="28" s="1"/>
  <c r="U32" i="28"/>
  <c r="T32" i="28"/>
  <c r="T41" i="28" s="1"/>
  <c r="T42" i="28" s="1"/>
  <c r="T373" i="28" s="1"/>
  <c r="S32" i="28"/>
  <c r="S41" i="28" s="1"/>
  <c r="S42" i="28" s="1"/>
  <c r="R32" i="28"/>
  <c r="R31" i="28" s="1"/>
  <c r="R128" i="28" s="1"/>
  <c r="Q32" i="28"/>
  <c r="P32" i="28"/>
  <c r="O32" i="28"/>
  <c r="N32" i="28"/>
  <c r="N31" i="28" s="1"/>
  <c r="N128" i="28" s="1"/>
  <c r="M32" i="28"/>
  <c r="M31" i="28" s="1"/>
  <c r="M128" i="28" s="1"/>
  <c r="L32" i="28"/>
  <c r="L31" i="28" s="1"/>
  <c r="L128" i="28" s="1"/>
  <c r="K32" i="28"/>
  <c r="K41" i="28" s="1"/>
  <c r="K42" i="28" s="1"/>
  <c r="K373" i="28" s="1"/>
  <c r="J32" i="28"/>
  <c r="J41" i="28" s="1"/>
  <c r="J42" i="28" s="1"/>
  <c r="J373" i="28" s="1"/>
  <c r="I32" i="28"/>
  <c r="H32" i="28"/>
  <c r="AK22" i="19"/>
  <c r="AJ22" i="19"/>
  <c r="AI22" i="19"/>
  <c r="AH22" i="19"/>
  <c r="AG22" i="19"/>
  <c r="AF22" i="19"/>
  <c r="AE22" i="19"/>
  <c r="AD22" i="19"/>
  <c r="AC22" i="19"/>
  <c r="AB22" i="19"/>
  <c r="AA22" i="19"/>
  <c r="Z22" i="19"/>
  <c r="Y22" i="19"/>
  <c r="X22" i="19"/>
  <c r="W22" i="19"/>
  <c r="V22" i="19"/>
  <c r="U22" i="19"/>
  <c r="T22" i="19"/>
  <c r="S22" i="19"/>
  <c r="R22" i="19"/>
  <c r="Q22" i="19"/>
  <c r="P22" i="19"/>
  <c r="O22" i="19"/>
  <c r="N22" i="19"/>
  <c r="M22" i="19"/>
  <c r="L22" i="19"/>
  <c r="K22" i="19"/>
  <c r="J22" i="19"/>
  <c r="C8" i="19"/>
  <c r="AK388" i="27"/>
  <c r="AJ388" i="27"/>
  <c r="AI388" i="27"/>
  <c r="AH388" i="27"/>
  <c r="AG388" i="27"/>
  <c r="AF388" i="27"/>
  <c r="AE388" i="27"/>
  <c r="AD388" i="27"/>
  <c r="AC388" i="27"/>
  <c r="AB388" i="27"/>
  <c r="AA388" i="27"/>
  <c r="Z388" i="27"/>
  <c r="Y388" i="27"/>
  <c r="X388" i="27"/>
  <c r="W388" i="27"/>
  <c r="V388" i="27"/>
  <c r="U388" i="27"/>
  <c r="T388" i="27"/>
  <c r="S388" i="27"/>
  <c r="R388" i="27"/>
  <c r="Q388" i="27"/>
  <c r="P388" i="27"/>
  <c r="O388" i="27"/>
  <c r="N388" i="27"/>
  <c r="M388" i="27"/>
  <c r="L388" i="27"/>
  <c r="K388" i="27"/>
  <c r="J388" i="27"/>
  <c r="I388" i="27"/>
  <c r="H388" i="27"/>
  <c r="G388" i="27"/>
  <c r="AK387" i="27"/>
  <c r="AJ387" i="27"/>
  <c r="AI387" i="27"/>
  <c r="AH387" i="27"/>
  <c r="AG387" i="27"/>
  <c r="AF387" i="27"/>
  <c r="AE387" i="27"/>
  <c r="AD387" i="27"/>
  <c r="AC387" i="27"/>
  <c r="AB387" i="27"/>
  <c r="AA387" i="27"/>
  <c r="Z387" i="27"/>
  <c r="Y387" i="27"/>
  <c r="X387" i="27"/>
  <c r="W387" i="27"/>
  <c r="V387" i="27"/>
  <c r="U387" i="27"/>
  <c r="T387" i="27"/>
  <c r="S387" i="27"/>
  <c r="R387" i="27"/>
  <c r="Q387" i="27"/>
  <c r="P387" i="27"/>
  <c r="O387" i="27"/>
  <c r="N387" i="27"/>
  <c r="M387" i="27"/>
  <c r="L387" i="27"/>
  <c r="K387" i="27"/>
  <c r="J387" i="27"/>
  <c r="I387" i="27"/>
  <c r="H387" i="27"/>
  <c r="G387" i="27"/>
  <c r="AK386" i="27"/>
  <c r="AJ386" i="27"/>
  <c r="AI386" i="27"/>
  <c r="AH386" i="27"/>
  <c r="AG386" i="27"/>
  <c r="AF386" i="27"/>
  <c r="AE386" i="27"/>
  <c r="AD386" i="27"/>
  <c r="AC386" i="27"/>
  <c r="AB386" i="27"/>
  <c r="AA386" i="27"/>
  <c r="Z386" i="27"/>
  <c r="Y386" i="27"/>
  <c r="X386" i="27"/>
  <c r="W386" i="27"/>
  <c r="V386" i="27"/>
  <c r="U386" i="27"/>
  <c r="T386" i="27"/>
  <c r="S386" i="27"/>
  <c r="R386" i="27"/>
  <c r="Q386" i="27"/>
  <c r="P386" i="27"/>
  <c r="O386" i="27"/>
  <c r="N386" i="27"/>
  <c r="M386" i="27"/>
  <c r="L386" i="27"/>
  <c r="K386" i="27"/>
  <c r="J386" i="27"/>
  <c r="I386" i="27"/>
  <c r="H386" i="27"/>
  <c r="G386" i="27"/>
  <c r="AK370" i="27"/>
  <c r="AJ370" i="27"/>
  <c r="AI370" i="27"/>
  <c r="AH370" i="27"/>
  <c r="AG370" i="27"/>
  <c r="AF370" i="27"/>
  <c r="AE370" i="27"/>
  <c r="AD370" i="27"/>
  <c r="AC370" i="27"/>
  <c r="AB370" i="27"/>
  <c r="AA370" i="27"/>
  <c r="Z370" i="27"/>
  <c r="Y370" i="27"/>
  <c r="X370" i="27"/>
  <c r="W370" i="27"/>
  <c r="V370" i="27"/>
  <c r="U370" i="27"/>
  <c r="T370" i="27"/>
  <c r="S370" i="27"/>
  <c r="R370" i="27"/>
  <c r="Q370" i="27"/>
  <c r="P370" i="27"/>
  <c r="O370" i="27"/>
  <c r="N370" i="27"/>
  <c r="M370" i="27"/>
  <c r="L370" i="27"/>
  <c r="K370" i="27"/>
  <c r="J370" i="27"/>
  <c r="I370" i="27"/>
  <c r="H370" i="27"/>
  <c r="G370" i="27"/>
  <c r="AK369" i="27"/>
  <c r="AJ369" i="27"/>
  <c r="AI369" i="27"/>
  <c r="AH369" i="27"/>
  <c r="AG369" i="27"/>
  <c r="AF369" i="27"/>
  <c r="AE369" i="27"/>
  <c r="AD369" i="27"/>
  <c r="AC369" i="27"/>
  <c r="AB369" i="27"/>
  <c r="AA369" i="27"/>
  <c r="Z369" i="27"/>
  <c r="Y369" i="27"/>
  <c r="X369" i="27"/>
  <c r="W369" i="27"/>
  <c r="V369" i="27"/>
  <c r="U369" i="27"/>
  <c r="T369" i="27"/>
  <c r="S369" i="27"/>
  <c r="R369" i="27"/>
  <c r="Q369" i="27"/>
  <c r="P369" i="27"/>
  <c r="O369" i="27"/>
  <c r="N369" i="27"/>
  <c r="M369" i="27"/>
  <c r="L369" i="27"/>
  <c r="K369" i="27"/>
  <c r="J369" i="27"/>
  <c r="I369" i="27"/>
  <c r="H369" i="27"/>
  <c r="G369" i="27"/>
  <c r="AK368" i="27"/>
  <c r="AJ368" i="27"/>
  <c r="AI368" i="27"/>
  <c r="AH368" i="27"/>
  <c r="AG368" i="27"/>
  <c r="AF368" i="27"/>
  <c r="AE368" i="27"/>
  <c r="AD368" i="27"/>
  <c r="AC368" i="27"/>
  <c r="AB368" i="27"/>
  <c r="AA368" i="27"/>
  <c r="Z368" i="27"/>
  <c r="Y368" i="27"/>
  <c r="X368" i="27"/>
  <c r="W368" i="27"/>
  <c r="V368" i="27"/>
  <c r="U368" i="27"/>
  <c r="T368" i="27"/>
  <c r="S368" i="27"/>
  <c r="R368" i="27"/>
  <c r="Q368" i="27"/>
  <c r="P368" i="27"/>
  <c r="O368" i="27"/>
  <c r="N368" i="27"/>
  <c r="M368" i="27"/>
  <c r="L368" i="27"/>
  <c r="K368" i="27"/>
  <c r="J368" i="27"/>
  <c r="I368" i="27"/>
  <c r="H368" i="27"/>
  <c r="G368" i="27"/>
  <c r="AK359" i="27"/>
  <c r="AJ359" i="27"/>
  <c r="AI359" i="27"/>
  <c r="AH359" i="27"/>
  <c r="AG359" i="27"/>
  <c r="AF359" i="27"/>
  <c r="AE359" i="27"/>
  <c r="AD359" i="27"/>
  <c r="AC359" i="27"/>
  <c r="AB359" i="27"/>
  <c r="AA359" i="27"/>
  <c r="Z359" i="27"/>
  <c r="Y359" i="27"/>
  <c r="X359" i="27"/>
  <c r="W359" i="27"/>
  <c r="V359" i="27"/>
  <c r="U359" i="27"/>
  <c r="T359" i="27"/>
  <c r="S359" i="27"/>
  <c r="R359" i="27"/>
  <c r="Q359" i="27"/>
  <c r="P359" i="27"/>
  <c r="O359" i="27"/>
  <c r="N359" i="27"/>
  <c r="M359" i="27"/>
  <c r="L359" i="27"/>
  <c r="K359" i="27"/>
  <c r="J359" i="27"/>
  <c r="I359" i="27"/>
  <c r="H359" i="27"/>
  <c r="G359" i="27"/>
  <c r="G355" i="27"/>
  <c r="G354" i="27"/>
  <c r="G353" i="27"/>
  <c r="AK352" i="27"/>
  <c r="AJ352" i="27"/>
  <c r="AI352" i="27"/>
  <c r="AH352" i="27"/>
  <c r="AG352" i="27"/>
  <c r="AF352" i="27"/>
  <c r="AE352" i="27"/>
  <c r="AD352" i="27"/>
  <c r="AC352" i="27"/>
  <c r="AB352" i="27"/>
  <c r="AA352" i="27"/>
  <c r="Z352" i="27"/>
  <c r="Y352" i="27"/>
  <c r="X352" i="27"/>
  <c r="W352" i="27"/>
  <c r="V352" i="27"/>
  <c r="U352" i="27"/>
  <c r="T352" i="27"/>
  <c r="S352" i="27"/>
  <c r="R352" i="27"/>
  <c r="Q352" i="27"/>
  <c r="P352" i="27"/>
  <c r="O352" i="27"/>
  <c r="N352" i="27"/>
  <c r="M352" i="27"/>
  <c r="L352" i="27"/>
  <c r="K352" i="27"/>
  <c r="J352" i="27"/>
  <c r="I352" i="27"/>
  <c r="H352" i="27"/>
  <c r="G352" i="27"/>
  <c r="G347" i="27"/>
  <c r="H354" i="27"/>
  <c r="G331" i="27"/>
  <c r="G330" i="27"/>
  <c r="G329" i="27"/>
  <c r="G328" i="27"/>
  <c r="G327" i="27"/>
  <c r="G326" i="27"/>
  <c r="G325" i="27"/>
  <c r="G324" i="27"/>
  <c r="AK319" i="27"/>
  <c r="AJ319" i="27"/>
  <c r="AI319" i="27"/>
  <c r="AH319" i="27"/>
  <c r="AG319" i="27"/>
  <c r="AF319" i="27"/>
  <c r="AE319" i="27"/>
  <c r="AD319" i="27"/>
  <c r="AC319" i="27"/>
  <c r="AB319" i="27"/>
  <c r="AA319" i="27"/>
  <c r="Z319" i="27"/>
  <c r="Y319" i="27"/>
  <c r="X319" i="27"/>
  <c r="W319" i="27"/>
  <c r="V319" i="27"/>
  <c r="U319" i="27"/>
  <c r="T319" i="27"/>
  <c r="S319" i="27"/>
  <c r="R319" i="27"/>
  <c r="Q319" i="27"/>
  <c r="P319" i="27"/>
  <c r="O319" i="27"/>
  <c r="N319" i="27"/>
  <c r="M319" i="27"/>
  <c r="L319" i="27"/>
  <c r="K319" i="27"/>
  <c r="J319" i="27"/>
  <c r="I319" i="27"/>
  <c r="H319" i="27"/>
  <c r="G319" i="27"/>
  <c r="G318" i="27"/>
  <c r="G317" i="27"/>
  <c r="G316" i="27"/>
  <c r="G314" i="27"/>
  <c r="AK311" i="27"/>
  <c r="AJ311" i="27"/>
  <c r="AI311" i="27"/>
  <c r="AH311" i="27"/>
  <c r="AG311" i="27"/>
  <c r="AF311" i="27"/>
  <c r="AE311" i="27"/>
  <c r="AD311" i="27"/>
  <c r="AC311" i="27"/>
  <c r="AB311" i="27"/>
  <c r="AA311" i="27"/>
  <c r="Z311" i="27"/>
  <c r="Y311" i="27"/>
  <c r="X311" i="27"/>
  <c r="W311" i="27"/>
  <c r="V311" i="27"/>
  <c r="U311" i="27"/>
  <c r="T311" i="27"/>
  <c r="S311" i="27"/>
  <c r="R311" i="27"/>
  <c r="Q311" i="27"/>
  <c r="P311" i="27"/>
  <c r="O311" i="27"/>
  <c r="N311" i="27"/>
  <c r="M311" i="27"/>
  <c r="L311" i="27"/>
  <c r="K311" i="27"/>
  <c r="J311" i="27"/>
  <c r="I311" i="27"/>
  <c r="H311" i="27"/>
  <c r="G311" i="27"/>
  <c r="AK310" i="27"/>
  <c r="AJ310" i="27"/>
  <c r="AI310" i="27"/>
  <c r="AH310" i="27"/>
  <c r="AG310" i="27"/>
  <c r="AF310" i="27"/>
  <c r="AE310" i="27"/>
  <c r="AD310" i="27"/>
  <c r="AC310" i="27"/>
  <c r="AB310" i="27"/>
  <c r="AA310" i="27"/>
  <c r="Z310" i="27"/>
  <c r="Y310" i="27"/>
  <c r="X310" i="27"/>
  <c r="W310" i="27"/>
  <c r="V310" i="27"/>
  <c r="U310" i="27"/>
  <c r="T310" i="27"/>
  <c r="S310" i="27"/>
  <c r="R310" i="27"/>
  <c r="Q310" i="27"/>
  <c r="P310" i="27"/>
  <c r="O310" i="27"/>
  <c r="N310" i="27"/>
  <c r="M310" i="27"/>
  <c r="L310" i="27"/>
  <c r="K310" i="27"/>
  <c r="J310" i="27"/>
  <c r="I310" i="27"/>
  <c r="H310" i="27"/>
  <c r="G310" i="27"/>
  <c r="AK308" i="27"/>
  <c r="AJ308" i="27"/>
  <c r="AI308" i="27"/>
  <c r="AH308" i="27"/>
  <c r="AG308" i="27"/>
  <c r="AF308" i="27"/>
  <c r="AE308" i="27"/>
  <c r="AD308" i="27"/>
  <c r="AC308" i="27"/>
  <c r="AB308" i="27"/>
  <c r="AA308" i="27"/>
  <c r="Z308" i="27"/>
  <c r="Y308" i="27"/>
  <c r="X308" i="27"/>
  <c r="W308" i="27"/>
  <c r="V308" i="27"/>
  <c r="U308" i="27"/>
  <c r="T308" i="27"/>
  <c r="S308" i="27"/>
  <c r="R308" i="27"/>
  <c r="Q308" i="27"/>
  <c r="P308" i="27"/>
  <c r="O308" i="27"/>
  <c r="N308" i="27"/>
  <c r="M308" i="27"/>
  <c r="L308" i="27"/>
  <c r="K308" i="27"/>
  <c r="J308" i="27"/>
  <c r="I308" i="27"/>
  <c r="H308" i="27"/>
  <c r="G308" i="27"/>
  <c r="AK307" i="27"/>
  <c r="AJ307" i="27"/>
  <c r="AI307" i="27"/>
  <c r="AH307" i="27"/>
  <c r="AG307" i="27"/>
  <c r="AF307" i="27"/>
  <c r="AE307" i="27"/>
  <c r="AD307" i="27"/>
  <c r="AC307" i="27"/>
  <c r="AB307" i="27"/>
  <c r="AA307" i="27"/>
  <c r="Z307" i="27"/>
  <c r="Y307" i="27"/>
  <c r="X307" i="27"/>
  <c r="W307" i="27"/>
  <c r="V307" i="27"/>
  <c r="U307" i="27"/>
  <c r="T307" i="27"/>
  <c r="S307" i="27"/>
  <c r="R307" i="27"/>
  <c r="Q307" i="27"/>
  <c r="P307" i="27"/>
  <c r="O307" i="27"/>
  <c r="N307" i="27"/>
  <c r="M307" i="27"/>
  <c r="L307" i="27"/>
  <c r="K307" i="27"/>
  <c r="J307" i="27"/>
  <c r="I307" i="27"/>
  <c r="H307" i="27"/>
  <c r="G307" i="27"/>
  <c r="AK306" i="27"/>
  <c r="AJ306" i="27"/>
  <c r="AI306" i="27"/>
  <c r="AH306" i="27"/>
  <c r="AG306" i="27"/>
  <c r="AF306" i="27"/>
  <c r="AE306" i="27"/>
  <c r="AD306" i="27"/>
  <c r="AC306" i="27"/>
  <c r="AB306" i="27"/>
  <c r="AA306" i="27"/>
  <c r="Z306" i="27"/>
  <c r="Y306" i="27"/>
  <c r="X306" i="27"/>
  <c r="W306" i="27"/>
  <c r="V306" i="27"/>
  <c r="U306" i="27"/>
  <c r="T306" i="27"/>
  <c r="S306" i="27"/>
  <c r="R306" i="27"/>
  <c r="Q306" i="27"/>
  <c r="P306" i="27"/>
  <c r="O306" i="27"/>
  <c r="N306" i="27"/>
  <c r="M306" i="27"/>
  <c r="L306" i="27"/>
  <c r="K306" i="27"/>
  <c r="J306" i="27"/>
  <c r="I306" i="27"/>
  <c r="H306" i="27"/>
  <c r="G306" i="27"/>
  <c r="AK305" i="27"/>
  <c r="AJ305" i="27"/>
  <c r="AI305" i="27"/>
  <c r="AH305" i="27"/>
  <c r="AG305" i="27"/>
  <c r="AF305" i="27"/>
  <c r="AE305" i="27"/>
  <c r="AD305" i="27"/>
  <c r="AC305" i="27"/>
  <c r="AB305" i="27"/>
  <c r="AA305" i="27"/>
  <c r="Z305" i="27"/>
  <c r="Y305" i="27"/>
  <c r="X305" i="27"/>
  <c r="W305" i="27"/>
  <c r="V305" i="27"/>
  <c r="U305" i="27"/>
  <c r="T305" i="27"/>
  <c r="S305" i="27"/>
  <c r="R305" i="27"/>
  <c r="Q305" i="27"/>
  <c r="P305" i="27"/>
  <c r="O305" i="27"/>
  <c r="N305" i="27"/>
  <c r="M305" i="27"/>
  <c r="L305" i="27"/>
  <c r="K305" i="27"/>
  <c r="J305" i="27"/>
  <c r="I305" i="27"/>
  <c r="H305" i="27"/>
  <c r="G305" i="27"/>
  <c r="AK304" i="27"/>
  <c r="AK361" i="27" s="1"/>
  <c r="AJ304" i="27"/>
  <c r="AJ361" i="27" s="1"/>
  <c r="AI304" i="27"/>
  <c r="AI361" i="27" s="1"/>
  <c r="AH304" i="27"/>
  <c r="AH361" i="27" s="1"/>
  <c r="AG304" i="27"/>
  <c r="AG361" i="27" s="1"/>
  <c r="AF304" i="27"/>
  <c r="AF361" i="27" s="1"/>
  <c r="AE304" i="27"/>
  <c r="AE361" i="27" s="1"/>
  <c r="AD304" i="27"/>
  <c r="AD361" i="27" s="1"/>
  <c r="AC304" i="27"/>
  <c r="AC361" i="27" s="1"/>
  <c r="AB304" i="27"/>
  <c r="AB361" i="27" s="1"/>
  <c r="AA304" i="27"/>
  <c r="AA361" i="27" s="1"/>
  <c r="Z304" i="27"/>
  <c r="Z361" i="27" s="1"/>
  <c r="Y304" i="27"/>
  <c r="Y361" i="27" s="1"/>
  <c r="X304" i="27"/>
  <c r="X361" i="27" s="1"/>
  <c r="W304" i="27"/>
  <c r="W361" i="27" s="1"/>
  <c r="V304" i="27"/>
  <c r="V361" i="27" s="1"/>
  <c r="U304" i="27"/>
  <c r="U361" i="27" s="1"/>
  <c r="T304" i="27"/>
  <c r="T361" i="27" s="1"/>
  <c r="S304" i="27"/>
  <c r="S361" i="27" s="1"/>
  <c r="R304" i="27"/>
  <c r="R361" i="27" s="1"/>
  <c r="Q304" i="27"/>
  <c r="Q361" i="27" s="1"/>
  <c r="P304" i="27"/>
  <c r="P361" i="27" s="1"/>
  <c r="O304" i="27"/>
  <c r="O361" i="27" s="1"/>
  <c r="N304" i="27"/>
  <c r="N361" i="27" s="1"/>
  <c r="M304" i="27"/>
  <c r="M361" i="27" s="1"/>
  <c r="L304" i="27"/>
  <c r="L361" i="27" s="1"/>
  <c r="K304" i="27"/>
  <c r="K361" i="27" s="1"/>
  <c r="J304" i="27"/>
  <c r="J361" i="27" s="1"/>
  <c r="I304" i="27"/>
  <c r="I361" i="27" s="1"/>
  <c r="H304" i="27"/>
  <c r="H361" i="27" s="1"/>
  <c r="G304" i="27"/>
  <c r="G361" i="27" s="1"/>
  <c r="AK271" i="27"/>
  <c r="AJ271" i="27"/>
  <c r="AI271" i="27"/>
  <c r="AH271" i="27"/>
  <c r="AG271" i="27"/>
  <c r="AF271" i="27"/>
  <c r="AE271" i="27"/>
  <c r="AD271" i="27"/>
  <c r="AC271" i="27"/>
  <c r="AB271" i="27"/>
  <c r="AA271" i="27"/>
  <c r="Z271" i="27"/>
  <c r="Y271" i="27"/>
  <c r="X271" i="27"/>
  <c r="W271" i="27"/>
  <c r="V271" i="27"/>
  <c r="U271" i="27"/>
  <c r="T271" i="27"/>
  <c r="S271" i="27"/>
  <c r="R271" i="27"/>
  <c r="Q271" i="27"/>
  <c r="P271" i="27"/>
  <c r="O271" i="27"/>
  <c r="N271" i="27"/>
  <c r="M271" i="27"/>
  <c r="L271" i="27"/>
  <c r="K271" i="27"/>
  <c r="J271" i="27"/>
  <c r="I271" i="27"/>
  <c r="H271" i="27"/>
  <c r="G271" i="27"/>
  <c r="AK269" i="27"/>
  <c r="AJ269" i="27"/>
  <c r="AI269" i="27"/>
  <c r="AH269" i="27"/>
  <c r="AG269" i="27"/>
  <c r="AF269" i="27"/>
  <c r="AE269" i="27"/>
  <c r="AD269" i="27"/>
  <c r="AC269" i="27"/>
  <c r="AB269" i="27"/>
  <c r="AA269" i="27"/>
  <c r="Z269" i="27"/>
  <c r="Y269" i="27"/>
  <c r="X269" i="27"/>
  <c r="W269" i="27"/>
  <c r="V269" i="27"/>
  <c r="U269" i="27"/>
  <c r="T269" i="27"/>
  <c r="S269" i="27"/>
  <c r="R269" i="27"/>
  <c r="Q269" i="27"/>
  <c r="P269" i="27"/>
  <c r="O269" i="27"/>
  <c r="N269" i="27"/>
  <c r="M269" i="27"/>
  <c r="L269" i="27"/>
  <c r="K269" i="27"/>
  <c r="J269" i="27"/>
  <c r="I269" i="27"/>
  <c r="H269" i="27"/>
  <c r="G269" i="27"/>
  <c r="G265" i="27"/>
  <c r="G264" i="27"/>
  <c r="G263" i="27"/>
  <c r="AK262" i="27"/>
  <c r="AJ262" i="27"/>
  <c r="AI262" i="27"/>
  <c r="AH262" i="27"/>
  <c r="AG262" i="27"/>
  <c r="AF262" i="27"/>
  <c r="AE262" i="27"/>
  <c r="AD262" i="27"/>
  <c r="AC262" i="27"/>
  <c r="AB262" i="27"/>
  <c r="AA262" i="27"/>
  <c r="Z262" i="27"/>
  <c r="Y262" i="27"/>
  <c r="X262" i="27"/>
  <c r="W262" i="27"/>
  <c r="V262" i="27"/>
  <c r="U262" i="27"/>
  <c r="T262" i="27"/>
  <c r="S262" i="27"/>
  <c r="R262" i="27"/>
  <c r="Q262" i="27"/>
  <c r="P262" i="27"/>
  <c r="O262" i="27"/>
  <c r="N262" i="27"/>
  <c r="M262" i="27"/>
  <c r="L262" i="27"/>
  <c r="K262" i="27"/>
  <c r="J262" i="27"/>
  <c r="I262" i="27"/>
  <c r="H262" i="27"/>
  <c r="G262" i="27"/>
  <c r="G257" i="27"/>
  <c r="H264" i="27"/>
  <c r="AK242" i="27"/>
  <c r="AK389" i="27" s="1"/>
  <c r="AJ242" i="27"/>
  <c r="AJ389" i="27" s="1"/>
  <c r="AI242" i="27"/>
  <c r="AI389" i="27" s="1"/>
  <c r="AH242" i="27"/>
  <c r="AH389" i="27" s="1"/>
  <c r="AG242" i="27"/>
  <c r="AG389" i="27" s="1"/>
  <c r="AF242" i="27"/>
  <c r="AF389" i="27" s="1"/>
  <c r="AE242" i="27"/>
  <c r="AE389" i="27" s="1"/>
  <c r="AD242" i="27"/>
  <c r="AD389" i="27" s="1"/>
  <c r="AC242" i="27"/>
  <c r="AC389" i="27" s="1"/>
  <c r="AB242" i="27"/>
  <c r="AB389" i="27" s="1"/>
  <c r="AA242" i="27"/>
  <c r="AA389" i="27" s="1"/>
  <c r="Z242" i="27"/>
  <c r="Z389" i="27" s="1"/>
  <c r="Y242" i="27"/>
  <c r="Y389" i="27" s="1"/>
  <c r="X242" i="27"/>
  <c r="X389" i="27" s="1"/>
  <c r="W242" i="27"/>
  <c r="W389" i="27" s="1"/>
  <c r="V242" i="27"/>
  <c r="V389" i="27" s="1"/>
  <c r="U242" i="27"/>
  <c r="U389" i="27" s="1"/>
  <c r="T242" i="27"/>
  <c r="T389" i="27" s="1"/>
  <c r="S242" i="27"/>
  <c r="S389" i="27" s="1"/>
  <c r="R242" i="27"/>
  <c r="R389" i="27" s="1"/>
  <c r="Q242" i="27"/>
  <c r="Q389" i="27" s="1"/>
  <c r="P242" i="27"/>
  <c r="P389" i="27" s="1"/>
  <c r="O242" i="27"/>
  <c r="O389" i="27" s="1"/>
  <c r="N242" i="27"/>
  <c r="N389" i="27" s="1"/>
  <c r="M242" i="27"/>
  <c r="M389" i="27" s="1"/>
  <c r="L242" i="27"/>
  <c r="L389" i="27" s="1"/>
  <c r="K242" i="27"/>
  <c r="K389" i="27" s="1"/>
  <c r="J242" i="27"/>
  <c r="J389" i="27" s="1"/>
  <c r="I242" i="27"/>
  <c r="I389" i="27" s="1"/>
  <c r="H242" i="27"/>
  <c r="H389" i="27" s="1"/>
  <c r="G242" i="27"/>
  <c r="G389" i="27" s="1"/>
  <c r="AK233" i="27"/>
  <c r="AJ233" i="27"/>
  <c r="AI233" i="27"/>
  <c r="AH233" i="27"/>
  <c r="AG233" i="27"/>
  <c r="AF233" i="27"/>
  <c r="AE233" i="27"/>
  <c r="AD233" i="27"/>
  <c r="AC233" i="27"/>
  <c r="AB233" i="27"/>
  <c r="AA233" i="27"/>
  <c r="Z233" i="27"/>
  <c r="Y233" i="27"/>
  <c r="X233" i="27"/>
  <c r="W233" i="27"/>
  <c r="V233" i="27"/>
  <c r="U233" i="27"/>
  <c r="T233" i="27"/>
  <c r="S233" i="27"/>
  <c r="R233" i="27"/>
  <c r="Q233" i="27"/>
  <c r="P233" i="27"/>
  <c r="O233" i="27"/>
  <c r="N233" i="27"/>
  <c r="M233" i="27"/>
  <c r="L233" i="27"/>
  <c r="K233" i="27"/>
  <c r="J233" i="27"/>
  <c r="I233" i="27"/>
  <c r="H233" i="27"/>
  <c r="G233" i="27"/>
  <c r="AK232" i="27"/>
  <c r="AJ232" i="27"/>
  <c r="AI232" i="27"/>
  <c r="AH232" i="27"/>
  <c r="AG232" i="27"/>
  <c r="AF232" i="27"/>
  <c r="AE232" i="27"/>
  <c r="AD232" i="27"/>
  <c r="AC232" i="27"/>
  <c r="AB232" i="27"/>
  <c r="AA232" i="27"/>
  <c r="Z232" i="27"/>
  <c r="Y232" i="27"/>
  <c r="X232" i="27"/>
  <c r="W232" i="27"/>
  <c r="V232" i="27"/>
  <c r="U232" i="27"/>
  <c r="T232" i="27"/>
  <c r="S232" i="27"/>
  <c r="R232" i="27"/>
  <c r="Q232" i="27"/>
  <c r="P232" i="27"/>
  <c r="O232" i="27"/>
  <c r="N232" i="27"/>
  <c r="M232" i="27"/>
  <c r="L232" i="27"/>
  <c r="K232" i="27"/>
  <c r="J232" i="27"/>
  <c r="I232" i="27"/>
  <c r="H232" i="27"/>
  <c r="G232" i="27"/>
  <c r="AK231" i="27"/>
  <c r="AJ231" i="27"/>
  <c r="AI231" i="27"/>
  <c r="AH231" i="27"/>
  <c r="AG231" i="27"/>
  <c r="AF231" i="27"/>
  <c r="AE231" i="27"/>
  <c r="AD231" i="27"/>
  <c r="AC231" i="27"/>
  <c r="AB231" i="27"/>
  <c r="AA231" i="27"/>
  <c r="Z231" i="27"/>
  <c r="Y231" i="27"/>
  <c r="X231" i="27"/>
  <c r="W231" i="27"/>
  <c r="V231" i="27"/>
  <c r="U231" i="27"/>
  <c r="T231" i="27"/>
  <c r="S231" i="27"/>
  <c r="R231" i="27"/>
  <c r="Q231" i="27"/>
  <c r="P231" i="27"/>
  <c r="O231" i="27"/>
  <c r="N231" i="27"/>
  <c r="M231" i="27"/>
  <c r="L231" i="27"/>
  <c r="K231" i="27"/>
  <c r="J231" i="27"/>
  <c r="I231" i="27"/>
  <c r="H231" i="27"/>
  <c r="G231" i="27"/>
  <c r="AK230" i="27"/>
  <c r="AJ230" i="27"/>
  <c r="AI230" i="27"/>
  <c r="AH230" i="27"/>
  <c r="AG230" i="27"/>
  <c r="AF230" i="27"/>
  <c r="AE230" i="27"/>
  <c r="AD230" i="27"/>
  <c r="AC230" i="27"/>
  <c r="AB230" i="27"/>
  <c r="AA230" i="27"/>
  <c r="Z230" i="27"/>
  <c r="Y230" i="27"/>
  <c r="X230" i="27"/>
  <c r="W230" i="27"/>
  <c r="V230" i="27"/>
  <c r="U230" i="27"/>
  <c r="T230" i="27"/>
  <c r="S230" i="27"/>
  <c r="R230" i="27"/>
  <c r="Q230" i="27"/>
  <c r="P230" i="27"/>
  <c r="O230" i="27"/>
  <c r="N230" i="27"/>
  <c r="M230" i="27"/>
  <c r="L230" i="27"/>
  <c r="K230" i="27"/>
  <c r="J230" i="27"/>
  <c r="I230" i="27"/>
  <c r="H230" i="27"/>
  <c r="G230" i="27"/>
  <c r="AK213" i="27"/>
  <c r="AK212" i="27" s="1"/>
  <c r="AK309" i="27" s="1"/>
  <c r="AJ213" i="27"/>
  <c r="AI213" i="27"/>
  <c r="AI222" i="27" s="1"/>
  <c r="AI223" i="27" s="1"/>
  <c r="AI391" i="27" s="1"/>
  <c r="AH213" i="27"/>
  <c r="AG213" i="27"/>
  <c r="AF213" i="27"/>
  <c r="AF222" i="27" s="1"/>
  <c r="AF223" i="27" s="1"/>
  <c r="AF391" i="27" s="1"/>
  <c r="AE213" i="27"/>
  <c r="AE222" i="27" s="1"/>
  <c r="AE223" i="27" s="1"/>
  <c r="AD213" i="27"/>
  <c r="AC213" i="27"/>
  <c r="AC212" i="27" s="1"/>
  <c r="AC309" i="27" s="1"/>
  <c r="AB213" i="27"/>
  <c r="AB222" i="27" s="1"/>
  <c r="AB223" i="27" s="1"/>
  <c r="AA213" i="27"/>
  <c r="AA222" i="27" s="1"/>
  <c r="AA223" i="27" s="1"/>
  <c r="AA391" i="27" s="1"/>
  <c r="Z213" i="27"/>
  <c r="Z222" i="27" s="1"/>
  <c r="Z223" i="27" s="1"/>
  <c r="Y213" i="27"/>
  <c r="X213" i="27"/>
  <c r="X212" i="27" s="1"/>
  <c r="X309" i="27" s="1"/>
  <c r="W213" i="27"/>
  <c r="W222" i="27" s="1"/>
  <c r="W223" i="27" s="1"/>
  <c r="W391" i="27" s="1"/>
  <c r="V213" i="27"/>
  <c r="U213" i="27"/>
  <c r="U212" i="27" s="1"/>
  <c r="U309" i="27" s="1"/>
  <c r="T213" i="27"/>
  <c r="S213" i="27"/>
  <c r="R213" i="27"/>
  <c r="R222" i="27" s="1"/>
  <c r="R223" i="27" s="1"/>
  <c r="R391" i="27" s="1"/>
  <c r="Q213" i="27"/>
  <c r="Q222" i="27" s="1"/>
  <c r="Q223" i="27" s="1"/>
  <c r="P213" i="27"/>
  <c r="P222" i="27" s="1"/>
  <c r="P223" i="27" s="1"/>
  <c r="P391" i="27" s="1"/>
  <c r="O213" i="27"/>
  <c r="O222" i="27" s="1"/>
  <c r="O223" i="27" s="1"/>
  <c r="N213" i="27"/>
  <c r="M213" i="27"/>
  <c r="M222" i="27" s="1"/>
  <c r="M223" i="27" s="1"/>
  <c r="L213" i="27"/>
  <c r="L222" i="27" s="1"/>
  <c r="L223" i="27" s="1"/>
  <c r="K213" i="27"/>
  <c r="K222" i="27" s="1"/>
  <c r="K223" i="27" s="1"/>
  <c r="J213" i="27"/>
  <c r="I213" i="27"/>
  <c r="I222" i="27" s="1"/>
  <c r="I223" i="27" s="1"/>
  <c r="H213" i="27"/>
  <c r="H222" i="27" s="1"/>
  <c r="H223" i="27" s="1"/>
  <c r="G213" i="27"/>
  <c r="G222" i="27" s="1"/>
  <c r="G223" i="27" s="1"/>
  <c r="G391" i="27" s="1"/>
  <c r="C185" i="27"/>
  <c r="AK178" i="27"/>
  <c r="P29" i="19" s="1"/>
  <c r="AJ178" i="27"/>
  <c r="AI178" i="27"/>
  <c r="AH178" i="27"/>
  <c r="AG178" i="27"/>
  <c r="AF178" i="27"/>
  <c r="O29" i="19" s="1"/>
  <c r="AE178" i="27"/>
  <c r="AD178" i="27"/>
  <c r="AC178" i="27"/>
  <c r="AB178" i="27"/>
  <c r="AA178" i="27"/>
  <c r="N29" i="19" s="1"/>
  <c r="Z178" i="27"/>
  <c r="Y178" i="27"/>
  <c r="X178" i="27"/>
  <c r="W178" i="27"/>
  <c r="V178" i="27"/>
  <c r="M29" i="19" s="1"/>
  <c r="U178" i="27"/>
  <c r="T178" i="27"/>
  <c r="S178" i="27"/>
  <c r="R178" i="27"/>
  <c r="Q178" i="27"/>
  <c r="P178" i="27"/>
  <c r="O178" i="27"/>
  <c r="N178" i="27"/>
  <c r="M178" i="27"/>
  <c r="L178" i="27"/>
  <c r="K29" i="19" s="1"/>
  <c r="K178" i="27"/>
  <c r="J178" i="27"/>
  <c r="I178" i="27"/>
  <c r="H178" i="27"/>
  <c r="G178" i="27"/>
  <c r="G174" i="27"/>
  <c r="G173" i="27"/>
  <c r="G172" i="27"/>
  <c r="AK171" i="27"/>
  <c r="AJ171" i="27"/>
  <c r="AI171" i="27"/>
  <c r="AH171" i="27"/>
  <c r="AG171" i="27"/>
  <c r="AF171" i="27"/>
  <c r="AE171" i="27"/>
  <c r="AD171" i="27"/>
  <c r="AC171" i="27"/>
  <c r="AB171" i="27"/>
  <c r="AA171" i="27"/>
  <c r="Z171" i="27"/>
  <c r="Y171" i="27"/>
  <c r="X171" i="27"/>
  <c r="W171" i="27"/>
  <c r="V171" i="27"/>
  <c r="U171" i="27"/>
  <c r="T171" i="27"/>
  <c r="S171" i="27"/>
  <c r="R171" i="27"/>
  <c r="Q171" i="27"/>
  <c r="P171" i="27"/>
  <c r="O171" i="27"/>
  <c r="N171" i="27"/>
  <c r="M171" i="27"/>
  <c r="L171" i="27"/>
  <c r="K171" i="27"/>
  <c r="J171" i="27"/>
  <c r="I171" i="27"/>
  <c r="H171" i="27"/>
  <c r="G171" i="27"/>
  <c r="G166" i="27"/>
  <c r="H174" i="27"/>
  <c r="AK150" i="27"/>
  <c r="AJ150" i="27"/>
  <c r="AI150" i="27"/>
  <c r="AH150" i="27"/>
  <c r="AG150" i="27"/>
  <c r="AF150" i="27"/>
  <c r="AE150" i="27"/>
  <c r="AD150" i="27"/>
  <c r="AC150" i="27"/>
  <c r="AB150" i="27"/>
  <c r="AA150" i="27"/>
  <c r="Z150" i="27"/>
  <c r="Y150" i="27"/>
  <c r="X150" i="27"/>
  <c r="W150" i="27"/>
  <c r="V150" i="27"/>
  <c r="U150" i="27"/>
  <c r="T150" i="27"/>
  <c r="S150" i="27"/>
  <c r="R150" i="27"/>
  <c r="Q150" i="27"/>
  <c r="P150" i="27"/>
  <c r="O150" i="27"/>
  <c r="N150" i="27"/>
  <c r="M150" i="27"/>
  <c r="L150" i="27"/>
  <c r="K150" i="27"/>
  <c r="J150" i="27"/>
  <c r="I150" i="27"/>
  <c r="H150" i="27"/>
  <c r="G150" i="27"/>
  <c r="AK149" i="27"/>
  <c r="AJ149" i="27"/>
  <c r="AI149" i="27"/>
  <c r="AH149" i="27"/>
  <c r="AG149" i="27"/>
  <c r="AF149" i="27"/>
  <c r="AE149" i="27"/>
  <c r="AD149" i="27"/>
  <c r="AC149" i="27"/>
  <c r="AB149" i="27"/>
  <c r="AA149" i="27"/>
  <c r="Z149" i="27"/>
  <c r="Y149" i="27"/>
  <c r="X149" i="27"/>
  <c r="W149" i="27"/>
  <c r="V149" i="27"/>
  <c r="U149" i="27"/>
  <c r="T149" i="27"/>
  <c r="S149" i="27"/>
  <c r="R149" i="27"/>
  <c r="Q149" i="27"/>
  <c r="P149" i="27"/>
  <c r="O149" i="27"/>
  <c r="N149" i="27"/>
  <c r="M149" i="27"/>
  <c r="L149" i="27"/>
  <c r="K149" i="27"/>
  <c r="J149" i="27"/>
  <c r="I149" i="27"/>
  <c r="H149" i="27"/>
  <c r="G149" i="27"/>
  <c r="AK148" i="27"/>
  <c r="AJ148" i="27"/>
  <c r="AI148" i="27"/>
  <c r="AH148" i="27"/>
  <c r="AG148" i="27"/>
  <c r="AF148" i="27"/>
  <c r="AE148" i="27"/>
  <c r="AD148" i="27"/>
  <c r="AC148" i="27"/>
  <c r="AB148" i="27"/>
  <c r="AA148" i="27"/>
  <c r="Z148" i="27"/>
  <c r="Y148" i="27"/>
  <c r="X148" i="27"/>
  <c r="W148" i="27"/>
  <c r="V148" i="27"/>
  <c r="U148" i="27"/>
  <c r="T148" i="27"/>
  <c r="S148" i="27"/>
  <c r="R148" i="27"/>
  <c r="Q148" i="27"/>
  <c r="P148" i="27"/>
  <c r="O148" i="27"/>
  <c r="N148" i="27"/>
  <c r="M148" i="27"/>
  <c r="L148" i="27"/>
  <c r="K148" i="27"/>
  <c r="J148" i="27"/>
  <c r="I148" i="27"/>
  <c r="H148" i="27"/>
  <c r="G148" i="27"/>
  <c r="AK147" i="27"/>
  <c r="AJ147" i="27"/>
  <c r="AI147" i="27"/>
  <c r="AH147" i="27"/>
  <c r="AG147" i="27"/>
  <c r="AF147" i="27"/>
  <c r="AE147" i="27"/>
  <c r="AD147" i="27"/>
  <c r="AC147" i="27"/>
  <c r="AB147" i="27"/>
  <c r="AA147" i="27"/>
  <c r="Z147" i="27"/>
  <c r="Y147" i="27"/>
  <c r="X147" i="27"/>
  <c r="W147" i="27"/>
  <c r="V147" i="27"/>
  <c r="U147" i="27"/>
  <c r="T147" i="27"/>
  <c r="S147" i="27"/>
  <c r="R147" i="27"/>
  <c r="Q147" i="27"/>
  <c r="P147" i="27"/>
  <c r="O147" i="27"/>
  <c r="N147" i="27"/>
  <c r="M147" i="27"/>
  <c r="L147" i="27"/>
  <c r="K147" i="27"/>
  <c r="J147" i="27"/>
  <c r="I147" i="27"/>
  <c r="H147" i="27"/>
  <c r="G147" i="27"/>
  <c r="AK146" i="27"/>
  <c r="AJ146" i="27"/>
  <c r="AI146" i="27"/>
  <c r="AH146" i="27"/>
  <c r="AG146" i="27"/>
  <c r="AF146" i="27"/>
  <c r="AE146" i="27"/>
  <c r="AD146" i="27"/>
  <c r="AC146" i="27"/>
  <c r="AB146" i="27"/>
  <c r="AA146" i="27"/>
  <c r="Z146" i="27"/>
  <c r="Y146" i="27"/>
  <c r="X146" i="27"/>
  <c r="W146" i="27"/>
  <c r="V146" i="27"/>
  <c r="U146" i="27"/>
  <c r="T146" i="27"/>
  <c r="S146" i="27"/>
  <c r="R146" i="27"/>
  <c r="Q146" i="27"/>
  <c r="P146" i="27"/>
  <c r="O146" i="27"/>
  <c r="N146" i="27"/>
  <c r="M146" i="27"/>
  <c r="L146" i="27"/>
  <c r="K146" i="27"/>
  <c r="J146" i="27"/>
  <c r="I146" i="27"/>
  <c r="H146" i="27"/>
  <c r="G146" i="27"/>
  <c r="AK145" i="27"/>
  <c r="AJ145" i="27"/>
  <c r="AI145" i="27"/>
  <c r="AH145" i="27"/>
  <c r="AG145" i="27"/>
  <c r="AF145" i="27"/>
  <c r="AE145" i="27"/>
  <c r="AD145" i="27"/>
  <c r="AC145" i="27"/>
  <c r="AB145" i="27"/>
  <c r="AA145" i="27"/>
  <c r="Z145" i="27"/>
  <c r="Y145" i="27"/>
  <c r="X145" i="27"/>
  <c r="W145" i="27"/>
  <c r="V145" i="27"/>
  <c r="U145" i="27"/>
  <c r="T145" i="27"/>
  <c r="S145" i="27"/>
  <c r="R145" i="27"/>
  <c r="Q145" i="27"/>
  <c r="P145" i="27"/>
  <c r="O145" i="27"/>
  <c r="N145" i="27"/>
  <c r="M145" i="27"/>
  <c r="L145" i="27"/>
  <c r="K145" i="27"/>
  <c r="J145" i="27"/>
  <c r="I145" i="27"/>
  <c r="H145" i="27"/>
  <c r="G145" i="27"/>
  <c r="AK144" i="27"/>
  <c r="AJ144" i="27"/>
  <c r="AI144" i="27"/>
  <c r="AH144" i="27"/>
  <c r="AG144" i="27"/>
  <c r="AF144" i="27"/>
  <c r="AE144" i="27"/>
  <c r="AD144" i="27"/>
  <c r="AC144" i="27"/>
  <c r="AB144" i="27"/>
  <c r="AA144" i="27"/>
  <c r="Z144" i="27"/>
  <c r="Y144" i="27"/>
  <c r="X144" i="27"/>
  <c r="W144" i="27"/>
  <c r="V144" i="27"/>
  <c r="U144" i="27"/>
  <c r="T144" i="27"/>
  <c r="S144" i="27"/>
  <c r="R144" i="27"/>
  <c r="Q144" i="27"/>
  <c r="P144" i="27"/>
  <c r="O144" i="27"/>
  <c r="N144" i="27"/>
  <c r="M144" i="27"/>
  <c r="L144" i="27"/>
  <c r="K144" i="27"/>
  <c r="J144" i="27"/>
  <c r="I144" i="27"/>
  <c r="H144" i="27"/>
  <c r="G144" i="27"/>
  <c r="G143" i="27"/>
  <c r="AK138" i="27"/>
  <c r="AJ138" i="27"/>
  <c r="AI138" i="27"/>
  <c r="AH138" i="27"/>
  <c r="AG138" i="27"/>
  <c r="AF138" i="27"/>
  <c r="AE138" i="27"/>
  <c r="AD138" i="27"/>
  <c r="AC138" i="27"/>
  <c r="AB138" i="27"/>
  <c r="AA138" i="27"/>
  <c r="Z138" i="27"/>
  <c r="Y138" i="27"/>
  <c r="X138" i="27"/>
  <c r="W138" i="27"/>
  <c r="V138" i="27"/>
  <c r="U138" i="27"/>
  <c r="T138" i="27"/>
  <c r="S138" i="27"/>
  <c r="R138" i="27"/>
  <c r="Q138" i="27"/>
  <c r="P138" i="27"/>
  <c r="O138" i="27"/>
  <c r="N138" i="27"/>
  <c r="M138" i="27"/>
  <c r="L138" i="27"/>
  <c r="K138" i="27"/>
  <c r="J138" i="27"/>
  <c r="I138" i="27"/>
  <c r="H138" i="27"/>
  <c r="G138" i="27"/>
  <c r="AK137" i="27"/>
  <c r="AJ137" i="27"/>
  <c r="AI137" i="27"/>
  <c r="AH137" i="27"/>
  <c r="AG137" i="27"/>
  <c r="AF137" i="27"/>
  <c r="AE137" i="27"/>
  <c r="AD137" i="27"/>
  <c r="AC137" i="27"/>
  <c r="AB137" i="27"/>
  <c r="AA137" i="27"/>
  <c r="Z137" i="27"/>
  <c r="Y137" i="27"/>
  <c r="X137" i="27"/>
  <c r="W137" i="27"/>
  <c r="V137" i="27"/>
  <c r="U137" i="27"/>
  <c r="T137" i="27"/>
  <c r="S137" i="27"/>
  <c r="R137" i="27"/>
  <c r="Q137" i="27"/>
  <c r="P137" i="27"/>
  <c r="O137" i="27"/>
  <c r="N137" i="27"/>
  <c r="M137" i="27"/>
  <c r="L137" i="27"/>
  <c r="K137" i="27"/>
  <c r="J137" i="27"/>
  <c r="I137" i="27"/>
  <c r="H137" i="27"/>
  <c r="G137" i="27"/>
  <c r="AK136" i="27"/>
  <c r="AJ136" i="27"/>
  <c r="AI136" i="27"/>
  <c r="AH136" i="27"/>
  <c r="AG136" i="27"/>
  <c r="AF136" i="27"/>
  <c r="AE136" i="27"/>
  <c r="AD136" i="27"/>
  <c r="AC136" i="27"/>
  <c r="AB136" i="27"/>
  <c r="AA136" i="27"/>
  <c r="Z136" i="27"/>
  <c r="Y136" i="27"/>
  <c r="X136" i="27"/>
  <c r="W136" i="27"/>
  <c r="V136" i="27"/>
  <c r="U136" i="27"/>
  <c r="T136" i="27"/>
  <c r="S136" i="27"/>
  <c r="R136" i="27"/>
  <c r="Q136" i="27"/>
  <c r="P136" i="27"/>
  <c r="O136" i="27"/>
  <c r="N136" i="27"/>
  <c r="M136" i="27"/>
  <c r="L136" i="27"/>
  <c r="K136" i="27"/>
  <c r="J136" i="27"/>
  <c r="I136" i="27"/>
  <c r="H136" i="27"/>
  <c r="G136" i="27"/>
  <c r="AK135" i="27"/>
  <c r="AJ135" i="27"/>
  <c r="AI135" i="27"/>
  <c r="AH135" i="27"/>
  <c r="AG135" i="27"/>
  <c r="AF135" i="27"/>
  <c r="AE135" i="27"/>
  <c r="AD135" i="27"/>
  <c r="AC135" i="27"/>
  <c r="AB135" i="27"/>
  <c r="AA135" i="27"/>
  <c r="Z135" i="27"/>
  <c r="Y135" i="27"/>
  <c r="X135" i="27"/>
  <c r="W135" i="27"/>
  <c r="V135" i="27"/>
  <c r="U135" i="27"/>
  <c r="T135" i="27"/>
  <c r="S135" i="27"/>
  <c r="R135" i="27"/>
  <c r="Q135" i="27"/>
  <c r="P135" i="27"/>
  <c r="O135" i="27"/>
  <c r="N135" i="27"/>
  <c r="M135" i="27"/>
  <c r="L135" i="27"/>
  <c r="K135" i="27"/>
  <c r="J135" i="27"/>
  <c r="I135" i="27"/>
  <c r="H135" i="27"/>
  <c r="G135" i="27"/>
  <c r="AK133" i="27"/>
  <c r="AJ133" i="27"/>
  <c r="AI133" i="27"/>
  <c r="AH133" i="27"/>
  <c r="AG133" i="27"/>
  <c r="AF133" i="27"/>
  <c r="AE133" i="27"/>
  <c r="AD133" i="27"/>
  <c r="AC133" i="27"/>
  <c r="AB133" i="27"/>
  <c r="AA133" i="27"/>
  <c r="Z133" i="27"/>
  <c r="Y133" i="27"/>
  <c r="X133" i="27"/>
  <c r="W133" i="27"/>
  <c r="V133" i="27"/>
  <c r="U133" i="27"/>
  <c r="T133" i="27"/>
  <c r="S133" i="27"/>
  <c r="R133" i="27"/>
  <c r="Q133" i="27"/>
  <c r="P133" i="27"/>
  <c r="O133" i="27"/>
  <c r="M133" i="27"/>
  <c r="L133" i="27"/>
  <c r="K133" i="27"/>
  <c r="J133" i="27"/>
  <c r="I133" i="27"/>
  <c r="H133" i="27"/>
  <c r="G133" i="27"/>
  <c r="AK130" i="27"/>
  <c r="AJ130" i="27"/>
  <c r="AI130" i="27"/>
  <c r="AH130" i="27"/>
  <c r="AG130" i="27"/>
  <c r="AF130" i="27"/>
  <c r="AE130" i="27"/>
  <c r="AD130" i="27"/>
  <c r="AC130" i="27"/>
  <c r="AB130" i="27"/>
  <c r="AA130" i="27"/>
  <c r="Z130" i="27"/>
  <c r="Y130" i="27"/>
  <c r="X130" i="27"/>
  <c r="W130" i="27"/>
  <c r="V130" i="27"/>
  <c r="U130" i="27"/>
  <c r="T130" i="27"/>
  <c r="S130" i="27"/>
  <c r="R130" i="27"/>
  <c r="Q130" i="27"/>
  <c r="P130" i="27"/>
  <c r="O130" i="27"/>
  <c r="N130" i="27"/>
  <c r="M130" i="27"/>
  <c r="L130" i="27"/>
  <c r="K130" i="27"/>
  <c r="J130" i="27"/>
  <c r="I130" i="27"/>
  <c r="H130" i="27"/>
  <c r="G130" i="27"/>
  <c r="AK129" i="27"/>
  <c r="AJ129" i="27"/>
  <c r="AI129" i="27"/>
  <c r="AH129" i="27"/>
  <c r="AG129" i="27"/>
  <c r="AF129" i="27"/>
  <c r="AE129" i="27"/>
  <c r="AD129" i="27"/>
  <c r="AC129" i="27"/>
  <c r="AB129" i="27"/>
  <c r="AA129" i="27"/>
  <c r="Z129" i="27"/>
  <c r="Y129" i="27"/>
  <c r="X129" i="27"/>
  <c r="W129" i="27"/>
  <c r="V129" i="27"/>
  <c r="U129" i="27"/>
  <c r="T129" i="27"/>
  <c r="S129" i="27"/>
  <c r="R129" i="27"/>
  <c r="Q129" i="27"/>
  <c r="P129" i="27"/>
  <c r="O129" i="27"/>
  <c r="N129" i="27"/>
  <c r="M129" i="27"/>
  <c r="L129" i="27"/>
  <c r="K129" i="27"/>
  <c r="J129" i="27"/>
  <c r="I129" i="27"/>
  <c r="H129" i="27"/>
  <c r="G129" i="27"/>
  <c r="AK127" i="27"/>
  <c r="AJ127" i="27"/>
  <c r="AI127" i="27"/>
  <c r="AH127" i="27"/>
  <c r="AG127" i="27"/>
  <c r="AF127" i="27"/>
  <c r="AE127" i="27"/>
  <c r="AD127" i="27"/>
  <c r="AC127" i="27"/>
  <c r="AB127" i="27"/>
  <c r="AA127" i="27"/>
  <c r="Z127" i="27"/>
  <c r="Y127" i="27"/>
  <c r="X127" i="27"/>
  <c r="W127" i="27"/>
  <c r="V127" i="27"/>
  <c r="U127" i="27"/>
  <c r="T127" i="27"/>
  <c r="S127" i="27"/>
  <c r="R127" i="27"/>
  <c r="Q127" i="27"/>
  <c r="P127" i="27"/>
  <c r="O127" i="27"/>
  <c r="N127" i="27"/>
  <c r="M127" i="27"/>
  <c r="L127" i="27"/>
  <c r="K127" i="27"/>
  <c r="J127" i="27"/>
  <c r="I127" i="27"/>
  <c r="H127" i="27"/>
  <c r="G127" i="27"/>
  <c r="AK126" i="27"/>
  <c r="AJ126" i="27"/>
  <c r="AI126" i="27"/>
  <c r="AH126" i="27"/>
  <c r="AG126" i="27"/>
  <c r="AF126" i="27"/>
  <c r="AE126" i="27"/>
  <c r="AD126" i="27"/>
  <c r="AC126" i="27"/>
  <c r="AB126" i="27"/>
  <c r="AA126" i="27"/>
  <c r="Z126" i="27"/>
  <c r="Y126" i="27"/>
  <c r="X126" i="27"/>
  <c r="W126" i="27"/>
  <c r="V126" i="27"/>
  <c r="U126" i="27"/>
  <c r="T126" i="27"/>
  <c r="S126" i="27"/>
  <c r="R126" i="27"/>
  <c r="Q126" i="27"/>
  <c r="P126" i="27"/>
  <c r="O126" i="27"/>
  <c r="N126" i="27"/>
  <c r="M126" i="27"/>
  <c r="L126" i="27"/>
  <c r="K126" i="27"/>
  <c r="J126" i="27"/>
  <c r="I126" i="27"/>
  <c r="H126" i="27"/>
  <c r="G126" i="27"/>
  <c r="AK125" i="27"/>
  <c r="AJ125" i="27"/>
  <c r="AI125" i="27"/>
  <c r="AH125" i="27"/>
  <c r="AG125" i="27"/>
  <c r="AF125" i="27"/>
  <c r="AE125" i="27"/>
  <c r="AD125" i="27"/>
  <c r="AC125" i="27"/>
  <c r="AB125" i="27"/>
  <c r="AA125" i="27"/>
  <c r="Z125" i="27"/>
  <c r="Y125" i="27"/>
  <c r="X125" i="27"/>
  <c r="W125" i="27"/>
  <c r="V125" i="27"/>
  <c r="U125" i="27"/>
  <c r="T125" i="27"/>
  <c r="S125" i="27"/>
  <c r="Q125" i="27"/>
  <c r="P125" i="27"/>
  <c r="O125" i="27"/>
  <c r="N125" i="27"/>
  <c r="M125" i="27"/>
  <c r="L125" i="27"/>
  <c r="K125" i="27"/>
  <c r="J125" i="27"/>
  <c r="I125" i="27"/>
  <c r="H125" i="27"/>
  <c r="G125" i="27"/>
  <c r="AK124" i="27"/>
  <c r="AJ124" i="27"/>
  <c r="AI124" i="27"/>
  <c r="AH124" i="27"/>
  <c r="AG124" i="27"/>
  <c r="AF124" i="27"/>
  <c r="AE124" i="27"/>
  <c r="AD124" i="27"/>
  <c r="AC124" i="27"/>
  <c r="AB124" i="27"/>
  <c r="AA124" i="27"/>
  <c r="Z124" i="27"/>
  <c r="Y124" i="27"/>
  <c r="X124" i="27"/>
  <c r="W124" i="27"/>
  <c r="V124" i="27"/>
  <c r="U124" i="27"/>
  <c r="T124" i="27"/>
  <c r="S124" i="27"/>
  <c r="R124" i="27"/>
  <c r="Q124" i="27"/>
  <c r="P124" i="27"/>
  <c r="O124" i="27"/>
  <c r="N124" i="27"/>
  <c r="M124" i="27"/>
  <c r="L124" i="27"/>
  <c r="J124" i="27"/>
  <c r="I124" i="27"/>
  <c r="H124" i="27"/>
  <c r="G124" i="27"/>
  <c r="AK123" i="27"/>
  <c r="AK180" i="27" s="1"/>
  <c r="AJ123" i="27"/>
  <c r="AJ180" i="27" s="1"/>
  <c r="AI123" i="27"/>
  <c r="AI180" i="27" s="1"/>
  <c r="AH123" i="27"/>
  <c r="AH180" i="27" s="1"/>
  <c r="AG123" i="27"/>
  <c r="AG180" i="27" s="1"/>
  <c r="AF123" i="27"/>
  <c r="AF180" i="27" s="1"/>
  <c r="AE123" i="27"/>
  <c r="AE180" i="27" s="1"/>
  <c r="AD123" i="27"/>
  <c r="AD180" i="27" s="1"/>
  <c r="AC123" i="27"/>
  <c r="AC180" i="27" s="1"/>
  <c r="AB123" i="27"/>
  <c r="AB180" i="27" s="1"/>
  <c r="AA123" i="27"/>
  <c r="AA180" i="27" s="1"/>
  <c r="Z123" i="27"/>
  <c r="Z180" i="27" s="1"/>
  <c r="Y123" i="27"/>
  <c r="Y180" i="27" s="1"/>
  <c r="X123" i="27"/>
  <c r="X180" i="27" s="1"/>
  <c r="W123" i="27"/>
  <c r="W180" i="27" s="1"/>
  <c r="V123" i="27"/>
  <c r="V180" i="27" s="1"/>
  <c r="U123" i="27"/>
  <c r="U180" i="27" s="1"/>
  <c r="T123" i="27"/>
  <c r="T180" i="27" s="1"/>
  <c r="S123" i="27"/>
  <c r="S180" i="27" s="1"/>
  <c r="R123" i="27"/>
  <c r="R180" i="27" s="1"/>
  <c r="Q123" i="27"/>
  <c r="Q180" i="27" s="1"/>
  <c r="P123" i="27"/>
  <c r="P180" i="27" s="1"/>
  <c r="O123" i="27"/>
  <c r="O180" i="27" s="1"/>
  <c r="N123" i="27"/>
  <c r="N180" i="27" s="1"/>
  <c r="M123" i="27"/>
  <c r="M180" i="27" s="1"/>
  <c r="L123" i="27"/>
  <c r="L180" i="27" s="1"/>
  <c r="K123" i="27"/>
  <c r="K180" i="27" s="1"/>
  <c r="J123" i="27"/>
  <c r="J180" i="27" s="1"/>
  <c r="I123" i="27"/>
  <c r="I180" i="27" s="1"/>
  <c r="H123" i="27"/>
  <c r="H180" i="27" s="1"/>
  <c r="G123" i="27"/>
  <c r="G180" i="27" s="1"/>
  <c r="AK90" i="27"/>
  <c r="AJ90" i="27"/>
  <c r="AI90" i="27"/>
  <c r="AH90" i="27"/>
  <c r="AG90" i="27"/>
  <c r="AF90" i="27"/>
  <c r="AE90" i="27"/>
  <c r="AD90" i="27"/>
  <c r="AC90" i="27"/>
  <c r="AB90" i="27"/>
  <c r="AA90" i="27"/>
  <c r="Z90" i="27"/>
  <c r="Y90" i="27"/>
  <c r="X90" i="27"/>
  <c r="W90" i="27"/>
  <c r="V90" i="27"/>
  <c r="U90" i="27"/>
  <c r="T90" i="27"/>
  <c r="S90" i="27"/>
  <c r="R90" i="27"/>
  <c r="Q90" i="27"/>
  <c r="P90" i="27"/>
  <c r="O90" i="27"/>
  <c r="N90" i="27"/>
  <c r="M90" i="27"/>
  <c r="L90" i="27"/>
  <c r="K90" i="27"/>
  <c r="J90" i="27"/>
  <c r="I90" i="27"/>
  <c r="H90" i="27"/>
  <c r="G90" i="27"/>
  <c r="AK88" i="27"/>
  <c r="AJ88" i="27"/>
  <c r="AI88" i="27"/>
  <c r="AH88" i="27"/>
  <c r="AG88" i="27"/>
  <c r="AF88" i="27"/>
  <c r="AE88" i="27"/>
  <c r="AD88" i="27"/>
  <c r="AC88" i="27"/>
  <c r="AB88" i="27"/>
  <c r="AA88" i="27"/>
  <c r="Z88" i="27"/>
  <c r="Y88" i="27"/>
  <c r="X88" i="27"/>
  <c r="W88" i="27"/>
  <c r="V88" i="27"/>
  <c r="U88" i="27"/>
  <c r="T88" i="27"/>
  <c r="S88" i="27"/>
  <c r="R88" i="27"/>
  <c r="Q88" i="27"/>
  <c r="P88" i="27"/>
  <c r="O88" i="27"/>
  <c r="N88" i="27"/>
  <c r="M88" i="27"/>
  <c r="L88" i="27"/>
  <c r="K88" i="27"/>
  <c r="J88" i="27"/>
  <c r="I88" i="27"/>
  <c r="H88" i="27"/>
  <c r="G88" i="27"/>
  <c r="G84" i="27"/>
  <c r="G83" i="27"/>
  <c r="G82" i="27"/>
  <c r="AK81" i="27"/>
  <c r="AJ81" i="27"/>
  <c r="AI81" i="27"/>
  <c r="AH81" i="27"/>
  <c r="AG81" i="27"/>
  <c r="AF81" i="27"/>
  <c r="AE81" i="27"/>
  <c r="AD81" i="27"/>
  <c r="AC81" i="27"/>
  <c r="AB81" i="27"/>
  <c r="AA81" i="27"/>
  <c r="Z81" i="27"/>
  <c r="Y81" i="27"/>
  <c r="X81" i="27"/>
  <c r="W81" i="27"/>
  <c r="V81" i="27"/>
  <c r="U81" i="27"/>
  <c r="T81" i="27"/>
  <c r="S81" i="27"/>
  <c r="R81" i="27"/>
  <c r="Q81" i="27"/>
  <c r="P81" i="27"/>
  <c r="O81" i="27"/>
  <c r="N81" i="27"/>
  <c r="M81" i="27"/>
  <c r="L81" i="27"/>
  <c r="K81" i="27"/>
  <c r="J81" i="27"/>
  <c r="I81" i="27"/>
  <c r="H81" i="27"/>
  <c r="G81" i="27"/>
  <c r="G76" i="27"/>
  <c r="AK61" i="27"/>
  <c r="AK371" i="27" s="1"/>
  <c r="AJ61" i="27"/>
  <c r="AJ371" i="27" s="1"/>
  <c r="AI61" i="27"/>
  <c r="AI371" i="27" s="1"/>
  <c r="AH61" i="27"/>
  <c r="AH371" i="27" s="1"/>
  <c r="AG61" i="27"/>
  <c r="AG371" i="27" s="1"/>
  <c r="AF61" i="27"/>
  <c r="AF371" i="27" s="1"/>
  <c r="AE61" i="27"/>
  <c r="AE371" i="27" s="1"/>
  <c r="AD61" i="27"/>
  <c r="AD371" i="27" s="1"/>
  <c r="AC61" i="27"/>
  <c r="AC371" i="27" s="1"/>
  <c r="AB61" i="27"/>
  <c r="AB371" i="27" s="1"/>
  <c r="AA61" i="27"/>
  <c r="AA371" i="27" s="1"/>
  <c r="Z61" i="27"/>
  <c r="Z371" i="27" s="1"/>
  <c r="Y61" i="27"/>
  <c r="Y371" i="27" s="1"/>
  <c r="X61" i="27"/>
  <c r="X371" i="27" s="1"/>
  <c r="W61" i="27"/>
  <c r="W371" i="27" s="1"/>
  <c r="V61" i="27"/>
  <c r="V371" i="27" s="1"/>
  <c r="U61" i="27"/>
  <c r="U371" i="27" s="1"/>
  <c r="T61" i="27"/>
  <c r="T371" i="27" s="1"/>
  <c r="S61" i="27"/>
  <c r="S371" i="27" s="1"/>
  <c r="R61" i="27"/>
  <c r="R371" i="27" s="1"/>
  <c r="Q61" i="27"/>
  <c r="Q371" i="27" s="1"/>
  <c r="P61" i="27"/>
  <c r="P371" i="27" s="1"/>
  <c r="O61" i="27"/>
  <c r="O371" i="27" s="1"/>
  <c r="N61" i="27"/>
  <c r="N371" i="27" s="1"/>
  <c r="M61" i="27"/>
  <c r="M371" i="27" s="1"/>
  <c r="L61" i="27"/>
  <c r="L371" i="27" s="1"/>
  <c r="K61" i="27"/>
  <c r="K371" i="27" s="1"/>
  <c r="J61" i="27"/>
  <c r="J371" i="27" s="1"/>
  <c r="I61" i="27"/>
  <c r="I371" i="27" s="1"/>
  <c r="H61" i="27"/>
  <c r="H371" i="27" s="1"/>
  <c r="G61" i="27"/>
  <c r="G371" i="27" s="1"/>
  <c r="AK52" i="27"/>
  <c r="AJ52" i="27"/>
  <c r="AI52" i="27"/>
  <c r="AH52" i="27"/>
  <c r="AG52" i="27"/>
  <c r="AF52" i="27"/>
  <c r="AE52" i="27"/>
  <c r="AD52" i="27"/>
  <c r="AC52" i="27"/>
  <c r="AB52" i="27"/>
  <c r="AA52" i="27"/>
  <c r="Z52" i="27"/>
  <c r="Y52" i="27"/>
  <c r="X52" i="27"/>
  <c r="W52" i="27"/>
  <c r="V52" i="27"/>
  <c r="U52" i="27"/>
  <c r="T52" i="27"/>
  <c r="S52" i="27"/>
  <c r="R52" i="27"/>
  <c r="Q52" i="27"/>
  <c r="P52" i="27"/>
  <c r="O52" i="27"/>
  <c r="N52" i="27"/>
  <c r="M52" i="27"/>
  <c r="L52" i="27"/>
  <c r="K52" i="27"/>
  <c r="J52" i="27"/>
  <c r="I52" i="27"/>
  <c r="H52" i="27"/>
  <c r="G52" i="27"/>
  <c r="AK51" i="27"/>
  <c r="AJ51" i="27"/>
  <c r="AI51" i="27"/>
  <c r="AH51" i="27"/>
  <c r="AG51" i="27"/>
  <c r="AF51" i="27"/>
  <c r="AE51" i="27"/>
  <c r="AD51" i="27"/>
  <c r="AC51" i="27"/>
  <c r="AB51" i="27"/>
  <c r="AA51" i="27"/>
  <c r="Z51" i="27"/>
  <c r="Y51" i="27"/>
  <c r="X51" i="27"/>
  <c r="W51" i="27"/>
  <c r="V51" i="27"/>
  <c r="U51" i="27"/>
  <c r="T51" i="27"/>
  <c r="S51" i="27"/>
  <c r="R51" i="27"/>
  <c r="Q51" i="27"/>
  <c r="P51" i="27"/>
  <c r="O51" i="27"/>
  <c r="N51" i="27"/>
  <c r="M51" i="27"/>
  <c r="L51" i="27"/>
  <c r="K51" i="27"/>
  <c r="J51" i="27"/>
  <c r="I51" i="27"/>
  <c r="H51" i="27"/>
  <c r="G51" i="27"/>
  <c r="AK50" i="27"/>
  <c r="AJ50" i="27"/>
  <c r="AI50" i="27"/>
  <c r="AH50" i="27"/>
  <c r="AG50" i="27"/>
  <c r="AF50" i="27"/>
  <c r="AE50" i="27"/>
  <c r="AD50" i="27"/>
  <c r="AC50" i="27"/>
  <c r="AB50" i="27"/>
  <c r="AA50" i="27"/>
  <c r="Z50" i="27"/>
  <c r="Y50" i="27"/>
  <c r="X50" i="27"/>
  <c r="W50" i="27"/>
  <c r="V50" i="27"/>
  <c r="U50" i="27"/>
  <c r="T50" i="27"/>
  <c r="S50" i="27"/>
  <c r="R50" i="27"/>
  <c r="Q50" i="27"/>
  <c r="P50" i="27"/>
  <c r="O50" i="27"/>
  <c r="N50" i="27"/>
  <c r="M50" i="27"/>
  <c r="L50" i="27"/>
  <c r="K50" i="27"/>
  <c r="J50" i="27"/>
  <c r="I50" i="27"/>
  <c r="H50" i="27"/>
  <c r="G50" i="27"/>
  <c r="AK49" i="27"/>
  <c r="AJ49" i="27"/>
  <c r="AI49" i="27"/>
  <c r="AH49" i="27"/>
  <c r="AG49" i="27"/>
  <c r="AF49" i="27"/>
  <c r="AE49" i="27"/>
  <c r="AD49" i="27"/>
  <c r="AC49" i="27"/>
  <c r="AB49" i="27"/>
  <c r="AA49" i="27"/>
  <c r="Z49" i="27"/>
  <c r="Y49" i="27"/>
  <c r="X49" i="27"/>
  <c r="W49" i="27"/>
  <c r="V49" i="27"/>
  <c r="U49" i="27"/>
  <c r="T49" i="27"/>
  <c r="S49" i="27"/>
  <c r="R49" i="27"/>
  <c r="Q49" i="27"/>
  <c r="P49" i="27"/>
  <c r="O49" i="27"/>
  <c r="N49" i="27"/>
  <c r="M49" i="27"/>
  <c r="L49" i="27"/>
  <c r="K49" i="27"/>
  <c r="J49" i="27"/>
  <c r="I49" i="27"/>
  <c r="H49" i="27"/>
  <c r="G49" i="27"/>
  <c r="AK32" i="27"/>
  <c r="AK41" i="27" s="1"/>
  <c r="AK42" i="27" s="1"/>
  <c r="AK373" i="27" s="1"/>
  <c r="AJ32" i="27"/>
  <c r="AI32" i="27"/>
  <c r="AI41" i="27" s="1"/>
  <c r="AI42" i="27" s="1"/>
  <c r="AI373" i="27" s="1"/>
  <c r="AH32" i="27"/>
  <c r="AH41" i="27" s="1"/>
  <c r="AH42" i="27" s="1"/>
  <c r="AH373" i="27" s="1"/>
  <c r="AG32" i="27"/>
  <c r="AF32" i="27"/>
  <c r="AE32" i="27"/>
  <c r="AD32" i="27"/>
  <c r="AC32" i="27"/>
  <c r="AB32" i="27"/>
  <c r="AA32" i="27"/>
  <c r="AA41" i="27" s="1"/>
  <c r="AA42" i="27" s="1"/>
  <c r="Z32" i="27"/>
  <c r="Y32" i="27"/>
  <c r="Y31" i="27" s="1"/>
  <c r="Y128" i="27" s="1"/>
  <c r="X32" i="27"/>
  <c r="X31" i="27" s="1"/>
  <c r="X128" i="27" s="1"/>
  <c r="W32" i="27"/>
  <c r="V32" i="27"/>
  <c r="U32" i="27"/>
  <c r="U31" i="27" s="1"/>
  <c r="U128" i="27" s="1"/>
  <c r="T32" i="27"/>
  <c r="S32" i="27"/>
  <c r="R32" i="27"/>
  <c r="Q32" i="27"/>
  <c r="Q31" i="27" s="1"/>
  <c r="Q128" i="27" s="1"/>
  <c r="P32" i="27"/>
  <c r="O32" i="27"/>
  <c r="N32" i="27"/>
  <c r="M32" i="27"/>
  <c r="L32" i="27"/>
  <c r="L41" i="27" s="1"/>
  <c r="K32" i="27"/>
  <c r="J32" i="27"/>
  <c r="J41" i="27" s="1"/>
  <c r="J42" i="27" s="1"/>
  <c r="J373" i="27" s="1"/>
  <c r="I32" i="27"/>
  <c r="I31" i="27" s="1"/>
  <c r="I128" i="27" s="1"/>
  <c r="H32" i="27"/>
  <c r="H41" i="27" s="1"/>
  <c r="H42" i="27" s="1"/>
  <c r="G32" i="27"/>
  <c r="G80" i="15"/>
  <c r="G71" i="15"/>
  <c r="J156" i="30"/>
  <c r="J173" i="30" s="1"/>
  <c r="H172" i="30"/>
  <c r="AL69" i="15"/>
  <c r="AT69" i="15"/>
  <c r="BB69" i="15"/>
  <c r="BJ69" i="15"/>
  <c r="BR69" i="15"/>
  <c r="BZ69" i="15"/>
  <c r="AO69" i="15"/>
  <c r="AW69" i="15"/>
  <c r="BE69" i="15"/>
  <c r="BM69" i="15"/>
  <c r="BU69" i="15"/>
  <c r="CC69" i="15"/>
  <c r="BF69" i="15"/>
  <c r="BN69" i="15"/>
  <c r="CE69" i="15"/>
  <c r="AX69" i="15"/>
  <c r="CD69" i="15"/>
  <c r="AY69" i="15"/>
  <c r="BW69" i="15"/>
  <c r="AP69" i="15"/>
  <c r="BV69" i="15"/>
  <c r="AQ69" i="15"/>
  <c r="BG69" i="15"/>
  <c r="BO69" i="15"/>
  <c r="AS69" i="15"/>
  <c r="BA69" i="15"/>
  <c r="BI69" i="15"/>
  <c r="BQ69" i="15"/>
  <c r="BY69" i="15"/>
  <c r="CG69" i="15"/>
  <c r="AM69" i="15"/>
  <c r="AU69" i="15"/>
  <c r="BC69" i="15"/>
  <c r="BK69" i="15"/>
  <c r="BS69" i="15"/>
  <c r="CA69" i="15"/>
  <c r="H58" i="15"/>
  <c r="AN69" i="15"/>
  <c r="AR69" i="15"/>
  <c r="AV69" i="15"/>
  <c r="AZ69" i="15"/>
  <c r="BD69" i="15"/>
  <c r="BH69" i="15"/>
  <c r="BL69" i="15"/>
  <c r="BP69" i="15"/>
  <c r="BT69" i="15"/>
  <c r="BX69" i="15"/>
  <c r="CB69" i="15"/>
  <c r="CF69" i="15"/>
  <c r="I172" i="29"/>
  <c r="I353" i="29"/>
  <c r="I84" i="27"/>
  <c r="H82" i="27"/>
  <c r="H76" i="27"/>
  <c r="H265" i="30"/>
  <c r="H257" i="30"/>
  <c r="H263" i="30"/>
  <c r="H355" i="27"/>
  <c r="H347" i="27"/>
  <c r="H83" i="27"/>
  <c r="H173" i="27"/>
  <c r="H265" i="27"/>
  <c r="I354" i="27"/>
  <c r="H353" i="27"/>
  <c r="AP70" i="15"/>
  <c r="BF70" i="15"/>
  <c r="BV70" i="15"/>
  <c r="H263" i="27"/>
  <c r="H82" i="29"/>
  <c r="H355" i="28"/>
  <c r="H354" i="28"/>
  <c r="H347" i="28"/>
  <c r="I353" i="28"/>
  <c r="I166" i="29"/>
  <c r="H174" i="29"/>
  <c r="H166" i="29"/>
  <c r="H166" i="30"/>
  <c r="H347" i="29"/>
  <c r="H173" i="30"/>
  <c r="H264" i="30"/>
  <c r="BR72" i="15"/>
  <c r="AR70" i="15"/>
  <c r="AS72" i="15"/>
  <c r="BA72" i="15"/>
  <c r="BI72" i="15"/>
  <c r="BQ72" i="15"/>
  <c r="BY72" i="15"/>
  <c r="CG72" i="15"/>
  <c r="AQ70" i="15"/>
  <c r="AY70" i="15"/>
  <c r="BG70" i="15"/>
  <c r="BO70" i="15"/>
  <c r="BW70" i="15"/>
  <c r="CE70" i="15"/>
  <c r="H172" i="27"/>
  <c r="BX70" i="15"/>
  <c r="AM72" i="15"/>
  <c r="AU72" i="15"/>
  <c r="BC72" i="15"/>
  <c r="BK72" i="15"/>
  <c r="BS72" i="15"/>
  <c r="CA72" i="15"/>
  <c r="AS70" i="15"/>
  <c r="BA70" i="15"/>
  <c r="BI70" i="15"/>
  <c r="BQ70" i="15"/>
  <c r="BY70" i="15"/>
  <c r="CG70" i="15"/>
  <c r="AL72" i="15"/>
  <c r="CF70" i="15"/>
  <c r="H84" i="27"/>
  <c r="AN72" i="15"/>
  <c r="AV72" i="15"/>
  <c r="BD72" i="15"/>
  <c r="BL72" i="15"/>
  <c r="BT72" i="15"/>
  <c r="CB72" i="15"/>
  <c r="AL70" i="15"/>
  <c r="AT70" i="15"/>
  <c r="BB70" i="15"/>
  <c r="BJ70" i="15"/>
  <c r="BR70" i="15"/>
  <c r="BZ70" i="15"/>
  <c r="H257" i="27"/>
  <c r="BB72" i="15"/>
  <c r="BH70" i="15"/>
  <c r="AO72" i="15"/>
  <c r="AW72" i="15"/>
  <c r="BE72" i="15"/>
  <c r="BM72" i="15"/>
  <c r="BU72" i="15"/>
  <c r="CC72" i="15"/>
  <c r="AM70" i="15"/>
  <c r="AU70" i="15"/>
  <c r="BC70" i="15"/>
  <c r="BK70" i="15"/>
  <c r="BS70" i="15"/>
  <c r="CA70" i="15"/>
  <c r="AT72" i="15"/>
  <c r="AZ70" i="15"/>
  <c r="AP72" i="15"/>
  <c r="AX72" i="15"/>
  <c r="BF72" i="15"/>
  <c r="BN72" i="15"/>
  <c r="BV72" i="15"/>
  <c r="CD72" i="15"/>
  <c r="AN70" i="15"/>
  <c r="AV70" i="15"/>
  <c r="BD70" i="15"/>
  <c r="BL70" i="15"/>
  <c r="BT70" i="15"/>
  <c r="CB70" i="15"/>
  <c r="BZ72" i="15"/>
  <c r="AQ72" i="15"/>
  <c r="AY72" i="15"/>
  <c r="BG72" i="15"/>
  <c r="BO72" i="15"/>
  <c r="BW72" i="15"/>
  <c r="CE72" i="15"/>
  <c r="AO70" i="15"/>
  <c r="AW70" i="15"/>
  <c r="BE70" i="15"/>
  <c r="BM70" i="15"/>
  <c r="BU70" i="15"/>
  <c r="CC70" i="15"/>
  <c r="H166" i="27"/>
  <c r="BJ72" i="15"/>
  <c r="BP70" i="15"/>
  <c r="AR72" i="15"/>
  <c r="AZ72" i="15"/>
  <c r="BH72" i="15"/>
  <c r="BP72" i="15"/>
  <c r="BX72" i="15"/>
  <c r="CF72" i="15"/>
  <c r="AX70" i="15"/>
  <c r="BN70" i="15"/>
  <c r="CD70" i="15"/>
  <c r="H76" i="28"/>
  <c r="H82" i="28"/>
  <c r="H83" i="28"/>
  <c r="H84" i="28"/>
  <c r="H265" i="28"/>
  <c r="H173" i="28"/>
  <c r="H172" i="28"/>
  <c r="H257" i="28"/>
  <c r="H264" i="28"/>
  <c r="H166" i="28"/>
  <c r="H80" i="15"/>
  <c r="H174" i="28"/>
  <c r="H353" i="28"/>
  <c r="H83" i="29"/>
  <c r="H76" i="29"/>
  <c r="I173" i="29"/>
  <c r="H172" i="29"/>
  <c r="H263" i="29"/>
  <c r="H257" i="29"/>
  <c r="H264" i="29"/>
  <c r="I354" i="29"/>
  <c r="I355" i="29"/>
  <c r="I347" i="29"/>
  <c r="H353" i="29"/>
  <c r="H354" i="29"/>
  <c r="H84" i="30"/>
  <c r="H82" i="30"/>
  <c r="H76" i="30"/>
  <c r="H83" i="30"/>
  <c r="I265" i="30"/>
  <c r="I264" i="30"/>
  <c r="I263" i="30"/>
  <c r="I257" i="30"/>
  <c r="H355" i="30"/>
  <c r="H354" i="30"/>
  <c r="H347" i="30"/>
  <c r="H353" i="30"/>
  <c r="D68" i="26"/>
  <c r="D64" i="26"/>
  <c r="E72" i="26" s="1"/>
  <c r="G43" i="15"/>
  <c r="C3" i="26"/>
  <c r="C60" i="26"/>
  <c r="I166" i="30"/>
  <c r="H71" i="15"/>
  <c r="I172" i="30"/>
  <c r="I174" i="30"/>
  <c r="I173" i="30"/>
  <c r="J66" i="27"/>
  <c r="J83" i="27" s="1"/>
  <c r="BU73" i="15"/>
  <c r="I83" i="27"/>
  <c r="I82" i="27"/>
  <c r="I76" i="27"/>
  <c r="AS73" i="15"/>
  <c r="AT73" i="15"/>
  <c r="BM73" i="15"/>
  <c r="BS73" i="15"/>
  <c r="BG73" i="15"/>
  <c r="BZ73" i="15"/>
  <c r="BC73" i="15"/>
  <c r="BI73" i="15"/>
  <c r="CF76" i="15"/>
  <c r="AL73" i="15"/>
  <c r="BS76" i="15"/>
  <c r="AU74" i="15"/>
  <c r="BL73" i="15"/>
  <c r="I174" i="29"/>
  <c r="BP73" i="15"/>
  <c r="I347" i="28"/>
  <c r="I354" i="28"/>
  <c r="CD73" i="15"/>
  <c r="BQ73" i="15"/>
  <c r="AR76" i="15"/>
  <c r="BC76" i="15"/>
  <c r="BW73" i="15"/>
  <c r="CG73" i="15"/>
  <c r="BA73" i="15"/>
  <c r="BD73" i="15"/>
  <c r="BK76" i="15"/>
  <c r="BH73" i="15"/>
  <c r="BN73" i="15"/>
  <c r="AP73" i="15"/>
  <c r="AV73" i="15"/>
  <c r="BX76" i="15"/>
  <c r="AX73" i="15"/>
  <c r="I355" i="27"/>
  <c r="CA77" i="15"/>
  <c r="CA76" i="15"/>
  <c r="AU76" i="15"/>
  <c r="AZ77" i="15"/>
  <c r="AZ76" i="15"/>
  <c r="BC74" i="15"/>
  <c r="AQ74" i="15"/>
  <c r="AW73" i="15"/>
  <c r="AX74" i="15"/>
  <c r="I355" i="28"/>
  <c r="CF73" i="15"/>
  <c r="BP76" i="15"/>
  <c r="AM76" i="15"/>
  <c r="BY73" i="15"/>
  <c r="BT73" i="15"/>
  <c r="AN73" i="15"/>
  <c r="BV74" i="15"/>
  <c r="CC74" i="15"/>
  <c r="BW74" i="15"/>
  <c r="BU74" i="15"/>
  <c r="CB74" i="15"/>
  <c r="AU73" i="15"/>
  <c r="BX74" i="15"/>
  <c r="BF73" i="15"/>
  <c r="CE73" i="15"/>
  <c r="BP74" i="15"/>
  <c r="BH76" i="15"/>
  <c r="AP76" i="15"/>
  <c r="BF74" i="15"/>
  <c r="I347" i="27"/>
  <c r="I353" i="27"/>
  <c r="BZ74" i="15"/>
  <c r="BQ74" i="15"/>
  <c r="BH74" i="15"/>
  <c r="BA74" i="15"/>
  <c r="BI76" i="15"/>
  <c r="CD76" i="15"/>
  <c r="CC76" i="15"/>
  <c r="AM74" i="15"/>
  <c r="AX76" i="15"/>
  <c r="BY74" i="15"/>
  <c r="CA73" i="15"/>
  <c r="AZ74" i="15"/>
  <c r="BO74" i="15"/>
  <c r="BV73" i="15"/>
  <c r="CG76" i="15"/>
  <c r="BF76" i="15"/>
  <c r="I354" i="30"/>
  <c r="I353" i="30"/>
  <c r="I355" i="30"/>
  <c r="I347" i="30"/>
  <c r="AW77" i="15"/>
  <c r="AO74" i="15"/>
  <c r="BY77" i="15"/>
  <c r="BX77" i="15"/>
  <c r="I84" i="30"/>
  <c r="I82" i="30"/>
  <c r="I76" i="30"/>
  <c r="J66" i="30"/>
  <c r="J76" i="30" s="1"/>
  <c r="I83" i="30"/>
  <c r="I84" i="28"/>
  <c r="I76" i="28"/>
  <c r="I83" i="28"/>
  <c r="I82" i="28"/>
  <c r="BB76" i="15"/>
  <c r="CE76" i="15"/>
  <c r="CG74" i="15"/>
  <c r="BI77" i="15"/>
  <c r="AQ73" i="15"/>
  <c r="AR74" i="15"/>
  <c r="AS76" i="15"/>
  <c r="BE74" i="15"/>
  <c r="CD77" i="15"/>
  <c r="BE76" i="15"/>
  <c r="I174" i="28"/>
  <c r="I172" i="28"/>
  <c r="I166" i="28"/>
  <c r="I173" i="28"/>
  <c r="AU77" i="15"/>
  <c r="CF77" i="15"/>
  <c r="I257" i="28"/>
  <c r="I265" i="28"/>
  <c r="I263" i="28"/>
  <c r="I264" i="28"/>
  <c r="AL76" i="15"/>
  <c r="BO76" i="15"/>
  <c r="AR73" i="15"/>
  <c r="AS74" i="15"/>
  <c r="BU77" i="15"/>
  <c r="AW74" i="15"/>
  <c r="BQ77" i="15"/>
  <c r="CB76" i="15"/>
  <c r="BJ73" i="15"/>
  <c r="AM77" i="15"/>
  <c r="AT76" i="15"/>
  <c r="BW76" i="15"/>
  <c r="BJ74" i="15"/>
  <c r="BL74" i="15"/>
  <c r="CB77" i="15"/>
  <c r="I58" i="15"/>
  <c r="I80" i="15"/>
  <c r="I71" i="15"/>
  <c r="I166" i="27"/>
  <c r="I172" i="27"/>
  <c r="I174" i="27"/>
  <c r="I173" i="27"/>
  <c r="BG76" i="15"/>
  <c r="BB74" i="15"/>
  <c r="CG77" i="15"/>
  <c r="CD74" i="15"/>
  <c r="BF77" i="15"/>
  <c r="BU76" i="15"/>
  <c r="BQ76" i="15"/>
  <c r="BD74" i="15"/>
  <c r="BP77" i="15"/>
  <c r="CC77" i="15"/>
  <c r="AO77" i="15"/>
  <c r="I257" i="29"/>
  <c r="I265" i="29"/>
  <c r="I263" i="29"/>
  <c r="I264" i="29"/>
  <c r="I82" i="29"/>
  <c r="I84" i="29"/>
  <c r="I76" i="29"/>
  <c r="I83" i="29"/>
  <c r="I264" i="27"/>
  <c r="I257" i="27"/>
  <c r="I265" i="27"/>
  <c r="I263" i="27"/>
  <c r="BZ76" i="15"/>
  <c r="AQ76" i="15"/>
  <c r="AT74" i="15"/>
  <c r="AY73" i="15"/>
  <c r="AW76" i="15"/>
  <c r="BG74" i="15"/>
  <c r="BT77" i="15"/>
  <c r="BS77" i="15"/>
  <c r="AN77" i="15"/>
  <c r="AO73" i="15"/>
  <c r="AP74" i="15"/>
  <c r="CB73" i="15"/>
  <c r="BD76" i="15"/>
  <c r="AV74" i="15"/>
  <c r="BB73" i="15"/>
  <c r="BY76" i="15"/>
  <c r="BV76" i="15"/>
  <c r="AO76" i="15"/>
  <c r="BK77" i="15"/>
  <c r="BD77" i="15"/>
  <c r="BS74" i="15"/>
  <c r="BV77" i="15"/>
  <c r="BR76" i="15"/>
  <c r="BX73" i="15"/>
  <c r="BI74" i="15"/>
  <c r="BM77" i="15"/>
  <c r="CF74" i="15"/>
  <c r="BN77" i="15"/>
  <c r="BT76" i="15"/>
  <c r="AN76" i="15"/>
  <c r="CC73" i="15"/>
  <c r="BM74" i="15"/>
  <c r="AR77" i="15"/>
  <c r="BK73" i="15"/>
  <c r="BK74" i="15"/>
  <c r="BL77" i="15"/>
  <c r="AX77" i="15"/>
  <c r="AV77" i="15"/>
  <c r="BA77" i="15"/>
  <c r="AY76" i="15"/>
  <c r="BJ76" i="15"/>
  <c r="AZ73" i="15"/>
  <c r="BM76" i="15"/>
  <c r="BR74" i="15"/>
  <c r="AL74" i="15"/>
  <c r="BO73" i="15"/>
  <c r="BN76" i="15"/>
  <c r="CE74" i="15"/>
  <c r="AY74" i="15"/>
  <c r="BH77" i="15"/>
  <c r="AS77" i="15"/>
  <c r="CA74" i="15"/>
  <c r="BE73" i="15"/>
  <c r="BN74" i="15"/>
  <c r="AM73" i="15"/>
  <c r="BT74" i="15"/>
  <c r="AN74" i="15"/>
  <c r="AP77" i="15"/>
  <c r="BR73" i="15"/>
  <c r="BE77" i="15"/>
  <c r="BL76" i="15"/>
  <c r="AV76" i="15"/>
  <c r="BA76" i="15"/>
  <c r="I15" i="26"/>
  <c r="AL75" i="15"/>
  <c r="BG75" i="15"/>
  <c r="BM75" i="15"/>
  <c r="BA75" i="15"/>
  <c r="BD75" i="15"/>
  <c r="BI78" i="15"/>
  <c r="BI75" i="15"/>
  <c r="BV78" i="15"/>
  <c r="BV75" i="15"/>
  <c r="CF75" i="15"/>
  <c r="AS75" i="15"/>
  <c r="AU78" i="15"/>
  <c r="AU75" i="15"/>
  <c r="AW75" i="15"/>
  <c r="BU75" i="15"/>
  <c r="BE75" i="15"/>
  <c r="BS75" i="15"/>
  <c r="AV75" i="15"/>
  <c r="AP78" i="15"/>
  <c r="AP75" i="15"/>
  <c r="AQ75" i="15"/>
  <c r="AX75" i="15"/>
  <c r="CG75" i="15"/>
  <c r="BF78" i="15"/>
  <c r="BF75" i="15"/>
  <c r="AT75" i="15"/>
  <c r="AM75" i="15"/>
  <c r="AO78" i="15"/>
  <c r="AO75" i="15"/>
  <c r="BP75" i="15"/>
  <c r="CD75" i="15"/>
  <c r="BH78" i="15"/>
  <c r="BH75" i="15"/>
  <c r="BZ75" i="15"/>
  <c r="BN75" i="15"/>
  <c r="BQ75" i="15"/>
  <c r="CE75" i="15"/>
  <c r="CB75" i="15"/>
  <c r="BC75" i="15"/>
  <c r="BR75" i="15"/>
  <c r="AN78" i="15"/>
  <c r="AN75" i="15"/>
  <c r="CC75" i="15"/>
  <c r="BJ75" i="15"/>
  <c r="BO75" i="15"/>
  <c r="AR75" i="15"/>
  <c r="AY75" i="15"/>
  <c r="BT75" i="15"/>
  <c r="BL75" i="15"/>
  <c r="BK78" i="15"/>
  <c r="BK75" i="15"/>
  <c r="BX75" i="15"/>
  <c r="BW75" i="15"/>
  <c r="BY75" i="15"/>
  <c r="BB75" i="15"/>
  <c r="BC78" i="15"/>
  <c r="BC77" i="15"/>
  <c r="AS78" i="15"/>
  <c r="AM78" i="15"/>
  <c r="AV78" i="15"/>
  <c r="BX78" i="15"/>
  <c r="BP78" i="15"/>
  <c r="BE78" i="15"/>
  <c r="AR78" i="15"/>
  <c r="AX78" i="15"/>
  <c r="AZ78" i="15"/>
  <c r="BL78" i="15"/>
  <c r="CB78" i="15"/>
  <c r="BT78" i="15"/>
  <c r="BQ78" i="15"/>
  <c r="BN78" i="15"/>
  <c r="BM78" i="15"/>
  <c r="BR77" i="15"/>
  <c r="BR78" i="15"/>
  <c r="BD78" i="15"/>
  <c r="AT77" i="15"/>
  <c r="AT78" i="15"/>
  <c r="CF78" i="15"/>
  <c r="BA78" i="15"/>
  <c r="BJ77" i="15"/>
  <c r="BJ78" i="15"/>
  <c r="AL77" i="15"/>
  <c r="AW78" i="15"/>
  <c r="AQ77" i="15"/>
  <c r="AQ78" i="15"/>
  <c r="CG78" i="15"/>
  <c r="BW77" i="15"/>
  <c r="BY78" i="15"/>
  <c r="AY77" i="15"/>
  <c r="AY78" i="15"/>
  <c r="J263" i="28"/>
  <c r="CC78" i="15"/>
  <c r="BG77" i="15"/>
  <c r="BO77" i="15"/>
  <c r="BO78" i="15"/>
  <c r="CE77" i="15"/>
  <c r="CE78" i="15"/>
  <c r="BB77" i="15"/>
  <c r="BB78" i="15"/>
  <c r="BS78" i="15"/>
  <c r="BZ77" i="15"/>
  <c r="BZ78" i="15"/>
  <c r="CD78" i="15"/>
  <c r="BU78" i="15"/>
  <c r="G281" i="22"/>
  <c r="G266" i="22"/>
  <c r="G264" i="22"/>
  <c r="G263" i="22"/>
  <c r="G254" i="22"/>
  <c r="AA245" i="22"/>
  <c r="Z245" i="22"/>
  <c r="Y245" i="22"/>
  <c r="X245" i="22"/>
  <c r="W245" i="22"/>
  <c r="V245" i="22"/>
  <c r="U245" i="22"/>
  <c r="T245" i="22"/>
  <c r="S245" i="22"/>
  <c r="L245" i="22"/>
  <c r="K245" i="22"/>
  <c r="J245" i="22"/>
  <c r="I245" i="22"/>
  <c r="H245" i="22"/>
  <c r="G245" i="22"/>
  <c r="G236" i="22"/>
  <c r="G211" i="22"/>
  <c r="G205" i="22"/>
  <c r="C198" i="22"/>
  <c r="G183" i="22"/>
  <c r="G168" i="22"/>
  <c r="G166" i="22"/>
  <c r="G165" i="22"/>
  <c r="G156" i="22"/>
  <c r="AA147" i="22"/>
  <c r="Z147" i="22"/>
  <c r="Y147" i="22"/>
  <c r="X147" i="22"/>
  <c r="W147" i="22"/>
  <c r="V147" i="22"/>
  <c r="U147" i="22"/>
  <c r="T147" i="22"/>
  <c r="S147" i="22"/>
  <c r="L147" i="22"/>
  <c r="K147" i="22"/>
  <c r="J147" i="22"/>
  <c r="I147" i="22"/>
  <c r="H147" i="22"/>
  <c r="G147" i="22"/>
  <c r="AA138" i="22"/>
  <c r="Z138" i="22"/>
  <c r="Y138" i="22"/>
  <c r="X138" i="22"/>
  <c r="W138" i="22"/>
  <c r="V138" i="22"/>
  <c r="U138" i="22"/>
  <c r="T138" i="22"/>
  <c r="S138" i="22"/>
  <c r="L138" i="22"/>
  <c r="K138" i="22"/>
  <c r="J138" i="22"/>
  <c r="I138" i="22"/>
  <c r="H138" i="22"/>
  <c r="G138" i="22"/>
  <c r="G113" i="22"/>
  <c r="L107" i="22"/>
  <c r="K107" i="22"/>
  <c r="J107" i="22"/>
  <c r="I107" i="22"/>
  <c r="H107" i="22"/>
  <c r="G107" i="22"/>
  <c r="C100" i="22"/>
  <c r="B8" i="16"/>
  <c r="C68" i="16"/>
  <c r="B160" i="16"/>
  <c r="B154" i="16"/>
  <c r="B147" i="16"/>
  <c r="B140" i="16"/>
  <c r="C134" i="16"/>
  <c r="B94" i="16"/>
  <c r="B88" i="16"/>
  <c r="B81" i="16"/>
  <c r="B74" i="16"/>
  <c r="B61" i="16"/>
  <c r="B55" i="16"/>
  <c r="B48" i="16"/>
  <c r="B41" i="16"/>
  <c r="C35" i="16"/>
  <c r="AL78" i="15"/>
  <c r="BG78" i="15"/>
  <c r="CA75" i="15"/>
  <c r="AZ75" i="15"/>
  <c r="BW78" i="15"/>
  <c r="CA78" i="15"/>
  <c r="G273" i="22"/>
  <c r="H51" i="3"/>
  <c r="H66" i="3"/>
  <c r="H59" i="3"/>
  <c r="H67" i="22"/>
  <c r="I67" i="22"/>
  <c r="J67" i="22"/>
  <c r="K67" i="22"/>
  <c r="L67" i="22"/>
  <c r="N67" i="22"/>
  <c r="O67" i="22"/>
  <c r="P67" i="22"/>
  <c r="Q67" i="22"/>
  <c r="R67" i="22"/>
  <c r="S67" i="22"/>
  <c r="T67" i="22"/>
  <c r="U67" i="22"/>
  <c r="V67" i="22"/>
  <c r="W67" i="22"/>
  <c r="X67" i="22"/>
  <c r="Y67" i="22"/>
  <c r="Z67" i="22"/>
  <c r="AA67" i="22"/>
  <c r="H68" i="22"/>
  <c r="I68" i="22"/>
  <c r="J68" i="22"/>
  <c r="K68" i="22"/>
  <c r="L68" i="22"/>
  <c r="N68" i="22"/>
  <c r="O68" i="22"/>
  <c r="P68" i="22"/>
  <c r="Q68" i="22"/>
  <c r="R68" i="22"/>
  <c r="S68" i="22"/>
  <c r="T68" i="22"/>
  <c r="U68" i="22"/>
  <c r="V68" i="22"/>
  <c r="W68" i="22"/>
  <c r="X68" i="22"/>
  <c r="Y68" i="22"/>
  <c r="Z68" i="22"/>
  <c r="AA68" i="22"/>
  <c r="H70" i="22"/>
  <c r="I70" i="22"/>
  <c r="J70" i="22"/>
  <c r="K70" i="22"/>
  <c r="L70" i="22"/>
  <c r="M70" i="22"/>
  <c r="N70" i="22"/>
  <c r="O70" i="22"/>
  <c r="P70" i="22"/>
  <c r="Q70" i="22"/>
  <c r="R70" i="22"/>
  <c r="S70" i="22"/>
  <c r="T70" i="22"/>
  <c r="U70" i="22"/>
  <c r="V70" i="22"/>
  <c r="W70" i="22"/>
  <c r="X70" i="22"/>
  <c r="Y70" i="22"/>
  <c r="Z70" i="22"/>
  <c r="AA70" i="22"/>
  <c r="G70" i="22"/>
  <c r="G67" i="22"/>
  <c r="B15" i="16"/>
  <c r="B28" i="16"/>
  <c r="B22" i="16"/>
  <c r="G58" i="22"/>
  <c r="K49" i="22"/>
  <c r="J49" i="22"/>
  <c r="I49" i="22"/>
  <c r="H49" i="22"/>
  <c r="G49" i="22"/>
  <c r="K40" i="22"/>
  <c r="J40" i="22"/>
  <c r="I40" i="22"/>
  <c r="H40" i="22"/>
  <c r="G40" i="22"/>
  <c r="G27" i="22"/>
  <c r="G15" i="22"/>
  <c r="G9" i="22"/>
  <c r="I59" i="3"/>
  <c r="J59" i="3"/>
  <c r="S49" i="22"/>
  <c r="T49" i="22"/>
  <c r="U49" i="22"/>
  <c r="V49" i="22"/>
  <c r="W49" i="22"/>
  <c r="X49" i="22"/>
  <c r="Y49" i="22"/>
  <c r="Z49" i="22"/>
  <c r="AA49" i="22"/>
  <c r="L49" i="22"/>
  <c r="S40" i="22"/>
  <c r="T40" i="22"/>
  <c r="U40" i="22"/>
  <c r="V40" i="22"/>
  <c r="W40" i="22"/>
  <c r="X40" i="22"/>
  <c r="Y40" i="22"/>
  <c r="Z40" i="22"/>
  <c r="AA40" i="22"/>
  <c r="L40" i="22"/>
  <c r="I66" i="3"/>
  <c r="I51" i="3"/>
  <c r="C2" i="22"/>
  <c r="N97" i="22"/>
  <c r="N195" i="22" s="1"/>
  <c r="N293" i="22" s="1"/>
  <c r="M97" i="22"/>
  <c r="C3" i="15"/>
  <c r="C2" i="17"/>
  <c r="C2" i="18"/>
  <c r="C2" i="16"/>
  <c r="C6" i="3"/>
  <c r="C14" i="15"/>
  <c r="G19" i="15"/>
  <c r="G29" i="15"/>
  <c r="H29" i="15"/>
  <c r="I29" i="15"/>
  <c r="J29" i="15"/>
  <c r="K29" i="15"/>
  <c r="L29" i="15"/>
  <c r="M29" i="15"/>
  <c r="N29" i="15"/>
  <c r="O29" i="15"/>
  <c r="P29" i="15"/>
  <c r="Q29" i="15"/>
  <c r="R29" i="15"/>
  <c r="S29" i="15"/>
  <c r="T29" i="15"/>
  <c r="U29" i="15"/>
  <c r="V29" i="15"/>
  <c r="W29" i="15"/>
  <c r="X29" i="15"/>
  <c r="Y29" i="15"/>
  <c r="Z29" i="15"/>
  <c r="AA29" i="15"/>
  <c r="AB29" i="15"/>
  <c r="AC29" i="15"/>
  <c r="AD29" i="15"/>
  <c r="AE29" i="15"/>
  <c r="AF29" i="15"/>
  <c r="AG29" i="15"/>
  <c r="AH29" i="15"/>
  <c r="AI29" i="15"/>
  <c r="AJ29" i="15"/>
  <c r="AK29" i="15"/>
  <c r="AL29" i="15"/>
  <c r="AM29" i="15"/>
  <c r="AN29" i="15"/>
  <c r="AO29" i="15"/>
  <c r="AP29" i="15"/>
  <c r="AQ29" i="15"/>
  <c r="AR29" i="15"/>
  <c r="AS29" i="15"/>
  <c r="AT29" i="15"/>
  <c r="AU29" i="15"/>
  <c r="AV29" i="15"/>
  <c r="AW29" i="15"/>
  <c r="AX29" i="15"/>
  <c r="AY29" i="15"/>
  <c r="AZ29" i="15"/>
  <c r="BA29" i="15"/>
  <c r="BB29" i="15"/>
  <c r="BC29" i="15"/>
  <c r="BD29" i="15"/>
  <c r="BE29" i="15"/>
  <c r="BF29" i="15"/>
  <c r="BG29" i="15"/>
  <c r="BH29" i="15"/>
  <c r="BI29" i="15"/>
  <c r="BJ29" i="15"/>
  <c r="BK29" i="15"/>
  <c r="BL29" i="15"/>
  <c r="BM29" i="15"/>
  <c r="BN29" i="15"/>
  <c r="BO29" i="15"/>
  <c r="BP29" i="15"/>
  <c r="BQ29" i="15"/>
  <c r="BR29" i="15"/>
  <c r="BS29" i="15"/>
  <c r="BT29" i="15"/>
  <c r="BU29" i="15"/>
  <c r="BV29" i="15"/>
  <c r="BW29" i="15"/>
  <c r="BX29" i="15"/>
  <c r="BY29" i="15"/>
  <c r="BZ29" i="15"/>
  <c r="CA29" i="15"/>
  <c r="CB29" i="15"/>
  <c r="CC29" i="15"/>
  <c r="CD29" i="15"/>
  <c r="CE29" i="15"/>
  <c r="CF29" i="15"/>
  <c r="CG29" i="15"/>
  <c r="CH29" i="15"/>
  <c r="CI29" i="15"/>
  <c r="H19" i="15"/>
  <c r="I19" i="15"/>
  <c r="J19" i="15"/>
  <c r="K19" i="15"/>
  <c r="L19" i="15"/>
  <c r="M19" i="15"/>
  <c r="N19" i="15"/>
  <c r="O19" i="15"/>
  <c r="P19" i="15"/>
  <c r="Q19" i="15"/>
  <c r="R19" i="15"/>
  <c r="S19" i="15"/>
  <c r="T19" i="15"/>
  <c r="U19" i="15"/>
  <c r="V19" i="15"/>
  <c r="W19" i="15"/>
  <c r="X19" i="15"/>
  <c r="Y19" i="15"/>
  <c r="Z19" i="15"/>
  <c r="AA19" i="15"/>
  <c r="AB19" i="15"/>
  <c r="AC19" i="15"/>
  <c r="AD19" i="15"/>
  <c r="AE19" i="15"/>
  <c r="AF19" i="15"/>
  <c r="AG19" i="15"/>
  <c r="AH19" i="15"/>
  <c r="AI19" i="15"/>
  <c r="AJ19" i="15"/>
  <c r="AK19" i="15"/>
  <c r="AL19" i="15"/>
  <c r="AM19" i="15"/>
  <c r="AN19" i="15"/>
  <c r="AO19" i="15"/>
  <c r="AP19" i="15"/>
  <c r="AQ19" i="15"/>
  <c r="AR19" i="15"/>
  <c r="AS19" i="15"/>
  <c r="AT19" i="15"/>
  <c r="AU19" i="15"/>
  <c r="AV19" i="15"/>
  <c r="AW19" i="15"/>
  <c r="AX19" i="15"/>
  <c r="AY19" i="15"/>
  <c r="AZ19" i="15"/>
  <c r="BA19" i="15"/>
  <c r="BB19" i="15"/>
  <c r="BC19" i="15"/>
  <c r="BD19" i="15"/>
  <c r="BE19" i="15"/>
  <c r="BF19" i="15"/>
  <c r="BG19" i="15"/>
  <c r="BH19" i="15"/>
  <c r="BI19" i="15"/>
  <c r="BJ19" i="15"/>
  <c r="BK19" i="15"/>
  <c r="BL19" i="15"/>
  <c r="BM19" i="15"/>
  <c r="BN19" i="15"/>
  <c r="BO19" i="15"/>
  <c r="BP19" i="15"/>
  <c r="BQ19" i="15"/>
  <c r="BR19" i="15"/>
  <c r="BS19" i="15"/>
  <c r="BT19" i="15"/>
  <c r="BU19" i="15"/>
  <c r="BV19" i="15"/>
  <c r="BW19" i="15"/>
  <c r="BX19" i="15"/>
  <c r="BY19" i="15"/>
  <c r="BZ19" i="15"/>
  <c r="CA19" i="15"/>
  <c r="CB19" i="15"/>
  <c r="CC19" i="15"/>
  <c r="CD19" i="15"/>
  <c r="CE19" i="15"/>
  <c r="CF19" i="15"/>
  <c r="CG19" i="15"/>
  <c r="CH19" i="15"/>
  <c r="CI19" i="15"/>
  <c r="J66" i="3"/>
  <c r="J51" i="3"/>
  <c r="J10" i="3"/>
  <c r="AL80" i="15"/>
  <c r="AL71" i="15"/>
  <c r="AM71" i="15"/>
  <c r="AM80" i="15"/>
  <c r="AN71" i="15"/>
  <c r="AN80" i="15"/>
  <c r="AO71" i="15"/>
  <c r="AO80" i="15"/>
  <c r="AP80" i="15"/>
  <c r="AP71" i="15"/>
  <c r="AQ80" i="15"/>
  <c r="AQ71" i="15"/>
  <c r="AR71" i="15"/>
  <c r="AR80" i="15"/>
  <c r="AS80" i="15"/>
  <c r="AS71" i="15"/>
  <c r="AT80" i="15"/>
  <c r="AT71" i="15"/>
  <c r="AU71" i="15"/>
  <c r="AU80" i="15"/>
  <c r="AV71" i="15"/>
  <c r="AV80" i="15"/>
  <c r="AW71" i="15"/>
  <c r="AW80" i="15"/>
  <c r="AX80" i="15"/>
  <c r="AX71" i="15"/>
  <c r="AY80" i="15"/>
  <c r="AY71" i="15"/>
  <c r="AZ71" i="15"/>
  <c r="AZ80" i="15"/>
  <c r="BA80" i="15"/>
  <c r="BA71" i="15"/>
  <c r="BB80" i="15"/>
  <c r="BB71" i="15"/>
  <c r="BC71" i="15"/>
  <c r="BC80" i="15"/>
  <c r="BD71" i="15"/>
  <c r="BD80" i="15"/>
  <c r="BE71" i="15"/>
  <c r="BE80" i="15"/>
  <c r="BF80" i="15"/>
  <c r="BF71" i="15"/>
  <c r="BG80" i="15"/>
  <c r="BG71" i="15"/>
  <c r="BH71" i="15"/>
  <c r="BH80" i="15"/>
  <c r="BI80" i="15"/>
  <c r="BI71" i="15"/>
  <c r="BJ71" i="15"/>
  <c r="BJ80" i="15"/>
  <c r="BK71" i="15"/>
  <c r="BK80" i="15"/>
  <c r="BL71" i="15"/>
  <c r="BL80" i="15"/>
  <c r="BM71" i="15"/>
  <c r="BM80" i="15"/>
  <c r="BN80" i="15"/>
  <c r="BN71" i="15"/>
  <c r="BO80" i="15"/>
  <c r="BO71" i="15"/>
  <c r="BP71" i="15"/>
  <c r="BP80" i="15"/>
  <c r="BQ80" i="15"/>
  <c r="BQ71" i="15"/>
  <c r="BR71" i="15"/>
  <c r="BR80" i="15"/>
  <c r="BS71" i="15"/>
  <c r="BS80" i="15"/>
  <c r="BT71" i="15"/>
  <c r="BT80" i="15"/>
  <c r="BU71" i="15"/>
  <c r="BU80" i="15"/>
  <c r="BV80" i="15"/>
  <c r="BV71" i="15"/>
  <c r="BW80" i="15"/>
  <c r="BW71" i="15"/>
  <c r="BX71" i="15"/>
  <c r="BX80" i="15"/>
  <c r="BY80" i="15"/>
  <c r="BY71" i="15"/>
  <c r="BZ71" i="15"/>
  <c r="BZ80" i="15"/>
  <c r="CA71" i="15"/>
  <c r="CA80" i="15"/>
  <c r="CB71" i="15"/>
  <c r="CB80" i="15"/>
  <c r="CC71" i="15"/>
  <c r="CC80" i="15"/>
  <c r="CD80" i="15"/>
  <c r="CD71" i="15"/>
  <c r="CE80" i="15"/>
  <c r="CE71" i="15"/>
  <c r="CF71" i="15"/>
  <c r="CF80" i="15"/>
  <c r="CG80" i="15"/>
  <c r="CG71" i="15"/>
  <c r="R125" i="27"/>
  <c r="T125" i="29"/>
  <c r="N314" i="30"/>
  <c r="N133" i="30"/>
  <c r="N133" i="29"/>
  <c r="N314" i="29"/>
  <c r="N133" i="27"/>
  <c r="AK324" i="30"/>
  <c r="AJ324" i="30"/>
  <c r="AI324" i="30"/>
  <c r="AH324" i="30"/>
  <c r="AG324" i="30"/>
  <c r="AF324" i="30"/>
  <c r="AE324" i="30"/>
  <c r="AD324" i="30"/>
  <c r="AC324" i="30"/>
  <c r="AB324" i="30"/>
  <c r="AA324" i="30"/>
  <c r="Z324" i="30"/>
  <c r="Y324" i="30"/>
  <c r="X324" i="30"/>
  <c r="W324" i="30"/>
  <c r="V324" i="30"/>
  <c r="U324" i="30"/>
  <c r="T324" i="30"/>
  <c r="S324" i="30"/>
  <c r="R324" i="30"/>
  <c r="Q324" i="30"/>
  <c r="P324" i="30"/>
  <c r="O324" i="30"/>
  <c r="N324" i="30"/>
  <c r="M324" i="30"/>
  <c r="L324" i="30"/>
  <c r="K324" i="30"/>
  <c r="J324" i="30"/>
  <c r="I324" i="30"/>
  <c r="H324" i="30"/>
  <c r="AK143" i="30"/>
  <c r="AJ143" i="30"/>
  <c r="AI143" i="30"/>
  <c r="AH143" i="30"/>
  <c r="AG143" i="30"/>
  <c r="AF143" i="30"/>
  <c r="AE143" i="30"/>
  <c r="AD143" i="30"/>
  <c r="AC143" i="30"/>
  <c r="AB143" i="30"/>
  <c r="AA143" i="30"/>
  <c r="Z143" i="30"/>
  <c r="Y143" i="30"/>
  <c r="X143" i="30"/>
  <c r="W143" i="30"/>
  <c r="V143" i="30"/>
  <c r="U143" i="30"/>
  <c r="T143" i="30"/>
  <c r="S143" i="30"/>
  <c r="R143" i="30"/>
  <c r="Q143" i="30"/>
  <c r="P143" i="30"/>
  <c r="O143" i="30"/>
  <c r="N143" i="30"/>
  <c r="M143" i="30"/>
  <c r="L143" i="30"/>
  <c r="K143" i="30"/>
  <c r="J143" i="30"/>
  <c r="I143" i="30"/>
  <c r="H143" i="30"/>
  <c r="AK143" i="29"/>
  <c r="AJ143" i="29"/>
  <c r="AI143" i="29"/>
  <c r="AH143" i="29"/>
  <c r="AG143" i="29"/>
  <c r="AF143" i="29"/>
  <c r="AE143" i="29"/>
  <c r="AD143" i="29"/>
  <c r="AC143" i="29"/>
  <c r="AB143" i="29"/>
  <c r="AA143" i="29"/>
  <c r="Z143" i="29"/>
  <c r="Y143" i="29"/>
  <c r="X143" i="29"/>
  <c r="W143" i="29"/>
  <c r="V143" i="29"/>
  <c r="U143" i="29"/>
  <c r="T143" i="29"/>
  <c r="S143" i="29"/>
  <c r="R143" i="29"/>
  <c r="Q143" i="29"/>
  <c r="P143" i="29"/>
  <c r="O143" i="29"/>
  <c r="N143" i="29"/>
  <c r="M143" i="29"/>
  <c r="L143" i="29"/>
  <c r="K143" i="29"/>
  <c r="J143" i="29"/>
  <c r="I143" i="29"/>
  <c r="H143" i="29"/>
  <c r="AK324" i="29"/>
  <c r="AJ324" i="29"/>
  <c r="AI324" i="29"/>
  <c r="AH324" i="29"/>
  <c r="AG324" i="29"/>
  <c r="AF324" i="29"/>
  <c r="AE324" i="29"/>
  <c r="AD324" i="29"/>
  <c r="AC324" i="29"/>
  <c r="AB324" i="29"/>
  <c r="AA324" i="29"/>
  <c r="Z324" i="29"/>
  <c r="Y324" i="29"/>
  <c r="X324" i="29"/>
  <c r="W324" i="29"/>
  <c r="V324" i="29"/>
  <c r="U324" i="29"/>
  <c r="T324" i="29"/>
  <c r="S324" i="29"/>
  <c r="R324" i="29"/>
  <c r="Q324" i="29"/>
  <c r="P324" i="29"/>
  <c r="O324" i="29"/>
  <c r="N324" i="29"/>
  <c r="M324" i="29"/>
  <c r="L324" i="29"/>
  <c r="K324" i="29"/>
  <c r="J324" i="29"/>
  <c r="I324" i="29"/>
  <c r="H324" i="29"/>
  <c r="AK143" i="27"/>
  <c r="AJ143" i="27"/>
  <c r="AI143" i="27"/>
  <c r="AH143" i="27"/>
  <c r="AG143" i="27"/>
  <c r="AF143" i="27"/>
  <c r="AE143" i="27"/>
  <c r="AD143" i="27"/>
  <c r="AC143" i="27"/>
  <c r="AB143" i="27"/>
  <c r="AA143" i="27"/>
  <c r="Z143" i="27"/>
  <c r="Y143" i="27"/>
  <c r="X143" i="27"/>
  <c r="W143" i="27"/>
  <c r="V143" i="27"/>
  <c r="U143" i="27"/>
  <c r="T143" i="27"/>
  <c r="S143" i="27"/>
  <c r="R143" i="27"/>
  <c r="Q143" i="27"/>
  <c r="P143" i="27"/>
  <c r="O143" i="27"/>
  <c r="N143" i="27"/>
  <c r="M143" i="27"/>
  <c r="L143" i="27"/>
  <c r="K143" i="27"/>
  <c r="J143" i="27"/>
  <c r="I143" i="27"/>
  <c r="H143" i="27"/>
  <c r="AK143" i="28"/>
  <c r="AJ143" i="28"/>
  <c r="AI143" i="28"/>
  <c r="AH143" i="28"/>
  <c r="AG143" i="28"/>
  <c r="AF143" i="28"/>
  <c r="AE143" i="28"/>
  <c r="AD143" i="28"/>
  <c r="AC143" i="28"/>
  <c r="AB143" i="28"/>
  <c r="AA143" i="28"/>
  <c r="Z143" i="28"/>
  <c r="Y143" i="28"/>
  <c r="X143" i="28"/>
  <c r="W143" i="28"/>
  <c r="V143" i="28"/>
  <c r="U143" i="28"/>
  <c r="T143" i="28"/>
  <c r="S143" i="28"/>
  <c r="R143" i="28"/>
  <c r="Q143" i="28"/>
  <c r="P143" i="28"/>
  <c r="O143" i="28"/>
  <c r="M143" i="28"/>
  <c r="L143" i="28"/>
  <c r="K143" i="28"/>
  <c r="J143" i="28"/>
  <c r="I143" i="28"/>
  <c r="H143" i="28"/>
  <c r="H324" i="28"/>
  <c r="I324" i="28"/>
  <c r="J324" i="28"/>
  <c r="K324" i="28"/>
  <c r="L324" i="28"/>
  <c r="M324" i="28"/>
  <c r="N324" i="28"/>
  <c r="O324" i="28"/>
  <c r="P324" i="28"/>
  <c r="Q324" i="28"/>
  <c r="R324" i="28"/>
  <c r="S324" i="28"/>
  <c r="T324" i="28"/>
  <c r="U324" i="28"/>
  <c r="V324" i="28"/>
  <c r="W324" i="28"/>
  <c r="X324" i="28"/>
  <c r="Y324" i="28"/>
  <c r="Z324" i="28"/>
  <c r="AA324" i="28"/>
  <c r="AB324" i="28"/>
  <c r="AC324" i="28"/>
  <c r="AD324" i="28"/>
  <c r="AE324" i="28"/>
  <c r="AF324" i="28"/>
  <c r="AG324" i="28"/>
  <c r="AH324" i="28"/>
  <c r="AI324" i="28"/>
  <c r="AJ324" i="28"/>
  <c r="AK324" i="28"/>
  <c r="AI318" i="27"/>
  <c r="AE318" i="27"/>
  <c r="AA318" i="27"/>
  <c r="W318" i="27"/>
  <c r="S318" i="27"/>
  <c r="O318" i="27"/>
  <c r="K318" i="27"/>
  <c r="AI314" i="27"/>
  <c r="AE314" i="27"/>
  <c r="AA314" i="27"/>
  <c r="W314" i="27"/>
  <c r="K314" i="27"/>
  <c r="N318" i="27"/>
  <c r="AH318" i="27"/>
  <c r="AD318" i="27"/>
  <c r="Z318" i="27"/>
  <c r="V318" i="27"/>
  <c r="R318" i="27"/>
  <c r="AG318" i="27"/>
  <c r="Y318" i="27"/>
  <c r="Q318" i="27"/>
  <c r="J318" i="27"/>
  <c r="AJ314" i="27"/>
  <c r="AD314" i="27"/>
  <c r="Y314" i="27"/>
  <c r="I314" i="27"/>
  <c r="AC318" i="27"/>
  <c r="AB314" i="27"/>
  <c r="AF318" i="27"/>
  <c r="X318" i="27"/>
  <c r="P318" i="27"/>
  <c r="I318" i="27"/>
  <c r="AG331" i="27"/>
  <c r="Y331" i="27"/>
  <c r="Q331" i="27"/>
  <c r="I331" i="27"/>
  <c r="AF330" i="27"/>
  <c r="X330" i="27"/>
  <c r="P330" i="27"/>
  <c r="H330" i="27"/>
  <c r="AE329" i="27"/>
  <c r="W329" i="27"/>
  <c r="O329" i="27"/>
  <c r="AH328" i="27"/>
  <c r="Z328" i="27"/>
  <c r="R328" i="27"/>
  <c r="J328" i="27"/>
  <c r="AG327" i="27"/>
  <c r="Y327" i="27"/>
  <c r="Q327" i="27"/>
  <c r="I327" i="27"/>
  <c r="AE325" i="27"/>
  <c r="W325" i="27"/>
  <c r="O325" i="27"/>
  <c r="AJ331" i="27"/>
  <c r="AB331" i="27"/>
  <c r="T331" i="27"/>
  <c r="L331" i="27"/>
  <c r="AI330" i="27"/>
  <c r="AA330" i="27"/>
  <c r="S330" i="27"/>
  <c r="K330" i="27"/>
  <c r="AD329" i="27"/>
  <c r="V329" i="27"/>
  <c r="N329" i="27"/>
  <c r="AK328" i="27"/>
  <c r="AC328" i="27"/>
  <c r="U328" i="27"/>
  <c r="M328" i="27"/>
  <c r="AJ327" i="27"/>
  <c r="AB327" i="27"/>
  <c r="T327" i="27"/>
  <c r="L327" i="27"/>
  <c r="AH325" i="27"/>
  <c r="Z325" i="27"/>
  <c r="R325" i="27"/>
  <c r="J325" i="27"/>
  <c r="AE331" i="27"/>
  <c r="S331" i="27"/>
  <c r="AH330" i="27"/>
  <c r="R330" i="27"/>
  <c r="AG329" i="27"/>
  <c r="Q329" i="27"/>
  <c r="AF328" i="27"/>
  <c r="P328" i="27"/>
  <c r="AE327" i="27"/>
  <c r="O327" i="27"/>
  <c r="AC325" i="27"/>
  <c r="AA331" i="27"/>
  <c r="O331" i="27"/>
  <c r="Z330" i="27"/>
  <c r="J330" i="27"/>
  <c r="Y329" i="27"/>
  <c r="I329" i="27"/>
  <c r="X328" i="27"/>
  <c r="H328" i="27"/>
  <c r="W327" i="27"/>
  <c r="AK325" i="27"/>
  <c r="U325" i="27"/>
  <c r="AH314" i="27"/>
  <c r="AC314" i="27"/>
  <c r="X314" i="27"/>
  <c r="H314" i="27"/>
  <c r="AK318" i="27"/>
  <c r="H318" i="27"/>
  <c r="U318" i="27"/>
  <c r="L314" i="27"/>
  <c r="AJ318" i="27"/>
  <c r="AB318" i="27"/>
  <c r="T318" i="27"/>
  <c r="L318" i="27"/>
  <c r="AK314" i="27"/>
  <c r="AF314" i="27"/>
  <c r="Z314" i="27"/>
  <c r="J314" i="27"/>
  <c r="M318" i="27"/>
  <c r="AG314" i="27"/>
  <c r="AK331" i="27"/>
  <c r="AC331" i="27"/>
  <c r="U331" i="27"/>
  <c r="M331" i="27"/>
  <c r="AJ330" i="27"/>
  <c r="AB330" i="27"/>
  <c r="T330" i="27"/>
  <c r="L330" i="27"/>
  <c r="AI329" i="27"/>
  <c r="AA329" i="27"/>
  <c r="S329" i="27"/>
  <c r="K329" i="27"/>
  <c r="AD328" i="27"/>
  <c r="V328" i="27"/>
  <c r="N328" i="27"/>
  <c r="AK327" i="27"/>
  <c r="AC327" i="27"/>
  <c r="U327" i="27"/>
  <c r="M327" i="27"/>
  <c r="AI325" i="27"/>
  <c r="AA325" i="27"/>
  <c r="S325" i="27"/>
  <c r="K325" i="27"/>
  <c r="AF331" i="27"/>
  <c r="X331" i="27"/>
  <c r="P331" i="27"/>
  <c r="H331" i="27"/>
  <c r="AE330" i="27"/>
  <c r="W330" i="27"/>
  <c r="O330" i="27"/>
  <c r="AH329" i="27"/>
  <c r="Z329" i="27"/>
  <c r="R329" i="27"/>
  <c r="J329" i="27"/>
  <c r="AG328" i="27"/>
  <c r="Y328" i="27"/>
  <c r="Q328" i="27"/>
  <c r="I328" i="27"/>
  <c r="AF327" i="27"/>
  <c r="X327" i="27"/>
  <c r="P327" i="27"/>
  <c r="H327" i="27"/>
  <c r="AD325" i="27"/>
  <c r="V325" i="27"/>
  <c r="N325" i="27"/>
  <c r="AI331" i="27"/>
  <c r="W331" i="27"/>
  <c r="M325" i="27"/>
  <c r="AH331" i="27"/>
  <c r="Z331" i="27"/>
  <c r="R331" i="27"/>
  <c r="J331" i="27"/>
  <c r="AG330" i="27"/>
  <c r="Y330" i="27"/>
  <c r="Q330" i="27"/>
  <c r="I330" i="27"/>
  <c r="AF329" i="27"/>
  <c r="X329" i="27"/>
  <c r="P329" i="27"/>
  <c r="H329" i="27"/>
  <c r="AE328" i="27"/>
  <c r="W328" i="27"/>
  <c r="O328" i="27"/>
  <c r="AH327" i="27"/>
  <c r="Z327" i="27"/>
  <c r="R327" i="27"/>
  <c r="J327" i="27"/>
  <c r="AF325" i="27"/>
  <c r="X325" i="27"/>
  <c r="P325" i="27"/>
  <c r="H325" i="27"/>
  <c r="H326" i="27"/>
  <c r="I326" i="27"/>
  <c r="L326" i="27"/>
  <c r="R326" i="27"/>
  <c r="V326" i="27"/>
  <c r="AB326" i="27"/>
  <c r="AH326" i="27"/>
  <c r="AE324" i="27"/>
  <c r="AD324" i="27"/>
  <c r="Q326" i="27"/>
  <c r="X326" i="27"/>
  <c r="M326" i="27"/>
  <c r="S326" i="27"/>
  <c r="W326" i="27"/>
  <c r="AC326" i="27"/>
  <c r="AI326" i="27"/>
  <c r="W324" i="27"/>
  <c r="V324" i="27"/>
  <c r="K331" i="27"/>
  <c r="AD330" i="27"/>
  <c r="V330" i="27"/>
  <c r="N330" i="27"/>
  <c r="AK329" i="27"/>
  <c r="AC329" i="27"/>
  <c r="U329" i="27"/>
  <c r="M329" i="27"/>
  <c r="AJ328" i="27"/>
  <c r="AB328" i="27"/>
  <c r="T328" i="27"/>
  <c r="L328" i="27"/>
  <c r="AI327" i="27"/>
  <c r="AA327" i="27"/>
  <c r="S327" i="27"/>
  <c r="K327" i="27"/>
  <c r="AG325" i="27"/>
  <c r="Y325" i="27"/>
  <c r="Q325" i="27"/>
  <c r="I325" i="27"/>
  <c r="AD331" i="27"/>
  <c r="V331" i="27"/>
  <c r="N331" i="27"/>
  <c r="AK330" i="27"/>
  <c r="AC330" i="27"/>
  <c r="U330" i="27"/>
  <c r="M330" i="27"/>
  <c r="AJ329" i="27"/>
  <c r="AB329" i="27"/>
  <c r="T329" i="27"/>
  <c r="L329" i="27"/>
  <c r="AI328" i="27"/>
  <c r="AA328" i="27"/>
  <c r="S328" i="27"/>
  <c r="K328" i="27"/>
  <c r="AD327" i="27"/>
  <c r="V327" i="27"/>
  <c r="N327" i="27"/>
  <c r="AJ325" i="27"/>
  <c r="AB325" i="27"/>
  <c r="T325" i="27"/>
  <c r="L325" i="27"/>
  <c r="Y326" i="27"/>
  <c r="AG326" i="27"/>
  <c r="J326" i="27"/>
  <c r="N326" i="27"/>
  <c r="T326" i="27"/>
  <c r="Z326" i="27"/>
  <c r="AD326" i="27"/>
  <c r="AJ326" i="27"/>
  <c r="O324" i="27"/>
  <c r="N324" i="27"/>
  <c r="P326" i="27"/>
  <c r="AF326" i="27"/>
  <c r="K326" i="27"/>
  <c r="O326" i="27"/>
  <c r="U326" i="27"/>
  <c r="AA326" i="27"/>
  <c r="AE326" i="27"/>
  <c r="AK326" i="27"/>
  <c r="X324" i="27"/>
  <c r="AI324" i="27"/>
  <c r="AA324" i="27"/>
  <c r="S324" i="27"/>
  <c r="K324" i="27"/>
  <c r="AH324" i="27"/>
  <c r="Z324" i="27"/>
  <c r="R324" i="27"/>
  <c r="J324" i="27"/>
  <c r="AK324" i="27"/>
  <c r="AC324" i="27"/>
  <c r="U324" i="27"/>
  <c r="M324" i="27"/>
  <c r="L324" i="27"/>
  <c r="AF324" i="27"/>
  <c r="P324" i="27"/>
  <c r="T324" i="27"/>
  <c r="AG324" i="27"/>
  <c r="Y324" i="27"/>
  <c r="Q324" i="27"/>
  <c r="I324" i="27"/>
  <c r="AJ324" i="27"/>
  <c r="AB324" i="27"/>
  <c r="H324" i="27"/>
  <c r="M317" i="27"/>
  <c r="U317" i="27"/>
  <c r="AD317" i="27"/>
  <c r="P317" i="27"/>
  <c r="X317" i="27"/>
  <c r="X321" i="27" s="1"/>
  <c r="AF317" i="27"/>
  <c r="H317" i="27"/>
  <c r="I317" i="27"/>
  <c r="Q317" i="27"/>
  <c r="Y317" i="27"/>
  <c r="AG317" i="27"/>
  <c r="J317" i="27"/>
  <c r="AH317" i="27"/>
  <c r="S317" i="27"/>
  <c r="AB317" i="27"/>
  <c r="AJ317" i="27"/>
  <c r="M316" i="27"/>
  <c r="U316" i="27"/>
  <c r="AC316" i="27"/>
  <c r="AC317" i="27"/>
  <c r="AK316" i="27"/>
  <c r="AK317" i="27"/>
  <c r="N316" i="27"/>
  <c r="N317" i="27"/>
  <c r="V316" i="27"/>
  <c r="V317" i="27"/>
  <c r="AD316" i="27"/>
  <c r="L316" i="27"/>
  <c r="L317" i="27"/>
  <c r="O316" i="27"/>
  <c r="O317" i="27"/>
  <c r="W316" i="27"/>
  <c r="W317" i="27"/>
  <c r="AE316" i="27"/>
  <c r="AE317" i="27"/>
  <c r="P316" i="27"/>
  <c r="X316" i="27"/>
  <c r="AF316" i="27"/>
  <c r="H316" i="27"/>
  <c r="I316" i="27"/>
  <c r="Q316" i="27"/>
  <c r="Y316" i="27"/>
  <c r="AG316" i="27"/>
  <c r="J316" i="27"/>
  <c r="R316" i="27"/>
  <c r="R317" i="27"/>
  <c r="Z316" i="27"/>
  <c r="Z317" i="27"/>
  <c r="AH316" i="27"/>
  <c r="K316" i="27"/>
  <c r="K317" i="27"/>
  <c r="S316" i="27"/>
  <c r="AA316" i="27"/>
  <c r="AA317" i="27"/>
  <c r="AI316" i="27"/>
  <c r="AI317" i="27"/>
  <c r="T316" i="27"/>
  <c r="T317" i="27"/>
  <c r="AB316" i="27"/>
  <c r="AJ316" i="27"/>
  <c r="V314" i="27"/>
  <c r="Q314" i="27"/>
  <c r="O314" i="27"/>
  <c r="U314" i="27"/>
  <c r="T314" i="27"/>
  <c r="M314" i="27"/>
  <c r="P314" i="27"/>
  <c r="S314" i="27"/>
  <c r="N314" i="27"/>
  <c r="R314" i="27"/>
  <c r="U321" i="27" l="1"/>
  <c r="S395" i="27"/>
  <c r="AK41" i="30"/>
  <c r="Q41" i="28"/>
  <c r="G32" i="28"/>
  <c r="I212" i="28"/>
  <c r="I309" i="28" s="1"/>
  <c r="I222" i="28"/>
  <c r="U264" i="27"/>
  <c r="X41" i="30"/>
  <c r="X42" i="30" s="1"/>
  <c r="T263" i="27"/>
  <c r="P222" i="29"/>
  <c r="P223" i="29" s="1"/>
  <c r="P391" i="29" s="1"/>
  <c r="AI41" i="30"/>
  <c r="AI42" i="30" s="1"/>
  <c r="AI373" i="30" s="1"/>
  <c r="L222" i="29"/>
  <c r="L223" i="29" s="1"/>
  <c r="L270" i="29" s="1"/>
  <c r="L272" i="29" s="1"/>
  <c r="V222" i="29"/>
  <c r="V223" i="29" s="1"/>
  <c r="V391" i="29" s="1"/>
  <c r="AA257" i="27"/>
  <c r="AA243" i="27" s="1"/>
  <c r="Z263" i="27"/>
  <c r="P264" i="27"/>
  <c r="I222" i="29"/>
  <c r="I223" i="29" s="1"/>
  <c r="I391" i="29" s="1"/>
  <c r="AH264" i="27"/>
  <c r="V265" i="27"/>
  <c r="W347" i="29"/>
  <c r="O355" i="29"/>
  <c r="K174" i="27"/>
  <c r="J353" i="29"/>
  <c r="L174" i="27"/>
  <c r="AA353" i="29"/>
  <c r="K353" i="29"/>
  <c r="AK355" i="29"/>
  <c r="AF347" i="29"/>
  <c r="AJ353" i="29"/>
  <c r="Q353" i="29"/>
  <c r="M131" i="29"/>
  <c r="M132" i="29" s="1"/>
  <c r="N76" i="22"/>
  <c r="M76" i="22"/>
  <c r="R76" i="22"/>
  <c r="AI264" i="29"/>
  <c r="Q75" i="22"/>
  <c r="Q76" i="22"/>
  <c r="O75" i="22"/>
  <c r="R75" i="22"/>
  <c r="O76" i="22"/>
  <c r="AA169" i="22"/>
  <c r="W169" i="22"/>
  <c r="S169" i="22"/>
  <c r="I169" i="22"/>
  <c r="Y267" i="22"/>
  <c r="U267" i="22"/>
  <c r="K267" i="22"/>
  <c r="M75" i="22"/>
  <c r="N75" i="22"/>
  <c r="P76" i="22"/>
  <c r="Z169" i="22"/>
  <c r="V169" i="22"/>
  <c r="L169" i="22"/>
  <c r="H169" i="22"/>
  <c r="X267" i="22"/>
  <c r="T267" i="22"/>
  <c r="J267" i="22"/>
  <c r="Y169" i="22"/>
  <c r="U169" i="22"/>
  <c r="K169" i="22"/>
  <c r="AA267" i="22"/>
  <c r="W267" i="22"/>
  <c r="S267" i="22"/>
  <c r="I267" i="22"/>
  <c r="P75" i="22"/>
  <c r="X169" i="22"/>
  <c r="T169" i="22"/>
  <c r="J169" i="22"/>
  <c r="Z267" i="22"/>
  <c r="V267" i="22"/>
  <c r="L267" i="22"/>
  <c r="H267" i="22"/>
  <c r="L131" i="29"/>
  <c r="L132" i="29" s="1"/>
  <c r="L382" i="29" s="1"/>
  <c r="AK41" i="29"/>
  <c r="AK42" i="29" s="1"/>
  <c r="AK373" i="29" s="1"/>
  <c r="J41" i="29"/>
  <c r="J42" i="29" s="1"/>
  <c r="J373" i="29" s="1"/>
  <c r="J355" i="30"/>
  <c r="AK270" i="30"/>
  <c r="AK272" i="30" s="1"/>
  <c r="P41" i="30"/>
  <c r="P42" i="30" s="1"/>
  <c r="P89" i="30" s="1"/>
  <c r="P91" i="30" s="1"/>
  <c r="AG222" i="30"/>
  <c r="AG223" i="30" s="1"/>
  <c r="AG391" i="30" s="1"/>
  <c r="U41" i="30"/>
  <c r="U42" i="30" s="1"/>
  <c r="U89" i="30" s="1"/>
  <c r="U91" i="30" s="1"/>
  <c r="X222" i="30"/>
  <c r="X223" i="30" s="1"/>
  <c r="X391" i="30" s="1"/>
  <c r="M195" i="22"/>
  <c r="M293" i="22" s="1"/>
  <c r="R96" i="22"/>
  <c r="AJ354" i="29"/>
  <c r="AC347" i="29"/>
  <c r="W355" i="29"/>
  <c r="P347" i="29"/>
  <c r="J166" i="27"/>
  <c r="AE41" i="29"/>
  <c r="AE42" i="29" s="1"/>
  <c r="AE373" i="29" s="1"/>
  <c r="W222" i="29"/>
  <c r="W223" i="29" s="1"/>
  <c r="W391" i="29" s="1"/>
  <c r="AJ355" i="29"/>
  <c r="AG354" i="29"/>
  <c r="Z353" i="29"/>
  <c r="X347" i="29"/>
  <c r="W353" i="29"/>
  <c r="P353" i="29"/>
  <c r="AG347" i="29"/>
  <c r="Z347" i="29"/>
  <c r="X355" i="29"/>
  <c r="P355" i="29"/>
  <c r="O347" i="29"/>
  <c r="N354" i="29"/>
  <c r="AD41" i="28"/>
  <c r="AD42" i="28" s="1"/>
  <c r="AD373" i="28" s="1"/>
  <c r="I41" i="30"/>
  <c r="I42" i="30" s="1"/>
  <c r="I373" i="30" s="1"/>
  <c r="Z355" i="29"/>
  <c r="S353" i="29"/>
  <c r="Q347" i="29"/>
  <c r="O353" i="29"/>
  <c r="M166" i="27"/>
  <c r="M354" i="29"/>
  <c r="K355" i="29"/>
  <c r="J354" i="29"/>
  <c r="AK353" i="29"/>
  <c r="AA354" i="29"/>
  <c r="V347" i="29"/>
  <c r="Q355" i="29"/>
  <c r="K172" i="27"/>
  <c r="K354" i="29"/>
  <c r="J347" i="29"/>
  <c r="K41" i="29"/>
  <c r="K42" i="29" s="1"/>
  <c r="K373" i="29" s="1"/>
  <c r="AD41" i="29"/>
  <c r="AD42" i="29" s="1"/>
  <c r="AD89" i="29" s="1"/>
  <c r="AD91" i="29" s="1"/>
  <c r="AK354" i="29"/>
  <c r="AI353" i="29"/>
  <c r="AA347" i="29"/>
  <c r="K173" i="27"/>
  <c r="AF263" i="27"/>
  <c r="Z265" i="27"/>
  <c r="V264" i="27"/>
  <c r="O263" i="27"/>
  <c r="N264" i="27"/>
  <c r="AA263" i="27"/>
  <c r="AI263" i="27"/>
  <c r="P263" i="27"/>
  <c r="L265" i="27"/>
  <c r="AD263" i="27"/>
  <c r="U263" i="27"/>
  <c r="R264" i="27"/>
  <c r="I140" i="30"/>
  <c r="Z140" i="30"/>
  <c r="Z347" i="28"/>
  <c r="Y347" i="28"/>
  <c r="O354" i="28"/>
  <c r="J347" i="28"/>
  <c r="J354" i="28"/>
  <c r="AG353" i="28"/>
  <c r="AK263" i="27"/>
  <c r="AC263" i="27"/>
  <c r="AA264" i="27"/>
  <c r="W257" i="27"/>
  <c r="W243" i="27" s="1"/>
  <c r="M257" i="27"/>
  <c r="M243" i="27" s="1"/>
  <c r="T396" i="29"/>
  <c r="AJ322" i="29"/>
  <c r="AK265" i="27"/>
  <c r="AG257" i="27"/>
  <c r="AG243" i="27" s="1"/>
  <c r="AE257" i="27"/>
  <c r="AE243" i="27" s="1"/>
  <c r="Y264" i="27"/>
  <c r="W265" i="27"/>
  <c r="S263" i="27"/>
  <c r="M265" i="27"/>
  <c r="K265" i="27"/>
  <c r="AJ264" i="27"/>
  <c r="AE264" i="27"/>
  <c r="AB257" i="27"/>
  <c r="AB243" i="27" s="1"/>
  <c r="W264" i="27"/>
  <c r="K263" i="27"/>
  <c r="AJ265" i="27"/>
  <c r="AE263" i="27"/>
  <c r="AB263" i="27"/>
  <c r="X264" i="27"/>
  <c r="Q263" i="27"/>
  <c r="K264" i="27"/>
  <c r="X265" i="27"/>
  <c r="Q265" i="27"/>
  <c r="O257" i="27"/>
  <c r="O243" i="27" s="1"/>
  <c r="L264" i="27"/>
  <c r="J263" i="27"/>
  <c r="AD265" i="27"/>
  <c r="Z264" i="27"/>
  <c r="U257" i="27"/>
  <c r="U243" i="27" s="1"/>
  <c r="P257" i="27"/>
  <c r="P243" i="27" s="1"/>
  <c r="O264" i="27"/>
  <c r="L257" i="27"/>
  <c r="L243" i="27" s="1"/>
  <c r="J265" i="27"/>
  <c r="J353" i="27"/>
  <c r="J82" i="28"/>
  <c r="AC355" i="28"/>
  <c r="J353" i="28"/>
  <c r="J265" i="30"/>
  <c r="J355" i="27"/>
  <c r="J347" i="27"/>
  <c r="J355" i="28"/>
  <c r="G62" i="29"/>
  <c r="O222" i="29"/>
  <c r="O223" i="29" s="1"/>
  <c r="O391" i="29" s="1"/>
  <c r="I270" i="27"/>
  <c r="I272" i="27" s="1"/>
  <c r="U355" i="28"/>
  <c r="R347" i="28"/>
  <c r="J354" i="27"/>
  <c r="AA41" i="30"/>
  <c r="AA42" i="30" s="1"/>
  <c r="AA166" i="29"/>
  <c r="O174" i="29"/>
  <c r="J172" i="29"/>
  <c r="J174" i="29"/>
  <c r="P172" i="29"/>
  <c r="AB131" i="30"/>
  <c r="AB132" i="30" s="1"/>
  <c r="AB382" i="30" s="1"/>
  <c r="J62" i="30"/>
  <c r="AH395" i="30"/>
  <c r="H312" i="30"/>
  <c r="H313" i="30" s="1"/>
  <c r="AK264" i="27"/>
  <c r="AI265" i="27"/>
  <c r="AG263" i="27"/>
  <c r="AF265" i="27"/>
  <c r="AE265" i="27"/>
  <c r="AC257" i="27"/>
  <c r="AC243" i="27" s="1"/>
  <c r="AB265" i="27"/>
  <c r="X257" i="27"/>
  <c r="X243" i="27" s="1"/>
  <c r="W263" i="27"/>
  <c r="V263" i="27"/>
  <c r="U265" i="27"/>
  <c r="S265" i="27"/>
  <c r="P265" i="27"/>
  <c r="O265" i="27"/>
  <c r="M263" i="27"/>
  <c r="L263" i="27"/>
  <c r="K257" i="27"/>
  <c r="K243" i="27" s="1"/>
  <c r="Z222" i="29"/>
  <c r="Z223" i="29" s="1"/>
  <c r="Z391" i="29" s="1"/>
  <c r="M69" i="15"/>
  <c r="U69" i="15"/>
  <c r="AJ257" i="27"/>
  <c r="AJ243" i="27" s="1"/>
  <c r="AI257" i="27"/>
  <c r="AI243" i="27" s="1"/>
  <c r="AH263" i="27"/>
  <c r="AG264" i="27"/>
  <c r="AF257" i="27"/>
  <c r="AF243" i="27" s="1"/>
  <c r="AC265" i="27"/>
  <c r="Y257" i="27"/>
  <c r="Y243" i="27" s="1"/>
  <c r="X263" i="27"/>
  <c r="T264" i="27"/>
  <c r="S257" i="27"/>
  <c r="S243" i="27" s="1"/>
  <c r="R263" i="27"/>
  <c r="Q257" i="27"/>
  <c r="Q243" i="27" s="1"/>
  <c r="N257" i="27"/>
  <c r="N243" i="27" s="1"/>
  <c r="M264" i="27"/>
  <c r="AA222" i="30"/>
  <c r="AA223" i="30" s="1"/>
  <c r="AA270" i="30" s="1"/>
  <c r="AA272" i="30" s="1"/>
  <c r="AB41" i="30"/>
  <c r="AB42" i="30" s="1"/>
  <c r="AB373" i="30" s="1"/>
  <c r="AJ263" i="27"/>
  <c r="AI264" i="27"/>
  <c r="AH257" i="27"/>
  <c r="AH243" i="27" s="1"/>
  <c r="AG265" i="27"/>
  <c r="AF264" i="27"/>
  <c r="AD257" i="27"/>
  <c r="AD243" i="27" s="1"/>
  <c r="AC264" i="27"/>
  <c r="Y265" i="27"/>
  <c r="T257" i="27"/>
  <c r="T243" i="27" s="1"/>
  <c r="S264" i="27"/>
  <c r="R257" i="27"/>
  <c r="R243" i="27" s="1"/>
  <c r="Q264" i="27"/>
  <c r="N265" i="27"/>
  <c r="J264" i="27"/>
  <c r="H41" i="30"/>
  <c r="H42" i="30" s="1"/>
  <c r="AI41" i="29"/>
  <c r="AI42" i="29" s="1"/>
  <c r="AI373" i="29" s="1"/>
  <c r="H141" i="29"/>
  <c r="AH265" i="27"/>
  <c r="AD264" i="27"/>
  <c r="AB264" i="27"/>
  <c r="AA265" i="27"/>
  <c r="Z257" i="27"/>
  <c r="Z243" i="27" s="1"/>
  <c r="Y263" i="27"/>
  <c r="V257" i="27"/>
  <c r="V243" i="27" s="1"/>
  <c r="T265" i="27"/>
  <c r="R265" i="27"/>
  <c r="N263" i="27"/>
  <c r="J257" i="27"/>
  <c r="J243" i="27" s="1"/>
  <c r="T222" i="30"/>
  <c r="T223" i="30" s="1"/>
  <c r="T270" i="30" s="1"/>
  <c r="T272" i="30" s="1"/>
  <c r="AG222" i="29"/>
  <c r="AG223" i="29" s="1"/>
  <c r="AG270" i="29" s="1"/>
  <c r="AG272" i="29" s="1"/>
  <c r="H222" i="30"/>
  <c r="H223" i="30" s="1"/>
  <c r="H391" i="30" s="1"/>
  <c r="W41" i="29"/>
  <c r="W42" i="29" s="1"/>
  <c r="W373" i="29" s="1"/>
  <c r="G141" i="29"/>
  <c r="G77" i="22"/>
  <c r="AA395" i="29"/>
  <c r="Z212" i="27"/>
  <c r="Z309" i="27" s="1"/>
  <c r="Z312" i="27" s="1"/>
  <c r="Z313" i="27" s="1"/>
  <c r="Z400" i="27" s="1"/>
  <c r="O222" i="28"/>
  <c r="O223" i="28" s="1"/>
  <c r="O270" i="28" s="1"/>
  <c r="O272" i="28" s="1"/>
  <c r="J140" i="28"/>
  <c r="R377" i="28"/>
  <c r="Z377" i="28"/>
  <c r="K141" i="28"/>
  <c r="S378" i="28"/>
  <c r="AA378" i="28"/>
  <c r="AI141" i="28"/>
  <c r="L41" i="29"/>
  <c r="L42" i="29" s="1"/>
  <c r="L373" i="29" s="1"/>
  <c r="L222" i="28"/>
  <c r="L223" i="28" s="1"/>
  <c r="L391" i="28" s="1"/>
  <c r="G378" i="29"/>
  <c r="Y31" i="28"/>
  <c r="Y128" i="28" s="1"/>
  <c r="Y131" i="28" s="1"/>
  <c r="Y132" i="28" s="1"/>
  <c r="Y382" i="28" s="1"/>
  <c r="G395" i="27"/>
  <c r="H243" i="27"/>
  <c r="AK31" i="27"/>
  <c r="AK128" i="27" s="1"/>
  <c r="AK131" i="27" s="1"/>
  <c r="AK132" i="27" s="1"/>
  <c r="AK382" i="27" s="1"/>
  <c r="AJ212" i="28"/>
  <c r="AJ309" i="28" s="1"/>
  <c r="AJ312" i="28" s="1"/>
  <c r="AJ313" i="28" s="1"/>
  <c r="AJ400" i="28" s="1"/>
  <c r="T212" i="28"/>
  <c r="T309" i="28" s="1"/>
  <c r="T312" i="28" s="1"/>
  <c r="T313" i="28" s="1"/>
  <c r="T400" i="28" s="1"/>
  <c r="I243" i="28"/>
  <c r="AB222" i="28"/>
  <c r="AB223" i="28" s="1"/>
  <c r="AB391" i="28" s="1"/>
  <c r="O321" i="29"/>
  <c r="P322" i="29"/>
  <c r="H41" i="29"/>
  <c r="H42" i="29" s="1"/>
  <c r="H373" i="29" s="1"/>
  <c r="M175" i="29"/>
  <c r="H321" i="29"/>
  <c r="AF321" i="29"/>
  <c r="I396" i="29"/>
  <c r="Q396" i="29"/>
  <c r="AG396" i="29"/>
  <c r="W377" i="30"/>
  <c r="G396" i="29"/>
  <c r="I89" i="29"/>
  <c r="I91" i="29" s="1"/>
  <c r="J353" i="30"/>
  <c r="AA89" i="28"/>
  <c r="AA91" i="28" s="1"/>
  <c r="R222" i="29"/>
  <c r="R223" i="29" s="1"/>
  <c r="R391" i="29" s="1"/>
  <c r="AD395" i="28"/>
  <c r="I243" i="30"/>
  <c r="H396" i="28"/>
  <c r="J347" i="30"/>
  <c r="J354" i="30"/>
  <c r="AE222" i="29"/>
  <c r="AE223" i="29" s="1"/>
  <c r="AE391" i="29" s="1"/>
  <c r="AD140" i="28"/>
  <c r="I377" i="28"/>
  <c r="Q140" i="28"/>
  <c r="Y140" i="28"/>
  <c r="J141" i="28"/>
  <c r="R141" i="28"/>
  <c r="G175" i="22"/>
  <c r="U312" i="29"/>
  <c r="U313" i="29" s="1"/>
  <c r="U400" i="29" s="1"/>
  <c r="L312" i="30"/>
  <c r="L313" i="30" s="1"/>
  <c r="L400" i="30" s="1"/>
  <c r="L396" i="28"/>
  <c r="AF61" i="15"/>
  <c r="G140" i="29"/>
  <c r="H378" i="29"/>
  <c r="K31" i="28"/>
  <c r="K128" i="28" s="1"/>
  <c r="K131" i="28" s="1"/>
  <c r="K132" i="28" s="1"/>
  <c r="K382" i="28" s="1"/>
  <c r="K89" i="28"/>
  <c r="K91" i="28" s="1"/>
  <c r="P354" i="29"/>
  <c r="O356" i="29"/>
  <c r="W356" i="29"/>
  <c r="AE356" i="29"/>
  <c r="AI354" i="29"/>
  <c r="AG355" i="29"/>
  <c r="AA355" i="29"/>
  <c r="O354" i="29"/>
  <c r="J172" i="27"/>
  <c r="AF212" i="28"/>
  <c r="AF309" i="28" s="1"/>
  <c r="AF312" i="28" s="1"/>
  <c r="AF313" i="28" s="1"/>
  <c r="AF400" i="28" s="1"/>
  <c r="AI355" i="29"/>
  <c r="AH353" i="29"/>
  <c r="AG353" i="29"/>
  <c r="AF353" i="29"/>
  <c r="AE355" i="29"/>
  <c r="AD347" i="29"/>
  <c r="AC353" i="29"/>
  <c r="AB355" i="29"/>
  <c r="Y354" i="29"/>
  <c r="X354" i="29"/>
  <c r="V353" i="29"/>
  <c r="U347" i="29"/>
  <c r="T347" i="29"/>
  <c r="S354" i="29"/>
  <c r="R354" i="29"/>
  <c r="N174" i="27"/>
  <c r="M173" i="27"/>
  <c r="L347" i="29"/>
  <c r="J173" i="27"/>
  <c r="Y222" i="30"/>
  <c r="Y223" i="30" s="1"/>
  <c r="Y270" i="30" s="1"/>
  <c r="Y272" i="30" s="1"/>
  <c r="S31" i="28"/>
  <c r="S128" i="28" s="1"/>
  <c r="S131" i="28" s="1"/>
  <c r="S132" i="28" s="1"/>
  <c r="S382" i="28" s="1"/>
  <c r="AA373" i="28"/>
  <c r="X41" i="27"/>
  <c r="X42" i="27" s="1"/>
  <c r="X89" i="27" s="1"/>
  <c r="X91" i="27" s="1"/>
  <c r="AJ222" i="29"/>
  <c r="AJ223" i="29" s="1"/>
  <c r="AJ391" i="29" s="1"/>
  <c r="M31" i="27"/>
  <c r="M128" i="27" s="1"/>
  <c r="M131" i="27" s="1"/>
  <c r="M132" i="27" s="1"/>
  <c r="M382" i="27" s="1"/>
  <c r="M41" i="27"/>
  <c r="M42" i="27" s="1"/>
  <c r="M89" i="27" s="1"/>
  <c r="M91" i="27" s="1"/>
  <c r="U222" i="29"/>
  <c r="U223" i="29" s="1"/>
  <c r="U391" i="29" s="1"/>
  <c r="H377" i="30"/>
  <c r="AF140" i="30"/>
  <c r="AE347" i="29"/>
  <c r="M172" i="27"/>
  <c r="AI347" i="29"/>
  <c r="AH347" i="29"/>
  <c r="AF354" i="29"/>
  <c r="AE353" i="29"/>
  <c r="AD355" i="29"/>
  <c r="AC354" i="29"/>
  <c r="AB353" i="29"/>
  <c r="Y347" i="29"/>
  <c r="V354" i="29"/>
  <c r="U355" i="29"/>
  <c r="T353" i="29"/>
  <c r="S347" i="29"/>
  <c r="L166" i="27"/>
  <c r="L353" i="29"/>
  <c r="O41" i="30"/>
  <c r="O42" i="30" s="1"/>
  <c r="O89" i="30" s="1"/>
  <c r="O91" i="30" s="1"/>
  <c r="K75" i="15"/>
  <c r="AB347" i="29"/>
  <c r="X353" i="29"/>
  <c r="V355" i="29"/>
  <c r="T355" i="29"/>
  <c r="S355" i="29"/>
  <c r="K166" i="27"/>
  <c r="K347" i="29"/>
  <c r="H175" i="29"/>
  <c r="R353" i="29"/>
  <c r="N172" i="27"/>
  <c r="N347" i="29"/>
  <c r="M174" i="27"/>
  <c r="M347" i="29"/>
  <c r="J174" i="27"/>
  <c r="G212" i="27"/>
  <c r="G309" i="27" s="1"/>
  <c r="G312" i="27" s="1"/>
  <c r="G313" i="27" s="1"/>
  <c r="AH355" i="29"/>
  <c r="AE354" i="29"/>
  <c r="AD353" i="29"/>
  <c r="AB354" i="29"/>
  <c r="Y355" i="29"/>
  <c r="U353" i="29"/>
  <c r="T354" i="29"/>
  <c r="R347" i="29"/>
  <c r="P265" i="29"/>
  <c r="N353" i="29"/>
  <c r="M353" i="29"/>
  <c r="L172" i="27"/>
  <c r="L355" i="29"/>
  <c r="Q222" i="30"/>
  <c r="Q223" i="30" s="1"/>
  <c r="Q391" i="30" s="1"/>
  <c r="L222" i="30"/>
  <c r="L223" i="30" s="1"/>
  <c r="L391" i="30" s="1"/>
  <c r="G243" i="29"/>
  <c r="K378" i="28"/>
  <c r="O41" i="29"/>
  <c r="O42" i="29" s="1"/>
  <c r="O373" i="29" s="1"/>
  <c r="AA212" i="27"/>
  <c r="AA309" i="27" s="1"/>
  <c r="AA312" i="27" s="1"/>
  <c r="AA313" i="27" s="1"/>
  <c r="AA400" i="27" s="1"/>
  <c r="AB270" i="27"/>
  <c r="AB272" i="27" s="1"/>
  <c r="N41" i="29"/>
  <c r="N42" i="29" s="1"/>
  <c r="AD222" i="30"/>
  <c r="AD223" i="30" s="1"/>
  <c r="AD270" i="30" s="1"/>
  <c r="AD272" i="30" s="1"/>
  <c r="AH354" i="29"/>
  <c r="AF355" i="29"/>
  <c r="AC355" i="29"/>
  <c r="W354" i="29"/>
  <c r="J355" i="29"/>
  <c r="AI222" i="30"/>
  <c r="AI223" i="30" s="1"/>
  <c r="AI391" i="30" s="1"/>
  <c r="AK243" i="27"/>
  <c r="AJ347" i="29"/>
  <c r="AD354" i="29"/>
  <c r="Z354" i="29"/>
  <c r="Y353" i="29"/>
  <c r="U354" i="29"/>
  <c r="R355" i="29"/>
  <c r="Q354" i="29"/>
  <c r="N355" i="29"/>
  <c r="M355" i="29"/>
  <c r="L173" i="27"/>
  <c r="L354" i="29"/>
  <c r="J82" i="30"/>
  <c r="G270" i="27"/>
  <c r="G272" i="27" s="1"/>
  <c r="J222" i="29"/>
  <c r="J223" i="29" s="1"/>
  <c r="J391" i="29" s="1"/>
  <c r="S222" i="29"/>
  <c r="S223" i="29" s="1"/>
  <c r="S391" i="29" s="1"/>
  <c r="AB41" i="29"/>
  <c r="AB42" i="29" s="1"/>
  <c r="AB373" i="29" s="1"/>
  <c r="AE222" i="30"/>
  <c r="AE223" i="30" s="1"/>
  <c r="AE391" i="30" s="1"/>
  <c r="R49" i="22"/>
  <c r="AC41" i="29"/>
  <c r="AC42" i="29" s="1"/>
  <c r="AC373" i="29" s="1"/>
  <c r="G322" i="29"/>
  <c r="G396" i="30"/>
  <c r="I41" i="28"/>
  <c r="I42" i="28" s="1"/>
  <c r="I373" i="28" s="1"/>
  <c r="I31" i="28"/>
  <c r="I128" i="28" s="1"/>
  <c r="N41" i="28"/>
  <c r="N42" i="28" s="1"/>
  <c r="N89" i="28" s="1"/>
  <c r="N91" i="28" s="1"/>
  <c r="J83" i="28"/>
  <c r="P356" i="29"/>
  <c r="X356" i="29"/>
  <c r="AF356" i="29"/>
  <c r="J84" i="28"/>
  <c r="Q356" i="29"/>
  <c r="Y356" i="29"/>
  <c r="AG356" i="29"/>
  <c r="R356" i="29"/>
  <c r="Z356" i="29"/>
  <c r="AH356" i="29"/>
  <c r="N396" i="27"/>
  <c r="J356" i="29"/>
  <c r="S356" i="29"/>
  <c r="AA356" i="29"/>
  <c r="AI356" i="29"/>
  <c r="K356" i="29"/>
  <c r="T356" i="29"/>
  <c r="AB356" i="29"/>
  <c r="AJ356" i="29"/>
  <c r="L356" i="29"/>
  <c r="U356" i="29"/>
  <c r="AC356" i="29"/>
  <c r="AK356" i="29"/>
  <c r="N356" i="29"/>
  <c r="J76" i="28"/>
  <c r="J62" i="28" s="1"/>
  <c r="AA89" i="27"/>
  <c r="AA91" i="27" s="1"/>
  <c r="AB396" i="28"/>
  <c r="AJ322" i="28"/>
  <c r="M356" i="29"/>
  <c r="V356" i="29"/>
  <c r="AD356" i="29"/>
  <c r="O69" i="15"/>
  <c r="F72" i="26"/>
  <c r="P270" i="27"/>
  <c r="P272" i="27" s="1"/>
  <c r="O75" i="15"/>
  <c r="S61" i="15"/>
  <c r="AI31" i="27"/>
  <c r="AI128" i="27" s="1"/>
  <c r="AI131" i="27" s="1"/>
  <c r="AI132" i="27" s="1"/>
  <c r="Y212" i="28"/>
  <c r="Y309" i="28" s="1"/>
  <c r="Y312" i="28" s="1"/>
  <c r="Y313" i="28" s="1"/>
  <c r="Y400" i="28" s="1"/>
  <c r="AE377" i="28"/>
  <c r="H378" i="28"/>
  <c r="AA373" i="27"/>
  <c r="I223" i="28"/>
  <c r="I270" i="28" s="1"/>
  <c r="I272" i="28" s="1"/>
  <c r="AG212" i="28"/>
  <c r="AG309" i="28" s="1"/>
  <c r="AG312" i="28" s="1"/>
  <c r="AG313" i="28" s="1"/>
  <c r="AG400" i="28" s="1"/>
  <c r="T396" i="28"/>
  <c r="AB322" i="28"/>
  <c r="AJ396" i="28"/>
  <c r="Z397" i="29"/>
  <c r="K321" i="29"/>
  <c r="S395" i="29"/>
  <c r="AA321" i="29"/>
  <c r="T322" i="29"/>
  <c r="AJ396" i="29"/>
  <c r="P212" i="27"/>
  <c r="P309" i="27" s="1"/>
  <c r="P312" i="27" s="1"/>
  <c r="P313" i="27" s="1"/>
  <c r="P400" i="27" s="1"/>
  <c r="Q212" i="28"/>
  <c r="Q309" i="28" s="1"/>
  <c r="Q312" i="28" s="1"/>
  <c r="Q313" i="28" s="1"/>
  <c r="Q400" i="28" s="1"/>
  <c r="J174" i="30"/>
  <c r="V41" i="28"/>
  <c r="V42" i="28" s="1"/>
  <c r="V373" i="28" s="1"/>
  <c r="N140" i="28"/>
  <c r="V140" i="28"/>
  <c r="O141" i="28"/>
  <c r="W378" i="28"/>
  <c r="AE378" i="28"/>
  <c r="R397" i="29"/>
  <c r="T321" i="29"/>
  <c r="AJ323" i="29"/>
  <c r="M396" i="29"/>
  <c r="U322" i="29"/>
  <c r="AK322" i="29"/>
  <c r="Q75" i="15"/>
  <c r="AG75" i="15"/>
  <c r="Y222" i="29"/>
  <c r="Y223" i="29" s="1"/>
  <c r="Y391" i="29" s="1"/>
  <c r="AI222" i="29"/>
  <c r="AI223" i="29" s="1"/>
  <c r="AI270" i="29" s="1"/>
  <c r="AI272" i="29" s="1"/>
  <c r="M222" i="29"/>
  <c r="M223" i="29" s="1"/>
  <c r="M391" i="29" s="1"/>
  <c r="Q322" i="29"/>
  <c r="I322" i="29"/>
  <c r="G75" i="15"/>
  <c r="AE75" i="15"/>
  <c r="K322" i="29"/>
  <c r="Y131" i="29"/>
  <c r="Y132" i="29" s="1"/>
  <c r="Y382" i="29" s="1"/>
  <c r="R131" i="29"/>
  <c r="U131" i="29"/>
  <c r="U132" i="29" s="1"/>
  <c r="U382" i="29" s="1"/>
  <c r="Y41" i="29"/>
  <c r="Y42" i="29" s="1"/>
  <c r="Y373" i="29" s="1"/>
  <c r="M41" i="29"/>
  <c r="M42" i="29" s="1"/>
  <c r="M373" i="29" s="1"/>
  <c r="R41" i="29"/>
  <c r="R42" i="29" s="1"/>
  <c r="R373" i="29" s="1"/>
  <c r="T41" i="29"/>
  <c r="T42" i="29" s="1"/>
  <c r="T373" i="29" s="1"/>
  <c r="AK391" i="29"/>
  <c r="AK270" i="29"/>
  <c r="AK272" i="29" s="1"/>
  <c r="G322" i="30"/>
  <c r="J166" i="29"/>
  <c r="I312" i="29"/>
  <c r="I313" i="29" s="1"/>
  <c r="I400" i="29" s="1"/>
  <c r="W69" i="15"/>
  <c r="AE69" i="15"/>
  <c r="H61" i="15"/>
  <c r="Q270" i="28"/>
  <c r="Q272" i="28" s="1"/>
  <c r="AA270" i="28"/>
  <c r="AA272" i="28" s="1"/>
  <c r="P61" i="15"/>
  <c r="Q312" i="29"/>
  <c r="Q313" i="29" s="1"/>
  <c r="Q400" i="29" s="1"/>
  <c r="AD140" i="30"/>
  <c r="G378" i="30"/>
  <c r="AK212" i="29"/>
  <c r="AK309" i="29" s="1"/>
  <c r="AK312" i="29" s="1"/>
  <c r="AK313" i="29" s="1"/>
  <c r="AK400" i="29" s="1"/>
  <c r="X222" i="28"/>
  <c r="X223" i="28" s="1"/>
  <c r="X391" i="28" s="1"/>
  <c r="X62" i="15"/>
  <c r="AF62" i="15"/>
  <c r="Z270" i="27"/>
  <c r="Z272" i="27" s="1"/>
  <c r="L395" i="27"/>
  <c r="AA396" i="27"/>
  <c r="AC174" i="29"/>
  <c r="G77" i="26"/>
  <c r="Z41" i="30"/>
  <c r="Z42" i="30" s="1"/>
  <c r="Z373" i="30" s="1"/>
  <c r="P222" i="28"/>
  <c r="P223" i="28" s="1"/>
  <c r="P391" i="28" s="1"/>
  <c r="AA141" i="28"/>
  <c r="Z222" i="30"/>
  <c r="Z223" i="30" s="1"/>
  <c r="Z391" i="30" s="1"/>
  <c r="AB222" i="29"/>
  <c r="AB223" i="29" s="1"/>
  <c r="AB391" i="29" s="1"/>
  <c r="N377" i="28"/>
  <c r="V377" i="28"/>
  <c r="AD377" i="28"/>
  <c r="G378" i="28"/>
  <c r="O378" i="28"/>
  <c r="W141" i="28"/>
  <c r="AE141" i="28"/>
  <c r="J377" i="28"/>
  <c r="Z140" i="28"/>
  <c r="AH140" i="28"/>
  <c r="G377" i="29"/>
  <c r="M174" i="29"/>
  <c r="L173" i="29"/>
  <c r="J173" i="29"/>
  <c r="H212" i="28"/>
  <c r="H309" i="28" s="1"/>
  <c r="H312" i="28" s="1"/>
  <c r="H313" i="28" s="1"/>
  <c r="U41" i="29"/>
  <c r="U42" i="29" s="1"/>
  <c r="AH41" i="29"/>
  <c r="AH42" i="29" s="1"/>
  <c r="AH373" i="29" s="1"/>
  <c r="K69" i="15"/>
  <c r="S69" i="15"/>
  <c r="AA69" i="15"/>
  <c r="AI69" i="15"/>
  <c r="W140" i="27"/>
  <c r="P141" i="27"/>
  <c r="T75" i="15"/>
  <c r="AB75" i="15"/>
  <c r="AJ75" i="15"/>
  <c r="AA142" i="28"/>
  <c r="AI140" i="28"/>
  <c r="L378" i="28"/>
  <c r="AH321" i="28"/>
  <c r="G395" i="28"/>
  <c r="O321" i="28"/>
  <c r="W395" i="28"/>
  <c r="H322" i="28"/>
  <c r="X322" i="28"/>
  <c r="AF322" i="28"/>
  <c r="G379" i="29"/>
  <c r="H140" i="29"/>
  <c r="P396" i="29"/>
  <c r="AK390" i="29"/>
  <c r="AK392" i="29" s="1"/>
  <c r="AD69" i="15"/>
  <c r="Z378" i="30"/>
  <c r="Z173" i="29"/>
  <c r="U166" i="29"/>
  <c r="AH89" i="27"/>
  <c r="AH91" i="27" s="1"/>
  <c r="H62" i="29"/>
  <c r="AE212" i="27"/>
  <c r="AE309" i="27" s="1"/>
  <c r="AE312" i="27" s="1"/>
  <c r="AE313" i="27" s="1"/>
  <c r="AE400" i="27" s="1"/>
  <c r="W270" i="27"/>
  <c r="W272" i="27" s="1"/>
  <c r="AF222" i="29"/>
  <c r="AF223" i="29" s="1"/>
  <c r="AF391" i="29" s="1"/>
  <c r="P41" i="29"/>
  <c r="P42" i="29" s="1"/>
  <c r="Y312" i="29"/>
  <c r="Y313" i="29" s="1"/>
  <c r="Y400" i="29" s="1"/>
  <c r="W212" i="27"/>
  <c r="W309" i="27" s="1"/>
  <c r="W312" i="27" s="1"/>
  <c r="W313" i="27" s="1"/>
  <c r="G62" i="27"/>
  <c r="P312" i="29"/>
  <c r="P313" i="29" s="1"/>
  <c r="P400" i="29" s="1"/>
  <c r="AF312" i="29"/>
  <c r="AF313" i="29" s="1"/>
  <c r="AF400" i="29" s="1"/>
  <c r="AJ222" i="30"/>
  <c r="AJ223" i="30" s="1"/>
  <c r="AJ391" i="30" s="1"/>
  <c r="M270" i="28"/>
  <c r="M272" i="28" s="1"/>
  <c r="G323" i="29"/>
  <c r="W321" i="29"/>
  <c r="AE395" i="29"/>
  <c r="H322" i="29"/>
  <c r="X396" i="29"/>
  <c r="AF396" i="29"/>
  <c r="P390" i="29"/>
  <c r="P392" i="29" s="1"/>
  <c r="M312" i="29"/>
  <c r="M313" i="29" s="1"/>
  <c r="M400" i="29" s="1"/>
  <c r="V131" i="29"/>
  <c r="V132" i="29" s="1"/>
  <c r="V382" i="29" s="1"/>
  <c r="Q69" i="15"/>
  <c r="G131" i="30"/>
  <c r="G132" i="30" s="1"/>
  <c r="J322" i="27"/>
  <c r="I62" i="30"/>
  <c r="I62" i="27"/>
  <c r="T31" i="28"/>
  <c r="T128" i="28" s="1"/>
  <c r="T131" i="28" s="1"/>
  <c r="T132" i="28" s="1"/>
  <c r="T382" i="28" s="1"/>
  <c r="AB222" i="30"/>
  <c r="AB223" i="30" s="1"/>
  <c r="AC131" i="29"/>
  <c r="AC132" i="29" s="1"/>
  <c r="AC382" i="29" s="1"/>
  <c r="M382" i="29"/>
  <c r="Q212" i="27"/>
  <c r="Q309" i="27" s="1"/>
  <c r="Q312" i="27" s="1"/>
  <c r="Q313" i="27" s="1"/>
  <c r="Q400" i="27" s="1"/>
  <c r="AI212" i="27"/>
  <c r="AI309" i="27" s="1"/>
  <c r="AI312" i="27" s="1"/>
  <c r="AI313" i="27" s="1"/>
  <c r="AI400" i="27" s="1"/>
  <c r="AH31" i="28"/>
  <c r="AH128" i="28" s="1"/>
  <c r="AH131" i="28" s="1"/>
  <c r="AH132" i="28" s="1"/>
  <c r="AH382" i="28" s="1"/>
  <c r="H140" i="28"/>
  <c r="Q141" i="28"/>
  <c r="AG141" i="28"/>
  <c r="I72" i="16"/>
  <c r="Y390" i="28"/>
  <c r="Y392" i="28" s="1"/>
  <c r="Q31" i="28"/>
  <c r="I391" i="27"/>
  <c r="G141" i="28"/>
  <c r="R140" i="28"/>
  <c r="AH377" i="28"/>
  <c r="S141" i="28"/>
  <c r="AI378" i="28"/>
  <c r="I243" i="29"/>
  <c r="AA75" i="15"/>
  <c r="AG89" i="28"/>
  <c r="AG91" i="28" s="1"/>
  <c r="AK131" i="29"/>
  <c r="AK132" i="29" s="1"/>
  <c r="AK382" i="29" s="1"/>
  <c r="P75" i="15"/>
  <c r="X75" i="15"/>
  <c r="Z373" i="28"/>
  <c r="Z89" i="28"/>
  <c r="Z91" i="28" s="1"/>
  <c r="AG264" i="29"/>
  <c r="AB257" i="29"/>
  <c r="AB243" i="29" s="1"/>
  <c r="Y264" i="29"/>
  <c r="T257" i="29"/>
  <c r="T243" i="29" s="1"/>
  <c r="J263" i="29"/>
  <c r="F77" i="26"/>
  <c r="K222" i="30"/>
  <c r="K223" i="30" s="1"/>
  <c r="K270" i="30" s="1"/>
  <c r="K272" i="30" s="1"/>
  <c r="G321" i="29"/>
  <c r="K131" i="29"/>
  <c r="K132" i="29" s="1"/>
  <c r="K382" i="29" s="1"/>
  <c r="Z312" i="29"/>
  <c r="Z313" i="29" s="1"/>
  <c r="Z400" i="29" s="1"/>
  <c r="G142" i="29"/>
  <c r="AB212" i="27"/>
  <c r="AB309" i="27" s="1"/>
  <c r="AB312" i="27" s="1"/>
  <c r="AB313" i="27" s="1"/>
  <c r="AB400" i="27" s="1"/>
  <c r="Z31" i="28"/>
  <c r="Z128" i="28" s="1"/>
  <c r="Z131" i="28" s="1"/>
  <c r="Z132" i="28" s="1"/>
  <c r="Z382" i="28" s="1"/>
  <c r="R222" i="30"/>
  <c r="R223" i="30" s="1"/>
  <c r="R391" i="30" s="1"/>
  <c r="U312" i="27"/>
  <c r="U313" i="27" s="1"/>
  <c r="M390" i="27"/>
  <c r="M392" i="27" s="1"/>
  <c r="S75" i="15"/>
  <c r="AI75" i="15"/>
  <c r="AA222" i="29"/>
  <c r="AA223" i="29" s="1"/>
  <c r="T312" i="29"/>
  <c r="T313" i="29" s="1"/>
  <c r="T400" i="29" s="1"/>
  <c r="H323" i="29"/>
  <c r="H372" i="29"/>
  <c r="H374" i="29" s="1"/>
  <c r="AC212" i="28"/>
  <c r="AC309" i="28" s="1"/>
  <c r="AC312" i="28" s="1"/>
  <c r="AC313" i="28" s="1"/>
  <c r="AC400" i="28" s="1"/>
  <c r="L212" i="27"/>
  <c r="L309" i="27" s="1"/>
  <c r="L312" i="27" s="1"/>
  <c r="L313" i="27" s="1"/>
  <c r="L400" i="27" s="1"/>
  <c r="G62" i="28"/>
  <c r="L131" i="28"/>
  <c r="L132" i="28" s="1"/>
  <c r="L382" i="28" s="1"/>
  <c r="X41" i="29"/>
  <c r="X42" i="29" s="1"/>
  <c r="X373" i="29" s="1"/>
  <c r="H390" i="29"/>
  <c r="H392" i="29" s="1"/>
  <c r="AE265" i="29"/>
  <c r="AH264" i="29"/>
  <c r="V263" i="29"/>
  <c r="N265" i="29"/>
  <c r="Q222" i="29"/>
  <c r="Q223" i="29" s="1"/>
  <c r="Q391" i="29" s="1"/>
  <c r="L141" i="28"/>
  <c r="T222" i="29"/>
  <c r="T223" i="29" s="1"/>
  <c r="R41" i="28"/>
  <c r="R42" i="28" s="1"/>
  <c r="U212" i="28"/>
  <c r="U309" i="28" s="1"/>
  <c r="U312" i="28" s="1"/>
  <c r="U313" i="28" s="1"/>
  <c r="U400" i="28" s="1"/>
  <c r="G60" i="15"/>
  <c r="O270" i="27"/>
  <c r="O272" i="27" s="1"/>
  <c r="Y397" i="29"/>
  <c r="H356" i="29"/>
  <c r="R263" i="29"/>
  <c r="AD257" i="29"/>
  <c r="AD243" i="29" s="1"/>
  <c r="L75" i="15"/>
  <c r="G184" i="16" s="1"/>
  <c r="AF41" i="30"/>
  <c r="AF42" i="30" s="1"/>
  <c r="AF89" i="30" s="1"/>
  <c r="AF91" i="30" s="1"/>
  <c r="M212" i="28"/>
  <c r="N222" i="29"/>
  <c r="N223" i="29" s="1"/>
  <c r="N270" i="29" s="1"/>
  <c r="N272" i="29" s="1"/>
  <c r="J31" i="28"/>
  <c r="J128" i="28" s="1"/>
  <c r="J131" i="28" s="1"/>
  <c r="J132" i="28" s="1"/>
  <c r="G141" i="30"/>
  <c r="K377" i="28"/>
  <c r="AA377" i="28"/>
  <c r="AI377" i="28"/>
  <c r="T378" i="28"/>
  <c r="AB378" i="28"/>
  <c r="AJ378" i="28"/>
  <c r="Q263" i="29"/>
  <c r="K263" i="29"/>
  <c r="I77" i="26"/>
  <c r="U270" i="28"/>
  <c r="U272" i="28" s="1"/>
  <c r="J312" i="29"/>
  <c r="J313" i="29" s="1"/>
  <c r="J400" i="29" s="1"/>
  <c r="G323" i="28"/>
  <c r="O395" i="28"/>
  <c r="W321" i="28"/>
  <c r="AE395" i="28"/>
  <c r="P396" i="28"/>
  <c r="X396" i="28"/>
  <c r="AF396" i="28"/>
  <c r="AH131" i="29"/>
  <c r="AH132" i="29" s="1"/>
  <c r="AH382" i="29" s="1"/>
  <c r="W75" i="15"/>
  <c r="M322" i="29"/>
  <c r="U396" i="29"/>
  <c r="AC322" i="29"/>
  <c r="AK396" i="29"/>
  <c r="H397" i="29"/>
  <c r="I395" i="27"/>
  <c r="H356" i="28"/>
  <c r="AC265" i="29"/>
  <c r="Z265" i="29"/>
  <c r="S265" i="29"/>
  <c r="O264" i="29"/>
  <c r="M257" i="29"/>
  <c r="M243" i="29" s="1"/>
  <c r="H77" i="26"/>
  <c r="I243" i="27"/>
  <c r="AI312" i="30"/>
  <c r="AI313" i="30" s="1"/>
  <c r="AI400" i="30" s="1"/>
  <c r="AK212" i="28"/>
  <c r="AK309" i="28" s="1"/>
  <c r="AK312" i="28" s="1"/>
  <c r="AK313" i="28" s="1"/>
  <c r="AK400" i="28" s="1"/>
  <c r="AG69" i="15"/>
  <c r="J140" i="27"/>
  <c r="R377" i="27"/>
  <c r="S142" i="27"/>
  <c r="AA378" i="27"/>
  <c r="AI141" i="27"/>
  <c r="M377" i="28"/>
  <c r="U377" i="28"/>
  <c r="AK265" i="29"/>
  <c r="U265" i="29"/>
  <c r="AI323" i="27"/>
  <c r="AJ265" i="29"/>
  <c r="AF263" i="29"/>
  <c r="AA265" i="29"/>
  <c r="X263" i="29"/>
  <c r="W257" i="29"/>
  <c r="W243" i="29" s="1"/>
  <c r="L264" i="29"/>
  <c r="E77" i="26"/>
  <c r="E78" i="26" s="1"/>
  <c r="E79" i="26" s="1"/>
  <c r="E80" i="26" s="1"/>
  <c r="E81" i="26" s="1"/>
  <c r="X322" i="29"/>
  <c r="Q390" i="29"/>
  <c r="Q392" i="29" s="1"/>
  <c r="AI131" i="29"/>
  <c r="AI132" i="29" s="1"/>
  <c r="AG62" i="15"/>
  <c r="N49" i="22"/>
  <c r="AJ41" i="27"/>
  <c r="AJ42" i="27" s="1"/>
  <c r="AJ89" i="27" s="1"/>
  <c r="AJ91" i="27" s="1"/>
  <c r="AJ31" i="27"/>
  <c r="AJ128" i="27" s="1"/>
  <c r="AJ131" i="27" s="1"/>
  <c r="AJ132" i="27" s="1"/>
  <c r="AJ382" i="27" s="1"/>
  <c r="Q270" i="27"/>
  <c r="Q272" i="27" s="1"/>
  <c r="Q391" i="27"/>
  <c r="O41" i="28"/>
  <c r="O42" i="28" s="1"/>
  <c r="O89" i="28" s="1"/>
  <c r="O91" i="28" s="1"/>
  <c r="O31" i="28"/>
  <c r="O128" i="28" s="1"/>
  <c r="O131" i="28" s="1"/>
  <c r="N212" i="28"/>
  <c r="N309" i="28" s="1"/>
  <c r="N312" i="28" s="1"/>
  <c r="N313" i="28" s="1"/>
  <c r="N400" i="28" s="1"/>
  <c r="N222" i="28"/>
  <c r="N223" i="28" s="1"/>
  <c r="N391" i="28" s="1"/>
  <c r="V222" i="28"/>
  <c r="V223" i="28" s="1"/>
  <c r="V391" i="28" s="1"/>
  <c r="V212" i="28"/>
  <c r="V309" i="28" s="1"/>
  <c r="V312" i="28" s="1"/>
  <c r="V313" i="28" s="1"/>
  <c r="V400" i="28" s="1"/>
  <c r="Z222" i="28"/>
  <c r="Z223" i="28" s="1"/>
  <c r="Z391" i="28" s="1"/>
  <c r="Z212" i="28"/>
  <c r="Z309" i="28" s="1"/>
  <c r="Z312" i="28" s="1"/>
  <c r="Z313" i="28" s="1"/>
  <c r="Z400" i="28" s="1"/>
  <c r="K395" i="28"/>
  <c r="K321" i="28"/>
  <c r="S395" i="28"/>
  <c r="S321" i="28"/>
  <c r="AA323" i="28"/>
  <c r="AA395" i="28"/>
  <c r="AI321" i="28"/>
  <c r="AI395" i="28"/>
  <c r="G390" i="28"/>
  <c r="G392" i="28" s="1"/>
  <c r="J62" i="15"/>
  <c r="H69" i="15"/>
  <c r="AB395" i="29"/>
  <c r="AB323" i="29"/>
  <c r="AJ321" i="29"/>
  <c r="AJ395" i="29"/>
  <c r="U396" i="27"/>
  <c r="AF396" i="27"/>
  <c r="K66" i="30"/>
  <c r="K82" i="30" s="1"/>
  <c r="AE321" i="28"/>
  <c r="G321" i="28"/>
  <c r="AI31" i="28"/>
  <c r="AI128" i="28" s="1"/>
  <c r="AI131" i="28" s="1"/>
  <c r="AI132" i="28" s="1"/>
  <c r="AI382" i="28" s="1"/>
  <c r="H62" i="28"/>
  <c r="L29" i="19"/>
  <c r="AE31" i="28"/>
  <c r="AE128" i="28" s="1"/>
  <c r="AE131" i="28" s="1"/>
  <c r="AE132" i="28" s="1"/>
  <c r="W31" i="28"/>
  <c r="W128" i="28" s="1"/>
  <c r="W131" i="28" s="1"/>
  <c r="W132" i="28" s="1"/>
  <c r="W382" i="28" s="1"/>
  <c r="AC41" i="27"/>
  <c r="AC42" i="27" s="1"/>
  <c r="AC89" i="27" s="1"/>
  <c r="AC91" i="27" s="1"/>
  <c r="AC31" i="27"/>
  <c r="AC128" i="27" s="1"/>
  <c r="AC131" i="27" s="1"/>
  <c r="AC132" i="27" s="1"/>
  <c r="AC382" i="27" s="1"/>
  <c r="AG31" i="27"/>
  <c r="AG128" i="27" s="1"/>
  <c r="AG131" i="27" s="1"/>
  <c r="AG41" i="27"/>
  <c r="AG42" i="27" s="1"/>
  <c r="AG373" i="27" s="1"/>
  <c r="AK395" i="27"/>
  <c r="T322" i="27"/>
  <c r="M396" i="27"/>
  <c r="AJ322" i="27"/>
  <c r="AK396" i="27"/>
  <c r="I322" i="27"/>
  <c r="P322" i="28"/>
  <c r="AA31" i="28"/>
  <c r="AA128" i="28" s="1"/>
  <c r="AA131" i="28" s="1"/>
  <c r="AA132" i="28" s="1"/>
  <c r="AA382" i="28" s="1"/>
  <c r="S390" i="27"/>
  <c r="S392" i="27" s="1"/>
  <c r="H377" i="28"/>
  <c r="N41" i="27"/>
  <c r="N42" i="27" s="1"/>
  <c r="N31" i="27"/>
  <c r="N128" i="27" s="1"/>
  <c r="N131" i="27" s="1"/>
  <c r="N132" i="27" s="1"/>
  <c r="N382" i="27" s="1"/>
  <c r="V41" i="27"/>
  <c r="V42" i="27" s="1"/>
  <c r="V31" i="27"/>
  <c r="V128" i="27" s="1"/>
  <c r="V131" i="27" s="1"/>
  <c r="Z41" i="27"/>
  <c r="Z42" i="27" s="1"/>
  <c r="Z31" i="27"/>
  <c r="Z128" i="27" s="1"/>
  <c r="Z131" i="27" s="1"/>
  <c r="Z132" i="27" s="1"/>
  <c r="Z382" i="27" s="1"/>
  <c r="J372" i="27"/>
  <c r="J374" i="27" s="1"/>
  <c r="Z372" i="27"/>
  <c r="Z374" i="27" s="1"/>
  <c r="H379" i="27"/>
  <c r="Q140" i="27"/>
  <c r="Y377" i="27"/>
  <c r="G321" i="27"/>
  <c r="AI62" i="15"/>
  <c r="V131" i="28"/>
  <c r="M58" i="19" s="1"/>
  <c r="M60" i="19" s="1"/>
  <c r="AD131" i="28"/>
  <c r="AD132" i="28" s="1"/>
  <c r="AD382" i="28" s="1"/>
  <c r="G175" i="28"/>
  <c r="L379" i="28"/>
  <c r="P379" i="28"/>
  <c r="T379" i="28"/>
  <c r="AB379" i="28"/>
  <c r="AJ379" i="28"/>
  <c r="V142" i="28"/>
  <c r="J75" i="15"/>
  <c r="N75" i="15"/>
  <c r="R75" i="15"/>
  <c r="Z75" i="15"/>
  <c r="AD75" i="15"/>
  <c r="AH75" i="15"/>
  <c r="O312" i="28"/>
  <c r="O313" i="28" s="1"/>
  <c r="O400" i="28" s="1"/>
  <c r="R397" i="28"/>
  <c r="H323" i="28"/>
  <c r="L321" i="28"/>
  <c r="P321" i="28"/>
  <c r="X323" i="28"/>
  <c r="AB321" i="28"/>
  <c r="AF321" i="28"/>
  <c r="Q322" i="28"/>
  <c r="AC396" i="28"/>
  <c r="AG322" i="28"/>
  <c r="AK322" i="28"/>
  <c r="H372" i="28"/>
  <c r="H374" i="28" s="1"/>
  <c r="O379" i="29"/>
  <c r="U377" i="29"/>
  <c r="Y140" i="29"/>
  <c r="AG140" i="29"/>
  <c r="AK140" i="29"/>
  <c r="N141" i="29"/>
  <c r="R141" i="29"/>
  <c r="Z378" i="29"/>
  <c r="Z377" i="29"/>
  <c r="AH140" i="29"/>
  <c r="S378" i="29"/>
  <c r="W378" i="29"/>
  <c r="AB397" i="29"/>
  <c r="V395" i="29"/>
  <c r="G243" i="30"/>
  <c r="K322" i="30"/>
  <c r="W396" i="30"/>
  <c r="AA270" i="27"/>
  <c r="AA272" i="27" s="1"/>
  <c r="AC270" i="28"/>
  <c r="AC272" i="28" s="1"/>
  <c r="Q61" i="15"/>
  <c r="AG270" i="28"/>
  <c r="AG272" i="28" s="1"/>
  <c r="S131" i="29"/>
  <c r="S132" i="29" s="1"/>
  <c r="Q131" i="29"/>
  <c r="L90" i="19" s="1"/>
  <c r="L92" i="19" s="1"/>
  <c r="N312" i="29"/>
  <c r="N313" i="29" s="1"/>
  <c r="N400" i="29" s="1"/>
  <c r="G372" i="29"/>
  <c r="G374" i="29" s="1"/>
  <c r="AI378" i="27"/>
  <c r="K396" i="28"/>
  <c r="AE140" i="29"/>
  <c r="K395" i="29"/>
  <c r="O395" i="29"/>
  <c r="S321" i="29"/>
  <c r="AE321" i="29"/>
  <c r="AI321" i="29"/>
  <c r="L396" i="29"/>
  <c r="AB396" i="29"/>
  <c r="AF322" i="29"/>
  <c r="AD61" i="15"/>
  <c r="S312" i="29"/>
  <c r="S313" i="29" s="1"/>
  <c r="S400" i="29" s="1"/>
  <c r="G321" i="30"/>
  <c r="G390" i="29"/>
  <c r="G392" i="29" s="1"/>
  <c r="N395" i="30"/>
  <c r="N323" i="30"/>
  <c r="S321" i="30"/>
  <c r="AA321" i="30"/>
  <c r="T396" i="30"/>
  <c r="K156" i="30"/>
  <c r="K80" i="15" s="1"/>
  <c r="J172" i="30"/>
  <c r="J166" i="30"/>
  <c r="J83" i="30"/>
  <c r="J84" i="30"/>
  <c r="Z61" i="15"/>
  <c r="AI61" i="15"/>
  <c r="J61" i="15"/>
  <c r="AB322" i="29"/>
  <c r="L322" i="29"/>
  <c r="AI395" i="29"/>
  <c r="V397" i="29"/>
  <c r="AD397" i="29"/>
  <c r="AH397" i="29"/>
  <c r="K397" i="29"/>
  <c r="T323" i="29"/>
  <c r="AJ257" i="29"/>
  <c r="AJ243" i="29" s="1"/>
  <c r="AG263" i="29"/>
  <c r="AE263" i="29"/>
  <c r="AC263" i="29"/>
  <c r="Y263" i="29"/>
  <c r="V264" i="29"/>
  <c r="AK257" i="29"/>
  <c r="AK243" i="29" s="1"/>
  <c r="AI257" i="29"/>
  <c r="AI243" i="29" s="1"/>
  <c r="AG265" i="29"/>
  <c r="AD264" i="29"/>
  <c r="Z263" i="29"/>
  <c r="P257" i="29"/>
  <c r="P243" i="29" s="1"/>
  <c r="N263" i="29"/>
  <c r="M265" i="29"/>
  <c r="L265" i="29"/>
  <c r="K265" i="29"/>
  <c r="J265" i="29"/>
  <c r="AK263" i="29"/>
  <c r="AH265" i="29"/>
  <c r="AF265" i="29"/>
  <c r="AB263" i="29"/>
  <c r="Z257" i="29"/>
  <c r="Z243" i="29" s="1"/>
  <c r="X265" i="29"/>
  <c r="W265" i="29"/>
  <c r="T263" i="29"/>
  <c r="AJ264" i="29"/>
  <c r="AH257" i="29"/>
  <c r="AH243" i="29" s="1"/>
  <c r="AF264" i="29"/>
  <c r="AE264" i="29"/>
  <c r="AC257" i="29"/>
  <c r="AC243" i="29" s="1"/>
  <c r="AB265" i="29"/>
  <c r="AA263" i="29"/>
  <c r="Y265" i="29"/>
  <c r="X264" i="29"/>
  <c r="W263" i="29"/>
  <c r="V265" i="29"/>
  <c r="U257" i="29"/>
  <c r="U243" i="29" s="1"/>
  <c r="T265" i="29"/>
  <c r="S263" i="29"/>
  <c r="R265" i="29"/>
  <c r="Q257" i="29"/>
  <c r="Q243" i="29" s="1"/>
  <c r="O265" i="29"/>
  <c r="AJ263" i="29"/>
  <c r="AI263" i="29"/>
  <c r="AH263" i="29"/>
  <c r="AG257" i="29"/>
  <c r="AG243" i="29" s="1"/>
  <c r="AF257" i="29"/>
  <c r="AF243" i="29" s="1"/>
  <c r="AE257" i="29"/>
  <c r="AE243" i="29" s="1"/>
  <c r="AD265" i="29"/>
  <c r="AC264" i="29"/>
  <c r="AB264" i="29"/>
  <c r="AA264" i="29"/>
  <c r="Z264" i="29"/>
  <c r="Y257" i="29"/>
  <c r="Y243" i="29" s="1"/>
  <c r="X257" i="29"/>
  <c r="X243" i="29" s="1"/>
  <c r="W264" i="29"/>
  <c r="V257" i="29"/>
  <c r="V243" i="29" s="1"/>
  <c r="U264" i="29"/>
  <c r="T264" i="29"/>
  <c r="S264" i="29"/>
  <c r="R257" i="29"/>
  <c r="R243" i="29" s="1"/>
  <c r="Q264" i="29"/>
  <c r="P263" i="29"/>
  <c r="O263" i="29"/>
  <c r="N264" i="29"/>
  <c r="M263" i="29"/>
  <c r="L257" i="29"/>
  <c r="L243" i="29" s="1"/>
  <c r="K257" i="29"/>
  <c r="K243" i="29" s="1"/>
  <c r="J257" i="29"/>
  <c r="J243" i="29" s="1"/>
  <c r="AI265" i="29"/>
  <c r="AD263" i="29"/>
  <c r="AA257" i="29"/>
  <c r="AA243" i="29" s="1"/>
  <c r="U263" i="29"/>
  <c r="S257" i="29"/>
  <c r="S243" i="29" s="1"/>
  <c r="R264" i="29"/>
  <c r="Q265" i="29"/>
  <c r="P264" i="29"/>
  <c r="O257" i="29"/>
  <c r="O243" i="29" s="1"/>
  <c r="N257" i="29"/>
  <c r="N243" i="29" s="1"/>
  <c r="M264" i="29"/>
  <c r="L263" i="29"/>
  <c r="K264" i="29"/>
  <c r="J264" i="29"/>
  <c r="AC390" i="29"/>
  <c r="AC392" i="29" s="1"/>
  <c r="N379" i="29"/>
  <c r="N378" i="29"/>
  <c r="J84" i="29"/>
  <c r="J83" i="29"/>
  <c r="J82" i="29"/>
  <c r="J76" i="29"/>
  <c r="J62" i="29" s="1"/>
  <c r="AJ379" i="29"/>
  <c r="M379" i="29"/>
  <c r="J377" i="29"/>
  <c r="V142" i="29"/>
  <c r="AI141" i="29"/>
  <c r="P140" i="29"/>
  <c r="AF140" i="29"/>
  <c r="U378" i="29"/>
  <c r="AG141" i="29"/>
  <c r="AG377" i="29"/>
  <c r="AG142" i="29"/>
  <c r="AK372" i="29"/>
  <c r="AK374" i="29" s="1"/>
  <c r="L379" i="29"/>
  <c r="T379" i="29"/>
  <c r="I140" i="29"/>
  <c r="M140" i="29"/>
  <c r="Q140" i="29"/>
  <c r="U140" i="29"/>
  <c r="AK377" i="29"/>
  <c r="J378" i="29"/>
  <c r="R378" i="29"/>
  <c r="V378" i="29"/>
  <c r="AH378" i="29"/>
  <c r="K372" i="29"/>
  <c r="K374" i="29" s="1"/>
  <c r="AI372" i="29"/>
  <c r="AI374" i="29" s="1"/>
  <c r="AA321" i="28"/>
  <c r="R321" i="28"/>
  <c r="AA322" i="28"/>
  <c r="AI396" i="28"/>
  <c r="P390" i="28"/>
  <c r="P392" i="28" s="1"/>
  <c r="Q390" i="28"/>
  <c r="Q392" i="28" s="1"/>
  <c r="I390" i="28"/>
  <c r="I392" i="28" s="1"/>
  <c r="AG390" i="28"/>
  <c r="AG392" i="28" s="1"/>
  <c r="U140" i="28"/>
  <c r="Q377" i="28"/>
  <c r="S142" i="28"/>
  <c r="N378" i="28"/>
  <c r="J89" i="28"/>
  <c r="J91" i="28" s="1"/>
  <c r="AI89" i="28"/>
  <c r="AI91" i="28" s="1"/>
  <c r="AD142" i="28"/>
  <c r="AH142" i="28"/>
  <c r="L372" i="28"/>
  <c r="L374" i="28" s="1"/>
  <c r="AG379" i="27"/>
  <c r="J377" i="27"/>
  <c r="R140" i="27"/>
  <c r="V140" i="27"/>
  <c r="Z377" i="27"/>
  <c r="AD377" i="27"/>
  <c r="AH140" i="27"/>
  <c r="K141" i="27"/>
  <c r="S378" i="27"/>
  <c r="P378" i="27"/>
  <c r="T141" i="27"/>
  <c r="S322" i="27"/>
  <c r="Q322" i="27"/>
  <c r="Z321" i="27"/>
  <c r="V390" i="27"/>
  <c r="V392" i="27" s="1"/>
  <c r="AD390" i="27"/>
  <c r="AD392" i="27" s="1"/>
  <c r="T390" i="27"/>
  <c r="T392" i="27" s="1"/>
  <c r="AF390" i="27"/>
  <c r="AF392" i="27" s="1"/>
  <c r="AJ390" i="27"/>
  <c r="AJ392" i="27" s="1"/>
  <c r="V332" i="27"/>
  <c r="V398" i="27" s="1"/>
  <c r="AG322" i="27"/>
  <c r="AD396" i="27"/>
  <c r="AI270" i="27"/>
  <c r="AI272" i="27" s="1"/>
  <c r="K270" i="27"/>
  <c r="K272" i="27" s="1"/>
  <c r="AF270" i="27"/>
  <c r="AF272" i="27" s="1"/>
  <c r="AC390" i="27"/>
  <c r="AC392" i="27" s="1"/>
  <c r="S141" i="27"/>
  <c r="I60" i="15"/>
  <c r="AG60" i="15"/>
  <c r="I379" i="27"/>
  <c r="Z140" i="27"/>
  <c r="AH377" i="27"/>
  <c r="K378" i="27"/>
  <c r="AA141" i="27"/>
  <c r="AI89" i="27"/>
  <c r="AI91" i="27" s="1"/>
  <c r="AB140" i="27"/>
  <c r="M141" i="27"/>
  <c r="U378" i="27"/>
  <c r="O61" i="15"/>
  <c r="G41" i="27"/>
  <c r="G42" i="27" s="1"/>
  <c r="G31" i="27"/>
  <c r="G128" i="27" s="1"/>
  <c r="G131" i="27" s="1"/>
  <c r="O41" i="27"/>
  <c r="O42" i="27" s="1"/>
  <c r="O31" i="27"/>
  <c r="O128" i="27" s="1"/>
  <c r="O131" i="27" s="1"/>
  <c r="O132" i="27" s="1"/>
  <c r="O382" i="27" s="1"/>
  <c r="AD41" i="27"/>
  <c r="AD42" i="27" s="1"/>
  <c r="AD31" i="27"/>
  <c r="AD128" i="27" s="1"/>
  <c r="AD131" i="27" s="1"/>
  <c r="AD132" i="27" s="1"/>
  <c r="AD382" i="27" s="1"/>
  <c r="J141" i="27"/>
  <c r="J142" i="27"/>
  <c r="U371" i="28"/>
  <c r="U372" i="28" s="1"/>
  <c r="U374" i="28" s="1"/>
  <c r="U60" i="15"/>
  <c r="N141" i="28"/>
  <c r="N142" i="28"/>
  <c r="H390" i="28"/>
  <c r="H392" i="28" s="1"/>
  <c r="W31" i="30"/>
  <c r="W128" i="30" s="1"/>
  <c r="W131" i="30" s="1"/>
  <c r="W132" i="30" s="1"/>
  <c r="W382" i="30" s="1"/>
  <c r="W41" i="30"/>
  <c r="W42" i="30" s="1"/>
  <c r="W89" i="30" s="1"/>
  <c r="W91" i="30" s="1"/>
  <c r="AD212" i="29"/>
  <c r="AD309" i="29" s="1"/>
  <c r="AD312" i="29" s="1"/>
  <c r="AD313" i="29" s="1"/>
  <c r="AD400" i="29" s="1"/>
  <c r="AD222" i="29"/>
  <c r="AD223" i="29" s="1"/>
  <c r="AD270" i="29" s="1"/>
  <c r="AD272" i="29" s="1"/>
  <c r="S31" i="30"/>
  <c r="S128" i="30" s="1"/>
  <c r="S131" i="30" s="1"/>
  <c r="S132" i="30" s="1"/>
  <c r="S382" i="30" s="1"/>
  <c r="S41" i="30"/>
  <c r="S42" i="30" s="1"/>
  <c r="K247" i="28"/>
  <c r="J264" i="28"/>
  <c r="AA322" i="27"/>
  <c r="AH222" i="27"/>
  <c r="AH223" i="27" s="1"/>
  <c r="AH391" i="27" s="1"/>
  <c r="AH212" i="27"/>
  <c r="AH309" i="27" s="1"/>
  <c r="AH312" i="27" s="1"/>
  <c r="AH313" i="27" s="1"/>
  <c r="AH400" i="27" s="1"/>
  <c r="AC377" i="28"/>
  <c r="AC140" i="28"/>
  <c r="X212" i="29"/>
  <c r="X309" i="29" s="1"/>
  <c r="X312" i="29" s="1"/>
  <c r="X313" i="29" s="1"/>
  <c r="X400" i="29" s="1"/>
  <c r="X222" i="29"/>
  <c r="X223" i="29" s="1"/>
  <c r="X391" i="29" s="1"/>
  <c r="AA31" i="29"/>
  <c r="AA128" i="29" s="1"/>
  <c r="AA131" i="29" s="1"/>
  <c r="AA41" i="29"/>
  <c r="AA42" i="29" s="1"/>
  <c r="AA89" i="29" s="1"/>
  <c r="AA91" i="29" s="1"/>
  <c r="Q31" i="30"/>
  <c r="Q128" i="30" s="1"/>
  <c r="Q131" i="30" s="1"/>
  <c r="Q41" i="30"/>
  <c r="Q42" i="30" s="1"/>
  <c r="AG31" i="29"/>
  <c r="AG128" i="29" s="1"/>
  <c r="AG131" i="29" s="1"/>
  <c r="AG132" i="29" s="1"/>
  <c r="AG382" i="29" s="1"/>
  <c r="AG41" i="29"/>
  <c r="AG42" i="29" s="1"/>
  <c r="AG373" i="29" s="1"/>
  <c r="AD322" i="27"/>
  <c r="Q396" i="27"/>
  <c r="AC395" i="27"/>
  <c r="AJ321" i="27"/>
  <c r="J323" i="27"/>
  <c r="AF322" i="27"/>
  <c r="P332" i="27"/>
  <c r="P398" i="27" s="1"/>
  <c r="T396" i="27"/>
  <c r="U322" i="27"/>
  <c r="H175" i="28"/>
  <c r="T71" i="22"/>
  <c r="J265" i="28"/>
  <c r="J82" i="27"/>
  <c r="J76" i="27"/>
  <c r="J62" i="27" s="1"/>
  <c r="M140" i="28"/>
  <c r="I140" i="28"/>
  <c r="AF89" i="28"/>
  <c r="AF91" i="28" s="1"/>
  <c r="Q60" i="15"/>
  <c r="AA31" i="27"/>
  <c r="AA128" i="27" s="1"/>
  <c r="AA131" i="27" s="1"/>
  <c r="AA132" i="27" s="1"/>
  <c r="AA382" i="27" s="1"/>
  <c r="AJ41" i="29"/>
  <c r="AJ42" i="29" s="1"/>
  <c r="AJ89" i="29" s="1"/>
  <c r="AJ91" i="29" s="1"/>
  <c r="L41" i="28"/>
  <c r="L42" i="28" s="1"/>
  <c r="K41" i="27"/>
  <c r="K42" i="27" s="1"/>
  <c r="K373" i="27" s="1"/>
  <c r="K31" i="27"/>
  <c r="K128" i="27" s="1"/>
  <c r="K131" i="27" s="1"/>
  <c r="K132" i="27" s="1"/>
  <c r="K382" i="27" s="1"/>
  <c r="S41" i="27"/>
  <c r="S31" i="27"/>
  <c r="S128" i="27" s="1"/>
  <c r="S131" i="27" s="1"/>
  <c r="J222" i="27"/>
  <c r="J223" i="27" s="1"/>
  <c r="J391" i="27" s="1"/>
  <c r="J212" i="27"/>
  <c r="J309" i="27" s="1"/>
  <c r="J312" i="27" s="1"/>
  <c r="J313" i="27" s="1"/>
  <c r="J400" i="27" s="1"/>
  <c r="AG377" i="28"/>
  <c r="AG140" i="28"/>
  <c r="K212" i="28"/>
  <c r="K309" i="28" s="1"/>
  <c r="K312" i="28" s="1"/>
  <c r="K313" i="28" s="1"/>
  <c r="K400" i="28" s="1"/>
  <c r="K222" i="28"/>
  <c r="K223" i="28" s="1"/>
  <c r="H397" i="27"/>
  <c r="L396" i="27"/>
  <c r="H175" i="27"/>
  <c r="G224" i="22"/>
  <c r="I62" i="29"/>
  <c r="AB321" i="29"/>
  <c r="V141" i="29"/>
  <c r="AC396" i="29"/>
  <c r="U141" i="29"/>
  <c r="S222" i="28"/>
  <c r="S223" i="28" s="1"/>
  <c r="S270" i="28" s="1"/>
  <c r="S272" i="28" s="1"/>
  <c r="AH141" i="28"/>
  <c r="G379" i="28"/>
  <c r="Z391" i="27"/>
  <c r="AG322" i="29"/>
  <c r="J142" i="28"/>
  <c r="G373" i="30"/>
  <c r="Q41" i="29"/>
  <c r="Q42" i="29" s="1"/>
  <c r="Q373" i="29" s="1"/>
  <c r="AF31" i="28"/>
  <c r="AF128" i="28" s="1"/>
  <c r="AF131" i="28" s="1"/>
  <c r="AD212" i="27"/>
  <c r="AD309" i="27" s="1"/>
  <c r="AD312" i="27" s="1"/>
  <c r="AD313" i="27" s="1"/>
  <c r="AD400" i="27" s="1"/>
  <c r="AD222" i="27"/>
  <c r="AD223" i="27" s="1"/>
  <c r="P41" i="28"/>
  <c r="P42" i="28" s="1"/>
  <c r="P31" i="28"/>
  <c r="P128" i="28" s="1"/>
  <c r="P131" i="28" s="1"/>
  <c r="P132" i="28" s="1"/>
  <c r="X41" i="28"/>
  <c r="X42" i="28" s="1"/>
  <c r="X373" i="28" s="1"/>
  <c r="X31" i="28"/>
  <c r="X128" i="28" s="1"/>
  <c r="X131" i="28" s="1"/>
  <c r="X132" i="28" s="1"/>
  <c r="X382" i="28" s="1"/>
  <c r="AK377" i="28"/>
  <c r="AK140" i="28"/>
  <c r="Z141" i="28"/>
  <c r="Z378" i="28"/>
  <c r="G212" i="28"/>
  <c r="G309" i="28" s="1"/>
  <c r="G312" i="28" s="1"/>
  <c r="G313" i="28" s="1"/>
  <c r="G400" i="28" s="1"/>
  <c r="G222" i="28"/>
  <c r="G223" i="28" s="1"/>
  <c r="G270" i="28" s="1"/>
  <c r="G272" i="28" s="1"/>
  <c r="AI212" i="28"/>
  <c r="AI309" i="28" s="1"/>
  <c r="AI312" i="28" s="1"/>
  <c r="AI313" i="28" s="1"/>
  <c r="AI400" i="28" s="1"/>
  <c r="AI222" i="28"/>
  <c r="AI223" i="28" s="1"/>
  <c r="AI270" i="28" s="1"/>
  <c r="AI272" i="28" s="1"/>
  <c r="H395" i="28"/>
  <c r="H320" i="28"/>
  <c r="H321" i="28"/>
  <c r="Z31" i="29"/>
  <c r="Z128" i="29" s="1"/>
  <c r="Z131" i="29" s="1"/>
  <c r="Z132" i="29" s="1"/>
  <c r="Z382" i="29" s="1"/>
  <c r="Z41" i="29"/>
  <c r="Z42" i="29" s="1"/>
  <c r="Z373" i="29" s="1"/>
  <c r="R397" i="27"/>
  <c r="M320" i="27"/>
  <c r="Q397" i="27"/>
  <c r="V321" i="27"/>
  <c r="U356" i="27"/>
  <c r="AC396" i="27"/>
  <c r="P322" i="27"/>
  <c r="AB397" i="27"/>
  <c r="AE175" i="28"/>
  <c r="V75" i="15"/>
  <c r="J243" i="28"/>
  <c r="S41" i="29"/>
  <c r="S42" i="29" s="1"/>
  <c r="S373" i="29" s="1"/>
  <c r="Y377" i="28"/>
  <c r="AG371" i="28"/>
  <c r="AG372" i="28" s="1"/>
  <c r="AG374" i="28" s="1"/>
  <c r="G243" i="27"/>
  <c r="AE373" i="28"/>
  <c r="AE89" i="28"/>
  <c r="AE91" i="28" s="1"/>
  <c r="AA212" i="28"/>
  <c r="AA309" i="28" s="1"/>
  <c r="AA312" i="28" s="1"/>
  <c r="AA313" i="28" s="1"/>
  <c r="AA400" i="28" s="1"/>
  <c r="H377" i="29"/>
  <c r="H139" i="29"/>
  <c r="AC140" i="29"/>
  <c r="AC142" i="29"/>
  <c r="AD141" i="29"/>
  <c r="AD378" i="29"/>
  <c r="G320" i="29"/>
  <c r="G397" i="29"/>
  <c r="H395" i="29"/>
  <c r="H320" i="29"/>
  <c r="L395" i="29"/>
  <c r="L323" i="29"/>
  <c r="L321" i="29"/>
  <c r="P395" i="29"/>
  <c r="P323" i="29"/>
  <c r="P321" i="29"/>
  <c r="X323" i="29"/>
  <c r="X395" i="29"/>
  <c r="X321" i="29"/>
  <c r="AF395" i="29"/>
  <c r="AF323" i="29"/>
  <c r="Y396" i="29"/>
  <c r="Y322" i="29"/>
  <c r="H243" i="29"/>
  <c r="X312" i="28"/>
  <c r="X313" i="28" s="1"/>
  <c r="X400" i="28" s="1"/>
  <c r="H243" i="28"/>
  <c r="Y372" i="27"/>
  <c r="Y374" i="27" s="1"/>
  <c r="X312" i="27"/>
  <c r="X313" i="27" s="1"/>
  <c r="X400" i="27" s="1"/>
  <c r="T131" i="29"/>
  <c r="T132" i="29" s="1"/>
  <c r="T382" i="29" s="1"/>
  <c r="L31" i="27"/>
  <c r="L128" i="27" s="1"/>
  <c r="L131" i="27" s="1"/>
  <c r="X131" i="27"/>
  <c r="X132" i="27" s="1"/>
  <c r="X382" i="27" s="1"/>
  <c r="K372" i="27"/>
  <c r="K374" i="27" s="1"/>
  <c r="N212" i="30"/>
  <c r="N309" i="30" s="1"/>
  <c r="N312" i="30" s="1"/>
  <c r="N313" i="30" s="1"/>
  <c r="N400" i="30" s="1"/>
  <c r="N222" i="30"/>
  <c r="N223" i="30" s="1"/>
  <c r="N391" i="30" s="1"/>
  <c r="AF31" i="29"/>
  <c r="AF128" i="29" s="1"/>
  <c r="AF131" i="29" s="1"/>
  <c r="AF41" i="29"/>
  <c r="AF42" i="29" s="1"/>
  <c r="H131" i="29"/>
  <c r="H132" i="29" s="1"/>
  <c r="H382" i="29" s="1"/>
  <c r="K212" i="29"/>
  <c r="K309" i="29" s="1"/>
  <c r="K312" i="29" s="1"/>
  <c r="K313" i="29" s="1"/>
  <c r="K400" i="29" s="1"/>
  <c r="K222" i="29"/>
  <c r="K223" i="29" s="1"/>
  <c r="L31" i="30"/>
  <c r="L128" i="30" s="1"/>
  <c r="L131" i="30" s="1"/>
  <c r="L41" i="30"/>
  <c r="L42" i="30" s="1"/>
  <c r="L373" i="30" s="1"/>
  <c r="T312" i="30"/>
  <c r="T313" i="30" s="1"/>
  <c r="T400" i="30" s="1"/>
  <c r="AI312" i="29"/>
  <c r="AI313" i="29" s="1"/>
  <c r="AI400" i="29" s="1"/>
  <c r="N62" i="15"/>
  <c r="I12" i="16" s="1"/>
  <c r="R62" i="15"/>
  <c r="V62" i="15"/>
  <c r="Z62" i="15"/>
  <c r="AD62" i="15"/>
  <c r="AH62" i="15"/>
  <c r="Q379" i="27"/>
  <c r="U379" i="27"/>
  <c r="J379" i="27"/>
  <c r="AH379" i="27"/>
  <c r="G140" i="27"/>
  <c r="K142" i="27"/>
  <c r="O140" i="27"/>
  <c r="O377" i="27"/>
  <c r="S140" i="27"/>
  <c r="W377" i="27"/>
  <c r="AA142" i="27"/>
  <c r="AE142" i="27"/>
  <c r="AI142" i="27"/>
  <c r="H141" i="27"/>
  <c r="L141" i="27"/>
  <c r="T378" i="27"/>
  <c r="X141" i="27"/>
  <c r="AB141" i="27"/>
  <c r="AF141" i="27"/>
  <c r="AJ141" i="27"/>
  <c r="W312" i="29"/>
  <c r="W313" i="29" s="1"/>
  <c r="W400" i="29" s="1"/>
  <c r="V61" i="15"/>
  <c r="T142" i="27"/>
  <c r="G390" i="27"/>
  <c r="G392" i="27" s="1"/>
  <c r="P312" i="28"/>
  <c r="P313" i="28" s="1"/>
  <c r="P400" i="28" s="1"/>
  <c r="G397" i="28"/>
  <c r="Q321" i="28"/>
  <c r="U321" i="28"/>
  <c r="AG321" i="28"/>
  <c r="AK395" i="28"/>
  <c r="J322" i="28"/>
  <c r="V396" i="28"/>
  <c r="Z396" i="28"/>
  <c r="AH322" i="28"/>
  <c r="AG390" i="29"/>
  <c r="AG392" i="29" s="1"/>
  <c r="AE396" i="29"/>
  <c r="AJ312" i="30"/>
  <c r="AJ313" i="30" s="1"/>
  <c r="AJ400" i="30" s="1"/>
  <c r="AB131" i="29"/>
  <c r="AB132" i="29" s="1"/>
  <c r="AB382" i="29" s="1"/>
  <c r="O312" i="29"/>
  <c r="O313" i="29" s="1"/>
  <c r="O400" i="29" s="1"/>
  <c r="AJ69" i="15"/>
  <c r="N131" i="28"/>
  <c r="N132" i="28" s="1"/>
  <c r="N382" i="28" s="1"/>
  <c r="R131" i="28"/>
  <c r="R132" i="28" s="1"/>
  <c r="R382" i="28" s="1"/>
  <c r="I379" i="28"/>
  <c r="Q379" i="28"/>
  <c r="AG379" i="28"/>
  <c r="I312" i="28"/>
  <c r="I313" i="28" s="1"/>
  <c r="AG397" i="28"/>
  <c r="L322" i="28"/>
  <c r="T322" i="28"/>
  <c r="S372" i="29"/>
  <c r="S374" i="29" s="1"/>
  <c r="AB372" i="28"/>
  <c r="AB374" i="28" s="1"/>
  <c r="X377" i="29"/>
  <c r="I141" i="29"/>
  <c r="AJ397" i="27"/>
  <c r="N321" i="27"/>
  <c r="V175" i="27"/>
  <c r="M25" i="19" s="1"/>
  <c r="AD175" i="27"/>
  <c r="AF75" i="15"/>
  <c r="AE395" i="27"/>
  <c r="O323" i="27"/>
  <c r="AD356" i="27"/>
  <c r="AB395" i="27"/>
  <c r="H395" i="27"/>
  <c r="AD395" i="27"/>
  <c r="AE332" i="27"/>
  <c r="AE398" i="27" s="1"/>
  <c r="S175" i="27"/>
  <c r="AA175" i="27"/>
  <c r="N25" i="19" s="1"/>
  <c r="AI175" i="27"/>
  <c r="G72" i="26"/>
  <c r="I72" i="26"/>
  <c r="H72" i="26"/>
  <c r="X378" i="27"/>
  <c r="AJ60" i="15"/>
  <c r="O212" i="27"/>
  <c r="O309" i="27" s="1"/>
  <c r="O312" i="27" s="1"/>
  <c r="O313" i="27" s="1"/>
  <c r="O400" i="27" s="1"/>
  <c r="AE140" i="27"/>
  <c r="K391" i="27"/>
  <c r="G141" i="27"/>
  <c r="AE378" i="27"/>
  <c r="AC372" i="28"/>
  <c r="AC374" i="28" s="1"/>
  <c r="AF321" i="27"/>
  <c r="X71" i="22"/>
  <c r="I396" i="27"/>
  <c r="L322" i="27"/>
  <c r="T397" i="27"/>
  <c r="L321" i="27"/>
  <c r="Q321" i="27"/>
  <c r="M395" i="27"/>
  <c r="AD332" i="27"/>
  <c r="AD398" i="27" s="1"/>
  <c r="AK322" i="27"/>
  <c r="I175" i="27"/>
  <c r="K126" i="22"/>
  <c r="AG31" i="28"/>
  <c r="AG128" i="28" s="1"/>
  <c r="AG131" i="28" s="1"/>
  <c r="AG132" i="28" s="1"/>
  <c r="AG382" i="28" s="1"/>
  <c r="H378" i="27"/>
  <c r="G377" i="27"/>
  <c r="Y41" i="27"/>
  <c r="Y42" i="27" s="1"/>
  <c r="K212" i="27"/>
  <c r="K309" i="27" s="1"/>
  <c r="K312" i="27" s="1"/>
  <c r="K313" i="27" s="1"/>
  <c r="K400" i="27" s="1"/>
  <c r="H212" i="27"/>
  <c r="H309" i="27" s="1"/>
  <c r="H312" i="27" s="1"/>
  <c r="H313" i="27" s="1"/>
  <c r="R31" i="27"/>
  <c r="R128" i="27" s="1"/>
  <c r="R131" i="27" s="1"/>
  <c r="R132" i="27" s="1"/>
  <c r="R382" i="27" s="1"/>
  <c r="R41" i="27"/>
  <c r="R42" i="27" s="1"/>
  <c r="R373" i="27" s="1"/>
  <c r="L62" i="15"/>
  <c r="T62" i="15"/>
  <c r="I323" i="27"/>
  <c r="H126" i="22"/>
  <c r="AF378" i="27"/>
  <c r="AE377" i="27"/>
  <c r="I41" i="27"/>
  <c r="AK41" i="28"/>
  <c r="AK42" i="28" s="1"/>
  <c r="W41" i="27"/>
  <c r="W42" i="27" s="1"/>
  <c r="W373" i="27" s="1"/>
  <c r="W31" i="27"/>
  <c r="W128" i="27" s="1"/>
  <c r="W131" i="27" s="1"/>
  <c r="W132" i="27" s="1"/>
  <c r="AG222" i="27"/>
  <c r="AG223" i="27" s="1"/>
  <c r="AG270" i="27" s="1"/>
  <c r="AG272" i="27" s="1"/>
  <c r="AG212" i="27"/>
  <c r="AG309" i="27" s="1"/>
  <c r="AG312" i="27" s="1"/>
  <c r="AG313" i="27" s="1"/>
  <c r="AG400" i="27" s="1"/>
  <c r="AK312" i="27"/>
  <c r="AK313" i="27" s="1"/>
  <c r="AK400" i="27" s="1"/>
  <c r="J222" i="28"/>
  <c r="J223" i="28" s="1"/>
  <c r="J270" i="28" s="1"/>
  <c r="J272" i="28" s="1"/>
  <c r="J212" i="28"/>
  <c r="J309" i="28" s="1"/>
  <c r="J312" i="28" s="1"/>
  <c r="J313" i="28" s="1"/>
  <c r="J400" i="28" s="1"/>
  <c r="R212" i="28"/>
  <c r="R309" i="28" s="1"/>
  <c r="R312" i="28" s="1"/>
  <c r="R313" i="28" s="1"/>
  <c r="R400" i="28" s="1"/>
  <c r="R222" i="28"/>
  <c r="R223" i="28" s="1"/>
  <c r="R270" i="28" s="1"/>
  <c r="R272" i="28" s="1"/>
  <c r="G397" i="27"/>
  <c r="AB312" i="29"/>
  <c r="AB313" i="29" s="1"/>
  <c r="AB400" i="29" s="1"/>
  <c r="G323" i="27"/>
  <c r="L372" i="27"/>
  <c r="L374" i="27" s="1"/>
  <c r="AJ372" i="27"/>
  <c r="AJ374" i="27" s="1"/>
  <c r="M372" i="27"/>
  <c r="M374" i="27" s="1"/>
  <c r="U372" i="27"/>
  <c r="U374" i="27" s="1"/>
  <c r="N372" i="27"/>
  <c r="N374" i="27" s="1"/>
  <c r="O390" i="27"/>
  <c r="O392" i="27" s="1"/>
  <c r="W390" i="27"/>
  <c r="W392" i="27" s="1"/>
  <c r="AE390" i="27"/>
  <c r="AE392" i="27" s="1"/>
  <c r="H390" i="27"/>
  <c r="H392" i="27" s="1"/>
  <c r="P390" i="27"/>
  <c r="P392" i="27" s="1"/>
  <c r="X390" i="27"/>
  <c r="X392" i="27" s="1"/>
  <c r="I390" i="27"/>
  <c r="I392" i="27" s="1"/>
  <c r="Q390" i="27"/>
  <c r="Q392" i="27" s="1"/>
  <c r="Y390" i="27"/>
  <c r="Y392" i="27" s="1"/>
  <c r="AG390" i="27"/>
  <c r="AG392" i="27" s="1"/>
  <c r="M379" i="28"/>
  <c r="G377" i="28"/>
  <c r="O142" i="28"/>
  <c r="H142" i="28"/>
  <c r="AF141" i="28"/>
  <c r="H397" i="28"/>
  <c r="AC397" i="28"/>
  <c r="G396" i="28"/>
  <c r="O396" i="28"/>
  <c r="AE323" i="28"/>
  <c r="H332" i="28"/>
  <c r="H333" i="28" s="1"/>
  <c r="AG332" i="28"/>
  <c r="AG398" i="28" s="1"/>
  <c r="AF372" i="28"/>
  <c r="AF374" i="28" s="1"/>
  <c r="M390" i="28"/>
  <c r="M392" i="28" s="1"/>
  <c r="AC390" i="28"/>
  <c r="AC392" i="28" s="1"/>
  <c r="AJ312" i="29"/>
  <c r="AJ313" i="29" s="1"/>
  <c r="AJ400" i="29" s="1"/>
  <c r="O397" i="29"/>
  <c r="W397" i="29"/>
  <c r="AE397" i="29"/>
  <c r="AG321" i="29"/>
  <c r="G332" i="29"/>
  <c r="G398" i="29" s="1"/>
  <c r="H332" i="29"/>
  <c r="H333" i="29" s="1"/>
  <c r="AG312" i="29"/>
  <c r="AG313" i="29" s="1"/>
  <c r="AG400" i="29" s="1"/>
  <c r="G62" i="30"/>
  <c r="R40" i="22"/>
  <c r="AA312" i="29"/>
  <c r="AA313" i="29" s="1"/>
  <c r="AA400" i="29" s="1"/>
  <c r="V312" i="29"/>
  <c r="V313" i="29" s="1"/>
  <c r="V400" i="29" s="1"/>
  <c r="E100" i="22"/>
  <c r="V379" i="27"/>
  <c r="G379" i="27"/>
  <c r="W139" i="27"/>
  <c r="H142" i="27"/>
  <c r="L140" i="27"/>
  <c r="P377" i="27"/>
  <c r="T377" i="27"/>
  <c r="X140" i="27"/>
  <c r="AB377" i="27"/>
  <c r="AF142" i="27"/>
  <c r="AJ377" i="27"/>
  <c r="I141" i="27"/>
  <c r="M378" i="27"/>
  <c r="Q141" i="27"/>
  <c r="Y378" i="27"/>
  <c r="AG141" i="27"/>
  <c r="AK141" i="27"/>
  <c r="K379" i="27"/>
  <c r="M140" i="27"/>
  <c r="U377" i="27"/>
  <c r="N141" i="27"/>
  <c r="V151" i="27"/>
  <c r="V380" i="27" s="1"/>
  <c r="W151" i="27"/>
  <c r="W380" i="27" s="1"/>
  <c r="P151" i="27"/>
  <c r="P380" i="27" s="1"/>
  <c r="M75" i="15"/>
  <c r="AK75" i="15"/>
  <c r="N390" i="27"/>
  <c r="N392" i="27" s="1"/>
  <c r="AE312" i="28"/>
  <c r="AE313" i="28" s="1"/>
  <c r="AE400" i="28" s="1"/>
  <c r="N397" i="28"/>
  <c r="AJ377" i="29"/>
  <c r="AC141" i="29"/>
  <c r="G139" i="29"/>
  <c r="I377" i="29"/>
  <c r="Q377" i="29"/>
  <c r="Y377" i="29"/>
  <c r="J141" i="29"/>
  <c r="Z141" i="29"/>
  <c r="AH141" i="29"/>
  <c r="G312" i="29"/>
  <c r="G313" i="29" s="1"/>
  <c r="G400" i="29" s="1"/>
  <c r="AE312" i="29"/>
  <c r="AE313" i="29" s="1"/>
  <c r="AE400" i="29" s="1"/>
  <c r="AE131" i="29"/>
  <c r="AE132" i="29" s="1"/>
  <c r="AE382" i="29" s="1"/>
  <c r="K312" i="30"/>
  <c r="K313" i="30" s="1"/>
  <c r="K400" i="30" s="1"/>
  <c r="AF323" i="27"/>
  <c r="AB321" i="27"/>
  <c r="AJ391" i="28"/>
  <c r="AJ270" i="28"/>
  <c r="AJ272" i="28" s="1"/>
  <c r="AK372" i="27"/>
  <c r="AK374" i="27" s="1"/>
  <c r="Y270" i="28"/>
  <c r="Y272" i="28" s="1"/>
  <c r="Y391" i="28"/>
  <c r="L126" i="22"/>
  <c r="R372" i="27"/>
  <c r="R374" i="27" s="1"/>
  <c r="V356" i="27"/>
  <c r="AE270" i="27"/>
  <c r="AE272" i="27" s="1"/>
  <c r="AE391" i="27"/>
  <c r="O356" i="27"/>
  <c r="T323" i="27"/>
  <c r="Y321" i="27"/>
  <c r="K396" i="27"/>
  <c r="Y397" i="27"/>
  <c r="V396" i="27"/>
  <c r="AI396" i="27"/>
  <c r="H141" i="28"/>
  <c r="H139" i="28"/>
  <c r="AB372" i="27"/>
  <c r="AB374" i="27" s="1"/>
  <c r="H377" i="27"/>
  <c r="R270" i="27"/>
  <c r="R272" i="27" s="1"/>
  <c r="G222" i="29"/>
  <c r="G223" i="29" s="1"/>
  <c r="G391" i="29" s="1"/>
  <c r="G322" i="28"/>
  <c r="G322" i="27"/>
  <c r="AC41" i="28"/>
  <c r="AC42" i="28" s="1"/>
  <c r="AC373" i="28" s="1"/>
  <c r="T139" i="27"/>
  <c r="M139" i="27"/>
  <c r="AC379" i="27"/>
  <c r="AK379" i="27"/>
  <c r="N377" i="27"/>
  <c r="AD140" i="27"/>
  <c r="AE141" i="27"/>
  <c r="Y379" i="27"/>
  <c r="AG151" i="27"/>
  <c r="AG380" i="27" s="1"/>
  <c r="S377" i="27"/>
  <c r="AA377" i="27"/>
  <c r="AI377" i="27"/>
  <c r="L378" i="27"/>
  <c r="AB378" i="27"/>
  <c r="AJ378" i="27"/>
  <c r="X222" i="27"/>
  <c r="X223" i="27" s="1"/>
  <c r="X391" i="27" s="1"/>
  <c r="L312" i="28"/>
  <c r="L313" i="28" s="1"/>
  <c r="L400" i="28" s="1"/>
  <c r="AB312" i="28"/>
  <c r="AB313" i="28" s="1"/>
  <c r="AB400" i="28" s="1"/>
  <c r="G320" i="28"/>
  <c r="K332" i="28"/>
  <c r="K398" i="28" s="1"/>
  <c r="L323" i="28"/>
  <c r="AB323" i="28"/>
  <c r="AK332" i="28"/>
  <c r="AK398" i="28" s="1"/>
  <c r="G332" i="28"/>
  <c r="G372" i="28"/>
  <c r="G374" i="28" s="1"/>
  <c r="S390" i="29"/>
  <c r="S392" i="29" s="1"/>
  <c r="Q40" i="22"/>
  <c r="AJ131" i="29"/>
  <c r="AJ132" i="29" s="1"/>
  <c r="AJ382" i="29" s="1"/>
  <c r="J131" i="29"/>
  <c r="J132" i="29" s="1"/>
  <c r="J382" i="29" s="1"/>
  <c r="G396" i="27"/>
  <c r="AC60" i="15"/>
  <c r="AK222" i="27"/>
  <c r="AK223" i="27" s="1"/>
  <c r="AJ372" i="28"/>
  <c r="AJ374" i="28" s="1"/>
  <c r="N131" i="29"/>
  <c r="N132" i="29" s="1"/>
  <c r="N382" i="29" s="1"/>
  <c r="H379" i="29"/>
  <c r="G151" i="29"/>
  <c r="N40" i="22"/>
  <c r="O332" i="27"/>
  <c r="O398" i="27" s="1"/>
  <c r="Z332" i="27"/>
  <c r="Z398" i="27" s="1"/>
  <c r="Y71" i="22"/>
  <c r="AJ89" i="28"/>
  <c r="AJ91" i="28" s="1"/>
  <c r="AF212" i="27"/>
  <c r="AF309" i="27" s="1"/>
  <c r="AF312" i="27" s="1"/>
  <c r="AF313" i="27" s="1"/>
  <c r="H140" i="27"/>
  <c r="O139" i="27"/>
  <c r="AE379" i="27"/>
  <c r="G151" i="27"/>
  <c r="O151" i="27"/>
  <c r="O380" i="27" s="1"/>
  <c r="AE151" i="27"/>
  <c r="AE380" i="27" s="1"/>
  <c r="H151" i="27"/>
  <c r="H380" i="27" s="1"/>
  <c r="X151" i="27"/>
  <c r="X380" i="27" s="1"/>
  <c r="AF151" i="27"/>
  <c r="AF380" i="27" s="1"/>
  <c r="N151" i="28"/>
  <c r="N380" i="28" s="1"/>
  <c r="AC62" i="15"/>
  <c r="O131" i="30"/>
  <c r="O132" i="30" s="1"/>
  <c r="O382" i="30" s="1"/>
  <c r="Y396" i="27"/>
  <c r="I62" i="28"/>
  <c r="I371" i="28"/>
  <c r="I372" i="28" s="1"/>
  <c r="I374" i="28" s="1"/>
  <c r="AD372" i="27"/>
  <c r="AD374" i="27" s="1"/>
  <c r="G140" i="28"/>
  <c r="G139" i="28"/>
  <c r="G151" i="28"/>
  <c r="W151" i="28"/>
  <c r="W380" i="28" s="1"/>
  <c r="X379" i="28"/>
  <c r="AF379" i="28"/>
  <c r="J378" i="28"/>
  <c r="Z142" i="28"/>
  <c r="AH378" i="28"/>
  <c r="R312" i="29"/>
  <c r="R313" i="29" s="1"/>
  <c r="R400" i="29" s="1"/>
  <c r="V372" i="27"/>
  <c r="V374" i="27" s="1"/>
  <c r="J89" i="27"/>
  <c r="J91" i="27" s="1"/>
  <c r="P131" i="29"/>
  <c r="P132" i="29" s="1"/>
  <c r="P382" i="29" s="1"/>
  <c r="W131" i="29"/>
  <c r="W132" i="29" s="1"/>
  <c r="W382" i="29" s="1"/>
  <c r="G142" i="28"/>
  <c r="I142" i="27"/>
  <c r="X131" i="29"/>
  <c r="X132" i="29" s="1"/>
  <c r="X382" i="29" s="1"/>
  <c r="AG139" i="27"/>
  <c r="J31" i="27"/>
  <c r="J128" i="27" s="1"/>
  <c r="J131" i="27" s="1"/>
  <c r="J132" i="27" s="1"/>
  <c r="J382" i="27" s="1"/>
  <c r="H372" i="27"/>
  <c r="H374" i="27" s="1"/>
  <c r="P372" i="27"/>
  <c r="P374" i="27" s="1"/>
  <c r="X372" i="27"/>
  <c r="X374" i="27" s="1"/>
  <c r="AF372" i="27"/>
  <c r="AF374" i="27" s="1"/>
  <c r="I372" i="27"/>
  <c r="I374" i="27" s="1"/>
  <c r="J390" i="27"/>
  <c r="J392" i="27" s="1"/>
  <c r="R390" i="27"/>
  <c r="R392" i="27" s="1"/>
  <c r="Z390" i="27"/>
  <c r="Z392" i="27" s="1"/>
  <c r="AH390" i="27"/>
  <c r="AH392" i="27" s="1"/>
  <c r="K390" i="27"/>
  <c r="K392" i="27" s="1"/>
  <c r="L390" i="27"/>
  <c r="L392" i="27" s="1"/>
  <c r="AB390" i="27"/>
  <c r="AB392" i="27" s="1"/>
  <c r="V41" i="29"/>
  <c r="V42" i="29" s="1"/>
  <c r="I31" i="29"/>
  <c r="I128" i="29" s="1"/>
  <c r="I131" i="29" s="1"/>
  <c r="I132" i="29" s="1"/>
  <c r="I382" i="29" s="1"/>
  <c r="AB332" i="27"/>
  <c r="AB398" i="27" s="1"/>
  <c r="V71" i="22"/>
  <c r="T372" i="27"/>
  <c r="T374" i="27" s="1"/>
  <c r="Q41" i="27"/>
  <c r="Q42" i="27" s="1"/>
  <c r="AE222" i="28"/>
  <c r="AE223" i="28" s="1"/>
  <c r="AF140" i="27"/>
  <c r="AJ31" i="28"/>
  <c r="AJ128" i="28" s="1"/>
  <c r="AJ131" i="28" s="1"/>
  <c r="AJ132" i="28" s="1"/>
  <c r="AJ382" i="28" s="1"/>
  <c r="AC379" i="28"/>
  <c r="W377" i="28"/>
  <c r="AE140" i="28"/>
  <c r="P378" i="28"/>
  <c r="X378" i="28"/>
  <c r="AF378" i="28"/>
  <c r="G243" i="28"/>
  <c r="AD41" i="30"/>
  <c r="Y397" i="30"/>
  <c r="K323" i="30"/>
  <c r="AD332" i="30"/>
  <c r="AD398" i="30" s="1"/>
  <c r="W396" i="27"/>
  <c r="R212" i="27"/>
  <c r="R309" i="27" s="1"/>
  <c r="R312" i="27" s="1"/>
  <c r="R313" i="27" s="1"/>
  <c r="R400" i="27" s="1"/>
  <c r="M41" i="28"/>
  <c r="M42" i="28" s="1"/>
  <c r="M373" i="28" s="1"/>
  <c r="G356" i="27"/>
  <c r="AI372" i="27"/>
  <c r="AI374" i="27" s="1"/>
  <c r="H396" i="27"/>
  <c r="T320" i="27"/>
  <c r="T395" i="27"/>
  <c r="K395" i="27"/>
  <c r="AG356" i="27"/>
  <c r="I332" i="27"/>
  <c r="I333" i="27" s="1"/>
  <c r="R323" i="27"/>
  <c r="J396" i="27"/>
  <c r="O322" i="27"/>
  <c r="AK89" i="27"/>
  <c r="AK91" i="27" s="1"/>
  <c r="V139" i="27"/>
  <c r="V377" i="27"/>
  <c r="G139" i="27"/>
  <c r="G378" i="27"/>
  <c r="G175" i="27"/>
  <c r="G142" i="27"/>
  <c r="O378" i="27"/>
  <c r="O141" i="27"/>
  <c r="W141" i="27"/>
  <c r="W378" i="27"/>
  <c r="H139" i="27"/>
  <c r="P139" i="27"/>
  <c r="K140" i="27"/>
  <c r="K377" i="27"/>
  <c r="G31" i="29"/>
  <c r="G128" i="29" s="1"/>
  <c r="G131" i="29" s="1"/>
  <c r="G132" i="29" s="1"/>
  <c r="G382" i="29" s="1"/>
  <c r="G41" i="29"/>
  <c r="G42" i="29" s="1"/>
  <c r="G89" i="29" s="1"/>
  <c r="G91" i="29" s="1"/>
  <c r="K322" i="27"/>
  <c r="T321" i="27"/>
  <c r="AE397" i="27"/>
  <c r="V323" i="27"/>
  <c r="Y395" i="27"/>
  <c r="T332" i="27"/>
  <c r="T398" i="27" s="1"/>
  <c r="L356" i="27"/>
  <c r="AG397" i="27"/>
  <c r="P323" i="27"/>
  <c r="J356" i="27"/>
  <c r="Z71" i="22"/>
  <c r="AG372" i="27"/>
  <c r="AG374" i="27" s="1"/>
  <c r="G372" i="27"/>
  <c r="G374" i="27" s="1"/>
  <c r="P31" i="27"/>
  <c r="P128" i="27" s="1"/>
  <c r="P131" i="27" s="1"/>
  <c r="P132" i="27" s="1"/>
  <c r="P382" i="27" s="1"/>
  <c r="P41" i="27"/>
  <c r="P42" i="27" s="1"/>
  <c r="AB41" i="28"/>
  <c r="AB42" i="28" s="1"/>
  <c r="AB31" i="28"/>
  <c r="AB128" i="28" s="1"/>
  <c r="AB131" i="28" s="1"/>
  <c r="AB132" i="28" s="1"/>
  <c r="AB382" i="28" s="1"/>
  <c r="AD212" i="28"/>
  <c r="AD309" i="28" s="1"/>
  <c r="AD312" i="28" s="1"/>
  <c r="AD313" i="28" s="1"/>
  <c r="AD400" i="28" s="1"/>
  <c r="AD222" i="28"/>
  <c r="AD223" i="28" s="1"/>
  <c r="AD391" i="28" s="1"/>
  <c r="AE379" i="29"/>
  <c r="AE151" i="29"/>
  <c r="AE380" i="29" s="1"/>
  <c r="H151" i="29"/>
  <c r="H142" i="29"/>
  <c r="R320" i="27"/>
  <c r="S321" i="27"/>
  <c r="W356" i="27"/>
  <c r="AF332" i="27"/>
  <c r="AF398" i="27" s="1"/>
  <c r="N332" i="27"/>
  <c r="N398" i="27" s="1"/>
  <c r="AJ396" i="27"/>
  <c r="U323" i="27"/>
  <c r="AH395" i="27"/>
  <c r="N175" i="27"/>
  <c r="AA71" i="22"/>
  <c r="S71" i="22"/>
  <c r="Q131" i="27"/>
  <c r="L26" i="19" s="1"/>
  <c r="L28" i="19" s="1"/>
  <c r="L391" i="27"/>
  <c r="L270" i="27"/>
  <c r="L272" i="27" s="1"/>
  <c r="Y212" i="27"/>
  <c r="Y309" i="27" s="1"/>
  <c r="Y312" i="27" s="1"/>
  <c r="Y313" i="27" s="1"/>
  <c r="Y400" i="27" s="1"/>
  <c r="Y222" i="27"/>
  <c r="Y223" i="27" s="1"/>
  <c r="U41" i="28"/>
  <c r="U42" i="28" s="1"/>
  <c r="U31" i="28"/>
  <c r="U128" i="28" s="1"/>
  <c r="U131" i="28" s="1"/>
  <c r="W212" i="28"/>
  <c r="W309" i="28" s="1"/>
  <c r="W312" i="28" s="1"/>
  <c r="W313" i="28" s="1"/>
  <c r="W400" i="28" s="1"/>
  <c r="W222" i="28"/>
  <c r="W223" i="28" s="1"/>
  <c r="P397" i="27"/>
  <c r="J332" i="27"/>
  <c r="V397" i="27"/>
  <c r="AH332" i="27"/>
  <c r="AH398" i="27" s="1"/>
  <c r="W321" i="27"/>
  <c r="K71" i="22"/>
  <c r="M126" i="22"/>
  <c r="Y139" i="27"/>
  <c r="Y142" i="27"/>
  <c r="K139" i="27"/>
  <c r="S222" i="27"/>
  <c r="S223" i="27" s="1"/>
  <c r="S212" i="27"/>
  <c r="S309" i="27" s="1"/>
  <c r="S312" i="27" s="1"/>
  <c r="S313" i="27" s="1"/>
  <c r="S400" i="27" s="1"/>
  <c r="AI356" i="27"/>
  <c r="Z356" i="27"/>
  <c r="N356" i="27"/>
  <c r="I397" i="27"/>
  <c r="R396" i="27"/>
  <c r="AA397" i="27"/>
  <c r="AE322" i="27"/>
  <c r="Q372" i="27"/>
  <c r="Q374" i="27" s="1"/>
  <c r="O391" i="27"/>
  <c r="V378" i="28"/>
  <c r="V141" i="28"/>
  <c r="AD378" i="28"/>
  <c r="AD141" i="28"/>
  <c r="H151" i="28"/>
  <c r="H380" i="28" s="1"/>
  <c r="H379" i="28"/>
  <c r="R378" i="28"/>
  <c r="R142" i="28"/>
  <c r="AE41" i="27"/>
  <c r="AE42" i="27" s="1"/>
  <c r="AE31" i="27"/>
  <c r="AE128" i="27" s="1"/>
  <c r="AE131" i="27" s="1"/>
  <c r="AE132" i="27" s="1"/>
  <c r="AE382" i="27" s="1"/>
  <c r="AA372" i="27"/>
  <c r="AA374" i="27" s="1"/>
  <c r="G332" i="27"/>
  <c r="G320" i="27"/>
  <c r="AA390" i="27"/>
  <c r="AA392" i="27" s="1"/>
  <c r="H31" i="28"/>
  <c r="H128" i="28" s="1"/>
  <c r="H131" i="28" s="1"/>
  <c r="H132" i="28" s="1"/>
  <c r="H382" i="28" s="1"/>
  <c r="H41" i="28"/>
  <c r="AF356" i="27"/>
  <c r="H323" i="27"/>
  <c r="H321" i="27"/>
  <c r="AG332" i="27"/>
  <c r="AG398" i="27" s="1"/>
  <c r="H332" i="27"/>
  <c r="H398" i="27" s="1"/>
  <c r="M332" i="27"/>
  <c r="M398" i="27" s="1"/>
  <c r="V322" i="27"/>
  <c r="Z396" i="27"/>
  <c r="U71" i="22"/>
  <c r="W71" i="22"/>
  <c r="J71" i="22"/>
  <c r="Y131" i="27"/>
  <c r="Y132" i="27" s="1"/>
  <c r="Y382" i="27" s="1"/>
  <c r="AK321" i="27"/>
  <c r="H322" i="27"/>
  <c r="U320" i="27"/>
  <c r="AA395" i="27"/>
  <c r="AJ332" i="27"/>
  <c r="AJ398" i="27" s="1"/>
  <c r="X397" i="27"/>
  <c r="L332" i="27"/>
  <c r="L398" i="27" s="1"/>
  <c r="R332" i="27"/>
  <c r="R398" i="27" s="1"/>
  <c r="H356" i="27"/>
  <c r="G71" i="22"/>
  <c r="G126" i="22"/>
  <c r="G169" i="22"/>
  <c r="W372" i="27"/>
  <c r="W374" i="27" s="1"/>
  <c r="AI390" i="27"/>
  <c r="AI392" i="27" s="1"/>
  <c r="AH372" i="27"/>
  <c r="AH374" i="27" s="1"/>
  <c r="AB391" i="27"/>
  <c r="O142" i="27"/>
  <c r="T31" i="27"/>
  <c r="T128" i="27" s="1"/>
  <c r="T131" i="27" s="1"/>
  <c r="T132" i="27" s="1"/>
  <c r="T382" i="27" s="1"/>
  <c r="T41" i="27"/>
  <c r="T42" i="27" s="1"/>
  <c r="H62" i="27"/>
  <c r="M379" i="27"/>
  <c r="AD139" i="27"/>
  <c r="O379" i="27"/>
  <c r="W379" i="27"/>
  <c r="AE139" i="27"/>
  <c r="X139" i="27"/>
  <c r="K151" i="27"/>
  <c r="K380" i="27" s="1"/>
  <c r="S151" i="27"/>
  <c r="S380" i="27" s="1"/>
  <c r="AA151" i="27"/>
  <c r="AA380" i="27" s="1"/>
  <c r="AI151" i="27"/>
  <c r="AI380" i="27" s="1"/>
  <c r="L151" i="27"/>
  <c r="T379" i="27"/>
  <c r="AB151" i="27"/>
  <c r="AB380" i="27" s="1"/>
  <c r="AJ379" i="27"/>
  <c r="M151" i="27"/>
  <c r="M380" i="27" s="1"/>
  <c r="U140" i="27"/>
  <c r="AK377" i="27"/>
  <c r="V141" i="27"/>
  <c r="G371" i="30"/>
  <c r="G372" i="30" s="1"/>
  <c r="G374" i="30" s="1"/>
  <c r="AK212" i="30"/>
  <c r="AK309" i="30" s="1"/>
  <c r="AK312" i="30" s="1"/>
  <c r="AK313" i="30" s="1"/>
  <c r="AK400" i="30" s="1"/>
  <c r="P212" i="30"/>
  <c r="P309" i="30" s="1"/>
  <c r="P312" i="30" s="1"/>
  <c r="P313" i="30" s="1"/>
  <c r="P400" i="30" s="1"/>
  <c r="P372" i="28"/>
  <c r="P374" i="28" s="1"/>
  <c r="O379" i="28"/>
  <c r="AH151" i="28"/>
  <c r="AH380" i="28" s="1"/>
  <c r="T151" i="28"/>
  <c r="T380" i="28" s="1"/>
  <c r="R372" i="28"/>
  <c r="R374" i="28" s="1"/>
  <c r="AA372" i="28"/>
  <c r="AA374" i="28" s="1"/>
  <c r="AI372" i="28"/>
  <c r="AI374" i="28" s="1"/>
  <c r="AB321" i="30"/>
  <c r="U41" i="27"/>
  <c r="U42" i="27" s="1"/>
  <c r="S379" i="29"/>
  <c r="AA379" i="29"/>
  <c r="L377" i="29"/>
  <c r="T140" i="29"/>
  <c r="AB140" i="29"/>
  <c r="AJ140" i="29"/>
  <c r="M142" i="29"/>
  <c r="AC378" i="29"/>
  <c r="AK142" i="29"/>
  <c r="S397" i="29"/>
  <c r="AA397" i="29"/>
  <c r="AI397" i="29"/>
  <c r="V322" i="29"/>
  <c r="O131" i="29"/>
  <c r="O132" i="29" s="1"/>
  <c r="O382" i="29" s="1"/>
  <c r="U131" i="27"/>
  <c r="U132" i="27" s="1"/>
  <c r="U382" i="27" s="1"/>
  <c r="O372" i="29"/>
  <c r="O374" i="29" s="1"/>
  <c r="AE372" i="29"/>
  <c r="AE374" i="29" s="1"/>
  <c r="N372" i="29"/>
  <c r="N374" i="29" s="1"/>
  <c r="AJ61" i="15"/>
  <c r="AA61" i="15"/>
  <c r="Q49" i="22"/>
  <c r="I139" i="27"/>
  <c r="R379" i="27"/>
  <c r="Z139" i="27"/>
  <c r="S139" i="27"/>
  <c r="AA139" i="27"/>
  <c r="AI139" i="27"/>
  <c r="U139" i="27"/>
  <c r="AC139" i="27"/>
  <c r="X379" i="27"/>
  <c r="I377" i="27"/>
  <c r="Q151" i="27"/>
  <c r="Q380" i="27" s="1"/>
  <c r="Y140" i="27"/>
  <c r="AG377" i="27"/>
  <c r="J378" i="27"/>
  <c r="R142" i="27"/>
  <c r="Z378" i="27"/>
  <c r="AH141" i="27"/>
  <c r="H390" i="30"/>
  <c r="H392" i="30" s="1"/>
  <c r="AE372" i="27"/>
  <c r="AE374" i="27" s="1"/>
  <c r="AD131" i="29"/>
  <c r="AD132" i="29" s="1"/>
  <c r="AD382" i="29" s="1"/>
  <c r="Z379" i="28"/>
  <c r="AH397" i="30"/>
  <c r="G332" i="30"/>
  <c r="G398" i="30" s="1"/>
  <c r="X395" i="30"/>
  <c r="Q322" i="30"/>
  <c r="R312" i="30"/>
  <c r="R313" i="30" s="1"/>
  <c r="R400" i="30" s="1"/>
  <c r="O372" i="27"/>
  <c r="O374" i="27" s="1"/>
  <c r="I131" i="27"/>
  <c r="AG372" i="29"/>
  <c r="AG374" i="29" s="1"/>
  <c r="AE61" i="15"/>
  <c r="T356" i="27"/>
  <c r="AH320" i="27"/>
  <c r="Q323" i="27"/>
  <c r="AJ320" i="27"/>
  <c r="X320" i="27"/>
  <c r="P320" i="27"/>
  <c r="O396" i="27"/>
  <c r="X332" i="27"/>
  <c r="X398" i="27" s="1"/>
  <c r="R395" i="27"/>
  <c r="W332" i="27"/>
  <c r="W398" i="27" s="1"/>
  <c r="X395" i="27"/>
  <c r="J321" i="27"/>
  <c r="R356" i="27"/>
  <c r="AJ323" i="27"/>
  <c r="AC332" i="27"/>
  <c r="AC398" i="27" s="1"/>
  <c r="AC397" i="27"/>
  <c r="AI397" i="27"/>
  <c r="Z322" i="27"/>
  <c r="AD321" i="27"/>
  <c r="L323" i="27"/>
  <c r="Z323" i="27"/>
  <c r="Q320" i="27"/>
  <c r="S396" i="27"/>
  <c r="AD323" i="27"/>
  <c r="O397" i="27"/>
  <c r="AH321" i="27"/>
  <c r="AF395" i="27"/>
  <c r="U395" i="27"/>
  <c r="L71" i="22"/>
  <c r="H71" i="22"/>
  <c r="I126" i="22"/>
  <c r="S372" i="27"/>
  <c r="S374" i="27" s="1"/>
  <c r="AK131" i="28"/>
  <c r="J126" i="22"/>
  <c r="H31" i="27"/>
  <c r="H128" i="27" s="1"/>
  <c r="H131" i="27" s="1"/>
  <c r="H132" i="27" s="1"/>
  <c r="H72" i="15" s="1"/>
  <c r="U151" i="27"/>
  <c r="U380" i="27" s="1"/>
  <c r="Q378" i="27"/>
  <c r="AK378" i="27"/>
  <c r="AC131" i="28"/>
  <c r="AC132" i="28" s="1"/>
  <c r="AC382" i="28" s="1"/>
  <c r="AH175" i="27"/>
  <c r="K175" i="27"/>
  <c r="AC142" i="27"/>
  <c r="AC372" i="27"/>
  <c r="AC374" i="27" s="1"/>
  <c r="U390" i="27"/>
  <c r="U392" i="27" s="1"/>
  <c r="G267" i="22"/>
  <c r="M131" i="28"/>
  <c r="M132" i="28" s="1"/>
  <c r="M382" i="28" s="1"/>
  <c r="J397" i="28"/>
  <c r="V397" i="28"/>
  <c r="Z397" i="28"/>
  <c r="AD397" i="28"/>
  <c r="AH397" i="28"/>
  <c r="T395" i="28"/>
  <c r="X395" i="28"/>
  <c r="AF323" i="28"/>
  <c r="AJ323" i="28"/>
  <c r="I396" i="28"/>
  <c r="M322" i="28"/>
  <c r="Q396" i="28"/>
  <c r="AK396" i="28"/>
  <c r="V390" i="28"/>
  <c r="V392" i="28" s="1"/>
  <c r="AE390" i="28"/>
  <c r="AE392" i="28" s="1"/>
  <c r="AI390" i="28"/>
  <c r="AI392" i="28" s="1"/>
  <c r="L390" i="28"/>
  <c r="L392" i="28" s="1"/>
  <c r="J397" i="29"/>
  <c r="T320" i="29"/>
  <c r="AB320" i="29"/>
  <c r="AJ320" i="29"/>
  <c r="J323" i="29"/>
  <c r="R320" i="29"/>
  <c r="K320" i="29"/>
  <c r="L332" i="29"/>
  <c r="L398" i="29" s="1"/>
  <c r="T332" i="29"/>
  <c r="T398" i="29" s="1"/>
  <c r="X332" i="29"/>
  <c r="X398" i="29" s="1"/>
  <c r="AB332" i="29"/>
  <c r="AB398" i="29" s="1"/>
  <c r="AJ332" i="29"/>
  <c r="AJ398" i="29" s="1"/>
  <c r="I397" i="29"/>
  <c r="M332" i="29"/>
  <c r="M398" i="29" s="1"/>
  <c r="Q332" i="29"/>
  <c r="U397" i="29"/>
  <c r="Y332" i="29"/>
  <c r="AC397" i="29"/>
  <c r="AG397" i="29"/>
  <c r="AK332" i="29"/>
  <c r="AK333" i="29" s="1"/>
  <c r="J395" i="29"/>
  <c r="N395" i="29"/>
  <c r="R395" i="29"/>
  <c r="V332" i="29"/>
  <c r="Z321" i="29"/>
  <c r="AD395" i="29"/>
  <c r="AH395" i="29"/>
  <c r="K396" i="29"/>
  <c r="O323" i="29"/>
  <c r="S396" i="29"/>
  <c r="W332" i="29"/>
  <c r="W398" i="29" s="1"/>
  <c r="AA396" i="29"/>
  <c r="AE322" i="29"/>
  <c r="AI396" i="29"/>
  <c r="AH390" i="29"/>
  <c r="AH392" i="29" s="1"/>
  <c r="W390" i="29"/>
  <c r="W392" i="29" s="1"/>
  <c r="AH212" i="29"/>
  <c r="AH309" i="29" s="1"/>
  <c r="AH312" i="29" s="1"/>
  <c r="AH313" i="29" s="1"/>
  <c r="AH400" i="29" s="1"/>
  <c r="AH222" i="29"/>
  <c r="AH223" i="29" s="1"/>
  <c r="AC312" i="27"/>
  <c r="AC313" i="27" s="1"/>
  <c r="AC400" i="27" s="1"/>
  <c r="N175" i="28"/>
  <c r="Y151" i="28"/>
  <c r="Y380" i="28" s="1"/>
  <c r="X151" i="28"/>
  <c r="X380" i="28" s="1"/>
  <c r="W356" i="28"/>
  <c r="P397" i="28"/>
  <c r="T397" i="28"/>
  <c r="AF320" i="28"/>
  <c r="P332" i="28"/>
  <c r="P398" i="28" s="1"/>
  <c r="T332" i="28"/>
  <c r="T398" i="28" s="1"/>
  <c r="I397" i="28"/>
  <c r="M397" i="28"/>
  <c r="Q397" i="28"/>
  <c r="U397" i="28"/>
  <c r="Y397" i="28"/>
  <c r="AK397" i="28"/>
  <c r="J332" i="28"/>
  <c r="J398" i="28" s="1"/>
  <c r="N321" i="28"/>
  <c r="R395" i="28"/>
  <c r="V321" i="28"/>
  <c r="Z395" i="28"/>
  <c r="AD321" i="28"/>
  <c r="AH323" i="28"/>
  <c r="K322" i="28"/>
  <c r="O322" i="28"/>
  <c r="S396" i="28"/>
  <c r="W323" i="28"/>
  <c r="AA396" i="28"/>
  <c r="AE396" i="28"/>
  <c r="AI322" i="28"/>
  <c r="AJ372" i="29"/>
  <c r="AJ374" i="29" s="1"/>
  <c r="AC372" i="29"/>
  <c r="AC374" i="29" s="1"/>
  <c r="AD372" i="29"/>
  <c r="AD374" i="29" s="1"/>
  <c r="AH372" i="29"/>
  <c r="AH374" i="29" s="1"/>
  <c r="N61" i="15"/>
  <c r="W372" i="29"/>
  <c r="W374" i="29" s="1"/>
  <c r="L61" i="15"/>
  <c r="N372" i="28"/>
  <c r="N374" i="28" s="1"/>
  <c r="L69" i="15"/>
  <c r="P69" i="15"/>
  <c r="T69" i="15"/>
  <c r="X69" i="15"/>
  <c r="AB69" i="15"/>
  <c r="AF69" i="15"/>
  <c r="S312" i="28"/>
  <c r="S313" i="28" s="1"/>
  <c r="S400" i="28" s="1"/>
  <c r="U390" i="28"/>
  <c r="U392" i="28" s="1"/>
  <c r="Y312" i="30"/>
  <c r="Y313" i="30" s="1"/>
  <c r="Y400" i="30" s="1"/>
  <c r="H356" i="30"/>
  <c r="G69" i="15"/>
  <c r="K379" i="29"/>
  <c r="P379" i="29"/>
  <c r="X379" i="29"/>
  <c r="AB379" i="29"/>
  <c r="AF379" i="29"/>
  <c r="I379" i="29"/>
  <c r="Q175" i="29"/>
  <c r="L89" i="19" s="1"/>
  <c r="Y379" i="29"/>
  <c r="AK379" i="29"/>
  <c r="J140" i="29"/>
  <c r="N377" i="29"/>
  <c r="R140" i="29"/>
  <c r="V140" i="29"/>
  <c r="Z142" i="29"/>
  <c r="AD377" i="29"/>
  <c r="AH377" i="29"/>
  <c r="K378" i="29"/>
  <c r="O378" i="29"/>
  <c r="S141" i="29"/>
  <c r="W141" i="29"/>
  <c r="AA378" i="29"/>
  <c r="AE378" i="29"/>
  <c r="AI378" i="29"/>
  <c r="V151" i="29"/>
  <c r="V380" i="29" s="1"/>
  <c r="Z151" i="29"/>
  <c r="Z380" i="29" s="1"/>
  <c r="K151" i="29"/>
  <c r="K380" i="29" s="1"/>
  <c r="S140" i="29"/>
  <c r="W377" i="29"/>
  <c r="AI151" i="29"/>
  <c r="AI380" i="29" s="1"/>
  <c r="L141" i="29"/>
  <c r="T151" i="29"/>
  <c r="T380" i="29" s="1"/>
  <c r="AF378" i="29"/>
  <c r="G395" i="29"/>
  <c r="H396" i="29"/>
  <c r="G62" i="15"/>
  <c r="K62" i="15"/>
  <c r="O62" i="15"/>
  <c r="J12" i="16" s="1"/>
  <c r="S62" i="15"/>
  <c r="W62" i="15"/>
  <c r="AA62" i="15"/>
  <c r="AE62" i="15"/>
  <c r="I69" i="15"/>
  <c r="AC69" i="15"/>
  <c r="AK69" i="15"/>
  <c r="V377" i="30"/>
  <c r="AH377" i="30"/>
  <c r="K378" i="30"/>
  <c r="O141" i="30"/>
  <c r="W378" i="30"/>
  <c r="AA378" i="30"/>
  <c r="AI141" i="30"/>
  <c r="I312" i="30"/>
  <c r="I313" i="30" s="1"/>
  <c r="I400" i="30" s="1"/>
  <c r="I39" i="16"/>
  <c r="L312" i="29"/>
  <c r="L313" i="29" s="1"/>
  <c r="L400" i="29" s="1"/>
  <c r="T395" i="29"/>
  <c r="K60" i="15"/>
  <c r="AH60" i="15"/>
  <c r="H62" i="15"/>
  <c r="P62" i="15"/>
  <c r="K12" i="16" s="1" a="1"/>
  <c r="K12" i="16" s="1"/>
  <c r="AB62" i="15"/>
  <c r="AJ62" i="15"/>
  <c r="U131" i="30"/>
  <c r="U132" i="30" s="1"/>
  <c r="J69" i="15"/>
  <c r="N69" i="15"/>
  <c r="R69" i="15"/>
  <c r="V69" i="15"/>
  <c r="Z69" i="15"/>
  <c r="AH69" i="15"/>
  <c r="K140" i="30"/>
  <c r="AI377" i="30"/>
  <c r="X378" i="30"/>
  <c r="AC377" i="30"/>
  <c r="AG377" i="30"/>
  <c r="V378" i="30"/>
  <c r="G151" i="30"/>
  <c r="G380" i="30" s="1"/>
  <c r="I75" i="15"/>
  <c r="U75" i="15"/>
  <c r="Y75" i="15"/>
  <c r="AC75" i="15"/>
  <c r="Z312" i="30"/>
  <c r="Z313" i="30" s="1"/>
  <c r="Z400" i="30" s="1"/>
  <c r="M49" i="22"/>
  <c r="O49" i="22"/>
  <c r="AD312" i="30"/>
  <c r="AD313" i="30" s="1"/>
  <c r="AD400" i="30" s="1"/>
  <c r="H312" i="29"/>
  <c r="H313" i="29" s="1"/>
  <c r="L390" i="29"/>
  <c r="L392" i="29" s="1"/>
  <c r="T390" i="29"/>
  <c r="T392" i="29" s="1"/>
  <c r="AI60" i="15"/>
  <c r="I62" i="15"/>
  <c r="M62" i="15"/>
  <c r="H12" i="16" s="1"/>
  <c r="Q62" i="15"/>
  <c r="L12" i="16" s="1"/>
  <c r="U62" i="15"/>
  <c r="Y62" i="15"/>
  <c r="AK62" i="15"/>
  <c r="AB61" i="15"/>
  <c r="T270" i="28"/>
  <c r="T272" i="28" s="1"/>
  <c r="W89" i="28"/>
  <c r="W91" i="28" s="1"/>
  <c r="AG61" i="15"/>
  <c r="P49" i="22"/>
  <c r="I138" i="16"/>
  <c r="H372" i="30"/>
  <c r="H374" i="30" s="1"/>
  <c r="R390" i="30"/>
  <c r="R392" i="30" s="1"/>
  <c r="AG131" i="30"/>
  <c r="AG132" i="30" s="1"/>
  <c r="H175" i="30"/>
  <c r="L60" i="15"/>
  <c r="AJ41" i="30"/>
  <c r="AB312" i="30"/>
  <c r="AB313" i="30" s="1"/>
  <c r="AB400" i="30" s="1"/>
  <c r="X60" i="15"/>
  <c r="T60" i="15"/>
  <c r="H243" i="30"/>
  <c r="AD131" i="30"/>
  <c r="L379" i="30"/>
  <c r="I377" i="30"/>
  <c r="AG140" i="30"/>
  <c r="V141" i="30"/>
  <c r="Z141" i="30"/>
  <c r="G139" i="30"/>
  <c r="AK151" i="30"/>
  <c r="AK380" i="30" s="1"/>
  <c r="K377" i="30"/>
  <c r="W140" i="30"/>
  <c r="AI140" i="30"/>
  <c r="X141" i="30"/>
  <c r="I222" i="30"/>
  <c r="I223" i="30" s="1"/>
  <c r="I391" i="30" s="1"/>
  <c r="AK131" i="30"/>
  <c r="AK132" i="30" s="1"/>
  <c r="H62" i="30"/>
  <c r="AF60" i="15"/>
  <c r="L377" i="30"/>
  <c r="M141" i="30"/>
  <c r="Q141" i="30"/>
  <c r="U378" i="30"/>
  <c r="Y378" i="30"/>
  <c r="AK378" i="30"/>
  <c r="X312" i="30"/>
  <c r="X313" i="30" s="1"/>
  <c r="L396" i="30"/>
  <c r="L322" i="30"/>
  <c r="V390" i="30"/>
  <c r="V392" i="30" s="1"/>
  <c r="AE312" i="30"/>
  <c r="AE313" i="30" s="1"/>
  <c r="AE400" i="30" s="1"/>
  <c r="V31" i="30"/>
  <c r="V128" i="30" s="1"/>
  <c r="V131" i="30" s="1"/>
  <c r="M122" i="19" s="1"/>
  <c r="M124" i="19" s="1"/>
  <c r="V41" i="30"/>
  <c r="M31" i="30"/>
  <c r="M128" i="30" s="1"/>
  <c r="M131" i="30" s="1"/>
  <c r="M41" i="30"/>
  <c r="M42" i="30" s="1"/>
  <c r="AF212" i="30"/>
  <c r="AF309" i="30" s="1"/>
  <c r="AF312" i="30" s="1"/>
  <c r="AF313" i="30" s="1"/>
  <c r="AF400" i="30" s="1"/>
  <c r="AF222" i="30"/>
  <c r="AF223" i="30" s="1"/>
  <c r="W212" i="30"/>
  <c r="W309" i="30" s="1"/>
  <c r="W312" i="30" s="1"/>
  <c r="W313" i="30" s="1"/>
  <c r="W400" i="30" s="1"/>
  <c r="W222" i="30"/>
  <c r="W223" i="30" s="1"/>
  <c r="J371" i="30"/>
  <c r="J372" i="30" s="1"/>
  <c r="J374" i="30" s="1"/>
  <c r="J60" i="15"/>
  <c r="N60" i="15"/>
  <c r="N371" i="30"/>
  <c r="N372" i="30" s="1"/>
  <c r="N374" i="30" s="1"/>
  <c r="Z371" i="30"/>
  <c r="Z372" i="30" s="1"/>
  <c r="Z60" i="15"/>
  <c r="H379" i="30"/>
  <c r="M140" i="30"/>
  <c r="M377" i="30"/>
  <c r="Q140" i="30"/>
  <c r="Q377" i="30"/>
  <c r="U140" i="30"/>
  <c r="U377" i="30"/>
  <c r="Y377" i="30"/>
  <c r="Y140" i="30"/>
  <c r="AC142" i="30"/>
  <c r="AC140" i="30"/>
  <c r="AK377" i="30"/>
  <c r="AK140" i="30"/>
  <c r="J378" i="30"/>
  <c r="J141" i="30"/>
  <c r="N141" i="30"/>
  <c r="N378" i="30"/>
  <c r="R141" i="30"/>
  <c r="R378" i="30"/>
  <c r="AD378" i="30"/>
  <c r="AD141" i="30"/>
  <c r="AH141" i="30"/>
  <c r="AH378" i="30"/>
  <c r="AA139" i="30"/>
  <c r="G140" i="30"/>
  <c r="G377" i="30"/>
  <c r="O140" i="30"/>
  <c r="O377" i="30"/>
  <c r="S140" i="30"/>
  <c r="S377" i="30"/>
  <c r="AA377" i="30"/>
  <c r="AA140" i="30"/>
  <c r="AE140" i="30"/>
  <c r="AE377" i="30"/>
  <c r="H378" i="30"/>
  <c r="H141" i="30"/>
  <c r="L378" i="30"/>
  <c r="L141" i="30"/>
  <c r="P141" i="30"/>
  <c r="P378" i="30"/>
  <c r="T378" i="30"/>
  <c r="T141" i="30"/>
  <c r="AB378" i="30"/>
  <c r="AB142" i="30"/>
  <c r="AB141" i="30"/>
  <c r="AF141" i="30"/>
  <c r="AF378" i="30"/>
  <c r="AJ378" i="30"/>
  <c r="AJ141" i="30"/>
  <c r="G395" i="30"/>
  <c r="G356" i="30"/>
  <c r="AE395" i="30"/>
  <c r="AE321" i="30"/>
  <c r="H396" i="30"/>
  <c r="H322" i="30"/>
  <c r="P396" i="30"/>
  <c r="P322" i="30"/>
  <c r="X396" i="30"/>
  <c r="X322" i="30"/>
  <c r="AF396" i="30"/>
  <c r="AF322" i="30"/>
  <c r="G61" i="15"/>
  <c r="T322" i="30"/>
  <c r="G323" i="30"/>
  <c r="G320" i="30"/>
  <c r="S395" i="30"/>
  <c r="H320" i="30"/>
  <c r="H397" i="30"/>
  <c r="O395" i="30"/>
  <c r="O321" i="30"/>
  <c r="W395" i="30"/>
  <c r="W323" i="30"/>
  <c r="W321" i="30"/>
  <c r="AI395" i="30"/>
  <c r="AI321" i="30"/>
  <c r="AB322" i="30"/>
  <c r="AB396" i="30"/>
  <c r="AJ396" i="30"/>
  <c r="AJ322" i="30"/>
  <c r="H395" i="30"/>
  <c r="H323" i="30"/>
  <c r="H332" i="30"/>
  <c r="H398" i="30" s="1"/>
  <c r="H321" i="30"/>
  <c r="G390" i="30"/>
  <c r="G392" i="30" s="1"/>
  <c r="AG390" i="30"/>
  <c r="AG392" i="30" s="1"/>
  <c r="N390" i="30"/>
  <c r="N392" i="30" s="1"/>
  <c r="M390" i="30"/>
  <c r="M392" i="30" s="1"/>
  <c r="U212" i="30"/>
  <c r="U309" i="30" s="1"/>
  <c r="U312" i="30" s="1"/>
  <c r="U313" i="30" s="1"/>
  <c r="U400" i="30" s="1"/>
  <c r="U222" i="30"/>
  <c r="U223" i="30" s="1"/>
  <c r="S212" i="30"/>
  <c r="S309" i="30" s="1"/>
  <c r="S312" i="30" s="1"/>
  <c r="S313" i="30" s="1"/>
  <c r="S400" i="30" s="1"/>
  <c r="S222" i="30"/>
  <c r="S223" i="30" s="1"/>
  <c r="R31" i="30"/>
  <c r="R128" i="30" s="1"/>
  <c r="R131" i="30" s="1"/>
  <c r="R41" i="30"/>
  <c r="AE31" i="30"/>
  <c r="AE128" i="30" s="1"/>
  <c r="AE131" i="30" s="1"/>
  <c r="AE132" i="30" s="1"/>
  <c r="AE382" i="30" s="1"/>
  <c r="AE41" i="30"/>
  <c r="AG41" i="30"/>
  <c r="AG42" i="30" s="1"/>
  <c r="AG373" i="30" s="1"/>
  <c r="Q312" i="30"/>
  <c r="Q313" i="30" s="1"/>
  <c r="Q400" i="30" s="1"/>
  <c r="AI131" i="30"/>
  <c r="AI132" i="30" s="1"/>
  <c r="AI382" i="30" s="1"/>
  <c r="H131" i="30"/>
  <c r="H132" i="30" s="1"/>
  <c r="H382" i="30" s="1"/>
  <c r="O372" i="30"/>
  <c r="O374" i="30" s="1"/>
  <c r="W371" i="30"/>
  <c r="W372" i="30" s="1"/>
  <c r="W374" i="30" s="1"/>
  <c r="W60" i="15"/>
  <c r="K139" i="30"/>
  <c r="P379" i="30"/>
  <c r="X379" i="30"/>
  <c r="AJ379" i="30"/>
  <c r="M379" i="30"/>
  <c r="U379" i="30"/>
  <c r="Y139" i="30"/>
  <c r="AC379" i="30"/>
  <c r="AG379" i="30"/>
  <c r="J142" i="30"/>
  <c r="G142" i="30"/>
  <c r="G175" i="30"/>
  <c r="G70" i="15"/>
  <c r="AE139" i="30"/>
  <c r="H139" i="30"/>
  <c r="L139" i="30"/>
  <c r="N151" i="30"/>
  <c r="N380" i="30" s="1"/>
  <c r="R151" i="30"/>
  <c r="R380" i="30" s="1"/>
  <c r="V379" i="30"/>
  <c r="Z379" i="30"/>
  <c r="AH151" i="30"/>
  <c r="AH380" i="30" s="1"/>
  <c r="G379" i="30"/>
  <c r="K151" i="30"/>
  <c r="K380" i="30" s="1"/>
  <c r="O151" i="30"/>
  <c r="O380" i="30" s="1"/>
  <c r="S151" i="30"/>
  <c r="S380" i="30" s="1"/>
  <c r="W151" i="30"/>
  <c r="W380" i="30" s="1"/>
  <c r="AA379" i="30"/>
  <c r="AE379" i="30"/>
  <c r="AI379" i="30"/>
  <c r="H151" i="30"/>
  <c r="H140" i="30"/>
  <c r="H70" i="15"/>
  <c r="H142" i="30"/>
  <c r="P151" i="30"/>
  <c r="P380" i="30" s="1"/>
  <c r="T142" i="30"/>
  <c r="AB151" i="30"/>
  <c r="AB380" i="30" s="1"/>
  <c r="AF151" i="30"/>
  <c r="AF380" i="30" s="1"/>
  <c r="AJ151" i="30"/>
  <c r="AJ380" i="30" s="1"/>
  <c r="I151" i="30"/>
  <c r="I152" i="30" s="1"/>
  <c r="AC151" i="30"/>
  <c r="AC380" i="30" s="1"/>
  <c r="AG142" i="30"/>
  <c r="P131" i="30"/>
  <c r="P132" i="30" s="1"/>
  <c r="P382" i="30" s="1"/>
  <c r="I131" i="30"/>
  <c r="AG312" i="30"/>
  <c r="AG313" i="30" s="1"/>
  <c r="AG400" i="30" s="1"/>
  <c r="AJ131" i="30"/>
  <c r="J131" i="30"/>
  <c r="Y31" i="30"/>
  <c r="Y128" i="30" s="1"/>
  <c r="Y131" i="30" s="1"/>
  <c r="Y41" i="30"/>
  <c r="AA131" i="30"/>
  <c r="AA132" i="30" s="1"/>
  <c r="AA312" i="30"/>
  <c r="AA313" i="30" s="1"/>
  <c r="AA400" i="30" s="1"/>
  <c r="J41" i="30"/>
  <c r="AF131" i="30"/>
  <c r="H75" i="15"/>
  <c r="X390" i="30"/>
  <c r="X392" i="30" s="1"/>
  <c r="AH212" i="30"/>
  <c r="AH309" i="30" s="1"/>
  <c r="AH312" i="30" s="1"/>
  <c r="AH313" i="30" s="1"/>
  <c r="AH400" i="30" s="1"/>
  <c r="AH222" i="30"/>
  <c r="AH223" i="30" s="1"/>
  <c r="AH270" i="30" s="1"/>
  <c r="AH272" i="30" s="1"/>
  <c r="J212" i="30"/>
  <c r="J309" i="30" s="1"/>
  <c r="J312" i="30" s="1"/>
  <c r="J313" i="30" s="1"/>
  <c r="J400" i="30" s="1"/>
  <c r="J222" i="30"/>
  <c r="J223" i="30" s="1"/>
  <c r="J391" i="30" s="1"/>
  <c r="AH31" i="30"/>
  <c r="AH128" i="30" s="1"/>
  <c r="AH131" i="30" s="1"/>
  <c r="AH132" i="30" s="1"/>
  <c r="AH382" i="30" s="1"/>
  <c r="AH41" i="30"/>
  <c r="G222" i="30"/>
  <c r="G223" i="30" s="1"/>
  <c r="G212" i="30"/>
  <c r="G309" i="30" s="1"/>
  <c r="G312" i="30" s="1"/>
  <c r="G313" i="30" s="1"/>
  <c r="G397" i="30"/>
  <c r="I397" i="30"/>
  <c r="R397" i="30"/>
  <c r="V397" i="30"/>
  <c r="AD320" i="30"/>
  <c r="K397" i="30"/>
  <c r="L395" i="30"/>
  <c r="T323" i="30"/>
  <c r="X321" i="30"/>
  <c r="AB395" i="30"/>
  <c r="AF320" i="30"/>
  <c r="AJ323" i="30"/>
  <c r="I396" i="30"/>
  <c r="M396" i="30"/>
  <c r="Q396" i="30"/>
  <c r="U322" i="30"/>
  <c r="Y396" i="30"/>
  <c r="AC322" i="30"/>
  <c r="AG322" i="30"/>
  <c r="AK322" i="30"/>
  <c r="J356" i="30"/>
  <c r="S332" i="30"/>
  <c r="S398" i="30" s="1"/>
  <c r="AB397" i="30"/>
  <c r="M323" i="30"/>
  <c r="Q321" i="30"/>
  <c r="U395" i="30"/>
  <c r="AK395" i="30"/>
  <c r="N332" i="30"/>
  <c r="N398" i="30" s="1"/>
  <c r="R323" i="30"/>
  <c r="V396" i="30"/>
  <c r="Z131" i="30"/>
  <c r="Q390" i="30"/>
  <c r="Q392" i="30" s="1"/>
  <c r="J397" i="30"/>
  <c r="T372" i="30"/>
  <c r="T374" i="30" s="1"/>
  <c r="AB372" i="30"/>
  <c r="AB374" i="30" s="1"/>
  <c r="AF372" i="30"/>
  <c r="AF374" i="30" s="1"/>
  <c r="M372" i="30"/>
  <c r="M374" i="30" s="1"/>
  <c r="Y372" i="30"/>
  <c r="Y374" i="30" s="1"/>
  <c r="L390" i="30"/>
  <c r="L392" i="30" s="1"/>
  <c r="P390" i="30"/>
  <c r="P392" i="30" s="1"/>
  <c r="AF390" i="30"/>
  <c r="AF392" i="30" s="1"/>
  <c r="U390" i="30"/>
  <c r="U392" i="30" s="1"/>
  <c r="Y390" i="30"/>
  <c r="Y392" i="30" s="1"/>
  <c r="AD390" i="30"/>
  <c r="AD392" i="30" s="1"/>
  <c r="H222" i="29"/>
  <c r="H223" i="29" s="1"/>
  <c r="H270" i="29" s="1"/>
  <c r="H272" i="29" s="1"/>
  <c r="H391" i="28"/>
  <c r="H270" i="28"/>
  <c r="H272" i="28" s="1"/>
  <c r="H391" i="27"/>
  <c r="H270" i="27"/>
  <c r="H272" i="27" s="1"/>
  <c r="H373" i="27"/>
  <c r="H89" i="27"/>
  <c r="H91" i="27" s="1"/>
  <c r="L337" i="30"/>
  <c r="K355" i="30"/>
  <c r="K354" i="30"/>
  <c r="K353" i="30"/>
  <c r="K347" i="30"/>
  <c r="L321" i="30"/>
  <c r="AD397" i="30"/>
  <c r="AK396" i="30"/>
  <c r="L323" i="30"/>
  <c r="AB332" i="30"/>
  <c r="AB398" i="30" s="1"/>
  <c r="AJ395" i="30"/>
  <c r="T395" i="30"/>
  <c r="I320" i="30"/>
  <c r="V332" i="30"/>
  <c r="V398" i="30" s="1"/>
  <c r="O397" i="30"/>
  <c r="S397" i="30"/>
  <c r="W397" i="30"/>
  <c r="AA397" i="30"/>
  <c r="AI397" i="30"/>
  <c r="L320" i="30"/>
  <c r="P356" i="30"/>
  <c r="T356" i="30"/>
  <c r="X356" i="30"/>
  <c r="AB320" i="30"/>
  <c r="AF397" i="30"/>
  <c r="AJ356" i="30"/>
  <c r="I395" i="30"/>
  <c r="M320" i="30"/>
  <c r="Q320" i="30"/>
  <c r="U321" i="30"/>
  <c r="Y395" i="30"/>
  <c r="AC320" i="30"/>
  <c r="AG320" i="30"/>
  <c r="AK320" i="30"/>
  <c r="J396" i="30"/>
  <c r="N322" i="30"/>
  <c r="R322" i="30"/>
  <c r="V323" i="30"/>
  <c r="Z396" i="30"/>
  <c r="AD356" i="30"/>
  <c r="AH322" i="30"/>
  <c r="S320" i="30"/>
  <c r="AA320" i="30"/>
  <c r="AE320" i="30"/>
  <c r="AI320" i="30"/>
  <c r="K356" i="30"/>
  <c r="L332" i="30"/>
  <c r="L398" i="30" s="1"/>
  <c r="P332" i="30"/>
  <c r="P398" i="30" s="1"/>
  <c r="T332" i="30"/>
  <c r="T398" i="30" s="1"/>
  <c r="X332" i="30"/>
  <c r="X398" i="30" s="1"/>
  <c r="AF332" i="30"/>
  <c r="AF398" i="30" s="1"/>
  <c r="AJ332" i="30"/>
  <c r="AJ398" i="30" s="1"/>
  <c r="I332" i="30"/>
  <c r="I398" i="30" s="1"/>
  <c r="M397" i="30"/>
  <c r="Q332" i="30"/>
  <c r="Q398" i="30" s="1"/>
  <c r="U397" i="30"/>
  <c r="Y320" i="30"/>
  <c r="AC397" i="30"/>
  <c r="AG332" i="30"/>
  <c r="AG398" i="30" s="1"/>
  <c r="AK397" i="30"/>
  <c r="J395" i="30"/>
  <c r="N321" i="30"/>
  <c r="R321" i="30"/>
  <c r="V395" i="30"/>
  <c r="Z332" i="30"/>
  <c r="Z398" i="30" s="1"/>
  <c r="AD395" i="30"/>
  <c r="AH321" i="30"/>
  <c r="K396" i="30"/>
  <c r="O322" i="30"/>
  <c r="S322" i="30"/>
  <c r="W320" i="30"/>
  <c r="AA396" i="30"/>
  <c r="AE323" i="30"/>
  <c r="AI332" i="30"/>
  <c r="AI398" i="30" s="1"/>
  <c r="L356" i="30"/>
  <c r="M321" i="30"/>
  <c r="AF323" i="30"/>
  <c r="AF321" i="30"/>
  <c r="Y322" i="30"/>
  <c r="I322" i="30"/>
  <c r="M322" i="30"/>
  <c r="U396" i="30"/>
  <c r="AF395" i="30"/>
  <c r="K395" i="30"/>
  <c r="AA395" i="30"/>
  <c r="AJ321" i="30"/>
  <c r="X323" i="30"/>
  <c r="R320" i="30"/>
  <c r="Z397" i="30"/>
  <c r="K332" i="30"/>
  <c r="K398" i="30" s="1"/>
  <c r="AE332" i="30"/>
  <c r="AE398" i="30" s="1"/>
  <c r="P395" i="30"/>
  <c r="T321" i="30"/>
  <c r="AB323" i="30"/>
  <c r="Q323" i="30"/>
  <c r="AC396" i="30"/>
  <c r="AG396" i="30"/>
  <c r="J257" i="30"/>
  <c r="J243" i="30" s="1"/>
  <c r="J263" i="30"/>
  <c r="J264" i="30"/>
  <c r="L247" i="30"/>
  <c r="K265" i="30"/>
  <c r="K264" i="30"/>
  <c r="K263" i="30"/>
  <c r="K257" i="30"/>
  <c r="K243" i="30" s="1"/>
  <c r="AI323" i="30"/>
  <c r="AI322" i="30"/>
  <c r="X397" i="30"/>
  <c r="O323" i="30"/>
  <c r="AE322" i="30"/>
  <c r="Z321" i="30"/>
  <c r="R395" i="30"/>
  <c r="L397" i="30"/>
  <c r="T389" i="30"/>
  <c r="AK332" i="30"/>
  <c r="AC332" i="30"/>
  <c r="U332" i="30"/>
  <c r="M332" i="30"/>
  <c r="AI396" i="30"/>
  <c r="S396" i="30"/>
  <c r="AA332" i="30"/>
  <c r="O332" i="30"/>
  <c r="O398" i="30" s="1"/>
  <c r="AI390" i="30"/>
  <c r="AI392" i="30" s="1"/>
  <c r="K390" i="30"/>
  <c r="K392" i="30" s="1"/>
  <c r="AE390" i="30"/>
  <c r="AE392" i="30" s="1"/>
  <c r="AK390" i="30"/>
  <c r="AK392" i="30" s="1"/>
  <c r="J390" i="30"/>
  <c r="J392" i="30" s="1"/>
  <c r="I390" i="30"/>
  <c r="I392" i="30" s="1"/>
  <c r="AA323" i="30"/>
  <c r="AA322" i="30"/>
  <c r="W322" i="30"/>
  <c r="Z395" i="30"/>
  <c r="J321" i="30"/>
  <c r="AD321" i="30"/>
  <c r="AE396" i="30"/>
  <c r="O396" i="30"/>
  <c r="W332" i="30"/>
  <c r="AG397" i="30"/>
  <c r="Q397" i="30"/>
  <c r="AH332" i="30"/>
  <c r="AH398" i="30" s="1"/>
  <c r="R332" i="30"/>
  <c r="J332" i="30"/>
  <c r="S390" i="30"/>
  <c r="S392" i="30" s="1"/>
  <c r="O320" i="30"/>
  <c r="V321" i="30"/>
  <c r="AE356" i="30"/>
  <c r="O390" i="30"/>
  <c r="O392" i="30" s="1"/>
  <c r="AA390" i="30"/>
  <c r="AA392" i="30" s="1"/>
  <c r="AC390" i="30"/>
  <c r="AC392" i="30" s="1"/>
  <c r="S323" i="30"/>
  <c r="P323" i="30"/>
  <c r="P321" i="30"/>
  <c r="K320" i="30"/>
  <c r="W390" i="30"/>
  <c r="W392" i="30" s="1"/>
  <c r="Y332" i="30"/>
  <c r="Y398" i="30" s="1"/>
  <c r="AE397" i="30"/>
  <c r="K321" i="30"/>
  <c r="O356" i="30"/>
  <c r="Q356" i="30"/>
  <c r="S356" i="30"/>
  <c r="U356" i="30"/>
  <c r="W356" i="30"/>
  <c r="Y356" i="30"/>
  <c r="AA356" i="30"/>
  <c r="AC356" i="30"/>
  <c r="AG356" i="30"/>
  <c r="AI356" i="30"/>
  <c r="AK356" i="30"/>
  <c r="N356" i="30"/>
  <c r="AK323" i="30"/>
  <c r="AD322" i="30"/>
  <c r="AK321" i="30"/>
  <c r="P397" i="30"/>
  <c r="I321" i="30"/>
  <c r="J320" i="30"/>
  <c r="Y323" i="30"/>
  <c r="Z323" i="30"/>
  <c r="AJ320" i="30"/>
  <c r="T320" i="30"/>
  <c r="X320" i="30"/>
  <c r="J322" i="30"/>
  <c r="AG395" i="30"/>
  <c r="Q395" i="30"/>
  <c r="V320" i="30"/>
  <c r="U320" i="30"/>
  <c r="AH396" i="30"/>
  <c r="R396" i="30"/>
  <c r="I356" i="30"/>
  <c r="M356" i="30"/>
  <c r="AC323" i="30"/>
  <c r="V322" i="30"/>
  <c r="AC321" i="30"/>
  <c r="AG321" i="30"/>
  <c r="AH320" i="30"/>
  <c r="AD323" i="30"/>
  <c r="AG323" i="30"/>
  <c r="AH323" i="30"/>
  <c r="AJ397" i="30"/>
  <c r="T397" i="30"/>
  <c r="P320" i="30"/>
  <c r="AC395" i="30"/>
  <c r="M395" i="30"/>
  <c r="AD396" i="30"/>
  <c r="N396" i="30"/>
  <c r="Z322" i="30"/>
  <c r="R356" i="30"/>
  <c r="V356" i="30"/>
  <c r="Z356" i="30"/>
  <c r="AB356" i="30"/>
  <c r="AF356" i="30"/>
  <c r="AH356" i="30"/>
  <c r="N320" i="30"/>
  <c r="U323" i="30"/>
  <c r="Y321" i="30"/>
  <c r="Z320" i="30"/>
  <c r="I323" i="30"/>
  <c r="J323" i="30"/>
  <c r="AJ390" i="30"/>
  <c r="AJ392" i="30" s="1"/>
  <c r="I175" i="30"/>
  <c r="J377" i="30"/>
  <c r="S379" i="30"/>
  <c r="T377" i="30"/>
  <c r="AJ72" i="15"/>
  <c r="R379" i="30"/>
  <c r="AC378" i="30"/>
  <c r="W379" i="30"/>
  <c r="AI378" i="30"/>
  <c r="AG141" i="30"/>
  <c r="O378" i="30"/>
  <c r="AG151" i="30"/>
  <c r="AG380" i="30" s="1"/>
  <c r="I142" i="30"/>
  <c r="M378" i="30"/>
  <c r="AK142" i="30"/>
  <c r="AJ140" i="30"/>
  <c r="M142" i="30"/>
  <c r="Y379" i="30"/>
  <c r="U151" i="30"/>
  <c r="U380" i="30" s="1"/>
  <c r="W141" i="30"/>
  <c r="AK42" i="30"/>
  <c r="AA371" i="30"/>
  <c r="AA372" i="30" s="1"/>
  <c r="AA374" i="30" s="1"/>
  <c r="AA60" i="15"/>
  <c r="Y69" i="15"/>
  <c r="Q175" i="30"/>
  <c r="L121" i="19" s="1"/>
  <c r="AK139" i="30"/>
  <c r="AK379" i="30"/>
  <c r="N142" i="30"/>
  <c r="N140" i="30"/>
  <c r="R139" i="30"/>
  <c r="R142" i="30"/>
  <c r="Z175" i="30"/>
  <c r="AD175" i="30"/>
  <c r="AD139" i="30"/>
  <c r="S142" i="30"/>
  <c r="S141" i="30"/>
  <c r="P139" i="30"/>
  <c r="T139" i="30"/>
  <c r="X139" i="30"/>
  <c r="AB139" i="30"/>
  <c r="AF139" i="30"/>
  <c r="AJ139" i="30"/>
  <c r="L175" i="30"/>
  <c r="J139" i="30"/>
  <c r="AD379" i="30"/>
  <c r="AD151" i="30"/>
  <c r="AD380" i="30" s="1"/>
  <c r="K379" i="30"/>
  <c r="X140" i="30"/>
  <c r="X142" i="30"/>
  <c r="Q139" i="30"/>
  <c r="I372" i="30"/>
  <c r="I374" i="30" s="1"/>
  <c r="N31" i="30"/>
  <c r="N128" i="30" s="1"/>
  <c r="N131" i="30" s="1"/>
  <c r="N41" i="30"/>
  <c r="K31" i="30"/>
  <c r="K128" i="30" s="1"/>
  <c r="K131" i="30" s="1"/>
  <c r="K41" i="30"/>
  <c r="I379" i="30"/>
  <c r="X131" i="30"/>
  <c r="AC31" i="30"/>
  <c r="AC128" i="30" s="1"/>
  <c r="AC131" i="30" s="1"/>
  <c r="AC41" i="30"/>
  <c r="T31" i="30"/>
  <c r="T128" i="30" s="1"/>
  <c r="T131" i="30" s="1"/>
  <c r="T41" i="30"/>
  <c r="X372" i="30"/>
  <c r="X374" i="30" s="1"/>
  <c r="AJ175" i="30"/>
  <c r="V151" i="30"/>
  <c r="V380" i="30" s="1"/>
  <c r="AG378" i="30"/>
  <c r="Q378" i="30"/>
  <c r="P140" i="30"/>
  <c r="Q142" i="30"/>
  <c r="X377" i="30"/>
  <c r="J379" i="30"/>
  <c r="AI151" i="30"/>
  <c r="AI380" i="30" s="1"/>
  <c r="U142" i="30"/>
  <c r="AK141" i="30"/>
  <c r="U141" i="30"/>
  <c r="Y151" i="30"/>
  <c r="Y380" i="30" s="1"/>
  <c r="O379" i="30"/>
  <c r="AE151" i="30"/>
  <c r="AE380" i="30" s="1"/>
  <c r="AJ142" i="30"/>
  <c r="AB377" i="30"/>
  <c r="L140" i="30"/>
  <c r="O60" i="15"/>
  <c r="AD60" i="15"/>
  <c r="T151" i="30"/>
  <c r="T380" i="30" s="1"/>
  <c r="M151" i="30"/>
  <c r="M380" i="30" s="1"/>
  <c r="X151" i="30"/>
  <c r="X380" i="30" s="1"/>
  <c r="I139" i="30"/>
  <c r="P175" i="30"/>
  <c r="AF175" i="30"/>
  <c r="O121" i="19" s="1"/>
  <c r="L372" i="30"/>
  <c r="L374" i="30" s="1"/>
  <c r="P372" i="30"/>
  <c r="P374" i="30" s="1"/>
  <c r="V372" i="30"/>
  <c r="V374" i="30" s="1"/>
  <c r="AH372" i="30"/>
  <c r="AH374" i="30" s="1"/>
  <c r="AC372" i="30"/>
  <c r="AC374" i="30" s="1"/>
  <c r="N379" i="30"/>
  <c r="Y141" i="30"/>
  <c r="I141" i="30"/>
  <c r="Y142" i="30"/>
  <c r="AF142" i="30"/>
  <c r="P142" i="30"/>
  <c r="AH379" i="30"/>
  <c r="AA151" i="30"/>
  <c r="AA380" i="30" s="1"/>
  <c r="Q151" i="30"/>
  <c r="Q380" i="30" s="1"/>
  <c r="AJ377" i="30"/>
  <c r="T140" i="30"/>
  <c r="L142" i="30"/>
  <c r="AC61" i="15"/>
  <c r="L151" i="30"/>
  <c r="L380" i="30" s="1"/>
  <c r="J151" i="30"/>
  <c r="Z151" i="30"/>
  <c r="Z380" i="30" s="1"/>
  <c r="T175" i="30"/>
  <c r="AB175" i="30"/>
  <c r="U372" i="30"/>
  <c r="U374" i="30" s="1"/>
  <c r="AK372" i="30"/>
  <c r="AK374" i="30" s="1"/>
  <c r="R372" i="30"/>
  <c r="R374" i="30" s="1"/>
  <c r="K372" i="30"/>
  <c r="K374" i="30" s="1"/>
  <c r="I378" i="30"/>
  <c r="AF377" i="30"/>
  <c r="P377" i="30"/>
  <c r="AC139" i="30"/>
  <c r="AC141" i="30"/>
  <c r="AB140" i="30"/>
  <c r="R60" i="15"/>
  <c r="U175" i="30"/>
  <c r="W175" i="30"/>
  <c r="Y175" i="30"/>
  <c r="AA175" i="30"/>
  <c r="AC175" i="30"/>
  <c r="AE175" i="30"/>
  <c r="AG175" i="30"/>
  <c r="AI175" i="30"/>
  <c r="AK175" i="30"/>
  <c r="AH140" i="30"/>
  <c r="Z142" i="30"/>
  <c r="R377" i="30"/>
  <c r="U139" i="30"/>
  <c r="W142" i="30"/>
  <c r="AD377" i="30"/>
  <c r="N377" i="30"/>
  <c r="AJ372" i="30"/>
  <c r="AJ374" i="30" s="1"/>
  <c r="AA141" i="30"/>
  <c r="S378" i="30"/>
  <c r="AD372" i="30"/>
  <c r="AD374" i="30" s="1"/>
  <c r="Q379" i="30"/>
  <c r="AG139" i="30"/>
  <c r="W139" i="30"/>
  <c r="AB379" i="30"/>
  <c r="AI142" i="30"/>
  <c r="R61" i="15"/>
  <c r="N175" i="30"/>
  <c r="J175" i="30"/>
  <c r="AH142" i="30"/>
  <c r="Z377" i="30"/>
  <c r="J140" i="30"/>
  <c r="AA142" i="30"/>
  <c r="V142" i="30"/>
  <c r="AE378" i="30"/>
  <c r="M139" i="30"/>
  <c r="V140" i="30"/>
  <c r="AF379" i="30"/>
  <c r="K142" i="30"/>
  <c r="K141" i="30"/>
  <c r="V139" i="30"/>
  <c r="O139" i="30"/>
  <c r="K61" i="15"/>
  <c r="AD142" i="30"/>
  <c r="S139" i="30"/>
  <c r="T379" i="30"/>
  <c r="AI139" i="30"/>
  <c r="AE141" i="30"/>
  <c r="Z139" i="30"/>
  <c r="S175" i="30"/>
  <c r="AH139" i="30"/>
  <c r="K175" i="30"/>
  <c r="M175" i="30"/>
  <c r="O175" i="30"/>
  <c r="R175" i="30"/>
  <c r="V175" i="30"/>
  <c r="X175" i="30"/>
  <c r="AH175" i="30"/>
  <c r="R140" i="30"/>
  <c r="AE142" i="30"/>
  <c r="O142" i="30"/>
  <c r="AE372" i="30"/>
  <c r="AE374" i="30" s="1"/>
  <c r="T72" i="15"/>
  <c r="M72" i="15"/>
  <c r="AI320" i="29"/>
  <c r="O322" i="29"/>
  <c r="AE323" i="29"/>
  <c r="AD332" i="29"/>
  <c r="AD398" i="29" s="1"/>
  <c r="Z332" i="29"/>
  <c r="Z398" i="29" s="1"/>
  <c r="O396" i="29"/>
  <c r="S322" i="29"/>
  <c r="AA332" i="29"/>
  <c r="N332" i="29"/>
  <c r="N398" i="29" s="1"/>
  <c r="J332" i="29"/>
  <c r="J398" i="29" s="1"/>
  <c r="Z395" i="29"/>
  <c r="AG332" i="29"/>
  <c r="AG398" i="29" s="1"/>
  <c r="O320" i="29"/>
  <c r="K323" i="29"/>
  <c r="U332" i="29"/>
  <c r="U398" i="29" s="1"/>
  <c r="M390" i="29"/>
  <c r="M392" i="29" s="1"/>
  <c r="W323" i="29"/>
  <c r="M397" i="29"/>
  <c r="V321" i="29"/>
  <c r="S332" i="29"/>
  <c r="AI323" i="29"/>
  <c r="J321" i="29"/>
  <c r="AC332" i="29"/>
  <c r="I332" i="29"/>
  <c r="Q397" i="29"/>
  <c r="O332" i="29"/>
  <c r="AA322" i="29"/>
  <c r="J390" i="29"/>
  <c r="J392" i="29" s="1"/>
  <c r="X390" i="29"/>
  <c r="X392" i="29" s="1"/>
  <c r="AF390" i="29"/>
  <c r="AF392" i="29" s="1"/>
  <c r="Y390" i="29"/>
  <c r="Y392" i="29" s="1"/>
  <c r="AK397" i="29"/>
  <c r="AD321" i="29"/>
  <c r="N321" i="29"/>
  <c r="K332" i="29"/>
  <c r="AH321" i="29"/>
  <c r="AH332" i="29"/>
  <c r="AH398" i="29" s="1"/>
  <c r="R332" i="29"/>
  <c r="AA323" i="29"/>
  <c r="W396" i="29"/>
  <c r="W395" i="29"/>
  <c r="N390" i="29"/>
  <c r="N392" i="29" s="1"/>
  <c r="AA390" i="29"/>
  <c r="AA392" i="29" s="1"/>
  <c r="AB390" i="29"/>
  <c r="AB392" i="29" s="1"/>
  <c r="AJ390" i="29"/>
  <c r="AJ392" i="29" s="1"/>
  <c r="W322" i="29"/>
  <c r="AI322" i="29"/>
  <c r="AI332" i="29"/>
  <c r="S323" i="29"/>
  <c r="R321" i="29"/>
  <c r="AE332" i="29"/>
  <c r="P332" i="29"/>
  <c r="AF332" i="29"/>
  <c r="AF398" i="29" s="1"/>
  <c r="L320" i="29"/>
  <c r="L397" i="29"/>
  <c r="P397" i="29"/>
  <c r="P320" i="29"/>
  <c r="X397" i="29"/>
  <c r="X320" i="29"/>
  <c r="AF397" i="29"/>
  <c r="I395" i="29"/>
  <c r="I320" i="29"/>
  <c r="I323" i="29"/>
  <c r="M323" i="29"/>
  <c r="M321" i="29"/>
  <c r="M395" i="29"/>
  <c r="Q320" i="29"/>
  <c r="Q321" i="29"/>
  <c r="U321" i="29"/>
  <c r="U320" i="29"/>
  <c r="U323" i="29"/>
  <c r="Y320" i="29"/>
  <c r="Y321" i="29"/>
  <c r="AC321" i="29"/>
  <c r="AC395" i="29"/>
  <c r="AG395" i="29"/>
  <c r="AG320" i="29"/>
  <c r="AG323" i="29"/>
  <c r="AK321" i="29"/>
  <c r="AK395" i="29"/>
  <c r="AK320" i="29"/>
  <c r="N396" i="29"/>
  <c r="N323" i="29"/>
  <c r="V396" i="29"/>
  <c r="V320" i="29"/>
  <c r="Z323" i="29"/>
  <c r="Z396" i="29"/>
  <c r="AD323" i="29"/>
  <c r="AD396" i="29"/>
  <c r="AD322" i="29"/>
  <c r="AH322" i="29"/>
  <c r="AH320" i="29"/>
  <c r="AH323" i="29"/>
  <c r="AH396" i="29"/>
  <c r="S320" i="29"/>
  <c r="W320" i="29"/>
  <c r="AA320" i="29"/>
  <c r="AE320" i="29"/>
  <c r="AE390" i="29"/>
  <c r="AE392" i="29" s="1"/>
  <c r="I390" i="29"/>
  <c r="I392" i="29" s="1"/>
  <c r="O390" i="29"/>
  <c r="O392" i="29" s="1"/>
  <c r="R390" i="29"/>
  <c r="R392" i="29" s="1"/>
  <c r="N320" i="29"/>
  <c r="N397" i="29"/>
  <c r="N322" i="29"/>
  <c r="T397" i="29"/>
  <c r="K390" i="29"/>
  <c r="K392" i="29" s="1"/>
  <c r="Y323" i="29"/>
  <c r="I321" i="29"/>
  <c r="AF320" i="29"/>
  <c r="AJ397" i="29"/>
  <c r="Y395" i="29"/>
  <c r="R322" i="29"/>
  <c r="AK323" i="29"/>
  <c r="R396" i="29"/>
  <c r="AI390" i="29"/>
  <c r="AI392" i="29" s="1"/>
  <c r="R323" i="29"/>
  <c r="Q323" i="29"/>
  <c r="J320" i="29"/>
  <c r="AD320" i="29"/>
  <c r="Z320" i="29"/>
  <c r="AC320" i="29"/>
  <c r="U395" i="29"/>
  <c r="I356" i="29"/>
  <c r="AC323" i="29"/>
  <c r="J396" i="29"/>
  <c r="V323" i="29"/>
  <c r="M320" i="29"/>
  <c r="Z390" i="29"/>
  <c r="Z392" i="29" s="1"/>
  <c r="V390" i="29"/>
  <c r="V392" i="29" s="1"/>
  <c r="U390" i="29"/>
  <c r="U392" i="29" s="1"/>
  <c r="Q395" i="29"/>
  <c r="J322" i="29"/>
  <c r="Z322" i="29"/>
  <c r="AK166" i="29"/>
  <c r="AH166" i="29"/>
  <c r="AG166" i="29"/>
  <c r="X166" i="29"/>
  <c r="AI173" i="29"/>
  <c r="AD172" i="29"/>
  <c r="W166" i="29"/>
  <c r="S173" i="29"/>
  <c r="R174" i="29"/>
  <c r="Q172" i="29"/>
  <c r="K173" i="29"/>
  <c r="AJ174" i="29"/>
  <c r="AF173" i="29"/>
  <c r="AE172" i="29"/>
  <c r="AB174" i="29"/>
  <c r="Y173" i="29"/>
  <c r="V166" i="29"/>
  <c r="T174" i="29"/>
  <c r="N166" i="29"/>
  <c r="AK174" i="29"/>
  <c r="AJ166" i="29"/>
  <c r="AI174" i="29"/>
  <c r="AH173" i="29"/>
  <c r="AG174" i="29"/>
  <c r="AF174" i="29"/>
  <c r="AE166" i="29"/>
  <c r="AD174" i="29"/>
  <c r="AC172" i="29"/>
  <c r="AB166" i="29"/>
  <c r="AA172" i="29"/>
  <c r="Z172" i="29"/>
  <c r="Y172" i="29"/>
  <c r="X172" i="29"/>
  <c r="W173" i="29"/>
  <c r="V172" i="29"/>
  <c r="U172" i="29"/>
  <c r="T166" i="29"/>
  <c r="S174" i="29"/>
  <c r="R166" i="29"/>
  <c r="Q166" i="29"/>
  <c r="P173" i="29"/>
  <c r="O172" i="29"/>
  <c r="N172" i="29"/>
  <c r="M172" i="29"/>
  <c r="L174" i="29"/>
  <c r="K174" i="29"/>
  <c r="AK172" i="29"/>
  <c r="AJ172" i="29"/>
  <c r="AI166" i="29"/>
  <c r="AH172" i="29"/>
  <c r="AG173" i="29"/>
  <c r="AF166" i="29"/>
  <c r="AE173" i="29"/>
  <c r="AD173" i="29"/>
  <c r="AC173" i="29"/>
  <c r="AB172" i="29"/>
  <c r="AA173" i="29"/>
  <c r="Z174" i="29"/>
  <c r="Y174" i="29"/>
  <c r="X173" i="29"/>
  <c r="W174" i="29"/>
  <c r="V174" i="29"/>
  <c r="U173" i="29"/>
  <c r="T172" i="29"/>
  <c r="S166" i="29"/>
  <c r="R173" i="29"/>
  <c r="Q174" i="29"/>
  <c r="P174" i="29"/>
  <c r="O166" i="29"/>
  <c r="N174" i="29"/>
  <c r="M173" i="29"/>
  <c r="L166" i="29"/>
  <c r="K166" i="29"/>
  <c r="AJ173" i="29"/>
  <c r="AI172" i="29"/>
  <c r="AH174" i="29"/>
  <c r="AG172" i="29"/>
  <c r="AF172" i="29"/>
  <c r="AE174" i="29"/>
  <c r="AD166" i="29"/>
  <c r="AC166" i="29"/>
  <c r="AB173" i="29"/>
  <c r="AA174" i="29"/>
  <c r="Z166" i="29"/>
  <c r="Y166" i="29"/>
  <c r="X174" i="29"/>
  <c r="W172" i="29"/>
  <c r="V173" i="29"/>
  <c r="U174" i="29"/>
  <c r="T173" i="29"/>
  <c r="S172" i="29"/>
  <c r="R172" i="29"/>
  <c r="Q173" i="29"/>
  <c r="P166" i="29"/>
  <c r="O173" i="29"/>
  <c r="N173" i="29"/>
  <c r="M166" i="29"/>
  <c r="L172" i="29"/>
  <c r="K172" i="29"/>
  <c r="I139" i="29"/>
  <c r="AH142" i="29"/>
  <c r="R142" i="29"/>
  <c r="AE141" i="29"/>
  <c r="O141" i="29"/>
  <c r="Z139" i="29"/>
  <c r="V377" i="29"/>
  <c r="R70" i="15"/>
  <c r="K141" i="29"/>
  <c r="J70" i="15"/>
  <c r="Z140" i="29"/>
  <c r="P72" i="15"/>
  <c r="N70" i="15"/>
  <c r="AD70" i="15"/>
  <c r="U72" i="15"/>
  <c r="Y72" i="15"/>
  <c r="O70" i="15"/>
  <c r="AA70" i="15"/>
  <c r="Q379" i="29"/>
  <c r="U379" i="29"/>
  <c r="AC175" i="29"/>
  <c r="AG379" i="29"/>
  <c r="AK175" i="29"/>
  <c r="P89" i="19" s="1"/>
  <c r="N139" i="29"/>
  <c r="R379" i="29"/>
  <c r="V379" i="29"/>
  <c r="Z379" i="29"/>
  <c r="AD379" i="29"/>
  <c r="AH379" i="29"/>
  <c r="K142" i="29"/>
  <c r="O142" i="29"/>
  <c r="S175" i="29"/>
  <c r="W139" i="29"/>
  <c r="AA142" i="29"/>
  <c r="AE377" i="29"/>
  <c r="AI175" i="29"/>
  <c r="L378" i="29"/>
  <c r="P378" i="29"/>
  <c r="T142" i="29"/>
  <c r="X142" i="29"/>
  <c r="AB378" i="29"/>
  <c r="AF142" i="29"/>
  <c r="AJ378" i="29"/>
  <c r="M139" i="29"/>
  <c r="Q139" i="29"/>
  <c r="U139" i="29"/>
  <c r="Y139" i="29"/>
  <c r="AC139" i="29"/>
  <c r="AG139" i="29"/>
  <c r="AK139" i="29"/>
  <c r="Y175" i="29"/>
  <c r="AG175" i="29"/>
  <c r="J151" i="29"/>
  <c r="N151" i="29"/>
  <c r="N380" i="29" s="1"/>
  <c r="R151" i="29"/>
  <c r="R380" i="29" s="1"/>
  <c r="AD139" i="29"/>
  <c r="AH151" i="29"/>
  <c r="AH380" i="29" s="1"/>
  <c r="K139" i="29"/>
  <c r="O151" i="29"/>
  <c r="O380" i="29" s="1"/>
  <c r="W151" i="29"/>
  <c r="AI139" i="29"/>
  <c r="P151" i="29"/>
  <c r="P380" i="29" s="1"/>
  <c r="AF151" i="29"/>
  <c r="Q151" i="29"/>
  <c r="Q380" i="29" s="1"/>
  <c r="U151" i="29"/>
  <c r="U380" i="29" s="1"/>
  <c r="Y151" i="29"/>
  <c r="Y380" i="29" s="1"/>
  <c r="AG151" i="29"/>
  <c r="AG380" i="29" s="1"/>
  <c r="AI377" i="29"/>
  <c r="R377" i="29"/>
  <c r="AI140" i="29"/>
  <c r="AD142" i="29"/>
  <c r="N142" i="29"/>
  <c r="AA141" i="29"/>
  <c r="J142" i="29"/>
  <c r="N140" i="29"/>
  <c r="AD140" i="29"/>
  <c r="X72" i="15"/>
  <c r="L66" i="29"/>
  <c r="K83" i="29"/>
  <c r="K84" i="29"/>
  <c r="K76" i="29"/>
  <c r="K62" i="29" s="1"/>
  <c r="K82" i="29"/>
  <c r="I372" i="29"/>
  <c r="I374" i="29" s="1"/>
  <c r="V372" i="29"/>
  <c r="V374" i="29" s="1"/>
  <c r="J175" i="29"/>
  <c r="X372" i="29"/>
  <c r="X374" i="29" s="1"/>
  <c r="AF372" i="29"/>
  <c r="AF374" i="29" s="1"/>
  <c r="K175" i="29"/>
  <c r="N175" i="29"/>
  <c r="U142" i="29"/>
  <c r="AI379" i="29"/>
  <c r="Y142" i="29"/>
  <c r="AK141" i="29"/>
  <c r="AF377" i="29"/>
  <c r="P377" i="29"/>
  <c r="J139" i="29"/>
  <c r="M141" i="29"/>
  <c r="L139" i="29"/>
  <c r="M378" i="29"/>
  <c r="U372" i="29"/>
  <c r="U374" i="29" s="1"/>
  <c r="AB60" i="15"/>
  <c r="Y60" i="15"/>
  <c r="AA151" i="29"/>
  <c r="AK151" i="29"/>
  <c r="AC151" i="29"/>
  <c r="M151" i="29"/>
  <c r="M380" i="29" s="1"/>
  <c r="AA372" i="29"/>
  <c r="AA374" i="29" s="1"/>
  <c r="AB151" i="29"/>
  <c r="AB377" i="29"/>
  <c r="Y378" i="29"/>
  <c r="I378" i="29"/>
  <c r="AG378" i="29"/>
  <c r="P372" i="29"/>
  <c r="P374" i="29" s="1"/>
  <c r="AB372" i="29"/>
  <c r="AB374" i="29" s="1"/>
  <c r="Y372" i="29"/>
  <c r="Y374" i="29" s="1"/>
  <c r="Z372" i="29"/>
  <c r="Z374" i="29" s="1"/>
  <c r="Q372" i="29"/>
  <c r="Q374" i="29" s="1"/>
  <c r="V175" i="29"/>
  <c r="Q142" i="29"/>
  <c r="S151" i="29"/>
  <c r="Q141" i="29"/>
  <c r="X140" i="29"/>
  <c r="AK378" i="29"/>
  <c r="Y141" i="29"/>
  <c r="AJ151" i="29"/>
  <c r="X151" i="29"/>
  <c r="X380" i="29" s="1"/>
  <c r="T377" i="29"/>
  <c r="AD151" i="29"/>
  <c r="Q378" i="29"/>
  <c r="J372" i="29"/>
  <c r="J374" i="29" s="1"/>
  <c r="I175" i="29"/>
  <c r="AD175" i="29"/>
  <c r="I142" i="29"/>
  <c r="W379" i="29"/>
  <c r="I151" i="29"/>
  <c r="L151" i="29"/>
  <c r="L140" i="29"/>
  <c r="L175" i="29"/>
  <c r="O175" i="29"/>
  <c r="T175" i="29"/>
  <c r="W175" i="29"/>
  <c r="AB175" i="29"/>
  <c r="AE175" i="29"/>
  <c r="AJ175" i="29"/>
  <c r="W140" i="29"/>
  <c r="AA377" i="29"/>
  <c r="AC379" i="29"/>
  <c r="AJ141" i="29"/>
  <c r="O377" i="29"/>
  <c r="AF141" i="29"/>
  <c r="AF139" i="29"/>
  <c r="V139" i="29"/>
  <c r="J379" i="29"/>
  <c r="AI142" i="29"/>
  <c r="S142" i="29"/>
  <c r="AJ139" i="29"/>
  <c r="AB142" i="29"/>
  <c r="AE139" i="29"/>
  <c r="AE142" i="29"/>
  <c r="S139" i="29"/>
  <c r="X378" i="29"/>
  <c r="M377" i="29"/>
  <c r="AC377" i="29"/>
  <c r="R175" i="29"/>
  <c r="U175" i="29"/>
  <c r="Z175" i="29"/>
  <c r="AH175" i="29"/>
  <c r="O140" i="29"/>
  <c r="S377" i="29"/>
  <c r="AB141" i="29"/>
  <c r="X141" i="29"/>
  <c r="X139" i="29"/>
  <c r="AH139" i="29"/>
  <c r="R139" i="29"/>
  <c r="AA140" i="29"/>
  <c r="K140" i="29"/>
  <c r="AB139" i="29"/>
  <c r="M372" i="29"/>
  <c r="M374" i="29" s="1"/>
  <c r="R372" i="29"/>
  <c r="R374" i="29" s="1"/>
  <c r="T372" i="29"/>
  <c r="T374" i="29" s="1"/>
  <c r="AK61" i="15"/>
  <c r="L142" i="29"/>
  <c r="AA139" i="29"/>
  <c r="W142" i="29"/>
  <c r="O139" i="29"/>
  <c r="AJ142" i="29"/>
  <c r="T378" i="29"/>
  <c r="P175" i="29"/>
  <c r="X175" i="29"/>
  <c r="AA175" i="29"/>
  <c r="AF175" i="29"/>
  <c r="O89" i="19" s="1"/>
  <c r="J89" i="29"/>
  <c r="J91" i="29" s="1"/>
  <c r="K377" i="29"/>
  <c r="T141" i="29"/>
  <c r="P141" i="29"/>
  <c r="P139" i="29"/>
  <c r="T139" i="29"/>
  <c r="L372" i="29"/>
  <c r="L374" i="29" s="1"/>
  <c r="P142" i="29"/>
  <c r="AD347" i="28"/>
  <c r="T354" i="28"/>
  <c r="Q353" i="28"/>
  <c r="P354" i="28"/>
  <c r="L354" i="28"/>
  <c r="AK347" i="28"/>
  <c r="AJ355" i="28"/>
  <c r="AI355" i="28"/>
  <c r="AH354" i="28"/>
  <c r="AE353" i="28"/>
  <c r="V355" i="28"/>
  <c r="S355" i="28"/>
  <c r="N355" i="28"/>
  <c r="AF355" i="28"/>
  <c r="AB353" i="28"/>
  <c r="AA347" i="28"/>
  <c r="X355" i="28"/>
  <c r="W355" i="28"/>
  <c r="M353" i="28"/>
  <c r="K347" i="28"/>
  <c r="AK355" i="28"/>
  <c r="AJ354" i="28"/>
  <c r="AI353" i="28"/>
  <c r="AH355" i="28"/>
  <c r="AG354" i="28"/>
  <c r="AF354" i="28"/>
  <c r="AE347" i="28"/>
  <c r="AD353" i="28"/>
  <c r="AC353" i="28"/>
  <c r="AB355" i="28"/>
  <c r="AA355" i="28"/>
  <c r="Z353" i="28"/>
  <c r="Y354" i="28"/>
  <c r="X347" i="28"/>
  <c r="W353" i="28"/>
  <c r="V347" i="28"/>
  <c r="U353" i="28"/>
  <c r="T347" i="28"/>
  <c r="S353" i="28"/>
  <c r="R353" i="28"/>
  <c r="Q347" i="28"/>
  <c r="P353" i="28"/>
  <c r="O353" i="28"/>
  <c r="N347" i="28"/>
  <c r="M347" i="28"/>
  <c r="L347" i="28"/>
  <c r="K355" i="28"/>
  <c r="AK354" i="28"/>
  <c r="AJ347" i="28"/>
  <c r="AI354" i="28"/>
  <c r="AH347" i="28"/>
  <c r="AG355" i="28"/>
  <c r="AF347" i="28"/>
  <c r="AE354" i="28"/>
  <c r="AD354" i="28"/>
  <c r="AC347" i="28"/>
  <c r="AB354" i="28"/>
  <c r="AA353" i="28"/>
  <c r="Z354" i="28"/>
  <c r="Y355" i="28"/>
  <c r="X354" i="28"/>
  <c r="W347" i="28"/>
  <c r="V353" i="28"/>
  <c r="U347" i="28"/>
  <c r="T353" i="28"/>
  <c r="S354" i="28"/>
  <c r="R354" i="28"/>
  <c r="Q354" i="28"/>
  <c r="P355" i="28"/>
  <c r="O355" i="28"/>
  <c r="N353" i="28"/>
  <c r="M355" i="28"/>
  <c r="L353" i="28"/>
  <c r="K353" i="28"/>
  <c r="AJ353" i="28"/>
  <c r="AI347" i="28"/>
  <c r="AH353" i="28"/>
  <c r="AG347" i="28"/>
  <c r="AF353" i="28"/>
  <c r="AE355" i="28"/>
  <c r="AD355" i="28"/>
  <c r="AC354" i="28"/>
  <c r="AB347" i="28"/>
  <c r="AA354" i="28"/>
  <c r="Z355" i="28"/>
  <c r="Y353" i="28"/>
  <c r="X353" i="28"/>
  <c r="W354" i="28"/>
  <c r="V354" i="28"/>
  <c r="U354" i="28"/>
  <c r="T355" i="28"/>
  <c r="S347" i="28"/>
  <c r="R355" i="28"/>
  <c r="Q355" i="28"/>
  <c r="P347" i="28"/>
  <c r="O347" i="28"/>
  <c r="N354" i="28"/>
  <c r="M354" i="28"/>
  <c r="L355" i="28"/>
  <c r="K354" i="28"/>
  <c r="V395" i="28"/>
  <c r="AG320" i="28"/>
  <c r="N332" i="28"/>
  <c r="N398" i="28" s="1"/>
  <c r="S322" i="28"/>
  <c r="AH395" i="28"/>
  <c r="K323" i="28"/>
  <c r="AE322" i="28"/>
  <c r="W322" i="28"/>
  <c r="S323" i="28"/>
  <c r="N395" i="28"/>
  <c r="U323" i="28"/>
  <c r="O323" i="28"/>
  <c r="Z321" i="28"/>
  <c r="J321" i="28"/>
  <c r="AH332" i="28"/>
  <c r="AH398" i="28" s="1"/>
  <c r="W396" i="28"/>
  <c r="AI323" i="28"/>
  <c r="AH356" i="28"/>
  <c r="J395" i="28"/>
  <c r="K397" i="28"/>
  <c r="O320" i="28"/>
  <c r="S320" i="28"/>
  <c r="W397" i="28"/>
  <c r="AA320" i="28"/>
  <c r="AE397" i="28"/>
  <c r="AI397" i="28"/>
  <c r="L320" i="28"/>
  <c r="P320" i="28"/>
  <c r="AB320" i="28"/>
  <c r="U320" i="28"/>
  <c r="Y323" i="28"/>
  <c r="AC323" i="28"/>
  <c r="AG323" i="28"/>
  <c r="J320" i="28"/>
  <c r="N320" i="28"/>
  <c r="R320" i="28"/>
  <c r="V320" i="28"/>
  <c r="Z320" i="28"/>
  <c r="AD320" i="28"/>
  <c r="K320" i="28"/>
  <c r="O332" i="28"/>
  <c r="S332" i="28"/>
  <c r="S398" i="28" s="1"/>
  <c r="W320" i="28"/>
  <c r="AA332" i="28"/>
  <c r="AA398" i="28" s="1"/>
  <c r="AE332" i="28"/>
  <c r="AE398" i="28" s="1"/>
  <c r="AI332" i="28"/>
  <c r="AI398" i="28" s="1"/>
  <c r="L332" i="28"/>
  <c r="L398" i="28" s="1"/>
  <c r="X332" i="28"/>
  <c r="X398" i="28" s="1"/>
  <c r="AB397" i="28"/>
  <c r="AF332" i="28"/>
  <c r="AF398" i="28" s="1"/>
  <c r="AJ397" i="28"/>
  <c r="I332" i="28"/>
  <c r="I333" i="28" s="1"/>
  <c r="M395" i="28"/>
  <c r="Q332" i="28"/>
  <c r="Q398" i="28" s="1"/>
  <c r="U395" i="28"/>
  <c r="Y395" i="28"/>
  <c r="AC321" i="28"/>
  <c r="AG395" i="28"/>
  <c r="AK321" i="28"/>
  <c r="J396" i="28"/>
  <c r="N323" i="28"/>
  <c r="R332" i="28"/>
  <c r="R398" i="28" s="1"/>
  <c r="V332" i="28"/>
  <c r="V398" i="28" s="1"/>
  <c r="Z322" i="28"/>
  <c r="AD332" i="28"/>
  <c r="AH396" i="28"/>
  <c r="O356" i="28"/>
  <c r="AE356" i="28"/>
  <c r="R390" i="28"/>
  <c r="R392" i="28" s="1"/>
  <c r="K390" i="28"/>
  <c r="K392" i="28" s="1"/>
  <c r="AA390" i="28"/>
  <c r="AA392" i="28" s="1"/>
  <c r="X390" i="28"/>
  <c r="X392" i="28" s="1"/>
  <c r="W390" i="28"/>
  <c r="W392" i="28" s="1"/>
  <c r="Z356" i="28"/>
  <c r="Q395" i="28"/>
  <c r="Y332" i="28"/>
  <c r="AD322" i="28"/>
  <c r="N322" i="28"/>
  <c r="J323" i="28"/>
  <c r="AJ332" i="28"/>
  <c r="Z332" i="28"/>
  <c r="L397" i="28"/>
  <c r="Q323" i="28"/>
  <c r="AK320" i="28"/>
  <c r="R396" i="28"/>
  <c r="V323" i="28"/>
  <c r="U332" i="28"/>
  <c r="AC395" i="28"/>
  <c r="AK390" i="28"/>
  <c r="AK392" i="28" s="1"/>
  <c r="Z390" i="28"/>
  <c r="Z392" i="28" s="1"/>
  <c r="R356" i="28"/>
  <c r="AF397" i="28"/>
  <c r="O397" i="28"/>
  <c r="Y321" i="28"/>
  <c r="I321" i="28"/>
  <c r="AD323" i="28"/>
  <c r="AD396" i="28"/>
  <c r="N396" i="28"/>
  <c r="R323" i="28"/>
  <c r="AC332" i="28"/>
  <c r="AC398" i="28" s="1"/>
  <c r="AA397" i="28"/>
  <c r="M320" i="28"/>
  <c r="M321" i="28"/>
  <c r="R322" i="28"/>
  <c r="O390" i="28"/>
  <c r="O392" i="28" s="1"/>
  <c r="M332" i="28"/>
  <c r="J390" i="28"/>
  <c r="J392" i="28" s="1"/>
  <c r="AH390" i="28"/>
  <c r="AH392" i="28" s="1"/>
  <c r="AB390" i="28"/>
  <c r="AB392" i="28" s="1"/>
  <c r="AF390" i="28"/>
  <c r="AF392" i="28" s="1"/>
  <c r="S390" i="28"/>
  <c r="S392" i="28" s="1"/>
  <c r="J356" i="28"/>
  <c r="X397" i="28"/>
  <c r="I395" i="28"/>
  <c r="V322" i="28"/>
  <c r="AH320" i="28"/>
  <c r="Z323" i="28"/>
  <c r="AK270" i="28"/>
  <c r="AK272" i="28" s="1"/>
  <c r="AB332" i="28"/>
  <c r="W332" i="28"/>
  <c r="W398" i="28" s="1"/>
  <c r="AJ356" i="28"/>
  <c r="AG356" i="28"/>
  <c r="AB356" i="28"/>
  <c r="Y356" i="28"/>
  <c r="T356" i="28"/>
  <c r="Q356" i="28"/>
  <c r="L356" i="28"/>
  <c r="I356" i="28"/>
  <c r="P323" i="28"/>
  <c r="U396" i="28"/>
  <c r="M323" i="28"/>
  <c r="AJ320" i="28"/>
  <c r="Q320" i="28"/>
  <c r="AI320" i="28"/>
  <c r="AB395" i="28"/>
  <c r="L395" i="28"/>
  <c r="X320" i="28"/>
  <c r="AG396" i="28"/>
  <c r="AJ390" i="28"/>
  <c r="AJ392" i="28" s="1"/>
  <c r="I323" i="28"/>
  <c r="S397" i="28"/>
  <c r="AF395" i="28"/>
  <c r="P395" i="28"/>
  <c r="AC320" i="28"/>
  <c r="I320" i="28"/>
  <c r="AC322" i="28"/>
  <c r="T323" i="28"/>
  <c r="AE320" i="28"/>
  <c r="AI356" i="28"/>
  <c r="AD356" i="28"/>
  <c r="AA356" i="28"/>
  <c r="V356" i="28"/>
  <c r="S356" i="28"/>
  <c r="N356" i="28"/>
  <c r="K356" i="28"/>
  <c r="AF270" i="28"/>
  <c r="AF272" i="28" s="1"/>
  <c r="M396" i="28"/>
  <c r="AK323" i="28"/>
  <c r="T320" i="28"/>
  <c r="AJ321" i="28"/>
  <c r="T321" i="28"/>
  <c r="Y322" i="28"/>
  <c r="I322" i="28"/>
  <c r="X321" i="28"/>
  <c r="Y320" i="28"/>
  <c r="U322" i="28"/>
  <c r="AK356" i="28"/>
  <c r="AF356" i="28"/>
  <c r="AC356" i="28"/>
  <c r="X356" i="28"/>
  <c r="U356" i="28"/>
  <c r="P356" i="28"/>
  <c r="M356" i="28"/>
  <c r="AJ395" i="28"/>
  <c r="Y396" i="28"/>
  <c r="AD390" i="28"/>
  <c r="AD392" i="28" s="1"/>
  <c r="N390" i="28"/>
  <c r="N392" i="28" s="1"/>
  <c r="J166" i="28"/>
  <c r="L156" i="28"/>
  <c r="K173" i="28"/>
  <c r="K172" i="28"/>
  <c r="K166" i="28"/>
  <c r="K174" i="28"/>
  <c r="J71" i="15"/>
  <c r="J173" i="28"/>
  <c r="J80" i="15"/>
  <c r="J174" i="28"/>
  <c r="J172" i="28"/>
  <c r="AI70" i="15"/>
  <c r="AJ141" i="28"/>
  <c r="AA140" i="28"/>
  <c r="Y379" i="28"/>
  <c r="U379" i="28"/>
  <c r="X141" i="28"/>
  <c r="AI142" i="28"/>
  <c r="W70" i="15"/>
  <c r="S70" i="15"/>
  <c r="AC72" i="15"/>
  <c r="W140" i="28"/>
  <c r="O377" i="28"/>
  <c r="S377" i="28"/>
  <c r="AC175" i="28"/>
  <c r="Z139" i="28"/>
  <c r="J151" i="28"/>
  <c r="J380" i="28" s="1"/>
  <c r="R151" i="28"/>
  <c r="R380" i="28" s="1"/>
  <c r="V151" i="28"/>
  <c r="V380" i="28" s="1"/>
  <c r="Z151" i="28"/>
  <c r="Z380" i="28" s="1"/>
  <c r="AD151" i="28"/>
  <c r="AD380" i="28" s="1"/>
  <c r="O151" i="28"/>
  <c r="S151" i="28"/>
  <c r="S380" i="28" s="1"/>
  <c r="AA151" i="28"/>
  <c r="AA380" i="28" s="1"/>
  <c r="AE151" i="28"/>
  <c r="AE380" i="28" s="1"/>
  <c r="AI151" i="28"/>
  <c r="AI380" i="28" s="1"/>
  <c r="L151" i="28"/>
  <c r="L380" i="28" s="1"/>
  <c r="P151" i="28"/>
  <c r="P380" i="28" s="1"/>
  <c r="X142" i="28"/>
  <c r="AB142" i="28"/>
  <c r="AF151" i="28"/>
  <c r="AF380" i="28" s="1"/>
  <c r="AJ151" i="28"/>
  <c r="AJ380" i="28" s="1"/>
  <c r="I151" i="28"/>
  <c r="I152" i="28" s="1"/>
  <c r="M151" i="28"/>
  <c r="M380" i="28" s="1"/>
  <c r="Q151" i="28"/>
  <c r="Q380" i="28" s="1"/>
  <c r="U151" i="28"/>
  <c r="U380" i="28" s="1"/>
  <c r="AC151" i="28"/>
  <c r="AC380" i="28" s="1"/>
  <c r="AK151" i="28"/>
  <c r="AK380" i="28" s="1"/>
  <c r="O175" i="28"/>
  <c r="AB141" i="28"/>
  <c r="S140" i="28"/>
  <c r="P141" i="28"/>
  <c r="K142" i="28"/>
  <c r="AE142" i="28"/>
  <c r="W142" i="28"/>
  <c r="O140" i="28"/>
  <c r="N139" i="28"/>
  <c r="AD139" i="28"/>
  <c r="K151" i="28"/>
  <c r="K380" i="28" s="1"/>
  <c r="AG151" i="28"/>
  <c r="AG380" i="28" s="1"/>
  <c r="T141" i="28"/>
  <c r="K140" i="28"/>
  <c r="AK379" i="28"/>
  <c r="AE70" i="15"/>
  <c r="K70" i="15"/>
  <c r="K356" i="27"/>
  <c r="AB396" i="27"/>
  <c r="AH396" i="27"/>
  <c r="AD320" i="27"/>
  <c r="Z397" i="27"/>
  <c r="M323" i="27"/>
  <c r="AG323" i="27"/>
  <c r="P321" i="27"/>
  <c r="S323" i="27"/>
  <c r="N397" i="27"/>
  <c r="AF397" i="27"/>
  <c r="AH322" i="27"/>
  <c r="P395" i="27"/>
  <c r="O395" i="27"/>
  <c r="AJ356" i="27"/>
  <c r="AC321" i="27"/>
  <c r="I356" i="27"/>
  <c r="W320" i="27"/>
  <c r="Y322" i="27"/>
  <c r="AJ395" i="27"/>
  <c r="M321" i="27"/>
  <c r="AA323" i="27"/>
  <c r="K320" i="27"/>
  <c r="Y320" i="27"/>
  <c r="V320" i="27"/>
  <c r="AC320" i="27"/>
  <c r="AG395" i="27"/>
  <c r="AK332" i="27"/>
  <c r="AK398" i="27" s="1"/>
  <c r="AI332" i="27"/>
  <c r="AI398" i="27" s="1"/>
  <c r="AK356" i="27"/>
  <c r="Q332" i="27"/>
  <c r="Q398" i="27" s="1"/>
  <c r="M322" i="27"/>
  <c r="AK397" i="27"/>
  <c r="AH356" i="27"/>
  <c r="Y356" i="27"/>
  <c r="AI322" i="27"/>
  <c r="AG320" i="27"/>
  <c r="AC356" i="27"/>
  <c r="X322" i="27"/>
  <c r="I320" i="27"/>
  <c r="AB323" i="27"/>
  <c r="AC323" i="27"/>
  <c r="AH397" i="27"/>
  <c r="K323" i="27"/>
  <c r="AE320" i="27"/>
  <c r="N320" i="27"/>
  <c r="Q356" i="27"/>
  <c r="M356" i="27"/>
  <c r="K321" i="27"/>
  <c r="R322" i="27"/>
  <c r="AB356" i="27"/>
  <c r="AD397" i="27"/>
  <c r="R321" i="27"/>
  <c r="O321" i="27"/>
  <c r="W323" i="27"/>
  <c r="AK323" i="27"/>
  <c r="U397" i="27"/>
  <c r="AA356" i="27"/>
  <c r="K332" i="27"/>
  <c r="Y332" i="27"/>
  <c r="Y398" i="27" s="1"/>
  <c r="U332" i="27"/>
  <c r="U398" i="27" s="1"/>
  <c r="Q395" i="27"/>
  <c r="AA320" i="27"/>
  <c r="W322" i="27"/>
  <c r="X396" i="27"/>
  <c r="N322" i="27"/>
  <c r="M397" i="27"/>
  <c r="AE356" i="27"/>
  <c r="Y323" i="27"/>
  <c r="S332" i="27"/>
  <c r="S398" i="27" s="1"/>
  <c r="AE323" i="27"/>
  <c r="P356" i="27"/>
  <c r="AB320" i="27"/>
  <c r="AI320" i="27"/>
  <c r="S320" i="27"/>
  <c r="Z320" i="27"/>
  <c r="J320" i="27"/>
  <c r="L320" i="27"/>
  <c r="N323" i="27"/>
  <c r="AA332" i="27"/>
  <c r="AA398" i="27" s="1"/>
  <c r="X356" i="27"/>
  <c r="J395" i="27"/>
  <c r="P396" i="27"/>
  <c r="AC322" i="27"/>
  <c r="AG396" i="27"/>
  <c r="W397" i="27"/>
  <c r="L175" i="27"/>
  <c r="Q175" i="27"/>
  <c r="T175" i="27"/>
  <c r="Y175" i="27"/>
  <c r="AB175" i="27"/>
  <c r="AG175" i="27"/>
  <c r="AJ175" i="27"/>
  <c r="N139" i="27"/>
  <c r="L142" i="27"/>
  <c r="AB379" i="27"/>
  <c r="L379" i="27"/>
  <c r="AK140" i="27"/>
  <c r="Q377" i="27"/>
  <c r="AI379" i="27"/>
  <c r="AD379" i="27"/>
  <c r="AJ140" i="27"/>
  <c r="AF377" i="27"/>
  <c r="Z379" i="27"/>
  <c r="V70" i="15"/>
  <c r="P379" i="27"/>
  <c r="I378" i="27"/>
  <c r="M377" i="27"/>
  <c r="I151" i="27"/>
  <c r="P140" i="27"/>
  <c r="AH142" i="27"/>
  <c r="AJ139" i="27"/>
  <c r="L139" i="27"/>
  <c r="AC141" i="27"/>
  <c r="AK142" i="27"/>
  <c r="U142" i="27"/>
  <c r="N142" i="27"/>
  <c r="AH139" i="27"/>
  <c r="R139" i="27"/>
  <c r="X142" i="27"/>
  <c r="AK151" i="27"/>
  <c r="AK380" i="27" s="1"/>
  <c r="AD142" i="27"/>
  <c r="Q139" i="27"/>
  <c r="I140" i="27"/>
  <c r="V378" i="27"/>
  <c r="N378" i="27"/>
  <c r="AH378" i="27"/>
  <c r="Z72" i="15"/>
  <c r="J175" i="27"/>
  <c r="O175" i="27"/>
  <c r="R175" i="27"/>
  <c r="W175" i="27"/>
  <c r="Z175" i="27"/>
  <c r="AE175" i="27"/>
  <c r="AJ142" i="27"/>
  <c r="AH70" i="15"/>
  <c r="L377" i="27"/>
  <c r="AC140" i="27"/>
  <c r="AA379" i="27"/>
  <c r="T140" i="27"/>
  <c r="X377" i="27"/>
  <c r="Y141" i="27"/>
  <c r="AF379" i="27"/>
  <c r="AD141" i="27"/>
  <c r="Y151" i="27"/>
  <c r="Y380" i="27" s="1"/>
  <c r="AF139" i="27"/>
  <c r="Z70" i="15"/>
  <c r="AB139" i="27"/>
  <c r="AJ151" i="27"/>
  <c r="AJ380" i="27" s="1"/>
  <c r="T151" i="27"/>
  <c r="R141" i="27"/>
  <c r="AG142" i="27"/>
  <c r="Q142" i="27"/>
  <c r="AK139" i="27"/>
  <c r="Z141" i="27"/>
  <c r="J139" i="27"/>
  <c r="P142" i="27"/>
  <c r="V142" i="27"/>
  <c r="AG140" i="27"/>
  <c r="AD151" i="27"/>
  <c r="AD380" i="27" s="1"/>
  <c r="N151" i="27"/>
  <c r="N380" i="27" s="1"/>
  <c r="AD378" i="27"/>
  <c r="R378" i="27"/>
  <c r="N140" i="27"/>
  <c r="AC151" i="27"/>
  <c r="AC380" i="27" s="1"/>
  <c r="M175" i="27"/>
  <c r="P175" i="27"/>
  <c r="U175" i="27"/>
  <c r="X175" i="27"/>
  <c r="AC175" i="27"/>
  <c r="AF175" i="27"/>
  <c r="AK175" i="27"/>
  <c r="AB142" i="27"/>
  <c r="S379" i="27"/>
  <c r="Z142" i="27"/>
  <c r="AC377" i="27"/>
  <c r="U141" i="27"/>
  <c r="M142" i="27"/>
  <c r="AC378" i="27"/>
  <c r="AG378" i="27"/>
  <c r="L66" i="28"/>
  <c r="K76" i="28"/>
  <c r="K62" i="28" s="1"/>
  <c r="K84" i="28"/>
  <c r="K83" i="28"/>
  <c r="K82" i="28"/>
  <c r="V371" i="28"/>
  <c r="V372" i="28" s="1"/>
  <c r="V374" i="28" s="1"/>
  <c r="I70" i="15"/>
  <c r="AI72" i="15"/>
  <c r="AK60" i="15"/>
  <c r="AD372" i="28"/>
  <c r="AD374" i="28" s="1"/>
  <c r="S372" i="28"/>
  <c r="S374" i="28" s="1"/>
  <c r="Y371" i="28"/>
  <c r="Y372" i="28" s="1"/>
  <c r="Y374" i="28" s="1"/>
  <c r="AE60" i="15"/>
  <c r="V60" i="15"/>
  <c r="M60" i="15"/>
  <c r="S60" i="15"/>
  <c r="AB151" i="28"/>
  <c r="P60" i="15"/>
  <c r="J72" i="15"/>
  <c r="J379" i="28"/>
  <c r="J175" i="28"/>
  <c r="N379" i="28"/>
  <c r="N72" i="15"/>
  <c r="R72" i="15"/>
  <c r="R379" i="28"/>
  <c r="V379" i="28"/>
  <c r="AD72" i="15"/>
  <c r="AD379" i="28"/>
  <c r="AH379" i="28"/>
  <c r="K379" i="28"/>
  <c r="K72" i="15"/>
  <c r="K139" i="28"/>
  <c r="S379" i="28"/>
  <c r="S175" i="28"/>
  <c r="W139" i="28"/>
  <c r="W72" i="15"/>
  <c r="W379" i="28"/>
  <c r="AA139" i="28"/>
  <c r="AA72" i="15"/>
  <c r="AA175" i="28"/>
  <c r="AA379" i="28"/>
  <c r="AE139" i="28"/>
  <c r="AE379" i="28"/>
  <c r="AI139" i="28"/>
  <c r="AI175" i="28"/>
  <c r="L70" i="15"/>
  <c r="L377" i="28"/>
  <c r="L142" i="28"/>
  <c r="L140" i="28"/>
  <c r="L175" i="28"/>
  <c r="P377" i="28"/>
  <c r="P70" i="15"/>
  <c r="P140" i="28"/>
  <c r="P142" i="28"/>
  <c r="P139" i="28"/>
  <c r="T142" i="28"/>
  <c r="T139" i="28"/>
  <c r="T140" i="28"/>
  <c r="X377" i="28"/>
  <c r="X140" i="28"/>
  <c r="X70" i="15"/>
  <c r="AB70" i="15"/>
  <c r="AB140" i="28"/>
  <c r="AB139" i="28"/>
  <c r="AB377" i="28"/>
  <c r="AF142" i="28"/>
  <c r="AF70" i="15"/>
  <c r="AF139" i="28"/>
  <c r="AF140" i="28"/>
  <c r="AF377" i="28"/>
  <c r="AJ377" i="28"/>
  <c r="AJ70" i="15"/>
  <c r="AJ142" i="28"/>
  <c r="AJ139" i="28"/>
  <c r="I142" i="28"/>
  <c r="I139" i="28"/>
  <c r="I378" i="28"/>
  <c r="M378" i="28"/>
  <c r="M142" i="28"/>
  <c r="M139" i="28"/>
  <c r="M141" i="28"/>
  <c r="Q139" i="28"/>
  <c r="Q70" i="15"/>
  <c r="Q142" i="28"/>
  <c r="U378" i="28"/>
  <c r="U70" i="15"/>
  <c r="U139" i="28"/>
  <c r="U142" i="28"/>
  <c r="U141" i="28"/>
  <c r="U175" i="28"/>
  <c r="Y378" i="28"/>
  <c r="Y141" i="28"/>
  <c r="AG142" i="28"/>
  <c r="AG139" i="28"/>
  <c r="AG70" i="15"/>
  <c r="AG378" i="28"/>
  <c r="AK378" i="28"/>
  <c r="AK142" i="28"/>
  <c r="AK141" i="28"/>
  <c r="AK70" i="15"/>
  <c r="AK139" i="28"/>
  <c r="AK175" i="28"/>
  <c r="J139" i="28"/>
  <c r="R139" i="28"/>
  <c r="V139" i="28"/>
  <c r="AH139" i="28"/>
  <c r="AK372" i="28"/>
  <c r="AK374" i="28" s="1"/>
  <c r="J372" i="28"/>
  <c r="J374" i="28" s="1"/>
  <c r="Z372" i="28"/>
  <c r="Z374" i="28" s="1"/>
  <c r="K372" i="28"/>
  <c r="K374" i="28" s="1"/>
  <c r="O372" i="28"/>
  <c r="O374" i="28" s="1"/>
  <c r="Y89" i="28"/>
  <c r="Y91" i="28" s="1"/>
  <c r="Y61" i="15"/>
  <c r="AH61" i="15"/>
  <c r="AH89" i="28"/>
  <c r="AH91" i="28" s="1"/>
  <c r="AH372" i="28"/>
  <c r="AH374" i="28" s="1"/>
  <c r="I61" i="15"/>
  <c r="T89" i="28"/>
  <c r="T91" i="28" s="1"/>
  <c r="T372" i="28"/>
  <c r="T374" i="28" s="1"/>
  <c r="M372" i="28"/>
  <c r="M374" i="28" s="1"/>
  <c r="M61" i="15"/>
  <c r="X61" i="15"/>
  <c r="X372" i="28"/>
  <c r="X374" i="28" s="1"/>
  <c r="W372" i="28"/>
  <c r="W374" i="28" s="1"/>
  <c r="W61" i="15"/>
  <c r="U61" i="15"/>
  <c r="K175" i="28"/>
  <c r="V175" i="28"/>
  <c r="Y175" i="28"/>
  <c r="AB175" i="28"/>
  <c r="AC142" i="28"/>
  <c r="T377" i="28"/>
  <c r="Y70" i="15"/>
  <c r="O72" i="15"/>
  <c r="T70" i="15"/>
  <c r="T61" i="15"/>
  <c r="S139" i="28"/>
  <c r="AC378" i="28"/>
  <c r="W175" i="28"/>
  <c r="AC141" i="28"/>
  <c r="Q378" i="28"/>
  <c r="AI379" i="28"/>
  <c r="X139" i="28"/>
  <c r="M70" i="15"/>
  <c r="AE72" i="15"/>
  <c r="I141" i="28"/>
  <c r="Y142" i="28"/>
  <c r="M175" i="28"/>
  <c r="Q175" i="28"/>
  <c r="T175" i="28"/>
  <c r="AD175" i="28"/>
  <c r="AG175" i="28"/>
  <c r="AJ175" i="28"/>
  <c r="L139" i="28"/>
  <c r="AJ140" i="28"/>
  <c r="AC139" i="28"/>
  <c r="AC70" i="15"/>
  <c r="O139" i="28"/>
  <c r="Y139" i="28"/>
  <c r="I175" i="28"/>
  <c r="R175" i="28"/>
  <c r="Z175" i="28"/>
  <c r="AH175" i="28"/>
  <c r="P175" i="28"/>
  <c r="X175" i="28"/>
  <c r="AF175" i="28"/>
  <c r="L337" i="27"/>
  <c r="K353" i="27"/>
  <c r="K347" i="27"/>
  <c r="K355" i="27"/>
  <c r="K354" i="27"/>
  <c r="J397" i="27"/>
  <c r="AK320" i="27"/>
  <c r="L397" i="27"/>
  <c r="AG321" i="27"/>
  <c r="K397" i="27"/>
  <c r="N395" i="27"/>
  <c r="X323" i="27"/>
  <c r="AH323" i="27"/>
  <c r="I321" i="27"/>
  <c r="AE321" i="27"/>
  <c r="AI321" i="27"/>
  <c r="AF320" i="27"/>
  <c r="H320" i="27"/>
  <c r="O320" i="27"/>
  <c r="S397" i="27"/>
  <c r="AB322" i="27"/>
  <c r="AE396" i="27"/>
  <c r="AA321" i="27"/>
  <c r="W395" i="27"/>
  <c r="V395" i="27"/>
  <c r="AI395" i="27"/>
  <c r="Z395" i="27"/>
  <c r="S356" i="27"/>
  <c r="N379" i="27"/>
  <c r="N397" i="30"/>
  <c r="N139" i="30"/>
  <c r="G28" i="22"/>
  <c r="I71" i="22"/>
  <c r="AI372" i="30"/>
  <c r="AI374" i="30" s="1"/>
  <c r="Q372" i="30"/>
  <c r="Q374" i="30" s="1"/>
  <c r="AD390" i="29"/>
  <c r="AD392" i="29" s="1"/>
  <c r="AG372" i="30"/>
  <c r="AG374" i="30" s="1"/>
  <c r="J84" i="27"/>
  <c r="J58" i="15"/>
  <c r="K66" i="27"/>
  <c r="AH390" i="30"/>
  <c r="AH392" i="30" s="1"/>
  <c r="S372" i="30"/>
  <c r="S374" i="30" s="1"/>
  <c r="Q372" i="28"/>
  <c r="Q374" i="28" s="1"/>
  <c r="M270" i="27"/>
  <c r="M272" i="27" s="1"/>
  <c r="M391" i="27"/>
  <c r="AK390" i="27"/>
  <c r="AK392" i="27" s="1"/>
  <c r="Z390" i="30"/>
  <c r="Z392" i="30" s="1"/>
  <c r="AB390" i="30"/>
  <c r="AB392" i="30" s="1"/>
  <c r="T390" i="28"/>
  <c r="T392" i="28" s="1"/>
  <c r="AI373" i="28"/>
  <c r="P391" i="30"/>
  <c r="P270" i="30"/>
  <c r="P272" i="30" s="1"/>
  <c r="S89" i="28"/>
  <c r="S91" i="28" s="1"/>
  <c r="S373" i="28"/>
  <c r="AE372" i="28"/>
  <c r="AE374" i="28" s="1"/>
  <c r="N222" i="27"/>
  <c r="N223" i="27" s="1"/>
  <c r="N212" i="27"/>
  <c r="N309" i="27" s="1"/>
  <c r="N312" i="27" s="1"/>
  <c r="N313" i="27" s="1"/>
  <c r="V222" i="27"/>
  <c r="V223" i="27" s="1"/>
  <c r="V212" i="27"/>
  <c r="V309" i="27" s="1"/>
  <c r="V312" i="27" s="1"/>
  <c r="V313" i="27" s="1"/>
  <c r="AJ222" i="27"/>
  <c r="AJ223" i="27" s="1"/>
  <c r="AJ212" i="27"/>
  <c r="AJ309" i="27" s="1"/>
  <c r="AJ312" i="27" s="1"/>
  <c r="AJ313" i="27" s="1"/>
  <c r="G175" i="29"/>
  <c r="M212" i="27"/>
  <c r="M309" i="27" s="1"/>
  <c r="M312" i="27" s="1"/>
  <c r="M313" i="27" s="1"/>
  <c r="I212" i="27"/>
  <c r="I309" i="27" s="1"/>
  <c r="I312" i="27" s="1"/>
  <c r="I313" i="27" s="1"/>
  <c r="AF41" i="27"/>
  <c r="AF31" i="27"/>
  <c r="AF128" i="27" s="1"/>
  <c r="AF131" i="27" s="1"/>
  <c r="T222" i="27"/>
  <c r="T223" i="27" s="1"/>
  <c r="T212" i="27"/>
  <c r="T309" i="27" s="1"/>
  <c r="T312" i="27" s="1"/>
  <c r="T313" i="27" s="1"/>
  <c r="AH31" i="27"/>
  <c r="AH128" i="27" s="1"/>
  <c r="AH131" i="27" s="1"/>
  <c r="H60" i="15"/>
  <c r="W142" i="27"/>
  <c r="AA140" i="27"/>
  <c r="AI140" i="27"/>
  <c r="J151" i="27"/>
  <c r="R151" i="27"/>
  <c r="Z151" i="27"/>
  <c r="AH151" i="27"/>
  <c r="U222" i="27"/>
  <c r="U223" i="27" s="1"/>
  <c r="AC222" i="27"/>
  <c r="AC223" i="27" s="1"/>
  <c r="AH222" i="28"/>
  <c r="AH223" i="28" s="1"/>
  <c r="AH212" i="28"/>
  <c r="AH309" i="28" s="1"/>
  <c r="AH312" i="28" s="1"/>
  <c r="AH313" i="28" s="1"/>
  <c r="AB41" i="27"/>
  <c r="AB31" i="27"/>
  <c r="AB128" i="27" s="1"/>
  <c r="AB131" i="27" s="1"/>
  <c r="G356" i="29"/>
  <c r="O40" i="22"/>
  <c r="AC212" i="29"/>
  <c r="AC309" i="29" s="1"/>
  <c r="AC312" i="29" s="1"/>
  <c r="AC313" i="29" s="1"/>
  <c r="AC222" i="29"/>
  <c r="AC223" i="29" s="1"/>
  <c r="AC212" i="30"/>
  <c r="AC309" i="30" s="1"/>
  <c r="AC312" i="30" s="1"/>
  <c r="AC313" i="30" s="1"/>
  <c r="AC222" i="30"/>
  <c r="AC223" i="30" s="1"/>
  <c r="G356" i="28"/>
  <c r="O156" i="27"/>
  <c r="N166" i="27"/>
  <c r="M40" i="22"/>
  <c r="V212" i="30"/>
  <c r="V309" i="30" s="1"/>
  <c r="V312" i="30" s="1"/>
  <c r="V313" i="30" s="1"/>
  <c r="V222" i="30"/>
  <c r="V223" i="30" s="1"/>
  <c r="M212" i="30"/>
  <c r="M309" i="30" s="1"/>
  <c r="M312" i="30" s="1"/>
  <c r="M313" i="30" s="1"/>
  <c r="M222" i="30"/>
  <c r="M223" i="30" s="1"/>
  <c r="O212" i="30"/>
  <c r="O309" i="30" s="1"/>
  <c r="O312" i="30" s="1"/>
  <c r="O313" i="30" s="1"/>
  <c r="O222" i="30"/>
  <c r="O223" i="30" s="1"/>
  <c r="P40" i="22"/>
  <c r="D41" i="19"/>
  <c r="D105" i="19"/>
  <c r="I270" i="29" l="1"/>
  <c r="I272" i="29" s="1"/>
  <c r="Q128" i="28"/>
  <c r="Q131" i="28" s="1"/>
  <c r="Q132" i="28" s="1"/>
  <c r="Q179" i="28" s="1"/>
  <c r="G31" i="28"/>
  <c r="G128" i="28" s="1"/>
  <c r="G131" i="28" s="1"/>
  <c r="G132" i="28" s="1"/>
  <c r="H42" i="28"/>
  <c r="H89" i="28" s="1"/>
  <c r="H91" i="28" s="1"/>
  <c r="Q42" i="28"/>
  <c r="G41" i="28"/>
  <c r="P270" i="29"/>
  <c r="P272" i="29" s="1"/>
  <c r="O391" i="28"/>
  <c r="M309" i="28"/>
  <c r="M312" i="28" s="1"/>
  <c r="M313" i="28" s="1"/>
  <c r="L391" i="29"/>
  <c r="J63" i="15"/>
  <c r="AK72" i="15"/>
  <c r="V270" i="29"/>
  <c r="V272" i="29" s="1"/>
  <c r="AI89" i="30"/>
  <c r="AI91" i="30" s="1"/>
  <c r="AK89" i="29"/>
  <c r="AK91" i="29" s="1"/>
  <c r="I105" i="16"/>
  <c r="AG270" i="30"/>
  <c r="AG272" i="30" s="1"/>
  <c r="AD89" i="28"/>
  <c r="AD91" i="28" s="1"/>
  <c r="I400" i="28"/>
  <c r="I360" i="28"/>
  <c r="I362" i="28" s="1"/>
  <c r="M77" i="22"/>
  <c r="M270" i="29"/>
  <c r="M272" i="29" s="1"/>
  <c r="N77" i="22"/>
  <c r="R77" i="22"/>
  <c r="O77" i="22"/>
  <c r="P77" i="22"/>
  <c r="T391" i="30"/>
  <c r="U373" i="30"/>
  <c r="Q77" i="22"/>
  <c r="V89" i="28"/>
  <c r="V91" i="28" s="1"/>
  <c r="AB270" i="28"/>
  <c r="AB272" i="28" s="1"/>
  <c r="I19" i="16"/>
  <c r="I118" i="16"/>
  <c r="K184" i="16"/>
  <c r="K118" i="16"/>
  <c r="J184" i="16"/>
  <c r="J118" i="16"/>
  <c r="G52" i="16"/>
  <c r="G118" i="16"/>
  <c r="H184" i="16"/>
  <c r="H118" i="16"/>
  <c r="L184" i="16"/>
  <c r="L118" i="16"/>
  <c r="L78" i="16"/>
  <c r="L111" i="16"/>
  <c r="I144" i="16"/>
  <c r="I111" i="16"/>
  <c r="K89" i="29"/>
  <c r="K91" i="29" s="1"/>
  <c r="I131" i="28"/>
  <c r="I132" i="28" s="1"/>
  <c r="I179" i="28" s="1"/>
  <c r="I181" i="28" s="1"/>
  <c r="H177" i="16"/>
  <c r="H111" i="16"/>
  <c r="O132" i="28"/>
  <c r="O179" i="28" s="1"/>
  <c r="O181" i="28" s="1"/>
  <c r="K177" i="16"/>
  <c r="K111" i="16"/>
  <c r="J144" i="16"/>
  <c r="J111" i="16"/>
  <c r="I132" i="27"/>
  <c r="G12" i="16"/>
  <c r="G111" i="16" s="1"/>
  <c r="I89" i="30"/>
  <c r="I91" i="30" s="1"/>
  <c r="J382" i="28"/>
  <c r="J179" i="28"/>
  <c r="J181" i="28" s="1"/>
  <c r="L179" i="29"/>
  <c r="L181" i="29" s="1"/>
  <c r="X270" i="30"/>
  <c r="X272" i="30" s="1"/>
  <c r="AG391" i="29"/>
  <c r="AD373" i="29"/>
  <c r="U270" i="29"/>
  <c r="U272" i="29" s="1"/>
  <c r="AE89" i="29"/>
  <c r="AE91" i="29" s="1"/>
  <c r="O270" i="29"/>
  <c r="O272" i="29" s="1"/>
  <c r="I391" i="28"/>
  <c r="R194" i="22"/>
  <c r="R292" i="22" s="1"/>
  <c r="AJ270" i="29"/>
  <c r="AJ272" i="29" s="1"/>
  <c r="R97" i="22"/>
  <c r="R195" i="22" s="1"/>
  <c r="R293" i="22" s="1"/>
  <c r="W270" i="29"/>
  <c r="W272" i="29" s="1"/>
  <c r="V333" i="29"/>
  <c r="Q333" i="29"/>
  <c r="AC179" i="28"/>
  <c r="AC181" i="28" s="1"/>
  <c r="J333" i="27"/>
  <c r="X373" i="27"/>
  <c r="T7" i="22"/>
  <c r="T9" i="22" s="1"/>
  <c r="J270" i="27"/>
  <c r="J272" i="27" s="1"/>
  <c r="J333" i="28"/>
  <c r="P333" i="28"/>
  <c r="I89" i="28"/>
  <c r="I91" i="28" s="1"/>
  <c r="Z270" i="29"/>
  <c r="Z272" i="29" s="1"/>
  <c r="AH360" i="27"/>
  <c r="AH362" i="27" s="1"/>
  <c r="L89" i="29"/>
  <c r="L91" i="29" s="1"/>
  <c r="H270" i="30"/>
  <c r="H272" i="30" s="1"/>
  <c r="G89" i="30"/>
  <c r="G91" i="30" s="1"/>
  <c r="AA391" i="30"/>
  <c r="O71" i="22"/>
  <c r="O7" i="22" s="1"/>
  <c r="O9" i="22" s="1"/>
  <c r="AF270" i="29"/>
  <c r="AF272" i="29" s="1"/>
  <c r="Q71" i="22"/>
  <c r="Q7" i="22" s="1"/>
  <c r="Q9" i="22" s="1"/>
  <c r="Y270" i="29"/>
  <c r="Y272" i="29" s="1"/>
  <c r="N58" i="19"/>
  <c r="N60" i="19" s="1"/>
  <c r="N71" i="22"/>
  <c r="N7" i="22" s="1"/>
  <c r="N9" i="22" s="1"/>
  <c r="AI63" i="15"/>
  <c r="M71" i="22"/>
  <c r="M7" i="22" s="1"/>
  <c r="M9" i="22" s="1"/>
  <c r="O373" i="28"/>
  <c r="AI64" i="15"/>
  <c r="S7" i="22"/>
  <c r="S9" i="22" s="1"/>
  <c r="AB89" i="30"/>
  <c r="AB91" i="30" s="1"/>
  <c r="AI89" i="29"/>
  <c r="AI91" i="29" s="1"/>
  <c r="R71" i="22"/>
  <c r="R7" i="22" s="1"/>
  <c r="R9" i="22" s="1"/>
  <c r="W89" i="29"/>
  <c r="W91" i="29" s="1"/>
  <c r="P71" i="22"/>
  <c r="P7" i="22" s="1"/>
  <c r="P9" i="22" s="1"/>
  <c r="S270" i="29"/>
  <c r="S272" i="29" s="1"/>
  <c r="AI270" i="30"/>
  <c r="AI272" i="30" s="1"/>
  <c r="Y391" i="30"/>
  <c r="AA63" i="15"/>
  <c r="W63" i="15"/>
  <c r="L270" i="28"/>
  <c r="L272" i="28" s="1"/>
  <c r="L152" i="27"/>
  <c r="L79" i="15" s="1"/>
  <c r="U7" i="22"/>
  <c r="U9" i="22" s="1"/>
  <c r="T105" i="22"/>
  <c r="T107" i="22" s="1"/>
  <c r="K333" i="28"/>
  <c r="AC360" i="27"/>
  <c r="AC362" i="27" s="1"/>
  <c r="AI391" i="28"/>
  <c r="J398" i="27"/>
  <c r="J399" i="27" s="1"/>
  <c r="J401" i="27" s="1"/>
  <c r="J151" i="16"/>
  <c r="H89" i="29"/>
  <c r="H91" i="29" s="1"/>
  <c r="K71" i="15"/>
  <c r="G373" i="29"/>
  <c r="G333" i="30"/>
  <c r="Y333" i="29"/>
  <c r="J85" i="16"/>
  <c r="J52" i="16"/>
  <c r="R270" i="30"/>
  <c r="R272" i="30" s="1"/>
  <c r="J19" i="16"/>
  <c r="AE270" i="29"/>
  <c r="AE272" i="29" s="1"/>
  <c r="R89" i="29"/>
  <c r="R91" i="29" s="1"/>
  <c r="O373" i="30"/>
  <c r="N26" i="19"/>
  <c r="N28" i="19" s="1"/>
  <c r="N31" i="19" s="1"/>
  <c r="N32" i="19" s="1"/>
  <c r="L380" i="27"/>
  <c r="L381" i="27" s="1"/>
  <c r="L383" i="27" s="1"/>
  <c r="Z89" i="30"/>
  <c r="Z91" i="30" s="1"/>
  <c r="O63" i="15"/>
  <c r="N270" i="28"/>
  <c r="N272" i="28" s="1"/>
  <c r="F76" i="26"/>
  <c r="F78" i="26" s="1"/>
  <c r="G76" i="26" s="1"/>
  <c r="S105" i="22"/>
  <c r="S107" i="22" s="1"/>
  <c r="O89" i="29"/>
  <c r="O91" i="29" s="1"/>
  <c r="K58" i="19"/>
  <c r="K60" i="19" s="1"/>
  <c r="M26" i="19"/>
  <c r="M28" i="19" s="1"/>
  <c r="M31" i="19" s="1"/>
  <c r="M32" i="19" s="1"/>
  <c r="V132" i="27"/>
  <c r="Z360" i="28"/>
  <c r="Z362" i="28" s="1"/>
  <c r="H391" i="29"/>
  <c r="K391" i="30"/>
  <c r="K152" i="29"/>
  <c r="M105" i="22"/>
  <c r="M107" i="22" s="1"/>
  <c r="AC89" i="29"/>
  <c r="AC91" i="29" s="1"/>
  <c r="L132" i="27"/>
  <c r="K26" i="19"/>
  <c r="K28" i="19" s="1"/>
  <c r="P105" i="22"/>
  <c r="P107" i="22" s="1"/>
  <c r="O64" i="15"/>
  <c r="L360" i="27"/>
  <c r="L362" i="27" s="1"/>
  <c r="Z270" i="30"/>
  <c r="Z272" i="30" s="1"/>
  <c r="Q270" i="30"/>
  <c r="Q272" i="30" s="1"/>
  <c r="AI382" i="27"/>
  <c r="AI179" i="27"/>
  <c r="AI181" i="27" s="1"/>
  <c r="L52" i="16"/>
  <c r="L19" i="16"/>
  <c r="L85" i="16"/>
  <c r="N391" i="29"/>
  <c r="L270" i="30"/>
  <c r="L272" i="30" s="1"/>
  <c r="Q105" i="22"/>
  <c r="Q107" i="22" s="1"/>
  <c r="L151" i="16"/>
  <c r="P26" i="19"/>
  <c r="P28" i="19" s="1"/>
  <c r="AG89" i="27"/>
  <c r="AG91" i="27" s="1"/>
  <c r="H360" i="28"/>
  <c r="H362" i="28" s="1"/>
  <c r="AF360" i="28"/>
  <c r="AF362" i="28" s="1"/>
  <c r="R270" i="29"/>
  <c r="R272" i="29" s="1"/>
  <c r="AG391" i="27"/>
  <c r="P360" i="27"/>
  <c r="P362" i="27" s="1"/>
  <c r="AD391" i="30"/>
  <c r="AE270" i="30"/>
  <c r="AE272" i="30" s="1"/>
  <c r="AK360" i="27"/>
  <c r="AK362" i="27" s="1"/>
  <c r="N373" i="28"/>
  <c r="N270" i="30"/>
  <c r="N272" i="30" s="1"/>
  <c r="M89" i="29"/>
  <c r="M91" i="29" s="1"/>
  <c r="AB360" i="27"/>
  <c r="AB362" i="27" s="1"/>
  <c r="I184" i="16"/>
  <c r="I151" i="16"/>
  <c r="L89" i="30"/>
  <c r="L91" i="30" s="1"/>
  <c r="AK76" i="15"/>
  <c r="X270" i="28"/>
  <c r="X272" i="28" s="1"/>
  <c r="AE360" i="28"/>
  <c r="AE362" i="28" s="1"/>
  <c r="R391" i="28"/>
  <c r="P270" i="28"/>
  <c r="P272" i="28" s="1"/>
  <c r="W400" i="27"/>
  <c r="W360" i="27"/>
  <c r="W362" i="27" s="1"/>
  <c r="K89" i="27"/>
  <c r="K91" i="27" s="1"/>
  <c r="N373" i="29"/>
  <c r="N89" i="29"/>
  <c r="N91" i="29" s="1"/>
  <c r="J360" i="30"/>
  <c r="J362" i="30" s="1"/>
  <c r="H74" i="15"/>
  <c r="AJ270" i="30"/>
  <c r="AJ272" i="30" s="1"/>
  <c r="J270" i="29"/>
  <c r="J272" i="29" s="1"/>
  <c r="R132" i="29"/>
  <c r="R179" i="29" s="1"/>
  <c r="R181" i="29" s="1"/>
  <c r="J360" i="28"/>
  <c r="J362" i="28" s="1"/>
  <c r="G391" i="28"/>
  <c r="T152" i="29"/>
  <c r="S89" i="29"/>
  <c r="S91" i="29" s="1"/>
  <c r="AB89" i="29"/>
  <c r="AB91" i="29" s="1"/>
  <c r="AI391" i="29"/>
  <c r="AF132" i="28"/>
  <c r="AF382" i="28" s="1"/>
  <c r="O58" i="19"/>
  <c r="O60" i="19" s="1"/>
  <c r="AK63" i="15"/>
  <c r="V132" i="28"/>
  <c r="V382" i="28" s="1"/>
  <c r="X63" i="15"/>
  <c r="X89" i="28"/>
  <c r="X91" i="28" s="1"/>
  <c r="AC89" i="28"/>
  <c r="AC91" i="28" s="1"/>
  <c r="Y360" i="27"/>
  <c r="Y362" i="27" s="1"/>
  <c r="Z360" i="27"/>
  <c r="Z362" i="27" s="1"/>
  <c r="J179" i="27"/>
  <c r="J181" i="27" s="1"/>
  <c r="Q132" i="27"/>
  <c r="K152" i="27"/>
  <c r="K79" i="15" s="1"/>
  <c r="AB333" i="29"/>
  <c r="M152" i="27"/>
  <c r="M79" i="15" s="1"/>
  <c r="J42" i="30"/>
  <c r="J373" i="30" s="1"/>
  <c r="N184" i="16"/>
  <c r="P85" i="16"/>
  <c r="Y89" i="29"/>
  <c r="Y91" i="29" s="1"/>
  <c r="U64" i="15"/>
  <c r="L333" i="29"/>
  <c r="V398" i="29"/>
  <c r="V399" i="29" s="1"/>
  <c r="V401" i="29" s="1"/>
  <c r="Q398" i="29"/>
  <c r="Q399" i="29" s="1"/>
  <c r="Q401" i="29" s="1"/>
  <c r="W333" i="29"/>
  <c r="Y360" i="29"/>
  <c r="Y362" i="29" s="1"/>
  <c r="S360" i="29"/>
  <c r="S362" i="29" s="1"/>
  <c r="Q360" i="29"/>
  <c r="Q362" i="29" s="1"/>
  <c r="AB270" i="29"/>
  <c r="AB272" i="29" s="1"/>
  <c r="AG360" i="29"/>
  <c r="AG362" i="29" s="1"/>
  <c r="AD391" i="29"/>
  <c r="AI360" i="29"/>
  <c r="AI362" i="29" s="1"/>
  <c r="G151" i="16"/>
  <c r="K52" i="16"/>
  <c r="G85" i="16"/>
  <c r="G19" i="16"/>
  <c r="K19" i="16"/>
  <c r="K151" i="16"/>
  <c r="K85" i="16"/>
  <c r="P52" i="16"/>
  <c r="P19" i="16"/>
  <c r="P118" i="16" s="1"/>
  <c r="H19" i="16"/>
  <c r="N85" i="16"/>
  <c r="P151" i="16"/>
  <c r="P184" i="16"/>
  <c r="I52" i="16"/>
  <c r="I85" i="16"/>
  <c r="P90" i="19"/>
  <c r="P92" i="19" s="1"/>
  <c r="P95" i="19" s="1"/>
  <c r="P96" i="19" s="1"/>
  <c r="L144" i="16"/>
  <c r="L45" i="16"/>
  <c r="AI152" i="29"/>
  <c r="X270" i="29"/>
  <c r="X272" i="29" s="1"/>
  <c r="I360" i="29"/>
  <c r="I362" i="29" s="1"/>
  <c r="G63" i="15"/>
  <c r="G333" i="29"/>
  <c r="J152" i="29"/>
  <c r="N151" i="16"/>
  <c r="O19" i="16"/>
  <c r="O118" i="16" s="1"/>
  <c r="J78" i="16"/>
  <c r="J177" i="16"/>
  <c r="J45" i="16"/>
  <c r="AJ373" i="29"/>
  <c r="M90" i="19"/>
  <c r="M92" i="19" s="1"/>
  <c r="V179" i="29"/>
  <c r="V181" i="29" s="1"/>
  <c r="AG89" i="29"/>
  <c r="AG91" i="29" s="1"/>
  <c r="T89" i="29"/>
  <c r="T91" i="29" s="1"/>
  <c r="AH89" i="29"/>
  <c r="AH91" i="29" s="1"/>
  <c r="K179" i="29"/>
  <c r="K181" i="29" s="1"/>
  <c r="AC179" i="29"/>
  <c r="AC181" i="29" s="1"/>
  <c r="L95" i="19"/>
  <c r="L96" i="19" s="1"/>
  <c r="Q132" i="29"/>
  <c r="Q382" i="29" s="1"/>
  <c r="N179" i="29"/>
  <c r="N181" i="29" s="1"/>
  <c r="K90" i="19"/>
  <c r="K92" i="19" s="1"/>
  <c r="AA132" i="29"/>
  <c r="AA382" i="29" s="1"/>
  <c r="N90" i="19"/>
  <c r="N92" i="19" s="1"/>
  <c r="Z63" i="15"/>
  <c r="U63" i="15"/>
  <c r="AB179" i="29"/>
  <c r="AB181" i="29" s="1"/>
  <c r="Z89" i="29"/>
  <c r="Z91" i="29" s="1"/>
  <c r="T179" i="29"/>
  <c r="T181" i="29" s="1"/>
  <c r="Z64" i="15"/>
  <c r="U373" i="29"/>
  <c r="Y179" i="29"/>
  <c r="Y181" i="29" s="1"/>
  <c r="U89" i="29"/>
  <c r="U91" i="29" s="1"/>
  <c r="AA373" i="29"/>
  <c r="X270" i="27"/>
  <c r="X272" i="27" s="1"/>
  <c r="I333" i="30"/>
  <c r="AD270" i="28"/>
  <c r="AD272" i="28" s="1"/>
  <c r="P373" i="29"/>
  <c r="P89" i="29"/>
  <c r="P91" i="29" s="1"/>
  <c r="J270" i="30"/>
  <c r="J272" i="30" s="1"/>
  <c r="M85" i="16"/>
  <c r="S132" i="27"/>
  <c r="S76" i="15"/>
  <c r="H400" i="27"/>
  <c r="H360" i="27"/>
  <c r="H362" i="27" s="1"/>
  <c r="O90" i="19"/>
  <c r="O92" i="19" s="1"/>
  <c r="O95" i="19" s="1"/>
  <c r="O96" i="19" s="1"/>
  <c r="AF132" i="29"/>
  <c r="AF382" i="29" s="1"/>
  <c r="AF400" i="27"/>
  <c r="AF360" i="27"/>
  <c r="AF362" i="27" s="1"/>
  <c r="L156" i="30"/>
  <c r="L173" i="30" s="1"/>
  <c r="M333" i="29"/>
  <c r="R360" i="28"/>
  <c r="R362" i="28" s="1"/>
  <c r="O360" i="28"/>
  <c r="O362" i="28" s="1"/>
  <c r="P179" i="30"/>
  <c r="P181" i="30" s="1"/>
  <c r="K76" i="30"/>
  <c r="K62" i="30" s="1"/>
  <c r="P63" i="15"/>
  <c r="Q63" i="15"/>
  <c r="G270" i="29"/>
  <c r="G272" i="29" s="1"/>
  <c r="AD76" i="15"/>
  <c r="K174" i="30"/>
  <c r="P12" i="16"/>
  <c r="AC373" i="27"/>
  <c r="H398" i="29"/>
  <c r="H399" i="29" s="1"/>
  <c r="H401" i="29" s="1"/>
  <c r="L76" i="15"/>
  <c r="H63" i="15"/>
  <c r="J391" i="28"/>
  <c r="AH391" i="30"/>
  <c r="M151" i="16"/>
  <c r="Q89" i="29"/>
  <c r="Q91" i="29" s="1"/>
  <c r="Z360" i="29"/>
  <c r="Z362" i="29" s="1"/>
  <c r="K360" i="29"/>
  <c r="K362" i="29" s="1"/>
  <c r="AJ333" i="29"/>
  <c r="H179" i="29"/>
  <c r="H181" i="29" s="1"/>
  <c r="Q270" i="29"/>
  <c r="Q272" i="29" s="1"/>
  <c r="AG76" i="15"/>
  <c r="AJ373" i="27"/>
  <c r="R89" i="27"/>
  <c r="R91" i="27" s="1"/>
  <c r="AB391" i="30"/>
  <c r="AB270" i="30"/>
  <c r="AB272" i="30" s="1"/>
  <c r="V270" i="28"/>
  <c r="V272" i="28" s="1"/>
  <c r="O76" i="15"/>
  <c r="AG179" i="29"/>
  <c r="AG181" i="29" s="1"/>
  <c r="K173" i="30"/>
  <c r="AF373" i="30"/>
  <c r="M89" i="28"/>
  <c r="M91" i="28" s="1"/>
  <c r="Z179" i="27"/>
  <c r="Z181" i="27" s="1"/>
  <c r="AG333" i="28"/>
  <c r="K84" i="30"/>
  <c r="J360" i="29"/>
  <c r="J362" i="29" s="1"/>
  <c r="Q360" i="27"/>
  <c r="Q362" i="27" s="1"/>
  <c r="AA360" i="27"/>
  <c r="AA362" i="27" s="1"/>
  <c r="M179" i="29"/>
  <c r="M181" i="29" s="1"/>
  <c r="AK398" i="29"/>
  <c r="AK399" i="29" s="1"/>
  <c r="AK401" i="29" s="1"/>
  <c r="L66" i="30"/>
  <c r="L76" i="30" s="1"/>
  <c r="L62" i="30" s="1"/>
  <c r="K83" i="30"/>
  <c r="N360" i="30"/>
  <c r="N362" i="30" s="1"/>
  <c r="M19" i="16"/>
  <c r="M118" i="16" s="1"/>
  <c r="AH270" i="27"/>
  <c r="AH272" i="27" s="1"/>
  <c r="U132" i="28"/>
  <c r="U382" i="28" s="1"/>
  <c r="U76" i="15"/>
  <c r="L360" i="30"/>
  <c r="L362" i="30" s="1"/>
  <c r="H151" i="16"/>
  <c r="AG132" i="27"/>
  <c r="I45" i="16"/>
  <c r="AI76" i="15"/>
  <c r="AE360" i="27"/>
  <c r="AE362" i="27" s="1"/>
  <c r="Y399" i="27"/>
  <c r="Y401" i="27" s="1"/>
  <c r="AD179" i="29"/>
  <c r="AD181" i="29" s="1"/>
  <c r="P360" i="30"/>
  <c r="P362" i="30" s="1"/>
  <c r="AA391" i="29"/>
  <c r="AA270" i="29"/>
  <c r="AA272" i="29" s="1"/>
  <c r="H52" i="16"/>
  <c r="I398" i="27"/>
  <c r="I399" i="27" s="1"/>
  <c r="I401" i="27" s="1"/>
  <c r="AE76" i="15"/>
  <c r="S391" i="28"/>
  <c r="W360" i="28"/>
  <c r="W362" i="28" s="1"/>
  <c r="X333" i="29"/>
  <c r="K179" i="27"/>
  <c r="K181" i="27" s="1"/>
  <c r="T391" i="29"/>
  <c r="T270" i="29"/>
  <c r="T272" i="29" s="1"/>
  <c r="X399" i="27"/>
  <c r="X401" i="27" s="1"/>
  <c r="K360" i="27"/>
  <c r="K362" i="27" s="1"/>
  <c r="AK333" i="28"/>
  <c r="AB179" i="30"/>
  <c r="AB181" i="30" s="1"/>
  <c r="I78" i="16"/>
  <c r="V132" i="30"/>
  <c r="V382" i="30" s="1"/>
  <c r="H179" i="28"/>
  <c r="H181" i="28" s="1"/>
  <c r="Z76" i="15"/>
  <c r="P76" i="15"/>
  <c r="R360" i="27"/>
  <c r="R362" i="27" s="1"/>
  <c r="Z179" i="28"/>
  <c r="Z181" i="28" s="1"/>
  <c r="I177" i="16"/>
  <c r="H85" i="16"/>
  <c r="U105" i="22"/>
  <c r="U107" i="22" s="1"/>
  <c r="R373" i="28"/>
  <c r="R89" i="28"/>
  <c r="R91" i="28" s="1"/>
  <c r="N203" i="22"/>
  <c r="N205" i="22" s="1"/>
  <c r="P360" i="28"/>
  <c r="P362" i="28" s="1"/>
  <c r="Z270" i="28"/>
  <c r="Z272" i="28" s="1"/>
  <c r="X89" i="29"/>
  <c r="X91" i="29" s="1"/>
  <c r="N105" i="22"/>
  <c r="N107" i="22" s="1"/>
  <c r="J333" i="29"/>
  <c r="W89" i="27"/>
  <c r="W91" i="27" s="1"/>
  <c r="M12" i="16"/>
  <c r="AI360" i="27"/>
  <c r="AI362" i="27" s="1"/>
  <c r="AD399" i="27"/>
  <c r="AD401" i="27" s="1"/>
  <c r="S203" i="22"/>
  <c r="S205" i="22" s="1"/>
  <c r="T203" i="22"/>
  <c r="T205" i="22" s="1"/>
  <c r="Z89" i="27"/>
  <c r="Z91" i="27" s="1"/>
  <c r="Z373" i="27"/>
  <c r="N373" i="27"/>
  <c r="N89" i="27"/>
  <c r="N91" i="27" s="1"/>
  <c r="O12" i="16"/>
  <c r="V89" i="27"/>
  <c r="V91" i="27" s="1"/>
  <c r="V373" i="27"/>
  <c r="K172" i="30"/>
  <c r="K166" i="30"/>
  <c r="K152" i="30" s="1"/>
  <c r="T333" i="29"/>
  <c r="Y398" i="29"/>
  <c r="Y399" i="29" s="1"/>
  <c r="Y401" i="29" s="1"/>
  <c r="N333" i="29"/>
  <c r="U152" i="29"/>
  <c r="V152" i="29"/>
  <c r="J380" i="29"/>
  <c r="J381" i="29" s="1"/>
  <c r="J383" i="29" s="1"/>
  <c r="AE152" i="29"/>
  <c r="T333" i="28"/>
  <c r="K264" i="28"/>
  <c r="K257" i="28"/>
  <c r="K243" i="28" s="1"/>
  <c r="K263" i="28"/>
  <c r="K265" i="28"/>
  <c r="L247" i="28"/>
  <c r="M247" i="28" s="1"/>
  <c r="M257" i="28" s="1"/>
  <c r="R333" i="28"/>
  <c r="I380" i="28"/>
  <c r="I381" i="28" s="1"/>
  <c r="I383" i="28" s="1"/>
  <c r="J152" i="28"/>
  <c r="N381" i="28"/>
  <c r="N383" i="28" s="1"/>
  <c r="W73" i="15"/>
  <c r="S381" i="27"/>
  <c r="S383" i="27" s="1"/>
  <c r="AI381" i="27"/>
  <c r="AI383" i="27" s="1"/>
  <c r="T399" i="27"/>
  <c r="T401" i="27" s="1"/>
  <c r="V399" i="27"/>
  <c r="V401" i="27" s="1"/>
  <c r="R399" i="27"/>
  <c r="R401" i="27" s="1"/>
  <c r="W381" i="27"/>
  <c r="W383" i="27" s="1"/>
  <c r="V381" i="27"/>
  <c r="V383" i="27" s="1"/>
  <c r="AA381" i="27"/>
  <c r="AA383" i="27" s="1"/>
  <c r="N152" i="27"/>
  <c r="N79" i="15" s="1"/>
  <c r="Q381" i="27"/>
  <c r="Q383" i="27" s="1"/>
  <c r="K381" i="27"/>
  <c r="K383" i="27" s="1"/>
  <c r="H399" i="27"/>
  <c r="H401" i="27" s="1"/>
  <c r="I398" i="28"/>
  <c r="I399" i="28" s="1"/>
  <c r="I401" i="28" s="1"/>
  <c r="S73" i="15"/>
  <c r="I380" i="30"/>
  <c r="I381" i="30" s="1"/>
  <c r="I383" i="30" s="1"/>
  <c r="AA76" i="15"/>
  <c r="I270" i="30"/>
  <c r="I272" i="30" s="1"/>
  <c r="K360" i="30"/>
  <c r="K362" i="30" s="1"/>
  <c r="AJ360" i="30"/>
  <c r="AJ362" i="30" s="1"/>
  <c r="J76" i="15"/>
  <c r="N179" i="28"/>
  <c r="N181" i="28" s="1"/>
  <c r="H381" i="27"/>
  <c r="H383" i="27" s="1"/>
  <c r="AF89" i="29"/>
  <c r="AF91" i="29" s="1"/>
  <c r="AF373" i="29"/>
  <c r="AD391" i="27"/>
  <c r="AD270" i="27"/>
  <c r="AD272" i="27" s="1"/>
  <c r="K391" i="28"/>
  <c r="K270" i="28"/>
  <c r="K272" i="28" s="1"/>
  <c r="S42" i="27"/>
  <c r="S63" i="15"/>
  <c r="W64" i="15"/>
  <c r="K391" i="29"/>
  <c r="K270" i="29"/>
  <c r="K272" i="29" s="1"/>
  <c r="AD373" i="27"/>
  <c r="AD89" i="27"/>
  <c r="AD91" i="27" s="1"/>
  <c r="AD333" i="28"/>
  <c r="Z152" i="29"/>
  <c r="W373" i="30"/>
  <c r="H144" i="16"/>
  <c r="M52" i="16"/>
  <c r="Z374" i="30"/>
  <c r="H333" i="27"/>
  <c r="P373" i="28"/>
  <c r="P89" i="28"/>
  <c r="P91" i="28" s="1"/>
  <c r="S89" i="30"/>
  <c r="S91" i="30" s="1"/>
  <c r="S373" i="30"/>
  <c r="L42" i="27"/>
  <c r="L63" i="15"/>
  <c r="L373" i="28"/>
  <c r="L89" i="28"/>
  <c r="L91" i="28" s="1"/>
  <c r="O373" i="27"/>
  <c r="O89" i="27"/>
  <c r="O91" i="27" s="1"/>
  <c r="O52" i="16"/>
  <c r="O73" i="15"/>
  <c r="AG63" i="15"/>
  <c r="V76" i="15"/>
  <c r="AG89" i="30"/>
  <c r="AG91" i="30" s="1"/>
  <c r="H77" i="15"/>
  <c r="H333" i="30"/>
  <c r="N19" i="16"/>
  <c r="N118" i="16" s="1"/>
  <c r="N52" i="16"/>
  <c r="H398" i="28"/>
  <c r="H399" i="28" s="1"/>
  <c r="H401" i="28" s="1"/>
  <c r="AK373" i="28"/>
  <c r="AK89" i="28"/>
  <c r="AK91" i="28" s="1"/>
  <c r="H381" i="28"/>
  <c r="H383" i="28" s="1"/>
  <c r="N179" i="27"/>
  <c r="N181" i="27" s="1"/>
  <c r="I63" i="15"/>
  <c r="I42" i="27"/>
  <c r="H179" i="30"/>
  <c r="H181" i="30" s="1"/>
  <c r="AB381" i="27"/>
  <c r="AB383" i="27" s="1"/>
  <c r="Q333" i="28"/>
  <c r="AG64" i="15"/>
  <c r="AK399" i="27"/>
  <c r="AK401" i="27" s="1"/>
  <c r="L73" i="15"/>
  <c r="L333" i="28"/>
  <c r="AK179" i="29"/>
  <c r="AK181" i="29" s="1"/>
  <c r="U333" i="29"/>
  <c r="H76" i="15"/>
  <c r="L177" i="16"/>
  <c r="O105" i="22"/>
  <c r="O107" i="22" s="1"/>
  <c r="Y373" i="27"/>
  <c r="Y89" i="27"/>
  <c r="Y91" i="27" s="1"/>
  <c r="R179" i="27"/>
  <c r="R181" i="27" s="1"/>
  <c r="V89" i="29"/>
  <c r="V91" i="29" s="1"/>
  <c r="V373" i="29"/>
  <c r="G152" i="29"/>
  <c r="G380" i="29"/>
  <c r="G381" i="29" s="1"/>
  <c r="G383" i="29" s="1"/>
  <c r="G333" i="28"/>
  <c r="G398" i="28"/>
  <c r="G399" i="28" s="1"/>
  <c r="G401" i="28" s="1"/>
  <c r="AE391" i="28"/>
  <c r="AE270" i="28"/>
  <c r="AE272" i="28" s="1"/>
  <c r="U400" i="27"/>
  <c r="U360" i="27"/>
  <c r="U362" i="27" s="1"/>
  <c r="H152" i="27"/>
  <c r="H79" i="15" s="1"/>
  <c r="K152" i="28"/>
  <c r="AH152" i="29"/>
  <c r="AD42" i="30"/>
  <c r="AD63" i="15"/>
  <c r="Q373" i="27"/>
  <c r="Q89" i="27"/>
  <c r="Q91" i="27" s="1"/>
  <c r="AK391" i="27"/>
  <c r="AK270" i="27"/>
  <c r="AK272" i="27" s="1"/>
  <c r="AD360" i="27"/>
  <c r="AD362" i="27" s="1"/>
  <c r="G152" i="27"/>
  <c r="G79" i="15" s="1"/>
  <c r="G380" i="27"/>
  <c r="G380" i="28"/>
  <c r="G152" i="28"/>
  <c r="G400" i="27"/>
  <c r="G360" i="27"/>
  <c r="G362" i="27" s="1"/>
  <c r="U373" i="27"/>
  <c r="U89" i="27"/>
  <c r="U91" i="27" s="1"/>
  <c r="U373" i="28"/>
  <c r="U89" i="28"/>
  <c r="U91" i="28" s="1"/>
  <c r="P373" i="27"/>
  <c r="P89" i="27"/>
  <c r="P91" i="27" s="1"/>
  <c r="J360" i="27"/>
  <c r="J362" i="27" s="1"/>
  <c r="AA73" i="15"/>
  <c r="V333" i="28"/>
  <c r="AH399" i="28"/>
  <c r="AH401" i="28" s="1"/>
  <c r="AE373" i="27"/>
  <c r="AE89" i="27"/>
  <c r="AE91" i="27" s="1"/>
  <c r="S391" i="27"/>
  <c r="S270" i="27"/>
  <c r="S272" i="27" s="1"/>
  <c r="Y270" i="27"/>
  <c r="Y272" i="27" s="1"/>
  <c r="Y391" i="27"/>
  <c r="H380" i="29"/>
  <c r="H381" i="29" s="1"/>
  <c r="H383" i="29" s="1"/>
  <c r="H152" i="29"/>
  <c r="AG360" i="27"/>
  <c r="AG362" i="27" s="1"/>
  <c r="T373" i="27"/>
  <c r="T89" i="27"/>
  <c r="T91" i="27" s="1"/>
  <c r="AF381" i="28"/>
  <c r="AF383" i="28" s="1"/>
  <c r="AG73" i="15"/>
  <c r="M152" i="29"/>
  <c r="G152" i="30"/>
  <c r="AD399" i="30"/>
  <c r="AD401" i="30" s="1"/>
  <c r="O380" i="28"/>
  <c r="O381" i="28" s="1"/>
  <c r="O383" i="28" s="1"/>
  <c r="AG399" i="27"/>
  <c r="AG401" i="27" s="1"/>
  <c r="T360" i="30"/>
  <c r="T362" i="30" s="1"/>
  <c r="H400" i="28"/>
  <c r="M184" i="16"/>
  <c r="R105" i="22"/>
  <c r="R107" i="22" s="1"/>
  <c r="G398" i="27"/>
  <c r="G333" i="27"/>
  <c r="N399" i="30"/>
  <c r="N401" i="30" s="1"/>
  <c r="AC381" i="28"/>
  <c r="AC383" i="28" s="1"/>
  <c r="AF333" i="28"/>
  <c r="AH333" i="28"/>
  <c r="W391" i="28"/>
  <c r="W270" i="28"/>
  <c r="W272" i="28" s="1"/>
  <c r="AI73" i="15"/>
  <c r="AF73" i="15"/>
  <c r="H152" i="28"/>
  <c r="O360" i="27"/>
  <c r="O362" i="27" s="1"/>
  <c r="M73" i="15"/>
  <c r="O152" i="29"/>
  <c r="V399" i="30"/>
  <c r="V401" i="30" s="1"/>
  <c r="AE360" i="30"/>
  <c r="AE362" i="30" s="1"/>
  <c r="H399" i="30"/>
  <c r="H401" i="30" s="1"/>
  <c r="AD179" i="27"/>
  <c r="AD181" i="27" s="1"/>
  <c r="AB373" i="28"/>
  <c r="AB89" i="28"/>
  <c r="AB91" i="28" s="1"/>
  <c r="K144" i="16"/>
  <c r="AG381" i="29"/>
  <c r="AG383" i="29" s="1"/>
  <c r="K45" i="16"/>
  <c r="AI399" i="27"/>
  <c r="AI401" i="27" s="1"/>
  <c r="X360" i="27"/>
  <c r="X362" i="27" s="1"/>
  <c r="O399" i="27"/>
  <c r="O401" i="27" s="1"/>
  <c r="AE399" i="28"/>
  <c r="AE401" i="28" s="1"/>
  <c r="AD333" i="29"/>
  <c r="J132" i="30"/>
  <c r="J382" i="30" s="1"/>
  <c r="H45" i="16"/>
  <c r="G73" i="15"/>
  <c r="O85" i="16"/>
  <c r="H78" i="16"/>
  <c r="AH270" i="29"/>
  <c r="AH272" i="29" s="1"/>
  <c r="AH391" i="29"/>
  <c r="X333" i="28"/>
  <c r="W76" i="15"/>
  <c r="P122" i="19"/>
  <c r="P124" i="19" s="1"/>
  <c r="K78" i="16"/>
  <c r="AC399" i="27"/>
  <c r="AC401" i="27" s="1"/>
  <c r="M74" i="15"/>
  <c r="N73" i="15"/>
  <c r="K73" i="15"/>
  <c r="V73" i="15"/>
  <c r="X399" i="28"/>
  <c r="X401" i="28" s="1"/>
  <c r="N399" i="28"/>
  <c r="N401" i="28" s="1"/>
  <c r="W399" i="28"/>
  <c r="W401" i="28" s="1"/>
  <c r="P152" i="29"/>
  <c r="AF152" i="29"/>
  <c r="Z132" i="30"/>
  <c r="Z179" i="30" s="1"/>
  <c r="Z181" i="30" s="1"/>
  <c r="N122" i="19"/>
  <c r="N124" i="19" s="1"/>
  <c r="T399" i="30"/>
  <c r="T401" i="30" s="1"/>
  <c r="K333" i="30"/>
  <c r="O184" i="16"/>
  <c r="N12" i="16"/>
  <c r="N111" i="16" s="1"/>
  <c r="P58" i="19"/>
  <c r="P60" i="19" s="1"/>
  <c r="AK132" i="28"/>
  <c r="AK382" i="28" s="1"/>
  <c r="AA179" i="27"/>
  <c r="AA181" i="27" s="1"/>
  <c r="O151" i="16"/>
  <c r="Y73" i="15"/>
  <c r="AC73" i="15"/>
  <c r="P73" i="15"/>
  <c r="P399" i="27"/>
  <c r="P401" i="27" s="1"/>
  <c r="M399" i="27"/>
  <c r="M401" i="27" s="1"/>
  <c r="K333" i="27"/>
  <c r="S333" i="28"/>
  <c r="AI333" i="28"/>
  <c r="N333" i="28"/>
  <c r="AA333" i="28"/>
  <c r="V381" i="29"/>
  <c r="V383" i="29" s="1"/>
  <c r="Y152" i="29"/>
  <c r="N152" i="29"/>
  <c r="J399" i="29"/>
  <c r="J401" i="29" s="1"/>
  <c r="AD132" i="30"/>
  <c r="AD179" i="30" s="1"/>
  <c r="AD181" i="30" s="1"/>
  <c r="AD360" i="30"/>
  <c r="AD362" i="30" s="1"/>
  <c r="X400" i="30"/>
  <c r="X360" i="30"/>
  <c r="X362" i="30" s="1"/>
  <c r="AK382" i="30"/>
  <c r="AE399" i="30"/>
  <c r="AE401" i="30" s="1"/>
  <c r="L122" i="19"/>
  <c r="L124" i="19" s="1"/>
  <c r="L127" i="19" s="1"/>
  <c r="L128" i="19" s="1"/>
  <c r="Q132" i="30"/>
  <c r="AJ42" i="30"/>
  <c r="AJ63" i="15"/>
  <c r="AH42" i="30"/>
  <c r="AH63" i="15"/>
  <c r="AJ132" i="30"/>
  <c r="AJ179" i="30" s="1"/>
  <c r="AJ181" i="30" s="1"/>
  <c r="AJ76" i="15"/>
  <c r="R132" i="30"/>
  <c r="R179" i="30" s="1"/>
  <c r="R181" i="30" s="1"/>
  <c r="R76" i="15"/>
  <c r="G399" i="30"/>
  <c r="G401" i="30" s="1"/>
  <c r="AF391" i="30"/>
  <c r="AF270" i="30"/>
  <c r="AF272" i="30" s="1"/>
  <c r="V42" i="30"/>
  <c r="V63" i="15"/>
  <c r="G400" i="30"/>
  <c r="G360" i="30"/>
  <c r="G362" i="30" s="1"/>
  <c r="O122" i="19"/>
  <c r="O124" i="19" s="1"/>
  <c r="O127" i="19" s="1"/>
  <c r="O128" i="19" s="1"/>
  <c r="AF132" i="30"/>
  <c r="AF382" i="30" s="1"/>
  <c r="I132" i="30"/>
  <c r="I179" i="30" s="1"/>
  <c r="I181" i="30" s="1"/>
  <c r="G381" i="30"/>
  <c r="G383" i="30" s="1"/>
  <c r="AE63" i="15"/>
  <c r="AE42" i="30"/>
  <c r="S270" i="30"/>
  <c r="S272" i="30" s="1"/>
  <c r="S391" i="30"/>
  <c r="G270" i="30"/>
  <c r="G272" i="30" s="1"/>
  <c r="G391" i="30"/>
  <c r="H380" i="30"/>
  <c r="H381" i="30" s="1"/>
  <c r="H383" i="30" s="1"/>
  <c r="H152" i="30"/>
  <c r="H73" i="15"/>
  <c r="W391" i="30"/>
  <c r="W270" i="30"/>
  <c r="W272" i="30" s="1"/>
  <c r="M373" i="30"/>
  <c r="M89" i="30"/>
  <c r="M91" i="30" s="1"/>
  <c r="L132" i="30"/>
  <c r="L382" i="30" s="1"/>
  <c r="K122" i="19"/>
  <c r="K124" i="19" s="1"/>
  <c r="Y42" i="30"/>
  <c r="Y63" i="15"/>
  <c r="H400" i="30"/>
  <c r="H360" i="30"/>
  <c r="H362" i="30" s="1"/>
  <c r="G382" i="30"/>
  <c r="G179" i="30"/>
  <c r="G181" i="30" s="1"/>
  <c r="R42" i="30"/>
  <c r="R63" i="15"/>
  <c r="U270" i="30"/>
  <c r="U272" i="30" s="1"/>
  <c r="U391" i="30"/>
  <c r="AA373" i="30"/>
  <c r="AA64" i="15"/>
  <c r="AA89" i="30"/>
  <c r="AA91" i="30" s="1"/>
  <c r="AA65" i="15" s="1"/>
  <c r="M132" i="30"/>
  <c r="M76" i="15"/>
  <c r="H400" i="29"/>
  <c r="H360" i="29"/>
  <c r="H362" i="29" s="1"/>
  <c r="G382" i="28"/>
  <c r="G179" i="28"/>
  <c r="G181" i="28" s="1"/>
  <c r="G373" i="27"/>
  <c r="G89" i="27"/>
  <c r="G91" i="27" s="1"/>
  <c r="G132" i="27"/>
  <c r="G72" i="15" s="1"/>
  <c r="G76" i="15"/>
  <c r="H179" i="27"/>
  <c r="H181" i="27" s="1"/>
  <c r="H382" i="27"/>
  <c r="M337" i="30"/>
  <c r="L353" i="30"/>
  <c r="L354" i="30"/>
  <c r="L355" i="30"/>
  <c r="L347" i="30"/>
  <c r="L333" i="30" s="1"/>
  <c r="P399" i="30"/>
  <c r="P401" i="30" s="1"/>
  <c r="L399" i="30"/>
  <c r="L401" i="30" s="1"/>
  <c r="K399" i="30"/>
  <c r="K401" i="30" s="1"/>
  <c r="X399" i="30"/>
  <c r="X401" i="30" s="1"/>
  <c r="AJ399" i="30"/>
  <c r="AJ401" i="30" s="1"/>
  <c r="M247" i="30"/>
  <c r="L257" i="30"/>
  <c r="L243" i="30" s="1"/>
  <c r="L264" i="30"/>
  <c r="L263" i="30"/>
  <c r="L265" i="30"/>
  <c r="M398" i="30"/>
  <c r="M399" i="30" s="1"/>
  <c r="M401" i="30" s="1"/>
  <c r="T390" i="30"/>
  <c r="T392" i="30" s="1"/>
  <c r="AK398" i="30"/>
  <c r="AK399" i="30" s="1"/>
  <c r="AK401" i="30" s="1"/>
  <c r="J398" i="30"/>
  <c r="J399" i="30" s="1"/>
  <c r="J401" i="30" s="1"/>
  <c r="J333" i="30"/>
  <c r="R398" i="30"/>
  <c r="R399" i="30" s="1"/>
  <c r="R401" i="30" s="1"/>
  <c r="W398" i="30"/>
  <c r="W399" i="30" s="1"/>
  <c r="W401" i="30" s="1"/>
  <c r="AA398" i="30"/>
  <c r="AA399" i="30" s="1"/>
  <c r="AA401" i="30" s="1"/>
  <c r="U398" i="30"/>
  <c r="U399" i="30" s="1"/>
  <c r="U401" i="30" s="1"/>
  <c r="O399" i="30"/>
  <c r="O401" i="30" s="1"/>
  <c r="AC398" i="30"/>
  <c r="AC399" i="30" s="1"/>
  <c r="AC401" i="30" s="1"/>
  <c r="Z360" i="30"/>
  <c r="Z362" i="30" s="1"/>
  <c r="Z399" i="30"/>
  <c r="Z401" i="30" s="1"/>
  <c r="AG360" i="30"/>
  <c r="AG362" i="30" s="1"/>
  <c r="AG399" i="30"/>
  <c r="AG401" i="30" s="1"/>
  <c r="W360" i="30"/>
  <c r="W362" i="30" s="1"/>
  <c r="AH399" i="30"/>
  <c r="AH401" i="30" s="1"/>
  <c r="AH360" i="30"/>
  <c r="AH362" i="30" s="1"/>
  <c r="I399" i="30"/>
  <c r="I401" i="30" s="1"/>
  <c r="I360" i="30"/>
  <c r="I362" i="30" s="1"/>
  <c r="U360" i="30"/>
  <c r="U362" i="30" s="1"/>
  <c r="AF399" i="30"/>
  <c r="AF401" i="30" s="1"/>
  <c r="AF360" i="30"/>
  <c r="AF362" i="30" s="1"/>
  <c r="R360" i="30"/>
  <c r="R362" i="30" s="1"/>
  <c r="AK360" i="30"/>
  <c r="AK362" i="30" s="1"/>
  <c r="AA360" i="30"/>
  <c r="AA362" i="30" s="1"/>
  <c r="S399" i="30"/>
  <c r="S401" i="30" s="1"/>
  <c r="S360" i="30"/>
  <c r="S362" i="30" s="1"/>
  <c r="AB360" i="30"/>
  <c r="AB362" i="30" s="1"/>
  <c r="AB399" i="30"/>
  <c r="AB401" i="30" s="1"/>
  <c r="AI399" i="30"/>
  <c r="AI401" i="30" s="1"/>
  <c r="AI360" i="30"/>
  <c r="AI362" i="30" s="1"/>
  <c r="Y360" i="30"/>
  <c r="Y362" i="30" s="1"/>
  <c r="Y399" i="30"/>
  <c r="Y401" i="30" s="1"/>
  <c r="Q360" i="30"/>
  <c r="Q362" i="30" s="1"/>
  <c r="Q399" i="30"/>
  <c r="Q401" i="30" s="1"/>
  <c r="Z381" i="30"/>
  <c r="Z383" i="30" s="1"/>
  <c r="U381" i="30"/>
  <c r="U383" i="30" s="1"/>
  <c r="AD381" i="30"/>
  <c r="AD383" i="30" s="1"/>
  <c r="X132" i="30"/>
  <c r="X179" i="30" s="1"/>
  <c r="X181" i="30" s="1"/>
  <c r="X76" i="15"/>
  <c r="P381" i="30"/>
  <c r="P383" i="30" s="1"/>
  <c r="T63" i="15"/>
  <c r="T42" i="30"/>
  <c r="AC42" i="30"/>
  <c r="AC63" i="15"/>
  <c r="AG382" i="30"/>
  <c r="N42" i="30"/>
  <c r="N63" i="15"/>
  <c r="K132" i="30"/>
  <c r="K179" i="30" s="1"/>
  <c r="K181" i="30" s="1"/>
  <c r="K76" i="15"/>
  <c r="P373" i="30"/>
  <c r="N381" i="30"/>
  <c r="N383" i="30" s="1"/>
  <c r="AE73" i="15"/>
  <c r="AB381" i="30"/>
  <c r="AB383" i="30" s="1"/>
  <c r="K121" i="19"/>
  <c r="T132" i="30"/>
  <c r="T76" i="15"/>
  <c r="AC132" i="30"/>
  <c r="AC179" i="30" s="1"/>
  <c r="AC181" i="30" s="1"/>
  <c r="AC76" i="15"/>
  <c r="N132" i="30"/>
  <c r="N76" i="15"/>
  <c r="Q373" i="30"/>
  <c r="Q64" i="15"/>
  <c r="Q89" i="30"/>
  <c r="Q91" i="30" s="1"/>
  <c r="AA382" i="30"/>
  <c r="P64" i="15"/>
  <c r="AF381" i="30"/>
  <c r="AF383" i="30" s="1"/>
  <c r="L381" i="30"/>
  <c r="L383" i="30" s="1"/>
  <c r="K42" i="30"/>
  <c r="K63" i="15"/>
  <c r="Y132" i="30"/>
  <c r="Y76" i="15"/>
  <c r="AK64" i="15"/>
  <c r="AK373" i="30"/>
  <c r="AK89" i="30"/>
  <c r="AK91" i="30" s="1"/>
  <c r="J152" i="30"/>
  <c r="J380" i="30"/>
  <c r="J381" i="30" s="1"/>
  <c r="J383" i="30" s="1"/>
  <c r="AJ381" i="30"/>
  <c r="AJ383" i="30" s="1"/>
  <c r="T381" i="30"/>
  <c r="T383" i="30" s="1"/>
  <c r="Q381" i="30"/>
  <c r="Q383" i="30" s="1"/>
  <c r="J74" i="15"/>
  <c r="X381" i="30"/>
  <c r="X383" i="30" s="1"/>
  <c r="M381" i="30"/>
  <c r="M383" i="30" s="1"/>
  <c r="S179" i="30"/>
  <c r="S181" i="30" s="1"/>
  <c r="S381" i="30"/>
  <c r="S383" i="30" s="1"/>
  <c r="AI381" i="30"/>
  <c r="AI383" i="30" s="1"/>
  <c r="AI179" i="30"/>
  <c r="AI181" i="30" s="1"/>
  <c r="N121" i="19"/>
  <c r="AA179" i="30"/>
  <c r="AA181" i="30" s="1"/>
  <c r="AA381" i="30"/>
  <c r="AA383" i="30" s="1"/>
  <c r="M121" i="19"/>
  <c r="M127" i="19" s="1"/>
  <c r="M128" i="19" s="1"/>
  <c r="V381" i="30"/>
  <c r="V383" i="30" s="1"/>
  <c r="K381" i="30"/>
  <c r="K383" i="30" s="1"/>
  <c r="AG179" i="30"/>
  <c r="AG181" i="30" s="1"/>
  <c r="AG381" i="30"/>
  <c r="AG383" i="30" s="1"/>
  <c r="Y381" i="30"/>
  <c r="Y383" i="30" s="1"/>
  <c r="R381" i="30"/>
  <c r="R383" i="30" s="1"/>
  <c r="AE381" i="30"/>
  <c r="AE383" i="30" s="1"/>
  <c r="AE179" i="30"/>
  <c r="AE181" i="30" s="1"/>
  <c r="W179" i="30"/>
  <c r="W181" i="30" s="1"/>
  <c r="W381" i="30"/>
  <c r="W383" i="30" s="1"/>
  <c r="AH179" i="30"/>
  <c r="AH181" i="30" s="1"/>
  <c r="AH381" i="30"/>
  <c r="AH383" i="30" s="1"/>
  <c r="O179" i="30"/>
  <c r="O181" i="30" s="1"/>
  <c r="O381" i="30"/>
  <c r="O383" i="30" s="1"/>
  <c r="AK179" i="30"/>
  <c r="AK181" i="30" s="1"/>
  <c r="P121" i="19"/>
  <c r="AK381" i="30"/>
  <c r="AK383" i="30" s="1"/>
  <c r="AC381" i="30"/>
  <c r="AC383" i="30" s="1"/>
  <c r="AG399" i="29"/>
  <c r="AG401" i="29" s="1"/>
  <c r="Z333" i="29"/>
  <c r="AA398" i="29"/>
  <c r="AA399" i="29" s="1"/>
  <c r="AA401" i="29" s="1"/>
  <c r="AA333" i="29"/>
  <c r="AG333" i="29"/>
  <c r="Z399" i="29"/>
  <c r="Z401" i="29" s="1"/>
  <c r="AA360" i="29"/>
  <c r="AA362" i="29" s="1"/>
  <c r="AE398" i="29"/>
  <c r="AE399" i="29" s="1"/>
  <c r="AE401" i="29" s="1"/>
  <c r="AE333" i="29"/>
  <c r="AI333" i="29"/>
  <c r="AI398" i="29"/>
  <c r="AI399" i="29" s="1"/>
  <c r="AI401" i="29" s="1"/>
  <c r="K398" i="29"/>
  <c r="K399" i="29" s="1"/>
  <c r="K401" i="29" s="1"/>
  <c r="K333" i="29"/>
  <c r="AF333" i="29"/>
  <c r="R333" i="29"/>
  <c r="R398" i="29"/>
  <c r="R399" i="29" s="1"/>
  <c r="R401" i="29" s="1"/>
  <c r="I398" i="29"/>
  <c r="I399" i="29" s="1"/>
  <c r="I401" i="29" s="1"/>
  <c r="I333" i="29"/>
  <c r="S398" i="29"/>
  <c r="S399" i="29" s="1"/>
  <c r="S401" i="29" s="1"/>
  <c r="S333" i="29"/>
  <c r="AC398" i="29"/>
  <c r="AC399" i="29" s="1"/>
  <c r="AC401" i="29" s="1"/>
  <c r="AC333" i="29"/>
  <c r="P398" i="29"/>
  <c r="P399" i="29" s="1"/>
  <c r="P401" i="29" s="1"/>
  <c r="P333" i="29"/>
  <c r="AH333" i="29"/>
  <c r="O333" i="29"/>
  <c r="O398" i="29"/>
  <c r="O399" i="29" s="1"/>
  <c r="O401" i="29" s="1"/>
  <c r="U399" i="29"/>
  <c r="U401" i="29" s="1"/>
  <c r="U360" i="29"/>
  <c r="U362" i="29" s="1"/>
  <c r="AJ399" i="29"/>
  <c r="AJ401" i="29" s="1"/>
  <c r="AJ360" i="29"/>
  <c r="AJ362" i="29" s="1"/>
  <c r="M399" i="29"/>
  <c r="M401" i="29" s="1"/>
  <c r="M360" i="29"/>
  <c r="M362" i="29" s="1"/>
  <c r="O360" i="29"/>
  <c r="O362" i="29" s="1"/>
  <c r="AD360" i="29"/>
  <c r="AD362" i="29" s="1"/>
  <c r="AD399" i="29"/>
  <c r="AD401" i="29" s="1"/>
  <c r="X360" i="29"/>
  <c r="X362" i="29" s="1"/>
  <c r="X399" i="29"/>
  <c r="X401" i="29" s="1"/>
  <c r="AK360" i="29"/>
  <c r="AK362" i="29" s="1"/>
  <c r="AE360" i="29"/>
  <c r="AE362" i="29" s="1"/>
  <c r="L399" i="29"/>
  <c r="L401" i="29" s="1"/>
  <c r="L360" i="29"/>
  <c r="L362" i="29" s="1"/>
  <c r="AH399" i="29"/>
  <c r="AH401" i="29" s="1"/>
  <c r="AH360" i="29"/>
  <c r="AH362" i="29" s="1"/>
  <c r="W399" i="29"/>
  <c r="W401" i="29" s="1"/>
  <c r="W360" i="29"/>
  <c r="W362" i="29" s="1"/>
  <c r="AF360" i="29"/>
  <c r="AF362" i="29" s="1"/>
  <c r="AF399" i="29"/>
  <c r="AF401" i="29" s="1"/>
  <c r="P360" i="29"/>
  <c r="P362" i="29" s="1"/>
  <c r="AB399" i="29"/>
  <c r="AB401" i="29" s="1"/>
  <c r="AB360" i="29"/>
  <c r="AB362" i="29" s="1"/>
  <c r="R360" i="29"/>
  <c r="R362" i="29" s="1"/>
  <c r="T399" i="29"/>
  <c r="T401" i="29" s="1"/>
  <c r="T360" i="29"/>
  <c r="T362" i="29" s="1"/>
  <c r="V360" i="29"/>
  <c r="V362" i="29" s="1"/>
  <c r="N360" i="29"/>
  <c r="N362" i="29" s="1"/>
  <c r="N399" i="29"/>
  <c r="N401" i="29" s="1"/>
  <c r="AG152" i="29"/>
  <c r="R152" i="29"/>
  <c r="Q152" i="29"/>
  <c r="M89" i="19"/>
  <c r="J179" i="29"/>
  <c r="J181" i="29" s="1"/>
  <c r="X73" i="15"/>
  <c r="Y381" i="29"/>
  <c r="Y383" i="29" s="1"/>
  <c r="AI381" i="29"/>
  <c r="AI383" i="29" s="1"/>
  <c r="AF380" i="29"/>
  <c r="AF381" i="29" s="1"/>
  <c r="AF383" i="29" s="1"/>
  <c r="W380" i="29"/>
  <c r="W381" i="29" s="1"/>
  <c r="W383" i="29" s="1"/>
  <c r="Q73" i="15"/>
  <c r="Q381" i="29"/>
  <c r="Q383" i="29" s="1"/>
  <c r="W152" i="29"/>
  <c r="K381" i="29"/>
  <c r="K383" i="29" s="1"/>
  <c r="M66" i="29"/>
  <c r="L83" i="29"/>
  <c r="L84" i="29"/>
  <c r="L76" i="29"/>
  <c r="L62" i="29" s="1"/>
  <c r="L82" i="29"/>
  <c r="I380" i="29"/>
  <c r="I381" i="29" s="1"/>
  <c r="I383" i="29" s="1"/>
  <c r="I152" i="29"/>
  <c r="AB152" i="29"/>
  <c r="AB380" i="29"/>
  <c r="AB381" i="29" s="1"/>
  <c r="AB383" i="29" s="1"/>
  <c r="AK152" i="29"/>
  <c r="AK380" i="29"/>
  <c r="AK381" i="29" s="1"/>
  <c r="AK383" i="29" s="1"/>
  <c r="AA152" i="29"/>
  <c r="AA380" i="29"/>
  <c r="AA381" i="29" s="1"/>
  <c r="AA383" i="29" s="1"/>
  <c r="I179" i="29"/>
  <c r="I181" i="29" s="1"/>
  <c r="AJ152" i="29"/>
  <c r="AJ380" i="29"/>
  <c r="AJ381" i="29" s="1"/>
  <c r="AJ383" i="29" s="1"/>
  <c r="K89" i="19"/>
  <c r="N74" i="15"/>
  <c r="I73" i="15"/>
  <c r="N381" i="29"/>
  <c r="N383" i="29" s="1"/>
  <c r="L380" i="29"/>
  <c r="L381" i="29" s="1"/>
  <c r="L383" i="29" s="1"/>
  <c r="L152" i="29"/>
  <c r="X152" i="29"/>
  <c r="AD380" i="29"/>
  <c r="AD381" i="29" s="1"/>
  <c r="AD383" i="29" s="1"/>
  <c r="AD152" i="29"/>
  <c r="S380" i="29"/>
  <c r="S381" i="29" s="1"/>
  <c r="S383" i="29" s="1"/>
  <c r="S152" i="29"/>
  <c r="AC152" i="29"/>
  <c r="AC380" i="29"/>
  <c r="AC381" i="29" s="1"/>
  <c r="AC383" i="29" s="1"/>
  <c r="P179" i="29"/>
  <c r="P181" i="29" s="1"/>
  <c r="P381" i="29"/>
  <c r="P383" i="29" s="1"/>
  <c r="R381" i="29"/>
  <c r="R383" i="29" s="1"/>
  <c r="M381" i="29"/>
  <c r="M383" i="29" s="1"/>
  <c r="AE381" i="29"/>
  <c r="AE383" i="29" s="1"/>
  <c r="AE179" i="29"/>
  <c r="AE181" i="29" s="1"/>
  <c r="O381" i="29"/>
  <c r="O383" i="29" s="1"/>
  <c r="O179" i="29"/>
  <c r="O181" i="29" s="1"/>
  <c r="AH381" i="29"/>
  <c r="AH383" i="29" s="1"/>
  <c r="AH179" i="29"/>
  <c r="AH181" i="29" s="1"/>
  <c r="N89" i="19"/>
  <c r="Z179" i="29"/>
  <c r="Z181" i="29" s="1"/>
  <c r="Z381" i="29"/>
  <c r="Z383" i="29" s="1"/>
  <c r="W179" i="29"/>
  <c r="W181" i="29" s="1"/>
  <c r="X179" i="29"/>
  <c r="X181" i="29" s="1"/>
  <c r="X381" i="29"/>
  <c r="X383" i="29" s="1"/>
  <c r="U179" i="29"/>
  <c r="U181" i="29" s="1"/>
  <c r="U381" i="29"/>
  <c r="U383" i="29" s="1"/>
  <c r="AJ179" i="29"/>
  <c r="AJ181" i="29" s="1"/>
  <c r="T381" i="29"/>
  <c r="T383" i="29" s="1"/>
  <c r="O333" i="28"/>
  <c r="N360" i="28"/>
  <c r="N362" i="28" s="1"/>
  <c r="W333" i="28"/>
  <c r="AD398" i="28"/>
  <c r="AD399" i="28" s="1"/>
  <c r="AD401" i="28" s="1"/>
  <c r="O398" i="28"/>
  <c r="O399" i="28" s="1"/>
  <c r="O401" i="28" s="1"/>
  <c r="AE333" i="28"/>
  <c r="X360" i="28"/>
  <c r="X362" i="28" s="1"/>
  <c r="J399" i="28"/>
  <c r="J401" i="28" s="1"/>
  <c r="AC333" i="28"/>
  <c r="Z398" i="28"/>
  <c r="Z399" i="28" s="1"/>
  <c r="Z401" i="28" s="1"/>
  <c r="Z333" i="28"/>
  <c r="AD360" i="28"/>
  <c r="AD362" i="28" s="1"/>
  <c r="AF399" i="28"/>
  <c r="AF401" i="28" s="1"/>
  <c r="M398" i="28"/>
  <c r="M399" i="28" s="1"/>
  <c r="M401" i="28" s="1"/>
  <c r="M333" i="28"/>
  <c r="R399" i="28"/>
  <c r="R401" i="28" s="1"/>
  <c r="AJ398" i="28"/>
  <c r="AJ399" i="28" s="1"/>
  <c r="AJ401" i="28" s="1"/>
  <c r="AJ333" i="28"/>
  <c r="Y333" i="28"/>
  <c r="Y398" i="28"/>
  <c r="Y399" i="28" s="1"/>
  <c r="AB333" i="28"/>
  <c r="AB398" i="28"/>
  <c r="AB399" i="28" s="1"/>
  <c r="AB401" i="28" s="1"/>
  <c r="U333" i="28"/>
  <c r="U398" i="28"/>
  <c r="U399" i="28" s="1"/>
  <c r="U401" i="28" s="1"/>
  <c r="Y360" i="28"/>
  <c r="Y362" i="28" s="1"/>
  <c r="AC360" i="28"/>
  <c r="AC362" i="28" s="1"/>
  <c r="AC399" i="28"/>
  <c r="AC401" i="28" s="1"/>
  <c r="S399" i="28"/>
  <c r="S401" i="28" s="1"/>
  <c r="S360" i="28"/>
  <c r="S362" i="28" s="1"/>
  <c r="AI399" i="28"/>
  <c r="AI401" i="28" s="1"/>
  <c r="AI360" i="28"/>
  <c r="AI362" i="28" s="1"/>
  <c r="L360" i="28"/>
  <c r="L362" i="28" s="1"/>
  <c r="L399" i="28"/>
  <c r="L401" i="28" s="1"/>
  <c r="AB360" i="28"/>
  <c r="AB362" i="28" s="1"/>
  <c r="P399" i="28"/>
  <c r="P401" i="28" s="1"/>
  <c r="V399" i="28"/>
  <c r="V401" i="28" s="1"/>
  <c r="V360" i="28"/>
  <c r="V362" i="28" s="1"/>
  <c r="Q399" i="28"/>
  <c r="Q401" i="28" s="1"/>
  <c r="Q360" i="28"/>
  <c r="Q362" i="28" s="1"/>
  <c r="AG399" i="28"/>
  <c r="AG401" i="28" s="1"/>
  <c r="AG360" i="28"/>
  <c r="AG362" i="28" s="1"/>
  <c r="U360" i="28"/>
  <c r="U362" i="28" s="1"/>
  <c r="AK360" i="28"/>
  <c r="AK362" i="28" s="1"/>
  <c r="AK399" i="28"/>
  <c r="AK401" i="28" s="1"/>
  <c r="K360" i="28"/>
  <c r="K362" i="28" s="1"/>
  <c r="K399" i="28"/>
  <c r="K401" i="28" s="1"/>
  <c r="AA399" i="28"/>
  <c r="AA401" i="28" s="1"/>
  <c r="AA360" i="28"/>
  <c r="AA362" i="28" s="1"/>
  <c r="T360" i="28"/>
  <c r="T362" i="28" s="1"/>
  <c r="T399" i="28"/>
  <c r="T401" i="28" s="1"/>
  <c r="AJ360" i="28"/>
  <c r="AJ362" i="28" s="1"/>
  <c r="M156" i="28"/>
  <c r="L173" i="28"/>
  <c r="L172" i="28"/>
  <c r="L174" i="28"/>
  <c r="L166" i="28"/>
  <c r="L152" i="28" s="1"/>
  <c r="U73" i="15"/>
  <c r="AJ73" i="15"/>
  <c r="V381" i="28"/>
  <c r="V383" i="28" s="1"/>
  <c r="AF399" i="27"/>
  <c r="AF401" i="27" s="1"/>
  <c r="K398" i="27"/>
  <c r="K399" i="27" s="1"/>
  <c r="Q399" i="27"/>
  <c r="Q401" i="27" s="1"/>
  <c r="AB399" i="27"/>
  <c r="AB401" i="27" s="1"/>
  <c r="AD73" i="15"/>
  <c r="AC179" i="27"/>
  <c r="AC181" i="27" s="1"/>
  <c r="AC381" i="27"/>
  <c r="AC383" i="27" s="1"/>
  <c r="M179" i="27"/>
  <c r="M181" i="27" s="1"/>
  <c r="M381" i="27"/>
  <c r="M383" i="27" s="1"/>
  <c r="AG381" i="27"/>
  <c r="AG383" i="27" s="1"/>
  <c r="L25" i="19"/>
  <c r="L31" i="19" s="1"/>
  <c r="L32" i="19" s="1"/>
  <c r="X381" i="27"/>
  <c r="X383" i="27" s="1"/>
  <c r="X179" i="27"/>
  <c r="X181" i="27" s="1"/>
  <c r="K25" i="19"/>
  <c r="AK381" i="27"/>
  <c r="AK383" i="27" s="1"/>
  <c r="P25" i="19"/>
  <c r="AK179" i="27"/>
  <c r="AK181" i="27" s="1"/>
  <c r="U179" i="27"/>
  <c r="U181" i="27" s="1"/>
  <c r="U381" i="27"/>
  <c r="U383" i="27" s="1"/>
  <c r="I380" i="27"/>
  <c r="I152" i="27"/>
  <c r="I79" i="15" s="1"/>
  <c r="Y381" i="27"/>
  <c r="Y383" i="27" s="1"/>
  <c r="Y179" i="27"/>
  <c r="Y181" i="27" s="1"/>
  <c r="AK73" i="15"/>
  <c r="O25" i="19"/>
  <c r="AF381" i="27"/>
  <c r="AF383" i="27" s="1"/>
  <c r="P381" i="27"/>
  <c r="P383" i="27" s="1"/>
  <c r="P179" i="27"/>
  <c r="P181" i="27" s="1"/>
  <c r="T73" i="15"/>
  <c r="T380" i="27"/>
  <c r="T381" i="27" s="1"/>
  <c r="T383" i="27" s="1"/>
  <c r="AE381" i="27"/>
  <c r="AE383" i="27" s="1"/>
  <c r="AE179" i="27"/>
  <c r="AE181" i="27" s="1"/>
  <c r="O179" i="27"/>
  <c r="O181" i="27" s="1"/>
  <c r="O381" i="27"/>
  <c r="O383" i="27" s="1"/>
  <c r="AJ179" i="27"/>
  <c r="AJ181" i="27" s="1"/>
  <c r="AJ381" i="27"/>
  <c r="AJ383" i="27" s="1"/>
  <c r="T179" i="27"/>
  <c r="T181" i="27" s="1"/>
  <c r="AD381" i="27"/>
  <c r="AD383" i="27" s="1"/>
  <c r="M66" i="28"/>
  <c r="L82" i="28"/>
  <c r="L84" i="28"/>
  <c r="L83" i="28"/>
  <c r="L76" i="28"/>
  <c r="L62" i="28" s="1"/>
  <c r="AB380" i="28"/>
  <c r="AB381" i="28" s="1"/>
  <c r="AB383" i="28" s="1"/>
  <c r="AB73" i="15"/>
  <c r="M179" i="28"/>
  <c r="M181" i="28" s="1"/>
  <c r="M381" i="28"/>
  <c r="M383" i="28" s="1"/>
  <c r="O57" i="19"/>
  <c r="R179" i="28"/>
  <c r="R181" i="28" s="1"/>
  <c r="T179" i="28"/>
  <c r="T181" i="28" s="1"/>
  <c r="T381" i="28"/>
  <c r="T383" i="28" s="1"/>
  <c r="AB179" i="28"/>
  <c r="AB181" i="28" s="1"/>
  <c r="AI179" i="28"/>
  <c r="AI181" i="28" s="1"/>
  <c r="AI381" i="28"/>
  <c r="AI383" i="28" s="1"/>
  <c r="P381" i="28"/>
  <c r="P383" i="28" s="1"/>
  <c r="AG179" i="28"/>
  <c r="AG181" i="28" s="1"/>
  <c r="AG381" i="28"/>
  <c r="AG383" i="28" s="1"/>
  <c r="R381" i="28"/>
  <c r="R383" i="28" s="1"/>
  <c r="X179" i="28"/>
  <c r="X181" i="28" s="1"/>
  <c r="X381" i="28"/>
  <c r="X383" i="28" s="1"/>
  <c r="I74" i="15"/>
  <c r="AJ179" i="28"/>
  <c r="AJ181" i="28" s="1"/>
  <c r="AJ381" i="28"/>
  <c r="AJ383" i="28" s="1"/>
  <c r="L57" i="19"/>
  <c r="Q381" i="28"/>
  <c r="Q383" i="28" s="1"/>
  <c r="Y179" i="28"/>
  <c r="Y181" i="28" s="1"/>
  <c r="Y381" i="28"/>
  <c r="Y383" i="28" s="1"/>
  <c r="AA179" i="28"/>
  <c r="AA181" i="28" s="1"/>
  <c r="AA381" i="28"/>
  <c r="AA383" i="28" s="1"/>
  <c r="N57" i="19"/>
  <c r="AE381" i="28"/>
  <c r="AE383" i="28" s="1"/>
  <c r="J381" i="28"/>
  <c r="J383" i="28" s="1"/>
  <c r="AH179" i="28"/>
  <c r="AH181" i="28" s="1"/>
  <c r="AH381" i="28"/>
  <c r="AH383" i="28" s="1"/>
  <c r="W381" i="28"/>
  <c r="W383" i="28" s="1"/>
  <c r="W179" i="28"/>
  <c r="W181" i="28" s="1"/>
  <c r="M57" i="19"/>
  <c r="M63" i="19" s="1"/>
  <c r="M64" i="19" s="1"/>
  <c r="Z381" i="28"/>
  <c r="Z383" i="28" s="1"/>
  <c r="AD381" i="28"/>
  <c r="AD383" i="28" s="1"/>
  <c r="AD179" i="28"/>
  <c r="AD181" i="28" s="1"/>
  <c r="K381" i="28"/>
  <c r="K383" i="28" s="1"/>
  <c r="K179" i="28"/>
  <c r="K181" i="28" s="1"/>
  <c r="K74" i="15"/>
  <c r="AK381" i="28"/>
  <c r="AK383" i="28" s="1"/>
  <c r="P57" i="19"/>
  <c r="U381" i="28"/>
  <c r="U383" i="28" s="1"/>
  <c r="L179" i="28"/>
  <c r="L181" i="28" s="1"/>
  <c r="L381" i="28"/>
  <c r="L383" i="28" s="1"/>
  <c r="K57" i="19"/>
  <c r="L74" i="15"/>
  <c r="S381" i="28"/>
  <c r="S383" i="28" s="1"/>
  <c r="S179" i="28"/>
  <c r="S181" i="28" s="1"/>
  <c r="M337" i="27"/>
  <c r="L347" i="27"/>
  <c r="L333" i="27" s="1"/>
  <c r="L355" i="27"/>
  <c r="L354" i="27"/>
  <c r="L353" i="27"/>
  <c r="O391" i="30"/>
  <c r="O270" i="30"/>
  <c r="O272" i="30" s="1"/>
  <c r="O203" i="22"/>
  <c r="O205" i="22" s="1"/>
  <c r="V400" i="30"/>
  <c r="V360" i="30"/>
  <c r="V362" i="30" s="1"/>
  <c r="AH400" i="28"/>
  <c r="AH360" i="28"/>
  <c r="AH362" i="28" s="1"/>
  <c r="T400" i="27"/>
  <c r="T360" i="27"/>
  <c r="T362" i="27" s="1"/>
  <c r="AJ270" i="27"/>
  <c r="AJ272" i="27" s="1"/>
  <c r="AJ391" i="27"/>
  <c r="AC391" i="29"/>
  <c r="AC270" i="29"/>
  <c r="AC272" i="29" s="1"/>
  <c r="G360" i="29"/>
  <c r="G362" i="29" s="1"/>
  <c r="G399" i="29"/>
  <c r="G401" i="29" s="1"/>
  <c r="Z380" i="27"/>
  <c r="Z73" i="15"/>
  <c r="M63" i="15"/>
  <c r="M400" i="27"/>
  <c r="M360" i="27"/>
  <c r="M362" i="27" s="1"/>
  <c r="P382" i="28"/>
  <c r="P77" i="15"/>
  <c r="K84" i="16" s="1"/>
  <c r="P179" i="28"/>
  <c r="P181" i="28" s="1"/>
  <c r="M400" i="30"/>
  <c r="M360" i="30"/>
  <c r="M362" i="30" s="1"/>
  <c r="G360" i="28"/>
  <c r="G362" i="28" s="1"/>
  <c r="AC400" i="29"/>
  <c r="AC360" i="29"/>
  <c r="AC362" i="29" s="1"/>
  <c r="AB132" i="27"/>
  <c r="AB72" i="15" s="1"/>
  <c r="AB76" i="15"/>
  <c r="AC391" i="27"/>
  <c r="AC270" i="27"/>
  <c r="AC272" i="27" s="1"/>
  <c r="R380" i="27"/>
  <c r="R73" i="15"/>
  <c r="AF132" i="27"/>
  <c r="AF72" i="15" s="1"/>
  <c r="AF76" i="15"/>
  <c r="O26" i="19"/>
  <c r="O28" i="19" s="1"/>
  <c r="G74" i="15"/>
  <c r="G179" i="29"/>
  <c r="G181" i="29" s="1"/>
  <c r="V270" i="27"/>
  <c r="V272" i="27" s="1"/>
  <c r="V391" i="27"/>
  <c r="AE382" i="28"/>
  <c r="AE77" i="15"/>
  <c r="AE179" i="28"/>
  <c r="AE181" i="28" s="1"/>
  <c r="S382" i="29"/>
  <c r="S179" i="29"/>
  <c r="S181" i="29" s="1"/>
  <c r="H373" i="30"/>
  <c r="H89" i="30"/>
  <c r="H91" i="30" s="1"/>
  <c r="H64" i="15"/>
  <c r="U382" i="30"/>
  <c r="U179" i="30"/>
  <c r="U181" i="30" s="1"/>
  <c r="K84" i="27"/>
  <c r="K58" i="15"/>
  <c r="K83" i="27"/>
  <c r="L66" i="27"/>
  <c r="K82" i="27"/>
  <c r="K76" i="27"/>
  <c r="K62" i="27" s="1"/>
  <c r="AJ399" i="27"/>
  <c r="AJ401" i="27" s="1"/>
  <c r="U399" i="27"/>
  <c r="U401" i="27" s="1"/>
  <c r="AE399" i="27"/>
  <c r="AE401" i="27" s="1"/>
  <c r="AH399" i="27"/>
  <c r="AH401" i="27" s="1"/>
  <c r="O166" i="27"/>
  <c r="O152" i="27" s="1"/>
  <c r="O79" i="15" s="1"/>
  <c r="P156" i="27"/>
  <c r="O173" i="27"/>
  <c r="O172" i="27"/>
  <c r="O174" i="27"/>
  <c r="O74" i="15" s="1"/>
  <c r="U203" i="22"/>
  <c r="U205" i="22" s="1"/>
  <c r="U391" i="27"/>
  <c r="U270" i="27"/>
  <c r="U272" i="27" s="1"/>
  <c r="J380" i="27"/>
  <c r="J152" i="27"/>
  <c r="J79" i="15" s="1"/>
  <c r="J73" i="15"/>
  <c r="AF42" i="27"/>
  <c r="AF63" i="15"/>
  <c r="AJ400" i="27"/>
  <c r="AJ360" i="27"/>
  <c r="AJ362" i="27" s="1"/>
  <c r="N400" i="27"/>
  <c r="N360" i="27"/>
  <c r="N362" i="27" s="1"/>
  <c r="X89" i="30"/>
  <c r="X91" i="30" s="1"/>
  <c r="X64" i="15"/>
  <c r="X373" i="30"/>
  <c r="V270" i="30"/>
  <c r="V272" i="30" s="1"/>
  <c r="V391" i="30"/>
  <c r="AC270" i="30"/>
  <c r="AC272" i="30" s="1"/>
  <c r="AC391" i="30"/>
  <c r="O400" i="30"/>
  <c r="O360" i="30"/>
  <c r="O362" i="30" s="1"/>
  <c r="AC400" i="30"/>
  <c r="AC360" i="30"/>
  <c r="AC362" i="30" s="1"/>
  <c r="AH132" i="27"/>
  <c r="AH72" i="15" s="1"/>
  <c r="AH76" i="15"/>
  <c r="N391" i="27"/>
  <c r="N270" i="27"/>
  <c r="N272" i="27" s="1"/>
  <c r="AI77" i="15"/>
  <c r="AI382" i="29"/>
  <c r="AI179" i="29"/>
  <c r="AI181" i="29" s="1"/>
  <c r="N381" i="27"/>
  <c r="N383" i="27" s="1"/>
  <c r="S360" i="27"/>
  <c r="S362" i="27" s="1"/>
  <c r="S399" i="27"/>
  <c r="S401" i="27" s="1"/>
  <c r="Z399" i="27"/>
  <c r="Z401" i="27" s="1"/>
  <c r="W399" i="27"/>
  <c r="W401" i="27" s="1"/>
  <c r="AB42" i="27"/>
  <c r="AB63" i="15"/>
  <c r="AH380" i="27"/>
  <c r="AH73" i="15"/>
  <c r="I400" i="27"/>
  <c r="I360" i="27"/>
  <c r="I362" i="27" s="1"/>
  <c r="R203" i="22"/>
  <c r="R205" i="22" s="1"/>
  <c r="M270" i="30"/>
  <c r="M272" i="30" s="1"/>
  <c r="M391" i="30"/>
  <c r="AH270" i="28"/>
  <c r="AH272" i="28" s="1"/>
  <c r="AH391" i="28"/>
  <c r="T391" i="27"/>
  <c r="T270" i="27"/>
  <c r="T272" i="27" s="1"/>
  <c r="V400" i="27"/>
  <c r="V360" i="27"/>
  <c r="V362" i="27" s="1"/>
  <c r="W382" i="27"/>
  <c r="W77" i="15"/>
  <c r="W179" i="27"/>
  <c r="W181" i="27" s="1"/>
  <c r="N399" i="27"/>
  <c r="N401" i="27" s="1"/>
  <c r="AA399" i="27"/>
  <c r="AA401" i="27" s="1"/>
  <c r="L399" i="27"/>
  <c r="L401" i="27" s="1"/>
  <c r="H373" i="28" l="1"/>
  <c r="G42" i="28"/>
  <c r="Q89" i="28"/>
  <c r="Q91" i="28" s="1"/>
  <c r="Q65" i="15" s="1"/>
  <c r="L13" i="16" s="1"/>
  <c r="Q373" i="28"/>
  <c r="M400" i="28"/>
  <c r="M360" i="28"/>
  <c r="M362" i="28" s="1"/>
  <c r="AI65" i="15"/>
  <c r="I382" i="27"/>
  <c r="I72" i="15"/>
  <c r="V382" i="27"/>
  <c r="V72" i="15"/>
  <c r="S77" i="15"/>
  <c r="S72" i="15"/>
  <c r="Q382" i="27"/>
  <c r="Q72" i="15"/>
  <c r="L382" i="27"/>
  <c r="L72" i="15"/>
  <c r="AG382" i="27"/>
  <c r="AG72" i="15"/>
  <c r="Q76" i="15"/>
  <c r="O77" i="15"/>
  <c r="J18" i="16" s="1"/>
  <c r="J20" i="16" s="1"/>
  <c r="W65" i="15"/>
  <c r="I76" i="15"/>
  <c r="I179" i="27"/>
  <c r="I181" i="27" s="1"/>
  <c r="I78" i="15" s="1"/>
  <c r="G45" i="16"/>
  <c r="G78" i="16"/>
  <c r="G144" i="16"/>
  <c r="Q382" i="28"/>
  <c r="L58" i="19"/>
  <c r="L60" i="19" s="1"/>
  <c r="L63" i="19" s="1"/>
  <c r="L64" i="19" s="1"/>
  <c r="I382" i="28"/>
  <c r="H65" i="15"/>
  <c r="O45" i="16"/>
  <c r="O111" i="16"/>
  <c r="M177" i="16"/>
  <c r="M111" i="16"/>
  <c r="G177" i="16"/>
  <c r="O382" i="28"/>
  <c r="P177" i="16"/>
  <c r="P111" i="16"/>
  <c r="J44" i="16"/>
  <c r="J11" i="16"/>
  <c r="J176" i="16" s="1"/>
  <c r="K11" i="16"/>
  <c r="K143" i="16" s="1"/>
  <c r="K44" i="16"/>
  <c r="L11" i="16"/>
  <c r="L176" i="16" s="1"/>
  <c r="L44" i="16"/>
  <c r="S96" i="22"/>
  <c r="K63" i="19"/>
  <c r="K64" i="19" s="1"/>
  <c r="U179" i="28"/>
  <c r="U181" i="28" s="1"/>
  <c r="U78" i="15" s="1"/>
  <c r="N63" i="19"/>
  <c r="N64" i="19" s="1"/>
  <c r="O65" i="15"/>
  <c r="J13" i="16" s="1"/>
  <c r="J145" i="16" s="1"/>
  <c r="Q181" i="28"/>
  <c r="L179" i="27"/>
  <c r="L181" i="27" s="1"/>
  <c r="Q203" i="22"/>
  <c r="Q205" i="22" s="1"/>
  <c r="P31" i="19"/>
  <c r="P32" i="19" s="1"/>
  <c r="Q179" i="27"/>
  <c r="Q181" i="27" s="1"/>
  <c r="O63" i="19"/>
  <c r="O64" i="19" s="1"/>
  <c r="K31" i="19"/>
  <c r="K32" i="19" s="1"/>
  <c r="V179" i="27"/>
  <c r="V181" i="27" s="1"/>
  <c r="P203" i="22"/>
  <c r="P205" i="22" s="1"/>
  <c r="P63" i="19"/>
  <c r="P64" i="19" s="1"/>
  <c r="M203" i="22"/>
  <c r="M205" i="22" s="1"/>
  <c r="L83" i="30"/>
  <c r="L82" i="30"/>
  <c r="AF179" i="28"/>
  <c r="AF181" i="28" s="1"/>
  <c r="P45" i="16"/>
  <c r="V77" i="15"/>
  <c r="J64" i="15"/>
  <c r="J89" i="30"/>
  <c r="J91" i="30" s="1"/>
  <c r="J65" i="15" s="1"/>
  <c r="U77" i="15"/>
  <c r="V179" i="28"/>
  <c r="V181" i="28" s="1"/>
  <c r="V179" i="30"/>
  <c r="V181" i="30" s="1"/>
  <c r="R382" i="29"/>
  <c r="AG179" i="27"/>
  <c r="AG181" i="27" s="1"/>
  <c r="AG78" i="15" s="1"/>
  <c r="AG77" i="15"/>
  <c r="L77" i="15"/>
  <c r="P78" i="16"/>
  <c r="P144" i="16"/>
  <c r="Z65" i="15"/>
  <c r="Q179" i="29"/>
  <c r="Q181" i="29" s="1"/>
  <c r="AG65" i="15"/>
  <c r="M45" i="16"/>
  <c r="M95" i="19"/>
  <c r="M96" i="19" s="1"/>
  <c r="M78" i="16"/>
  <c r="K95" i="19"/>
  <c r="K96" i="19" s="1"/>
  <c r="AF179" i="29"/>
  <c r="AF181" i="29" s="1"/>
  <c r="AA77" i="15"/>
  <c r="AA179" i="29"/>
  <c r="AA181" i="29" s="1"/>
  <c r="AA78" i="15" s="1"/>
  <c r="N95" i="19"/>
  <c r="N96" i="19" s="1"/>
  <c r="S179" i="27"/>
  <c r="S181" i="27" s="1"/>
  <c r="S78" i="15" s="1"/>
  <c r="L80" i="15"/>
  <c r="S382" i="27"/>
  <c r="L71" i="15"/>
  <c r="L174" i="30"/>
  <c r="L166" i="30"/>
  <c r="L152" i="30" s="1"/>
  <c r="L172" i="30"/>
  <c r="O144" i="16"/>
  <c r="M156" i="30"/>
  <c r="M172" i="30" s="1"/>
  <c r="L84" i="30"/>
  <c r="M66" i="30"/>
  <c r="X65" i="15"/>
  <c r="AD382" i="30"/>
  <c r="O78" i="16"/>
  <c r="AK65" i="15"/>
  <c r="N127" i="19"/>
  <c r="N128" i="19" s="1"/>
  <c r="M144" i="16"/>
  <c r="O177" i="16"/>
  <c r="Z77" i="15"/>
  <c r="J179" i="30"/>
  <c r="J181" i="30" s="1"/>
  <c r="J78" i="15" s="1"/>
  <c r="H78" i="15"/>
  <c r="AK179" i="28"/>
  <c r="AK181" i="28" s="1"/>
  <c r="AK78" i="15" s="1"/>
  <c r="Z382" i="30"/>
  <c r="Z78" i="15"/>
  <c r="L264" i="28"/>
  <c r="L257" i="28"/>
  <c r="L243" i="28" s="1"/>
  <c r="L265" i="28"/>
  <c r="L263" i="28"/>
  <c r="P65" i="15"/>
  <c r="K13" i="16" s="1"/>
  <c r="K145" i="16" s="1"/>
  <c r="O31" i="19"/>
  <c r="O32" i="19" s="1"/>
  <c r="AD78" i="15"/>
  <c r="P78" i="15"/>
  <c r="K152" i="16" s="1"/>
  <c r="L64" i="15"/>
  <c r="L373" i="27"/>
  <c r="L89" i="27"/>
  <c r="L91" i="27" s="1"/>
  <c r="L65" i="15" s="1"/>
  <c r="G13" i="16" s="1"/>
  <c r="S89" i="27"/>
  <c r="S91" i="27" s="1"/>
  <c r="S65" i="15" s="1"/>
  <c r="S373" i="27"/>
  <c r="S64" i="15"/>
  <c r="I373" i="27"/>
  <c r="I89" i="27"/>
  <c r="I91" i="27" s="1"/>
  <c r="I65" i="15" s="1"/>
  <c r="I64" i="15"/>
  <c r="AK77" i="15"/>
  <c r="L179" i="30"/>
  <c r="L181" i="30" s="1"/>
  <c r="G381" i="28"/>
  <c r="G383" i="28" s="1"/>
  <c r="G381" i="27"/>
  <c r="G383" i="27" s="1"/>
  <c r="AD89" i="30"/>
  <c r="AD91" i="30" s="1"/>
  <c r="AD65" i="15" s="1"/>
  <c r="AD373" i="30"/>
  <c r="AD64" i="15"/>
  <c r="P127" i="19"/>
  <c r="P128" i="19" s="1"/>
  <c r="J77" i="15"/>
  <c r="G399" i="27"/>
  <c r="G401" i="27" s="1"/>
  <c r="U65" i="15"/>
  <c r="AD77" i="15"/>
  <c r="G78" i="26"/>
  <c r="H76" i="26" s="1"/>
  <c r="N177" i="16"/>
  <c r="N45" i="16"/>
  <c r="N144" i="16"/>
  <c r="N78" i="16"/>
  <c r="F79" i="26"/>
  <c r="F80" i="26" s="1"/>
  <c r="F81" i="26" s="1"/>
  <c r="Q382" i="30"/>
  <c r="Q179" i="30"/>
  <c r="Q181" i="30" s="1"/>
  <c r="Q77" i="15"/>
  <c r="L84" i="16" s="1"/>
  <c r="K127" i="19"/>
  <c r="K128" i="19" s="1"/>
  <c r="AJ64" i="15"/>
  <c r="AJ373" i="30"/>
  <c r="AJ89" i="30"/>
  <c r="AJ91" i="30" s="1"/>
  <c r="AJ65" i="15" s="1"/>
  <c r="R373" i="30"/>
  <c r="R64" i="15"/>
  <c r="R89" i="30"/>
  <c r="R91" i="30" s="1"/>
  <c r="R65" i="15" s="1"/>
  <c r="AJ382" i="30"/>
  <c r="AJ77" i="15"/>
  <c r="M77" i="15"/>
  <c r="H84" i="16" s="1"/>
  <c r="M382" i="30"/>
  <c r="V89" i="30"/>
  <c r="V91" i="30" s="1"/>
  <c r="V65" i="15" s="1"/>
  <c r="V373" i="30"/>
  <c r="V64" i="15"/>
  <c r="M179" i="30"/>
  <c r="M181" i="30" s="1"/>
  <c r="M78" i="15" s="1"/>
  <c r="H152" i="16" s="1"/>
  <c r="Y373" i="30"/>
  <c r="Y89" i="30"/>
  <c r="Y91" i="30" s="1"/>
  <c r="Y65" i="15" s="1"/>
  <c r="Y64" i="15"/>
  <c r="N11" i="16" s="1"/>
  <c r="AE373" i="30"/>
  <c r="AE64" i="15"/>
  <c r="AE89" i="30"/>
  <c r="AE91" i="30" s="1"/>
  <c r="AE65" i="15" s="1"/>
  <c r="I382" i="30"/>
  <c r="I77" i="15"/>
  <c r="R77" i="15"/>
  <c r="R382" i="30"/>
  <c r="AH373" i="30"/>
  <c r="AH64" i="15"/>
  <c r="AH89" i="30"/>
  <c r="AH91" i="30" s="1"/>
  <c r="AH65" i="15" s="1"/>
  <c r="AF179" i="30"/>
  <c r="AF181" i="30" s="1"/>
  <c r="G382" i="27"/>
  <c r="G179" i="27"/>
  <c r="G181" i="27" s="1"/>
  <c r="G78" i="15" s="1"/>
  <c r="G77" i="15"/>
  <c r="N337" i="30"/>
  <c r="M355" i="30"/>
  <c r="M353" i="30"/>
  <c r="M354" i="30"/>
  <c r="M347" i="30"/>
  <c r="M333" i="30" s="1"/>
  <c r="N247" i="30"/>
  <c r="M265" i="30"/>
  <c r="M263" i="30"/>
  <c r="M257" i="30"/>
  <c r="M243" i="30" s="1"/>
  <c r="M264" i="30"/>
  <c r="K78" i="15"/>
  <c r="Y382" i="30"/>
  <c r="Y77" i="15"/>
  <c r="T77" i="15"/>
  <c r="T382" i="30"/>
  <c r="N373" i="30"/>
  <c r="N64" i="15"/>
  <c r="N89" i="30"/>
  <c r="N91" i="30" s="1"/>
  <c r="N65" i="15" s="1"/>
  <c r="I13" i="16" s="1"/>
  <c r="AC64" i="15"/>
  <c r="AC373" i="30"/>
  <c r="AC89" i="30"/>
  <c r="AC91" i="30" s="1"/>
  <c r="AC65" i="15" s="1"/>
  <c r="N382" i="30"/>
  <c r="N77" i="15"/>
  <c r="I84" i="16" s="1"/>
  <c r="T373" i="30"/>
  <c r="T89" i="30"/>
  <c r="T91" i="30" s="1"/>
  <c r="T65" i="15" s="1"/>
  <c r="T64" i="15"/>
  <c r="X77" i="15"/>
  <c r="X382" i="30"/>
  <c r="K373" i="30"/>
  <c r="K64" i="15"/>
  <c r="K89" i="30"/>
  <c r="K91" i="30" s="1"/>
  <c r="K65" i="15" s="1"/>
  <c r="AC382" i="30"/>
  <c r="AC77" i="15"/>
  <c r="T179" i="30"/>
  <c r="T181" i="30" s="1"/>
  <c r="T78" i="15" s="1"/>
  <c r="AC78" i="15"/>
  <c r="Y179" i="30"/>
  <c r="Y181" i="30" s="1"/>
  <c r="Y78" i="15" s="1"/>
  <c r="K382" i="30"/>
  <c r="K77" i="15"/>
  <c r="N179" i="30"/>
  <c r="N181" i="30" s="1"/>
  <c r="N78" i="15" s="1"/>
  <c r="I152" i="16" s="1"/>
  <c r="AI78" i="15"/>
  <c r="N66" i="29"/>
  <c r="M84" i="29"/>
  <c r="M82" i="29"/>
  <c r="M83" i="29"/>
  <c r="M76" i="29"/>
  <c r="M62" i="29" s="1"/>
  <c r="O78" i="15"/>
  <c r="J152" i="16" s="1"/>
  <c r="R78" i="15"/>
  <c r="AE78" i="15"/>
  <c r="Y401" i="28"/>
  <c r="N247" i="28"/>
  <c r="N257" i="28" s="1"/>
  <c r="M265" i="28"/>
  <c r="M263" i="28"/>
  <c r="M264" i="28"/>
  <c r="M243" i="28"/>
  <c r="N156" i="28"/>
  <c r="M173" i="28"/>
  <c r="M172" i="28"/>
  <c r="M174" i="28"/>
  <c r="M166" i="28"/>
  <c r="M152" i="28" s="1"/>
  <c r="K401" i="27"/>
  <c r="X78" i="15"/>
  <c r="I381" i="27"/>
  <c r="I383" i="27" s="1"/>
  <c r="AJ78" i="15"/>
  <c r="N66" i="28"/>
  <c r="M84" i="28"/>
  <c r="M76" i="28"/>
  <c r="M62" i="28" s="1"/>
  <c r="M82" i="28"/>
  <c r="M83" i="28"/>
  <c r="W78" i="15"/>
  <c r="M353" i="27"/>
  <c r="M355" i="27"/>
  <c r="M354" i="27"/>
  <c r="M347" i="27"/>
  <c r="M333" i="27" s="1"/>
  <c r="N337" i="27"/>
  <c r="AF89" i="27"/>
  <c r="AF91" i="27" s="1"/>
  <c r="AF65" i="15" s="1"/>
  <c r="AF64" i="15"/>
  <c r="AF373" i="27"/>
  <c r="AH381" i="27"/>
  <c r="AH383" i="27" s="1"/>
  <c r="AH77" i="15"/>
  <c r="AH382" i="27"/>
  <c r="AH179" i="27"/>
  <c r="AH181" i="27" s="1"/>
  <c r="AH78" i="15" s="1"/>
  <c r="J381" i="27"/>
  <c r="J383" i="27" s="1"/>
  <c r="AF77" i="15"/>
  <c r="AF382" i="27"/>
  <c r="AF179" i="27"/>
  <c r="AF181" i="27" s="1"/>
  <c r="R381" i="27"/>
  <c r="R383" i="27" s="1"/>
  <c r="AB382" i="27"/>
  <c r="AB77" i="15"/>
  <c r="AB179" i="27"/>
  <c r="AB181" i="27" s="1"/>
  <c r="AB78" i="15" s="1"/>
  <c r="Z381" i="27"/>
  <c r="Z383" i="27" s="1"/>
  <c r="M373" i="27"/>
  <c r="M64" i="15"/>
  <c r="M65" i="15"/>
  <c r="H13" i="16" s="1"/>
  <c r="P166" i="27"/>
  <c r="P152" i="27" s="1"/>
  <c r="P79" i="15" s="1"/>
  <c r="Q156" i="27"/>
  <c r="P174" i="27"/>
  <c r="P74" i="15" s="1"/>
  <c r="P173" i="27"/>
  <c r="P172" i="27"/>
  <c r="L83" i="27"/>
  <c r="M66" i="27"/>
  <c r="L82" i="27"/>
  <c r="L84" i="27"/>
  <c r="L76" i="27"/>
  <c r="L62" i="27" s="1"/>
  <c r="L58" i="15"/>
  <c r="K86" i="16"/>
  <c r="K150" i="16"/>
  <c r="K51" i="16"/>
  <c r="K53" i="16" s="1"/>
  <c r="K183" i="16"/>
  <c r="K185" i="16" s="1"/>
  <c r="K18" i="16"/>
  <c r="K20" i="16" s="1"/>
  <c r="AB64" i="15"/>
  <c r="AB373" i="27"/>
  <c r="AB89" i="27"/>
  <c r="AB91" i="27" s="1"/>
  <c r="AB65" i="15" s="1"/>
  <c r="G373" i="28" l="1"/>
  <c r="G64" i="15"/>
  <c r="G89" i="28"/>
  <c r="G91" i="28" s="1"/>
  <c r="G65" i="15" s="1"/>
  <c r="J150" i="16"/>
  <c r="J183" i="16"/>
  <c r="J185" i="16" s="1"/>
  <c r="J51" i="16"/>
  <c r="J53" i="16" s="1"/>
  <c r="J84" i="16"/>
  <c r="J86" i="16" s="1"/>
  <c r="K176" i="16"/>
  <c r="J178" i="16"/>
  <c r="P11" i="16"/>
  <c r="P143" i="16" s="1"/>
  <c r="L143" i="16"/>
  <c r="J143" i="16"/>
  <c r="N84" i="16"/>
  <c r="P44" i="16"/>
  <c r="M84" i="16"/>
  <c r="M86" i="16" s="1"/>
  <c r="O183" i="16"/>
  <c r="O185" i="16" s="1"/>
  <c r="G150" i="16"/>
  <c r="G84" i="16"/>
  <c r="G86" i="16" s="1"/>
  <c r="P183" i="16"/>
  <c r="P185" i="16" s="1"/>
  <c r="J79" i="16"/>
  <c r="J46" i="16"/>
  <c r="P18" i="16"/>
  <c r="P20" i="16" s="1"/>
  <c r="H11" i="16"/>
  <c r="H143" i="16" s="1"/>
  <c r="H44" i="16"/>
  <c r="O18" i="16"/>
  <c r="O20" i="16" s="1"/>
  <c r="G11" i="16"/>
  <c r="G176" i="16" s="1"/>
  <c r="G44" i="16"/>
  <c r="M11" i="16"/>
  <c r="M143" i="16" s="1"/>
  <c r="M44" i="16"/>
  <c r="P51" i="16"/>
  <c r="P53" i="16" s="1"/>
  <c r="N44" i="16"/>
  <c r="M18" i="16"/>
  <c r="M20" i="16" s="1"/>
  <c r="M51" i="16"/>
  <c r="M53" i="16" s="1"/>
  <c r="O11" i="16"/>
  <c r="O143" i="16" s="1"/>
  <c r="O44" i="16"/>
  <c r="I44" i="16"/>
  <c r="I11" i="16"/>
  <c r="I176" i="16" s="1"/>
  <c r="O51" i="16"/>
  <c r="O53" i="16" s="1"/>
  <c r="S97" i="22"/>
  <c r="S195" i="22" s="1"/>
  <c r="S293" i="22" s="1"/>
  <c r="S194" i="22"/>
  <c r="S292" i="22" s="1"/>
  <c r="T96" i="22"/>
  <c r="L78" i="15"/>
  <c r="G152" i="16" s="1"/>
  <c r="V78" i="15"/>
  <c r="M152" i="16" s="1"/>
  <c r="G18" i="16"/>
  <c r="G20" i="16" s="1"/>
  <c r="G183" i="16"/>
  <c r="G185" i="16" s="1"/>
  <c r="G51" i="16"/>
  <c r="G53" i="16" s="1"/>
  <c r="Q78" i="15"/>
  <c r="L152" i="16" s="1"/>
  <c r="M80" i="15"/>
  <c r="M71" i="15"/>
  <c r="AF78" i="15"/>
  <c r="O152" i="16" s="1"/>
  <c r="M173" i="30"/>
  <c r="M166" i="30"/>
  <c r="M152" i="30" s="1"/>
  <c r="N156" i="30"/>
  <c r="N80" i="15" s="1"/>
  <c r="M174" i="30"/>
  <c r="N66" i="30"/>
  <c r="M83" i="30"/>
  <c r="M76" i="30"/>
  <c r="M62" i="30" s="1"/>
  <c r="N13" i="16"/>
  <c r="N46" i="16" s="1"/>
  <c r="M84" i="30"/>
  <c r="M82" i="30"/>
  <c r="N86" i="16"/>
  <c r="N51" i="16"/>
  <c r="N53" i="16" s="1"/>
  <c r="N18" i="16"/>
  <c r="N20" i="16" s="1"/>
  <c r="K46" i="16"/>
  <c r="K178" i="16"/>
  <c r="K79" i="16"/>
  <c r="L46" i="16"/>
  <c r="L79" i="16"/>
  <c r="L145" i="16"/>
  <c r="L178" i="16"/>
  <c r="G46" i="16"/>
  <c r="G145" i="16"/>
  <c r="G79" i="16"/>
  <c r="G79" i="26"/>
  <c r="G80" i="26" s="1"/>
  <c r="G81" i="26" s="1"/>
  <c r="G178" i="16"/>
  <c r="M183" i="16"/>
  <c r="M185" i="16" s="1"/>
  <c r="M150" i="16"/>
  <c r="N150" i="16"/>
  <c r="P13" i="16"/>
  <c r="P46" i="16" s="1"/>
  <c r="H78" i="26"/>
  <c r="I76" i="26" s="1"/>
  <c r="L150" i="16"/>
  <c r="L18" i="16"/>
  <c r="L20" i="16" s="1"/>
  <c r="L183" i="16"/>
  <c r="L185" i="16" s="1"/>
  <c r="L51" i="16"/>
  <c r="L53" i="16" s="1"/>
  <c r="L86" i="16"/>
  <c r="M13" i="16"/>
  <c r="M46" i="16" s="1"/>
  <c r="N143" i="16"/>
  <c r="N176" i="16"/>
  <c r="N183" i="16"/>
  <c r="N185" i="16" s="1"/>
  <c r="H183" i="16"/>
  <c r="H185" i="16" s="1"/>
  <c r="H86" i="16"/>
  <c r="H18" i="16"/>
  <c r="H20" i="16" s="1"/>
  <c r="H51" i="16"/>
  <c r="H53" i="16" s="1"/>
  <c r="H150" i="16"/>
  <c r="O337" i="30"/>
  <c r="N355" i="30"/>
  <c r="N347" i="30"/>
  <c r="N333" i="30" s="1"/>
  <c r="N353" i="30"/>
  <c r="N354" i="30"/>
  <c r="O247" i="30"/>
  <c r="N265" i="30"/>
  <c r="N264" i="30"/>
  <c r="N263" i="30"/>
  <c r="N257" i="30"/>
  <c r="N243" i="30" s="1"/>
  <c r="I51" i="16"/>
  <c r="I53" i="16" s="1"/>
  <c r="I150" i="16"/>
  <c r="I86" i="16"/>
  <c r="I183" i="16"/>
  <c r="I185" i="16" s="1"/>
  <c r="I18" i="16"/>
  <c r="I20" i="16" s="1"/>
  <c r="I46" i="16"/>
  <c r="I145" i="16"/>
  <c r="I79" i="16"/>
  <c r="I178" i="16"/>
  <c r="O66" i="29"/>
  <c r="N76" i="29"/>
  <c r="N62" i="29" s="1"/>
  <c r="N84" i="29"/>
  <c r="N83" i="29"/>
  <c r="N82" i="29"/>
  <c r="O13" i="16"/>
  <c r="O178" i="16" s="1"/>
  <c r="O247" i="28"/>
  <c r="O257" i="28" s="1"/>
  <c r="N265" i="28"/>
  <c r="N264" i="28"/>
  <c r="N243" i="28"/>
  <c r="N263" i="28"/>
  <c r="O156" i="28"/>
  <c r="N173" i="28"/>
  <c r="N172" i="28"/>
  <c r="N166" i="28"/>
  <c r="N152" i="28" s="1"/>
  <c r="N174" i="28"/>
  <c r="N152" i="16"/>
  <c r="P152" i="16"/>
  <c r="O66" i="28"/>
  <c r="N82" i="28"/>
  <c r="N84" i="28"/>
  <c r="N76" i="28"/>
  <c r="N62" i="28" s="1"/>
  <c r="N83" i="28"/>
  <c r="N355" i="27"/>
  <c r="N347" i="27"/>
  <c r="N333" i="27" s="1"/>
  <c r="N354" i="27"/>
  <c r="N353" i="27"/>
  <c r="O337" i="27"/>
  <c r="O150" i="16"/>
  <c r="O86" i="16"/>
  <c r="Q166" i="27"/>
  <c r="Q152" i="27" s="1"/>
  <c r="Q79" i="15" s="1"/>
  <c r="R156" i="27"/>
  <c r="Q172" i="27"/>
  <c r="Q174" i="27"/>
  <c r="Q74" i="15" s="1"/>
  <c r="Q173" i="27"/>
  <c r="H145" i="16"/>
  <c r="H79" i="16"/>
  <c r="H178" i="16"/>
  <c r="H46" i="16"/>
  <c r="N66" i="27"/>
  <c r="M76" i="27"/>
  <c r="M62" i="27" s="1"/>
  <c r="M84" i="27"/>
  <c r="M83" i="27"/>
  <c r="M82" i="27"/>
  <c r="M58" i="15"/>
  <c r="P86" i="16"/>
  <c r="P150" i="16"/>
  <c r="I143" i="16" l="1"/>
  <c r="H176" i="16"/>
  <c r="G143" i="16"/>
  <c r="U96" i="22"/>
  <c r="T194" i="22"/>
  <c r="T292" i="22" s="1"/>
  <c r="T97" i="22"/>
  <c r="T195" i="22" s="1"/>
  <c r="T293" i="22" s="1"/>
  <c r="N71" i="15"/>
  <c r="N178" i="16"/>
  <c r="N145" i="16"/>
  <c r="N79" i="16"/>
  <c r="O176" i="16"/>
  <c r="N166" i="30"/>
  <c r="N152" i="30" s="1"/>
  <c r="N172" i="30"/>
  <c r="N173" i="30"/>
  <c r="N174" i="30"/>
  <c r="O156" i="30"/>
  <c r="O71" i="15" s="1"/>
  <c r="N83" i="30"/>
  <c r="N82" i="30"/>
  <c r="O66" i="30"/>
  <c r="N84" i="30"/>
  <c r="N76" i="30"/>
  <c r="N62" i="30" s="1"/>
  <c r="M176" i="16"/>
  <c r="H79" i="26"/>
  <c r="H80" i="26" s="1"/>
  <c r="H81" i="26" s="1"/>
  <c r="P178" i="16"/>
  <c r="P145" i="16"/>
  <c r="P176" i="16"/>
  <c r="M178" i="16"/>
  <c r="I78" i="26"/>
  <c r="I79" i="26" s="1"/>
  <c r="I80" i="26" s="1"/>
  <c r="I81" i="26" s="1"/>
  <c r="M145" i="16"/>
  <c r="M79" i="16"/>
  <c r="P337" i="30"/>
  <c r="O355" i="30"/>
  <c r="O353" i="30"/>
  <c r="O347" i="30"/>
  <c r="O333" i="30" s="1"/>
  <c r="O354" i="30"/>
  <c r="P247" i="30"/>
  <c r="O257" i="30"/>
  <c r="O243" i="30" s="1"/>
  <c r="O264" i="30"/>
  <c r="O265" i="30"/>
  <c r="O263" i="30"/>
  <c r="O46" i="16"/>
  <c r="O145" i="16"/>
  <c r="P66" i="29"/>
  <c r="O76" i="29"/>
  <c r="O62" i="29" s="1"/>
  <c r="O82" i="29"/>
  <c r="O84" i="29"/>
  <c r="O83" i="29"/>
  <c r="P247" i="28"/>
  <c r="P257" i="28" s="1"/>
  <c r="O264" i="28"/>
  <c r="O243" i="28"/>
  <c r="O263" i="28"/>
  <c r="O265" i="28"/>
  <c r="P156" i="28"/>
  <c r="O174" i="28"/>
  <c r="O173" i="28"/>
  <c r="O172" i="28"/>
  <c r="O166" i="28"/>
  <c r="O152" i="28" s="1"/>
  <c r="P66" i="28"/>
  <c r="O83" i="28"/>
  <c r="O82" i="28"/>
  <c r="O76" i="28"/>
  <c r="O62" i="28" s="1"/>
  <c r="O84" i="28"/>
  <c r="O353" i="27"/>
  <c r="O354" i="27"/>
  <c r="P337" i="27"/>
  <c r="O355" i="27"/>
  <c r="O347" i="27"/>
  <c r="O333" i="27" s="1"/>
  <c r="S156" i="27"/>
  <c r="R166" i="27"/>
  <c r="R152" i="27" s="1"/>
  <c r="R79" i="15" s="1"/>
  <c r="R174" i="27"/>
  <c r="R74" i="15" s="1"/>
  <c r="R173" i="27"/>
  <c r="R172" i="27"/>
  <c r="N84" i="27"/>
  <c r="N82" i="27"/>
  <c r="N58" i="15"/>
  <c r="O66" i="27"/>
  <c r="N76" i="27"/>
  <c r="N62" i="27" s="1"/>
  <c r="N83" i="27"/>
  <c r="U194" i="22" l="1"/>
  <c r="U292" i="22" s="1"/>
  <c r="U97" i="22"/>
  <c r="U195" i="22" s="1"/>
  <c r="U293" i="22" s="1"/>
  <c r="O80" i="15"/>
  <c r="O174" i="30"/>
  <c r="P156" i="30"/>
  <c r="P80" i="15" s="1"/>
  <c r="O173" i="30"/>
  <c r="O166" i="30"/>
  <c r="O152" i="30" s="1"/>
  <c r="O172" i="30"/>
  <c r="O76" i="30"/>
  <c r="O62" i="30" s="1"/>
  <c r="P66" i="30"/>
  <c r="O83" i="30"/>
  <c r="O84" i="30"/>
  <c r="O82" i="30"/>
  <c r="E83" i="26"/>
  <c r="Q337" i="30"/>
  <c r="P347" i="30"/>
  <c r="P333" i="30" s="1"/>
  <c r="P353" i="30"/>
  <c r="P355" i="30"/>
  <c r="P354" i="30"/>
  <c r="Q247" i="30"/>
  <c r="P263" i="30"/>
  <c r="P257" i="30"/>
  <c r="P243" i="30" s="1"/>
  <c r="P265" i="30"/>
  <c r="P264" i="30"/>
  <c r="Q66" i="29"/>
  <c r="P76" i="29"/>
  <c r="P62" i="29" s="1"/>
  <c r="P84" i="29"/>
  <c r="P82" i="29"/>
  <c r="P83" i="29"/>
  <c r="Q247" i="28"/>
  <c r="Q257" i="28" s="1"/>
  <c r="P263" i="28"/>
  <c r="P265" i="28"/>
  <c r="P264" i="28"/>
  <c r="P243" i="28"/>
  <c r="Q156" i="28"/>
  <c r="P172" i="28"/>
  <c r="P174" i="28"/>
  <c r="P166" i="28"/>
  <c r="P152" i="28" s="1"/>
  <c r="P173" i="28"/>
  <c r="Q66" i="28"/>
  <c r="P84" i="28"/>
  <c r="P82" i="28"/>
  <c r="P83" i="28"/>
  <c r="P76" i="28"/>
  <c r="P62" i="28" s="1"/>
  <c r="P353" i="27"/>
  <c r="Q337" i="27"/>
  <c r="P347" i="27"/>
  <c r="P333" i="27" s="1"/>
  <c r="P355" i="27"/>
  <c r="P354" i="27"/>
  <c r="P66" i="27"/>
  <c r="O83" i="27"/>
  <c r="O84" i="27"/>
  <c r="O82" i="27"/>
  <c r="O76" i="27"/>
  <c r="O62" i="27" s="1"/>
  <c r="O58" i="15"/>
  <c r="T156" i="27"/>
  <c r="S166" i="27"/>
  <c r="S152" i="27" s="1"/>
  <c r="S79" i="15" s="1"/>
  <c r="S174" i="27"/>
  <c r="S74" i="15" s="1"/>
  <c r="S173" i="27"/>
  <c r="S172" i="27"/>
  <c r="P71" i="15" l="1"/>
  <c r="P166" i="30"/>
  <c r="P152" i="30" s="1"/>
  <c r="P174" i="30"/>
  <c r="P172" i="30"/>
  <c r="Q156" i="30"/>
  <c r="Q80" i="15" s="1"/>
  <c r="P173" i="30"/>
  <c r="P84" i="30"/>
  <c r="P82" i="30"/>
  <c r="P76" i="30"/>
  <c r="P62" i="30" s="1"/>
  <c r="Q66" i="30"/>
  <c r="P83" i="30"/>
  <c r="R337" i="30"/>
  <c r="Q354" i="30"/>
  <c r="Q353" i="30"/>
  <c r="Q355" i="30"/>
  <c r="Q347" i="30"/>
  <c r="Q333" i="30" s="1"/>
  <c r="R247" i="30"/>
  <c r="Q265" i="30"/>
  <c r="Q264" i="30"/>
  <c r="Q263" i="30"/>
  <c r="Q257" i="30"/>
  <c r="Q243" i="30" s="1"/>
  <c r="R66" i="29"/>
  <c r="Q84" i="29"/>
  <c r="Q83" i="29"/>
  <c r="Q76" i="29"/>
  <c r="Q62" i="29" s="1"/>
  <c r="Q82" i="29"/>
  <c r="R247" i="28"/>
  <c r="R257" i="28" s="1"/>
  <c r="Q243" i="28"/>
  <c r="Q264" i="28"/>
  <c r="Q265" i="28"/>
  <c r="Q263" i="28"/>
  <c r="R156" i="28"/>
  <c r="Q166" i="28"/>
  <c r="Q152" i="28" s="1"/>
  <c r="Q173" i="28"/>
  <c r="Q174" i="28"/>
  <c r="Q172" i="28"/>
  <c r="R66" i="28"/>
  <c r="Q76" i="28"/>
  <c r="Q62" i="28" s="1"/>
  <c r="Q84" i="28"/>
  <c r="Q83" i="28"/>
  <c r="Q82" i="28"/>
  <c r="Q347" i="27"/>
  <c r="Q333" i="27" s="1"/>
  <c r="Q355" i="27"/>
  <c r="Q354" i="27"/>
  <c r="R337" i="27"/>
  <c r="Q353" i="27"/>
  <c r="U156" i="27"/>
  <c r="T166" i="27"/>
  <c r="T152" i="27" s="1"/>
  <c r="T79" i="15" s="1"/>
  <c r="T173" i="27"/>
  <c r="T172" i="27"/>
  <c r="T174" i="27"/>
  <c r="T74" i="15" s="1"/>
  <c r="Q66" i="27"/>
  <c r="P83" i="27"/>
  <c r="P58" i="15"/>
  <c r="P82" i="27"/>
  <c r="P84" i="27"/>
  <c r="P76" i="27"/>
  <c r="P62" i="27" s="1"/>
  <c r="Q71" i="15" l="1"/>
  <c r="R156" i="30"/>
  <c r="R80" i="15" s="1"/>
  <c r="Q172" i="30"/>
  <c r="Q166" i="30"/>
  <c r="Q152" i="30" s="1"/>
  <c r="Q174" i="30"/>
  <c r="Q173" i="30"/>
  <c r="Q83" i="30"/>
  <c r="Q76" i="30"/>
  <c r="Q62" i="30" s="1"/>
  <c r="R66" i="30"/>
  <c r="Q84" i="30"/>
  <c r="Q82" i="30"/>
  <c r="S337" i="30"/>
  <c r="R353" i="30"/>
  <c r="R355" i="30"/>
  <c r="R354" i="30"/>
  <c r="R347" i="30"/>
  <c r="R333" i="30" s="1"/>
  <c r="S247" i="30"/>
  <c r="R257" i="30"/>
  <c r="R243" i="30" s="1"/>
  <c r="R265" i="30"/>
  <c r="R264" i="30"/>
  <c r="R263" i="30"/>
  <c r="S66" i="29"/>
  <c r="R76" i="29"/>
  <c r="R62" i="29" s="1"/>
  <c r="R83" i="29"/>
  <c r="R82" i="29"/>
  <c r="R84" i="29"/>
  <c r="S247" i="28"/>
  <c r="S257" i="28" s="1"/>
  <c r="R243" i="28"/>
  <c r="R263" i="28"/>
  <c r="R265" i="28"/>
  <c r="R264" i="28"/>
  <c r="S156" i="28"/>
  <c r="R174" i="28"/>
  <c r="R173" i="28"/>
  <c r="R166" i="28"/>
  <c r="R152" i="28" s="1"/>
  <c r="R172" i="28"/>
  <c r="S66" i="28"/>
  <c r="R82" i="28"/>
  <c r="R76" i="28"/>
  <c r="R62" i="28" s="1"/>
  <c r="R84" i="28"/>
  <c r="R83" i="28"/>
  <c r="R347" i="27"/>
  <c r="R333" i="27" s="1"/>
  <c r="R354" i="27"/>
  <c r="S337" i="27"/>
  <c r="R353" i="27"/>
  <c r="R355" i="27"/>
  <c r="V156" i="27"/>
  <c r="U166" i="27"/>
  <c r="U152" i="27" s="1"/>
  <c r="U79" i="15" s="1"/>
  <c r="U172" i="27"/>
  <c r="U174" i="27"/>
  <c r="U74" i="15" s="1"/>
  <c r="U173" i="27"/>
  <c r="R66" i="27"/>
  <c r="Q83" i="27"/>
  <c r="Q58" i="15"/>
  <c r="Q82" i="27"/>
  <c r="Q76" i="27"/>
  <c r="Q62" i="27" s="1"/>
  <c r="Q84" i="27"/>
  <c r="R71" i="15" l="1"/>
  <c r="R172" i="30"/>
  <c r="R174" i="30"/>
  <c r="R173" i="30"/>
  <c r="S156" i="30"/>
  <c r="S80" i="15" s="1"/>
  <c r="R166" i="30"/>
  <c r="R152" i="30" s="1"/>
  <c r="R76" i="30"/>
  <c r="R62" i="30" s="1"/>
  <c r="R82" i="30"/>
  <c r="R83" i="30"/>
  <c r="S66" i="30"/>
  <c r="R84" i="30"/>
  <c r="T337" i="30"/>
  <c r="S347" i="30"/>
  <c r="S333" i="30" s="1"/>
  <c r="S355" i="30"/>
  <c r="S354" i="30"/>
  <c r="S353" i="30"/>
  <c r="T247" i="30"/>
  <c r="S257" i="30"/>
  <c r="S243" i="30" s="1"/>
  <c r="S265" i="30"/>
  <c r="S264" i="30"/>
  <c r="S263" i="30"/>
  <c r="T66" i="29"/>
  <c r="S76" i="29"/>
  <c r="S62" i="29" s="1"/>
  <c r="S84" i="29"/>
  <c r="S82" i="29"/>
  <c r="S83" i="29"/>
  <c r="T247" i="28"/>
  <c r="T257" i="28" s="1"/>
  <c r="S264" i="28"/>
  <c r="S265" i="28"/>
  <c r="S263" i="28"/>
  <c r="S243" i="28"/>
  <c r="T156" i="28"/>
  <c r="S174" i="28"/>
  <c r="S173" i="28"/>
  <c r="S172" i="28"/>
  <c r="S166" i="28"/>
  <c r="S152" i="28" s="1"/>
  <c r="T66" i="28"/>
  <c r="S83" i="28"/>
  <c r="S84" i="28"/>
  <c r="S82" i="28"/>
  <c r="S76" i="28"/>
  <c r="S62" i="28" s="1"/>
  <c r="S353" i="27"/>
  <c r="S354" i="27"/>
  <c r="T337" i="27"/>
  <c r="S355" i="27"/>
  <c r="S347" i="27"/>
  <c r="S333" i="27" s="1"/>
  <c r="W156" i="27"/>
  <c r="V166" i="27"/>
  <c r="V152" i="27" s="1"/>
  <c r="V79" i="15" s="1"/>
  <c r="V173" i="27"/>
  <c r="V172" i="27"/>
  <c r="V174" i="27"/>
  <c r="V74" i="15" s="1"/>
  <c r="R83" i="27"/>
  <c r="S66" i="27"/>
  <c r="R84" i="27"/>
  <c r="R82" i="27"/>
  <c r="R58" i="15"/>
  <c r="R76" i="27"/>
  <c r="R62" i="27" s="1"/>
  <c r="S71" i="15" l="1"/>
  <c r="T156" i="30"/>
  <c r="T80" i="15" s="1"/>
  <c r="S173" i="30"/>
  <c r="S174" i="30"/>
  <c r="S166" i="30"/>
  <c r="S152" i="30" s="1"/>
  <c r="S172" i="30"/>
  <c r="S83" i="30"/>
  <c r="S76" i="30"/>
  <c r="S62" i="30" s="1"/>
  <c r="T66" i="30"/>
  <c r="S82" i="30"/>
  <c r="S84" i="30"/>
  <c r="U337" i="30"/>
  <c r="T353" i="30"/>
  <c r="T347" i="30"/>
  <c r="T333" i="30" s="1"/>
  <c r="T354" i="30"/>
  <c r="T355" i="30"/>
  <c r="U247" i="30"/>
  <c r="T264" i="30"/>
  <c r="T265" i="30"/>
  <c r="T263" i="30"/>
  <c r="T257" i="30"/>
  <c r="T243" i="30" s="1"/>
  <c r="U66" i="29"/>
  <c r="T76" i="29"/>
  <c r="T62" i="29" s="1"/>
  <c r="T84" i="29"/>
  <c r="T82" i="29"/>
  <c r="T83" i="29"/>
  <c r="U247" i="28"/>
  <c r="U257" i="28" s="1"/>
  <c r="T263" i="28"/>
  <c r="T265" i="28"/>
  <c r="T243" i="28"/>
  <c r="T264" i="28"/>
  <c r="U156" i="28"/>
  <c r="T172" i="28"/>
  <c r="T174" i="28"/>
  <c r="T166" i="28"/>
  <c r="T152" i="28" s="1"/>
  <c r="T173" i="28"/>
  <c r="U66" i="28"/>
  <c r="T76" i="28"/>
  <c r="T62" i="28" s="1"/>
  <c r="T82" i="28"/>
  <c r="T83" i="28"/>
  <c r="T84" i="28"/>
  <c r="T355" i="27"/>
  <c r="U337" i="27"/>
  <c r="T347" i="27"/>
  <c r="T333" i="27" s="1"/>
  <c r="T354" i="27"/>
  <c r="T353" i="27"/>
  <c r="T66" i="27"/>
  <c r="S84" i="27"/>
  <c r="S83" i="27"/>
  <c r="S58" i="15"/>
  <c r="S82" i="27"/>
  <c r="S76" i="27"/>
  <c r="S62" i="27" s="1"/>
  <c r="X156" i="27"/>
  <c r="W166" i="27"/>
  <c r="W152" i="27" s="1"/>
  <c r="W79" i="15" s="1"/>
  <c r="W173" i="27"/>
  <c r="W172" i="27"/>
  <c r="W174" i="27"/>
  <c r="W74" i="15" s="1"/>
  <c r="T71" i="15" l="1"/>
  <c r="T173" i="30"/>
  <c r="U156" i="30"/>
  <c r="U71" i="15" s="1"/>
  <c r="T166" i="30"/>
  <c r="T152" i="30" s="1"/>
  <c r="T174" i="30"/>
  <c r="T172" i="30"/>
  <c r="T82" i="30"/>
  <c r="U66" i="30"/>
  <c r="T83" i="30"/>
  <c r="T84" i="30"/>
  <c r="T76" i="30"/>
  <c r="T62" i="30" s="1"/>
  <c r="V337" i="30"/>
  <c r="U355" i="30"/>
  <c r="U353" i="30"/>
  <c r="U347" i="30"/>
  <c r="U333" i="30" s="1"/>
  <c r="U354" i="30"/>
  <c r="V247" i="30"/>
  <c r="U257" i="30"/>
  <c r="U243" i="30" s="1"/>
  <c r="U265" i="30"/>
  <c r="U263" i="30"/>
  <c r="U264" i="30"/>
  <c r="V66" i="29"/>
  <c r="U82" i="29"/>
  <c r="U83" i="29"/>
  <c r="U76" i="29"/>
  <c r="U62" i="29" s="1"/>
  <c r="U84" i="29"/>
  <c r="V247" i="28"/>
  <c r="V257" i="28" s="1"/>
  <c r="U264" i="28"/>
  <c r="U265" i="28"/>
  <c r="U243" i="28"/>
  <c r="U263" i="28"/>
  <c r="V156" i="28"/>
  <c r="U173" i="28"/>
  <c r="U172" i="28"/>
  <c r="U174" i="28"/>
  <c r="U166" i="28"/>
  <c r="U152" i="28" s="1"/>
  <c r="V66" i="28"/>
  <c r="U84" i="28"/>
  <c r="U76" i="28"/>
  <c r="U62" i="28" s="1"/>
  <c r="U82" i="28"/>
  <c r="U83" i="28"/>
  <c r="U347" i="27"/>
  <c r="U333" i="27" s="1"/>
  <c r="U354" i="27"/>
  <c r="V337" i="27"/>
  <c r="U353" i="27"/>
  <c r="U355" i="27"/>
  <c r="U66" i="27"/>
  <c r="T84" i="27"/>
  <c r="T83" i="27"/>
  <c r="T58" i="15"/>
  <c r="T82" i="27"/>
  <c r="T76" i="27"/>
  <c r="T62" i="27" s="1"/>
  <c r="Y156" i="27"/>
  <c r="X166" i="27"/>
  <c r="X152" i="27" s="1"/>
  <c r="X79" i="15" s="1"/>
  <c r="X173" i="27"/>
  <c r="X174" i="27"/>
  <c r="X74" i="15" s="1"/>
  <c r="X172" i="27"/>
  <c r="U173" i="30" l="1"/>
  <c r="U172" i="30"/>
  <c r="U174" i="30"/>
  <c r="V156" i="30"/>
  <c r="V80" i="15" s="1"/>
  <c r="U166" i="30"/>
  <c r="U152" i="30" s="1"/>
  <c r="U80" i="15"/>
  <c r="U76" i="30"/>
  <c r="U62" i="30" s="1"/>
  <c r="U82" i="30"/>
  <c r="U83" i="30"/>
  <c r="U84" i="30"/>
  <c r="V66" i="30"/>
  <c r="W337" i="30"/>
  <c r="V355" i="30"/>
  <c r="V353" i="30"/>
  <c r="V347" i="30"/>
  <c r="V333" i="30" s="1"/>
  <c r="V354" i="30"/>
  <c r="W247" i="30"/>
  <c r="V265" i="30"/>
  <c r="V264" i="30"/>
  <c r="V263" i="30"/>
  <c r="V257" i="30"/>
  <c r="V243" i="30" s="1"/>
  <c r="W66" i="29"/>
  <c r="V76" i="29"/>
  <c r="V62" i="29" s="1"/>
  <c r="V84" i="29"/>
  <c r="V83" i="29"/>
  <c r="V82" i="29"/>
  <c r="W247" i="28"/>
  <c r="W257" i="28" s="1"/>
  <c r="V264" i="28"/>
  <c r="V265" i="28"/>
  <c r="V263" i="28"/>
  <c r="V243" i="28"/>
  <c r="W156" i="28"/>
  <c r="V174" i="28"/>
  <c r="V173" i="28"/>
  <c r="V172" i="28"/>
  <c r="V166" i="28"/>
  <c r="V152" i="28" s="1"/>
  <c r="W66" i="28"/>
  <c r="V82" i="28"/>
  <c r="V84" i="28"/>
  <c r="V76" i="28"/>
  <c r="V62" i="28" s="1"/>
  <c r="V83" i="28"/>
  <c r="W337" i="27"/>
  <c r="V355" i="27"/>
  <c r="V354" i="27"/>
  <c r="V347" i="27"/>
  <c r="V333" i="27" s="1"/>
  <c r="V353" i="27"/>
  <c r="Y166" i="27"/>
  <c r="Y152" i="27" s="1"/>
  <c r="Y79" i="15" s="1"/>
  <c r="Y172" i="27"/>
  <c r="Y174" i="27"/>
  <c r="Y74" i="15" s="1"/>
  <c r="Z156" i="27"/>
  <c r="Y173" i="27"/>
  <c r="V66" i="27"/>
  <c r="U76" i="27"/>
  <c r="U62" i="27" s="1"/>
  <c r="U58" i="15"/>
  <c r="U83" i="27"/>
  <c r="U84" i="27"/>
  <c r="U82" i="27"/>
  <c r="V71" i="15" l="1"/>
  <c r="V174" i="30"/>
  <c r="W156" i="30"/>
  <c r="W71" i="15" s="1"/>
  <c r="V172" i="30"/>
  <c r="V166" i="30"/>
  <c r="V152" i="30" s="1"/>
  <c r="V173" i="30"/>
  <c r="W66" i="30"/>
  <c r="V84" i="30"/>
  <c r="V82" i="30"/>
  <c r="V83" i="30"/>
  <c r="V76" i="30"/>
  <c r="V62" i="30" s="1"/>
  <c r="X337" i="30"/>
  <c r="W347" i="30"/>
  <c r="W333" i="30" s="1"/>
  <c r="W354" i="30"/>
  <c r="W355" i="30"/>
  <c r="W353" i="30"/>
  <c r="X247" i="30"/>
  <c r="W264" i="30"/>
  <c r="W265" i="30"/>
  <c r="W263" i="30"/>
  <c r="W257" i="30"/>
  <c r="W243" i="30" s="1"/>
  <c r="X66" i="29"/>
  <c r="W82" i="29"/>
  <c r="W76" i="29"/>
  <c r="W62" i="29" s="1"/>
  <c r="W83" i="29"/>
  <c r="W84" i="29"/>
  <c r="X247" i="28"/>
  <c r="X257" i="28" s="1"/>
  <c r="W243" i="28"/>
  <c r="W265" i="28"/>
  <c r="W263" i="28"/>
  <c r="W264" i="28"/>
  <c r="X156" i="28"/>
  <c r="W174" i="28"/>
  <c r="W172" i="28"/>
  <c r="W173" i="28"/>
  <c r="W166" i="28"/>
  <c r="W152" i="28" s="1"/>
  <c r="X66" i="28"/>
  <c r="W84" i="28"/>
  <c r="W82" i="28"/>
  <c r="W83" i="28"/>
  <c r="W76" i="28"/>
  <c r="W62" i="28" s="1"/>
  <c r="X337" i="27"/>
  <c r="W354" i="27"/>
  <c r="W355" i="27"/>
  <c r="W347" i="27"/>
  <c r="W333" i="27" s="1"/>
  <c r="W353" i="27"/>
  <c r="Z174" i="27"/>
  <c r="Z74" i="15" s="1"/>
  <c r="AA156" i="27"/>
  <c r="Z173" i="27"/>
  <c r="Z166" i="27"/>
  <c r="Z152" i="27" s="1"/>
  <c r="Z79" i="15" s="1"/>
  <c r="Z172" i="27"/>
  <c r="V82" i="27"/>
  <c r="V83" i="27"/>
  <c r="V76" i="27"/>
  <c r="V62" i="27" s="1"/>
  <c r="V58" i="15"/>
  <c r="W66" i="27"/>
  <c r="V84" i="27"/>
  <c r="W80" i="15" l="1"/>
  <c r="W172" i="30"/>
  <c r="X156" i="30"/>
  <c r="X71" i="15" s="1"/>
  <c r="W166" i="30"/>
  <c r="W152" i="30" s="1"/>
  <c r="W174" i="30"/>
  <c r="W173" i="30"/>
  <c r="X66" i="30"/>
  <c r="W83" i="30"/>
  <c r="W84" i="30"/>
  <c r="W82" i="30"/>
  <c r="W76" i="30"/>
  <c r="W62" i="30" s="1"/>
  <c r="Y337" i="30"/>
  <c r="X347" i="30"/>
  <c r="X333" i="30" s="1"/>
  <c r="X355" i="30"/>
  <c r="X354" i="30"/>
  <c r="X353" i="30"/>
  <c r="Y247" i="30"/>
  <c r="X265" i="30"/>
  <c r="X264" i="30"/>
  <c r="X257" i="30"/>
  <c r="X243" i="30" s="1"/>
  <c r="X263" i="30"/>
  <c r="Y66" i="29"/>
  <c r="X84" i="29"/>
  <c r="X82" i="29"/>
  <c r="X76" i="29"/>
  <c r="X62" i="29" s="1"/>
  <c r="X83" i="29"/>
  <c r="Y247" i="28"/>
  <c r="Y257" i="28" s="1"/>
  <c r="X263" i="28"/>
  <c r="X265" i="28"/>
  <c r="X243" i="28"/>
  <c r="X264" i="28"/>
  <c r="Y156" i="28"/>
  <c r="X166" i="28"/>
  <c r="X152" i="28" s="1"/>
  <c r="X174" i="28"/>
  <c r="X173" i="28"/>
  <c r="X172" i="28"/>
  <c r="Y66" i="28"/>
  <c r="X84" i="28"/>
  <c r="X76" i="28"/>
  <c r="X62" i="28" s="1"/>
  <c r="X83" i="28"/>
  <c r="X82" i="28"/>
  <c r="X355" i="27"/>
  <c r="X353" i="27"/>
  <c r="X347" i="27"/>
  <c r="X333" i="27" s="1"/>
  <c r="Y337" i="27"/>
  <c r="X354" i="27"/>
  <c r="X66" i="27"/>
  <c r="W76" i="27"/>
  <c r="W62" i="27" s="1"/>
  <c r="W82" i="27"/>
  <c r="W83" i="27"/>
  <c r="W58" i="15"/>
  <c r="W84" i="27"/>
  <c r="AB156" i="27"/>
  <c r="AA173" i="27"/>
  <c r="AA166" i="27"/>
  <c r="AA152" i="27" s="1"/>
  <c r="AA79" i="15" s="1"/>
  <c r="AA172" i="27"/>
  <c r="AA174" i="27"/>
  <c r="AA74" i="15" s="1"/>
  <c r="X166" i="30" l="1"/>
  <c r="X152" i="30" s="1"/>
  <c r="X173" i="30"/>
  <c r="X174" i="30"/>
  <c r="X172" i="30"/>
  <c r="Y156" i="30"/>
  <c r="Y71" i="15" s="1"/>
  <c r="X80" i="15"/>
  <c r="X76" i="30"/>
  <c r="X62" i="30" s="1"/>
  <c r="X84" i="30"/>
  <c r="X82" i="30"/>
  <c r="Y66" i="30"/>
  <c r="X83" i="30"/>
  <c r="Z337" i="30"/>
  <c r="Y355" i="30"/>
  <c r="Y347" i="30"/>
  <c r="Y333" i="30" s="1"/>
  <c r="Y354" i="30"/>
  <c r="Y353" i="30"/>
  <c r="Z247" i="30"/>
  <c r="Y264" i="30"/>
  <c r="Y263" i="30"/>
  <c r="Y257" i="30"/>
  <c r="Y243" i="30" s="1"/>
  <c r="Y265" i="30"/>
  <c r="Z66" i="29"/>
  <c r="Y82" i="29"/>
  <c r="Y76" i="29"/>
  <c r="Y62" i="29" s="1"/>
  <c r="Y83" i="29"/>
  <c r="Y84" i="29"/>
  <c r="Z247" i="28"/>
  <c r="Z257" i="28" s="1"/>
  <c r="Y265" i="28"/>
  <c r="Y263" i="28"/>
  <c r="Y243" i="28"/>
  <c r="Y264" i="28"/>
  <c r="Z156" i="28"/>
  <c r="Y173" i="28"/>
  <c r="Y174" i="28"/>
  <c r="Y172" i="28"/>
  <c r="Y166" i="28"/>
  <c r="Y152" i="28" s="1"/>
  <c r="Z66" i="28"/>
  <c r="Y82" i="28"/>
  <c r="Y83" i="28"/>
  <c r="Y84" i="28"/>
  <c r="Y76" i="28"/>
  <c r="Y62" i="28" s="1"/>
  <c r="Y354" i="27"/>
  <c r="Z337" i="27"/>
  <c r="Y353" i="27"/>
  <c r="Y347" i="27"/>
  <c r="Y333" i="27" s="1"/>
  <c r="Y355" i="27"/>
  <c r="AB172" i="27"/>
  <c r="AC156" i="27"/>
  <c r="AB174" i="27"/>
  <c r="AB74" i="15" s="1"/>
  <c r="AB166" i="27"/>
  <c r="AB152" i="27" s="1"/>
  <c r="AB79" i="15" s="1"/>
  <c r="AB173" i="27"/>
  <c r="Y66" i="27"/>
  <c r="X76" i="27"/>
  <c r="X62" i="27" s="1"/>
  <c r="X83" i="27"/>
  <c r="X82" i="27"/>
  <c r="X58" i="15"/>
  <c r="X84" i="27"/>
  <c r="Y80" i="15" l="1"/>
  <c r="Z156" i="30"/>
  <c r="Z80" i="15" s="1"/>
  <c r="Y173" i="30"/>
  <c r="Y172" i="30"/>
  <c r="Y166" i="30"/>
  <c r="Y152" i="30" s="1"/>
  <c r="Y174" i="30"/>
  <c r="Y84" i="30"/>
  <c r="Z66" i="30"/>
  <c r="Y76" i="30"/>
  <c r="Y62" i="30" s="1"/>
  <c r="Y82" i="30"/>
  <c r="Y83" i="30"/>
  <c r="AA337" i="30"/>
  <c r="Z355" i="30"/>
  <c r="Z354" i="30"/>
  <c r="Z347" i="30"/>
  <c r="Z333" i="30" s="1"/>
  <c r="Z353" i="30"/>
  <c r="AA247" i="30"/>
  <c r="Z257" i="30"/>
  <c r="Z243" i="30" s="1"/>
  <c r="Z265" i="30"/>
  <c r="Z264" i="30"/>
  <c r="Z263" i="30"/>
  <c r="AA66" i="29"/>
  <c r="Z84" i="29"/>
  <c r="Z83" i="29"/>
  <c r="Z76" i="29"/>
  <c r="Z62" i="29" s="1"/>
  <c r="Z82" i="29"/>
  <c r="AA247" i="28"/>
  <c r="AA257" i="28" s="1"/>
  <c r="Z243" i="28"/>
  <c r="Z265" i="28"/>
  <c r="Z263" i="28"/>
  <c r="Z264" i="28"/>
  <c r="AA156" i="28"/>
  <c r="Z172" i="28"/>
  <c r="Z174" i="28"/>
  <c r="Z173" i="28"/>
  <c r="Z166" i="28"/>
  <c r="Z152" i="28" s="1"/>
  <c r="AA66" i="28"/>
  <c r="Z76" i="28"/>
  <c r="Z62" i="28" s="1"/>
  <c r="Z82" i="28"/>
  <c r="Z84" i="28"/>
  <c r="Z83" i="28"/>
  <c r="Z354" i="27"/>
  <c r="Z353" i="27"/>
  <c r="Z347" i="27"/>
  <c r="Z333" i="27" s="1"/>
  <c r="AA337" i="27"/>
  <c r="Z355" i="27"/>
  <c r="Z66" i="27"/>
  <c r="Y84" i="27"/>
  <c r="Y83" i="27"/>
  <c r="Y82" i="27"/>
  <c r="Y76" i="27"/>
  <c r="Y62" i="27" s="1"/>
  <c r="Y58" i="15"/>
  <c r="AC166" i="27"/>
  <c r="AC152" i="27" s="1"/>
  <c r="AC79" i="15" s="1"/>
  <c r="AC173" i="27"/>
  <c r="AC172" i="27"/>
  <c r="AD156" i="27"/>
  <c r="AC174" i="27"/>
  <c r="AC74" i="15" s="1"/>
  <c r="Z71" i="15" l="1"/>
  <c r="Z172" i="30"/>
  <c r="Z174" i="30"/>
  <c r="AA156" i="30"/>
  <c r="AA80" i="15" s="1"/>
  <c r="Z166" i="30"/>
  <c r="Z152" i="30" s="1"/>
  <c r="Z173" i="30"/>
  <c r="Z76" i="30"/>
  <c r="Z62" i="30" s="1"/>
  <c r="Z83" i="30"/>
  <c r="AA66" i="30"/>
  <c r="Z84" i="30"/>
  <c r="Z82" i="30"/>
  <c r="AB337" i="30"/>
  <c r="AA347" i="30"/>
  <c r="AA333" i="30" s="1"/>
  <c r="AA355" i="30"/>
  <c r="AA354" i="30"/>
  <c r="AA353" i="30"/>
  <c r="AB247" i="30"/>
  <c r="AA264" i="30"/>
  <c r="AA265" i="30"/>
  <c r="AA263" i="30"/>
  <c r="AA257" i="30"/>
  <c r="AA243" i="30" s="1"/>
  <c r="AB66" i="29"/>
  <c r="AA84" i="29"/>
  <c r="AA82" i="29"/>
  <c r="AA83" i="29"/>
  <c r="AA76" i="29"/>
  <c r="AA62" i="29" s="1"/>
  <c r="AA243" i="28"/>
  <c r="AB247" i="28"/>
  <c r="AB257" i="28" s="1"/>
  <c r="AA263" i="28"/>
  <c r="AA265" i="28"/>
  <c r="AA264" i="28"/>
  <c r="AB156" i="28"/>
  <c r="AA172" i="28"/>
  <c r="AA166" i="28"/>
  <c r="AA152" i="28" s="1"/>
  <c r="AA174" i="28"/>
  <c r="AA173" i="28"/>
  <c r="AB66" i="28"/>
  <c r="AA84" i="28"/>
  <c r="AA82" i="28"/>
  <c r="AA76" i="28"/>
  <c r="AA62" i="28" s="1"/>
  <c r="AA83" i="28"/>
  <c r="AA347" i="27"/>
  <c r="AA333" i="27" s="1"/>
  <c r="AA355" i="27"/>
  <c r="AA353" i="27"/>
  <c r="AA354" i="27"/>
  <c r="AB337" i="27"/>
  <c r="AA66" i="27"/>
  <c r="Z76" i="27"/>
  <c r="Z62" i="27" s="1"/>
  <c r="Z82" i="27"/>
  <c r="Z84" i="27"/>
  <c r="Z83" i="27"/>
  <c r="Z58" i="15"/>
  <c r="AD172" i="27"/>
  <c r="AE156" i="27"/>
  <c r="AD166" i="27"/>
  <c r="AD152" i="27" s="1"/>
  <c r="AD79" i="15" s="1"/>
  <c r="AD173" i="27"/>
  <c r="AD174" i="27"/>
  <c r="AD74" i="15" s="1"/>
  <c r="AA71" i="15" l="1"/>
  <c r="AA173" i="30"/>
  <c r="AB156" i="30"/>
  <c r="AB71" i="15" s="1"/>
  <c r="AA172" i="30"/>
  <c r="AA166" i="30"/>
  <c r="AA152" i="30" s="1"/>
  <c r="AA174" i="30"/>
  <c r="AB66" i="30"/>
  <c r="AA76" i="30"/>
  <c r="AA62" i="30" s="1"/>
  <c r="AA84" i="30"/>
  <c r="AA83" i="30"/>
  <c r="AA82" i="30"/>
  <c r="AC337" i="30"/>
  <c r="AB354" i="30"/>
  <c r="AB353" i="30"/>
  <c r="AB347" i="30"/>
  <c r="AB333" i="30" s="1"/>
  <c r="AB355" i="30"/>
  <c r="AC247" i="30"/>
  <c r="AB263" i="30"/>
  <c r="AB265" i="30"/>
  <c r="AB257" i="30"/>
  <c r="AB243" i="30" s="1"/>
  <c r="AB264" i="30"/>
  <c r="AC66" i="29"/>
  <c r="AB83" i="29"/>
  <c r="AB84" i="29"/>
  <c r="AB82" i="29"/>
  <c r="AB76" i="29"/>
  <c r="AB62" i="29" s="1"/>
  <c r="AC247" i="28"/>
  <c r="AC257" i="28" s="1"/>
  <c r="AB263" i="28"/>
  <c r="AB243" i="28"/>
  <c r="AB265" i="28"/>
  <c r="AB264" i="28"/>
  <c r="AC156" i="28"/>
  <c r="AB173" i="28"/>
  <c r="AB166" i="28"/>
  <c r="AB152" i="28" s="1"/>
  <c r="AB172" i="28"/>
  <c r="AB174" i="28"/>
  <c r="AC66" i="28"/>
  <c r="AB83" i="28"/>
  <c r="AB82" i="28"/>
  <c r="AB76" i="28"/>
  <c r="AB62" i="28" s="1"/>
  <c r="AB84" i="28"/>
  <c r="AB347" i="27"/>
  <c r="AB333" i="27" s="1"/>
  <c r="AB355" i="27"/>
  <c r="AB353" i="27"/>
  <c r="AC337" i="27"/>
  <c r="AB354" i="27"/>
  <c r="AE173" i="27"/>
  <c r="AF156" i="27"/>
  <c r="AE166" i="27"/>
  <c r="AE152" i="27" s="1"/>
  <c r="AE79" i="15" s="1"/>
  <c r="AE172" i="27"/>
  <c r="AE174" i="27"/>
  <c r="AE74" i="15" s="1"/>
  <c r="AB66" i="27"/>
  <c r="AA76" i="27"/>
  <c r="AA62" i="27" s="1"/>
  <c r="AA58" i="15"/>
  <c r="AA84" i="27"/>
  <c r="AA83" i="27"/>
  <c r="AA82" i="27"/>
  <c r="AB80" i="15" l="1"/>
  <c r="AB173" i="30"/>
  <c r="AB174" i="30"/>
  <c r="AC156" i="30"/>
  <c r="AC80" i="15" s="1"/>
  <c r="AB172" i="30"/>
  <c r="AB166" i="30"/>
  <c r="AB152" i="30" s="1"/>
  <c r="AC66" i="30"/>
  <c r="AB83" i="30"/>
  <c r="AB76" i="30"/>
  <c r="AB62" i="30" s="1"/>
  <c r="AB82" i="30"/>
  <c r="AB84" i="30"/>
  <c r="AD337" i="30"/>
  <c r="AC355" i="30"/>
  <c r="AC353" i="30"/>
  <c r="AC354" i="30"/>
  <c r="AC347" i="30"/>
  <c r="AC333" i="30" s="1"/>
  <c r="AD247" i="30"/>
  <c r="AC257" i="30"/>
  <c r="AC243" i="30" s="1"/>
  <c r="AC265" i="30"/>
  <c r="AC263" i="30"/>
  <c r="AC264" i="30"/>
  <c r="AD66" i="29"/>
  <c r="AC82" i="29"/>
  <c r="AC76" i="29"/>
  <c r="AC62" i="29" s="1"/>
  <c r="AC84" i="29"/>
  <c r="AC83" i="29"/>
  <c r="AD247" i="28"/>
  <c r="AD257" i="28" s="1"/>
  <c r="AC243" i="28"/>
  <c r="AC265" i="28"/>
  <c r="AC263" i="28"/>
  <c r="AC264" i="28"/>
  <c r="AD156" i="28"/>
  <c r="AC166" i="28"/>
  <c r="AC152" i="28" s="1"/>
  <c r="AC174" i="28"/>
  <c r="AC173" i="28"/>
  <c r="AC172" i="28"/>
  <c r="AD66" i="28"/>
  <c r="AC83" i="28"/>
  <c r="AC82" i="28"/>
  <c r="AC76" i="28"/>
  <c r="AC62" i="28" s="1"/>
  <c r="AC84" i="28"/>
  <c r="AD337" i="27"/>
  <c r="AC353" i="27"/>
  <c r="AC347" i="27"/>
  <c r="AC333" i="27" s="1"/>
  <c r="AC354" i="27"/>
  <c r="AC355" i="27"/>
  <c r="AC66" i="27"/>
  <c r="AB82" i="27"/>
  <c r="AB76" i="27"/>
  <c r="AB62" i="27" s="1"/>
  <c r="AB84" i="27"/>
  <c r="AB83" i="27"/>
  <c r="AB58" i="15"/>
  <c r="AF166" i="27"/>
  <c r="AF152" i="27" s="1"/>
  <c r="AF79" i="15" s="1"/>
  <c r="AG156" i="27"/>
  <c r="AF173" i="27"/>
  <c r="AF174" i="27"/>
  <c r="AF74" i="15" s="1"/>
  <c r="AF172" i="27"/>
  <c r="AC71" i="15" l="1"/>
  <c r="AC166" i="30"/>
  <c r="AC152" i="30" s="1"/>
  <c r="AC172" i="30"/>
  <c r="AD156" i="30"/>
  <c r="AD80" i="15" s="1"/>
  <c r="AC173" i="30"/>
  <c r="AC174" i="30"/>
  <c r="AC83" i="30"/>
  <c r="AC82" i="30"/>
  <c r="AC84" i="30"/>
  <c r="AC76" i="30"/>
  <c r="AC62" i="30" s="1"/>
  <c r="AD66" i="30"/>
  <c r="AE337" i="30"/>
  <c r="AD347" i="30"/>
  <c r="AD333" i="30" s="1"/>
  <c r="AD355" i="30"/>
  <c r="AD354" i="30"/>
  <c r="AD353" i="30"/>
  <c r="AE247" i="30"/>
  <c r="AD257" i="30"/>
  <c r="AD243" i="30" s="1"/>
  <c r="AD263" i="30"/>
  <c r="AD265" i="30"/>
  <c r="AD264" i="30"/>
  <c r="AE66" i="29"/>
  <c r="AD82" i="29"/>
  <c r="AD76" i="29"/>
  <c r="AD62" i="29" s="1"/>
  <c r="AD83" i="29"/>
  <c r="AD84" i="29"/>
  <c r="AE247" i="28"/>
  <c r="AE257" i="28" s="1"/>
  <c r="AD243" i="28"/>
  <c r="AD265" i="28"/>
  <c r="AD263" i="28"/>
  <c r="AD264" i="28"/>
  <c r="AE156" i="28"/>
  <c r="AD174" i="28"/>
  <c r="AD173" i="28"/>
  <c r="AD172" i="28"/>
  <c r="AD166" i="28"/>
  <c r="AD152" i="28" s="1"/>
  <c r="AE66" i="28"/>
  <c r="AD76" i="28"/>
  <c r="AD62" i="28" s="1"/>
  <c r="AD82" i="28"/>
  <c r="AD84" i="28"/>
  <c r="AD83" i="28"/>
  <c r="AD354" i="27"/>
  <c r="AE337" i="27"/>
  <c r="AD353" i="27"/>
  <c r="AD355" i="27"/>
  <c r="AD347" i="27"/>
  <c r="AD333" i="27" s="1"/>
  <c r="AD66" i="27"/>
  <c r="AC83" i="27"/>
  <c r="AC84" i="27"/>
  <c r="AC82" i="27"/>
  <c r="AC76" i="27"/>
  <c r="AC62" i="27" s="1"/>
  <c r="AC58" i="15"/>
  <c r="AH156" i="27"/>
  <c r="AG166" i="27"/>
  <c r="AG152" i="27" s="1"/>
  <c r="AG79" i="15" s="1"/>
  <c r="AG174" i="27"/>
  <c r="AG74" i="15" s="1"/>
  <c r="AG173" i="27"/>
  <c r="AG172" i="27"/>
  <c r="AD172" i="30" l="1"/>
  <c r="AD174" i="30"/>
  <c r="AE156" i="30"/>
  <c r="AE80" i="15" s="1"/>
  <c r="AD166" i="30"/>
  <c r="AD152" i="30" s="1"/>
  <c r="AD173" i="30"/>
  <c r="AD71" i="15"/>
  <c r="AD82" i="30"/>
  <c r="AD84" i="30"/>
  <c r="AD83" i="30"/>
  <c r="AD76" i="30"/>
  <c r="AD62" i="30" s="1"/>
  <c r="AE66" i="30"/>
  <c r="AF337" i="30"/>
  <c r="AE355" i="30"/>
  <c r="AE353" i="30"/>
  <c r="AE354" i="30"/>
  <c r="AE347" i="30"/>
  <c r="AE333" i="30" s="1"/>
  <c r="AF247" i="30"/>
  <c r="AE263" i="30"/>
  <c r="AE257" i="30"/>
  <c r="AE243" i="30" s="1"/>
  <c r="AE264" i="30"/>
  <c r="AE265" i="30"/>
  <c r="AF66" i="29"/>
  <c r="AE82" i="29"/>
  <c r="AE76" i="29"/>
  <c r="AE62" i="29" s="1"/>
  <c r="AE83" i="29"/>
  <c r="AE84" i="29"/>
  <c r="AF247" i="28"/>
  <c r="AF257" i="28" s="1"/>
  <c r="AE243" i="28"/>
  <c r="AE264" i="28"/>
  <c r="AE265" i="28"/>
  <c r="AE263" i="28"/>
  <c r="AF156" i="28"/>
  <c r="AE172" i="28"/>
  <c r="AE166" i="28"/>
  <c r="AE152" i="28" s="1"/>
  <c r="AE174" i="28"/>
  <c r="AE173" i="28"/>
  <c r="AF66" i="28"/>
  <c r="AE83" i="28"/>
  <c r="AE82" i="28"/>
  <c r="AE76" i="28"/>
  <c r="AE62" i="28" s="1"/>
  <c r="AE84" i="28"/>
  <c r="AE354" i="27"/>
  <c r="AE355" i="27"/>
  <c r="AE353" i="27"/>
  <c r="AF337" i="27"/>
  <c r="AE347" i="27"/>
  <c r="AE333" i="27" s="1"/>
  <c r="AH166" i="27"/>
  <c r="AH152" i="27" s="1"/>
  <c r="AH79" i="15" s="1"/>
  <c r="AI156" i="27"/>
  <c r="AH172" i="27"/>
  <c r="AH174" i="27"/>
  <c r="AH74" i="15" s="1"/>
  <c r="AH173" i="27"/>
  <c r="AE66" i="27"/>
  <c r="AD83" i="27"/>
  <c r="AD82" i="27"/>
  <c r="AD84" i="27"/>
  <c r="AD76" i="27"/>
  <c r="AD62" i="27" s="1"/>
  <c r="AD58" i="15"/>
  <c r="AE71" i="15" l="1"/>
  <c r="AE172" i="30"/>
  <c r="AE174" i="30"/>
  <c r="AF156" i="30"/>
  <c r="AF71" i="15" s="1"/>
  <c r="AE166" i="30"/>
  <c r="AE152" i="30" s="1"/>
  <c r="AE173" i="30"/>
  <c r="AE82" i="30"/>
  <c r="AE84" i="30"/>
  <c r="AF66" i="30"/>
  <c r="AE83" i="30"/>
  <c r="AE76" i="30"/>
  <c r="AE62" i="30" s="1"/>
  <c r="AG337" i="30"/>
  <c r="AF354" i="30"/>
  <c r="AF347" i="30"/>
  <c r="AF333" i="30" s="1"/>
  <c r="AF353" i="30"/>
  <c r="AF355" i="30"/>
  <c r="AG247" i="30"/>
  <c r="AF263" i="30"/>
  <c r="AF265" i="30"/>
  <c r="AF264" i="30"/>
  <c r="AF257" i="30"/>
  <c r="AF243" i="30" s="1"/>
  <c r="AG66" i="29"/>
  <c r="AF82" i="29"/>
  <c r="AF83" i="29"/>
  <c r="AF84" i="29"/>
  <c r="AF76" i="29"/>
  <c r="AF62" i="29" s="1"/>
  <c r="AG247" i="28"/>
  <c r="AG257" i="28" s="1"/>
  <c r="AF263" i="28"/>
  <c r="AF265" i="28"/>
  <c r="AF264" i="28"/>
  <c r="AF243" i="28"/>
  <c r="AG156" i="28"/>
  <c r="AF172" i="28"/>
  <c r="AF166" i="28"/>
  <c r="AF152" i="28" s="1"/>
  <c r="AF174" i="28"/>
  <c r="AF173" i="28"/>
  <c r="AG66" i="28"/>
  <c r="AF82" i="28"/>
  <c r="AF76" i="28"/>
  <c r="AF62" i="28" s="1"/>
  <c r="AF84" i="28"/>
  <c r="AF83" i="28"/>
  <c r="AG337" i="27"/>
  <c r="AF353" i="27"/>
  <c r="AF347" i="27"/>
  <c r="AF333" i="27" s="1"/>
  <c r="AF354" i="27"/>
  <c r="AF355" i="27"/>
  <c r="AJ156" i="27"/>
  <c r="AI166" i="27"/>
  <c r="AI152" i="27" s="1"/>
  <c r="AI79" i="15" s="1"/>
  <c r="AI174" i="27"/>
  <c r="AI74" i="15" s="1"/>
  <c r="AI173" i="27"/>
  <c r="AI172" i="27"/>
  <c r="AF66" i="27"/>
  <c r="AE76" i="27"/>
  <c r="AE62" i="27" s="1"/>
  <c r="AE82" i="27"/>
  <c r="AE83" i="27"/>
  <c r="AE58" i="15"/>
  <c r="AE84" i="27"/>
  <c r="AF172" i="30" l="1"/>
  <c r="AG156" i="30"/>
  <c r="AG80" i="15" s="1"/>
  <c r="AF166" i="30"/>
  <c r="AF152" i="30" s="1"/>
  <c r="AF174" i="30"/>
  <c r="AF173" i="30"/>
  <c r="AF80" i="15"/>
  <c r="AF76" i="30"/>
  <c r="AF62" i="30" s="1"/>
  <c r="AF82" i="30"/>
  <c r="AF83" i="30"/>
  <c r="AF84" i="30"/>
  <c r="AG66" i="30"/>
  <c r="AH337" i="30"/>
  <c r="AG354" i="30"/>
  <c r="AG353" i="30"/>
  <c r="AG355" i="30"/>
  <c r="AG347" i="30"/>
  <c r="AG333" i="30" s="1"/>
  <c r="AH247" i="30"/>
  <c r="AG265" i="30"/>
  <c r="AG264" i="30"/>
  <c r="AG263" i="30"/>
  <c r="AG257" i="30"/>
  <c r="AG243" i="30" s="1"/>
  <c r="AH66" i="29"/>
  <c r="AG76" i="29"/>
  <c r="AG62" i="29" s="1"/>
  <c r="AG82" i="29"/>
  <c r="AG83" i="29"/>
  <c r="AG84" i="29"/>
  <c r="AH247" i="28"/>
  <c r="AH257" i="28" s="1"/>
  <c r="AG265" i="28"/>
  <c r="AG243" i="28"/>
  <c r="AG263" i="28"/>
  <c r="AG264" i="28"/>
  <c r="AH156" i="28"/>
  <c r="AG174" i="28"/>
  <c r="AG172" i="28"/>
  <c r="AG166" i="28"/>
  <c r="AG152" i="28" s="1"/>
  <c r="AG173" i="28"/>
  <c r="AH66" i="28"/>
  <c r="AG82" i="28"/>
  <c r="AG83" i="28"/>
  <c r="AG84" i="28"/>
  <c r="AG76" i="28"/>
  <c r="AG62" i="28" s="1"/>
  <c r="AG354" i="27"/>
  <c r="AH337" i="27"/>
  <c r="AG353" i="27"/>
  <c r="AG347" i="27"/>
  <c r="AG333" i="27" s="1"/>
  <c r="AG355" i="27"/>
  <c r="AG66" i="27"/>
  <c r="AF84" i="27"/>
  <c r="AF83" i="27"/>
  <c r="AF82" i="27"/>
  <c r="AF76" i="27"/>
  <c r="AF62" i="27" s="1"/>
  <c r="AF58" i="15"/>
  <c r="AJ166" i="27"/>
  <c r="AJ152" i="27" s="1"/>
  <c r="AJ79" i="15" s="1"/>
  <c r="AK156" i="27"/>
  <c r="AJ173" i="27"/>
  <c r="AJ172" i="27"/>
  <c r="AJ174" i="27"/>
  <c r="AJ74" i="15" s="1"/>
  <c r="AG71" i="15" l="1"/>
  <c r="AH156" i="30"/>
  <c r="AH71" i="15" s="1"/>
  <c r="AG172" i="30"/>
  <c r="AG173" i="30"/>
  <c r="AG166" i="30"/>
  <c r="AG152" i="30" s="1"/>
  <c r="AG174" i="30"/>
  <c r="AG82" i="30"/>
  <c r="AH66" i="30"/>
  <c r="AG84" i="30"/>
  <c r="AG83" i="30"/>
  <c r="AG76" i="30"/>
  <c r="AG62" i="30" s="1"/>
  <c r="AI337" i="30"/>
  <c r="AH355" i="30"/>
  <c r="AH354" i="30"/>
  <c r="AH347" i="30"/>
  <c r="AH333" i="30" s="1"/>
  <c r="AH353" i="30"/>
  <c r="AI247" i="30"/>
  <c r="AH257" i="30"/>
  <c r="AH243" i="30" s="1"/>
  <c r="AH265" i="30"/>
  <c r="AH264" i="30"/>
  <c r="AH263" i="30"/>
  <c r="AI66" i="29"/>
  <c r="AH84" i="29"/>
  <c r="AH82" i="29"/>
  <c r="AH76" i="29"/>
  <c r="AH62" i="29" s="1"/>
  <c r="AH83" i="29"/>
  <c r="AI247" i="28"/>
  <c r="AI257" i="28" s="1"/>
  <c r="AH264" i="28"/>
  <c r="AH263" i="28"/>
  <c r="AH265" i="28"/>
  <c r="AH243" i="28"/>
  <c r="AI156" i="28"/>
  <c r="AH173" i="28"/>
  <c r="AH166" i="28"/>
  <c r="AH152" i="28" s="1"/>
  <c r="AH172" i="28"/>
  <c r="AH174" i="28"/>
  <c r="AI66" i="28"/>
  <c r="AH83" i="28"/>
  <c r="AH84" i="28"/>
  <c r="AH76" i="28"/>
  <c r="AH62" i="28" s="1"/>
  <c r="AH82" i="28"/>
  <c r="AH355" i="27"/>
  <c r="AI337" i="27"/>
  <c r="AH354" i="27"/>
  <c r="AH347" i="27"/>
  <c r="AH333" i="27" s="1"/>
  <c r="AH353" i="27"/>
  <c r="AK166" i="27"/>
  <c r="AK152" i="27" s="1"/>
  <c r="AK79" i="15" s="1"/>
  <c r="AK174" i="27"/>
  <c r="AK74" i="15" s="1"/>
  <c r="AK173" i="27"/>
  <c r="AK172" i="27"/>
  <c r="AH66" i="27"/>
  <c r="AG82" i="27"/>
  <c r="AG83" i="27"/>
  <c r="AG84" i="27"/>
  <c r="AG58" i="15"/>
  <c r="AG76" i="27"/>
  <c r="AG62" i="27" s="1"/>
  <c r="AH80" i="15" l="1"/>
  <c r="AH174" i="30"/>
  <c r="AH166" i="30"/>
  <c r="AH152" i="30" s="1"/>
  <c r="AH172" i="30"/>
  <c r="AH173" i="30"/>
  <c r="AI156" i="30"/>
  <c r="AH76" i="30"/>
  <c r="AH62" i="30" s="1"/>
  <c r="AH84" i="30"/>
  <c r="AI66" i="30"/>
  <c r="AH82" i="30"/>
  <c r="AH83" i="30"/>
  <c r="AJ337" i="30"/>
  <c r="AI347" i="30"/>
  <c r="AI333" i="30" s="1"/>
  <c r="AI355" i="30"/>
  <c r="AI354" i="30"/>
  <c r="AI353" i="30"/>
  <c r="AJ247" i="30"/>
  <c r="AI264" i="30"/>
  <c r="AI263" i="30"/>
  <c r="AI257" i="30"/>
  <c r="AI243" i="30" s="1"/>
  <c r="AI265" i="30"/>
  <c r="AJ66" i="29"/>
  <c r="AI82" i="29"/>
  <c r="AI84" i="29"/>
  <c r="AI76" i="29"/>
  <c r="AI62" i="29" s="1"/>
  <c r="AI83" i="29"/>
  <c r="AJ247" i="28"/>
  <c r="AJ257" i="28" s="1"/>
  <c r="AI265" i="28"/>
  <c r="AI243" i="28"/>
  <c r="AI264" i="28"/>
  <c r="AI263" i="28"/>
  <c r="AJ156" i="28"/>
  <c r="AI166" i="28"/>
  <c r="AI152" i="28" s="1"/>
  <c r="AI174" i="28"/>
  <c r="AI173" i="28"/>
  <c r="AI172" i="28"/>
  <c r="AJ66" i="28"/>
  <c r="AI76" i="28"/>
  <c r="AI62" i="28" s="1"/>
  <c r="AI82" i="28"/>
  <c r="AI83" i="28"/>
  <c r="AI84" i="28"/>
  <c r="AJ337" i="27"/>
  <c r="AI347" i="27"/>
  <c r="AI333" i="27" s="1"/>
  <c r="AI353" i="27"/>
  <c r="AI355" i="27"/>
  <c r="AI354" i="27"/>
  <c r="AI66" i="27"/>
  <c r="AH84" i="27"/>
  <c r="AH76" i="27"/>
  <c r="AH62" i="27" s="1"/>
  <c r="AH58" i="15"/>
  <c r="AH83" i="27"/>
  <c r="AH82" i="27"/>
  <c r="AI173" i="30" l="1"/>
  <c r="AJ156" i="30"/>
  <c r="AJ71" i="15" s="1"/>
  <c r="AI174" i="30"/>
  <c r="AI172" i="30"/>
  <c r="AI166" i="30"/>
  <c r="AI152" i="30" s="1"/>
  <c r="AI71" i="15"/>
  <c r="AI80" i="15"/>
  <c r="AI83" i="30"/>
  <c r="AI82" i="30"/>
  <c r="AI84" i="30"/>
  <c r="AI76" i="30"/>
  <c r="AI62" i="30" s="1"/>
  <c r="AJ66" i="30"/>
  <c r="AK337" i="30"/>
  <c r="AJ347" i="30"/>
  <c r="AJ333" i="30" s="1"/>
  <c r="AJ354" i="30"/>
  <c r="AJ353" i="30"/>
  <c r="AJ355" i="30"/>
  <c r="AK247" i="30"/>
  <c r="AJ257" i="30"/>
  <c r="AJ243" i="30" s="1"/>
  <c r="AJ264" i="30"/>
  <c r="AJ263" i="30"/>
  <c r="AJ265" i="30"/>
  <c r="AK66" i="29"/>
  <c r="AJ76" i="29"/>
  <c r="AJ62" i="29" s="1"/>
  <c r="AJ82" i="29"/>
  <c r="AJ84" i="29"/>
  <c r="AJ83" i="29"/>
  <c r="AK247" i="28"/>
  <c r="AK257" i="28" s="1"/>
  <c r="AJ243" i="28"/>
  <c r="AJ263" i="28"/>
  <c r="AJ265" i="28"/>
  <c r="AJ264" i="28"/>
  <c r="AK156" i="28"/>
  <c r="AJ166" i="28"/>
  <c r="AJ152" i="28" s="1"/>
  <c r="AJ174" i="28"/>
  <c r="AJ173" i="28"/>
  <c r="AJ172" i="28"/>
  <c r="AK66" i="28"/>
  <c r="AJ82" i="28"/>
  <c r="AJ84" i="28"/>
  <c r="AJ76" i="28"/>
  <c r="AJ62" i="28" s="1"/>
  <c r="AJ83" i="28"/>
  <c r="AJ354" i="27"/>
  <c r="AJ353" i="27"/>
  <c r="AK337" i="27"/>
  <c r="AJ355" i="27"/>
  <c r="AJ347" i="27"/>
  <c r="AJ333" i="27" s="1"/>
  <c r="AJ66" i="27"/>
  <c r="AI82" i="27"/>
  <c r="AI83" i="27"/>
  <c r="AI76" i="27"/>
  <c r="AI62" i="27" s="1"/>
  <c r="AI58" i="15"/>
  <c r="AI84" i="27"/>
  <c r="AJ80" i="15" l="1"/>
  <c r="AK156" i="30"/>
  <c r="AK80" i="15" s="1"/>
  <c r="AJ174" i="30"/>
  <c r="AJ166" i="30"/>
  <c r="AJ152" i="30" s="1"/>
  <c r="AJ172" i="30"/>
  <c r="AJ173" i="30"/>
  <c r="AJ83" i="30"/>
  <c r="AJ76" i="30"/>
  <c r="AJ62" i="30" s="1"/>
  <c r="AK66" i="30"/>
  <c r="AJ82" i="30"/>
  <c r="AJ84" i="30"/>
  <c r="AK353" i="30"/>
  <c r="AK354" i="30"/>
  <c r="AK347" i="30"/>
  <c r="AK333" i="30" s="1"/>
  <c r="AK355" i="30"/>
  <c r="AK257" i="30"/>
  <c r="AK243" i="30" s="1"/>
  <c r="AK265" i="30"/>
  <c r="AK263" i="30"/>
  <c r="AK264" i="30"/>
  <c r="AK84" i="29"/>
  <c r="AK76" i="29"/>
  <c r="AK62" i="29" s="1"/>
  <c r="AK82" i="29"/>
  <c r="AK83" i="29"/>
  <c r="AK243" i="28"/>
  <c r="AK264" i="28"/>
  <c r="AK265" i="28"/>
  <c r="AK263" i="28"/>
  <c r="AK174" i="28"/>
  <c r="AK173" i="28"/>
  <c r="AK166" i="28"/>
  <c r="AK152" i="28" s="1"/>
  <c r="AK172" i="28"/>
  <c r="AK82" i="28"/>
  <c r="AK84" i="28"/>
  <c r="AK83" i="28"/>
  <c r="AK76" i="28"/>
  <c r="AK62" i="28" s="1"/>
  <c r="AK347" i="27"/>
  <c r="AK333" i="27" s="1"/>
  <c r="AK353" i="27"/>
  <c r="AK355" i="27"/>
  <c r="AK354" i="27"/>
  <c r="AK66" i="27"/>
  <c r="AJ58" i="15"/>
  <c r="AJ83" i="27"/>
  <c r="AJ84" i="27"/>
  <c r="AJ82" i="27"/>
  <c r="AJ76" i="27"/>
  <c r="AJ62" i="27" s="1"/>
  <c r="AK71" i="15" l="1"/>
  <c r="AK172" i="30"/>
  <c r="AK166" i="30"/>
  <c r="AK152" i="30" s="1"/>
  <c r="AK173" i="30"/>
  <c r="AK174" i="30"/>
  <c r="AK82" i="30"/>
  <c r="AK76" i="30"/>
  <c r="AK62" i="30" s="1"/>
  <c r="AK83" i="30"/>
  <c r="AK84" i="30"/>
  <c r="AK82" i="27"/>
  <c r="AK58" i="15"/>
  <c r="AK76" i="27"/>
  <c r="AK62" i="27" s="1"/>
  <c r="AK83" i="27"/>
  <c r="AK84" i="27"/>
  <c r="AH112" i="17"/>
  <c r="AH114" i="17"/>
  <c r="AH113" i="17"/>
  <c r="AH111" i="1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tc={5247B3C2-1E78-499E-9974-FFEFF0A5FA16}</author>
    <author>tc={5A4D96EC-81EE-4ED1-858A-7C0E0F15FAB1}</author>
    <author>tc={0607883B-3793-4A10-BE15-782FF735D0C3}</author>
  </authors>
  <commentList>
    <comment ref="E6" authorId="0" shapeId="0" xr:uid="{5247B3C2-1E78-499E-9974-FFEFF0A5FA16}">
      <text>
        <t>[Threaded comment]
Your version of Excel allows you to read this threaded comment; however, any edits to it will get removed if the file is opened in a newer version of Excel. Learn more: https://go.microsoft.com/fwlink/?linkid=870924
Comment:
    Do not delete default inserted input lines.  These are required to generate the autosum of all additional rows added.  Additional rows which the user enters can be deleted.
If additional lines are required please insert into middle of group to ensure automatic calculations pick up all data. Please ensure that you check the yellow shaded calculated cells to ensure they take account of added rows and correctly sum the totals. You can add notes in column L to provide additional explanation if desired.
DO NOT DELETE DEFAULT INPUT ROWS - If unrequired leave blank.
For individual licences - Please list only individual licences (i.e. not used in conjunctive use systems).
For Drought Only Licences -  Please only list licences where DO would confidently be impacted. Ensure licences are not double counted, licences should either be in Unused licences or Drought Only licences and not in both.</t>
      </text>
    </comment>
    <comment ref="K65" authorId="1" shapeId="0" xr:uid="{5A4D96EC-81EE-4ED1-858A-7C0E0F15FAB1}">
      <text>
        <t xml:space="preserve">[Threaded comment]
Your version of Excel allows you to read this threaded comment; however, any edits to it will get removed if the file is opened in a newer version of Excel. Learn more: https://go.microsoft.com/fwlink/?linkid=870924
Comment:
    Please state if a licence has been applied for, approved, granted, awaiting mobilisation, or other specified status.
</t>
      </text>
    </comment>
    <comment ref="E97" authorId="2" shapeId="0" xr:uid="{0607883B-3793-4A10-BE15-782FF735D0C3}">
      <text>
        <t xml:space="preserve">[Threaded comment]
Your version of Excel allows you to read this threaded comment; however, any edits to it will get removed if the file is opened in a newer version of Excel. Learn more: https://go.microsoft.com/fwlink/?linkid=870924
Comment:
    Current dates are not before February 2028 and must end at the latest 31st December 3031.
</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tc={D8EA7ACE-29D9-4A78-A0DF-1BB352EE417F}</author>
    <author>tc={55F6708E-222B-4E22-9C18-070929C16042}</author>
    <author>tc={DEF7734E-378D-4BA6-859F-1C1592F1707D}</author>
    <author>tc={81D8DD51-33E3-4BBC-80D2-552A9DF916F0}</author>
  </authors>
  <commentList>
    <comment ref="D29" authorId="0" shapeId="0" xr:uid="{D8EA7ACE-29D9-4A78-A0DF-1BB352EE417F}">
      <text>
        <t>[Threaded comment]
Your version of Excel allows you to read this threaded comment; however, any edits to it will get removed if the file is opened in a newer version of Excel. Learn more: https://go.microsoft.com/fwlink/?linkid=870924
Comment:
    Walpole WTW (Blyth) to Halesworth area (NCZ) - TREATED WATER = 1.35 Mld  Confirmed no NAVs in Blyth now.</t>
      </text>
    </comment>
    <comment ref="P97" authorId="1" shapeId="0" xr:uid="{55F6708E-222B-4E22-9C18-070929C16042}">
      <text>
        <t>[Threaded comment]
Your version of Excel allows you to read this threaded comment; however, any edits to it will get removed if the file is opened in a newer version of Excel. Learn more: https://go.microsoft.com/fwlink/?linkid=870924
Comment:
    Barsham_WTW_Saxmundham_Tower_A15 Potable Water Transfer</t>
      </text>
    </comment>
    <comment ref="N99" authorId="2" shapeId="0" xr:uid="{DEF7734E-378D-4BA6-859F-1C1592F1707D}">
      <text>
        <t>[Threaded comment]
Your version of Excel allows you to read this threaded comment; however, any edits to it will get removed if the file is opened in a newer version of Excel. Learn more: https://go.microsoft.com/fwlink/?linkid=870924
Comment:
    Temporary reduction of Walpole WTW export</t>
      </text>
    </comment>
    <comment ref="O99" authorId="3" shapeId="0" xr:uid="{81D8DD51-33E3-4BBC-80D2-552A9DF916F0}">
      <text>
        <t>[Threaded comment]
Your version of Excel allows you to read this threaded comment; however, any edits to it will get removed if the file is opened in a newer version of Excel. Learn more: https://go.microsoft.com/fwlink/?linkid=870924
Comment:
    Temporary reduction of Walpole WTW export</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tc={FB3D10CB-0C6A-45A1-98C3-A78B376FD941}</author>
    <author>tc={EA4EFFB3-83CD-4D41-878A-3E6D17769740}</author>
    <author>tc={4B0ED8F9-3B99-4B5F-B5EA-634FDD7F1DE7}</author>
    <author>tc={1B35D65F-BEAA-4717-B139-411BCFEC871E}</author>
    <author>tc={7F6E4ECB-8FE3-43CF-B7B2-AB62C7037407}</author>
    <author>tc={7B5C685D-DF56-4051-B52F-707CD668E44D}</author>
    <author>tc={71D6538E-C20A-44D2-8AB1-7AAAEAE1274D}</author>
    <author>tc={0035789C-E854-47AB-B430-FCAD59B1B784}</author>
    <author>tc={12A6387C-FEF5-4A46-8FAB-35D5EE17FB1C}</author>
    <author>tc={43BFBD7C-4D6F-4183-A146-D1BA4795E486}</author>
    <author>tc={17284B5D-89B6-4DA8-8C9A-1790B77ECA2A}</author>
    <author>tc={CBC9895E-0B44-4440-8F5E-7C226449F59A}</author>
    <author>tc={A1026D9A-127B-4EE0-9DFD-81408AD4700A}</author>
    <author>tc={7D054AA8-65B5-411D-8B6D-C2F7026268B7}</author>
    <author>tc={FA1EBBEB-4276-4F02-9951-F87D8D55E1AE}</author>
    <author>tc={A29E7AB7-FDE0-4266-89E0-126257908124}</author>
    <author>tc={B62387A8-25D4-4D9D-93F1-94915D39E4A8}</author>
    <author>tc={6D220730-4A77-4541-9C0B-426778A18A1F}</author>
    <author>tc={5B667F29-C83C-4783-A81A-3B2988DD61DA}</author>
    <author>tc={CBAD623A-8F17-4B80-8EE0-04758CB17B10}</author>
    <author>tc={E07A7EC9-25D7-4FDA-AC41-470115A26A62}</author>
    <author>tc={9BA35F72-71E0-41BF-8FCE-79752FAAE9F1}</author>
    <author>tc={E68FD1C0-92C6-47D8-8137-6A84720C0EE1}</author>
    <author>tc={C4414B4B-A87B-4E82-B496-CED12FA69BF0}</author>
    <author>tc={3DBE0FB6-CA9C-463E-AF34-AD05309EECAE}</author>
    <author>tc={39A344D5-9362-414F-B1BE-2E69AB2A9D4E}</author>
    <author>tc={B1BAC1D9-9932-4761-883E-E5375AA1D97B}</author>
    <author>tc={AFE55FE5-7E22-47DB-BA1A-758D72FC9C12}</author>
  </authors>
  <commentList>
    <comment ref="D26" authorId="0" shapeId="0" xr:uid="{FB3D10CB-0C6A-45A1-98C3-A78B376FD941}">
      <text>
        <t>[Threaded comment]
Your version of Excel allows you to read this threaded comment; however, any edits to it will get removed if the file is opened in a newer version of Excel. Learn more: https://go.microsoft.com/fwlink/?linkid=870924
Comment:
    Bulk raw water import to Chigwell WTWs now included in Aquator model and assessment of DO (6BL)</t>
      </text>
    </comment>
    <comment ref="D27" authorId="1" shapeId="0" xr:uid="{EA4EFFB3-83CD-4D41-878A-3E6D17769740}">
      <text>
        <t>[Threaded comment]
Your version of Excel allows you to read this threaded comment; however, any edits to it will get removed if the file is opened in a newer version of Excel. Learn more: https://go.microsoft.com/fwlink/?linkid=870924
Comment:
    (NESBWI2) Anglian Water (Cressing)</t>
      </text>
    </comment>
    <comment ref="M28" authorId="2" shapeId="0" xr:uid="{4B0ED8F9-3B99-4B5F-B5EA-634FDD7F1DE7}">
      <text>
        <t>[Threaded comment]
Your version of Excel allows you to read this threaded comment; however, any edits to it will get removed if the file is opened in a newer version of Excel. Learn more: https://go.microsoft.com/fwlink/?linkid=870924
Comment:
    TWU water sharing agreement</t>
      </text>
    </comment>
    <comment ref="D29" authorId="3" shapeId="0" xr:uid="{1B35D65F-BEAA-4717-B139-411BCFEC871E}">
      <text>
        <t>[Threaded comment]
Your version of Excel allows you to read this threaded comment; however, any edits to it will get removed if the file is opened in a newer version of Excel. Learn more: https://go.microsoft.com/fwlink/?linkid=870924
Comment:
    Export to AWS (3.05 Ml/d) and NAVS (6.88 Ml/d). 
Lower Thames Crossing Project expected export of 1.5 Mld between 2026/27 and  2033/34 inclusive (but specific dates still TBC).</t>
      </text>
    </comment>
    <comment ref="I29" authorId="4" shapeId="0" xr:uid="{7F6E4ECB-8FE3-43CF-B7B2-AB62C7037407}">
      <text>
        <t xml:space="preserve">[Threaded comment]
Your version of Excel allows you to read this threaded comment; however, any edits to it will get removed if the file is opened in a newer version of Excel. Learn more: https://go.microsoft.com/fwlink/?linkid=870924
Comment:
    Export to NAVs - please note this export increases over the planning horizon </t>
      </text>
    </comment>
    <comment ref="O29" authorId="5" shapeId="0" xr:uid="{7B5C685D-DF56-4051-B52F-707CD668E44D}">
      <text>
        <t>[Threaded comment]
Your version of Excel allows you to read this threaded comment; however, any edits to it will get removed if the file is opened in a newer version of Excel. Learn more: https://go.microsoft.com/fwlink/?linkid=870924
Comment:
    Lower Thames Crossing Project expected export of 1.5 Mld via Gun Hill main. Current dates are not before February 2028 and must end at the latest 31st December 3031 (but specific dates still TBC).</t>
      </text>
    </comment>
    <comment ref="P29" authorId="6" shapeId="0" xr:uid="{71D6538E-C20A-44D2-8AB1-7AAAEAE1274D}">
      <text>
        <t>[Threaded comment]
Your version of Excel allows you to read this threaded comment; however, any edits to it will get removed if the file is opened in a newer version of Excel. Learn more: https://go.microsoft.com/fwlink/?linkid=870924
Comment:
    Lower Thames Crossing Project expected export of 1.5 Mld via Gun Hill main. Current dates are not before February 2028 and must end at the latest 31st December 3031 (but specific dates still TBC).</t>
      </text>
    </comment>
    <comment ref="Q29" authorId="7" shapeId="0" xr:uid="{0035789C-E854-47AB-B430-FCAD59B1B784}">
      <text>
        <t>[Threaded comment]
Your version of Excel allows you to read this threaded comment; however, any edits to it will get removed if the file is opened in a newer version of Excel. Learn more: https://go.microsoft.com/fwlink/?linkid=870924
Comment:
    Lower Thames Crossing Project expected export of 1.5 Mld via Gun Hill main. Current dates are not before February 2028 and must end at the latest 31st December 3031 (but specific dates still TBC).</t>
      </text>
    </comment>
    <comment ref="R29" authorId="8" shapeId="0" xr:uid="{12A6387C-FEF5-4A46-8FAB-35D5EE17FB1C}">
      <text>
        <t>[Threaded comment]
Your version of Excel allows you to read this threaded comment; however, any edits to it will get removed if the file is opened in a newer version of Excel. Learn more: https://go.microsoft.com/fwlink/?linkid=870924
Comment:
    Lower Thames Crossing Project expected export of 1.5 Mld via Gun Hill main. Current dates are not before February 2028 and must end at the latest 31st December 3031 (but specific dates still TBC).</t>
      </text>
    </comment>
    <comment ref="S29" authorId="9" shapeId="0" xr:uid="{43BFBD7C-4D6F-4183-A146-D1BA4795E486}">
      <text>
        <t>[Threaded comment]
Your version of Excel allows you to read this threaded comment; however, any edits to it will get removed if the file is opened in a newer version of Excel. Learn more: https://go.microsoft.com/fwlink/?linkid=870924
Comment:
    Lower Thames Crossing Project expected export of 1.5 Mld via Gun Hill main. Current dates are not before February 2028 and must end at the latest 31st December 3031 (but specific dates still TBC).</t>
      </text>
    </comment>
    <comment ref="R34" authorId="10" shapeId="0" xr:uid="{17284B5D-89B6-4DA8-8C9A-1790B77ECA2A}">
      <text>
        <t>[Threaded comment]
Your version of Excel allows you to read this threaded comment; however, any edits to it will get removed if the file is opened in a newer version of Excel. Learn more: https://go.microsoft.com/fwlink/?linkid=870924
Comment:
    AMP7 HOFs on Roman River (8Mld) and Lower River Stour (Judas Gap (5 Mld) and northern channel (2 Mld))</t>
      </text>
    </comment>
    <comment ref="AB35" authorId="11" shapeId="0" xr:uid="{CBC9895E-0B44-4440-8F5E-7C226449F59A}">
      <text>
        <t>[Threaded comment]
Your version of Excel allows you to read this threaded comment; however, any edits to it will get removed if the file is opened in a newer version of Excel. Learn more: https://go.microsoft.com/fwlink/?linkid=870924
Comment:
    ESW BAU+ scenario</t>
      </text>
    </comment>
    <comment ref="D39" authorId="12" shapeId="0" xr:uid="{A1026D9A-127B-4EE0-9DFD-81408AD4700A}">
      <text>
        <t>[Threaded comment]
Your version of Excel allows you to read this threaded comment; however, any edits to it will get removed if the file is opened in a newer version of Excel. Learn more: https://go.microsoft.com/fwlink/?linkid=870924
Comment:
    All Process losses now included in the Essex WRZ Aquator model and included in assessment of DO.</t>
      </text>
    </comment>
    <comment ref="D40" authorId="13" shapeId="0" xr:uid="{7D054AA8-65B5-411D-8B6D-C2F7026268B7}">
      <text>
        <t>[Threaded comment]
Your version of Excel allows you to read this threaded comment; however, any edits to it will get removed if the file is opened in a newer version of Excel. Learn more: https://go.microsoft.com/fwlink/?linkid=870924
Comment:
    Disbenefit of 1 in 200 year outage entered in 9.1FP</t>
      </text>
    </comment>
    <comment ref="O98" authorId="14" shapeId="0" xr:uid="{FA1EBBEB-4276-4F02-9951-F87D8D55E1AE}">
      <text>
        <t>[Threaded comment]
Your version of Excel allows you to read this threaded comment; however, any edits to it will get removed if the file is opened in a newer version of Excel. Learn more: https://go.microsoft.com/fwlink/?linkid=870924
Comment:
    Use of existing Linford Well raw water by Lower Thames Crossing Project. Current (26/03/24) - not before February 2028, and must end at latest 31 December 2031.</t>
      </text>
    </comment>
    <comment ref="I101" authorId="15" shapeId="0" xr:uid="{A29E7AB7-FDE0-4266-89E0-126257908124}">
      <text>
        <t>[Threaded comment]
Your version of Excel allows you to read this threaded comment; however, any edits to it will get removed if the file is opened in a newer version of Excel. Learn more: https://go.microsoft.com/fwlink/?linkid=870924
Comment:
    Benefit of 1 in 200 yr DO = 16.2 Mld)</t>
      </text>
    </comment>
    <comment ref="O101" authorId="16" shapeId="0" xr:uid="{B62387A8-25D4-4D9D-93F1-94915D39E4A8}">
      <text>
        <t>[Threaded comment]
Your version of Excel allows you to read this threaded comment; however, any edits to it will get removed if the file is opened in a newer version of Excel. Learn more: https://go.microsoft.com/fwlink/?linkid=870924
Comment:
    New Linford WTW = 10 Mld</t>
      </text>
    </comment>
    <comment ref="R101" authorId="17" shapeId="0" xr:uid="{6D220730-4A77-4541-9C0B-426778A18A1F}">
      <text>
        <t>[Threaded comment]
Your version of Excel allows you to read this threaded comment; however, any edits to it will get removed if the file is opened in a newer version of Excel. Learn more: https://go.microsoft.com/fwlink/?linkid=870924
Comment:
    AbbertonRWPS_and_Langford_Clarifier = 8 Mld</t>
      </text>
    </comment>
    <comment ref="S101" authorId="18" shapeId="0" xr:uid="{5B667F29-C83C-4783-A81A-3B2988DD61DA}">
      <text>
        <t>[Threaded comment]
Your version of Excel allows you to read this threaded comment; however, any edits to it will get removed if the file is opened in a newer version of Excel. Learn more: https://go.microsoft.com/fwlink/?linkid=870924
Comment:
    Resilient to 1 in 500 yr drought (i.e., Benefit of 1 in 20 year DO stops)</t>
      </text>
    </comment>
    <comment ref="O105" authorId="19" shapeId="0" xr:uid="{CBAD623A-8F17-4B80-8EE0-04758CB17B10}">
      <text>
        <t>[Threaded comment]
Your version of Excel allows you to read this threaded comment; however, any edits to it will get removed if the file is opened in a newer version of Excel. Learn more: https://go.microsoft.com/fwlink/?linkid=870924
Comment:
    5% process loss from new Linford WTW - output constrained by 3.5 Mld until existing well returned by Lower Thames Crossing project. [=(10-3.5)*0.05]</t>
      </text>
    </comment>
    <comment ref="V105" authorId="20" shapeId="0" xr:uid="{E07A7EC9-25D7-4FDA-AC41-470115A26A62}">
      <text>
        <t>[Threaded comment]
Your version of Excel allows you to read this threaded comment; however, any edits to it will get removed if the file is opened in a newer version of Excel. Learn more: https://go.microsoft.com/fwlink/?linkid=870924
Comment:
    New Linford WTW at full capacity 10 Mld [=10*0.05]</t>
      </text>
    </comment>
    <comment ref="I106" authorId="21" shapeId="0" xr:uid="{9BA35F72-71E0-41BF-8FCE-79752FAAE9F1}">
      <text>
        <t>[Threaded comment]
Your version of Excel allows you to read this threaded comment; however, any edits to it will get removed if the file is opened in a newer version of Excel. Learn more: https://go.microsoft.com/fwlink/?linkid=870924
Comment:
    1 in 200 year outage = 5.7 Mld</t>
      </text>
    </comment>
    <comment ref="Q106" authorId="22" shapeId="0" xr:uid="{E68FD1C0-92C6-47D8-8137-6A84720C0EE1}">
      <text>
        <t>[Threaded comment]
Your version of Excel allows you to read this threaded comment; however, any edits to it will get removed if the file is opened in a newer version of Excel. Learn more: https://go.microsoft.com/fwlink/?linkid=870924
Comment:
    New outage redcutions schemes operational: Langford Nitrate Scheme = -2.75 Mld; Langham nitrate scheme = -0.9 Mld; Langford UV = -0.2 Mld. [=5.7-2.75-0.2-0.9]</t>
      </text>
    </comment>
    <comment ref="S106" authorId="23" shapeId="0" xr:uid="{C4414B4B-A87B-4E82-B496-CED12FA69BF0}">
      <text>
        <t>[Threaded comment]
Your version of Excel allows you to read this threaded comment; however, any edits to it will get removed if the file is opened in a newer version of Excel. Learn more: https://go.microsoft.com/fwlink/?linkid=870924
Comment:
    1 in 200 year outage stops. Outage reduction from new schemes continues</t>
      </text>
    </comment>
    <comment ref="R215" authorId="24" shapeId="0" xr:uid="{3DBE0FB6-CA9C-463E-AF34-AD05309EECAE}">
      <text>
        <t>[Threaded comment]
Your version of Excel allows you to read this threaded comment; however, any edits to it will get removed if the file is opened in a newer version of Excel. Learn more: https://go.microsoft.com/fwlink/?linkid=870924
Comment:
    AMP7 HOFs on Roman River (8Mld) and Lower River Stour (Judas Gap (5 Mld) and northern channel (2 Mld)) - included for DYCP as HOFs rather than annual licence changes</t>
      </text>
    </comment>
    <comment ref="AB216" authorId="25" shapeId="0" xr:uid="{39A344D5-9362-414F-B1BE-2E69AB2A9D4E}">
      <text>
        <t>[Threaded comment]
Your version of Excel allows you to read this threaded comment; however, any edits to it will get removed if the file is opened in a newer version of Excel. Learn more: https://go.microsoft.com/fwlink/?linkid=870924
Comment:
    ESW BAU+ scenario - included for DYCP as based on HOFs rather than annual licence changes</t>
      </text>
    </comment>
    <comment ref="O279" authorId="26" shapeId="0" xr:uid="{B1BAC1D9-9932-4761-883E-E5375AA1D97B}">
      <text>
        <t>[Threaded comment]
Your version of Excel allows you to read this threaded comment; however, any edits to it will get removed if the file is opened in a newer version of Excel. Learn more: https://go.microsoft.com/fwlink/?linkid=870924
Comment:
    Use of existing Linford Well raw water by Lower Thames Crossing Project 2027/28 (when new Linford WTW operational, until expected end of LTC project in 2033/34, although this is still TBC).</t>
      </text>
    </comment>
    <comment ref="O282" authorId="27" shapeId="0" xr:uid="{AFE55FE5-7E22-47DB-BA1A-758D72FC9C12}">
      <text>
        <t>[Threaded comment]
Your version of Excel allows you to read this threaded comment; however, any edits to it will get removed if the file is opened in a newer version of Excel. Learn more: https://go.microsoft.com/fwlink/?linkid=870924
Comment:
    New Linford WTW = 10 Mld</t>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tc={A29DC0B2-DAE7-4563-9977-76D281DCC98C}</author>
    <author>tc={8FD5F576-7157-4A5F-9034-AC1BDBB7B7BE}</author>
    <author>tc={49F87CDF-2CB6-4A47-97AF-426069465D7C}</author>
    <author>tc={695AFB3B-0DD9-478F-A01A-930F462DDFC3}</author>
    <author>tc={3FEF7F06-E0EC-427F-AFB5-8AA97EE04447}</author>
  </authors>
  <commentList>
    <comment ref="D26" authorId="0" shapeId="0" xr:uid="{A29DC0B2-DAE7-4563-9977-76D281DCC98C}">
      <text>
        <t>[Threaded comment]
Your version of Excel allows you to read this threaded comment; however, any edits to it will get removed if the file is opened in a newer version of Excel. Learn more: https://go.microsoft.com/fwlink/?linkid=870924
Comment:
    Bleach Green (N/C) to Syleham (Hartismere) - RAW WATER. Profiled with licence caps and ED reduction.</t>
      </text>
    </comment>
    <comment ref="D29" authorId="1" shapeId="0" xr:uid="{8FD5F576-7157-4A5F-9034-AC1BDBB7B7BE}">
      <text>
        <t>[Threaded comment]
Your version of Excel allows you to read this threaded comment; however, any edits to it will get removed if the file is opened in a newer version of Excel. Learn more: https://go.microsoft.com/fwlink/?linkid=870924
Comment:
    NAVs x4 @0.2 Ml/d</t>
      </text>
    </comment>
    <comment ref="P97" authorId="2" shapeId="0" xr:uid="{49F87CDF-2CB6-4A47-97AF-426069465D7C}">
      <text>
        <t>[Threaded comment]
Your version of Excel allows you to read this threaded comment; however, any edits to it will get removed if the file is opened in a newer version of Excel. Learn more: https://go.microsoft.com/fwlink/?linkid=870924
Comment:
    HoltonWTW_EyeAirfield Potable Water Transfer</t>
      </text>
    </comment>
    <comment ref="M101" authorId="3" shapeId="0" xr:uid="{695AFB3B-0DD9-478F-A01A-930F462DDFC3}">
      <text>
        <t>[Threaded comment]
Your version of Excel allows you to read this threaded comment; however, any edits to it will get removed if the file is opened in a newer version of Excel. Learn more: https://go.microsoft.com/fwlink/?linkid=870924
Comment:
    Reg19 derogation to defer No Det SR on all GW sources</t>
      </text>
    </comment>
    <comment ref="T278" authorId="4" shapeId="0" xr:uid="{3FEF7F06-E0EC-427F-AFB5-8AA97EE04447}">
      <text>
        <t>[Threaded comment]
Your version of Excel allows you to read this threaded comment; however, any edits to it will get removed if the file is opened in a newer version of Excel. Learn more: https://go.microsoft.com/fwlink/?linkid=870924
Comment:
    HoltonWTW_EyeAirfield Potable Water Transfer</t>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tc={7EFD8AAF-BB3E-4989-9928-3F614F355E08}</author>
    <author>tc={4F47F8A7-3466-4ECF-B22F-6C181AC618E0}</author>
    <author>tc={2F61D197-DA01-413C-8ECC-F8146A748117}</author>
    <author>tc={60B1AA04-146F-415C-A99A-E7344FD4EE63}</author>
    <author>tc={B91FE516-CAE9-41CB-9DFC-95E5EC400929}</author>
    <author>tc={06EA0113-6C65-4371-A03B-4B08C79C35A3}</author>
    <author>tc={598FABA8-FF9C-43B9-9B9B-6D22A35A4589}</author>
    <author>tc={50BFD2ED-9325-435E-AF00-AD66712E6890}</author>
    <author>tc={5A20FF94-3269-4E54-B64B-EAEC3ED60D01}</author>
    <author>tc={DD7D2634-0FD7-4636-B1E9-62AEA0541499}</author>
    <author>tc={C2D295A8-D859-4A27-88CF-351BEF63AA7D}</author>
    <author>tc={1880DB6E-3E4E-472A-BD4F-69730763FE40}</author>
    <author>tc={896D7C4B-20AE-4949-AB3E-02DB08C3C160}</author>
    <author>tc={7DC1CCCD-B4C2-4453-B5C7-2536B6E505AB}</author>
    <author>tc={E1472FE8-D19D-4674-B41A-80FA0A58D8DE}</author>
    <author>tc={21A05F1B-3734-4787-A568-DC3EC472380A}</author>
    <author>tc={BFA5DAE5-8BB9-4FF6-A9AC-ACAF686B58D5}</author>
    <author>tc={E650967C-758C-45F8-B98B-A69537DDE57C}</author>
    <author>tc={C11AF437-F118-4BD0-A035-45DE14E77168}</author>
    <author>tc={769C0731-4A3C-4D8A-B37E-9F004EAE6F16}</author>
    <author>tc={8B5BDD0E-2DDA-42B0-B820-9BA2BB5E6F44}</author>
  </authors>
  <commentList>
    <comment ref="D27" authorId="0" shapeId="0" xr:uid="{7EFD8AAF-BB3E-4989-9928-3F614F355E08}">
      <text>
        <t>[Threaded comment]
Your version of Excel allows you to read this threaded comment; however, any edits to it will get removed if the file is opened in a newer version of Excel. Learn more: https://go.microsoft.com/fwlink/?linkid=870924
Comment:
    Walpole WTW (Blyth) to Halesworth area (NCZ) - TREATED WATER = 1.35 Mld</t>
      </text>
    </comment>
    <comment ref="I28" authorId="1" shapeId="0" xr:uid="{4F47F8A7-3466-4ECF-B22F-6C181AC618E0}">
      <text>
        <t>[Threaded comment]
Your version of Excel allows you to read this threaded comment; however, any edits to it will get removed if the file is opened in a newer version of Excel. Learn more: https://go.microsoft.com/fwlink/?linkid=870924
Comment:
    Bleach Green BHs 2Mld (NCZ) to Syleham WTW (Hartismere); capped to 1.46 Mld in 2030/31, and then to 0.73 Mld from 2040. Plus; Halesworth BH (NCZ) to Walpole WTW (Blyth) at 1.38 Mld, then capped at 1.37 Mld from 30/31, then to 1.30 Mld from 2040/41.</t>
      </text>
    </comment>
    <comment ref="R28" authorId="2" shapeId="0" xr:uid="{2F61D197-DA01-413C-8ECC-F8146A748117}">
      <text>
        <t>[Threaded comment]
Your version of Excel allows you to read this threaded comment; however, any edits to it will get removed if the file is opened in a newer version of Excel. Learn more: https://go.microsoft.com/fwlink/?linkid=870924
Comment:
    Bleach Green BHs 2Mld (NCZ) to Syleham WTW (Hartismere); capped to 1.46 Mld in 2030/31, and then to 0.73 Mld from 2040. Plus; Halesworth BH (NCZ) to Walpole WTW (Blyth) at 1.38 Mld, then capped at 1.37 Mld from 30/31, then to 1.30 Mld from 2040/41.</t>
      </text>
    </comment>
    <comment ref="AB28" authorId="3" shapeId="0" xr:uid="{60B1AA04-146F-415C-A99A-E7344FD4EE63}">
      <text>
        <t>[Threaded comment]
Your version of Excel allows you to read this threaded comment; however, any edits to it will get removed if the file is opened in a newer version of Excel. Learn more: https://go.microsoft.com/fwlink/?linkid=870924
Comment:
    Bleach Green BHs 2Mld (NCZ) to Syleham WTW (Hartismere); capped to 1.46 Mld in 2030/31, and then to 0.73 Mld from 2040. Plus; Halesworth BH (NCZ) to Walpole WTW (Blyth) at 1.38 Mld, then capped at 1.37 Mld from 30/31, then to 1.30 Mld from 2040/41.</t>
      </text>
    </comment>
    <comment ref="D29" authorId="4" shapeId="0" xr:uid="{B91FE516-CAE9-41CB-9DFC-95E5EC400929}">
      <text>
        <t>[Threaded comment]
Your version of Excel allows you to read this threaded comment; however, any edits to it will get removed if the file is opened in a newer version of Excel. Learn more: https://go.microsoft.com/fwlink/?linkid=870924
Comment:
    AWS exports x 2 (0.37Ml/d) plus 1 NAV 0.06Ml/d</t>
      </text>
    </comment>
    <comment ref="D33" authorId="5" shapeId="0" xr:uid="{06EA0113-6C65-4371-A03B-4B08C79C35A3}">
      <text>
        <t>[Threaded comment]
Your version of Excel allows you to read this threaded comment; however, any edits to it will get removed if the file is opened in a newer version of Excel. Learn more: https://go.microsoft.com/fwlink/?linkid=870924
Comment:
    No climate change impact because Shipmeadow intake on the River Waveney supported with WAGS to minium flow of 18/16 Mld.</t>
      </text>
    </comment>
    <comment ref="I34" authorId="6" shapeId="0" xr:uid="{598FABA8-FF9C-43B9-9B9B-6D22A35A4589}">
      <text>
        <t>[Threaded comment]
Your version of Excel allows you to read this threaded comment; however, any edits to it will get removed if the file is opened in a newer version of Excel. Learn more: https://go.microsoft.com/fwlink/?linkid=870924
Comment:
    Barsham No.2 &amp; Puddingmoor No Det SR</t>
      </text>
    </comment>
    <comment ref="N34" authorId="7" shapeId="0" xr:uid="{50BFD2ED-9325-435E-AF00-AD66712E6890}">
      <text>
        <t>[Threaded comment]
Your version of Excel allows you to read this threaded comment; however, any edits to it will get removed if the file is opened in a newer version of Excel. Learn more: https://go.microsoft.com/fwlink/?linkid=870924
Comment:
    Holton &amp; Halesworth</t>
      </text>
    </comment>
    <comment ref="R34" authorId="8" shapeId="0" xr:uid="{5A20FF94-3269-4E54-B64B-EAEC3ED60D01}">
      <text>
        <t>[Threaded comment]
Your version of Excel allows you to read this threaded comment; however, any edits to it will get removed if the file is opened in a newer version of Excel. Learn more: https://go.microsoft.com/fwlink/?linkid=870924
Comment:
    All other GW No Det SRs implemented, plus No Det SR  reduction at Shipmeadow on River Waveney from 20.5 to 18.</t>
      </text>
    </comment>
    <comment ref="T34" authorId="9" shapeId="0" xr:uid="{DD7D2634-0FD7-4636-B1E9-62AEA0541499}">
      <text>
        <t>[Threaded comment]
Your version of Excel allows you to read this threaded comment; however, any edits to it will get removed if the file is opened in a newer version of Excel. Learn more: https://go.microsoft.com/fwlink/?linkid=870924
Comment:
    Further 2 Mld loss of abstraction at Shipmeadow on River Waveney.</t>
      </text>
    </comment>
    <comment ref="D39" authorId="10" shapeId="0" xr:uid="{C2D295A8-D859-4A27-88CF-351BEF63AA7D}">
      <text>
        <t>[Threaded comment]
Your version of Excel allows you to read this threaded comment; however, any edits to it will get removed if the file is opened in a newer version of Excel. Learn more: https://go.microsoft.com/fwlink/?linkid=870924
Comment:
    Reduces over planning horizon with sustainability reduction implementation.</t>
      </text>
    </comment>
    <comment ref="N97" authorId="11" shapeId="0" xr:uid="{1880DB6E-3E4E-472A-BD4F-69730763FE40}">
      <text>
        <t>[Threaded comment]
Your version of Excel allows you to read this threaded comment; however, any edits to it will get removed if the file is opened in a newer version of Excel. Learn more: https://go.microsoft.com/fwlink/?linkid=870924
Comment:
    Temporary reduction of Walpole WTW export to Halesworth distribution area</t>
      </text>
    </comment>
    <comment ref="O97" authorId="12" shapeId="0" xr:uid="{896D7C4B-20AE-4949-AB3E-02DB08C3C160}">
      <text>
        <t>[Threaded comment]
Your version of Excel allows you to read this threaded comment; however, any edits to it will get removed if the file is opened in a newer version of Excel. Learn more: https://go.microsoft.com/fwlink/?linkid=870924
Comment:
    Temporary reduction of Walpole WTW export to Halesworth distribution area</t>
      </text>
    </comment>
    <comment ref="P99" authorId="13" shapeId="0" xr:uid="{7DC1CCCD-B4C2-4453-B5C7-2536B6E505AB}">
      <text>
        <t>[Threaded comment]
Your version of Excel allows you to read this threaded comment; however, any edits to it will get removed if the file is opened in a newer version of Excel. Learn more: https://go.microsoft.com/fwlink/?linkid=870924
Comment:
    Barsham_WTW_Saxmundham_Tower_A15 Potable Water Transfer to Blyth, plus, HoltonWTW_EyeAirfield Potable Water Transfer to Hartismere.</t>
      </text>
    </comment>
    <comment ref="R101" authorId="14" shapeId="0" xr:uid="{E1472FE8-D19D-4674-B41A-80FA0A58D8DE}">
      <text>
        <t>[Threaded comment]
Your version of Excel allows you to read this threaded comment; however, any edits to it will get removed if the file is opened in a newer version of Excel. Learn more: https://go.microsoft.com/fwlink/?linkid=870924
Comment:
    Bungay_to_BarshamWTW_pipeline = 1 Mld</t>
      </text>
    </comment>
    <comment ref="T101" authorId="15" shapeId="0" xr:uid="{21A05F1B-3734-4787-A568-DC3EC472380A}">
      <text>
        <t>[Threaded comment]
Your version of Excel allows you to read this threaded comment; however, any edits to it will get removed if the file is opened in a newer version of Excel. Learn more: https://go.microsoft.com/fwlink/?linkid=870924
Comment:
    Plus Lowestoft Reuse (=1+11)</t>
      </text>
    </comment>
    <comment ref="AB101" authorId="16" shapeId="0" xr:uid="{BFA5DAE5-8BB9-4FF6-A9AC-ACAF686B58D5}">
      <text>
        <t>[Threaded comment]
Your version of Excel allows you to read this threaded comment; however, any edits to it will get removed if the file is opened in a newer version of Excel. Learn more: https://go.microsoft.com/fwlink/?linkid=870924
Comment:
    Plus North Suffolk Winter Storage 7500 and Transfer = 19.9 Mld. (=1+11+19.9)</t>
      </text>
    </comment>
    <comment ref="Q106" authorId="17" shapeId="0" xr:uid="{E650967C-758C-45F8-B98B-A69537DDE57C}">
      <text>
        <t>[Threaded comment]
Your version of Excel allows you to read this threaded comment; however, any edits to it will get removed if the file is opened in a newer version of Excel. Learn more: https://go.microsoft.com/fwlink/?linkid=870924
Comment:
    Barsham_Nitrate_Scheme</t>
      </text>
    </comment>
    <comment ref="R215" authorId="18" shapeId="0" xr:uid="{C11AF437-F118-4BD0-A035-45DE14E77168}">
      <text>
        <t xml:space="preserve">[Threaded comment]
Your version of Excel allows you to read this threaded comment; however, any edits to it will get removed if the file is opened in a newer version of Excel. Learn more: https://go.microsoft.com/fwlink/?linkid=870924
Comment:
    No Det SR  reduction at Shipmeadow on River Waveney from 20.5 to 18.
</t>
      </text>
    </comment>
    <comment ref="T215" authorId="19" shapeId="0" xr:uid="{769C0731-4A3C-4D8A-B37E-9F004EAE6F16}">
      <text>
        <t>[Threaded comment]
Your version of Excel allows you to read this threaded comment; however, any edits to it will get removed if the file is opened in a newer version of Excel. Learn more: https://go.microsoft.com/fwlink/?linkid=870924
Comment:
    Further 2 Mld loss of abstraction at Shipmeadow on River Waveney.</t>
      </text>
    </comment>
    <comment ref="T280" authorId="20" shapeId="0" xr:uid="{8B5BDD0E-2DDA-42B0-B820-9BA2BB5E6F44}">
      <text>
        <t>[Threaded comment]
Your version of Excel allows you to read this threaded comment; however, any edits to it will get removed if the file is opened in a newer version of Excel. Learn more: https://go.microsoft.com/fwlink/?linkid=870924
Comment:
    HoltonWTW_EyeAirfield Potable Water Transfer</t>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tc={DCACB9A4-32C5-4E14-8A76-AA96E5BFF17C}</author>
    <author>Author</author>
  </authors>
  <commentList>
    <comment ref="AJ5" authorId="0" shapeId="0" xr:uid="{DCACB9A4-32C5-4E14-8A76-AA96E5BFF17C}">
      <text>
        <t>[Threaded comment]
Your version of Excel allows you to read this threaded comment; however, any edits to it will get removed if the file is opened in a newer version of Excel. Learn more: https://go.microsoft.com/fwlink/?linkid=870924
Comment:
    Monetised (£NPV) impact of the option on natural capital e.g. change to land use, recreation. (assumes 30 years of benefits)</t>
      </text>
    </comment>
    <comment ref="V85" authorId="1" shapeId="0" xr:uid="{5271B244-0A76-45EB-AE8F-AEEE6A6DE94C}">
      <text>
        <r>
          <rPr>
            <b/>
            <sz val="9"/>
            <color indexed="81"/>
            <rFont val="Tahoma"/>
            <charset val="1"/>
          </rPr>
          <t>Author:</t>
        </r>
        <r>
          <rPr>
            <sz val="9"/>
            <color indexed="81"/>
            <rFont val="Tahoma"/>
            <charset val="1"/>
          </rPr>
          <t xml:space="preserve">
Benefit varies over the planning horizon. Figure given here relates to 2024-25.</t>
        </r>
      </text>
    </comment>
    <comment ref="AB85" authorId="1" shapeId="0" xr:uid="{371593D9-73E5-4976-98C0-CC69648BD8BA}">
      <text>
        <r>
          <rPr>
            <b/>
            <sz val="9"/>
            <color indexed="81"/>
            <rFont val="Tahoma"/>
            <charset val="1"/>
          </rPr>
          <t>Author:</t>
        </r>
        <r>
          <rPr>
            <sz val="9"/>
            <color indexed="81"/>
            <rFont val="Tahoma"/>
            <charset val="1"/>
          </rPr>
          <t xml:space="preserve">
Benefit varies over the planning horizon. Figure given here relates to 2024/25.</t>
        </r>
      </text>
    </comment>
    <comment ref="AC85" authorId="1" shapeId="0" xr:uid="{CE909E1D-203D-452C-A5B9-F02481726ACC}">
      <text>
        <r>
          <rPr>
            <b/>
            <sz val="9"/>
            <color indexed="81"/>
            <rFont val="Tahoma"/>
            <charset val="1"/>
          </rPr>
          <t>Author:</t>
        </r>
        <r>
          <rPr>
            <sz val="9"/>
            <color indexed="81"/>
            <rFont val="Tahoma"/>
            <charset val="1"/>
          </rPr>
          <t xml:space="preserve">
Benefit varies over the planning horizon. Figure given here relates to 2024/25.</t>
        </r>
      </text>
    </comment>
    <comment ref="V86" authorId="1" shapeId="0" xr:uid="{51E796B0-4DB8-4BB2-85BC-FBD5487F2B32}">
      <text>
        <r>
          <rPr>
            <b/>
            <sz val="9"/>
            <color indexed="81"/>
            <rFont val="Tahoma"/>
            <charset val="1"/>
          </rPr>
          <t>Author:</t>
        </r>
        <r>
          <rPr>
            <sz val="9"/>
            <color indexed="81"/>
            <rFont val="Tahoma"/>
            <charset val="1"/>
          </rPr>
          <t xml:space="preserve">
Benefit varies over the planning horizon. Figure given here relates to 2024-25.</t>
        </r>
      </text>
    </comment>
    <comment ref="AB86" authorId="1" shapeId="0" xr:uid="{C008D80E-255F-4B38-BA50-01DC3EE813D7}">
      <text>
        <r>
          <rPr>
            <b/>
            <sz val="9"/>
            <color indexed="81"/>
            <rFont val="Tahoma"/>
            <charset val="1"/>
          </rPr>
          <t>Author:</t>
        </r>
        <r>
          <rPr>
            <sz val="9"/>
            <color indexed="81"/>
            <rFont val="Tahoma"/>
            <charset val="1"/>
          </rPr>
          <t xml:space="preserve">
Benefit varies over the planning horizon. Figure given here relates to 2024/25.</t>
        </r>
      </text>
    </comment>
    <comment ref="AC86" authorId="1" shapeId="0" xr:uid="{5D990E3F-E6E4-4462-A1B5-05DDDB6FE671}">
      <text>
        <r>
          <rPr>
            <b/>
            <sz val="9"/>
            <color indexed="81"/>
            <rFont val="Tahoma"/>
            <charset val="1"/>
          </rPr>
          <t>Author:</t>
        </r>
        <r>
          <rPr>
            <sz val="9"/>
            <color indexed="81"/>
            <rFont val="Tahoma"/>
            <charset val="1"/>
          </rPr>
          <t xml:space="preserve">
Benefit varies over the planning horizon. Figure given here relates to 2024/25.</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tc={31E62967-3915-48C2-A13F-AA6C61D05D0F}</author>
    <author>tc={5A01B310-DA9D-4BC2-9A00-E4F7D4298CF5}</author>
    <author>tc={B72B8872-12F6-49E7-8EFA-3986CA536463}</author>
    <author>tc={C8E4A139-1BB3-4773-A5EB-29A63CD9B7A1}</author>
    <author>tc={46DCB147-6983-4079-8011-C6D19DF1B977}</author>
    <author>tc={D8CBB866-86A8-41F8-81B6-C4EED5F39433}</author>
    <author>tc={DFD8112D-A2D0-4EC3-BB22-5E678943FAC4}</author>
    <author>tc={AE3B8982-7B16-450E-BF29-2F7C9DEBBFE2}</author>
    <author>tc={E10683BD-9CF7-4446-A7EB-A1A4B31A293B}</author>
    <author>tc={A60A9FF3-185E-4BCB-ACF1-5C3E6E7EA3F1}</author>
    <author>tc={44629034-C639-4925-A24C-2FE4086EA0FD}</author>
    <author>tc={260BD320-189E-469C-908E-0F43A90A8621}</author>
    <author>tc={A9BC7428-5593-4957-BC91-CF9D569638D9}</author>
    <author>tc={6B1B4F63-5C00-4095-B59C-CA393AD35759}</author>
    <author>tc={89B82D72-E487-44DD-A87C-B02523A7A7E9}</author>
    <author>tc={642A2519-4100-49E3-B8DF-78A8FB7CB247}</author>
    <author>tc={389412A7-5F2A-4650-98ED-75B03B3000AE}</author>
    <author>tc={717205FB-1BC3-41FC-ABF7-7368B0471D38}</author>
    <author>tc={172EDF21-336A-440C-910C-9EE3F3F4A3C3}</author>
    <author>tc={1444E59E-375A-40C4-A1BF-8F3BF8F717D8}</author>
    <author>tc={B2F02AAD-C55B-4E33-9671-532D95825477}</author>
    <author>tc={5D0847EF-6CA4-4B9E-9E44-A80AE0CFA1D4}</author>
    <author>tc={A15EF154-02A6-484A-8394-B0223B6C81B3}</author>
    <author>tc={3D9D0803-B304-4213-B9D3-2D60B07BC615}</author>
    <author>tc={7AECDCE8-E100-491F-9968-94A95CB1A502}</author>
    <author>tc={5BB2A670-E5E5-4EF7-8903-6407AC4F6EF1}</author>
    <author>tc={FBCB2B10-E9E3-4EC9-A95B-593832C295D8}</author>
    <author>tc={7B628F5E-DE40-4FF5-A07C-5FE046B09AD1}</author>
    <author>tc={D33DF5F2-6466-43CB-B245-5A133466B1A3}</author>
    <author>tc={61475253-7791-4CAE-A32A-2F16E432C050}</author>
    <author>tc={524A6930-97A2-4D21-B8B5-B8DE2E74083D}</author>
    <author>tc={2AC9CF20-D2BB-4551-A383-8D2DFF484482}</author>
    <author>tc={61CCD6DD-FBC8-427A-AB3D-FDC53E436354}</author>
    <author>tc={DE7A0754-565A-4BE0-9757-2DD8642B9AB7}</author>
    <author>tc={F4E7EA84-AA09-461C-BB70-C69423F03418}</author>
    <author>tc={E1B40A9F-2C93-4DB4-B143-C68E72C97A51}</author>
    <author>tc={07F02811-4EAB-47FB-87F5-63032C75740C}</author>
    <author>tc={0E7AB2E9-147F-4D68-8A64-EDEE815732AB}</author>
    <author>tc={B0DBE0B5-877E-4264-94E1-72E89EDC2D74}</author>
    <author>tc={18FB3277-7D05-4600-BD8C-03420D9A24B7}</author>
    <author>tc={69001726-4917-4A7A-A984-A2AFC839269A}</author>
    <author>tc={70D100B7-4BEB-462C-890D-B87389927437}</author>
    <author>tc={C247043F-F284-4EDB-9E5D-F8353772B68A}</author>
    <author>tc={3806CA81-28F1-4B80-8C71-19824422D151}</author>
    <author>tc={2307A6A4-695C-4EB4-A4BB-B16CD692E99C}</author>
    <author>tc={B809B383-BA92-4FC3-B47A-F636A803F8D1}</author>
    <author>tc={B7CAE499-848B-4279-BAA8-43834E4547C9}</author>
    <author>tc={FC324F95-783F-4459-818F-655F9FC09752}</author>
    <author>tc={FC6BED8D-3B1C-4319-8CAF-5F3FA15A955A}</author>
    <author>tc={369BC254-7E94-4203-9E5B-DC0227C7A28D}</author>
    <author>tc={6EBE4C90-EAED-4984-BF47-D0BF258ADB51}</author>
    <author>tc={74B024EA-660A-437B-A956-6030BB33CCF4}</author>
    <author>tc={CC3865A4-5707-45D3-A48B-0008534A5435}</author>
    <author>tc={AF9F9FC0-F2AB-4C66-BAE6-195DBAA34B42}</author>
    <author>tc={AF7995F5-EDA7-49B3-9736-5AEF2D4DB6F1}</author>
    <author>tc={F860984A-419B-4883-8DBC-320B2BAB7B9F}</author>
    <author>tc={00D90626-D409-49C6-AF8B-69E81DA7D5BD}</author>
    <author>tc={3ABEB0C2-9793-4273-9ACD-00704498B27B}</author>
    <author>tc={7F930A46-B9E7-42D1-BA29-00895FB92ED0}</author>
    <author>tc={815B6AF2-D550-49D6-BFA1-3B92418D6EBB}</author>
    <author>tc={B0106BF5-BE0B-456D-AAF6-3FA04D2D6419}</author>
    <author>tc={471965DC-2534-4DD8-9454-E6298D2C0932}</author>
    <author>tc={51967DF5-8632-440C-A6DD-6A37F5E88607}</author>
    <author>tc={BDD79EE4-AB8D-46A0-8A72-F06CFE51C69C}</author>
    <author>tc={E8318D9E-4D11-4864-97DC-429806E00DDF}</author>
    <author>tc={ADE390AA-4767-4DFD-B8E9-B0714D36C26A}</author>
    <author>tc={D8D95C18-9CEA-4192-9186-AE161F39FF1F}</author>
    <author>tc={148C8FC0-A02A-4A11-AC11-427E0D55B8C2}</author>
    <author>tc={248D68ED-6F61-4093-BCCB-0687FBE4BCEC}</author>
    <author>tc={FC129BA1-B83E-43DA-91B2-79F5380DA216}</author>
    <author>tc={41066236-7DC3-477A-A01D-B2A058F8CAFD}</author>
    <author>tc={7F6E2C74-18C9-49F8-9036-590FC757F2EB}</author>
    <author>tc={B26341B5-A0BC-44CA-8753-98553F213F83}</author>
    <author>tc={9FE5EEB9-59DB-4BDD-877F-F08111EE0113}</author>
    <author>tc={DBE330A1-63F2-430B-A6D6-157B1BD8A568}</author>
    <author>tc={09062421-77E2-486A-A97E-EE06B09E7CBA}</author>
    <author>tc={51A26F22-AC32-4AF6-AFB7-9DE73842E115}</author>
    <author>tc={FFC6990C-97AC-4BA8-B6B9-DF2B556921F0}</author>
    <author>tc={F04BBC9D-93AB-41C5-8201-CFB508AD1432}</author>
    <author>tc={DD0AC895-D481-4D99-98C9-7D92AD62774D}</author>
    <author>tc={1AD7E92B-DAAA-4C69-8522-1F42BD070340}</author>
    <author>tc={A97D0866-BA66-402E-9153-79D7B7D1829F}</author>
    <author>tc={1A3CCB52-9ADF-4652-BB34-43828FF29825}</author>
    <author>tc={9F51B09E-A2B7-44E5-A101-2A027B23BC68}</author>
    <author>tc={5444FA1E-DC6E-459A-8394-407DB2F4A67B}</author>
    <author>tc={493A0496-E4A8-4A58-A82A-028AD1818596}</author>
    <author>tc={ED01892E-3811-423E-8909-C00BB311073E}</author>
    <author>tc={AA2A19E9-1514-4B7B-AA49-283A1790D7F6}</author>
    <author>tc={9272B387-0E1E-4128-8C22-D16D85410A8B}</author>
    <author>tc={82EC5A9F-CBD7-4929-B14A-91EFBC2FD394}</author>
    <author>tc={8638B642-01F5-4E55-A38C-06C3C78C84D3}</author>
    <author>tc={399AB334-2D2C-4393-BE9A-F1E7F4F7C8D5}</author>
    <author>tc={4FF1A888-1332-432F-8C06-B4B0EEB27425}</author>
    <author>tc={4CA9F441-2703-4723-B160-8607E5429897}</author>
    <author>tc={A229C8E0-2ECF-4203-909A-03D2F6770D5E}</author>
    <author>tc={79808F56-9C43-437B-9148-28EEA06D4809}</author>
    <author>tc={9E961A8F-F35D-4DCB-8DA0-FB71F6549A2D}</author>
    <author>tc={19C74A09-EA09-4BE1-ADB1-C451FB096691}</author>
    <author>tc={88A719E9-CEC1-43E7-8A34-7D8C7BEA9FA1}</author>
    <author>tc={86A194BD-F073-4AE0-B2B8-1E53F0547BEB}</author>
    <author>tc={EF59328B-4386-4547-9C6B-D9EB4A1F2444}</author>
    <author>tc={5812F5D6-D182-49D6-9283-4FCA2F3573C9}</author>
    <author>tc={035A0DF4-30FF-4F72-8161-EF741DE18831}</author>
    <author>tc={0286C623-DFF3-4C7B-A830-25E87A76F297}</author>
    <author>tc={A2556477-3EDA-4C6B-9C03-BBB18E8052A9}</author>
    <author>tc={61062958-467D-4647-A0FF-A43EBF9B542A}</author>
    <author>tc={E0B04F52-5C89-4C93-B7D6-9441F1545FB5}</author>
    <author>tc={BCDCEC15-6EF4-4A96-93DC-404B055575BC}</author>
    <author>tc={1FCE9958-5EE0-4EF9-9126-A0D647352DDF}</author>
    <author>tc={608439D5-8236-4698-8F38-35DF7AD8054B}</author>
    <author>tc={A5E6361E-E3C1-41A5-861C-9127613AA6EF}</author>
    <author>tc={A067A75D-7A63-4CAD-8E91-56E53C6293E3}</author>
    <author>tc={F1C3334A-3DCE-4D50-8E0E-14CE51526528}</author>
    <author>tc={3B68E7A2-1D3A-4678-83C6-026A487DCBF7}</author>
    <author>tc={6CF0E31E-5F30-47CE-85A9-619C8EA2BF2A}</author>
    <author>tc={BA8D672D-8047-4DD5-85BB-44061E9782F5}</author>
    <author>tc={FF3FB826-D968-492B-98A7-ADD1A80540A1}</author>
    <author>tc={6F9DB863-93E7-4F69-9964-326EDF115D40}</author>
    <author>tc={AF975F68-7DDA-4D81-94D2-B4A344F5E7CB}</author>
    <author>tc={50FBBC25-87AF-47AE-9AE1-EDA4087C9926}</author>
    <author>tc={0C6350A4-6294-40E3-A206-6A532FD00BB6}</author>
    <author>tc={64BC5D92-27CA-4D37-82B0-2EF5588AE1E1}</author>
    <author>tc={3ACC1E45-F483-406D-AE00-747655AC1644}</author>
    <author>tc={21A55153-ADF1-4AFB-B39B-80C2347A30E3}</author>
    <author>tc={21CBD01C-82C4-4E51-8C8B-693FFF756928}</author>
    <author>tc={EC24990F-1E8B-4C96-BE10-7E6C159B54BA}</author>
    <author>tc={8EA04C83-2AA0-4B0A-BE92-457BD99D83CD}</author>
    <author>tc={1E69F667-88EB-4CC9-815D-C61A56BFBC6F}</author>
    <author>tc={34111505-269E-4ABE-A103-8A12A110E92B}</author>
    <author>tc={3ACA14E8-FE2B-48BA-A346-9F7406F899DB}</author>
    <author>tc={09BC377E-EEFB-495F-A358-9E0FDA6E24A6}</author>
    <author>tc={E4161129-D02F-44BF-89F6-44A2743BF07D}</author>
    <author>tc={9C709A77-E940-4CA2-9F7E-6C998E83A654}</author>
    <author>tc={EC906AEA-B717-42BE-A315-7DEC9D8DD2DE}</author>
    <author>tc={11D76E49-08B7-4ADB-967C-F17AA8AE5252}</author>
    <author>tc={CCAFBF31-E8D0-46A5-A47E-87B4B6D3FB64}</author>
    <author>tc={0517E558-3116-4616-9335-AA7A5C41A419}</author>
    <author>tc={3291FF6E-1CD5-4E05-AE41-B945DFE21D68}</author>
    <author>tc={70F9924A-977D-422D-9E28-F54590C48F02}</author>
    <author>tc={96DD1F9E-485B-437B-B32D-9F09DE30C226}</author>
    <author>tc={1EED2278-AA99-4234-A1D7-B99F200C19CA}</author>
    <author>tc={26F0FD67-E158-463E-9379-8987A745607A}</author>
    <author>tc={71F429D2-7A23-452F-8727-B0924B3EE0B4}</author>
    <author>tc={3C751E1C-1565-4D3B-8EB2-3E2FACB121F6}</author>
    <author>tc={BDD79E2F-149C-466A-986B-EA4B8326F8A8}</author>
    <author>tc={1F335114-5F79-4CA2-9349-DB3F557EAEA5}</author>
    <author>tc={7294DB8B-50C8-4FCC-A489-DDB2403D0059}</author>
    <author>tc={3185F5B3-6D8C-4825-9F0B-413255299A1B}</author>
    <author>tc={295F35B6-D763-4A71-8168-F880730EE35C}</author>
    <author>tc={71D50860-EB71-4CEA-8831-0CA6E5744F9B}</author>
    <author>tc={0CBDD94D-644E-4670-9720-2877097098AD}</author>
    <author>tc={2601FA3C-4E22-492E-B49B-A81266143A07}</author>
    <author>tc={DC405B21-7AC7-4762-85A9-0BAE930A2216}</author>
    <author>tc={55F3C152-26B7-4C7D-AC5D-B74B7CB3B263}</author>
    <author>tc={158EC371-D02E-471E-B8BA-860D8751F91D}</author>
    <author>tc={7C679D20-D3C7-48FB-A73D-F404F7F9338D}</author>
    <author>tc={154B546D-8989-4DEC-90E1-DE5872CD220E}</author>
    <author>tc={B7C33EDA-52E6-4EE3-A253-282F8B9A6577}</author>
    <author>tc={CF3D09FA-7C4D-4C02-AF6B-C25082381612}</author>
    <author>tc={E1E4E599-3915-4D2D-99EA-4C39151FDB44}</author>
    <author>tc={761E9DDE-3F6C-49FA-BE66-BFD01264BB49}</author>
    <author>tc={65A0CE5E-055D-460E-9766-8B6CD92CF98A}</author>
    <author>tc={09FE698B-57CD-4F51-8513-710E23C270C0}</author>
    <author>tc={FFE8F0AF-EEC7-4B23-8E02-5128A908D28C}</author>
    <author>tc={FF4BF471-7F7C-4D15-8C71-6578FD88E7C5}</author>
    <author>tc={74DDAD39-B47E-4226-BEB1-CA84C3AB1A9F}</author>
    <author>tc={A272E4F7-74C1-44B7-ABEE-FDB726AFE579}</author>
    <author>tc={8219CE04-AE1F-4B01-BF97-564BCEDA70EC}</author>
    <author>tc={B377FF1C-F91D-4592-BCF0-82E62C450815}</author>
    <author>tc={F8A9FCF2-10C8-4EF0-85BD-3AC1FC1A12DC}</author>
    <author>tc={FB64E585-4F3A-4AF2-BCCA-38FAA4C0DF46}</author>
    <author>tc={F458D7EE-36F5-4D4A-BE98-F51BFA95FC44}</author>
    <author>tc={9604FCB2-97C4-4B34-8115-308F160DD85B}</author>
    <author>tc={6E1827B2-984A-4D82-9E96-CAC1D9CA2B0C}</author>
    <author>tc={5A39E4E3-AAD6-4303-AD53-D7335470E0D3}</author>
    <author>tc={C2B6E3CE-52F8-44F6-844F-15082A1B4A05}</author>
    <author>tc={F7C9E8FE-49EA-4661-9E09-F5AEBA6D86DC}</author>
    <author>tc={EE669C4B-FA8E-43E0-A17C-314E94F52F59}</author>
    <author>tc={5D02E304-185D-4562-A7D3-561D39CD0037}</author>
    <author>tc={97B6B9F5-0959-4A3F-A993-3E1BB320A326}</author>
    <author>tc={B2EC1F6D-F442-4C68-AFF4-58C647D6FB1B}</author>
    <author>tc={FE553565-3570-42CF-93D1-B7CE6B147787}</author>
    <author>tc={0D81447C-1674-416B-89A9-466CBB52ADA1}</author>
    <author>tc={1066A662-1990-48C5-AFE6-7F9FD473E818}</author>
    <author>tc={0D30EBA7-F4B2-49CA-87CF-BA627B79BEA3}</author>
    <author>tc={CA6828D1-A9C6-4EED-BCDA-4AA8BD72BD6E}</author>
    <author>tc={E357563C-11DB-4DD3-892A-EF5171FE0805}</author>
    <author>tc={C37B1E84-C016-40CE-8674-1491F568A668}</author>
    <author>tc={AAB81C44-C7A6-405B-9FF1-710941520FC3}</author>
    <author>tc={83A72354-2456-421C-BB6F-7718B9330CC9}</author>
    <author>tc={53C09FE2-EC53-4777-8750-214142A6EFB8}</author>
    <author>tc={D23BB44D-2311-4397-9D41-B32ECBF72361}</author>
    <author>tc={E988C83E-2A36-447C-8C8B-6A82D0BCFA2A}</author>
    <author>tc={618054E2-BE3A-45E5-8199-F089198DDFE7}</author>
    <author>tc={5EC8BCAD-0564-4596-A359-44A70E0BD418}</author>
    <author>tc={123426B7-758D-4CAE-B66B-110A7470D282}</author>
    <author>tc={79097C78-454A-4D2F-B8A0-E3994C97014B}</author>
    <author>tc={055F665E-4F9E-4D6F-8061-A14E352C7625}</author>
    <author>tc={942BE686-94C3-4362-8114-FF62C34DF2DE}</author>
    <author>tc={1FC6A136-1299-4A94-80CF-F8D1B075D382}</author>
    <author>tc={6B176E5C-85F4-4588-8FC6-07D67FD07F30}</author>
    <author>tc={1D58D5DC-F330-468F-A6F6-BBC9900E7FCD}</author>
    <author>tc={2076F20E-6C44-4419-AC7A-F8358CEDD91A}</author>
    <author>tc={8640BDCC-18B5-43DA-9D88-11C0D0A0D8EC}</author>
    <author>tc={5F8125AD-7A56-49A3-8AD0-5731617D8534}</author>
    <author>tc={8A1F86DB-7A5A-4651-850F-95584065B60F}</author>
    <author>tc={C58E70AC-64A3-4B89-99FF-98871E2FC4E2}</author>
    <author>tc={1F142775-E882-4A5A-8C24-1902D26B93D0}</author>
    <author>tc={F10ADD7A-89A9-4CF5-825B-2CC295753ADC}</author>
    <author>tc={C2CCC9C3-6108-4F94-8448-6B8128DAED6B}</author>
    <author>tc={B7740EA2-4F71-4C37-88CD-13EFCBC45172}</author>
    <author>tc={F2AF4852-CB8C-4CBC-8D69-55FF7D46A7E6}</author>
    <author>tc={26A19A1B-945E-4704-8FA8-E75DF84CA410}</author>
    <author>tc={2CDA9C89-5B28-4FBB-B208-8E74AFB1AC89}</author>
    <author>tc={5297D70C-B26A-4136-8777-666AA66ADF40}</author>
    <author>tc={94377A08-A8DE-428C-A6AA-066DBB3A9C6F}</author>
    <author>tc={4451E48C-2790-4607-8413-7C783878294B}</author>
    <author>tc={9ADA780C-6214-4316-BC9E-BE331BA27385}</author>
    <author>tc={6B27BFC0-BB12-437E-963C-EDA5FD28F082}</author>
    <author>tc={D56CA996-ABB6-4D84-9B34-667215342A5C}</author>
    <author>tc={A44E9B39-1CA5-4B9E-AAE2-56AF4C7F1223}</author>
    <author>tc={74ADB240-58F7-48DA-899A-C363B3CEFAED}</author>
    <author>tc={F47FD837-0945-4EC2-BB6B-9AF123772F53}</author>
    <author>tc={57833A95-A160-40E8-9957-2C63714E7A7A}</author>
    <author>tc={ED8B60B5-FC7D-4AEB-9630-A4322E30BBDC}</author>
    <author>tc={78EFB3AA-52FB-483A-875E-EFC81583BAB2}</author>
    <author>tc={F6DAC8AB-AE8C-4C2E-B13E-6B9055A8B841}</author>
    <author>tc={F4C3039E-FC49-4EC0-9A25-C4F66E062385}</author>
    <author>tc={C05C97E1-5E18-4DF2-853D-34F42CAF5B7A}</author>
    <author>tc={1FE27163-484D-490B-ADA7-D21908FEBE69}</author>
    <author>tc={66F908DB-F325-4D61-BCF8-965AFFA10288}</author>
    <author>tc={6591173D-67B2-42D7-8E6A-405BA55C8237}</author>
    <author>tc={90FB186D-E348-4794-A745-93BB7094553F}</author>
    <author>tc={14EB6F16-8210-4813-8D9E-E593B6EAA524}</author>
    <author>tc={78F44295-A1BB-44DD-8AA6-8A6909ABC1E5}</author>
    <author>tc={1E66F5BA-B363-4BD3-8433-B413EA85C1D5}</author>
    <author>tc={7AF4B269-AE2E-421D-8E5E-131170429A9A}</author>
    <author>tc={CDF03623-504E-4ACF-B226-C9BB2BA5CEFE}</author>
    <author>tc={0B6AE0F5-CF66-4022-BF33-43D189BC86E3}</author>
    <author>tc={E0F12B33-5ED6-4A97-93E7-5C415DE982CB}</author>
    <author>tc={7A373ECC-49AD-4527-8212-3260C56451B7}</author>
    <author>tc={2B9D8AE4-D5D8-4E18-93B4-A1BA9A45DB8D}</author>
    <author>tc={D6019C41-672C-4676-8D44-23E1642F15D9}</author>
    <author>tc={BC554243-F58E-4BEC-8031-70400429617C}</author>
    <author>tc={0C1E3E0E-31AB-4E1E-BB8E-771523DD2505}</author>
    <author>tc={34BEE192-6806-4358-A40B-333E49F0341C}</author>
    <author>tc={76AB6C5A-4DC1-4F63-BE73-801F74CCC0BB}</author>
    <author>tc={C900AD4C-6AF4-495F-8D1A-429806A61973}</author>
    <author>tc={3E29EFB2-9DE3-46E6-9DEA-1E7760BF1A2F}</author>
    <author>tc={85552136-D765-4C74-B8A6-3A31C1F9D45C}</author>
    <author>tc={3EA55247-6D45-4568-98ED-007B056F6534}</author>
    <author>tc={B3ADAAE1-4BB9-46E1-84A6-5F233090335B}</author>
    <author>tc={A26C3853-6236-47D0-9A6D-DC8D93C278AA}</author>
    <author>tc={D0FC4957-E74A-4891-A180-8850205C5F70}</author>
    <author>tc={0B4A67EA-2838-4AE4-8D9C-E8418E911194}</author>
    <author>tc={A19B0E3F-2842-4035-9EF2-B93E25B8E0E2}</author>
    <author>tc={1DB788AB-D11B-48B0-B6AD-33E01B14147E}</author>
    <author>tc={021AD9F1-9DEB-4C2E-9600-1265C0E3262D}</author>
    <author>tc={73CAA778-5A18-4310-B424-9759692CBBB5}</author>
    <author>tc={BF6E2B96-920A-44DE-8B48-09CE51ED7578}</author>
    <author>tc={108451B1-BCAC-43D9-B09A-D1391FA14FC1}</author>
    <author>tc={F732B775-AE2B-4E19-B480-073459D01EF2}</author>
    <author>tc={6CC316BC-A9C9-49BD-8A06-2179CEA06A84}</author>
    <author>tc={C4B8B487-52D1-4825-A9B8-439DA2202937}</author>
    <author>tc={C5371B48-9DE6-4B47-B16C-C5D0655C5A26}</author>
    <author>tc={129F7CD2-4FE6-453B-AD62-F44E3EE94B93}</author>
    <author>tc={54CA0DD2-4918-4DB5-B6F0-F3B33868D69D}</author>
    <author>tc={018D5A94-FFBA-421A-9904-EC693432BE81}</author>
    <author>tc={EC2E0064-9062-4CA6-BEAD-CAA89BCB1DEC}</author>
    <author>tc={B3C6758F-8A5C-4CBF-B534-4272A6CE007C}</author>
    <author>tc={AE690613-EC79-4E69-A7BB-6BC2A9357400}</author>
    <author>tc={086309F0-23BC-4AC3-99F5-C105236CAF96}</author>
    <author>tc={E1181B2E-CCBC-4DDE-82D4-A0BAC0DBBF1F}</author>
    <author>tc={C5E28356-1B12-4011-BEF2-BC77E3487192}</author>
    <author>tc={6695275C-889D-496E-BA9F-C4B4884A9342}</author>
    <author>tc={93D6EA63-0369-455D-80A0-0A6AEC2C2328}</author>
    <author>tc={4F5E03BE-1BBB-49AB-BF10-DE3863EA9B63}</author>
    <author>tc={45E81B3D-0B83-4DE0-905B-4363BE40C98F}</author>
    <author>tc={B3DAFCAB-C2F3-4AC8-9439-304F5B590E3D}</author>
    <author>tc={83091695-CAD2-4357-81A4-07530DADAA8A}</author>
    <author>tc={915707C1-592C-476F-A3E2-2EAA91F053F4}</author>
    <author>tc={759243DC-9215-40A7-A37B-7BF3E693298F}</author>
    <author>tc={F8A6808C-23F0-4A26-8DCC-CC143A4831C5}</author>
    <author>tc={397D8AA8-8E41-490D-9D70-4A638CF1C738}</author>
    <author>tc={2839EAF1-FABA-4CB4-8DED-3223070ED30D}</author>
    <author>tc={4D90184F-B856-4DE5-8239-5B0E658712BA}</author>
    <author>tc={87ED9FBD-BD5D-4734-9B96-0E9EE3915633}</author>
    <author>tc={BF3E343B-1EB3-42CF-A23C-6554E23400BF}</author>
    <author>tc={28E19D8C-174F-4825-AE86-EA229467FD74}</author>
    <author>tc={F5153310-3C8C-45E1-9D9C-16081444EB0E}</author>
    <author>tc={2F24F2D5-9A68-4AE8-B81C-0E64D1E32F58}</author>
    <author>tc={C5D57B25-2E3A-4BD4-BB00-C548B1F3D5CB}</author>
    <author>tc={B36E8C79-CF7E-4DE0-89AA-FB11592D540A}</author>
    <author>tc={4B1B0323-D3F6-48AD-8AAF-6C33A1287CB2}</author>
    <author>tc={96F5505F-973E-417B-B049-20F35A3F7152}</author>
    <author>tc={B7E659A3-F3B4-4783-BEC6-5B6C8437FE8F}</author>
    <author>tc={8361B975-7FB4-4E78-BE05-4A7DADCA96A2}</author>
    <author>tc={B0DEA7B6-723B-4669-BDB7-F82DE4070B7A}</author>
    <author>tc={13D0C226-7889-47EC-8E61-60ADA93CFC14}</author>
    <author>tc={DF10B168-0C7B-43D3-86AC-BD91423FA735}</author>
    <author>tc={B2FF3FE4-F376-4ABA-9F2D-16DFDC49EE2A}</author>
    <author>tc={1742E31A-6DFC-4E22-9777-D7F6BFFAAC00}</author>
    <author>tc={35BA6ECB-10F6-4A5B-8EF8-DCABBD4AE5BF}</author>
    <author>tc={B24A46C6-CC79-47C2-B6FB-AE33FE2E9C35}</author>
    <author>tc={E8D2323F-31FF-4BE8-9E3A-0781F7AC8D70}</author>
    <author>tc={1697D01C-3769-43EC-A925-77BBAA9999D2}</author>
    <author>tc={6E0742A9-6CA5-4388-AFB3-CA6B41C17F97}</author>
    <author>tc={6C9BBD34-BC67-45C9-9771-5A66252D9C2B}</author>
    <author>tc={BB435BC4-8912-42A3-AF85-1E38615D9070}</author>
    <author>tc={2354010C-B891-4EE3-AB92-2E92B5AC023E}</author>
    <author>tc={8C6D9325-C266-48D4-989E-40F4FC218A67}</author>
    <author>tc={218C083F-BA55-4140-9CBF-2DA8C1CBFCCC}</author>
    <author>tc={4F0598B3-2807-4563-A3C4-D844556D5EC6}</author>
    <author>tc={2B3A6A3C-00FD-48B5-933C-2425FED73707}</author>
    <author>tc={FBA691B8-903D-4212-BC3E-D33D4623F547}</author>
    <author>tc={F45501BE-9960-4F49-9030-39F13072CBE6}</author>
    <author>tc={97D68407-56C0-41EF-AAA0-4EB031AFA00D}</author>
    <author>tc={8B7D45F5-2456-4AE4-8D28-ECD561F33DB9}</author>
    <author>tc={35E4A90E-332C-4422-9E98-212640E42214}</author>
    <author>tc={FBC4C7ED-1F11-405D-BB36-BEFE4583C6F4}</author>
    <author>tc={35FC6594-080E-4688-AA03-7454363CF121}</author>
    <author>tc={1CBA698E-ED77-4D24-8259-0A64404DBAF7}</author>
    <author>tc={E7669149-0066-47FC-A52D-670B913DAE9D}</author>
    <author>tc={462A89FA-A61F-4FC9-8935-3CC95948201B}</author>
    <author>tc={FD8A120C-8795-427C-940F-746FA937F99B}</author>
    <author>tc={09A39736-0779-43D7-BAD2-3C2A97B7808B}</author>
    <author>tc={BE881A1A-DC3E-401C-9563-333A651A7111}</author>
    <author>tc={538C1612-5095-4265-A31F-968E30695DFA}</author>
    <author>tc={401CCE29-0FD5-49E3-B7B8-3D68C16C61CF}</author>
    <author>tc={B184994F-472B-4F6C-B960-4D3AFE916B7D}</author>
    <author>tc={C6B810A3-7C30-45A7-A015-CD12E5277286}</author>
    <author>tc={28B71745-2D85-4D40-B85B-2E873BF0FE70}</author>
    <author>tc={DA27F0A1-FDB0-4D35-BF60-3BDAE2A5E830}</author>
    <author>tc={5C40B4BE-E24E-401E-B3CC-1B01F8844976}</author>
    <author>tc={DD30FA7E-0A1B-4ECC-B06C-65998794D821}</author>
    <author>tc={9A0FB4B7-DACD-46A4-AD0F-508B46E266F8}</author>
    <author>tc={0033CA36-D73F-4951-A106-FA34CB269EB7}</author>
    <author>tc={3A703B23-B748-424B-9CED-B9B5004F25D0}</author>
    <author>tc={0E5D311E-2168-4B23-855E-168C93D5ED2A}</author>
    <author>tc={C0A6EF2F-C49F-4CE2-9D27-44F4FF6D70AE}</author>
    <author>tc={854DB67F-5576-401E-B727-D894B2DC53C5}</author>
    <author>tc={AB7623A0-5F48-4270-B707-9AD167999950}</author>
    <author>tc={192B4137-1851-4AE8-8EC0-DDF004D94A26}</author>
    <author>tc={CF2763CB-CA73-4AD2-B0F1-A8719B72D2D8}</author>
    <author>tc={73470746-1C88-4AAB-8BDD-B0EE7E88F6B7}</author>
    <author>tc={9D447B03-C609-4721-8CBD-9727A52BF847}</author>
    <author>tc={0DC009F9-6D97-41A0-BE0B-B9BA25E6C6E0}</author>
    <author>tc={17C6D4A1-0CD6-49DB-94B6-603AFEF1FD25}</author>
    <author>tc={4744C767-6882-4686-BBBC-C81D317B20E2}</author>
    <author>tc={1A8DD381-8A55-4A26-BF5C-8C7E603FD866}</author>
    <author>tc={433DA12E-6B2E-416F-A53C-AB3D36D3E406}</author>
    <author>tc={7617E4FE-2E48-48B1-A7E3-4BEF13F6CE4E}</author>
    <author>tc={D1B18A1E-7EA0-4578-9518-57A22F552F1B}</author>
    <author>tc={BB3FD5FF-891E-445B-A979-49A816609AB6}</author>
    <author>tc={33A2931B-94CF-4314-B603-A257852BE4E5}</author>
    <author>tc={CE9D0739-F522-408E-A55D-80EE0EC97371}</author>
    <author>tc={A355DBB7-B52B-4D15-8EFE-03695C1E7AF2}</author>
    <author>tc={2CB11518-C888-4C9D-853C-B6F97B03F54E}</author>
    <author>tc={368B2644-2EE6-41A2-BA11-991A9BA806E5}</author>
    <author>tc={12749F1C-F797-4DCA-AF42-45D8A5769883}</author>
    <author>tc={61AA4AC7-E126-41F0-B06D-9CC9A70E8046}</author>
    <author>tc={470193BE-D4B6-4E3C-AB8C-2CDAEE5F3D28}</author>
    <author>tc={AA5B0BA8-2566-40C8-B221-6177D3E3D18F}</author>
    <author>tc={1E60645C-CE2A-4031-AA8F-74AAA1B09670}</author>
    <author>tc={577C7A1D-7B0D-431F-B4FF-C3DE5316807B}</author>
    <author>tc={AD518D0C-D809-4DA0-9A8B-D638AEB6FE34}</author>
    <author>tc={5ACF2F24-FDEA-42B5-A1AC-F1FA197C0FEE}</author>
    <author>tc={F0B0C8DE-C8F1-4894-A50B-1387212F4C7A}</author>
    <author>tc={204BC790-8F3C-4D2A-B05B-7CB5652EA118}</author>
    <author>tc={1A64BB2B-A244-478E-81BF-8292B19E6E38}</author>
    <author>tc={3317A55A-EBED-4F13-ABDA-A93E86D8C699}</author>
    <author>tc={2D7CEB15-6EC0-4EA7-966B-354BF8F233A0}</author>
    <author>tc={16B319F5-143D-42D8-A8CB-0704023DF101}</author>
    <author>tc={59E458C8-2E80-427E-8E7D-74BC832BECBC}</author>
    <author>tc={FD0AD35D-A8C1-496B-9899-E750A3B1B27C}</author>
    <author>tc={8B13A285-CFC4-4E5D-B8DD-2A03A272FD4C}</author>
    <author>tc={D9E96AED-749D-49BD-B920-8DED6E7994F7}</author>
    <author>tc={87F27941-DE08-4F50-86A3-57B364C0F52C}</author>
    <author>tc={3860FFCF-E3B6-4A80-9FF0-01CB1E0944E9}</author>
    <author>tc={C242FB7B-A4C0-49EC-BD1E-7334636DAFD1}</author>
    <author>tc={AA7357B2-88A2-4527-8F0D-8B5C0638902B}</author>
    <author>tc={CB47BBB6-E712-4E1A-9017-CCA9737549D9}</author>
    <author>tc={AF6C03F6-A45F-4D0D-BB77-FEE10B968D6E}</author>
    <author>tc={16CBFF89-0FA5-4C64-8770-0000A1A40528}</author>
    <author>tc={A563486C-0EC0-47B0-84FC-CC3B3EC305F4}</author>
    <author>tc={AD04B273-614F-40F4-8B23-029D0DDBC99A}</author>
    <author>tc={FA0274F1-791D-4A42-A332-397C89DC0D15}</author>
    <author>tc={BCD97C2F-8F47-4CC4-A34B-FD1A6B73B2C6}</author>
    <author>tc={8FD1001E-726F-4FE0-9CA9-8C466359CBA8}</author>
    <author>tc={803B340E-9B79-46BE-B9F9-99F97F2037EB}</author>
    <author>tc={684C9D01-DCBA-43D7-B309-0502BDD277D1}</author>
    <author>tc={9439B40C-470B-481C-89A9-C0447A8C3FF4}</author>
    <author>tc={21A0A264-2CA8-4283-95A7-A973218C9C6F}</author>
    <author>tc={4FF29952-E854-495C-8083-D335DA48B6CC}</author>
    <author>tc={2E59EBCA-5505-4EBB-B78E-2E2FFAC37555}</author>
    <author>tc={E5AB446A-258F-434A-A074-A68CEE5E5670}</author>
    <author>tc={E40623CE-1FD9-4A8D-857A-3170FF0739BF}</author>
    <author>tc={2A5914D7-0CD9-4622-98B1-2604D65D6F6D}</author>
    <author>tc={729755BA-6B19-4478-A3A3-646C0E7C620E}</author>
    <author>tc={24FEA18C-3865-47FA-932A-A8552600995C}</author>
    <author>tc={ED6A43B6-9667-48CE-8C16-E60831132433}</author>
    <author>tc={A249EF56-9E4C-4DAE-BCEE-902A2F167444}</author>
    <author>tc={48E84601-3EE3-49AC-A32E-DC7012214EA9}</author>
    <author>tc={437DAC6E-2010-4D0C-B7B1-D760659431ED}</author>
    <author>tc={D0539629-185F-48F7-AD57-3DDB221870F6}</author>
    <author>tc={98E3FEB3-CA84-4D62-8FBF-1D648FB4246D}</author>
    <author>tc={81FE07BC-BEBD-4782-A1BE-3DA0B3EFF412}</author>
    <author>tc={6C335CB2-B5C4-44BB-AFDE-52337FC4B98B}</author>
    <author>tc={1D7FE90C-79E0-4352-A6AB-4998450A9617}</author>
    <author>tc={836413D5-3321-41AE-9210-FEB80FF9C8FA}</author>
    <author>tc={07179357-023E-4165-BD60-461EE7E091A5}</author>
    <author>tc={A4682334-7CA9-49C4-B512-CF7FEC808272}</author>
    <author>tc={0E15E30D-3EC6-4597-8CFA-B635D01B21B8}</author>
    <author>tc={9DFCBB6B-F1B7-4CFC-8EDC-10A95FCB5839}</author>
    <author>tc={CE6FB43C-79F9-4E5B-8099-0E6CD14CF070}</author>
    <author>tc={525C17E9-34BE-480C-BCEA-CA7CE8CF1C5B}</author>
    <author>tc={0F25E9FF-01F7-424F-BB4C-CE3FF5B6289D}</author>
    <author>tc={EE7DB97E-FA74-4E91-B244-83CAD6AE4B63}</author>
    <author>tc={A268CA3A-0DC2-44E6-B6B1-D28D2B1B86A0}</author>
    <author>tc={5E0139AE-9A38-4994-A073-5F1A3DE5E162}</author>
    <author>tc={15B36B80-367A-4896-84A1-A96BCAFEF068}</author>
    <author>tc={CB1B2806-F2FB-48C3-905E-588B46E9F2E4}</author>
    <author>tc={40B4AE01-F605-47E3-B716-ECF7B5387987}</author>
    <author>tc={13A671F5-FEC0-4192-9D03-A95AA1BC7FFB}</author>
    <author>tc={C5B947CF-0347-4634-B161-6447B8221418}</author>
    <author>tc={6B7DC2AD-54FD-4118-A9EC-3E48E251173C}</author>
    <author>tc={86C831AF-00BA-448E-85E7-9A2E04781E83}</author>
    <author>tc={882CC3ED-4D6C-4F22-8761-02FCE27F0353}</author>
    <author>tc={3D0D007A-31CD-4CAE-B570-BA77F9766615}</author>
    <author>tc={0E50BB89-0BD7-4775-BFF4-C35098D912A8}</author>
    <author>tc={2F73945B-651B-44FD-B15F-CF534F282528}</author>
    <author>tc={F6B38398-049E-4043-AA94-A04C26E12168}</author>
    <author>tc={E2D0D955-ACAC-4FCE-B9AC-70245DB8CB21}</author>
    <author>tc={D5D6EF81-448F-4384-9FA3-AF7BD2ADEFFA}</author>
    <author>tc={580DB0E6-825F-49E5-BA38-2DA40072D28A}</author>
    <author>tc={DFC5F7C4-BBA9-43F6-823F-E5DAE10ABD1A}</author>
    <author>tc={46798F56-7CC3-4379-A75B-44DAD10C62C9}</author>
    <author>tc={3DFB4466-F624-4454-AB23-29FAC02DB545}</author>
    <author>tc={F6BBF1B3-56DC-48E0-9123-965F4433EC2E}</author>
    <author>tc={1C1CD700-9B68-4941-BDB9-E086D6562F13}</author>
    <author>tc={1CE2A394-0D1C-4E10-ABEA-BBA35BFDA33C}</author>
    <author>tc={2E97E962-275D-495D-A540-21F0746FD022}</author>
    <author>tc={E8E2C04D-984C-4272-B39B-31AC0538EAAE}</author>
    <author>tc={333CE027-F437-4FB8-9F42-E8FF7C32D73E}</author>
    <author>tc={CE3BDC30-113A-4157-9F19-183A04F96FCE}</author>
    <author>tc={A86217BB-D526-4D48-B56F-052CEF8567EF}</author>
    <author>tc={6C849F66-85C7-484B-BBF3-75268F2F0720}</author>
    <author>tc={0DD205B6-ACDF-4F5A-B711-48DBC534C2B3}</author>
    <author>tc={CCD89473-FD23-4FC5-A348-B0B78673B938}</author>
    <author>tc={FCB63578-95CA-446E-AFD7-72B204C28283}</author>
    <author>tc={0407BCF2-C2AB-44BB-9363-D48FF2A8A3CF}</author>
    <author>tc={1286B11F-01A9-4D9F-9684-F6F502611A66}</author>
    <author>tc={63A26471-35FB-4026-8518-A26433275802}</author>
    <author>tc={CD287E91-2D06-457A-96D1-5B18E83FB844}</author>
    <author>tc={7685658E-A57B-4DE1-86E2-53AEAC8BA7CC}</author>
    <author>tc={16EF06B8-E762-43C9-BD31-8FF6F6335885}</author>
    <author>tc={4783BB97-F8FF-4CC9-853D-104441D99D67}</author>
    <author>tc={4F02B6EE-9275-4966-9D36-213694E10964}</author>
    <author>tc={9E19DA6E-3EE0-4BAD-B7AD-49EF80C56100}</author>
    <author>tc={319A36C4-5857-4F10-B933-F3CCB6BBEC3D}</author>
    <author>tc={3DA8CEFF-8CD9-4047-9280-31A5EE3D3719}</author>
    <author>tc={9E2888CA-2438-468E-B559-0BAC758C00D2}</author>
    <author>tc={434B254E-67AD-485A-9369-8B3B282A5E00}</author>
    <author>tc={062AAF41-89F6-42BB-A3F2-B4775081508C}</author>
    <author>tc={3368E81A-FD73-487F-B2E2-EFF5E6AA90E2}</author>
    <author>tc={06C743FC-64BA-4D60-84E5-0650D3367671}</author>
    <author>tc={7B70632F-6867-49F4-9BD2-FEC2E0E721BB}</author>
    <author>tc={721F51ED-304A-49A1-BD38-B1571722017A}</author>
    <author>tc={D31175E3-D848-4CF8-8FD3-8892438E0E6E}</author>
    <author>tc={2124C522-AA58-416F-9215-6BC838CC0C8D}</author>
    <author>tc={86660ABD-75FE-43A3-9C20-2B1AA320CEE6}</author>
    <author>tc={83CB35DE-3C0D-4F72-A0E6-4F4B025D2C94}</author>
    <author>tc={2F600DE6-E115-4FEB-A915-D1396152E865}</author>
    <author>tc={7DA6C8D2-7BA3-4646-A5DD-36B844972590}</author>
    <author>tc={61D7A3C0-CC7A-438A-8695-F01E66CA700A}</author>
    <author>tc={1B7BBE4C-27D7-4365-BB50-59AE89E3C2A5}</author>
    <author>tc={2EA50423-7904-4C56-BEAF-42B9133C203F}</author>
    <author>tc={5A749869-D5BE-49EE-87B1-64B7D82F3CEF}</author>
    <author>tc={B2325457-4944-4D45-AEA9-F78135536A13}</author>
    <author>tc={DB4E73EC-13C2-4452-89CD-7F7C00CD5B82}</author>
    <author>tc={7DBDAEC5-4058-444A-B4CA-2B99E4FD6BFF}</author>
    <author>tc={DCEFD918-A817-4CD1-B02F-CAE7A983CA0E}</author>
    <author>tc={1D240A23-4982-45DA-AE15-86AA6D0E9C9A}</author>
    <author>tc={68953B6C-5D1F-4E5A-B013-375118DCFD66}</author>
    <author>tc={9657BEAE-E544-43E7-9E50-07F1303D5C4B}</author>
    <author>tc={510ED9E7-AE79-4D2B-BD76-20CCEDA519B9}</author>
    <author>tc={91278FEB-CCAD-4AAE-B51C-1E97A947C777}</author>
    <author>tc={97E1A139-EA73-4FD8-B809-E84633AE6C0E}</author>
    <author>tc={1DA3B7A2-1F14-4A65-AAF2-54793DB2D5D0}</author>
    <author>tc={66C57D72-1E68-4596-9514-A574ED087C18}</author>
    <author>tc={C7EA61ED-F5A8-445E-9B8D-ED2AC9D99C68}</author>
    <author>tc={8DDD141C-6AF0-4C87-9DE5-5B1AC8C9E7F8}</author>
    <author>tc={B7904565-F7BF-4E3D-A3C2-059741164FA4}</author>
    <author>tc={CCB363F0-15C5-4562-BAD5-DD75CF9DD921}</author>
    <author>tc={C1A0FAED-C5F7-44F7-9CD1-292BC142B81C}</author>
    <author>tc={401B14A8-315B-48A6-BB05-D17373B6227A}</author>
    <author>tc={FB145C2C-5EE7-428D-AD19-102E1454858D}</author>
    <author>tc={C127DCD6-939D-4322-A241-C07A990EE7FA}</author>
    <author>tc={60D22506-4CAA-4FC3-82AD-7174154A1380}</author>
    <author>tc={9CE440C0-2B3D-47CF-B32C-4AF4D6133F8C}</author>
    <author>tc={0ECE37BE-51FA-490D-81DB-1C72C1353D34}</author>
    <author>tc={EF5DF322-5327-41DA-B812-394D679731F1}</author>
    <author>tc={45B0BB90-0DF7-48C2-8A47-38D3C76AE046}</author>
    <author>tc={B9BC2CAF-2FBD-499E-8982-5805F5F22D34}</author>
    <author>tc={47C99A32-F4DA-4664-9350-BC70A24C72B2}</author>
    <author>tc={D198E1AA-9FCD-4965-83C8-1EA27F1AD2C8}</author>
    <author>tc={75AC41DF-2D81-4ED7-85D4-E7B1AA47438E}</author>
    <author>tc={5A820C33-1828-4FB7-9CBE-6D9D42B58A0A}</author>
    <author>tc={4B34FEDE-8F4D-4D6B-8DA5-B4F07EC67619}</author>
    <author>tc={FD4A1033-0F6B-48B5-9074-0CB61648AFAB}</author>
    <author>tc={2F4606AF-CFB5-479F-B97A-D996FBD119A2}</author>
    <author>tc={2B531414-D918-47A7-8C6D-B5FEF982A75C}</author>
    <author>tc={4DE5FA4A-1025-46C5-A8F2-04BE2C6FB697}</author>
    <author>tc={3DEB15ED-5E65-440E-83C0-C121EAA564EB}</author>
    <author>tc={462E4C6D-C153-4E9C-8823-3B71701CF24E}</author>
    <author>tc={928A6D15-E44C-46CA-9487-549B0A244ECB}</author>
    <author>tc={95216E3A-40A0-458E-8CDE-AC7E498C55AE}</author>
    <author>tc={C9852D68-7B30-4179-BD84-037494F4EECC}</author>
    <author>tc={57827B1B-083A-45C5-B0F8-C70A0A3F9FCA}</author>
    <author>tc={4281448B-7D7D-4D68-B003-23210B78E151}</author>
    <author>tc={FBF81328-EFA2-4C0C-AF63-3B99E12BA267}</author>
    <author>tc={273FECA8-A718-42A9-A3EF-C2729E267133}</author>
    <author>tc={DABC6840-3F0E-42D9-A303-5FD919F3A66F}</author>
    <author>tc={73ECB639-D6F8-47A7-A6F4-ED932B49EDBD}</author>
    <author>tc={D520326C-979C-4A70-B957-1B161AD23A72}</author>
    <author>tc={D282D424-C3D6-4E5B-8A84-1EEFE7D86D49}</author>
    <author>tc={0E20EEB1-60EE-43FD-A928-23170A74EC80}</author>
    <author>tc={7B1D8724-9CCF-4876-95DE-39890967D3E0}</author>
    <author>tc={99CDA12D-37BA-4AF8-9F9D-C9C933F67073}</author>
    <author>tc={4C222F90-611C-4DA9-8A5A-26C2EB5F7F8D}</author>
    <author>tc={013AC61B-B3C1-46F7-B225-CB3ED1EC7F9E}</author>
    <author>tc={40F245E2-1F63-4275-9B45-3959642350E6}</author>
    <author>tc={6B8A52B7-F36D-465B-8F12-6D211A23F16A}</author>
    <author>tc={223FF515-346E-47F1-948C-3AAEFF92B145}</author>
    <author>tc={E5F01429-8B4D-484D-AB6D-364CBFCDB6F7}</author>
    <author>tc={F4A336EA-8C59-4403-B00D-F6C4F782FCA0}</author>
    <author>tc={8AA6971F-241F-44C3-A996-A1A8E7AEF2DC}</author>
    <author>tc={2A96AFC9-F136-4765-BEB8-2427C563169D}</author>
    <author>tc={76061F58-345A-4FB2-B97F-D30F88645303}</author>
    <author>tc={1DDBE774-1992-4B41-AC12-F8C1D25473DD}</author>
    <author>tc={063F99BD-3F12-46E7-85AD-0AF84FAED5EF}</author>
    <author>tc={5148D8B8-FCCD-48B8-AFB8-B0B2BE476EBA}</author>
    <author>tc={4644CCD5-415B-4CEE-BC14-F07CB63B4B83}</author>
    <author>tc={9049A3BF-4FF4-4611-953D-DEE1BDB696A0}</author>
    <author>tc={2C265F40-06A2-4437-A126-05065140082A}</author>
    <author>tc={5A457877-55C3-480B-A330-FCD270604505}</author>
    <author>tc={CC49B535-6FE0-4506-8A82-15FB87815629}</author>
    <author>tc={BE5CA06B-F3C7-4A7D-B223-03802A581945}</author>
    <author>tc={4803621E-532C-418A-8FCA-C4E96A64661F}</author>
    <author>tc={FA60AD5E-D2AD-4179-87EA-1A729FAE5D37}</author>
    <author>tc={939C8032-3BFD-4A61-9CB1-7CD467BE65F8}</author>
    <author>tc={27C410C1-C305-4625-B22B-F443E9D0F452}</author>
    <author>tc={20559BAA-99B0-4D0E-B0DD-CC4420E9F7A3}</author>
    <author>tc={BEE2172F-3E62-41B7-90BC-160C050C8782}</author>
    <author>tc={D6A85960-2EF7-4B37-B508-535294B53EFC}</author>
    <author>tc={E50699E8-9F73-477E-8BF3-8E06E0D2A262}</author>
    <author>tc={A83E0C73-BCA7-4A9B-9486-942387C2AED5}</author>
    <author>tc={50458F78-8F5A-480C-A08D-4B8F05A3E2EE}</author>
    <author>tc={B7EB7187-774D-45B2-8C74-342BEFAF73AA}</author>
    <author>tc={720A96B8-9C78-427C-A08A-036AC401DF1C}</author>
    <author>tc={AD8292D6-5988-4D99-AA3E-CE4818D8A8E6}</author>
    <author>tc={9C426A5D-DA89-4C52-8BEF-B73D34DD186E}</author>
    <author>tc={968AA922-09F0-4D0E-9234-D94130D050FE}</author>
    <author>tc={DA99DCCB-4724-4721-8029-5E7350085190}</author>
    <author>tc={4682C159-0977-4AB4-8AD9-8655D807DA9F}</author>
    <author>tc={B7682752-2C1A-4041-83A5-25F7F576998D}</author>
    <author>tc={CCA22A22-6FFA-4F01-8CA1-38CCE441B6B3}</author>
    <author>tc={CF7AED95-8653-4B49-B3A3-2FD781D866EF}</author>
    <author>tc={4B3FB6A1-29DE-41B6-90DF-AAD11EC2ACC6}</author>
    <author>tc={A3004021-33D5-4FF0-86F0-74FDB2B5E343}</author>
    <author>tc={E06F7F13-287F-40A7-B723-280CFAA60BB5}</author>
    <author>tc={FB9D4332-E5EC-48AC-9AD9-459867A5E474}</author>
    <author>tc={71E905BE-55A3-4616-8F77-F9BEB5E6BB05}</author>
    <author>tc={50221A62-5D6E-407F-8912-C54757855B5D}</author>
    <author>tc={445D6A28-E7BD-4DDC-A019-7C36D464C645}</author>
    <author>tc={135E7BF0-BE05-4249-BE0C-D048033A75A7}</author>
  </authors>
  <commentList>
    <comment ref="T8" authorId="0" shapeId="0" xr:uid="{31E62967-3915-48C2-A13F-AA6C61D05D0F}">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U8" authorId="1" shapeId="0" xr:uid="{5A01B310-DA9D-4BC2-9A00-E4F7D4298CF5}">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V8" authorId="2" shapeId="0" xr:uid="{B72B8872-12F6-49E7-8EFA-3986CA536463}">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W8" authorId="3" shapeId="0" xr:uid="{C8E4A139-1BB3-4773-A5EB-29A63CD9B7A1}">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X8" authorId="4" shapeId="0" xr:uid="{46DCB147-6983-4079-8011-C6D19DF1B977}">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Y8" authorId="5" shapeId="0" xr:uid="{D8CBB866-86A8-41F8-81B6-C4EED5F39433}">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Z8" authorId="6" shapeId="0" xr:uid="{DFD8112D-A2D0-4EC3-BB22-5E678943FAC4}">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A8" authorId="7" shapeId="0" xr:uid="{AE3B8982-7B16-450E-BF29-2F7C9DEBBFE2}">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B8" authorId="8" shapeId="0" xr:uid="{E10683BD-9CF7-4446-A7EB-A1A4B31A293B}">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C8" authorId="9" shapeId="0" xr:uid="{A60A9FF3-185E-4BCB-ACF1-5C3E6E7EA3F1}">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D8" authorId="10" shapeId="0" xr:uid="{44629034-C639-4925-A24C-2FE4086EA0FD}">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E8" authorId="11" shapeId="0" xr:uid="{260BD320-189E-469C-908E-0F43A90A8621}">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F8" authorId="12" shapeId="0" xr:uid="{A9BC7428-5593-4957-BC91-CF9D569638D9}">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G8" authorId="13" shapeId="0" xr:uid="{6B1B4F63-5C00-4095-B59C-CA393AD35759}">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H8" authorId="14" shapeId="0" xr:uid="{89B82D72-E487-44DD-A87C-B02523A7A7E9}">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I8" authorId="15" shapeId="0" xr:uid="{642A2519-4100-49E3-B8DF-78A8FB7CB247}">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J8" authorId="16" shapeId="0" xr:uid="{389412A7-5F2A-4650-98ED-75B03B3000AE}">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K8" authorId="17" shapeId="0" xr:uid="{717205FB-1BC3-41FC-ABF7-7368B0471D38}">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L8" authorId="18" shapeId="0" xr:uid="{172EDF21-336A-440C-910C-9EE3F3F4A3C3}">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M8" authorId="19" shapeId="0" xr:uid="{1444E59E-375A-40C4-A1BF-8F3BF8F717D8}">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N8" authorId="20" shapeId="0" xr:uid="{B2F02AAD-C55B-4E33-9671-532D95825477}">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O8" authorId="21" shapeId="0" xr:uid="{5D0847EF-6CA4-4B9E-9E44-A80AE0CFA1D4}">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P8" authorId="22" shapeId="0" xr:uid="{A15EF154-02A6-484A-8394-B0223B6C81B3}">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T9" authorId="23" shapeId="0" xr:uid="{3D9D0803-B304-4213-B9D3-2D60B07BC615}">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U9" authorId="24" shapeId="0" xr:uid="{7AECDCE8-E100-491F-9968-94A95CB1A502}">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V9" authorId="25" shapeId="0" xr:uid="{5BB2A670-E5E5-4EF7-8903-6407AC4F6EF1}">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W9" authorId="26" shapeId="0" xr:uid="{FBCB2B10-E9E3-4EC9-A95B-593832C295D8}">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X9" authorId="27" shapeId="0" xr:uid="{7B628F5E-DE40-4FF5-A07C-5FE046B09AD1}">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Y9" authorId="28" shapeId="0" xr:uid="{D33DF5F2-6466-43CB-B245-5A133466B1A3}">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Z9" authorId="29" shapeId="0" xr:uid="{61475253-7791-4CAE-A32A-2F16E432C050}">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A9" authorId="30" shapeId="0" xr:uid="{524A6930-97A2-4D21-B8B5-B8DE2E74083D}">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B9" authorId="31" shapeId="0" xr:uid="{2AC9CF20-D2BB-4551-A383-8D2DFF484482}">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C9" authorId="32" shapeId="0" xr:uid="{61CCD6DD-FBC8-427A-AB3D-FDC53E436354}">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D9" authorId="33" shapeId="0" xr:uid="{DE7A0754-565A-4BE0-9757-2DD8642B9AB7}">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E9" authorId="34" shapeId="0" xr:uid="{F4E7EA84-AA09-461C-BB70-C69423F03418}">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F9" authorId="35" shapeId="0" xr:uid="{E1B40A9F-2C93-4DB4-B143-C68E72C97A51}">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G9" authorId="36" shapeId="0" xr:uid="{07F02811-4EAB-47FB-87F5-63032C75740C}">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H9" authorId="37" shapeId="0" xr:uid="{0E7AB2E9-147F-4D68-8A64-EDEE815732AB}">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I9" authorId="38" shapeId="0" xr:uid="{B0DBE0B5-877E-4264-94E1-72E89EDC2D74}">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J9" authorId="39" shapeId="0" xr:uid="{18FB3277-7D05-4600-BD8C-03420D9A24B7}">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K9" authorId="40" shapeId="0" xr:uid="{69001726-4917-4A7A-A984-A2AFC839269A}">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L9" authorId="41" shapeId="0" xr:uid="{70D100B7-4BEB-462C-890D-B87389927437}">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M9" authorId="42" shapeId="0" xr:uid="{C247043F-F284-4EDB-9E5D-F8353772B68A}">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N9" authorId="43" shapeId="0" xr:uid="{3806CA81-28F1-4B80-8C71-19824422D151}">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O9" authorId="44" shapeId="0" xr:uid="{2307A6A4-695C-4EB4-A4BB-B16CD692E99C}">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P9" authorId="45" shapeId="0" xr:uid="{B809B383-BA92-4FC3-B47A-F636A803F8D1}">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T10" authorId="46" shapeId="0" xr:uid="{B7CAE499-848B-4279-BAA8-43834E4547C9}">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U10" authorId="47" shapeId="0" xr:uid="{FC324F95-783F-4459-818F-655F9FC09752}">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V10" authorId="48" shapeId="0" xr:uid="{FC6BED8D-3B1C-4319-8CAF-5F3FA15A955A}">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W10" authorId="49" shapeId="0" xr:uid="{369BC254-7E94-4203-9E5B-DC0227C7A28D}">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X10" authorId="50" shapeId="0" xr:uid="{6EBE4C90-EAED-4984-BF47-D0BF258ADB51}">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Y10" authorId="51" shapeId="0" xr:uid="{74B024EA-660A-437B-A956-6030BB33CCF4}">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Z10" authorId="52" shapeId="0" xr:uid="{CC3865A4-5707-45D3-A48B-0008534A5435}">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A10" authorId="53" shapeId="0" xr:uid="{AF9F9FC0-F2AB-4C66-BAE6-195DBAA34B42}">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B10" authorId="54" shapeId="0" xr:uid="{AF7995F5-EDA7-49B3-9736-5AEF2D4DB6F1}">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C10" authorId="55" shapeId="0" xr:uid="{F860984A-419B-4883-8DBC-320B2BAB7B9F}">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D10" authorId="56" shapeId="0" xr:uid="{00D90626-D409-49C6-AF8B-69E81DA7D5BD}">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E10" authorId="57" shapeId="0" xr:uid="{3ABEB0C2-9793-4273-9ACD-00704498B27B}">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F10" authorId="58" shapeId="0" xr:uid="{7F930A46-B9E7-42D1-BA29-00895FB92ED0}">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G10" authorId="59" shapeId="0" xr:uid="{815B6AF2-D550-49D6-BFA1-3B92418D6EBB}">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H10" authorId="60" shapeId="0" xr:uid="{B0106BF5-BE0B-456D-AAF6-3FA04D2D6419}">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I10" authorId="61" shapeId="0" xr:uid="{471965DC-2534-4DD8-9454-E6298D2C0932}">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J10" authorId="62" shapeId="0" xr:uid="{51967DF5-8632-440C-A6DD-6A37F5E88607}">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K10" authorId="63" shapeId="0" xr:uid="{BDD79EE4-AB8D-46A0-8A72-F06CFE51C69C}">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L10" authorId="64" shapeId="0" xr:uid="{E8318D9E-4D11-4864-97DC-429806E00DDF}">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M10" authorId="65" shapeId="0" xr:uid="{ADE390AA-4767-4DFD-B8E9-B0714D36C26A}">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N10" authorId="66" shapeId="0" xr:uid="{D8D95C18-9CEA-4192-9186-AE161F39FF1F}">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O10" authorId="67" shapeId="0" xr:uid="{148C8FC0-A02A-4A11-AC11-427E0D55B8C2}">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P10" authorId="68" shapeId="0" xr:uid="{248D68ED-6F61-4093-BCCB-0687FBE4BCEC}">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T11" authorId="69" shapeId="0" xr:uid="{FC129BA1-B83E-43DA-91B2-79F5380DA216}">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U11" authorId="70" shapeId="0" xr:uid="{41066236-7DC3-477A-A01D-B2A058F8CAFD}">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V11" authorId="71" shapeId="0" xr:uid="{7F6E2C74-18C9-49F8-9036-590FC757F2EB}">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W11" authorId="72" shapeId="0" xr:uid="{B26341B5-A0BC-44CA-8753-98553F213F83}">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X11" authorId="73" shapeId="0" xr:uid="{9FE5EEB9-59DB-4BDD-877F-F08111EE0113}">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Y11" authorId="74" shapeId="0" xr:uid="{DBE330A1-63F2-430B-A6D6-157B1BD8A568}">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Z11" authorId="75" shapeId="0" xr:uid="{09062421-77E2-486A-A97E-EE06B09E7CBA}">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A11" authorId="76" shapeId="0" xr:uid="{51A26F22-AC32-4AF6-AFB7-9DE73842E115}">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B11" authorId="77" shapeId="0" xr:uid="{FFC6990C-97AC-4BA8-B6B9-DF2B556921F0}">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C11" authorId="78" shapeId="0" xr:uid="{F04BBC9D-93AB-41C5-8201-CFB508AD1432}">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D11" authorId="79" shapeId="0" xr:uid="{DD0AC895-D481-4D99-98C9-7D92AD62774D}">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E11" authorId="80" shapeId="0" xr:uid="{1AD7E92B-DAAA-4C69-8522-1F42BD070340}">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F11" authorId="81" shapeId="0" xr:uid="{A97D0866-BA66-402E-9153-79D7B7D1829F}">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G11" authorId="82" shapeId="0" xr:uid="{1A3CCB52-9ADF-4652-BB34-43828FF29825}">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H11" authorId="83" shapeId="0" xr:uid="{9F51B09E-A2B7-44E5-A101-2A027B23BC68}">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I11" authorId="84" shapeId="0" xr:uid="{5444FA1E-DC6E-459A-8394-407DB2F4A67B}">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J11" authorId="85" shapeId="0" xr:uid="{493A0496-E4A8-4A58-A82A-028AD1818596}">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K11" authorId="86" shapeId="0" xr:uid="{ED01892E-3811-423E-8909-C00BB311073E}">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L11" authorId="87" shapeId="0" xr:uid="{AA2A19E9-1514-4B7B-AA49-283A1790D7F6}">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M11" authorId="88" shapeId="0" xr:uid="{9272B387-0E1E-4128-8C22-D16D85410A8B}">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N11" authorId="89" shapeId="0" xr:uid="{82EC5A9F-CBD7-4929-B14A-91EFBC2FD394}">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O11" authorId="90" shapeId="0" xr:uid="{8638B642-01F5-4E55-A38C-06C3C78C84D3}">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P11" authorId="91" shapeId="0" xr:uid="{399AB334-2D2C-4393-BE9A-F1E7F4F7C8D5}">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T12" authorId="92" shapeId="0" xr:uid="{4FF1A888-1332-432F-8C06-B4B0EEB27425}">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U12" authorId="93" shapeId="0" xr:uid="{4CA9F441-2703-4723-B160-8607E5429897}">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V12" authorId="94" shapeId="0" xr:uid="{A229C8E0-2ECF-4203-909A-03D2F6770D5E}">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W12" authorId="95" shapeId="0" xr:uid="{79808F56-9C43-437B-9148-28EEA06D4809}">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X12" authorId="96" shapeId="0" xr:uid="{9E961A8F-F35D-4DCB-8DA0-FB71F6549A2D}">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Y12" authorId="97" shapeId="0" xr:uid="{19C74A09-EA09-4BE1-ADB1-C451FB096691}">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Z12" authorId="98" shapeId="0" xr:uid="{88A719E9-CEC1-43E7-8A34-7D8C7BEA9FA1}">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A12" authorId="99" shapeId="0" xr:uid="{86A194BD-F073-4AE0-B2B8-1E53F0547BEB}">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B12" authorId="100" shapeId="0" xr:uid="{EF59328B-4386-4547-9C6B-D9EB4A1F2444}">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C12" authorId="101" shapeId="0" xr:uid="{5812F5D6-D182-49D6-9283-4FCA2F3573C9}">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D12" authorId="102" shapeId="0" xr:uid="{035A0DF4-30FF-4F72-8161-EF741DE18831}">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E12" authorId="103" shapeId="0" xr:uid="{0286C623-DFF3-4C7B-A830-25E87A76F297}">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F12" authorId="104" shapeId="0" xr:uid="{A2556477-3EDA-4C6B-9C03-BBB18E8052A9}">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G12" authorId="105" shapeId="0" xr:uid="{61062958-467D-4647-A0FF-A43EBF9B542A}">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H12" authorId="106" shapeId="0" xr:uid="{E0B04F52-5C89-4C93-B7D6-9441F1545FB5}">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I12" authorId="107" shapeId="0" xr:uid="{BCDCEC15-6EF4-4A96-93DC-404B055575BC}">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J12" authorId="108" shapeId="0" xr:uid="{1FCE9958-5EE0-4EF9-9126-A0D647352DDF}">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K12" authorId="109" shapeId="0" xr:uid="{608439D5-8236-4698-8F38-35DF7AD8054B}">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L12" authorId="110" shapeId="0" xr:uid="{A5E6361E-E3C1-41A5-861C-9127613AA6EF}">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M12" authorId="111" shapeId="0" xr:uid="{A067A75D-7A63-4CAD-8E91-56E53C6293E3}">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N12" authorId="112" shapeId="0" xr:uid="{F1C3334A-3DCE-4D50-8E0E-14CE51526528}">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O12" authorId="113" shapeId="0" xr:uid="{3B68E7A2-1D3A-4678-83C6-026A487DCBF7}">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P12" authorId="114" shapeId="0" xr:uid="{6CF0E31E-5F30-47CE-85A9-619C8EA2BF2A}">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T13" authorId="115" shapeId="0" xr:uid="{BA8D672D-8047-4DD5-85BB-44061E9782F5}">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U13" authorId="116" shapeId="0" xr:uid="{FF3FB826-D968-492B-98A7-ADD1A80540A1}">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V13" authorId="117" shapeId="0" xr:uid="{6F9DB863-93E7-4F69-9964-326EDF115D40}">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W13" authorId="118" shapeId="0" xr:uid="{AF975F68-7DDA-4D81-94D2-B4A344F5E7CB}">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X13" authorId="119" shapeId="0" xr:uid="{50FBBC25-87AF-47AE-9AE1-EDA4087C9926}">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Y13" authorId="120" shapeId="0" xr:uid="{0C6350A4-6294-40E3-A206-6A532FD00BB6}">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Z13" authorId="121" shapeId="0" xr:uid="{64BC5D92-27CA-4D37-82B0-2EF5588AE1E1}">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A13" authorId="122" shapeId="0" xr:uid="{3ACC1E45-F483-406D-AE00-747655AC1644}">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B13" authorId="123" shapeId="0" xr:uid="{21A55153-ADF1-4AFB-B39B-80C2347A30E3}">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C13" authorId="124" shapeId="0" xr:uid="{21CBD01C-82C4-4E51-8C8B-693FFF756928}">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D13" authorId="125" shapeId="0" xr:uid="{EC24990F-1E8B-4C96-BE10-7E6C159B54BA}">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E13" authorId="126" shapeId="0" xr:uid="{8EA04C83-2AA0-4B0A-BE92-457BD99D83CD}">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F13" authorId="127" shapeId="0" xr:uid="{1E69F667-88EB-4CC9-815D-C61A56BFBC6F}">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G13" authorId="128" shapeId="0" xr:uid="{34111505-269E-4ABE-A103-8A12A110E92B}">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H13" authorId="129" shapeId="0" xr:uid="{3ACA14E8-FE2B-48BA-A346-9F7406F899DB}">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I13" authorId="130" shapeId="0" xr:uid="{09BC377E-EEFB-495F-A358-9E0FDA6E24A6}">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J13" authorId="131" shapeId="0" xr:uid="{E4161129-D02F-44BF-89F6-44A2743BF07D}">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K13" authorId="132" shapeId="0" xr:uid="{9C709A77-E940-4CA2-9F7E-6C998E83A654}">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L13" authorId="133" shapeId="0" xr:uid="{EC906AEA-B717-42BE-A315-7DEC9D8DD2DE}">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M13" authorId="134" shapeId="0" xr:uid="{11D76E49-08B7-4ADB-967C-F17AA8AE5252}">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N13" authorId="135" shapeId="0" xr:uid="{CCAFBF31-E8D0-46A5-A47E-87B4B6D3FB64}">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O13" authorId="136" shapeId="0" xr:uid="{0517E558-3116-4616-9335-AA7A5C41A419}">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P13" authorId="137" shapeId="0" xr:uid="{3291FF6E-1CD5-4E05-AE41-B945DFE21D68}">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T14" authorId="138" shapeId="0" xr:uid="{70F9924A-977D-422D-9E28-F54590C48F02}">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U14" authorId="139" shapeId="0" xr:uid="{96DD1F9E-485B-437B-B32D-9F09DE30C226}">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V14" authorId="140" shapeId="0" xr:uid="{1EED2278-AA99-4234-A1D7-B99F200C19CA}">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W14" authorId="141" shapeId="0" xr:uid="{26F0FD67-E158-463E-9379-8987A745607A}">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X14" authorId="142" shapeId="0" xr:uid="{71F429D2-7A23-452F-8727-B0924B3EE0B4}">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Y14" authorId="143" shapeId="0" xr:uid="{3C751E1C-1565-4D3B-8EB2-3E2FACB121F6}">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Z14" authorId="144" shapeId="0" xr:uid="{BDD79E2F-149C-466A-986B-EA4B8326F8A8}">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A14" authorId="145" shapeId="0" xr:uid="{1F335114-5F79-4CA2-9349-DB3F557EAEA5}">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B14" authorId="146" shapeId="0" xr:uid="{7294DB8B-50C8-4FCC-A489-DDB2403D0059}">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C14" authorId="147" shapeId="0" xr:uid="{3185F5B3-6D8C-4825-9F0B-413255299A1B}">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D14" authorId="148" shapeId="0" xr:uid="{295F35B6-D763-4A71-8168-F880730EE35C}">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E14" authorId="149" shapeId="0" xr:uid="{71D50860-EB71-4CEA-8831-0CA6E5744F9B}">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F14" authorId="150" shapeId="0" xr:uid="{0CBDD94D-644E-4670-9720-2877097098AD}">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G14" authorId="151" shapeId="0" xr:uid="{2601FA3C-4E22-492E-B49B-A81266143A07}">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H14" authorId="152" shapeId="0" xr:uid="{DC405B21-7AC7-4762-85A9-0BAE930A2216}">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I14" authorId="153" shapeId="0" xr:uid="{55F3C152-26B7-4C7D-AC5D-B74B7CB3B263}">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J14" authorId="154" shapeId="0" xr:uid="{158EC371-D02E-471E-B8BA-860D8751F91D}">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K14" authorId="155" shapeId="0" xr:uid="{7C679D20-D3C7-48FB-A73D-F404F7F9338D}">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L14" authorId="156" shapeId="0" xr:uid="{154B546D-8989-4DEC-90E1-DE5872CD220E}">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M14" authorId="157" shapeId="0" xr:uid="{B7C33EDA-52E6-4EE3-A253-282F8B9A6577}">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N14" authorId="158" shapeId="0" xr:uid="{CF3D09FA-7C4D-4C02-AF6B-C25082381612}">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O14" authorId="159" shapeId="0" xr:uid="{E1E4E599-3915-4D2D-99EA-4C39151FDB44}">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P14" authorId="160" shapeId="0" xr:uid="{761E9DDE-3F6C-49FA-BE66-BFD01264BB49}">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T15" authorId="161" shapeId="0" xr:uid="{65A0CE5E-055D-460E-9766-8B6CD92CF98A}">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U15" authorId="162" shapeId="0" xr:uid="{09FE698B-57CD-4F51-8513-710E23C270C0}">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V15" authorId="163" shapeId="0" xr:uid="{FFE8F0AF-EEC7-4B23-8E02-5128A908D28C}">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W15" authorId="164" shapeId="0" xr:uid="{FF4BF471-7F7C-4D15-8C71-6578FD88E7C5}">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X15" authorId="165" shapeId="0" xr:uid="{74DDAD39-B47E-4226-BEB1-CA84C3AB1A9F}">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Y15" authorId="166" shapeId="0" xr:uid="{A272E4F7-74C1-44B7-ABEE-FDB726AFE579}">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Z15" authorId="167" shapeId="0" xr:uid="{8219CE04-AE1F-4B01-BF97-564BCEDA70EC}">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A15" authorId="168" shapeId="0" xr:uid="{B377FF1C-F91D-4592-BCF0-82E62C450815}">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B15" authorId="169" shapeId="0" xr:uid="{F8A9FCF2-10C8-4EF0-85BD-3AC1FC1A12DC}">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C15" authorId="170" shapeId="0" xr:uid="{FB64E585-4F3A-4AF2-BCCA-38FAA4C0DF46}">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D15" authorId="171" shapeId="0" xr:uid="{F458D7EE-36F5-4D4A-BE98-F51BFA95FC44}">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E15" authorId="172" shapeId="0" xr:uid="{9604FCB2-97C4-4B34-8115-308F160DD85B}">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F15" authorId="173" shapeId="0" xr:uid="{6E1827B2-984A-4D82-9E96-CAC1D9CA2B0C}">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G15" authorId="174" shapeId="0" xr:uid="{5A39E4E3-AAD6-4303-AD53-D7335470E0D3}">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H15" authorId="175" shapeId="0" xr:uid="{C2B6E3CE-52F8-44F6-844F-15082A1B4A05}">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I15" authorId="176" shapeId="0" xr:uid="{F7C9E8FE-49EA-4661-9E09-F5AEBA6D86DC}">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J15" authorId="177" shapeId="0" xr:uid="{EE669C4B-FA8E-43E0-A17C-314E94F52F59}">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K15" authorId="178" shapeId="0" xr:uid="{5D02E304-185D-4562-A7D3-561D39CD0037}">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L15" authorId="179" shapeId="0" xr:uid="{97B6B9F5-0959-4A3F-A993-3E1BB320A326}">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M15" authorId="180" shapeId="0" xr:uid="{B2EC1F6D-F442-4C68-AFF4-58C647D6FB1B}">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N15" authorId="181" shapeId="0" xr:uid="{FE553565-3570-42CF-93D1-B7CE6B147787}">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O15" authorId="182" shapeId="0" xr:uid="{0D81447C-1674-416B-89A9-466CBB52ADA1}">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AP15" authorId="183" shapeId="0" xr:uid="{1066A662-1990-48C5-AFE6-7F9FD473E818}">
      <text>
        <t xml:space="preserve">[Threaded comment]
Your version of Excel allows you to read this threaded comment; however, any edits to it will get removed if the file is opened in a newer version of Excel. Learn more: https://go.microsoft.com/fwlink/?linkid=870924
Comment:
    Figures are -ve because they are an increase to raw water and process losses, and so are a reduction to WAFU. </t>
      </text>
    </comment>
    <comment ref="U95" authorId="184" shapeId="0" xr:uid="{0D30EBA7-F4B2-49CA-87CF-BA627B79BEA3}">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V95" authorId="185" shapeId="0" xr:uid="{CA6828D1-A9C6-4EED-BCDA-4AA8BD72BD6E}">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W95" authorId="186" shapeId="0" xr:uid="{E357563C-11DB-4DD3-892A-EF5171FE0805}">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X95" authorId="187" shapeId="0" xr:uid="{C37B1E84-C016-40CE-8674-1491F568A668}">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Y95" authorId="188" shapeId="0" xr:uid="{AAB81C44-C7A6-405B-9FF1-710941520FC3}">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Z95" authorId="189" shapeId="0" xr:uid="{83A72354-2456-421C-BB6F-7718B9330CC9}">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A95" authorId="190" shapeId="0" xr:uid="{53C09FE2-EC53-4777-8750-214142A6EFB8}">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B95" authorId="191" shapeId="0" xr:uid="{D23BB44D-2311-4397-9D41-B32ECBF72361}">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C95" authorId="192" shapeId="0" xr:uid="{E988C83E-2A36-447C-8C8B-6A82D0BCFA2A}">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D95" authorId="193" shapeId="0" xr:uid="{618054E2-BE3A-45E5-8199-F089198DDFE7}">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E95" authorId="194" shapeId="0" xr:uid="{5EC8BCAD-0564-4596-A359-44A70E0BD418}">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F95" authorId="195" shapeId="0" xr:uid="{123426B7-758D-4CAE-B66B-110A7470D282}">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G95" authorId="196" shapeId="0" xr:uid="{79097C78-454A-4D2F-B8A0-E3994C97014B}">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H95" authorId="197" shapeId="0" xr:uid="{055F665E-4F9E-4D6F-8061-A14E352C7625}">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I95" authorId="198" shapeId="0" xr:uid="{942BE686-94C3-4362-8114-FF62C34DF2DE}">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J95" authorId="199" shapeId="0" xr:uid="{1FC6A136-1299-4A94-80CF-F8D1B075D382}">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K95" authorId="200" shapeId="0" xr:uid="{6B176E5C-85F4-4588-8FC6-07D67FD07F30}">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L95" authorId="201" shapeId="0" xr:uid="{1D58D5DC-F330-468F-A6F6-BBC9900E7FCD}">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M95" authorId="202" shapeId="0" xr:uid="{2076F20E-6C44-4419-AC7A-F8358CEDD91A}">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N95" authorId="203" shapeId="0" xr:uid="{8640BDCC-18B5-43DA-9D88-11C0D0A0D8EC}">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O95" authorId="204" shapeId="0" xr:uid="{5F8125AD-7A56-49A3-8AD0-5731617D8534}">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P95" authorId="205" shapeId="0" xr:uid="{8A1F86DB-7A5A-4651-850F-95584065B60F}">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U96" authorId="206" shapeId="0" xr:uid="{C58E70AC-64A3-4B89-99FF-98871E2FC4E2}">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V96" authorId="207" shapeId="0" xr:uid="{1F142775-E882-4A5A-8C24-1902D26B93D0}">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W96" authorId="208" shapeId="0" xr:uid="{F10ADD7A-89A9-4CF5-825B-2CC295753ADC}">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X96" authorId="209" shapeId="0" xr:uid="{C2CCC9C3-6108-4F94-8448-6B8128DAED6B}">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Y96" authorId="210" shapeId="0" xr:uid="{B7740EA2-4F71-4C37-88CD-13EFCBC45172}">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Z96" authorId="211" shapeId="0" xr:uid="{F2AF4852-CB8C-4CBC-8D69-55FF7D46A7E6}">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A96" authorId="212" shapeId="0" xr:uid="{26A19A1B-945E-4704-8FA8-E75DF84CA410}">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B96" authorId="213" shapeId="0" xr:uid="{2CDA9C89-5B28-4FBB-B208-8E74AFB1AC89}">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C96" authorId="214" shapeId="0" xr:uid="{5297D70C-B26A-4136-8777-666AA66ADF40}">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D96" authorId="215" shapeId="0" xr:uid="{94377A08-A8DE-428C-A6AA-066DBB3A9C6F}">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E96" authorId="216" shapeId="0" xr:uid="{4451E48C-2790-4607-8413-7C783878294B}">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F96" authorId="217" shapeId="0" xr:uid="{9ADA780C-6214-4316-BC9E-BE331BA27385}">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G96" authorId="218" shapeId="0" xr:uid="{6B27BFC0-BB12-437E-963C-EDA5FD28F082}">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H96" authorId="219" shapeId="0" xr:uid="{D56CA996-ABB6-4D84-9B34-667215342A5C}">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I96" authorId="220" shapeId="0" xr:uid="{A44E9B39-1CA5-4B9E-AAE2-56AF4C7F1223}">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J96" authorId="221" shapeId="0" xr:uid="{74ADB240-58F7-48DA-899A-C363B3CEFAED}">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K96" authorId="222" shapeId="0" xr:uid="{F47FD837-0945-4EC2-BB6B-9AF123772F53}">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L96" authorId="223" shapeId="0" xr:uid="{57833A95-A160-40E8-9957-2C63714E7A7A}">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M96" authorId="224" shapeId="0" xr:uid="{ED8B60B5-FC7D-4AEB-9630-A4322E30BBDC}">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N96" authorId="225" shapeId="0" xr:uid="{78EFB3AA-52FB-483A-875E-EFC81583BAB2}">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O96" authorId="226" shapeId="0" xr:uid="{F6DAC8AB-AE8C-4C2E-B13E-6B9055A8B841}">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P96" authorId="227" shapeId="0" xr:uid="{F4C3039E-FC49-4EC0-9A25-C4F66E062385}">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U97" authorId="228" shapeId="0" xr:uid="{C05C97E1-5E18-4DF2-853D-34F42CAF5B7A}">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V97" authorId="229" shapeId="0" xr:uid="{1FE27163-484D-490B-ADA7-D21908FEBE69}">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W97" authorId="230" shapeId="0" xr:uid="{66F908DB-F325-4D61-BCF8-965AFFA10288}">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X97" authorId="231" shapeId="0" xr:uid="{6591173D-67B2-42D7-8E6A-405BA55C8237}">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Y97" authorId="232" shapeId="0" xr:uid="{90FB186D-E348-4794-A745-93BB7094553F}">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Z97" authorId="233" shapeId="0" xr:uid="{14EB6F16-8210-4813-8D9E-E593B6EAA524}">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A97" authorId="234" shapeId="0" xr:uid="{78F44295-A1BB-44DD-8AA6-8A6909ABC1E5}">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B97" authorId="235" shapeId="0" xr:uid="{1E66F5BA-B363-4BD3-8433-B413EA85C1D5}">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C97" authorId="236" shapeId="0" xr:uid="{7AF4B269-AE2E-421D-8E5E-131170429A9A}">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D97" authorId="237" shapeId="0" xr:uid="{CDF03623-504E-4ACF-B226-C9BB2BA5CEFE}">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E97" authorId="238" shapeId="0" xr:uid="{0B6AE0F5-CF66-4022-BF33-43D189BC86E3}">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F97" authorId="239" shapeId="0" xr:uid="{E0F12B33-5ED6-4A97-93E7-5C415DE982CB}">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G97" authorId="240" shapeId="0" xr:uid="{7A373ECC-49AD-4527-8212-3260C56451B7}">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H97" authorId="241" shapeId="0" xr:uid="{2B9D8AE4-D5D8-4E18-93B4-A1BA9A45DB8D}">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I97" authorId="242" shapeId="0" xr:uid="{D6019C41-672C-4676-8D44-23E1642F15D9}">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J97" authorId="243" shapeId="0" xr:uid="{BC554243-F58E-4BEC-8031-70400429617C}">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K97" authorId="244" shapeId="0" xr:uid="{0C1E3E0E-31AB-4E1E-BB8E-771523DD2505}">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L97" authorId="245" shapeId="0" xr:uid="{34BEE192-6806-4358-A40B-333E49F0341C}">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M97" authorId="246" shapeId="0" xr:uid="{76AB6C5A-4DC1-4F63-BE73-801F74CCC0BB}">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N97" authorId="247" shapeId="0" xr:uid="{C900AD4C-6AF4-495F-8D1A-429806A61973}">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O97" authorId="248" shapeId="0" xr:uid="{3E29EFB2-9DE3-46E6-9DEA-1E7760BF1A2F}">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P97" authorId="249" shapeId="0" xr:uid="{85552136-D765-4C74-B8A6-3A31C1F9D45C}">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U98" authorId="250" shapeId="0" xr:uid="{3EA55247-6D45-4568-98ED-007B056F6534}">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V98" authorId="251" shapeId="0" xr:uid="{B3ADAAE1-4BB9-46E1-84A6-5F233090335B}">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W98" authorId="252" shapeId="0" xr:uid="{A26C3853-6236-47D0-9A6D-DC8D93C278AA}">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X98" authorId="253" shapeId="0" xr:uid="{D0FC4957-E74A-4891-A180-8850205C5F70}">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Y98" authorId="254" shapeId="0" xr:uid="{0B4A67EA-2838-4AE4-8D9C-E8418E911194}">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Z98" authorId="255" shapeId="0" xr:uid="{A19B0E3F-2842-4035-9EF2-B93E25B8E0E2}">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A98" authorId="256" shapeId="0" xr:uid="{1DB788AB-D11B-48B0-B6AD-33E01B14147E}">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B98" authorId="257" shapeId="0" xr:uid="{021AD9F1-9DEB-4C2E-9600-1265C0E3262D}">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C98" authorId="258" shapeId="0" xr:uid="{73CAA778-5A18-4310-B424-9759692CBBB5}">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D98" authorId="259" shapeId="0" xr:uid="{BF6E2B96-920A-44DE-8B48-09CE51ED7578}">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E98" authorId="260" shapeId="0" xr:uid="{108451B1-BCAC-43D9-B09A-D1391FA14FC1}">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F98" authorId="261" shapeId="0" xr:uid="{F732B775-AE2B-4E19-B480-073459D01EF2}">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G98" authorId="262" shapeId="0" xr:uid="{6CC316BC-A9C9-49BD-8A06-2179CEA06A84}">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H98" authorId="263" shapeId="0" xr:uid="{C4B8B487-52D1-4825-A9B8-439DA2202937}">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I98" authorId="264" shapeId="0" xr:uid="{C5371B48-9DE6-4B47-B16C-C5D0655C5A26}">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J98" authorId="265" shapeId="0" xr:uid="{129F7CD2-4FE6-453B-AD62-F44E3EE94B93}">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K98" authorId="266" shapeId="0" xr:uid="{54CA0DD2-4918-4DB5-B6F0-F3B33868D69D}">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L98" authorId="267" shapeId="0" xr:uid="{018D5A94-FFBA-421A-9904-EC693432BE81}">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M98" authorId="268" shapeId="0" xr:uid="{EC2E0064-9062-4CA6-BEAD-CAA89BCB1DEC}">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N98" authorId="269" shapeId="0" xr:uid="{B3C6758F-8A5C-4CBF-B534-4272A6CE007C}">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O98" authorId="270" shapeId="0" xr:uid="{AE690613-EC79-4E69-A7BB-6BC2A9357400}">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P98" authorId="271" shapeId="0" xr:uid="{086309F0-23BC-4AC3-99F5-C105236CAF96}">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U99" authorId="272" shapeId="0" xr:uid="{E1181B2E-CCBC-4DDE-82D4-A0BAC0DBBF1F}">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V99" authorId="273" shapeId="0" xr:uid="{C5E28356-1B12-4011-BEF2-BC77E3487192}">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W99" authorId="274" shapeId="0" xr:uid="{6695275C-889D-496E-BA9F-C4B4884A9342}">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X99" authorId="275" shapeId="0" xr:uid="{93D6EA63-0369-455D-80A0-0A6AEC2C2328}">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Y99" authorId="276" shapeId="0" xr:uid="{4F5E03BE-1BBB-49AB-BF10-DE3863EA9B63}">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Z99" authorId="277" shapeId="0" xr:uid="{45E81B3D-0B83-4DE0-905B-4363BE40C98F}">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A99" authorId="278" shapeId="0" xr:uid="{B3DAFCAB-C2F3-4AC8-9439-304F5B590E3D}">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B99" authorId="279" shapeId="0" xr:uid="{83091695-CAD2-4357-81A4-07530DADAA8A}">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C99" authorId="280" shapeId="0" xr:uid="{915707C1-592C-476F-A3E2-2EAA91F053F4}">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D99" authorId="281" shapeId="0" xr:uid="{759243DC-9215-40A7-A37B-7BF3E693298F}">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E99" authorId="282" shapeId="0" xr:uid="{F8A6808C-23F0-4A26-8DCC-CC143A4831C5}">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F99" authorId="283" shapeId="0" xr:uid="{397D8AA8-8E41-490D-9D70-4A638CF1C738}">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G99" authorId="284" shapeId="0" xr:uid="{2839EAF1-FABA-4CB4-8DED-3223070ED30D}">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H99" authorId="285" shapeId="0" xr:uid="{4D90184F-B856-4DE5-8239-5B0E658712BA}">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I99" authorId="286" shapeId="0" xr:uid="{87ED9FBD-BD5D-4734-9B96-0E9EE3915633}">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J99" authorId="287" shapeId="0" xr:uid="{BF3E343B-1EB3-42CF-A23C-6554E23400BF}">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K99" authorId="288" shapeId="0" xr:uid="{28E19D8C-174F-4825-AE86-EA229467FD74}">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L99" authorId="289" shapeId="0" xr:uid="{F5153310-3C8C-45E1-9D9C-16081444EB0E}">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M99" authorId="290" shapeId="0" xr:uid="{2F24F2D5-9A68-4AE8-B81C-0E64D1E32F58}">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N99" authorId="291" shapeId="0" xr:uid="{C5D57B25-2E3A-4BD4-BB00-C548B1F3D5CB}">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O99" authorId="292" shapeId="0" xr:uid="{B36E8C79-CF7E-4DE0-89AA-FB11592D540A}">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P99" authorId="293" shapeId="0" xr:uid="{4B1B0323-D3F6-48AD-8AAF-6C33A1287CB2}">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U100" authorId="294" shapeId="0" xr:uid="{96F5505F-973E-417B-B049-20F35A3F7152}">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V100" authorId="295" shapeId="0" xr:uid="{B7E659A3-F3B4-4783-BEC6-5B6C8437FE8F}">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W100" authorId="296" shapeId="0" xr:uid="{8361B975-7FB4-4E78-BE05-4A7DADCA96A2}">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X100" authorId="297" shapeId="0" xr:uid="{B0DEA7B6-723B-4669-BDB7-F82DE4070B7A}">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Y100" authorId="298" shapeId="0" xr:uid="{13D0C226-7889-47EC-8E61-60ADA93CFC14}">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Z100" authorId="299" shapeId="0" xr:uid="{DF10B168-0C7B-43D3-86AC-BD91423FA735}">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A100" authorId="300" shapeId="0" xr:uid="{B2FF3FE4-F376-4ABA-9F2D-16DFDC49EE2A}">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B100" authorId="301" shapeId="0" xr:uid="{1742E31A-6DFC-4E22-9777-D7F6BFFAAC00}">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C100" authorId="302" shapeId="0" xr:uid="{35BA6ECB-10F6-4A5B-8EF8-DCABBD4AE5BF}">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D100" authorId="303" shapeId="0" xr:uid="{B24A46C6-CC79-47C2-B6FB-AE33FE2E9C35}">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E100" authorId="304" shapeId="0" xr:uid="{E8D2323F-31FF-4BE8-9E3A-0781F7AC8D70}">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F100" authorId="305" shapeId="0" xr:uid="{1697D01C-3769-43EC-A925-77BBAA9999D2}">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G100" authorId="306" shapeId="0" xr:uid="{6E0742A9-6CA5-4388-AFB3-CA6B41C17F97}">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H100" authorId="307" shapeId="0" xr:uid="{6C9BBD34-BC67-45C9-9771-5A66252D9C2B}">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I100" authorId="308" shapeId="0" xr:uid="{BB435BC4-8912-42A3-AF85-1E38615D9070}">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J100" authorId="309" shapeId="0" xr:uid="{2354010C-B891-4EE3-AB92-2E92B5AC023E}">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K100" authorId="310" shapeId="0" xr:uid="{8C6D9325-C266-48D4-989E-40F4FC218A67}">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L100" authorId="311" shapeId="0" xr:uid="{218C083F-BA55-4140-9CBF-2DA8C1CBFCCC}">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M100" authorId="312" shapeId="0" xr:uid="{4F0598B3-2807-4563-A3C4-D844556D5EC6}">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N100" authorId="313" shapeId="0" xr:uid="{2B3A6A3C-00FD-48B5-933C-2425FED73707}">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O100" authorId="314" shapeId="0" xr:uid="{FBA691B8-903D-4212-BC3E-D33D4623F547}">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P100" authorId="315" shapeId="0" xr:uid="{F45501BE-9960-4F49-9030-39F13072CBE6}">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U101" authorId="316" shapeId="0" xr:uid="{97D68407-56C0-41EF-AAA0-4EB031AFA00D}">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V101" authorId="317" shapeId="0" xr:uid="{8B7D45F5-2456-4AE4-8D28-ECD561F33DB9}">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W101" authorId="318" shapeId="0" xr:uid="{35E4A90E-332C-4422-9E98-212640E42214}">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X101" authorId="319" shapeId="0" xr:uid="{FBC4C7ED-1F11-405D-BB36-BEFE4583C6F4}">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Y101" authorId="320" shapeId="0" xr:uid="{35FC6594-080E-4688-AA03-7454363CF121}">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Z101" authorId="321" shapeId="0" xr:uid="{1CBA698E-ED77-4D24-8259-0A64404DBAF7}">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A101" authorId="322" shapeId="0" xr:uid="{E7669149-0066-47FC-A52D-670B913DAE9D}">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B101" authorId="323" shapeId="0" xr:uid="{462A89FA-A61F-4FC9-8935-3CC95948201B}">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C101" authorId="324" shapeId="0" xr:uid="{FD8A120C-8795-427C-940F-746FA937F99B}">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D101" authorId="325" shapeId="0" xr:uid="{09A39736-0779-43D7-BAD2-3C2A97B7808B}">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E101" authorId="326" shapeId="0" xr:uid="{BE881A1A-DC3E-401C-9563-333A651A7111}">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F101" authorId="327" shapeId="0" xr:uid="{538C1612-5095-4265-A31F-968E30695DFA}">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G101" authorId="328" shapeId="0" xr:uid="{401CCE29-0FD5-49E3-B7B8-3D68C16C61CF}">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H101" authorId="329" shapeId="0" xr:uid="{B184994F-472B-4F6C-B960-4D3AFE916B7D}">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I101" authorId="330" shapeId="0" xr:uid="{C6B810A3-7C30-45A7-A015-CD12E5277286}">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J101" authorId="331" shapeId="0" xr:uid="{28B71745-2D85-4D40-B85B-2E873BF0FE70}">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K101" authorId="332" shapeId="0" xr:uid="{DA27F0A1-FDB0-4D35-BF60-3BDAE2A5E830}">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L101" authorId="333" shapeId="0" xr:uid="{5C40B4BE-E24E-401E-B3CC-1B01F8844976}">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M101" authorId="334" shapeId="0" xr:uid="{DD30FA7E-0A1B-4ECC-B06C-65998794D821}">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N101" authorId="335" shapeId="0" xr:uid="{9A0FB4B7-DACD-46A4-AD0F-508B46E266F8}">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O101" authorId="336" shapeId="0" xr:uid="{0033CA36-D73F-4951-A106-FA34CB269EB7}">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P101" authorId="337" shapeId="0" xr:uid="{3A703B23-B748-424B-9CED-B9B5004F25D0}">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U102" authorId="338" shapeId="0" xr:uid="{0E5D311E-2168-4B23-855E-168C93D5ED2A}">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V102" authorId="339" shapeId="0" xr:uid="{C0A6EF2F-C49F-4CE2-9D27-44F4FF6D70AE}">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W102" authorId="340" shapeId="0" xr:uid="{854DB67F-5576-401E-B727-D894B2DC53C5}">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X102" authorId="341" shapeId="0" xr:uid="{AB7623A0-5F48-4270-B707-9AD167999950}">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Y102" authorId="342" shapeId="0" xr:uid="{192B4137-1851-4AE8-8EC0-DDF004D94A26}">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Z102" authorId="343" shapeId="0" xr:uid="{CF2763CB-CA73-4AD2-B0F1-A8719B72D2D8}">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A102" authorId="344" shapeId="0" xr:uid="{73470746-1C88-4AAB-8BDD-B0EE7E88F6B7}">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B102" authorId="345" shapeId="0" xr:uid="{9D447B03-C609-4721-8CBD-9727A52BF847}">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C102" authorId="346" shapeId="0" xr:uid="{0DC009F9-6D97-41A0-BE0B-B9BA25E6C6E0}">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D102" authorId="347" shapeId="0" xr:uid="{17C6D4A1-0CD6-49DB-94B6-603AFEF1FD25}">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E102" authorId="348" shapeId="0" xr:uid="{4744C767-6882-4686-BBBC-C81D317B20E2}">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F102" authorId="349" shapeId="0" xr:uid="{1A8DD381-8A55-4A26-BF5C-8C7E603FD866}">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G102" authorId="350" shapeId="0" xr:uid="{433DA12E-6B2E-416F-A53C-AB3D36D3E406}">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H102" authorId="351" shapeId="0" xr:uid="{7617E4FE-2E48-48B1-A7E3-4BEF13F6CE4E}">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I102" authorId="352" shapeId="0" xr:uid="{D1B18A1E-7EA0-4578-9518-57A22F552F1B}">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J102" authorId="353" shapeId="0" xr:uid="{BB3FD5FF-891E-445B-A979-49A816609AB6}">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K102" authorId="354" shapeId="0" xr:uid="{33A2931B-94CF-4314-B603-A257852BE4E5}">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L102" authorId="355" shapeId="0" xr:uid="{CE9D0739-F522-408E-A55D-80EE0EC97371}">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M102" authorId="356" shapeId="0" xr:uid="{A355DBB7-B52B-4D15-8EFE-03695C1E7AF2}">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N102" authorId="357" shapeId="0" xr:uid="{2CB11518-C888-4C9D-853C-B6F97B03F54E}">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O102" authorId="358" shapeId="0" xr:uid="{368B2644-2EE6-41A2-BA11-991A9BA806E5}">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P102" authorId="359" shapeId="0" xr:uid="{12749F1C-F797-4DCA-AF42-45D8A5769883}">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U103" authorId="360" shapeId="0" xr:uid="{61AA4AC7-E126-41F0-B06D-9CC9A70E8046}">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V103" authorId="361" shapeId="0" xr:uid="{470193BE-D4B6-4E3C-AB8C-2CDAEE5F3D28}">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W103" authorId="362" shapeId="0" xr:uid="{AA5B0BA8-2566-40C8-B221-6177D3E3D18F}">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X103" authorId="363" shapeId="0" xr:uid="{1E60645C-CE2A-4031-AA8F-74AAA1B09670}">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Y103" authorId="364" shapeId="0" xr:uid="{577C7A1D-7B0D-431F-B4FF-C3DE5316807B}">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Z103" authorId="365" shapeId="0" xr:uid="{AD518D0C-D809-4DA0-9A8B-D638AEB6FE34}">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A103" authorId="366" shapeId="0" xr:uid="{5ACF2F24-FDEA-42B5-A1AC-F1FA197C0FEE}">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B103" authorId="367" shapeId="0" xr:uid="{F0B0C8DE-C8F1-4894-A50B-1387212F4C7A}">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C103" authorId="368" shapeId="0" xr:uid="{204BC790-8F3C-4D2A-B05B-7CB5652EA118}">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D103" authorId="369" shapeId="0" xr:uid="{1A64BB2B-A244-478E-81BF-8292B19E6E38}">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E103" authorId="370" shapeId="0" xr:uid="{3317A55A-EBED-4F13-ABDA-A93E86D8C699}">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F103" authorId="371" shapeId="0" xr:uid="{2D7CEB15-6EC0-4EA7-966B-354BF8F233A0}">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G103" authorId="372" shapeId="0" xr:uid="{16B319F5-143D-42D8-A8CB-0704023DF101}">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H103" authorId="373" shapeId="0" xr:uid="{59E458C8-2E80-427E-8E7D-74BC832BECBC}">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I103" authorId="374" shapeId="0" xr:uid="{FD0AD35D-A8C1-496B-9899-E750A3B1B27C}">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J103" authorId="375" shapeId="0" xr:uid="{8B13A285-CFC4-4E5D-B8DD-2A03A272FD4C}">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K103" authorId="376" shapeId="0" xr:uid="{D9E96AED-749D-49BD-B920-8DED6E7994F7}">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L103" authorId="377" shapeId="0" xr:uid="{87F27941-DE08-4F50-86A3-57B364C0F52C}">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M103" authorId="378" shapeId="0" xr:uid="{3860FFCF-E3B6-4A80-9FF0-01CB1E0944E9}">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N103" authorId="379" shapeId="0" xr:uid="{C242FB7B-A4C0-49EC-BD1E-7334636DAFD1}">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O103" authorId="380" shapeId="0" xr:uid="{AA7357B2-88A2-4527-8F0D-8B5C0638902B}">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P103" authorId="381" shapeId="0" xr:uid="{CB47BBB6-E712-4E1A-9017-CCA9737549D9}">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U104" authorId="382" shapeId="0" xr:uid="{AF6C03F6-A45F-4D0D-BB77-FEE10B968D6E}">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V104" authorId="383" shapeId="0" xr:uid="{16CBFF89-0FA5-4C64-8770-0000A1A40528}">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W104" authorId="384" shapeId="0" xr:uid="{A563486C-0EC0-47B0-84FC-CC3B3EC305F4}">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X104" authorId="385" shapeId="0" xr:uid="{AD04B273-614F-40F4-8B23-029D0DDBC99A}">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Y104" authorId="386" shapeId="0" xr:uid="{FA0274F1-791D-4A42-A332-397C89DC0D15}">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Z104" authorId="387" shapeId="0" xr:uid="{BCD97C2F-8F47-4CC4-A34B-FD1A6B73B2C6}">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A104" authorId="388" shapeId="0" xr:uid="{8FD1001E-726F-4FE0-9CA9-8C466359CBA8}">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B104" authorId="389" shapeId="0" xr:uid="{803B340E-9B79-46BE-B9F9-99F97F2037EB}">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C104" authorId="390" shapeId="0" xr:uid="{684C9D01-DCBA-43D7-B309-0502BDD277D1}">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D104" authorId="391" shapeId="0" xr:uid="{9439B40C-470B-481C-89A9-C0447A8C3FF4}">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E104" authorId="392" shapeId="0" xr:uid="{21A0A264-2CA8-4283-95A7-A973218C9C6F}">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F104" authorId="393" shapeId="0" xr:uid="{4FF29952-E854-495C-8083-D335DA48B6CC}">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G104" authorId="394" shapeId="0" xr:uid="{2E59EBCA-5505-4EBB-B78E-2E2FFAC37555}">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H104" authorId="395" shapeId="0" xr:uid="{E5AB446A-258F-434A-A074-A68CEE5E5670}">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I104" authorId="396" shapeId="0" xr:uid="{E40623CE-1FD9-4A8D-857A-3170FF0739BF}">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J104" authorId="397" shapeId="0" xr:uid="{2A5914D7-0CD9-4622-98B1-2604D65D6F6D}">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K104" authorId="398" shapeId="0" xr:uid="{729755BA-6B19-4478-A3A3-646C0E7C620E}">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L104" authorId="399" shapeId="0" xr:uid="{24FEA18C-3865-47FA-932A-A8552600995C}">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M104" authorId="400" shapeId="0" xr:uid="{ED6A43B6-9667-48CE-8C16-E60831132433}">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N104" authorId="401" shapeId="0" xr:uid="{A249EF56-9E4C-4DAE-BCEE-902A2F167444}">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O104" authorId="402" shapeId="0" xr:uid="{48E84601-3EE3-49AC-A32E-DC7012214EA9}">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P104" authorId="403" shapeId="0" xr:uid="{437DAC6E-2010-4D0C-B7B1-D760659431ED}">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U105" authorId="404" shapeId="0" xr:uid="{D0539629-185F-48F7-AD57-3DDB221870F6}">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V105" authorId="405" shapeId="0" xr:uid="{98E3FEB3-CA84-4D62-8FBF-1D648FB4246D}">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W105" authorId="406" shapeId="0" xr:uid="{81FE07BC-BEBD-4782-A1BE-3DA0B3EFF412}">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X105" authorId="407" shapeId="0" xr:uid="{6C335CB2-B5C4-44BB-AFDE-52337FC4B98B}">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Y105" authorId="408" shapeId="0" xr:uid="{1D7FE90C-79E0-4352-A6AB-4998450A9617}">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Z105" authorId="409" shapeId="0" xr:uid="{836413D5-3321-41AE-9210-FEB80FF9C8FA}">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A105" authorId="410" shapeId="0" xr:uid="{07179357-023E-4165-BD60-461EE7E091A5}">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B105" authorId="411" shapeId="0" xr:uid="{A4682334-7CA9-49C4-B512-CF7FEC808272}">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C105" authorId="412" shapeId="0" xr:uid="{0E15E30D-3EC6-4597-8CFA-B635D01B21B8}">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D105" authorId="413" shapeId="0" xr:uid="{9DFCBB6B-F1B7-4CFC-8EDC-10A95FCB5839}">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E105" authorId="414" shapeId="0" xr:uid="{CE6FB43C-79F9-4E5B-8099-0E6CD14CF070}">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F105" authorId="415" shapeId="0" xr:uid="{525C17E9-34BE-480C-BCEA-CA7CE8CF1C5B}">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G105" authorId="416" shapeId="0" xr:uid="{0F25E9FF-01F7-424F-BB4C-CE3FF5B6289D}">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H105" authorId="417" shapeId="0" xr:uid="{EE7DB97E-FA74-4E91-B244-83CAD6AE4B63}">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I105" authorId="418" shapeId="0" xr:uid="{A268CA3A-0DC2-44E6-B6B1-D28D2B1B86A0}">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J105" authorId="419" shapeId="0" xr:uid="{5E0139AE-9A38-4994-A073-5F1A3DE5E162}">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K105" authorId="420" shapeId="0" xr:uid="{15B36B80-367A-4896-84A1-A96BCAFEF068}">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L105" authorId="421" shapeId="0" xr:uid="{CB1B2806-F2FB-48C3-905E-588B46E9F2E4}">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M105" authorId="422" shapeId="0" xr:uid="{40B4AE01-F605-47E3-B716-ECF7B5387987}">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N105" authorId="423" shapeId="0" xr:uid="{13A671F5-FEC0-4192-9D03-A95AA1BC7FFB}">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O105" authorId="424" shapeId="0" xr:uid="{C5B947CF-0347-4634-B161-6447B8221418}">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P105" authorId="425" shapeId="0" xr:uid="{6B7DC2AD-54FD-4118-A9EC-3E48E251173C}">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U106" authorId="426" shapeId="0" xr:uid="{86C831AF-00BA-448E-85E7-9A2E04781E83}">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V106" authorId="427" shapeId="0" xr:uid="{882CC3ED-4D6C-4F22-8761-02FCE27F0353}">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W106" authorId="428" shapeId="0" xr:uid="{3D0D007A-31CD-4CAE-B570-BA77F9766615}">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X106" authorId="429" shapeId="0" xr:uid="{0E50BB89-0BD7-4775-BFF4-C35098D912A8}">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Y106" authorId="430" shapeId="0" xr:uid="{2F73945B-651B-44FD-B15F-CF534F282528}">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Z106" authorId="431" shapeId="0" xr:uid="{F6B38398-049E-4043-AA94-A04C26E12168}">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A106" authorId="432" shapeId="0" xr:uid="{E2D0D955-ACAC-4FCE-B9AC-70245DB8CB21}">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B106" authorId="433" shapeId="0" xr:uid="{D5D6EF81-448F-4384-9FA3-AF7BD2ADEFFA}">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C106" authorId="434" shapeId="0" xr:uid="{580DB0E6-825F-49E5-BA38-2DA40072D28A}">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D106" authorId="435" shapeId="0" xr:uid="{DFC5F7C4-BBA9-43F6-823F-E5DAE10ABD1A}">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E106" authorId="436" shapeId="0" xr:uid="{46798F56-7CC3-4379-A75B-44DAD10C62C9}">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F106" authorId="437" shapeId="0" xr:uid="{3DFB4466-F624-4454-AB23-29FAC02DB545}">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G106" authorId="438" shapeId="0" xr:uid="{F6BBF1B3-56DC-48E0-9123-965F4433EC2E}">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H106" authorId="439" shapeId="0" xr:uid="{1C1CD700-9B68-4941-BDB9-E086D6562F13}">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I106" authorId="440" shapeId="0" xr:uid="{1CE2A394-0D1C-4E10-ABEA-BBA35BFDA33C}">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J106" authorId="441" shapeId="0" xr:uid="{2E97E962-275D-495D-A540-21F0746FD022}">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K106" authorId="442" shapeId="0" xr:uid="{E8E2C04D-984C-4272-B39B-31AC0538EAAE}">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L106" authorId="443" shapeId="0" xr:uid="{333CE027-F437-4FB8-9F42-E8FF7C32D73E}">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M106" authorId="444" shapeId="0" xr:uid="{CE3BDC30-113A-4157-9F19-183A04F96FCE}">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N106" authorId="445" shapeId="0" xr:uid="{A86217BB-D526-4D48-B56F-052CEF8567EF}">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O106" authorId="446" shapeId="0" xr:uid="{6C849F66-85C7-484B-BBF3-75268F2F0720}">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P106" authorId="447" shapeId="0" xr:uid="{0DD205B6-ACDF-4F5A-B711-48DBC534C2B3}">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U107" authorId="448" shapeId="0" xr:uid="{CCD89473-FD23-4FC5-A348-B0B78673B938}">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V107" authorId="449" shapeId="0" xr:uid="{FCB63578-95CA-446E-AFD7-72B204C28283}">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W107" authorId="450" shapeId="0" xr:uid="{0407BCF2-C2AB-44BB-9363-D48FF2A8A3CF}">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X107" authorId="451" shapeId="0" xr:uid="{1286B11F-01A9-4D9F-9684-F6F502611A66}">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Y107" authorId="452" shapeId="0" xr:uid="{63A26471-35FB-4026-8518-A26433275802}">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Z107" authorId="453" shapeId="0" xr:uid="{CD287E91-2D06-457A-96D1-5B18E83FB844}">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A107" authorId="454" shapeId="0" xr:uid="{7685658E-A57B-4DE1-86E2-53AEAC8BA7CC}">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B107" authorId="455" shapeId="0" xr:uid="{16EF06B8-E762-43C9-BD31-8FF6F6335885}">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C107" authorId="456" shapeId="0" xr:uid="{4783BB97-F8FF-4CC9-853D-104441D99D67}">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D107" authorId="457" shapeId="0" xr:uid="{4F02B6EE-9275-4966-9D36-213694E10964}">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E107" authorId="458" shapeId="0" xr:uid="{9E19DA6E-3EE0-4BAD-B7AD-49EF80C56100}">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F107" authorId="459" shapeId="0" xr:uid="{319A36C4-5857-4F10-B933-F3CCB6BBEC3D}">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G107" authorId="460" shapeId="0" xr:uid="{3DA8CEFF-8CD9-4047-9280-31A5EE3D3719}">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H107" authorId="461" shapeId="0" xr:uid="{9E2888CA-2438-468E-B559-0BAC758C00D2}">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I107" authorId="462" shapeId="0" xr:uid="{434B254E-67AD-485A-9369-8B3B282A5E00}">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J107" authorId="463" shapeId="0" xr:uid="{062AAF41-89F6-42BB-A3F2-B4775081508C}">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K107" authorId="464" shapeId="0" xr:uid="{3368E81A-FD73-487F-B2E2-EFF5E6AA90E2}">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L107" authorId="465" shapeId="0" xr:uid="{06C743FC-64BA-4D60-84E5-0650D3367671}">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M107" authorId="466" shapeId="0" xr:uid="{7B70632F-6867-49F4-9BD2-FEC2E0E721BB}">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N107" authorId="467" shapeId="0" xr:uid="{721F51ED-304A-49A1-BD38-B1571722017A}">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O107" authorId="468" shapeId="0" xr:uid="{D31175E3-D848-4CF8-8FD3-8892438E0E6E}">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P107" authorId="469" shapeId="0" xr:uid="{2124C522-AA58-416F-9215-6BC838CC0C8D}">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U108" authorId="470" shapeId="0" xr:uid="{86660ABD-75FE-43A3-9C20-2B1AA320CEE6}">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V108" authorId="471" shapeId="0" xr:uid="{83CB35DE-3C0D-4F72-A0E6-4F4B025D2C94}">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W108" authorId="472" shapeId="0" xr:uid="{2F600DE6-E115-4FEB-A915-D1396152E865}">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X108" authorId="473" shapeId="0" xr:uid="{7DA6C8D2-7BA3-4646-A5DD-36B844972590}">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Y108" authorId="474" shapeId="0" xr:uid="{61D7A3C0-CC7A-438A-8695-F01E66CA700A}">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Z108" authorId="475" shapeId="0" xr:uid="{1B7BBE4C-27D7-4365-BB50-59AE89E3C2A5}">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A108" authorId="476" shapeId="0" xr:uid="{2EA50423-7904-4C56-BEAF-42B9133C203F}">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B108" authorId="477" shapeId="0" xr:uid="{5A749869-D5BE-49EE-87B1-64B7D82F3CEF}">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C108" authorId="478" shapeId="0" xr:uid="{B2325457-4944-4D45-AEA9-F78135536A13}">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D108" authorId="479" shapeId="0" xr:uid="{DB4E73EC-13C2-4452-89CD-7F7C00CD5B82}">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E108" authorId="480" shapeId="0" xr:uid="{7DBDAEC5-4058-444A-B4CA-2B99E4FD6BFF}">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F108" authorId="481" shapeId="0" xr:uid="{DCEFD918-A817-4CD1-B02F-CAE7A983CA0E}">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G108" authorId="482" shapeId="0" xr:uid="{1D240A23-4982-45DA-AE15-86AA6D0E9C9A}">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H108" authorId="483" shapeId="0" xr:uid="{68953B6C-5D1F-4E5A-B013-375118DCFD66}">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I108" authorId="484" shapeId="0" xr:uid="{9657BEAE-E544-43E7-9E50-07F1303D5C4B}">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J108" authorId="485" shapeId="0" xr:uid="{510ED9E7-AE79-4D2B-BD76-20CCEDA519B9}">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K108" authorId="486" shapeId="0" xr:uid="{91278FEB-CCAD-4AAE-B51C-1E97A947C777}">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L108" authorId="487" shapeId="0" xr:uid="{97E1A139-EA73-4FD8-B809-E84633AE6C0E}">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M108" authorId="488" shapeId="0" xr:uid="{1DA3B7A2-1F14-4A65-AAF2-54793DB2D5D0}">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N108" authorId="489" shapeId="0" xr:uid="{66C57D72-1E68-4596-9514-A574ED087C18}">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O108" authorId="490" shapeId="0" xr:uid="{C7EA61ED-F5A8-445E-9B8D-ED2AC9D99C68}">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P108" authorId="491" shapeId="0" xr:uid="{8DDD141C-6AF0-4C87-9DE5-5B1AC8C9E7F8}">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Y109" authorId="492" shapeId="0" xr:uid="{B7904565-F7BF-4E3D-A3C2-059741164FA4}">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Z109" authorId="493" shapeId="0" xr:uid="{CCB363F0-15C5-4562-BAD5-DD75CF9DD921}">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A109" authorId="494" shapeId="0" xr:uid="{C1A0FAED-C5F7-44F7-9CD1-292BC142B81C}">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AB109" authorId="495" shapeId="0" xr:uid="{401B14A8-315B-48A6-BB05-D17373B6227A}">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potable water exports from this WRZ and so are a reduction in WAFU</t>
      </text>
    </comment>
    <comment ref="N112" authorId="496" shapeId="0" xr:uid="{FB145C2C-5EE7-428D-AD19-102E1454858D}">
      <text>
        <t>[Threaded comment]
Your version of Excel allows you to read this threaded comment; however, any edits to it will get removed if the file is opened in a newer version of Excel. Learn more: https://go.microsoft.com/fwlink/?linkid=870924
Comment:
    Figure is -ve because it is an increase in outage under the 1 in 200 yr drought resilience period, and so is a reduction to WAFU</t>
      </text>
    </comment>
    <comment ref="O112" authorId="497" shapeId="0" xr:uid="{C127DCD6-939D-4322-A241-C07A990EE7FA}">
      <text>
        <t>[Threaded comment]
Your version of Excel allows you to read this threaded comment; however, any edits to it will get removed if the file is opened in a newer version of Excel. Learn more: https://go.microsoft.com/fwlink/?linkid=870924
Comment:
    Figure is -ve because it is an increase in outage under the 1 in 200 yr drought resilience period, and so is a reduction to WAFU</t>
      </text>
    </comment>
    <comment ref="P112" authorId="498" shapeId="0" xr:uid="{60D22506-4CAA-4FC3-82AD-7174154A1380}">
      <text>
        <t>[Threaded comment]
Your version of Excel allows you to read this threaded comment; however, any edits to it will get removed if the file is opened in a newer version of Excel. Learn more: https://go.microsoft.com/fwlink/?linkid=870924
Comment:
    Figure is -ve because it is an increase in outage under the 1 in 200 yr drought resilience period, and so is a reduction to WAFU</t>
      </text>
    </comment>
    <comment ref="Q112" authorId="499" shapeId="0" xr:uid="{9CE440C0-2B3D-47CF-B32C-4AF4D6133F8C}">
      <text>
        <t>[Threaded comment]
Your version of Excel allows you to read this threaded comment; however, any edits to it will get removed if the file is opened in a newer version of Excel. Learn more: https://go.microsoft.com/fwlink/?linkid=870924
Comment:
    Figure is -ve because it is an increase in outage under the 1 in 200 yr drought resilience period, and so is a reduction to WAFU</t>
      </text>
    </comment>
    <comment ref="R112" authorId="500" shapeId="0" xr:uid="{0ECE37BE-51FA-490D-81DB-1C72C1353D34}">
      <text>
        <t>[Threaded comment]
Your version of Excel allows you to read this threaded comment; however, any edits to it will get removed if the file is opened in a newer version of Excel. Learn more: https://go.microsoft.com/fwlink/?linkid=870924
Comment:
    Figure is -ve because it is an increase in outage under the 1 in 200 yr drought resilience period, and so is a reduction to WAFU</t>
      </text>
    </comment>
    <comment ref="S112" authorId="501" shapeId="0" xr:uid="{EF5DF322-5327-41DA-B812-394D679731F1}">
      <text>
        <t>[Threaded comment]
Your version of Excel allows you to read this threaded comment; however, any edits to it will get removed if the file is opened in a newer version of Excel. Learn more: https://go.microsoft.com/fwlink/?linkid=870924
Comment:
    Figure is -ve because it is an increase in outage under the 1 in 200 yr drought resilience period, and so is a reduction to WAFU</t>
      </text>
    </comment>
    <comment ref="T112" authorId="502" shapeId="0" xr:uid="{45B0BB90-0DF7-48C2-8A47-38D3C76AE046}">
      <text>
        <t>[Threaded comment]
Your version of Excel allows you to read this threaded comment; however, any edits to it will get removed if the file is opened in a newer version of Excel. Learn more: https://go.microsoft.com/fwlink/?linkid=870924
Comment:
    Figure is -ve because it is an increase in outage under the 1 in 200 yr drought resilience period, and so is a reduction to WAFU</t>
      </text>
    </comment>
    <comment ref="U112" authorId="503" shapeId="0" xr:uid="{B9BC2CAF-2FBD-499E-8982-5805F5F22D34}">
      <text>
        <t>[Threaded comment]
Your version of Excel allows you to read this threaded comment; however, any edits to it will get removed if the file is opened in a newer version of Excel. Learn more: https://go.microsoft.com/fwlink/?linkid=870924
Comment:
    Figure is -ve because it is an increase in outage under the 1 in 200 yr drought resilience period, and so is a reduction to WAFU</t>
      </text>
    </comment>
    <comment ref="V112" authorId="504" shapeId="0" xr:uid="{47C99A32-F4DA-4664-9350-BC70A24C72B2}">
      <text>
        <t>[Threaded comment]
Your version of Excel allows you to read this threaded comment; however, any edits to it will get removed if the file is opened in a newer version of Excel. Learn more: https://go.microsoft.com/fwlink/?linkid=870924
Comment:
    Figure is -ve because it is an increase in outage under the 1 in 200 yr drought resilience period, and so is a reduction to WAFU</t>
      </text>
    </comment>
    <comment ref="W112" authorId="505" shapeId="0" xr:uid="{D198E1AA-9FCD-4965-83C8-1EA27F1AD2C8}">
      <text>
        <t>[Threaded comment]
Your version of Excel allows you to read this threaded comment; however, any edits to it will get removed if the file is opened in a newer version of Excel. Learn more: https://go.microsoft.com/fwlink/?linkid=870924
Comment:
    Figure is -ve because it is an increase in outage under the 1 in 200 yr drought resilience period, and so is a reduction to WAFU</t>
      </text>
    </comment>
    <comment ref="S128" authorId="506" shapeId="0" xr:uid="{75AC41DF-2D81-4ED7-85D4-E7B1AA47438E}">
      <text>
        <t>[Threaded comment]
Your version of Excel allows you to read this threaded comment; however, any edits to it will get removed if the file is opened in a newer version of Excel. Learn more: https://go.microsoft.com/fwlink/?linkid=870924
Comment:
    Figure is -ve because it is a reduction to a potable water import, and so is a reduction in WAFU.</t>
      </text>
    </comment>
    <comment ref="T128" authorId="507" shapeId="0" xr:uid="{5A820C33-1828-4FB7-9CBE-6D9D42B58A0A}">
      <text>
        <t>[Threaded comment]
Your version of Excel allows you to read this threaded comment; however, any edits to it will get removed if the file is opened in a newer version of Excel. Learn more: https://go.microsoft.com/fwlink/?linkid=870924
Comment:
    Figure is -ve because it is a reduction to a potable water import, and so is a reduction in WAFU.</t>
      </text>
    </comment>
    <comment ref="S129" authorId="508" shapeId="0" xr:uid="{4B34FEDE-8F4D-4D6B-8DA5-B4F07EC67619}">
      <text>
        <t>[Threaded comment]
Your version of Excel allows you to read this threaded comment; however, any edits to it will get removed if the file is opened in a newer version of Excel. Learn more: https://go.microsoft.com/fwlink/?linkid=870924
Comment:
    Figure is -ve because it is a reduction to a potable water import, and so is a reduction in WAFU.</t>
      </text>
    </comment>
    <comment ref="T129" authorId="509" shapeId="0" xr:uid="{FD4A1033-0F6B-48B5-9074-0CB61648AFAB}">
      <text>
        <t>[Threaded comment]
Your version of Excel allows you to read this threaded comment; however, any edits to it will get removed if the file is opened in a newer version of Excel. Learn more: https://go.microsoft.com/fwlink/?linkid=870924
Comment:
    Figure is -ve because it is a reduction to a potable water import, and so is a reduction in WAFU.</t>
      </text>
    </comment>
    <comment ref="S130" authorId="510" shapeId="0" xr:uid="{2F4606AF-CFB5-479F-B97A-D996FBD119A2}">
      <text>
        <t>[Threaded comment]
Your version of Excel allows you to read this threaded comment; however, any edits to it will get removed if the file is opened in a newer version of Excel. Learn more: https://go.microsoft.com/fwlink/?linkid=870924
Comment:
    Figure is -ve because it is a reduction to a potable water import, and so is a reduction in WAFU.</t>
      </text>
    </comment>
    <comment ref="T130" authorId="511" shapeId="0" xr:uid="{2B531414-D918-47A7-8C6D-B5FEF982A75C}">
      <text>
        <t>[Threaded comment]
Your version of Excel allows you to read this threaded comment; however, any edits to it will get removed if the file is opened in a newer version of Excel. Learn more: https://go.microsoft.com/fwlink/?linkid=870924
Comment:
    Figure is -ve because it is a reduction to a potable water import, and so is a reduction in WAFU.</t>
      </text>
    </comment>
    <comment ref="S131" authorId="512" shapeId="0" xr:uid="{4DE5FA4A-1025-46C5-A8F2-04BE2C6FB697}">
      <text>
        <t>[Threaded comment]
Your version of Excel allows you to read this threaded comment; however, any edits to it will get removed if the file is opened in a newer version of Excel. Learn more: https://go.microsoft.com/fwlink/?linkid=870924
Comment:
    Figure is -ve because it is a reduction to a potable water import, and so is a reduction in WAFU.</t>
      </text>
    </comment>
    <comment ref="T131" authorId="513" shapeId="0" xr:uid="{3DEB15ED-5E65-440E-83C0-C121EAA564EB}">
      <text>
        <t>[Threaded comment]
Your version of Excel allows you to read this threaded comment; however, any edits to it will get removed if the file is opened in a newer version of Excel. Learn more: https://go.microsoft.com/fwlink/?linkid=870924
Comment:
    Figure is -ve because it is a reduction to a potable water import, and so is a reduction in WAFU.</t>
      </text>
    </comment>
    <comment ref="S132" authorId="514" shapeId="0" xr:uid="{462E4C6D-C153-4E9C-8823-3B71701CF24E}">
      <text>
        <t>[Threaded comment]
Your version of Excel allows you to read this threaded comment; however, any edits to it will get removed if the file is opened in a newer version of Excel. Learn more: https://go.microsoft.com/fwlink/?linkid=870924
Comment:
    Figure is -ve because it is a reduction to a potable water import, and so is a reduction in WAFU.</t>
      </text>
    </comment>
    <comment ref="T132" authorId="515" shapeId="0" xr:uid="{928A6D15-E44C-46CA-9487-549B0A244ECB}">
      <text>
        <t>[Threaded comment]
Your version of Excel allows you to read this threaded comment; however, any edits to it will get removed if the file is opened in a newer version of Excel. Learn more: https://go.microsoft.com/fwlink/?linkid=870924
Comment:
    Figure is -ve because it is a reduction to a potable water import, and so is a reduction in WAFU.</t>
      </text>
    </comment>
    <comment ref="S133" authorId="516" shapeId="0" xr:uid="{95216E3A-40A0-458E-8CDE-AC7E498C55AE}">
      <text>
        <t>[Threaded comment]
Your version of Excel allows you to read this threaded comment; however, any edits to it will get removed if the file is opened in a newer version of Excel. Learn more: https://go.microsoft.com/fwlink/?linkid=870924
Comment:
    Figure is -ve because it is a reduction to a potable water import, and so is a reduction in WAFU.</t>
      </text>
    </comment>
    <comment ref="T133" authorId="517" shapeId="0" xr:uid="{C9852D68-7B30-4179-BD84-037494F4EECC}">
      <text>
        <t>[Threaded comment]
Your version of Excel allows you to read this threaded comment; however, any edits to it will get removed if the file is opened in a newer version of Excel. Learn more: https://go.microsoft.com/fwlink/?linkid=870924
Comment:
    Figure is -ve because it is a reduction to a potable water import, and so is a reduction in WAFU.</t>
      </text>
    </comment>
    <comment ref="S134" authorId="518" shapeId="0" xr:uid="{57827B1B-083A-45C5-B0F8-C70A0A3F9FCA}">
      <text>
        <t>[Threaded comment]
Your version of Excel allows you to read this threaded comment; however, any edits to it will get removed if the file is opened in a newer version of Excel. Learn more: https://go.microsoft.com/fwlink/?linkid=870924
Comment:
    Figure is -ve because it is a reduction to a potable water import, and so is a reduction in WAFU.</t>
      </text>
    </comment>
    <comment ref="T134" authorId="519" shapeId="0" xr:uid="{4281448B-7D7D-4D68-B003-23210B78E151}">
      <text>
        <t>[Threaded comment]
Your version of Excel allows you to read this threaded comment; however, any edits to it will get removed if the file is opened in a newer version of Excel. Learn more: https://go.microsoft.com/fwlink/?linkid=870924
Comment:
    Figure is -ve because it is a reduction to a potable water import, and so is a reduction in WAFU.</t>
      </text>
    </comment>
    <comment ref="T137" authorId="520" shapeId="0" xr:uid="{FBF81328-EFA2-4C0C-AF63-3B99E12BA267}">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raw water exports and so a reduction in WAFU.</t>
      </text>
    </comment>
    <comment ref="U137" authorId="521" shapeId="0" xr:uid="{273FECA8-A718-42A9-A3EF-C2729E267133}">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raw water exports and so a reduction in WAFU.</t>
      </text>
    </comment>
    <comment ref="V137" authorId="522" shapeId="0" xr:uid="{DABC6840-3F0E-42D9-A303-5FD919F3A66F}">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raw water exports and so a reduction in WAFU.</t>
      </text>
    </comment>
    <comment ref="W137" authorId="523" shapeId="0" xr:uid="{73ECB639-D6F8-47A7-A6F4-ED932B49EDBD}">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raw water exports and so a reduction in WAFU.</t>
      </text>
    </comment>
    <comment ref="X137" authorId="524" shapeId="0" xr:uid="{D520326C-979C-4A70-B957-1B161AD23A72}">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raw water exports and so a reduction in WAFU.</t>
      </text>
    </comment>
    <comment ref="Y137" authorId="525" shapeId="0" xr:uid="{D282D424-C3D6-4E5B-8A84-1EEFE7D86D49}">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raw water exports and so a reduction in WAFU.</t>
      </text>
    </comment>
    <comment ref="Z137" authorId="526" shapeId="0" xr:uid="{0E20EEB1-60EE-43FD-A928-23170A74EC80}">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raw water exports and so a reduction in WAFU.</t>
      </text>
    </comment>
    <comment ref="T138" authorId="527" shapeId="0" xr:uid="{7B1D8724-9CCF-4876-95DE-39890967D3E0}">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raw water exports and so a reduction in WAFU.</t>
      </text>
    </comment>
    <comment ref="U138" authorId="528" shapeId="0" xr:uid="{99CDA12D-37BA-4AF8-9F9D-C9C933F67073}">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raw water exports and so a reduction in WAFU.</t>
      </text>
    </comment>
    <comment ref="V138" authorId="529" shapeId="0" xr:uid="{4C222F90-611C-4DA9-8A5A-26C2EB5F7F8D}">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raw water exports and so a reduction in WAFU.</t>
      </text>
    </comment>
    <comment ref="W138" authorId="530" shapeId="0" xr:uid="{013AC61B-B3C1-46F7-B225-CB3ED1EC7F9E}">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raw water exports and so a reduction in WAFU.</t>
      </text>
    </comment>
    <comment ref="X138" authorId="531" shapeId="0" xr:uid="{40F245E2-1F63-4275-9B45-3959642350E6}">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raw water exports and so a reduction in WAFU.</t>
      </text>
    </comment>
    <comment ref="Y138" authorId="532" shapeId="0" xr:uid="{6B8A52B7-F36D-465B-8F12-6D211A23F16A}">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raw water exports and so a reduction in WAFU.</t>
      </text>
    </comment>
    <comment ref="Z138" authorId="533" shapeId="0" xr:uid="{223FF515-346E-47F1-948C-3AAEFF92B145}">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raw water exports and so a reduction in WAFU.</t>
      </text>
    </comment>
    <comment ref="T139" authorId="534" shapeId="0" xr:uid="{E5F01429-8B4D-484D-AB6D-364CBFCDB6F7}">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raw water exports and so a reduction in WAFU.</t>
      </text>
    </comment>
    <comment ref="U139" authorId="535" shapeId="0" xr:uid="{F4A336EA-8C59-4403-B00D-F6C4F782FCA0}">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raw water exports and so a reduction in WAFU.</t>
      </text>
    </comment>
    <comment ref="V139" authorId="536" shapeId="0" xr:uid="{8AA6971F-241F-44C3-A996-A1A8E7AEF2DC}">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raw water exports and so a reduction in WAFU.</t>
      </text>
    </comment>
    <comment ref="W139" authorId="537" shapeId="0" xr:uid="{2A96AFC9-F136-4765-BEB8-2427C563169D}">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raw water exports and so a reduction in WAFU.</t>
      </text>
    </comment>
    <comment ref="X139" authorId="538" shapeId="0" xr:uid="{76061F58-345A-4FB2-B97F-D30F88645303}">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raw water exports and so a reduction in WAFU.</t>
      </text>
    </comment>
    <comment ref="Y139" authorId="539" shapeId="0" xr:uid="{1DDBE774-1992-4B41-AC12-F8C1D25473DD}">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raw water exports and so a reduction in WAFU.</t>
      </text>
    </comment>
    <comment ref="Z139" authorId="540" shapeId="0" xr:uid="{063F99BD-3F12-46E7-85AD-0AF84FAED5EF}">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raw water exports and so a reduction in WAFU.</t>
      </text>
    </comment>
    <comment ref="T140" authorId="541" shapeId="0" xr:uid="{5148D8B8-FCCD-48B8-AFB8-B0B2BE476EBA}">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raw water exports and so a reduction in WAFU.</t>
      </text>
    </comment>
    <comment ref="U140" authorId="542" shapeId="0" xr:uid="{4644CCD5-415B-4CEE-BC14-F07CB63B4B83}">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raw water exports and so a reduction in WAFU.</t>
      </text>
    </comment>
    <comment ref="V140" authorId="543" shapeId="0" xr:uid="{9049A3BF-4FF4-4611-953D-DEE1BDB696A0}">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raw water exports and so a reduction in WAFU.</t>
      </text>
    </comment>
    <comment ref="W140" authorId="544" shapeId="0" xr:uid="{2C265F40-06A2-4437-A126-05065140082A}">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raw water exports and so a reduction in WAFU.</t>
      </text>
    </comment>
    <comment ref="X140" authorId="545" shapeId="0" xr:uid="{5A457877-55C3-480B-A330-FCD270604505}">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raw water exports and so a reduction in WAFU.</t>
      </text>
    </comment>
    <comment ref="Y140" authorId="546" shapeId="0" xr:uid="{CC49B535-6FE0-4506-8A82-15FB87815629}">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raw water exports and so a reduction in WAFU.</t>
      </text>
    </comment>
    <comment ref="Z140" authorId="547" shapeId="0" xr:uid="{BE5CA06B-F3C7-4A7D-B223-03802A581945}">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raw water exports and so a reduction in WAFU.</t>
      </text>
    </comment>
    <comment ref="T141" authorId="548" shapeId="0" xr:uid="{4803621E-532C-418A-8FCA-C4E96A64661F}">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raw water exports and so a reduction in WAFU.</t>
      </text>
    </comment>
    <comment ref="U141" authorId="549" shapeId="0" xr:uid="{FA60AD5E-D2AD-4179-87EA-1A729FAE5D37}">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raw water exports and so a reduction in WAFU.</t>
      </text>
    </comment>
    <comment ref="V141" authorId="550" shapeId="0" xr:uid="{939C8032-3BFD-4A61-9CB1-7CD467BE65F8}">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raw water exports and so a reduction in WAFU.</t>
      </text>
    </comment>
    <comment ref="W141" authorId="551" shapeId="0" xr:uid="{27C410C1-C305-4625-B22B-F443E9D0F452}">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raw water exports and so a reduction in WAFU.</t>
      </text>
    </comment>
    <comment ref="X141" authorId="552" shapeId="0" xr:uid="{20559BAA-99B0-4D0E-B0DD-CC4420E9F7A3}">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raw water exports and so a reduction in WAFU.</t>
      </text>
    </comment>
    <comment ref="Y141" authorId="553" shapeId="0" xr:uid="{BEE2172F-3E62-41B7-90BC-160C050C8782}">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raw water exports and so a reduction in WAFU.</t>
      </text>
    </comment>
    <comment ref="Z141" authorId="554" shapeId="0" xr:uid="{D6A85960-2EF7-4B37-B508-535294B53EFC}">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raw water exports and so a reduction in WAFU.</t>
      </text>
    </comment>
    <comment ref="T142" authorId="555" shapeId="0" xr:uid="{E50699E8-9F73-477E-8BF3-8E06E0D2A262}">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raw water exports and so a reduction in WAFU.</t>
      </text>
    </comment>
    <comment ref="U142" authorId="556" shapeId="0" xr:uid="{A83E0C73-BCA7-4A9B-9486-942387C2AED5}">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raw water exports and so a reduction in WAFU.</t>
      </text>
    </comment>
    <comment ref="V142" authorId="557" shapeId="0" xr:uid="{50458F78-8F5A-480C-A08D-4B8F05A3E2EE}">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raw water exports and so a reduction in WAFU.</t>
      </text>
    </comment>
    <comment ref="W142" authorId="558" shapeId="0" xr:uid="{B7EB7187-774D-45B2-8C74-342BEFAF73AA}">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raw water exports and so a reduction in WAFU.</t>
      </text>
    </comment>
    <comment ref="X142" authorId="559" shapeId="0" xr:uid="{720A96B8-9C78-427C-A08A-036AC401DF1C}">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raw water exports and so a reduction in WAFU.</t>
      </text>
    </comment>
    <comment ref="Y142" authorId="560" shapeId="0" xr:uid="{AD8292D6-5988-4D99-AA3E-CE4818D8A8E6}">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raw water exports and so a reduction in WAFU.</t>
      </text>
    </comment>
    <comment ref="Z142" authorId="561" shapeId="0" xr:uid="{9C426A5D-DA89-4C52-8BEF-B73D34DD186E}">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raw water exports and so a reduction in WAFU.</t>
      </text>
    </comment>
    <comment ref="T143" authorId="562" shapeId="0" xr:uid="{968AA922-09F0-4D0E-9234-D94130D050FE}">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raw water exports and so a reduction in WAFU.</t>
      </text>
    </comment>
    <comment ref="U143" authorId="563" shapeId="0" xr:uid="{DA99DCCB-4724-4721-8029-5E7350085190}">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raw water exports and so a reduction in WAFU.</t>
      </text>
    </comment>
    <comment ref="V143" authorId="564" shapeId="0" xr:uid="{4682C159-0977-4AB4-8AD9-8655D807DA9F}">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raw water exports and so a reduction in WAFU.</t>
      </text>
    </comment>
    <comment ref="W143" authorId="565" shapeId="0" xr:uid="{B7682752-2C1A-4041-83A5-25F7F576998D}">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raw water exports and so a reduction in WAFU.</t>
      </text>
    </comment>
    <comment ref="X143" authorId="566" shapeId="0" xr:uid="{CCA22A22-6FFA-4F01-8CA1-38CCE441B6B3}">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raw water exports and so a reduction in WAFU.</t>
      </text>
    </comment>
    <comment ref="Y143" authorId="567" shapeId="0" xr:uid="{CF7AED95-8653-4B49-B3A3-2FD781D866EF}">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raw water exports and so a reduction in WAFU.</t>
      </text>
    </comment>
    <comment ref="Z143" authorId="568" shapeId="0" xr:uid="{4B3FB6A1-29DE-41B6-90DF-AAD11EC2ACC6}">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raw water exports and so a reduction in WAFU.</t>
      </text>
    </comment>
    <comment ref="T144" authorId="569" shapeId="0" xr:uid="{A3004021-33D5-4FF0-86F0-74FDB2B5E343}">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raw water exports and so a reduction in WAFU.</t>
      </text>
    </comment>
    <comment ref="U144" authorId="570" shapeId="0" xr:uid="{E06F7F13-287F-40A7-B723-280CFAA60BB5}">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raw water exports and so a reduction in WAFU.</t>
      </text>
    </comment>
    <comment ref="V144" authorId="571" shapeId="0" xr:uid="{FB9D4332-E5EC-48AC-9AD9-459867A5E474}">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raw water exports and so a reduction in WAFU.</t>
      </text>
    </comment>
    <comment ref="W144" authorId="572" shapeId="0" xr:uid="{71E905BE-55A3-4616-8F77-F9BEB5E6BB05}">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raw water exports and so a reduction in WAFU.</t>
      </text>
    </comment>
    <comment ref="X144" authorId="573" shapeId="0" xr:uid="{50221A62-5D6E-407F-8912-C54757855B5D}">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raw water exports and so a reduction in WAFU.</t>
      </text>
    </comment>
    <comment ref="Y144" authorId="574" shapeId="0" xr:uid="{445D6A28-E7BD-4DDC-A019-7C36D464C645}">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raw water exports and so a reduction in WAFU.</t>
      </text>
    </comment>
    <comment ref="Z144" authorId="575" shapeId="0" xr:uid="{135E7BF0-BE05-4249-BE0C-D048033A75A7}">
      <text>
        <t>[Threaded comment]
Your version of Excel allows you to read this threaded comment; however, any edits to it will get removed if the file is opened in a newer version of Excel. Learn more: https://go.microsoft.com/fwlink/?linkid=870924
Comment:
    Figures are negative because they are an increase to raw water exports and so a reduction in WAFU.</t>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tc={2DDB3A65-2A5A-4BFB-A576-9CA82DE198FC}</author>
    <author>tc={06665ACA-E762-402A-8286-CBA5985D8FCC}</author>
    <author>tc={E384774C-8057-4734-9965-9E9FD2D306FA}</author>
    <author>tc={7818EB8B-A2BC-4B0A-88CA-6BA0217BA513}</author>
    <author>tc={FA434942-65A5-4F54-99DF-60B4212629B2}</author>
    <author>tc={171183AD-7F89-469E-BA30-9A9631461571}</author>
    <author>tc={4B9EE30B-C99A-4C03-B1B3-3C87EFDC3C90}</author>
    <author>tc={ADE443C9-7FB1-4EA2-999D-FAA3AB209574}</author>
    <author>tc={F68AA988-1EB0-47BE-83F4-ABCA775766EA}</author>
    <author>tc={B0545A69-504A-4351-951C-16BDAE45A4B6}</author>
    <author>tc={D8032634-5920-48CA-AD6B-23AED481FF06}</author>
    <author>tc={8595EB34-AD20-4BDC-8E78-0A27A40B6396}</author>
    <author>tc={C781AB24-71E5-46D5-BFB0-2AF4609134A8}</author>
    <author>tc={68E3BB9D-1551-408F-99E0-F80DBCCFDD86}</author>
    <author>tc={8BB0ED6C-532A-4606-9FFC-E2B30F19A0F8}</author>
    <author>tc={58EA0199-AFD0-4FA9-8BB9-29762A332D6E}</author>
    <author>tc={36EAA395-8565-455F-B9C2-94B6B7D36E49}</author>
    <author>tc={1D7AAD80-33F9-4AD3-B959-C33D39821A72}</author>
  </authors>
  <commentList>
    <comment ref="C5" authorId="0" shapeId="0" xr:uid="{2DDB3A65-2A5A-4BFB-A576-9CA82DE198FC}">
      <text>
        <t>[Threaded comment]
Your version of Excel allows you to read this threaded comment; however, any edits to it will get removed if the file is opened in a newer version of Excel. Learn more: https://go.microsoft.com/fwlink/?linkid=870924
Comment:
    This should be aligned to options flagged in your alternative programme in tables 4 and 5.</t>
      </text>
    </comment>
    <comment ref="I6" authorId="1" shapeId="0" xr:uid="{06665ACA-E762-402A-8286-CBA5985D8FCC}">
      <text>
        <t xml:space="preserve">[Threaded comment]
Your version of Excel allows you to read this threaded comment; however, any edits to it will get removed if the file is opened in a newer version of Excel. Learn more: https://go.microsoft.com/fwlink/?linkid=870924
Comment:
    </t>
      </text>
    </comment>
    <comment ref="M18" authorId="2" shapeId="0" xr:uid="{E384774C-8057-4734-9965-9E9FD2D306FA}">
      <text>
        <t>[Threaded comment]
Your version of Excel allows you to read this threaded comment; however, any edits to it will get removed if the file is opened in a newer version of Excel. Learn more: https://go.microsoft.com/fwlink/?linkid=870924
Comment:
    Lowestoft Reuse removed from 2032/33. NSR 3500 added from 2033/34.</t>
      </text>
    </comment>
    <comment ref="N18" authorId="3" shapeId="0" xr:uid="{7818EB8B-A2BC-4B0A-88CA-6BA0217BA513}">
      <text>
        <t>[Threaded comment]
Your version of Excel allows you to read this threaded comment; however, any edits to it will get removed if the file is opened in a newer version of Excel. Learn more: https://go.microsoft.com/fwlink/?linkid=870924
Comment:
    Lowestoft Reuse removed. NSR 3500 added for whole AMP</t>
      </text>
    </comment>
    <comment ref="O18" authorId="4" shapeId="0" xr:uid="{FA434942-65A5-4F54-99DF-60B4212629B2}">
      <text>
        <t>[Threaded comment]
Your version of Excel allows you to read this threaded comment; however, any edits to it will get removed if the file is opened in a newer version of Excel. Learn more: https://go.microsoft.com/fwlink/?linkid=870924
Comment:
    Lowestoft reuse removed. NSR added for whole AMP</t>
      </text>
    </comment>
    <comment ref="P18" authorId="5" shapeId="0" xr:uid="{171183AD-7F89-469E-BA30-9A9631461571}">
      <text>
        <t>[Threaded comment]
Your version of Excel allows you to read this threaded comment; however, any edits to it will get removed if the file is opened in a newer version of Excel. Learn more: https://go.microsoft.com/fwlink/?linkid=870924
Comment:
    Lowestoft Reuse removed. NSR 2300 added. Caister Reuse added from 2045/46.</t>
      </text>
    </comment>
    <comment ref="M51" authorId="6" shapeId="0" xr:uid="{4B9EE30B-C99A-4C03-B1B3-3C87EFDC3C90}">
      <text>
        <t>[Threaded comment]
Your version of Excel allows you to read this threaded comment; however, any edits to it will get removed if the file is opened in a newer version of Excel. Learn more: https://go.microsoft.com/fwlink/?linkid=870924
Comment:
    Southend Reuse Phase A  added from 2032/33</t>
      </text>
    </comment>
    <comment ref="N51" authorId="7" shapeId="0" xr:uid="{ADE443C9-7FB1-4EA2-999D-FAA3AB209574}">
      <text>
        <t>[Threaded comment]
Your version of Excel allows you to read this threaded comment; however, any edits to it will get removed if the file is opened in a newer version of Excel. Learn more: https://go.microsoft.com/fwlink/?linkid=870924
Comment:
    Southend Reuse Phase A added for whole AMP</t>
      </text>
    </comment>
    <comment ref="O51" authorId="8" shapeId="0" xr:uid="{F68AA988-1EB0-47BE-83F4-ABCA775766EA}">
      <text>
        <t>[Threaded comment]
Your version of Excel allows you to read this threaded comment; however, any edits to it will get removed if the file is opened in a newer version of Excel. Learn more: https://go.microsoft.com/fwlink/?linkid=870924
Comment:
    Southend Reuse &amp; Caister Reuse added &amp; remove NSR 7500 for whole AMP.</t>
      </text>
    </comment>
    <comment ref="P51" authorId="9" shapeId="0" xr:uid="{B0545A69-504A-4351-951C-16BDAE45A4B6}">
      <text>
        <t>[Threaded comment]
Your version of Excel allows you to read this threaded comment; however, any edits to it will get removed if the file is opened in a newer version of Excel. Learn more: https://go.microsoft.com/fwlink/?linkid=870924
Comment:
    Southend Reuse, Caister Reuse and Corton desal added &amp; remove NSR 7500 for whole AMP.</t>
      </text>
    </comment>
    <comment ref="O77" authorId="10" shapeId="0" xr:uid="{D8032634-5920-48CA-AD6B-23AED481FF06}">
      <text>
        <t>[Threaded comment]
Your version of Excel allows you to read this threaded comment; however, any edits to it will get removed if the file is opened in a newer version of Excel. Learn more: https://go.microsoft.com/fwlink/?linkid=870924
Comment:
    Adjusted to use High ED SRs instead of BAU+</t>
      </text>
    </comment>
    <comment ref="P77" authorId="11" shapeId="0" xr:uid="{8595EB34-AD20-4BDC-8E78-0A27A40B6396}">
      <text>
        <t>[Threaded comment]
Your version of Excel allows you to read this threaded comment; however, any edits to it will get removed if the file is opened in a newer version of Excel. Learn more: https://go.microsoft.com/fwlink/?linkid=870924
Comment:
    Adjusted to use High ED SRs instead of BAU+</t>
      </text>
    </comment>
    <comment ref="O84" authorId="12" shapeId="0" xr:uid="{C781AB24-71E5-46D5-BFB0-2AF4609134A8}">
      <text>
        <t>[Threaded comment]
Your version of Excel allows you to read this threaded comment; however, any edits to it will get removed if the file is opened in a newer version of Excel. Learn more: https://go.microsoft.com/fwlink/?linkid=870924
Comment:
    Addition of Canvey Island Desal 190Mld and Caister Water Reuse for whole AMP.</t>
      </text>
    </comment>
    <comment ref="P84" authorId="13" shapeId="0" xr:uid="{68E3BB9D-1551-408F-99E0-F80DBCCFDD86}">
      <text>
        <t>[Threaded comment]
Your version of Excel allows you to read this threaded comment; however, any edits to it will get removed if the file is opened in a newer version of Excel. Learn more: https://go.microsoft.com/fwlink/?linkid=870924
Comment:
    Addition of Canvey Island Desal 190Mld and Caister Water Reuse for whole AMP. Plus, Southend Reuse and Corton BW Desal from 2045/46.</t>
      </text>
    </comment>
    <comment ref="M117" authorId="14" shapeId="0" xr:uid="{8BB0ED6C-532A-4606-9FFC-E2B30F19A0F8}">
      <text>
        <t xml:space="preserve">[Threaded comment]
Your version of Excel allows you to read this threaded comment; however, any edits to it will get removed if the file is opened in a newer version of Excel. Learn more: https://go.microsoft.com/fwlink/?linkid=870924
Comment:
    Lowestoft brought forward to 2030/31. Caister added in 3032/33. </t>
      </text>
    </comment>
    <comment ref="O117" authorId="15" shapeId="0" xr:uid="{58EA0199-AFD0-4FA9-8BB9-29762A332D6E}">
      <text>
        <t>[Threaded comment]
Your version of Excel allows you to read this threaded comment; however, any edits to it will get removed if the file is opened in a newer version of Excel. Learn more: https://go.microsoft.com/fwlink/?linkid=870924
Comment:
    Change from Revised draft to Draft Final: North Suffolk Reservoir 5000 replaces North Suffolk Reservoir 3500 in 2040/41</t>
      </text>
    </comment>
    <comment ref="O183" authorId="16" shapeId="0" xr:uid="{36EAA395-8565-455F-B9C2-94B6B7D36E49}">
      <text>
        <t>[Threaded comment]
Your version of Excel allows you to read this threaded comment; however, any edits to it will get removed if the file is opened in a newer version of Excel. Learn more: https://go.microsoft.com/fwlink/?linkid=870924
Comment:
    North Suffolk Reservoir removed from 40/41</t>
      </text>
    </comment>
    <comment ref="P183" authorId="17" shapeId="0" xr:uid="{1D7AAD80-33F9-4AD3-B959-C33D39821A72}">
      <text>
        <t>[Threaded comment]
Your version of Excel allows you to read this threaded comment; however, any edits to it will get removed if the file is opened in a newer version of Excel. Learn more: https://go.microsoft.com/fwlink/?linkid=870924
Comment:
    Without Caister reuse and NSR</t>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<sst xmlns="http://schemas.openxmlformats.org/spreadsheetml/2006/main" count="26101" uniqueCount="2342">
  <si>
    <t>Water Resources Planning Tables 2024</t>
  </si>
  <si>
    <t>Company tables version tracker</t>
  </si>
  <si>
    <t>Version</t>
  </si>
  <si>
    <t>Updates made / Comments</t>
  </si>
  <si>
    <t>Date (DD/MM/YY)</t>
  </si>
  <si>
    <t xml:space="preserve">Table 4: Unconstrained options have been added to Table 4. No WAFU data is available for unconstrained demand side options. 
Average incremental cost (column AG ) is calculated by dividing Total NPC (£m) by Maximum option utilisation across the planning period (Ml/d). 
Metering Option 5 WAFU includes the saving from accelerated metering in Hartismere. </t>
  </si>
  <si>
    <t xml:space="preserve">Table 5: The individual sub-options that make up our water efficiency medium activity and smart scenario have been listed in Table 4 as 'preferred' sub options. We have not done an individual forecast of WAFU for each sub-option but instead have done the forecast on the water efficiency medium activity and smart scenario totals. Hence why none of these sub-options appear in Table 5. Table 5 shows the water efficiency activity and smart totals only.  </t>
  </si>
  <si>
    <t xml:space="preserve">Table 2a: For the PR24 Business Plan an ONS trend population scenario has been selected in line with PR24 guidance. We have selected a ONS 2018 scenario with medium growth. This is different to the WRMP population scenario hence the differences in demand components here compared to the WRMP. 
4NY: Annual reported data has been included for 21/22 and 22/23 leakage. 
Table 2d: 5BLW Total Leakage - annual reported data included for 21/22 but not for 22/23 as reported data not available in time for producing revised draft demand forecasts. 22/23 annual reported data has been included in 4NY though. </t>
  </si>
  <si>
    <t>Template Tables information</t>
  </si>
  <si>
    <t>Table 8e: The benefits are calculated for our WRMP24 preferred final plan and not a PR24 Business Plan population scenario. 
The basis in which the benefits Ml/d have been provided are as follows:
•	Demand side improvements (excluding leakage and metering): These benefits are a cumulative total benefit. 
•	Metering improvements: These benefits are a cumulative total benefit.
•	Leakage improvements: These benefits are for the individual time period.</t>
  </si>
  <si>
    <t>Costs for Habs Regs Adaptive Programme amended.
Table 5b completed.
Table 1 completed.
ESW Revised dWRMP24 Supply options Table 5 (v2) updated.</t>
  </si>
  <si>
    <t>Planning tables template version</t>
  </si>
  <si>
    <t>v1</t>
  </si>
  <si>
    <t>All queries on the content of this workbook should be sent to:</t>
  </si>
  <si>
    <t>Amendments made as requested by EA (Joe Tibbetts) on 13 September 2023.
ESWESX DYCP 9BL updated.</t>
  </si>
  <si>
    <t>Version date</t>
  </si>
  <si>
    <t>water-company-plan@environment-agency.gov.uk</t>
  </si>
  <si>
    <t>Added North Suffolk Reservoir to Habs Regs Adaptive Programme in sheet 5.</t>
  </si>
  <si>
    <r>
      <t>wrepp@cyfoethnaturiolcymru.gov.uk</t>
    </r>
    <r>
      <rPr>
        <sz val="10"/>
        <rFont val="Arial"/>
        <family val="2"/>
      </rPr>
      <t xml:space="preserve"> (Welsh areas only)</t>
    </r>
  </si>
  <si>
    <t>Water company information</t>
  </si>
  <si>
    <t>Company:</t>
  </si>
  <si>
    <t>Essex &amp; Suffolk Water</t>
  </si>
  <si>
    <t>Base Year:</t>
  </si>
  <si>
    <t>2021/22</t>
  </si>
  <si>
    <t>William Robinson</t>
  </si>
  <si>
    <t>Dated:</t>
  </si>
  <si>
    <t>Responsible Officer:</t>
  </si>
  <si>
    <t>Version:</t>
  </si>
  <si>
    <t>[Digital signature is acceptable]</t>
  </si>
  <si>
    <t>Key to cells</t>
  </si>
  <si>
    <t>Workbook contents</t>
  </si>
  <si>
    <t xml:space="preserve">Clear cells - indicate an input is required </t>
  </si>
  <si>
    <t>Worksheet</t>
  </si>
  <si>
    <t>Content</t>
  </si>
  <si>
    <t>1.Base Year</t>
  </si>
  <si>
    <t>Baseline licences and existing transfers</t>
  </si>
  <si>
    <t>Yellow shaded cells - indicates a formula</t>
  </si>
  <si>
    <t>2.WC Level Data</t>
  </si>
  <si>
    <t>Water Company level key metrics and microcomponents</t>
  </si>
  <si>
    <t>3. WRZs</t>
  </si>
  <si>
    <t>DYAA &amp; DYCP Baseline Water Balance, Final Plan Water Balance and preferred options</t>
  </si>
  <si>
    <t>Blue shaded cells - indicate base year data</t>
  </si>
  <si>
    <t>4.Options Appraisal Summary</t>
  </si>
  <si>
    <t>Appraisal of all options with key cost, benefit and natural capital metrics</t>
  </si>
  <si>
    <t>5. Options Benefit</t>
  </si>
  <si>
    <t>Benefits of your poptions across planning period</t>
  </si>
  <si>
    <t xml:space="preserve">Light orange shaded cells - indicate preceding years  </t>
  </si>
  <si>
    <t>5a-5c. Cost Profiles</t>
  </si>
  <si>
    <t>Option cost profile; Option unit cost profiles; worked example</t>
  </si>
  <si>
    <t>6. Drought Plan Links</t>
  </si>
  <si>
    <t>Drought plan links</t>
  </si>
  <si>
    <t>Dark grey shaded cells - indicate that no data entry is required</t>
  </si>
  <si>
    <t>7. Adaptive Programmes</t>
  </si>
  <si>
    <t>Adaptive plan information</t>
  </si>
  <si>
    <t>8. Business Plan Links</t>
  </si>
  <si>
    <t>Links to the Business Plan</t>
  </si>
  <si>
    <t>Green shaded cells - indicates annualised not cumulative figures</t>
  </si>
  <si>
    <t>Key to scenarios</t>
  </si>
  <si>
    <t>Normal Year Annual Average Final Plan - NYAA</t>
  </si>
  <si>
    <t>Dry Year Annual Average Baseline - DYAA</t>
  </si>
  <si>
    <t>Dry Year Annual Average Final Plan - DYAA</t>
  </si>
  <si>
    <t>Dry Year Critical Period Baseline - DYCP</t>
  </si>
  <si>
    <t>Dry Year Critical Period Final Plan - DYCP</t>
  </si>
  <si>
    <t>Back to title page</t>
  </si>
  <si>
    <t>Water Company</t>
  </si>
  <si>
    <t>READ ME</t>
  </si>
  <si>
    <t>deployable output (Ml/d)</t>
  </si>
  <si>
    <t>Source Types</t>
  </si>
  <si>
    <t>Table 1a: WC Level - Baseline licences - All individual licences</t>
  </si>
  <si>
    <t>GW</t>
  </si>
  <si>
    <t>WRMP24 Reference</t>
  </si>
  <si>
    <t>Derivation</t>
  </si>
  <si>
    <t>Licence number</t>
  </si>
  <si>
    <t>Source name</t>
  </si>
  <si>
    <t>Source type</t>
  </si>
  <si>
    <t>WRZ Code</t>
  </si>
  <si>
    <t>DYAA deployable output (Ml/d)</t>
  </si>
  <si>
    <t>DYCP deployable output (Ml/d)</t>
  </si>
  <si>
    <t>Annual licensed quantity (Ml/d)</t>
  </si>
  <si>
    <t>Constraints on deployable output</t>
  </si>
  <si>
    <t>Additional notes (if desired)</t>
  </si>
  <si>
    <t>SW:Reservoir</t>
  </si>
  <si>
    <t>0.1BL</t>
  </si>
  <si>
    <t>Sum (0.1BL+...)</t>
  </si>
  <si>
    <t xml:space="preserve"> - </t>
  </si>
  <si>
    <t>SW:River</t>
  </si>
  <si>
    <t>Input</t>
  </si>
  <si>
    <t>Roding</t>
  </si>
  <si>
    <t>ESWESX</t>
  </si>
  <si>
    <t>DYAA = DAPWL</t>
  </si>
  <si>
    <t>DYAA DO = 2.71 Ml/d. DYCP DO = 4 Ml/d. Part of Essex WRZ DO (Cell:H38)</t>
  </si>
  <si>
    <t>SW: Tidal Waters</t>
  </si>
  <si>
    <t>Little Glemham</t>
  </si>
  <si>
    <t>ESWBLY</t>
  </si>
  <si>
    <t>3.11</t>
  </si>
  <si>
    <t xml:space="preserve">DYAA = Annual Licence </t>
  </si>
  <si>
    <t>Treated at Benhall WTW. DYCP - included with Benhall</t>
  </si>
  <si>
    <t>Leiston</t>
  </si>
  <si>
    <t>Leiston GW treated at Coldfair Green WTW.</t>
  </si>
  <si>
    <t>Coldfair Green</t>
  </si>
  <si>
    <t>For DYCP includes Coldfair Green and Leiston sources</t>
  </si>
  <si>
    <t>Rickinghall</t>
  </si>
  <si>
    <t>ESWHRT</t>
  </si>
  <si>
    <t>Bedingfield</t>
  </si>
  <si>
    <t>Barsham Hall</t>
  </si>
  <si>
    <t>ESWNCT</t>
  </si>
  <si>
    <t>Shipmeadow</t>
  </si>
  <si>
    <t>Lound Lakes</t>
  </si>
  <si>
    <t>Waveney Chalk</t>
  </si>
  <si>
    <t>N/A</t>
  </si>
  <si>
    <t>Emergency use only</t>
  </si>
  <si>
    <t>River Waveney</t>
  </si>
  <si>
    <t>Ball Lane</t>
  </si>
  <si>
    <t>Part of Essex WRZ DO (Cell:H38).
DYAA DO = 1.93 Ml/d.</t>
  </si>
  <si>
    <t>Langham BHs</t>
  </si>
  <si>
    <t>Part of Essex WRZ DO (Cell:H38).
No annual licence. 8/36/15/*S/0123 and 8/36/15/*G/0092 not to exceed 315,000,000 cubic metres in 5 yrs</t>
  </si>
  <si>
    <t>Langford Trench</t>
  </si>
  <si>
    <t>Part of Essex WRZ DO (Cell:H38)
8/37/31/*G/0112, 8/37/31/*S/0140, AN/037/0036/005 and AN/037/0037/003 not to exceed 384,750,000 in 5 years</t>
  </si>
  <si>
    <t>Hanningfield Reservoir</t>
  </si>
  <si>
    <t>Part of Essex WRZ DO (Cell:H38)
8/37/37/*S/0025 and 8/37/24/*S/0061 not to exceed 700,000,000 cubic metres in 5 years</t>
  </si>
  <si>
    <t>Abberton Reservoir</t>
  </si>
  <si>
    <t>River Blackwater &amp; Langford Mill</t>
  </si>
  <si>
    <t>Part of Essex WRZ DO (Cell:H38)</t>
  </si>
  <si>
    <t>River Chelmer</t>
  </si>
  <si>
    <t>Sandon Brook</t>
  </si>
  <si>
    <t>Roman River</t>
  </si>
  <si>
    <t>Part of Essex WRZ DO (Cell:H38).
25,000,000 cubmic metres in 5 years</t>
  </si>
  <si>
    <t>River Stour</t>
  </si>
  <si>
    <t>Table 1b: WC Level - Baseline licences - Grouped licences</t>
  </si>
  <si>
    <t>0.2BL</t>
  </si>
  <si>
    <t>Sum (0.2BL+...)</t>
  </si>
  <si>
    <t>Total</t>
  </si>
  <si>
    <t>Essex WRZ</t>
  </si>
  <si>
    <t>System modelled DO</t>
  </si>
  <si>
    <t>Essex WRZ Aquator model now incorporates all sources, incl. Roding, Stifford, Langham BHs, Ball Lane, and TWU bulk supply into Chigwell WTW.</t>
  </si>
  <si>
    <t>Linford and Stifford</t>
  </si>
  <si>
    <t>DYAA Stifford = DAPWL</t>
  </si>
  <si>
    <t>Stifford is part of Essex WRZ DO (Cell:H38). 
Stifford DYAA DO = 2.61 Ml/d. 
Linford not in potable water supply until Linford new WTW option operational in 2027/28.</t>
  </si>
  <si>
    <t>Benhall, Parham and Saxmundham</t>
  </si>
  <si>
    <t>DYCP includes Benhall, Parham, Saxmundham, &amp; Little Glenham.</t>
  </si>
  <si>
    <t>Barsham and Puddingmoor</t>
  </si>
  <si>
    <t>Eye, Mendlesham, Redgrave, Wortham, Syleham</t>
  </si>
  <si>
    <t>River Bure and Ormesby Broad</t>
  </si>
  <si>
    <t xml:space="preserve">DYCP includes Grange Farm and Juby Farm GW </t>
  </si>
  <si>
    <t>Halesworth and Holton</t>
  </si>
  <si>
    <t>Aggregate total for 7/35/02/*G/0083 and 7/35/02/*G/0082 = 2,085 Ml/year. Halesworth GW treated at Walpole WTW.</t>
  </si>
  <si>
    <t>Broome and Bleach Green</t>
  </si>
  <si>
    <t>DYAA = Annual Licence</t>
  </si>
  <si>
    <t>Bleach Green GW treated at Syleham WTW</t>
  </si>
  <si>
    <t>Juby Farm and Grange Farm</t>
  </si>
  <si>
    <t>DYAA DO = 1.85. Conjunctive use with River Bure and Ormesby Broad.</t>
  </si>
  <si>
    <t>Walpole and Rockstone Lane</t>
  </si>
  <si>
    <t>Aggregate total for 7/35/02/*G/0083 and 7/35/02/*G/0082 = 2,085 Ml/year. 
DYCP includes Walpole and Halesworth</t>
  </si>
  <si>
    <t>Table 1c: WC Level - Baseline licences - Unused licences</t>
  </si>
  <si>
    <t>Reason licence is unused</t>
  </si>
  <si>
    <t>0.3BL</t>
  </si>
  <si>
    <t>Sum (0.3BL+...)</t>
  </si>
  <si>
    <t xml:space="preserve">Bungay </t>
  </si>
  <si>
    <t>Currently used for raw water supply to Golf Club</t>
  </si>
  <si>
    <t>Will be brought back in to potable water supply with new Bungay to Barsham WTW pipeline option</t>
  </si>
  <si>
    <t>Southwold</t>
  </si>
  <si>
    <t>Bacteriological contamination</t>
  </si>
  <si>
    <t xml:space="preserve">Aldeburgh </t>
  </si>
  <si>
    <t>Recent Actual component traded with Aldeburgh Golf club</t>
  </si>
  <si>
    <t>Due to be revoked under sustainability reductions</t>
  </si>
  <si>
    <t>Table 1d: WC Level - Baseline licences - Drought only licences</t>
  </si>
  <si>
    <t>0.4BL</t>
  </si>
  <si>
    <t>Sum (0.4BL+...)</t>
  </si>
  <si>
    <t>None</t>
  </si>
  <si>
    <t>Table 1e: WC Level - Baseline licences - New licences (within current AMP)</t>
  </si>
  <si>
    <t>Status of licence</t>
  </si>
  <si>
    <t>0.5BL</t>
  </si>
  <si>
    <t>Sum (0.5BL+...)</t>
  </si>
  <si>
    <t>Table 1f: WC Level - Existing transfers - Raw water transfers</t>
  </si>
  <si>
    <t>Transfer name</t>
  </si>
  <si>
    <t>End date of agreement (dd/mm/yyyy)</t>
  </si>
  <si>
    <t>WRZ Code From</t>
  </si>
  <si>
    <t>WRZ Code To</t>
  </si>
  <si>
    <t>Annual limit (Ml/d)</t>
  </si>
  <si>
    <t>Changes to agreement during drought</t>
  </si>
  <si>
    <t>0.6BL</t>
  </si>
  <si>
    <t>Halesworth BH to Walpole WTW</t>
  </si>
  <si>
    <t>Subject to sustainability reductions for DYAA to 1.39 Mld in 2026/27, and then to 1.32 Mld under Environmental Destination in 2040/41</t>
  </si>
  <si>
    <t>Bleach Green BH to Syleham WTW</t>
  </si>
  <si>
    <t>Subject to sustainability reductions for DYAA to 1.46 Mld in 2030/31, and then to 0.73 Mld under Environmental Destination from 2040/41</t>
  </si>
  <si>
    <t>Thames Water Bulk Import to Chigwell WTW</t>
  </si>
  <si>
    <t>TWSLND</t>
  </si>
  <si>
    <t>Reduction to 71 Mld when TWU implement a L2 TUB, under water sharing agreement which expires in 2034/35</t>
  </si>
  <si>
    <t>Table 1g: WC Level - Existing transfers - Potable water transfers</t>
  </si>
  <si>
    <t>0.7BL</t>
  </si>
  <si>
    <t>Walpole WTW to Halesworth distribution area</t>
  </si>
  <si>
    <t>(NESBWE13) Anglian Water (Woods Meadow Oulton)</t>
  </si>
  <si>
    <t>(NESBWE17) Anglian Water (2 Sisters Buxted Chickens)</t>
  </si>
  <si>
    <t>AWSEXS</t>
  </si>
  <si>
    <t>Bulk Import from AWS - Cressing</t>
  </si>
  <si>
    <t>Table 2a: WC Level Normal Year planning scenario</t>
  </si>
  <si>
    <t>2. WC Level Data'!B53</t>
  </si>
  <si>
    <t xml:space="preserve">Version </t>
  </si>
  <si>
    <t>Table 2b: WC Level DYAA - Microcomponents - Final planning</t>
  </si>
  <si>
    <t>2. WC Level Data'!B66</t>
  </si>
  <si>
    <t>Planning Scenario</t>
  </si>
  <si>
    <t>NYAA</t>
  </si>
  <si>
    <t>Table 2c: WC Level DYAA -
Meter Installations (including meter upgrades) - Final Planning</t>
  </si>
  <si>
    <t>2. WC Level Data'!B81</t>
  </si>
  <si>
    <t>Back to top of sheet</t>
  </si>
  <si>
    <t>Component</t>
  </si>
  <si>
    <t>Unit</t>
  </si>
  <si>
    <t>Decimal places</t>
  </si>
  <si>
    <t>2019-20</t>
  </si>
  <si>
    <t>2020-21</t>
  </si>
  <si>
    <t>2021-22</t>
  </si>
  <si>
    <t>2022-23</t>
  </si>
  <si>
    <t>2023-24</t>
  </si>
  <si>
    <t>2024-25</t>
  </si>
  <si>
    <t>2025-26</t>
  </si>
  <si>
    <t>2026-27</t>
  </si>
  <si>
    <t>2027-28</t>
  </si>
  <si>
    <t>2028-29</t>
  </si>
  <si>
    <t>2029-30</t>
  </si>
  <si>
    <t>2034-35</t>
  </si>
  <si>
    <t>2039-40</t>
  </si>
  <si>
    <t>2044-45</t>
  </si>
  <si>
    <t>2049-50</t>
  </si>
  <si>
    <t>2054-55</t>
  </si>
  <si>
    <t>2059-60</t>
  </si>
  <si>
    <t>2064-65</t>
  </si>
  <si>
    <t>2069-70</t>
  </si>
  <si>
    <t>2074-75</t>
  </si>
  <si>
    <t>2079-80</t>
  </si>
  <si>
    <t>2084-85</t>
  </si>
  <si>
    <t>2089-90</t>
  </si>
  <si>
    <t>2094-95</t>
  </si>
  <si>
    <t>2099-100</t>
  </si>
  <si>
    <t>Column1</t>
  </si>
  <si>
    <t>1NY</t>
  </si>
  <si>
    <t>Total Household Consumption</t>
  </si>
  <si>
    <t>Ml/d</t>
  </si>
  <si>
    <t>2NY</t>
  </si>
  <si>
    <t>Average Household - PCC</t>
  </si>
  <si>
    <t>l/h/d</t>
  </si>
  <si>
    <t>3NY</t>
  </si>
  <si>
    <t>Total Non-Household Consumption</t>
  </si>
  <si>
    <t>4NY</t>
  </si>
  <si>
    <t>Total Leakage</t>
  </si>
  <si>
    <t>5NY</t>
  </si>
  <si>
    <t>Distribution input</t>
  </si>
  <si>
    <t>DYAA</t>
  </si>
  <si>
    <t>2030-31</t>
  </si>
  <si>
    <t>2031-32</t>
  </si>
  <si>
    <t>2032-33</t>
  </si>
  <si>
    <t>2033-34</t>
  </si>
  <si>
    <t>2035-36</t>
  </si>
  <si>
    <t>2036-37</t>
  </si>
  <si>
    <t>2037-38</t>
  </si>
  <si>
    <t>2038-39</t>
  </si>
  <si>
    <t>2040-41</t>
  </si>
  <si>
    <t>2041-42</t>
  </si>
  <si>
    <t>2042-43</t>
  </si>
  <si>
    <t>2043-44</t>
  </si>
  <si>
    <t>2045-46</t>
  </si>
  <si>
    <t>2046-47</t>
  </si>
  <si>
    <t>2047-48</t>
  </si>
  <si>
    <t>2048-49</t>
  </si>
  <si>
    <t>2050-51</t>
  </si>
  <si>
    <t>2051-52</t>
  </si>
  <si>
    <t>2052-53</t>
  </si>
  <si>
    <t>2053-54</t>
  </si>
  <si>
    <t>2055-56</t>
  </si>
  <si>
    <t>2056-57</t>
  </si>
  <si>
    <t>2057-58</t>
  </si>
  <si>
    <t>2058-59</t>
  </si>
  <si>
    <t>2060-61</t>
  </si>
  <si>
    <t>2061-62</t>
  </si>
  <si>
    <t>2062-63</t>
  </si>
  <si>
    <t>2063-64</t>
  </si>
  <si>
    <t>2065-66</t>
  </si>
  <si>
    <t>2066-67</t>
  </si>
  <si>
    <t>2067-68</t>
  </si>
  <si>
    <t>2068-69</t>
  </si>
  <si>
    <t>2070-71</t>
  </si>
  <si>
    <t>2071-72</t>
  </si>
  <si>
    <t>2072-73</t>
  </si>
  <si>
    <t>2073-74</t>
  </si>
  <si>
    <t>2075-76</t>
  </si>
  <si>
    <t>2076-77</t>
  </si>
  <si>
    <t>2077-78</t>
  </si>
  <si>
    <t>2078-79</t>
  </si>
  <si>
    <t>2080-81</t>
  </si>
  <si>
    <t>2081-82</t>
  </si>
  <si>
    <t>2082-83</t>
  </si>
  <si>
    <t>2083-84</t>
  </si>
  <si>
    <t>2085-86</t>
  </si>
  <si>
    <t>2086-87</t>
  </si>
  <si>
    <t>2087-88</t>
  </si>
  <si>
    <t>2088-89</t>
  </si>
  <si>
    <t>2090-91</t>
  </si>
  <si>
    <t>2091-92</t>
  </si>
  <si>
    <t>2092-93</t>
  </si>
  <si>
    <t>2093-94</t>
  </si>
  <si>
    <t>2095-96</t>
  </si>
  <si>
    <t>2096-97</t>
  </si>
  <si>
    <t>2097-98</t>
  </si>
  <si>
    <t>2098-99</t>
  </si>
  <si>
    <t>2100-01</t>
  </si>
  <si>
    <t>11FPW</t>
  </si>
  <si>
    <t>Measured Household - PCC</t>
  </si>
  <si>
    <t>sum (11.1FPW:11.9FPW)</t>
  </si>
  <si>
    <t>11.1FPW</t>
  </si>
  <si>
    <t>Measured toilet flushing</t>
  </si>
  <si>
    <t>11.2FPW</t>
  </si>
  <si>
    <t>Measured personal washing</t>
  </si>
  <si>
    <t>11.3FPW</t>
  </si>
  <si>
    <t>Measured clothes washing</t>
  </si>
  <si>
    <t>11.4FPW</t>
  </si>
  <si>
    <t>Measured dish washing</t>
  </si>
  <si>
    <t>11.5FPW</t>
  </si>
  <si>
    <t>Measured miscellaneous internal use</t>
  </si>
  <si>
    <t>11.6FPW</t>
  </si>
  <si>
    <t>Measured external use</t>
  </si>
  <si>
    <t>11.7FPW</t>
  </si>
  <si>
    <t>Measured (other: define)</t>
  </si>
  <si>
    <t>11.8FPW</t>
  </si>
  <si>
    <t>11.9FPW</t>
  </si>
  <si>
    <t>12FPW</t>
  </si>
  <si>
    <t>Unmeasured Household - PCC</t>
  </si>
  <si>
    <t>sum (12.1FPW:12.9FPW)</t>
  </si>
  <si>
    <t>12.1FPW</t>
  </si>
  <si>
    <t>Unmeasured toilet flushing</t>
  </si>
  <si>
    <t>12.2FPW</t>
  </si>
  <si>
    <t>Unmeasured personal washing</t>
  </si>
  <si>
    <t>12.3FPW</t>
  </si>
  <si>
    <t>Unmeasured clothes washing</t>
  </si>
  <si>
    <t>12.4FPW</t>
  </si>
  <si>
    <t>Unmeasured dish washing</t>
  </si>
  <si>
    <t>12.5FPW</t>
  </si>
  <si>
    <t>Unmeasured miscellaneous internal use</t>
  </si>
  <si>
    <t>12.6FPW</t>
  </si>
  <si>
    <t>Unmeasured external use</t>
  </si>
  <si>
    <t>12.7FPW</t>
  </si>
  <si>
    <t>Unmeasured (other: define)</t>
  </si>
  <si>
    <t>12.8FPW</t>
  </si>
  <si>
    <t>12.9FPW</t>
  </si>
  <si>
    <t>0FPM</t>
  </si>
  <si>
    <t>Total Household Smart Meters (cumulative including existing)</t>
  </si>
  <si>
    <t>000's</t>
  </si>
  <si>
    <t>1FPM</t>
  </si>
  <si>
    <t>Total household meter installations</t>
  </si>
  <si>
    <t>sum(1.1FPM:1.32FPM)</t>
  </si>
  <si>
    <t>1.1FPM</t>
  </si>
  <si>
    <t>Basic (non-automated) meter installations (household)</t>
  </si>
  <si>
    <t>1.21FPM</t>
  </si>
  <si>
    <t>Automated Meter Reading (AMR) - new installations (household)</t>
  </si>
  <si>
    <t>1.22FPM</t>
  </si>
  <si>
    <t>Automated Meter Reading (AMR) - upgrades from basic meters (household</t>
  </si>
  <si>
    <t>1.31FPM</t>
  </si>
  <si>
    <t>Advanced Metering Infrastructure (AMI) - new installations (household)</t>
  </si>
  <si>
    <t>1.32FPM</t>
  </si>
  <si>
    <t>Automated Meter Infrastructure (AMI) - upgrades from basic or AMR meters (household)</t>
  </si>
  <si>
    <t>2FPM</t>
  </si>
  <si>
    <t>Total non-household meter installations</t>
  </si>
  <si>
    <t>2.1FPM</t>
  </si>
  <si>
    <t>Basic (non-automated) meter installations (non-household)</t>
  </si>
  <si>
    <t>2.2FPM</t>
  </si>
  <si>
    <t>Automated Meter Reading (AMR) -  installations (non-household)</t>
  </si>
  <si>
    <t>2.3FPM</t>
  </si>
  <si>
    <t>Automated Meter Infrastructure (AMI) -  installations (non-household)</t>
  </si>
  <si>
    <t>Table 2d: WC Level DYAA - Key Components - Baseline</t>
  </si>
  <si>
    <t>1BLW</t>
  </si>
  <si>
    <t>Outage Allowance</t>
  </si>
  <si>
    <t>Sum (all WRZ 9BL)</t>
  </si>
  <si>
    <t>2BLW</t>
  </si>
  <si>
    <t>((Sum (all WRZ 14BL: 15BL) - Sum (all WRZ 25BL:26BL))*1,000,000)/((Sum (all WRZ 39BL: 40BL))*1,000)</t>
  </si>
  <si>
    <t>3BLW</t>
  </si>
  <si>
    <t>Household metering penetration incl. voids</t>
  </si>
  <si>
    <t xml:space="preserve">Sum (all WRZ 34BL)  / (Sum (all WRZ 34BL) + Sum (all WRZ 34.7BL: 35.1BL)) </t>
  </si>
  <si>
    <t>%</t>
  </si>
  <si>
    <t>4BLW</t>
  </si>
  <si>
    <t>Total non-household consumption</t>
  </si>
  <si>
    <t>Sum (all WRZ 12BL:13BL) - Sum (all WRZ 23BL:24BL)</t>
  </si>
  <si>
    <t>5BLW</t>
  </si>
  <si>
    <t>Sum (all WRZ 29BL)</t>
  </si>
  <si>
    <t>6BLW</t>
  </si>
  <si>
    <t>Sum (all WRZ 45BL)</t>
  </si>
  <si>
    <t>7BLW</t>
  </si>
  <si>
    <t>Target Headroom</t>
  </si>
  <si>
    <t>Sum (all WRZ 48BL)</t>
  </si>
  <si>
    <t>8BLW</t>
  </si>
  <si>
    <t>Water Available For Use (own sources)</t>
  </si>
  <si>
    <t>Sum (all WRZ 10BL)</t>
  </si>
  <si>
    <t>9BLW</t>
  </si>
  <si>
    <t>Total Water Available For Use</t>
  </si>
  <si>
    <t>Sum (all WRZ 11BL)</t>
  </si>
  <si>
    <t>10BLW</t>
  </si>
  <si>
    <t>Supply Demand Balance</t>
  </si>
  <si>
    <t>Sum (all WRZ 50BL)</t>
  </si>
  <si>
    <t>Table 2e: WC Level DYAA - Key Components - Final planning</t>
  </si>
  <si>
    <t>1FPW</t>
  </si>
  <si>
    <t>Sum (all WRZ 9FP)</t>
  </si>
  <si>
    <t>2FPW</t>
  </si>
  <si>
    <t>((Sum (all WRZ 14FP: 15FP) - Sum (all WRZ 25FP:26FP))*1,000,000)/((Sum (all WRZ 39FP: 40FP))*1,000)</t>
  </si>
  <si>
    <t>3FPW</t>
  </si>
  <si>
    <t xml:space="preserve">Sum (all WRZ 34FP) / (Sum (all WRZ 34FP) + Sum (all WRZ 34.7FP: 35.1FP)) </t>
  </si>
  <si>
    <t>4FPW</t>
  </si>
  <si>
    <t>Sum (all WRZ 12FP:13FP) - Sum (all WRZ 23FP:24FP)</t>
  </si>
  <si>
    <t>5FPW</t>
  </si>
  <si>
    <t>Sum (all WRZ 29FP)</t>
  </si>
  <si>
    <t>6FPW</t>
  </si>
  <si>
    <t>Sum (all WRZ 45FP)</t>
  </si>
  <si>
    <t>7FPW</t>
  </si>
  <si>
    <t>Sum (all WRZ 48FP)</t>
  </si>
  <si>
    <t>8FPW</t>
  </si>
  <si>
    <t>Sum (all WRZ 10FP)</t>
  </si>
  <si>
    <t>9FPW</t>
  </si>
  <si>
    <t>Sum (all WRZ 11FP)</t>
  </si>
  <si>
    <t>10FPW</t>
  </si>
  <si>
    <t>Sum (all WRZ 50FP)</t>
  </si>
  <si>
    <t>All Non-Household Properties (incl. voids)</t>
  </si>
  <si>
    <t>Sum (all WRZ 31FP:33FP)</t>
  </si>
  <si>
    <t>All Household Properties (incl. voids)</t>
  </si>
  <si>
    <t>Sum (all WRZ 34FP) + Sum (all WRZ 34.7FP:35.1FP)</t>
  </si>
  <si>
    <t>Table 2f: WC Level DYAA -
Levels of Service - Final Planning</t>
  </si>
  <si>
    <t>1.1FPL</t>
  </si>
  <si>
    <t>Temporary Use Bans (modelled)</t>
  </si>
  <si>
    <t xml:space="preserve">% </t>
  </si>
  <si>
    <t>1.2FPL</t>
  </si>
  <si>
    <t>Temporary Use Bans (minimum)</t>
  </si>
  <si>
    <t>2.1FPL</t>
  </si>
  <si>
    <t>Drought Permits/Orders (modelled)</t>
  </si>
  <si>
    <t>2.2FPL</t>
  </si>
  <si>
    <t>Drought Permits/Orders (minimum)</t>
  </si>
  <si>
    <t>3.1FPL</t>
  </si>
  <si>
    <t>Non Essential Use Bans (modelled)</t>
  </si>
  <si>
    <t>3.2FPL</t>
  </si>
  <si>
    <t>Non Essential Use Bans (minimum)</t>
  </si>
  <si>
    <t>4.1FPL</t>
  </si>
  <si>
    <t>Emergency Drought Orders (modelled)</t>
  </si>
  <si>
    <t>4.2FPL</t>
  </si>
  <si>
    <t>Emergency Drought Orders (minimum)</t>
  </si>
  <si>
    <t>Table 3a: DYAA - Baseline</t>
  </si>
  <si>
    <t>Table 3b: DYAA - Final plan Options</t>
  </si>
  <si>
    <t>Table 3c: DYAA - Final plan</t>
  </si>
  <si>
    <t>Table 3d: DYCP - Baseline</t>
  </si>
  <si>
    <t>Table 3e: DYCP - Final plan Options</t>
  </si>
  <si>
    <t>Table 3f: DYCP - Final plan</t>
  </si>
  <si>
    <t>Essex and Suffolk Water</t>
  </si>
  <si>
    <t>WRZ</t>
  </si>
  <si>
    <t>WRMP24 reference</t>
  </si>
  <si>
    <t>1BL</t>
  </si>
  <si>
    <t>Raw water abstracted</t>
  </si>
  <si>
    <t>1.1BL</t>
  </si>
  <si>
    <t>Non-potable water supplies (if applicable)</t>
  </si>
  <si>
    <t>2BL</t>
  </si>
  <si>
    <t xml:space="preserve">Raw water imported </t>
  </si>
  <si>
    <t>3BL</t>
  </si>
  <si>
    <t>Potable water imported</t>
  </si>
  <si>
    <t>4BL</t>
  </si>
  <si>
    <r>
      <t xml:space="preserve">Raw water exported </t>
    </r>
    <r>
      <rPr>
        <sz val="11"/>
        <color rgb="FFFF0000"/>
        <rFont val="Arial"/>
        <family val="2"/>
      </rPr>
      <t>enter as -ve</t>
    </r>
  </si>
  <si>
    <t>5BL</t>
  </si>
  <si>
    <r>
      <t xml:space="preserve">Potable water exported </t>
    </r>
    <r>
      <rPr>
        <sz val="11"/>
        <color rgb="FFFF0000"/>
        <rFont val="Arial"/>
        <family val="2"/>
      </rPr>
      <t>enter as -ve</t>
    </r>
  </si>
  <si>
    <t>6BL</t>
  </si>
  <si>
    <t>Deployable Output before forecast changes</t>
  </si>
  <si>
    <t>6.1BL</t>
  </si>
  <si>
    <t>Deployable Output post forecast changes</t>
  </si>
  <si>
    <t>6BL + 7BL</t>
  </si>
  <si>
    <t>7BL</t>
  </si>
  <si>
    <t>Baseline forecast changes to Deployable Output</t>
  </si>
  <si>
    <t>sum (7.1BL:7.6BL)</t>
  </si>
  <si>
    <t>7.1BL</t>
  </si>
  <si>
    <t>Change in DO due to climate change</t>
  </si>
  <si>
    <t>7.2BL</t>
  </si>
  <si>
    <r>
      <t xml:space="preserve">Total confirmed DO reductions to restore sustainable abstraction </t>
    </r>
    <r>
      <rPr>
        <sz val="11"/>
        <color rgb="FFFF0000"/>
        <rFont val="Arial"/>
        <family val="2"/>
      </rPr>
      <t>enter as -ve</t>
    </r>
  </si>
  <si>
    <t>7.3BL</t>
  </si>
  <si>
    <r>
      <t xml:space="preserve">Total additional DO reductions for Environmental Destination (excl. any confirmed reductions) </t>
    </r>
    <r>
      <rPr>
        <sz val="11"/>
        <color rgb="FFFF0000"/>
        <rFont val="Arial"/>
        <family val="2"/>
      </rPr>
      <t>enter as -ve</t>
    </r>
  </si>
  <si>
    <t>7.4BL</t>
  </si>
  <si>
    <r>
      <t xml:space="preserve">Change in DO from prolonged Outage reduction </t>
    </r>
    <r>
      <rPr>
        <sz val="11"/>
        <color rgb="FFFF0000"/>
        <rFont val="Arial"/>
        <family val="2"/>
      </rPr>
      <t>enter as -ve</t>
    </r>
  </si>
  <si>
    <t>7.5BL</t>
  </si>
  <si>
    <t>Change in DO from drought measures</t>
  </si>
  <si>
    <t>Zero for baseline</t>
  </si>
  <si>
    <t>7.6BL</t>
  </si>
  <si>
    <t>Total other changes to DO (e.g. nitrates/operational decline)</t>
  </si>
  <si>
    <t>8BL</t>
  </si>
  <si>
    <t xml:space="preserve">Raw water losses, treatment works losses and operational use </t>
  </si>
  <si>
    <t>9BL</t>
  </si>
  <si>
    <t>Total Outage Allowance</t>
  </si>
  <si>
    <t>10BL</t>
  </si>
  <si>
    <t>(6BL + 7BL) - (8BL + 9BL)</t>
  </si>
  <si>
    <t>11BL</t>
  </si>
  <si>
    <t>10BL + sum (2BL:5BL)</t>
  </si>
  <si>
    <t>12BL</t>
  </si>
  <si>
    <t>Water delivered measured non-household</t>
  </si>
  <si>
    <t>12.1BL</t>
  </si>
  <si>
    <t>Non-potable water consumption (if applicable)</t>
  </si>
  <si>
    <t>13BL</t>
  </si>
  <si>
    <t>Water delivered unmeasured non-household</t>
  </si>
  <si>
    <t>14BL</t>
  </si>
  <si>
    <t>Water delivered measured household</t>
  </si>
  <si>
    <t>15BL</t>
  </si>
  <si>
    <t>Water delivered unmeasured household</t>
  </si>
  <si>
    <t>16BL</t>
  </si>
  <si>
    <t>Percentage of consumption driven by climate change</t>
  </si>
  <si>
    <t>17BL</t>
  </si>
  <si>
    <t>Volume of consumption driven by climate change</t>
  </si>
  <si>
    <t>16BL * (12BL + sum(13BL:15BL) - sum (23BL:26BL))</t>
  </si>
  <si>
    <t>18BL</t>
  </si>
  <si>
    <t>((14BL - 25BL) * 1,000,000) / (39BL *1,000)</t>
  </si>
  <si>
    <t>19BL</t>
  </si>
  <si>
    <t>((15BL - 26BL) * 1,000,000) / (40BL *1,000)</t>
  </si>
  <si>
    <t>20BL</t>
  </si>
  <si>
    <t>(((14BL - 25BL) + (15BL - 26BL)) * 1,000,000) / ((39BL + 40BL) *1,000)</t>
  </si>
  <si>
    <t>21BL</t>
  </si>
  <si>
    <t>Water taken unbilled</t>
  </si>
  <si>
    <t>22BL</t>
  </si>
  <si>
    <t>Distribution system operational use</t>
  </si>
  <si>
    <t>23BL</t>
  </si>
  <si>
    <t>Measured Non Household - USPL</t>
  </si>
  <si>
    <t>24BL</t>
  </si>
  <si>
    <t>Unmeasured Non Household - USPL</t>
  </si>
  <si>
    <t>25BL</t>
  </si>
  <si>
    <t>Measured Household - USPL</t>
  </si>
  <si>
    <t>26BL</t>
  </si>
  <si>
    <t>Unmeasured Household - USPL</t>
  </si>
  <si>
    <t>27BL</t>
  </si>
  <si>
    <t>Void Properties - USPL</t>
  </si>
  <si>
    <t>28BL</t>
  </si>
  <si>
    <t>Distribution losses</t>
  </si>
  <si>
    <t>29BL</t>
  </si>
  <si>
    <t>sum (23BL:28BL)</t>
  </si>
  <si>
    <t>30BL</t>
  </si>
  <si>
    <t>Leakage/property</t>
  </si>
  <si>
    <t>(29BL * 1,000,000) / (36BL * 1,000)</t>
  </si>
  <si>
    <t>l/prop/d</t>
  </si>
  <si>
    <t>31BL</t>
  </si>
  <si>
    <t>Measured Non Household - properties</t>
  </si>
  <si>
    <t>32BL</t>
  </si>
  <si>
    <t>Unmeasured Non Household - properties</t>
  </si>
  <si>
    <t>33BL</t>
  </si>
  <si>
    <t>All void non-households - properties</t>
  </si>
  <si>
    <t>34BL</t>
  </si>
  <si>
    <t>Measured households - properties (excl. void)</t>
  </si>
  <si>
    <t>Year before + sum (34.1BL:34.6BL)</t>
  </si>
  <si>
    <t>34.1BL</t>
  </si>
  <si>
    <t>New build properties - properties</t>
  </si>
  <si>
    <t>Input (new builds in each year)</t>
  </si>
  <si>
    <t>34.2BL</t>
  </si>
  <si>
    <t>Meter optants - properties</t>
  </si>
  <si>
    <t>Input (meter optants in each year)</t>
  </si>
  <si>
    <t>34.3BL</t>
  </si>
  <si>
    <t>Compulsory metering - properties</t>
  </si>
  <si>
    <t>Input (compulsory meters in each year)</t>
  </si>
  <si>
    <t>34.4BL</t>
  </si>
  <si>
    <t>Metering on change of occupancy - properties</t>
  </si>
  <si>
    <t>Input (change of occupancy meters in each year)</t>
  </si>
  <si>
    <t>34.5BL</t>
  </si>
  <si>
    <t>Selective metering  - properties</t>
  </si>
  <si>
    <t>Input (selective meters in each year)</t>
  </si>
  <si>
    <t>34.6BL</t>
  </si>
  <si>
    <t>Other changes to existing metering - properties</t>
  </si>
  <si>
    <t>Input (other changes to meters in each year)</t>
  </si>
  <si>
    <t>34.7BL</t>
  </si>
  <si>
    <t>Measured household void properties</t>
  </si>
  <si>
    <t>35BL</t>
  </si>
  <si>
    <t>Unmeasured households - properties (excl. void)</t>
  </si>
  <si>
    <t>35.1BL</t>
  </si>
  <si>
    <t>Unmeasured household void properties</t>
  </si>
  <si>
    <t>36BL</t>
  </si>
  <si>
    <t>Total Resource Zone Properties (incl. voids)</t>
  </si>
  <si>
    <t>sum (31BL:34BL) + 34.7BL + 35BL + 35.1BL</t>
  </si>
  <si>
    <t>37BL</t>
  </si>
  <si>
    <t>Measured Non Household - Population</t>
  </si>
  <si>
    <t>38BL</t>
  </si>
  <si>
    <t>Unmeasured Non Household - Population</t>
  </si>
  <si>
    <t>39BL</t>
  </si>
  <si>
    <t>Measured Household - Population</t>
  </si>
  <si>
    <t>40BL</t>
  </si>
  <si>
    <t>Unmeasured Household - Population</t>
  </si>
  <si>
    <t>41BL</t>
  </si>
  <si>
    <t>Total Resource Zone Population</t>
  </si>
  <si>
    <t>sum (37BL:40BL)</t>
  </si>
  <si>
    <t>42BL</t>
  </si>
  <si>
    <t>Average household occupancy rate (excl. voids)</t>
  </si>
  <si>
    <t xml:space="preserve">(39BL + 40BL) / (34BL + 35BL) </t>
  </si>
  <si>
    <t>h/prop</t>
  </si>
  <si>
    <t>43BL</t>
  </si>
  <si>
    <t>Total Household Metering penetration (excl. voids)</t>
  </si>
  <si>
    <t>34BL / (34BL + 35BL)</t>
  </si>
  <si>
    <t>44BL</t>
  </si>
  <si>
    <t>Total Household Metering penetration (incl. voids)</t>
  </si>
  <si>
    <t>(34BL) / (34BL + 34.7BL + 35BL + 35.1BL)</t>
  </si>
  <si>
    <t>45BL</t>
  </si>
  <si>
    <t>sum (12BL:15BL) +21BL + 22BL + 27BL + 28BL</t>
  </si>
  <si>
    <t>46BL</t>
  </si>
  <si>
    <t>Target headroom (climate change component)</t>
  </si>
  <si>
    <t>47BL</t>
  </si>
  <si>
    <t>Target headroom (All other components)</t>
  </si>
  <si>
    <t>48BL</t>
  </si>
  <si>
    <t>46BL + 47BL</t>
  </si>
  <si>
    <t>49BL</t>
  </si>
  <si>
    <t>Available Headroom</t>
  </si>
  <si>
    <t>11BL - 45BL</t>
  </si>
  <si>
    <t>49.1BL</t>
  </si>
  <si>
    <t>Available non-potable balance (if applicable)</t>
  </si>
  <si>
    <t>1.1BL -12.1BL</t>
  </si>
  <si>
    <t>50BL</t>
  </si>
  <si>
    <t>49BL - 48BL</t>
  </si>
  <si>
    <t>Option type</t>
  </si>
  <si>
    <t>Cat ID</t>
  </si>
  <si>
    <t>2099-101</t>
  </si>
  <si>
    <t>1.11FP</t>
  </si>
  <si>
    <r>
      <t xml:space="preserve">Non potable supplies </t>
    </r>
    <r>
      <rPr>
        <sz val="11"/>
        <color rgb="FFFF0000"/>
        <rFont val="Arial"/>
        <family val="2"/>
      </rPr>
      <t>input reductions as -ve and increases as +ve</t>
    </r>
  </si>
  <si>
    <t>RSNPS</t>
  </si>
  <si>
    <t>2.1FP</t>
  </si>
  <si>
    <r>
      <t xml:space="preserve">Raw water imports </t>
    </r>
    <r>
      <rPr>
        <sz val="11"/>
        <color rgb="FFFF0000"/>
        <rFont val="Arial"/>
        <family val="2"/>
      </rPr>
      <t>input reductions as -ve</t>
    </r>
  </si>
  <si>
    <t>RSRWI</t>
  </si>
  <si>
    <t>3.1FP</t>
  </si>
  <si>
    <r>
      <t xml:space="preserve">Potable water imports </t>
    </r>
    <r>
      <rPr>
        <sz val="11"/>
        <color rgb="FFFF0000"/>
        <rFont val="Arial"/>
        <family val="2"/>
      </rPr>
      <t>input reductions as -ve</t>
    </r>
  </si>
  <si>
    <t>RSPWI</t>
  </si>
  <si>
    <t>4.1FP</t>
  </si>
  <si>
    <r>
      <t xml:space="preserve">Raw water exports </t>
    </r>
    <r>
      <rPr>
        <sz val="11"/>
        <color rgb="FFFF0000"/>
        <rFont val="Arial"/>
        <family val="2"/>
      </rPr>
      <t>input reductions as +ve and increases as -ve</t>
    </r>
  </si>
  <si>
    <t>RSRWE</t>
  </si>
  <si>
    <t>5.1FP</t>
  </si>
  <si>
    <r>
      <t xml:space="preserve">Potable water exports </t>
    </r>
    <r>
      <rPr>
        <sz val="11"/>
        <color rgb="FFFF0000"/>
        <rFont val="Arial"/>
        <family val="2"/>
      </rPr>
      <t>input reductions as +ve and increases as -ve</t>
    </r>
  </si>
  <si>
    <t>RSPWE</t>
  </si>
  <si>
    <t>6.2FP</t>
  </si>
  <si>
    <t>DO benefit from increase raw water abstractions</t>
  </si>
  <si>
    <t>RSRWA</t>
  </si>
  <si>
    <t>6.3FP</t>
  </si>
  <si>
    <t>Other options to increase deployable output</t>
  </si>
  <si>
    <t>RSIPO</t>
  </si>
  <si>
    <t>7.01FP</t>
  </si>
  <si>
    <t>DO benefit from supply side drought measures</t>
  </si>
  <si>
    <t>RSDPS</t>
  </si>
  <si>
    <t>7.02FP</t>
  </si>
  <si>
    <t>Benefit from demand side drought measures</t>
  </si>
  <si>
    <t>RSDPD</t>
  </si>
  <si>
    <t>8.1FP</t>
  </si>
  <si>
    <r>
      <t xml:space="preserve">Reduce raw water losses and operational use 
</t>
    </r>
    <r>
      <rPr>
        <sz val="11"/>
        <color rgb="FFFF0000"/>
        <rFont val="Arial"/>
        <family val="2"/>
      </rPr>
      <t>input as -ve</t>
    </r>
  </si>
  <si>
    <t>RSLOU</t>
  </si>
  <si>
    <t>8.2FP</t>
  </si>
  <si>
    <r>
      <t xml:space="preserve">Reduce treatment works losses </t>
    </r>
    <r>
      <rPr>
        <sz val="11"/>
        <color rgb="FFFF0000"/>
        <rFont val="Arial"/>
        <family val="2"/>
      </rPr>
      <t>input as -ve</t>
    </r>
  </si>
  <si>
    <t>PSTWL</t>
  </si>
  <si>
    <t>9.1FP</t>
  </si>
  <si>
    <r>
      <t xml:space="preserve">Reduce outages </t>
    </r>
    <r>
      <rPr>
        <sz val="11"/>
        <color rgb="FFFF0000"/>
        <rFont val="Arial"/>
        <family val="2"/>
      </rPr>
      <t>input as -ve</t>
    </r>
  </si>
  <si>
    <t>PSROU</t>
  </si>
  <si>
    <t>12.2FP</t>
  </si>
  <si>
    <r>
      <t xml:space="preserve">Change volume delivered to measured non households </t>
    </r>
    <r>
      <rPr>
        <sz val="11"/>
        <color rgb="FFFF0000"/>
        <rFont val="Arial"/>
        <family val="2"/>
      </rPr>
      <t>input reductions as -ve, line to include both measured non-household consumption and USPL options</t>
    </r>
  </si>
  <si>
    <t>CVMNH</t>
  </si>
  <si>
    <t>13.1FP</t>
  </si>
  <si>
    <r>
      <t xml:space="preserve">Change volume delivered to unmeasured non households </t>
    </r>
    <r>
      <rPr>
        <sz val="11"/>
        <color rgb="FFFF0000"/>
        <rFont val="Arial"/>
        <family val="2"/>
      </rPr>
      <t>input reductions as -ve, line to include both unmeasured non-household consumption and USPL options</t>
    </r>
  </si>
  <si>
    <t>CVUNH</t>
  </si>
  <si>
    <t>14.1FP</t>
  </si>
  <si>
    <r>
      <t xml:space="preserve">Change volume delivered to measured households </t>
    </r>
    <r>
      <rPr>
        <sz val="11"/>
        <color rgb="FFFF0000"/>
        <rFont val="Arial"/>
        <family val="2"/>
      </rPr>
      <t>input reductions as -ve, line to include both measured household consumption and USPL options</t>
    </r>
  </si>
  <si>
    <t>CVMHH</t>
  </si>
  <si>
    <t>15.1FP</t>
  </si>
  <si>
    <r>
      <t xml:space="preserve">Change volume delivered to unmeasured households </t>
    </r>
    <r>
      <rPr>
        <sz val="11"/>
        <color rgb="FFFF0000"/>
        <rFont val="Arial"/>
        <family val="2"/>
      </rPr>
      <t>input reductions as -ve, line to include both unmeasured household consumption and USPL options</t>
    </r>
  </si>
  <si>
    <t>CVUHH</t>
  </si>
  <si>
    <t>21.1FP</t>
  </si>
  <si>
    <r>
      <t xml:space="preserve">Options to reduce water taken unbilled </t>
    </r>
    <r>
      <rPr>
        <sz val="11"/>
        <color rgb="FFFF0000"/>
        <rFont val="Arial"/>
        <family val="2"/>
      </rPr>
      <t>input as -ve</t>
    </r>
  </si>
  <si>
    <t>CSWTU</t>
  </si>
  <si>
    <t>22.1FP</t>
  </si>
  <si>
    <r>
      <t xml:space="preserve">Reduce distribution system operational use (DSOU) </t>
    </r>
    <r>
      <rPr>
        <sz val="11"/>
        <color rgb="FFFF0000"/>
        <rFont val="Arial"/>
        <family val="2"/>
      </rPr>
      <t>input as -ve</t>
    </r>
  </si>
  <si>
    <t>DSDOU</t>
  </si>
  <si>
    <t>23.1FP</t>
  </si>
  <si>
    <r>
      <t xml:space="preserve">Options impacting on measured Non Household - USPL </t>
    </r>
    <r>
      <rPr>
        <sz val="11"/>
        <color rgb="FFFF0000"/>
        <rFont val="Arial"/>
        <family val="2"/>
      </rPr>
      <t>input reductions as -ve</t>
    </r>
  </si>
  <si>
    <t>CUMNH</t>
  </si>
  <si>
    <t>24.1FP</t>
  </si>
  <si>
    <r>
      <t xml:space="preserve">Options impacting on unmeasured Non Household - USPL </t>
    </r>
    <r>
      <rPr>
        <sz val="11"/>
        <color rgb="FFFF0000"/>
        <rFont val="Arial"/>
        <family val="2"/>
      </rPr>
      <t>input reductions as -ve</t>
    </r>
  </si>
  <si>
    <t>CUUNH</t>
  </si>
  <si>
    <t>25.1FP</t>
  </si>
  <si>
    <r>
      <t xml:space="preserve">Options impacting on measured Household - USPL </t>
    </r>
    <r>
      <rPr>
        <sz val="11"/>
        <color rgb="FFFF0000"/>
        <rFont val="Arial"/>
        <family val="2"/>
      </rPr>
      <t>input reductions as -ve</t>
    </r>
  </si>
  <si>
    <t>CUMHH</t>
  </si>
  <si>
    <t>26.1FP</t>
  </si>
  <si>
    <r>
      <t xml:space="preserve">Options impacting on unmeasured Household - USPL </t>
    </r>
    <r>
      <rPr>
        <sz val="11"/>
        <color rgb="FFFF0000"/>
        <rFont val="Arial"/>
        <family val="2"/>
      </rPr>
      <t>input reductions as -ve</t>
    </r>
  </si>
  <si>
    <t>CUUHH</t>
  </si>
  <si>
    <t>27.1FP</t>
  </si>
  <si>
    <r>
      <t xml:space="preserve">Options impacting on Void properties - USPL
</t>
    </r>
    <r>
      <rPr>
        <sz val="11"/>
        <color rgb="FFFF0000"/>
        <rFont val="Arial"/>
        <family val="2"/>
      </rPr>
      <t>input reductions as -ve</t>
    </r>
  </si>
  <si>
    <t>CUVPP</t>
  </si>
  <si>
    <t>28.1FP</t>
  </si>
  <si>
    <r>
      <t xml:space="preserve">Reduce distribution losses </t>
    </r>
    <r>
      <rPr>
        <sz val="11"/>
        <color rgb="FFFF0000"/>
        <rFont val="Arial"/>
        <family val="2"/>
      </rPr>
      <t>input as -ve</t>
    </r>
  </si>
  <si>
    <t>DSRDL</t>
  </si>
  <si>
    <t>1FP</t>
  </si>
  <si>
    <t>1.1FP</t>
  </si>
  <si>
    <t>Non-potable water supplies</t>
  </si>
  <si>
    <t>1.1BL + 1.11FP</t>
  </si>
  <si>
    <t>2FP</t>
  </si>
  <si>
    <t>2BL + 2.1FP</t>
  </si>
  <si>
    <t>3FP</t>
  </si>
  <si>
    <t>3BL + 3.1FP</t>
  </si>
  <si>
    <t>4FP</t>
  </si>
  <si>
    <t>4BL + 4.1FP</t>
  </si>
  <si>
    <t>5FP</t>
  </si>
  <si>
    <t>5BL + 5.1FP</t>
  </si>
  <si>
    <t>6.1FP</t>
  </si>
  <si>
    <t>6.1BL + 6.2FP + 6.3FP +7.01FP +7.02FP</t>
  </si>
  <si>
    <t>8FP</t>
  </si>
  <si>
    <t>Raw water losses, treatment works losses and operational use</t>
  </si>
  <si>
    <t>8BL + 8.1FP + 8.2FP</t>
  </si>
  <si>
    <t>9FP</t>
  </si>
  <si>
    <t>9BL + 9.1FP</t>
  </si>
  <si>
    <t>10FP</t>
  </si>
  <si>
    <t>(6.1FP) - (8FP + 9FP)</t>
  </si>
  <si>
    <t>11FP</t>
  </si>
  <si>
    <t>10FP + sum (2FP:5FP)</t>
  </si>
  <si>
    <t>12FP</t>
  </si>
  <si>
    <t>12BL + 12.2FP</t>
  </si>
  <si>
    <t>12.1FP</t>
  </si>
  <si>
    <t>Non-potable water consumption</t>
  </si>
  <si>
    <t>13FP</t>
  </si>
  <si>
    <t>13BL + 13.1FP</t>
  </si>
  <si>
    <t>14FP</t>
  </si>
  <si>
    <t>14BL + 14.1FP</t>
  </si>
  <si>
    <t>15FP</t>
  </si>
  <si>
    <t>15BL + 15.1FP</t>
  </si>
  <si>
    <t>16FP</t>
  </si>
  <si>
    <t>17FP</t>
  </si>
  <si>
    <t>16FP * (12FP + sum(13FP:15FP) - sum (23FP:26FP))</t>
  </si>
  <si>
    <t>18FP</t>
  </si>
  <si>
    <t>((14FP - 25FP) * 1,000,000) / (39FP * 1000)</t>
  </si>
  <si>
    <t>19FP</t>
  </si>
  <si>
    <t>((15FP - 26FP) * 1,000,000) / (40FP * 1000)</t>
  </si>
  <si>
    <t>20FP</t>
  </si>
  <si>
    <t>(((14FP - 25FP) + (15FP - 26FP)) * 1,000,000)/ ((39FP + 40FP) * 1,000)</t>
  </si>
  <si>
    <t>21FP</t>
  </si>
  <si>
    <t>21BL + 21.1FP</t>
  </si>
  <si>
    <t>22FP</t>
  </si>
  <si>
    <t>22BL + 22.1FP</t>
  </si>
  <si>
    <t>23FP</t>
  </si>
  <si>
    <t>23BL + 23.1FP</t>
  </si>
  <si>
    <t>24FP</t>
  </si>
  <si>
    <t>24BL + 24.1FP</t>
  </si>
  <si>
    <t>25FP</t>
  </si>
  <si>
    <t>25BL + 25.1FP</t>
  </si>
  <si>
    <t>26FP</t>
  </si>
  <si>
    <t>26BL + 26.1BL</t>
  </si>
  <si>
    <t>27FP</t>
  </si>
  <si>
    <t>27BL + 27.1FP</t>
  </si>
  <si>
    <t>28FP</t>
  </si>
  <si>
    <t>28BL + 28.1FP</t>
  </si>
  <si>
    <t>29FP</t>
  </si>
  <si>
    <t>sum (23FP:28FP)</t>
  </si>
  <si>
    <t>30FP</t>
  </si>
  <si>
    <t>(29FP * 1,000,000) / (36FP * 1,000)</t>
  </si>
  <si>
    <t>31FP</t>
  </si>
  <si>
    <t>32FP</t>
  </si>
  <si>
    <t>33FP</t>
  </si>
  <si>
    <t>34FP</t>
  </si>
  <si>
    <t>34.1FP</t>
  </si>
  <si>
    <t>34.2FP</t>
  </si>
  <si>
    <t>34.3FP</t>
  </si>
  <si>
    <t>34.4FP</t>
  </si>
  <si>
    <t>34.5FP</t>
  </si>
  <si>
    <t>34.6FP</t>
  </si>
  <si>
    <t>34.7FP</t>
  </si>
  <si>
    <t>35FP</t>
  </si>
  <si>
    <t>35.1FP</t>
  </si>
  <si>
    <t>36FP</t>
  </si>
  <si>
    <t>sum (31FP:34FP) + 34.7FP + 35BL + 35.1BL</t>
  </si>
  <si>
    <t>37FP</t>
  </si>
  <si>
    <t>38FP</t>
  </si>
  <si>
    <t>39FP</t>
  </si>
  <si>
    <t>40FP</t>
  </si>
  <si>
    <t>41FP</t>
  </si>
  <si>
    <t>sum (37FP:40FP)</t>
  </si>
  <si>
    <t>42FP</t>
  </si>
  <si>
    <t xml:space="preserve">(39FP + 40FP) / (34FP + 35FP) </t>
  </si>
  <si>
    <t>43FP</t>
  </si>
  <si>
    <t>34FP / (34FP + 35FP)</t>
  </si>
  <si>
    <t>44FP</t>
  </si>
  <si>
    <t>(34FP) / (34FP + 34.7FP + 35FP + 35.1FP)</t>
  </si>
  <si>
    <t>45FP</t>
  </si>
  <si>
    <t>sum (12FP:15FP) + 21FP + 22FP + 27FP + 28FP</t>
  </si>
  <si>
    <t>46FP</t>
  </si>
  <si>
    <t>47FP</t>
  </si>
  <si>
    <t>48FP</t>
  </si>
  <si>
    <t>46FP + 47FP</t>
  </si>
  <si>
    <t>49FP</t>
  </si>
  <si>
    <t>11FP - 45FP</t>
  </si>
  <si>
    <t>49.1FP</t>
  </si>
  <si>
    <t>1.1FP - 12.1FP</t>
  </si>
  <si>
    <t>50FP</t>
  </si>
  <si>
    <t>49FP - 48FP</t>
  </si>
  <si>
    <t>DYCP</t>
  </si>
  <si>
    <t>Total expected DO reductions to restore sustainable abstraction (Environmental Destination) (excl. any confirmed reductions) enter as -ve</t>
  </si>
  <si>
    <t>Total other changes to DO (specify e.g. Nitrates)</t>
  </si>
  <si>
    <r>
      <t xml:space="preserve">Input </t>
    </r>
    <r>
      <rPr>
        <sz val="11"/>
        <color rgb="FFFF0000"/>
        <rFont val="Arial"/>
        <family val="2"/>
      </rPr>
      <t>Note - consumption &amp; uspl</t>
    </r>
  </si>
  <si>
    <t xml:space="preserve"> </t>
  </si>
  <si>
    <t>Raw water imports</t>
  </si>
  <si>
    <t>DO benefit from demand side drought measures</t>
  </si>
  <si>
    <t>Data for Charts</t>
  </si>
  <si>
    <t>DYAA Baseline</t>
  </si>
  <si>
    <t>Measured HH consumption</t>
  </si>
  <si>
    <t>Unmeasured HH consumption</t>
  </si>
  <si>
    <t>Non-HH consumption</t>
  </si>
  <si>
    <t>Other demand components</t>
  </si>
  <si>
    <t>Total Water Available for use</t>
  </si>
  <si>
    <t>Total Demand + Target Headroom</t>
  </si>
  <si>
    <t>DYAA Final Plan</t>
  </si>
  <si>
    <t>DYCP Baseline</t>
  </si>
  <si>
    <t>DYCP Final Plan</t>
  </si>
  <si>
    <r>
      <t xml:space="preserve">Potable water imports </t>
    </r>
    <r>
      <rPr>
        <b/>
        <sz val="11"/>
        <color rgb="FFFF0000"/>
        <rFont val="Arial"/>
        <family val="2"/>
      </rPr>
      <t>input reductions as -ve</t>
    </r>
  </si>
  <si>
    <t>Table 4: WC Level - Options Appraisal Summary</t>
  </si>
  <si>
    <t>Natural capital Summary</t>
  </si>
  <si>
    <t xml:space="preserve">Biodiversity and Habitat </t>
  </si>
  <si>
    <t>Climate Regulation</t>
  </si>
  <si>
    <t xml:space="preserve">Natural Hazard Regulation </t>
  </si>
  <si>
    <t>Water Purification</t>
  </si>
  <si>
    <t>Water Regulation</t>
  </si>
  <si>
    <t>Recreation and Tourism</t>
  </si>
  <si>
    <t>Option ID</t>
  </si>
  <si>
    <t>Option Name</t>
  </si>
  <si>
    <r>
      <t xml:space="preserve">Option type
</t>
    </r>
    <r>
      <rPr>
        <b/>
        <sz val="11"/>
        <color rgb="FFFF0000"/>
        <rFont val="Arial"/>
        <family val="2"/>
      </rPr>
      <t>Defined List</t>
    </r>
  </si>
  <si>
    <t>Option Group</t>
  </si>
  <si>
    <r>
      <t xml:space="preserve">WRZ(s) benefitting from option
</t>
    </r>
    <r>
      <rPr>
        <b/>
        <sz val="11"/>
        <color rgb="FFFF0000"/>
        <rFont val="Arial"/>
        <family val="2"/>
      </rPr>
      <t>Defined codes, accept multiples using "," separator, or "Company Wide"</t>
    </r>
  </si>
  <si>
    <t>Option status
Defined</t>
  </si>
  <si>
    <r>
      <t xml:space="preserve">Third Party Option Flag
</t>
    </r>
    <r>
      <rPr>
        <b/>
        <sz val="11"/>
        <color rgb="FFFF0000"/>
        <rFont val="Arial"/>
        <family val="2"/>
      </rPr>
      <t>Y/N</t>
    </r>
  </si>
  <si>
    <t xml:space="preserve">Partnership Option TOTEX - all parties 
(where applicable)
</t>
  </si>
  <si>
    <t>Interdependent Options
(State one or more option IDs)</t>
  </si>
  <si>
    <r>
      <t xml:space="preserve">Preferred (Most Likely) Programme </t>
    </r>
    <r>
      <rPr>
        <b/>
        <sz val="11"/>
        <color rgb="FFFF0000"/>
        <rFont val="Arial"/>
        <family val="2"/>
      </rPr>
      <t>Y/N</t>
    </r>
  </si>
  <si>
    <r>
      <t xml:space="preserve">Least Cost Programme </t>
    </r>
    <r>
      <rPr>
        <b/>
        <sz val="11"/>
        <color rgb="FFFF0000"/>
        <rFont val="Arial"/>
        <family val="2"/>
      </rPr>
      <t>Y/N</t>
    </r>
  </si>
  <si>
    <r>
      <t xml:space="preserve">Ofwat Core Programme </t>
    </r>
    <r>
      <rPr>
        <b/>
        <sz val="11"/>
        <color rgb="FFFF0000"/>
        <rFont val="Arial"/>
        <family val="2"/>
      </rPr>
      <t>Y/N</t>
    </r>
  </si>
  <si>
    <r>
      <t>Alternative Programme 1 [NSR]</t>
    </r>
    <r>
      <rPr>
        <b/>
        <sz val="11"/>
        <color rgb="FFFF0000"/>
        <rFont val="Arial"/>
        <family val="2"/>
      </rPr>
      <t xml:space="preserve">
Y/N</t>
    </r>
  </si>
  <si>
    <r>
      <t xml:space="preserve">Alternative Programme 2 [High PCC] </t>
    </r>
    <r>
      <rPr>
        <b/>
        <sz val="11"/>
        <color rgb="FFFF0000"/>
        <rFont val="Arial"/>
        <family val="2"/>
      </rPr>
      <t>Y/N</t>
    </r>
  </si>
  <si>
    <r>
      <t xml:space="preserve">Alternative Programme 3 - [High ED]
</t>
    </r>
    <r>
      <rPr>
        <b/>
        <sz val="11"/>
        <color rgb="FFFF0000"/>
        <rFont val="Arial"/>
        <family val="2"/>
      </rPr>
      <t>Y/N</t>
    </r>
  </si>
  <si>
    <r>
      <t xml:space="preserve">Alternative Programme 4 - [Habs Regs]
</t>
    </r>
    <r>
      <rPr>
        <b/>
        <sz val="11"/>
        <color rgb="FFFF0000"/>
        <rFont val="Arial"/>
        <family val="2"/>
      </rPr>
      <t>Y/N</t>
    </r>
  </si>
  <si>
    <t>Reason for option rejection</t>
  </si>
  <si>
    <t>WRZ transfer is from
Defined List</t>
  </si>
  <si>
    <t>WRZ transfer is to
Defined List</t>
  </si>
  <si>
    <t>Gains in WAFU / Savings in Demand on full implementation (Ml/d)</t>
  </si>
  <si>
    <t>Option benefits lead-in time (Years)</t>
  </si>
  <si>
    <r>
      <t xml:space="preserve">First year of option use in preferred programme (year)
</t>
    </r>
    <r>
      <rPr>
        <b/>
        <sz val="11"/>
        <color rgb="FFFF0000"/>
        <rFont val="Arial"/>
        <family val="2"/>
      </rPr>
      <t>(Preferred programme (most likely) only)</t>
    </r>
  </si>
  <si>
    <t>Totex expenditure prior to option in use (£m)</t>
  </si>
  <si>
    <t>Totex expenditure per annum post option in use under maximum utilisation scenario (£m)</t>
  </si>
  <si>
    <t>Average totex expenditure per annum post option in use (£m)</t>
  </si>
  <si>
    <t>Average option utilisation used for average totex expenditure and operational carbon forecasts (Ml/d)</t>
  </si>
  <si>
    <t>Maximum option utilisation across the planning period (Ml/d)</t>
  </si>
  <si>
    <r>
      <t>Embodied carbon emissions
(tCO</t>
    </r>
    <r>
      <rPr>
        <b/>
        <vertAlign val="subscript"/>
        <sz val="11"/>
        <color rgb="FF000000"/>
        <rFont val="Arial"/>
        <family val="2"/>
      </rPr>
      <t>2</t>
    </r>
    <r>
      <rPr>
        <b/>
        <sz val="11"/>
        <color rgb="FF000000"/>
        <rFont val="Arial"/>
        <family val="2"/>
      </rPr>
      <t xml:space="preserve"> equivalent)</t>
    </r>
  </si>
  <si>
    <r>
      <t>Operational carbon emissions under maximum utilisation scenario
(tCO</t>
    </r>
    <r>
      <rPr>
        <b/>
        <vertAlign val="subscript"/>
        <sz val="11"/>
        <color rgb="FF000000"/>
        <rFont val="Arial"/>
        <family val="2"/>
      </rPr>
      <t>2</t>
    </r>
    <r>
      <rPr>
        <b/>
        <sz val="11"/>
        <color rgb="FF000000"/>
        <rFont val="Arial"/>
        <family val="2"/>
      </rPr>
      <t xml:space="preserve"> equivalent per annum)</t>
    </r>
  </si>
  <si>
    <r>
      <t>Average operational carbon emissions
(tCO</t>
    </r>
    <r>
      <rPr>
        <b/>
        <vertAlign val="subscript"/>
        <sz val="11"/>
        <color rgb="FF000000"/>
        <rFont val="Arial"/>
        <family val="2"/>
      </rPr>
      <t>2</t>
    </r>
    <r>
      <rPr>
        <b/>
        <sz val="11"/>
        <color rgb="FF000000"/>
        <rFont val="Arial"/>
        <family val="2"/>
      </rPr>
      <t xml:space="preserve"> equivalent per annum)</t>
    </r>
  </si>
  <si>
    <t>Total Carbon Cost (£M)</t>
  </si>
  <si>
    <t>Average Incremental Cost (AIC)
(p/m3)</t>
  </si>
  <si>
    <t>Total NPC (£m)</t>
  </si>
  <si>
    <t>Natural capital impact of option
(£NPV)</t>
  </si>
  <si>
    <t>B&amp;H
Non-monetised metric where applicable (Net Habitats Units (total restoration))</t>
  </si>
  <si>
    <t>B&amp;H
Monetised metric where applicable (£M)</t>
  </si>
  <si>
    <t>CR
Non-monetised metric where applicable (define units)</t>
  </si>
  <si>
    <t>CR
Monetised metric where applicable (£M)</t>
  </si>
  <si>
    <t>NHR
Non-monetised metric where applicable (define units)</t>
  </si>
  <si>
    <t>NHR
Monetised metric where applicable (£M)</t>
  </si>
  <si>
    <t>WP
Non-monetised metric where applicable (define units)</t>
  </si>
  <si>
    <t>WP
Monetised metric where applicable (£M)</t>
  </si>
  <si>
    <t>WReg
Non-monetised metric where applicable (define units)</t>
  </si>
  <si>
    <t>WReg
Monetised metric where applicable (£M)</t>
  </si>
  <si>
    <t>R&amp;T
Non-monetised metric where applicable (define units)</t>
  </si>
  <si>
    <t>R&amp;T
Monetised metric where applicable (£M)</t>
  </si>
  <si>
    <t>Freeform column 1</t>
  </si>
  <si>
    <t>Freeform column 2</t>
  </si>
  <si>
    <t>Freeform column 3</t>
  </si>
  <si>
    <t>Freeform column 4</t>
  </si>
  <si>
    <t>Freeform column 5</t>
  </si>
  <si>
    <t>LEAK 1</t>
  </si>
  <si>
    <t>30% reduction by 2050</t>
  </si>
  <si>
    <t>Other leakage control</t>
  </si>
  <si>
    <t>Company Wide</t>
  </si>
  <si>
    <t>Feasible</t>
  </si>
  <si>
    <t>N</t>
  </si>
  <si>
    <t>Doesn't meet national target</t>
  </si>
  <si>
    <t>LEAK 3</t>
  </si>
  <si>
    <t>50% reduction by 2050</t>
  </si>
  <si>
    <t>Unachievable level of leakage, below UARL and very expensive</t>
  </si>
  <si>
    <t>ESW-ABS-001</t>
  </si>
  <si>
    <t>Minsmere cut / sluice abstraction</t>
  </si>
  <si>
    <t>New Groundwater</t>
  </si>
  <si>
    <t>Unconstrained</t>
  </si>
  <si>
    <t>Option rejected on the basis of the following Phase 1 criteria:
- “Can the option be practically deployed”-Benefit is very small (0.25Ml/d), The shoreline management plan is for managed realignment so there is some uncertainty regarding the impact on the cut. The SMP also notes there is a potential for increased flooding in the area.
- “Any environmental issues that prevent deployment of this option”- this option would require construction of an intake, 100Ml reservoir and WTW adjacent to environmentally sensitive areas.</t>
  </si>
  <si>
    <t>ESW-ABS-003</t>
  </si>
  <si>
    <t>Linford New WTW 10</t>
  </si>
  <si>
    <t>Groundwater enhancement</t>
  </si>
  <si>
    <t>Preferred</t>
  </si>
  <si>
    <t>Y</t>
  </si>
  <si>
    <t>ESW-ABS-003 (losses)</t>
  </si>
  <si>
    <t>Linford New WTW 10 (losses)</t>
  </si>
  <si>
    <t>4.1FP Raw water exports</t>
  </si>
  <si>
    <t>4.1FP Linford Well Raw water export</t>
  </si>
  <si>
    <t>External raw water bulk supply/transfer</t>
  </si>
  <si>
    <t>ESW-NIT-001</t>
  </si>
  <si>
    <t>Barsham Nitrate Scheme</t>
  </si>
  <si>
    <t>Outage reduction</t>
  </si>
  <si>
    <t>ESW-NIT-005</t>
  </si>
  <si>
    <t>Langford Nitrate Scheme</t>
  </si>
  <si>
    <t>ESW-NIT-006</t>
  </si>
  <si>
    <t>Langham Nitrate Scheme</t>
  </si>
  <si>
    <t>ESW-PMP-001A</t>
  </si>
  <si>
    <t>Abberton RWPS and Langford Clarifiers</t>
  </si>
  <si>
    <t>Water treatment works capacity increase</t>
  </si>
  <si>
    <t>ESW-UVC-001</t>
  </si>
  <si>
    <t>Langford UV</t>
  </si>
  <si>
    <t>ESW-ASR-004-B</t>
  </si>
  <si>
    <t>Abberton ASR using existing Layer WTW</t>
  </si>
  <si>
    <t>Aquifer recharge/Aquifer Storage recovery</t>
  </si>
  <si>
    <t>ESW-ASR-004-A</t>
  </si>
  <si>
    <t>Abberton ASR with additional treatment capacity</t>
  </si>
  <si>
    <t>ESW-TRA-007</t>
  </si>
  <si>
    <t>Anglian Water Treated Water Import (from east of Norwich area)</t>
  </si>
  <si>
    <t>External Potable bulk supply/Transfer</t>
  </si>
  <si>
    <t>ESW-TRA-001A15, ESW-TRA-019</t>
  </si>
  <si>
    <t>AWSNTB</t>
  </si>
  <si>
    <t>ESW-TRA-015</t>
  </si>
  <si>
    <t>Barsham to Eye Airfield (Northern Central to Hartismere)</t>
  </si>
  <si>
    <t>Internal Potable Transfer</t>
  </si>
  <si>
    <t>ESW-TRA-001B</t>
  </si>
  <si>
    <t> </t>
  </si>
  <si>
    <t>Barsham WTW to Blyth Transfer Main</t>
  </si>
  <si>
    <t>ESW-EFR-007</t>
  </si>
  <si>
    <t>Caister Water Reuse</t>
  </si>
  <si>
    <t>Water reuse</t>
  </si>
  <si>
    <t>ESW-DES-004-BW</t>
  </si>
  <si>
    <t>California (Caister) Desalination using Beach Well to Caister</t>
  </si>
  <si>
    <t>Desalination</t>
  </si>
  <si>
    <t>ESW-DES-002A</t>
  </si>
  <si>
    <t>Tilbury Brackish Desalination</t>
  </si>
  <si>
    <t>Unlikely to be land availble in required location</t>
  </si>
  <si>
    <t>ESW-DES-002B</t>
  </si>
  <si>
    <t>ESW-DES-002C</t>
  </si>
  <si>
    <t>ESW-DES-002D</t>
  </si>
  <si>
    <t>ESW-DES-004-IG</t>
  </si>
  <si>
    <t>California (Caister) Desalination using infiltration Gallery to Caister</t>
  </si>
  <si>
    <t>ESW-DES-001X</t>
  </si>
  <si>
    <t>Canvey Island Desalination Terrestrial</t>
  </si>
  <si>
    <t>TBC</t>
  </si>
  <si>
    <t>ESW-DES-001Y</t>
  </si>
  <si>
    <t>ESW-DES-001Z</t>
  </si>
  <si>
    <t>ESW-DES-006A</t>
  </si>
  <si>
    <t>Canvey Island Desalination - Barge Mounted Solution</t>
  </si>
  <si>
    <t>Unlikely to be viable due to tidal conditions in estuary</t>
  </si>
  <si>
    <t>ESW-DES-006B</t>
  </si>
  <si>
    <t>ESW-DES-006C</t>
  </si>
  <si>
    <t>ESW-DES-006D</t>
  </si>
  <si>
    <t>ESW-DES-007A</t>
  </si>
  <si>
    <t>Tilbury Brackish Desalination - Barge Mounted Solution</t>
  </si>
  <si>
    <t>Option rejected on following Phase 3 feasibility criteria: “Benefit”: barge mounted options provide no great benefit over terrestrial options;  “Location” and “Mutual Exclusivity”: barge mounted options located on the same sites as the terrestrial options;  “Water Quality at source”: additional level of complexity introduced regarding Materials in Contact compliance.  Additional rejection reasons include lack of precedent in the UK; lack of continuous supply examples; causes of outage and subsequent need for storage; security regarding SEMD compliance.</t>
  </si>
  <si>
    <t>ESW-DES-007B</t>
  </si>
  <si>
    <t>ESW-DES-007C</t>
  </si>
  <si>
    <t>ESW-DES-007D</t>
  </si>
  <si>
    <t>ESW-DES-001A</t>
  </si>
  <si>
    <t>ESW-DES-001B</t>
  </si>
  <si>
    <t>ESW-DES-009</t>
  </si>
  <si>
    <t>South Lowestoft / Kessingland Desalination using Beach Well / Infiltration Gallery</t>
  </si>
  <si>
    <t>Option rejected on the basis of the following Phase 1 criteria:
- “Availability of land” - very small area available to the South of Lowestoft.
- “Industry best practices and standards” - highly mobile seabed so an outfall is not feasible.
- “Existing infrastructure” - WRC is small (DWF 1 Ml/d and FFT 4.3 Ml/d). This would restrict the brine flow through the tie-in to the WRC and therefore the output of the option.
- Environmental designations” - WRC discharges to Hundred River – lots of environmental designations and would further limit the output.</t>
  </si>
  <si>
    <t>1-4.3</t>
  </si>
  <si>
    <t>ESW-DES-001C</t>
  </si>
  <si>
    <t>ESW-DES-001D</t>
  </si>
  <si>
    <t>ESW-EFR-003</t>
  </si>
  <si>
    <t>Colchester Water Reuse</t>
  </si>
  <si>
    <t>ESW-EFR-002A</t>
  </si>
  <si>
    <t>Lowestoft Water Reuse to Ellingham Mill</t>
  </si>
  <si>
    <t>ESW-TRA-001, ESW-TRA-019</t>
  </si>
  <si>
    <t>-£35.07/yr</t>
  </si>
  <si>
    <t>Provision likely reduced</t>
  </si>
  <si>
    <t>Scoped out</t>
  </si>
  <si>
    <t>ESW-DES-008-BW</t>
  </si>
  <si>
    <t xml:space="preserve">Corton Desalination using Beach Well </t>
  </si>
  <si>
    <t>ESW-EFR-004</t>
  </si>
  <si>
    <t>Tilbury Water Reuse</t>
  </si>
  <si>
    <t>Option rejected on Phase 3 feasibility criteria “Location” and “Mutual Exclusivity”. Land is expected to be limited and expensive to secure due to development within the Tilbury area. The location would also require significant infrastructure to connect to the main network.</t>
  </si>
  <si>
    <t>ESW-EFR-005</t>
  </si>
  <si>
    <t>Basildon/Pitsea Creek using RO process</t>
  </si>
  <si>
    <t>Option rejected on the basis of the Phase 1 criterion “availability of source water”. Review of actual flows at Basildon show that output is 2.8 Ml/d - this is considered too small to be viable.</t>
  </si>
  <si>
    <t>ESW-EFR-006</t>
  </si>
  <si>
    <t>Canvey Island</t>
  </si>
  <si>
    <t>Option rejected on the basis of the Phase 1 criterion “availability of source water”. Review of actual flows at Canvey Island show that the output is 2.3 Ml/d - this is considered too small to be viable.</t>
  </si>
  <si>
    <t>ESW-DES-008-IG</t>
  </si>
  <si>
    <t>Corton Desalination using Infiltration Gallery</t>
  </si>
  <si>
    <t>NHH delay 2032</t>
  </si>
  <si>
    <t>Delay to new large NHH users to 2032.</t>
  </si>
  <si>
    <t>Change in levels of service</t>
  </si>
  <si>
    <t>ESWBLY,ESWHRT,ESWNCT</t>
  </si>
  <si>
    <t xml:space="preserve">N </t>
  </si>
  <si>
    <t xml:space="preserve">Do not require a monotorium across the whole of Suffolk region to reduce deficits. </t>
  </si>
  <si>
    <t>NHH delay 2035</t>
  </si>
  <si>
    <t>Delay to new large NHH users to 2035.</t>
  </si>
  <si>
    <t>ESW-RES-002C</t>
  </si>
  <si>
    <t>North Suffolk Winter Storage Reservoir 7500</t>
  </si>
  <si>
    <t>New Reservoir</t>
  </si>
  <si>
    <t>ESW-TRA-001</t>
  </si>
  <si>
    <t xml:space="preserve">Barsham WTW to Saxmundham Tower </t>
  </si>
  <si>
    <t>ESW-TRA-019</t>
  </si>
  <si>
    <t>WEF High 12</t>
  </si>
  <si>
    <t>Digital Engagement</t>
  </si>
  <si>
    <t>Other water efficiency</t>
  </si>
  <si>
    <t>Higher risk for limited additional savings</t>
  </si>
  <si>
    <t>ESW-TRA-003</t>
  </si>
  <si>
    <t xml:space="preserve">New main from AW SPA main near Little Whelnetham to Eye Airfield </t>
  </si>
  <si>
    <t>Requires input to SPA main in Essex and will reduce Essex resilience to an unacceptable level</t>
  </si>
  <si>
    <t>AWSSUI</t>
  </si>
  <si>
    <t>ESW-TRA-003A</t>
  </si>
  <si>
    <t xml:space="preserve">New main from future strategic grid main near Little Whelnetham to Eye Airfield </t>
  </si>
  <si>
    <t>AW advise that insufficient capacity in the SPA main to provide these quantities.</t>
  </si>
  <si>
    <t>ESW-TRA-003B</t>
  </si>
  <si>
    <t>New main from future strategic grid main near Little Whelnetham to Eye Airfield (supplements ESW-TRA-003)</t>
  </si>
  <si>
    <t>ESW-TRA-004</t>
  </si>
  <si>
    <t>Essex to Hartismere Transfer</t>
  </si>
  <si>
    <t>Will reduce Essex resilience to an unacceptable level</t>
  </si>
  <si>
    <t>ESW-TRA-006</t>
  </si>
  <si>
    <t>South Lowestoft Desalination Transfer</t>
  </si>
  <si>
    <t>Option rejected on the basis of the Phase 1 criterion “availability of source water”. The desalination plant has been rejected by AWS due to the seabed conditions for the marine intake/outfall, therefore, there is no water available</t>
  </si>
  <si>
    <t>WEF High 6</t>
  </si>
  <si>
    <t>Educational interactions</t>
  </si>
  <si>
    <t>Water efficiency customer education / awareness</t>
  </si>
  <si>
    <t>ESW-TRA-008</t>
  </si>
  <si>
    <t>Sizewell to Saxmundham</t>
  </si>
  <si>
    <t>To be incorporated within BAU zonal studies projects</t>
  </si>
  <si>
    <t>ESW-TRA-009</t>
  </si>
  <si>
    <t>Langham WTW to SPA</t>
  </si>
  <si>
    <t>ESW-TRA-014</t>
  </si>
  <si>
    <t>Eye Airfield to Barsham (Hartismere to Northern Central)</t>
  </si>
  <si>
    <t>ESW-TRA-012</t>
  </si>
  <si>
    <t>Eye Airfield to Saxmundham (Hartismere to Blyth)</t>
  </si>
  <si>
    <t>WEF Low 3</t>
  </si>
  <si>
    <t>Find and Fix Teams - bulk supply</t>
  </si>
  <si>
    <t>Impact not great enough to reach long term targets</t>
  </si>
  <si>
    <t>WEF High 5</t>
  </si>
  <si>
    <t>WEF High</t>
  </si>
  <si>
    <t>High scenario</t>
  </si>
  <si>
    <t>WEF High 2</t>
  </si>
  <si>
    <t>Internal leakage repair - education</t>
  </si>
  <si>
    <t>WEF Low 2</t>
  </si>
  <si>
    <t>Internal leakage repair - visits</t>
  </si>
  <si>
    <t>WEF High 4</t>
  </si>
  <si>
    <t>Internal leakage repair - visits (chargeable)</t>
  </si>
  <si>
    <t>WEF High 3</t>
  </si>
  <si>
    <t>Internal leakage repair - visits (only for those on affordability tariff)</t>
  </si>
  <si>
    <t>ESW-TRA-017</t>
  </si>
  <si>
    <t>Saxmundham to Coldfair Green / Sizewell</t>
  </si>
  <si>
    <t>WEF Low</t>
  </si>
  <si>
    <t>Low scenario</t>
  </si>
  <si>
    <t>Transfer from Holton WTW to Eye Airfield</t>
  </si>
  <si>
    <t>-£15.71/yr</t>
  </si>
  <si>
    <t>ESW-TRA-020</t>
  </si>
  <si>
    <t>Norwich West - Barsham WTW</t>
  </si>
  <si>
    <t>AW advise that insufficient capacity from potential Fens Reservoir to provide these quantities.</t>
  </si>
  <si>
    <t>ESW-TRA-018 &amp; ESW-TRA-023</t>
  </si>
  <si>
    <t>Bungay to Broome WTW and Broome to Barsham WTW transfer</t>
  </si>
  <si>
    <t>Internal raw water transfer</t>
  </si>
  <si>
    <t>-£4.35/yr</t>
  </si>
  <si>
    <t>ESW-TRA-019 (DYCP)</t>
  </si>
  <si>
    <t>1 in 200 DO</t>
  </si>
  <si>
    <t>Benefit of 1 in 200 year DO</t>
  </si>
  <si>
    <t>Reduction in outages</t>
  </si>
  <si>
    <t>Increase in outage due to 1 in 200 YR</t>
  </si>
  <si>
    <t>REG19 Derogation</t>
  </si>
  <si>
    <t>ESW-EFR-002</t>
  </si>
  <si>
    <t>Lowestoft Water Reuse to Lound Lakes</t>
  </si>
  <si>
    <t>Droughtmeas1</t>
  </si>
  <si>
    <t>Drought - water reuse restrictions</t>
  </si>
  <si>
    <t>Drought - water use restrictions</t>
  </si>
  <si>
    <t>CP Droughtmeas1</t>
  </si>
  <si>
    <t>Critical Period Drought - water reuse restrictions</t>
  </si>
  <si>
    <t>DMO 1</t>
  </si>
  <si>
    <t xml:space="preserve">Metering Option 1 </t>
  </si>
  <si>
    <t>Metering optants</t>
  </si>
  <si>
    <t>Due to ESW being in a region with water scarcity status, it was not felt that this option delivered the demand savings timely enough to ensure a supply surplus.</t>
  </si>
  <si>
    <t>DMO 2</t>
  </si>
  <si>
    <t>Metering Option 2</t>
  </si>
  <si>
    <t>DMO 3</t>
  </si>
  <si>
    <t>Metering Option 3</t>
  </si>
  <si>
    <t>DMO 4</t>
  </si>
  <si>
    <t>Metering Option 4</t>
  </si>
  <si>
    <t>DMO 5</t>
  </si>
  <si>
    <t>Metering Option 5</t>
  </si>
  <si>
    <t>Metering compulsory</t>
  </si>
  <si>
    <t>DMO 6</t>
  </si>
  <si>
    <t>Metering Option 6</t>
  </si>
  <si>
    <t xml:space="preserve">This option was to deliver all compulsory meter installations and proactive replacements in AMP 8, however, due to the large volumes, it was felt that this was undeliverable from a supply and resource position and would also involve a higher proportion of funding that that would unnecessararily increase customers bills.  We have prioritised our preferred option plan to prioritise the WRZ's that are showing a deficit. </t>
  </si>
  <si>
    <t>WEF High 10</t>
  </si>
  <si>
    <t>National Campaign</t>
  </si>
  <si>
    <t>WEF Medium</t>
  </si>
  <si>
    <t>Medium scenario</t>
  </si>
  <si>
    <t>WEF Low 4</t>
  </si>
  <si>
    <t>New Homes - Flow restrictions</t>
  </si>
  <si>
    <t>Gov Led</t>
  </si>
  <si>
    <t>Government Led Interventions</t>
  </si>
  <si>
    <t>WEF High 8</t>
  </si>
  <si>
    <t>LEAK 2</t>
  </si>
  <si>
    <t>40% reduction by 2050 - DL</t>
  </si>
  <si>
    <t>NHH Low</t>
  </si>
  <si>
    <t>NHH scenario 2%</t>
  </si>
  <si>
    <t>ESW-RES-002A</t>
  </si>
  <si>
    <t>North Suffolk Winter Storage Reservoir 3500</t>
  </si>
  <si>
    <t>Replaced by ESW-RES-002C - North Suffolk Winter Storage Reservoir 7500</t>
  </si>
  <si>
    <t>NHH delay 2032 HRT</t>
  </si>
  <si>
    <t>ESW-RES-002B</t>
  </si>
  <si>
    <t>North Suffolk Winter Storage Reservoir 5000</t>
  </si>
  <si>
    <t>CP DMO 5</t>
  </si>
  <si>
    <t>Critical Period Metering Option 5</t>
  </si>
  <si>
    <t>CP Gov Led</t>
  </si>
  <si>
    <t>Critical Period Government Led Interventions</t>
  </si>
  <si>
    <t>CP LEAK 2</t>
  </si>
  <si>
    <t>Critical Period 40% reduction by 2050</t>
  </si>
  <si>
    <t>CP LEAK 4</t>
  </si>
  <si>
    <t>Critical Period 40% reduction by 2050 - SPL</t>
  </si>
  <si>
    <t>Supply pipe repairs / replacement</t>
  </si>
  <si>
    <t>CP WEF Medium</t>
  </si>
  <si>
    <t>Critical Period Medium scenario</t>
  </si>
  <si>
    <t>51dP</t>
  </si>
  <si>
    <t>CP HH Smart</t>
  </si>
  <si>
    <t>Critical Period Smart scenario</t>
  </si>
  <si>
    <t xml:space="preserve">CP NHH </t>
  </si>
  <si>
    <t>Critical Period NHH scenario 9%</t>
  </si>
  <si>
    <t>CP NHH delay 2032 HRT</t>
  </si>
  <si>
    <t>Critical Period Delay to new large NHH users to 2032.</t>
  </si>
  <si>
    <t>LEAK 5</t>
  </si>
  <si>
    <t>30% reduction by 2030</t>
  </si>
  <si>
    <t>More expensive and difficult to deliver in timescales</t>
  </si>
  <si>
    <t>LEAK 6</t>
  </si>
  <si>
    <t>40% reduction by 2030</t>
  </si>
  <si>
    <t>LEAK 7</t>
  </si>
  <si>
    <t>50% reduction by 2030</t>
  </si>
  <si>
    <t>LEAK 8</t>
  </si>
  <si>
    <t>75% reduction by 2050</t>
  </si>
  <si>
    <t>LEAK 4</t>
  </si>
  <si>
    <t>40% reduction by 2050 - SPL</t>
  </si>
  <si>
    <t>0</t>
  </si>
  <si>
    <t>2025</t>
  </si>
  <si>
    <t>HH Smart</t>
  </si>
  <si>
    <t>Smart scenario</t>
  </si>
  <si>
    <t xml:space="preserve">NHH </t>
  </si>
  <si>
    <t>NHH scenario 9%</t>
  </si>
  <si>
    <t>ESW-TRA-016</t>
  </si>
  <si>
    <t>Norwich to Eye</t>
  </si>
  <si>
    <t>ESW-TRA-012, ESW-TRA-014</t>
  </si>
  <si>
    <t>WEF Low 5</t>
  </si>
  <si>
    <t>Older Homes - Flow restrictions</t>
  </si>
  <si>
    <t>WEF High 9</t>
  </si>
  <si>
    <t>REG19/REG64 Derogation</t>
  </si>
  <si>
    <t>ESW-TRA-013</t>
  </si>
  <si>
    <t>Saxmundham to Barsham (Blyth to Northern Central)</t>
  </si>
  <si>
    <t>ESW-TRA-011</t>
  </si>
  <si>
    <t>Saxmundham to Eye Airfield (Blyth to Hartismere)</t>
  </si>
  <si>
    <t>ESW-DES-003-BW</t>
  </si>
  <si>
    <t>Sizewell Desalination using Beach Well</t>
  </si>
  <si>
    <t>ESW-TRA-011, ESW-TRA-013</t>
  </si>
  <si>
    <t>WEF Med 1</t>
  </si>
  <si>
    <t>Top 5% Highest Users Visits</t>
  </si>
  <si>
    <t>Household water audit</t>
  </si>
  <si>
    <t>WEF Med 2</t>
  </si>
  <si>
    <t>WEF Med 3</t>
  </si>
  <si>
    <t>WEF Med 4</t>
  </si>
  <si>
    <t>WEF Med 5</t>
  </si>
  <si>
    <t>WEF Med 6</t>
  </si>
  <si>
    <t>WEF Med 7</t>
  </si>
  <si>
    <t>Toilet Rebates</t>
  </si>
  <si>
    <t>WEF Med 8</t>
  </si>
  <si>
    <t>WEF Med 9</t>
  </si>
  <si>
    <t>WEF Med 10</t>
  </si>
  <si>
    <t>WEF Med 11</t>
  </si>
  <si>
    <t>Unmeasured Property Engagement</t>
  </si>
  <si>
    <t>WEF Med 12</t>
  </si>
  <si>
    <t>ESW-DES-003-IG</t>
  </si>
  <si>
    <t>Sizewell Desalination using Infiltration Gallery</t>
  </si>
  <si>
    <t>ESW-EFR-001</t>
  </si>
  <si>
    <t>Southend-on-Sea Water Reuse</t>
  </si>
  <si>
    <t>ESW-EFR-001A</t>
  </si>
  <si>
    <t>Southend-on-Sea Water Reuse Phase A</t>
  </si>
  <si>
    <t>WEF High 7</t>
  </si>
  <si>
    <t>WEF Low 1</t>
  </si>
  <si>
    <t>WEF High 1</t>
  </si>
  <si>
    <t>ESW-TRA-018</t>
  </si>
  <si>
    <t>Transfer from Bungay Well to Broome WTW</t>
  </si>
  <si>
    <t>Replaced by ESW-TRA-023 - Bungay to Barsham</t>
  </si>
  <si>
    <t>WEF Low 6</t>
  </si>
  <si>
    <t>WEF High 11</t>
  </si>
  <si>
    <t>ESW-TRA-010A</t>
  </si>
  <si>
    <t>Wherstead to Saxmundham on the basis of future AW supply options reaching Wherstead - assumes that ESW-TRA-010 is not constructed</t>
  </si>
  <si>
    <t>AWSSUE</t>
  </si>
  <si>
    <t>ESW-TRA-010B</t>
  </si>
  <si>
    <t>Wherstead to Saxmundham on the basis of future AW supply options reaching Wherstead - to supplement ESW-TRA-010</t>
  </si>
  <si>
    <t>ESW-TRA-010</t>
  </si>
  <si>
    <t>Wherstead to Saxmundham using AW SPA transfer as water source</t>
  </si>
  <si>
    <t>WEF Const 1</t>
  </si>
  <si>
    <t>Smart Metering Engagement</t>
  </si>
  <si>
    <t xml:space="preserve">Each option was taken through a second scoping process to ensure it is suitable to be used in the preferred scenarios. The process was designed to assess whether it was appropriate to take each option forward. Each option was rated 1-5 depending on their impact/value for several different categories and looking at the water savings of &gt;30 litres based on current knowledge and evidence. This option scored an 8 and or is an enabler for further water efficiency activity. Please refer to the Methodology document provided for definitions and scoring information. </t>
  </si>
  <si>
    <t>WEF Const 2</t>
  </si>
  <si>
    <t>Home away from home support (Air BnB)</t>
  </si>
  <si>
    <t>WEF Const 3</t>
  </si>
  <si>
    <t>Local authority and town planner engagement</t>
  </si>
  <si>
    <t>WEF Const 4</t>
  </si>
  <si>
    <t>Water Efficiency Tariffs</t>
  </si>
  <si>
    <t>Tariff</t>
  </si>
  <si>
    <t>WEF Const 5</t>
  </si>
  <si>
    <t>Internal leakage identification with technology</t>
  </si>
  <si>
    <t>WEF Const 6</t>
  </si>
  <si>
    <t>Community Funding Scheme</t>
  </si>
  <si>
    <t>WEF Const 7</t>
  </si>
  <si>
    <t>Plumber training and support</t>
  </si>
  <si>
    <t>WEF Const 8</t>
  </si>
  <si>
    <t>High Consumption Visits</t>
  </si>
  <si>
    <t>WEF Const 9</t>
  </si>
  <si>
    <t>Installation of Flow Regulators - Cradle</t>
  </si>
  <si>
    <t>WEF Const 10</t>
  </si>
  <si>
    <t>Restricted Flow Tariff</t>
  </si>
  <si>
    <t>WEF Const 11</t>
  </si>
  <si>
    <t>Build relationships with water appliance manufacturers e.g. Mira etc</t>
  </si>
  <si>
    <t>WEF Const 12</t>
  </si>
  <si>
    <t>Toilet amnesty</t>
  </si>
  <si>
    <t>WEF Const 13</t>
  </si>
  <si>
    <t>Community Incentive Programme</t>
  </si>
  <si>
    <t>WEF Const 14</t>
  </si>
  <si>
    <t>Every Drop Counts retrofit visits</t>
  </si>
  <si>
    <t>WEF Const 15</t>
  </si>
  <si>
    <t>Affordability Visits</t>
  </si>
  <si>
    <t>WEF Const 16</t>
  </si>
  <si>
    <t>MFS Visits</t>
  </si>
  <si>
    <t>WEF Const 17</t>
  </si>
  <si>
    <t>Smart Metering Visits</t>
  </si>
  <si>
    <t>WEF Const 18</t>
  </si>
  <si>
    <t>Water Quality Visits</t>
  </si>
  <si>
    <t>WEF Const 19</t>
  </si>
  <si>
    <t>Priority Service Register Visits</t>
  </si>
  <si>
    <t>WEF Const 20</t>
  </si>
  <si>
    <t>Customer Side Leakage Contact Visits</t>
  </si>
  <si>
    <t>WEF Const 21</t>
  </si>
  <si>
    <t>Landlord/Social Housing Visits</t>
  </si>
  <si>
    <t>WEF Const 22</t>
  </si>
  <si>
    <t>Home Movers Visit (MIMO)</t>
  </si>
  <si>
    <t>WEF Const 23</t>
  </si>
  <si>
    <t>Virtual Visits</t>
  </si>
  <si>
    <t>WEF Const 24</t>
  </si>
  <si>
    <t>HomeServe Visits</t>
  </si>
  <si>
    <t>WEF Const 25</t>
  </si>
  <si>
    <t>Dishwasher Rebates</t>
  </si>
  <si>
    <t>WEF Const 26</t>
  </si>
  <si>
    <t>Smart Irrigation Rebates</t>
  </si>
  <si>
    <t>WEF Const 27</t>
  </si>
  <si>
    <t>Multi Industry Collaboration (focusing on fuel and water poverty)</t>
  </si>
  <si>
    <t>WEF Const 28</t>
  </si>
  <si>
    <t>Multi Industry Collaboration (focusing on hot water efficiency)</t>
  </si>
  <si>
    <t>WEF Const 29</t>
  </si>
  <si>
    <t>Water Labelling engagement</t>
  </si>
  <si>
    <t>WEF Const 30</t>
  </si>
  <si>
    <t>Government Grants and Policies</t>
  </si>
  <si>
    <t>WEF Const 31</t>
  </si>
  <si>
    <t>Banning sales of water wasting items and looking at new purchase trends</t>
  </si>
  <si>
    <t>WEF Const 32</t>
  </si>
  <si>
    <t>BabyDam</t>
  </si>
  <si>
    <t>WEF Const 33</t>
  </si>
  <si>
    <t>NWG New Build Inspector - Checking new build properties against standards</t>
  </si>
  <si>
    <t>WEF Const 34</t>
  </si>
  <si>
    <t>University Accomodation Visits</t>
  </si>
  <si>
    <t>WEF Const 35</t>
  </si>
  <si>
    <t>Water and Energy Saving Visits</t>
  </si>
  <si>
    <t>WEF Const 36</t>
  </si>
  <si>
    <t>Landlord Training and Support</t>
  </si>
  <si>
    <t>WEF Const 37</t>
  </si>
  <si>
    <t>Rainwater reuse incentive</t>
  </si>
  <si>
    <t>WEF Const 38</t>
  </si>
  <si>
    <t>Shower use intervention - digital device</t>
  </si>
  <si>
    <t>WEF Const 39</t>
  </si>
  <si>
    <t>Bathroom Redesign - incentive</t>
  </si>
  <si>
    <t>WEF Const 40</t>
  </si>
  <si>
    <t>Behaviour change - home movers pack</t>
  </si>
  <si>
    <t>WEF Const 41</t>
  </si>
  <si>
    <t>House builder engagement - Water reuse and recycling</t>
  </si>
  <si>
    <t>WEF Const 42</t>
  </si>
  <si>
    <t>Rainwater Reuse Incentive - Tariff</t>
  </si>
  <si>
    <t>WEF Const 43</t>
  </si>
  <si>
    <t>Energy Performance Certificates - added into EPC</t>
  </si>
  <si>
    <t>WEF Const 44</t>
  </si>
  <si>
    <t>Property Certificates - water only</t>
  </si>
  <si>
    <t>WEF Const 45</t>
  </si>
  <si>
    <t>Engaging with Britain in Bloom and Garden Centres</t>
  </si>
  <si>
    <t>WEF Const 46</t>
  </si>
  <si>
    <t>Digital displays for appliances</t>
  </si>
  <si>
    <t>WEF Const 47</t>
  </si>
  <si>
    <t>Annual Campaign - Fix a Leak Week</t>
  </si>
  <si>
    <t>WEF Const 48</t>
  </si>
  <si>
    <t>Community Wastewater Recycling</t>
  </si>
  <si>
    <t>WEF Const 49</t>
  </si>
  <si>
    <t xml:space="preserve">Pressure Washer Notice </t>
  </si>
  <si>
    <t>WEF Const 50</t>
  </si>
  <si>
    <t>Gardening timer for sprinkler system - nudge theory</t>
  </si>
  <si>
    <t>WEF Const 51</t>
  </si>
  <si>
    <t>WEF Const 52</t>
  </si>
  <si>
    <t>Bathroom Redesign - education</t>
  </si>
  <si>
    <t>WEF Const 53</t>
  </si>
  <si>
    <t>Regulation - new homes developer incentive VIC</t>
  </si>
  <si>
    <t>WEF Const 54</t>
  </si>
  <si>
    <t>Washer Dryer Rebates</t>
  </si>
  <si>
    <t>WEF Const 55</t>
  </si>
  <si>
    <t>Washing Machine Rebates</t>
  </si>
  <si>
    <t>WEF Const 56</t>
  </si>
  <si>
    <t>Removal of decorative water use - fountains</t>
  </si>
  <si>
    <t>WEF Const 57</t>
  </si>
  <si>
    <t>Reducing pressures</t>
  </si>
  <si>
    <t>WEF Const 58</t>
  </si>
  <si>
    <t>High water use alerts for customers (area specific)</t>
  </si>
  <si>
    <t>WEF Const 59</t>
  </si>
  <si>
    <t>High water use alerts for customers (customer specific)</t>
  </si>
  <si>
    <t>WEF Const 60</t>
  </si>
  <si>
    <t>TV advert for local region</t>
  </si>
  <si>
    <t>WEF Uncon 1</t>
  </si>
  <si>
    <t>Personalised Water saving kits</t>
  </si>
  <si>
    <t xml:space="preserve">Each option was taken through a scoping process to ensure it is feasible. The process was designed to assess whether it was appropriate to take each option forward. Each option was rated 1-5 depending on their impact/value for several different categories and those that showed a final rating of above 60% were deemed as feasible options. This option scored less than 60%. Please refer to the Methodology document provided for definitions and scoring information. </t>
  </si>
  <si>
    <t>WEF Uncon 2</t>
  </si>
  <si>
    <t>Digital Engagement Platform</t>
  </si>
  <si>
    <t>WEF Uncon 3</t>
  </si>
  <si>
    <t>Garden Redesign</t>
  </si>
  <si>
    <t>WEF Uncon 4</t>
  </si>
  <si>
    <t>Behaviour change - internally</t>
  </si>
  <si>
    <t>WEF Uncon 5</t>
  </si>
  <si>
    <t>House builder engagement - overall water use/Part G with Developer Services</t>
  </si>
  <si>
    <t>WEF Uncon 6</t>
  </si>
  <si>
    <t>Rainwater reuse - education</t>
  </si>
  <si>
    <t>WEF Uncon 7</t>
  </si>
  <si>
    <t>Community Outreach - Water Warrior Influencer</t>
  </si>
  <si>
    <t>WEF Uncon 8</t>
  </si>
  <si>
    <t>Community Outreach - Customer Champion programme</t>
  </si>
  <si>
    <t>WEF Uncon 9</t>
  </si>
  <si>
    <t>Landscape Efficiency - Xeriscaping Guidance only</t>
  </si>
  <si>
    <t>WEF Uncon 10</t>
  </si>
  <si>
    <t>Landscape Efficiency - Xeriscaping - Voucher scheme</t>
  </si>
  <si>
    <t>WEF Uncon 11</t>
  </si>
  <si>
    <t>Engagement and Communication - Target 118</t>
  </si>
  <si>
    <t>WEF Uncon 12</t>
  </si>
  <si>
    <t>Reducing our own water use</t>
  </si>
  <si>
    <t>WEF Uncon 13</t>
  </si>
  <si>
    <t>Selling Water Efficient products at cost price - Dual Flush Toilets</t>
  </si>
  <si>
    <t>WEF Uncon 14</t>
  </si>
  <si>
    <t>Selling Water Efficient products at cost price - Aerated Showerheads</t>
  </si>
  <si>
    <t>WEF Uncon 15</t>
  </si>
  <si>
    <t>Selling Water Efficient products at cost price - Tap Inserts</t>
  </si>
  <si>
    <t>WEF Uncon 16</t>
  </si>
  <si>
    <t>Selling Water Efficient products at cost price or reduced- Babydam Bathwater barrier</t>
  </si>
  <si>
    <t>WEF Uncon 17</t>
  </si>
  <si>
    <t>Children's TV show</t>
  </si>
  <si>
    <t>WEF Uncon 18</t>
  </si>
  <si>
    <t>Garden Report for individuals</t>
  </si>
  <si>
    <t>WEF Smart 1</t>
  </si>
  <si>
    <t>Flow restrictor install along with smart meter install - compulsory/opt out</t>
  </si>
  <si>
    <t>WEF Smart 2</t>
  </si>
  <si>
    <t>Education through engagement on door step at point of meter install</t>
  </si>
  <si>
    <t>WEF Smart 3</t>
  </si>
  <si>
    <t>Education through leave behind at point of install</t>
  </si>
  <si>
    <t>WEF Smart 4</t>
  </si>
  <si>
    <t>Leak repair (toilet) at point of install</t>
  </si>
  <si>
    <t>WEF Smart 5</t>
  </si>
  <si>
    <t>Leak repair (taps, boiler overflow) at point of install</t>
  </si>
  <si>
    <t>WEF Smart 6</t>
  </si>
  <si>
    <t>Leak check at point of install - no repair completed</t>
  </si>
  <si>
    <t>WEF Smart 7</t>
  </si>
  <si>
    <t>Water saving product installation at point of install - tap inserts, shower timer etc</t>
  </si>
  <si>
    <t>WEF Smart 8</t>
  </si>
  <si>
    <t>Water Saving Visit at point of install for high water using properties</t>
  </si>
  <si>
    <t>WE NHH 1</t>
  </si>
  <si>
    <t>Customer side leakage education</t>
  </si>
  <si>
    <t>WE NHH 2</t>
  </si>
  <si>
    <t>Find &amp; Fix - Leaky Loos (NHH self checks/repair)</t>
  </si>
  <si>
    <t>WE NHH 3</t>
  </si>
  <si>
    <t>Find and Fix - Leaky Loos (NHH contractors/cleaners - free repair)</t>
  </si>
  <si>
    <t>WE NHH 4</t>
  </si>
  <si>
    <t>Garden centre changes</t>
  </si>
  <si>
    <t>Rainwater harvesting</t>
  </si>
  <si>
    <t>WE NHH 5</t>
  </si>
  <si>
    <t>Domestic use Self-serve</t>
  </si>
  <si>
    <t>WE NHH 6</t>
  </si>
  <si>
    <t>Alerts for NHH - customer specific</t>
  </si>
  <si>
    <t>WE NHH 7</t>
  </si>
  <si>
    <t>Educational Building retrofit and reviews (University/College)</t>
  </si>
  <si>
    <t>Non-household water audit</t>
  </si>
  <si>
    <t>WE NHH 8</t>
  </si>
  <si>
    <t>Free Water Efficiency Assessments for NHHs</t>
  </si>
  <si>
    <t>WE NHH 9</t>
  </si>
  <si>
    <t>Free Water Efficiency Visits for NHHs</t>
  </si>
  <si>
    <t>WE NHH 10</t>
  </si>
  <si>
    <t>Hairdresser Visits</t>
  </si>
  <si>
    <t>WE NHH 11</t>
  </si>
  <si>
    <t>Hotel Visits</t>
  </si>
  <si>
    <t>WE NHH 12</t>
  </si>
  <si>
    <t>Leak investigation</t>
  </si>
  <si>
    <t>WE NHH 13</t>
  </si>
  <si>
    <t>Leisure Centre Visits</t>
  </si>
  <si>
    <t>WE NHH 14</t>
  </si>
  <si>
    <t>Multi-business site Visits</t>
  </si>
  <si>
    <t>WE NHH 15</t>
  </si>
  <si>
    <t>Office Visits</t>
  </si>
  <si>
    <t>WE NHH 16</t>
  </si>
  <si>
    <t>Pub Visits</t>
  </si>
  <si>
    <t>WE NHH 17</t>
  </si>
  <si>
    <t>Restaurant Visits</t>
  </si>
  <si>
    <t>WE NHH 18</t>
  </si>
  <si>
    <t>School Visits</t>
  </si>
  <si>
    <t>WE NHH 19</t>
  </si>
  <si>
    <t>Shop Visits</t>
  </si>
  <si>
    <t>WE NHH 20</t>
  </si>
  <si>
    <t>Toilet replacements</t>
  </si>
  <si>
    <t>WE NHH 21</t>
  </si>
  <si>
    <t>Specialist Industrial Consultancy</t>
  </si>
  <si>
    <t>WE NHH 22</t>
  </si>
  <si>
    <t>Golf course water efficiency</t>
  </si>
  <si>
    <t>WE NHH 23</t>
  </si>
  <si>
    <t>Residential care audits</t>
  </si>
  <si>
    <t>WE NHH Con 1</t>
  </si>
  <si>
    <t>Rainwater garden/external use</t>
  </si>
  <si>
    <t>This option scored less than 60% or had no available data on potential impact available.  Please refer to ESW Water Efficiency WRMP24 Technical Report for definitions and scoring information.</t>
  </si>
  <si>
    <t>WE NHH Con 2</t>
  </si>
  <si>
    <t>Landscaping redesign</t>
  </si>
  <si>
    <t>WE NHH Con 3</t>
  </si>
  <si>
    <t>Alternative water</t>
  </si>
  <si>
    <t>WE NHH Con 4</t>
  </si>
  <si>
    <t>WE NHH Con 5</t>
  </si>
  <si>
    <t>Water butt installs</t>
  </si>
  <si>
    <t>WE NHH Con 6</t>
  </si>
  <si>
    <t>Dry cleaning measures</t>
  </si>
  <si>
    <t>WE NHH Con 7</t>
  </si>
  <si>
    <t>Dry washing measures</t>
  </si>
  <si>
    <t>WE NHH Con 8</t>
  </si>
  <si>
    <t>Waterless Technology</t>
  </si>
  <si>
    <t>WE NHH Con 9</t>
  </si>
  <si>
    <t>Ensure all NHH have meters</t>
  </si>
  <si>
    <t>WE NHH Con 10</t>
  </si>
  <si>
    <t>Understanding of metering</t>
  </si>
  <si>
    <t>WE NHH Con 11</t>
  </si>
  <si>
    <t>Chamber of Commerce Support</t>
  </si>
  <si>
    <t>WE NHH Con 12</t>
  </si>
  <si>
    <t>Creative and Innovation Funds for Water and Energy Efficiency</t>
  </si>
  <si>
    <t>WE NHH Con 13</t>
  </si>
  <si>
    <t>Farmer fund</t>
  </si>
  <si>
    <t>WE NHH Con 14</t>
  </si>
  <si>
    <t xml:space="preserve">Incentives </t>
  </si>
  <si>
    <t>WE NHH Con 15</t>
  </si>
  <si>
    <t>Outside Taps</t>
  </si>
  <si>
    <t>WE NHH Con 16</t>
  </si>
  <si>
    <t>Rebates for Water Efficient Products</t>
  </si>
  <si>
    <t>WE NHH Con 17</t>
  </si>
  <si>
    <t>Supporting SMEs with Water and Energy funds</t>
  </si>
  <si>
    <t>WE NHH Con 18</t>
  </si>
  <si>
    <t>Surveys and data gathering</t>
  </si>
  <si>
    <t>WE NHH Con 19</t>
  </si>
  <si>
    <t>Regulation / litigation changes</t>
  </si>
  <si>
    <t>WE NHH Con 20</t>
  </si>
  <si>
    <t>Reducing Pressures</t>
  </si>
  <si>
    <t>WE NHH Con 21</t>
  </si>
  <si>
    <t>NHH Training - Maintenance Teams</t>
  </si>
  <si>
    <t>WE NHH Con 22</t>
  </si>
  <si>
    <t>Online Digital Tool - Water Efficiency Calculator for Businesses</t>
  </si>
  <si>
    <t>WE NHH Con 23</t>
  </si>
  <si>
    <t>Water Efficiency Guidance for Businesses</t>
  </si>
  <si>
    <t>WE NHH Con 24</t>
  </si>
  <si>
    <t>Working with Universities for Research and retrofits</t>
  </si>
  <si>
    <t>WE NHH Con 25</t>
  </si>
  <si>
    <t>Process water</t>
  </si>
  <si>
    <t>Table 5: WRZ Level - Options Benefits</t>
  </si>
  <si>
    <r>
      <t xml:space="preserve">Gains in Water Available For Use / Savings in Demand under the selected programme  (Ml/d) </t>
    </r>
    <r>
      <rPr>
        <b/>
        <sz val="11"/>
        <color rgb="FFFF0000"/>
        <rFont val="Arial"/>
        <family val="2"/>
      </rPr>
      <t>input as +ve</t>
    </r>
  </si>
  <si>
    <t>Option name</t>
  </si>
  <si>
    <r>
      <t xml:space="preserve">Option Type </t>
    </r>
    <r>
      <rPr>
        <b/>
        <sz val="11"/>
        <color rgb="FFFF0000"/>
        <rFont val="Arial"/>
        <family val="2"/>
      </rPr>
      <t>(defined list)</t>
    </r>
  </si>
  <si>
    <r>
      <t xml:space="preserve">Sub-option </t>
    </r>
    <r>
      <rPr>
        <b/>
        <sz val="11"/>
        <color rgb="FFFF0000"/>
        <rFont val="Arial"/>
        <family val="2"/>
      </rPr>
      <t>(Y/N)</t>
    </r>
  </si>
  <si>
    <t>Preferred (most likely), Least Cost, Ofwat Core or Alternative Programme</t>
  </si>
  <si>
    <r>
      <t xml:space="preserve">WRZ </t>
    </r>
    <r>
      <rPr>
        <b/>
        <sz val="11"/>
        <color rgb="FFFF0000"/>
        <rFont val="Arial"/>
        <family val="2"/>
      </rPr>
      <t>(defined list)</t>
    </r>
  </si>
  <si>
    <t>Preferred CP</t>
  </si>
  <si>
    <t>Habs Regs SR</t>
  </si>
  <si>
    <t>High Environmental Destination</t>
  </si>
  <si>
    <t>High PCC</t>
  </si>
  <si>
    <t>Least Cost</t>
  </si>
  <si>
    <t>Ofwat Core</t>
  </si>
  <si>
    <t>North Suffolk Reservoir</t>
  </si>
  <si>
    <t>Abberton RWPS and Clarifier</t>
  </si>
  <si>
    <t>North Suffolk Winter Storage Reservoir 7500 and Transfer</t>
  </si>
  <si>
    <t>Barsham WTW Saxmundham Tower</t>
  </si>
  <si>
    <t>North Suffolk Winter Storage Reservoir 3500 and Transfer</t>
  </si>
  <si>
    <t>Southend_Water_Reuse_PhaseA_and_Transfer</t>
  </si>
  <si>
    <t>ESWEFR001A</t>
  </si>
  <si>
    <t>North Suffolk Winter Storage Reservoir 5000 and Transfer</t>
  </si>
  <si>
    <t>Customer Options</t>
  </si>
  <si>
    <t>Distribution Options</t>
  </si>
  <si>
    <t>External raw water bulk
supply/transfer</t>
  </si>
  <si>
    <t>Resource Options</t>
  </si>
  <si>
    <t>NHH</t>
  </si>
  <si>
    <t>CP Leak 2</t>
  </si>
  <si>
    <t>CP Leak 4</t>
  </si>
  <si>
    <t>CP NHH</t>
  </si>
  <si>
    <t>Cost Profile WRMP24 Table</t>
  </si>
  <si>
    <t xml:space="preserve">Table 5a: WC Level - Option Level Cost Profile Table </t>
  </si>
  <si>
    <t>Table Instruction</t>
  </si>
  <si>
    <t>Cost Metric 
(£m)</t>
  </si>
  <si>
    <t>Cost Sub-metric (£m)</t>
  </si>
  <si>
    <r>
      <t xml:space="preserve">Asset Life:
</t>
    </r>
    <r>
      <rPr>
        <sz val="11"/>
        <color rgb="FF000000"/>
        <rFont val="Arial"/>
        <family val="2"/>
      </rPr>
      <t xml:space="preserve">Estimated average number of years an asset is considered useable before its value is fully depreciated. 
</t>
    </r>
  </si>
  <si>
    <t>Total/Fixed/Variable</t>
  </si>
  <si>
    <t>2101-02</t>
  </si>
  <si>
    <t>2102-03</t>
  </si>
  <si>
    <t>2103-04</t>
  </si>
  <si>
    <t>2104-05</t>
  </si>
  <si>
    <t>Complete for all options (Feasible and preferred)</t>
  </si>
  <si>
    <t xml:space="preserve">Capex </t>
  </si>
  <si>
    <t>Opex</t>
  </si>
  <si>
    <t xml:space="preserve">Total </t>
  </si>
  <si>
    <t>Financing Cost</t>
  </si>
  <si>
    <t xml:space="preserve">Discount Rate </t>
  </si>
  <si>
    <t>Discount Factor</t>
  </si>
  <si>
    <t>Capex</t>
  </si>
  <si>
    <t>Costed Risk</t>
  </si>
  <si>
    <t>Fixed</t>
  </si>
  <si>
    <t>Optimism Bias</t>
  </si>
  <si>
    <t>Net Present Cost (NPC)</t>
  </si>
  <si>
    <t>Total NPC</t>
  </si>
  <si>
    <t xml:space="preserve">Table 5b: WC Level - Option Level Unit Cost Profile Table </t>
  </si>
  <si>
    <t xml:space="preserve">Asset Life:
Estimated average number of years an asset is considered useable before its value is fully depreciated. 
</t>
  </si>
  <si>
    <t xml:space="preserve">Complete for all options  &gt;£100m (Feasible and preferred) </t>
  </si>
  <si>
    <t>ESWRES002C</t>
  </si>
  <si>
    <t>Cost</t>
  </si>
  <si>
    <t>Variable</t>
  </si>
  <si>
    <t>Land (Non depreciating)</t>
  </si>
  <si>
    <t>Planning and Development (Non depreciating)</t>
  </si>
  <si>
    <t>Other Non-Depreciating Assets (Non depreciating)</t>
  </si>
  <si>
    <t>Process-Related Carbon Media Including GAC</t>
  </si>
  <si>
    <t>Vehicles</t>
  </si>
  <si>
    <t xml:space="preserve">Computers and Data Logging </t>
  </si>
  <si>
    <t xml:space="preserve">Fencing </t>
  </si>
  <si>
    <t xml:space="preserve">Domestic Meters </t>
  </si>
  <si>
    <t xml:space="preserve">Building Services </t>
  </si>
  <si>
    <t xml:space="preserve">Membranes </t>
  </si>
  <si>
    <t xml:space="preserve">ICA (Instrumentation, Control &amp; Automation) </t>
  </si>
  <si>
    <t xml:space="preserve">Plant and Machinery </t>
  </si>
  <si>
    <t xml:space="preserve">M&amp;E (Mechanical and Electrical) Works on Pumping Stations and Treatment Works </t>
  </si>
  <si>
    <t xml:space="preserve">Raw Water and District Meters </t>
  </si>
  <si>
    <t xml:space="preserve">Power Supply </t>
  </si>
  <si>
    <t xml:space="preserve">Steel/Timber/GRP Structures </t>
  </si>
  <si>
    <t xml:space="preserve">Landscaping/Environmental Works </t>
  </si>
  <si>
    <t xml:space="preserve">Borehole Screening and Casing </t>
  </si>
  <si>
    <t xml:space="preserve">Bridges </t>
  </si>
  <si>
    <t xml:space="preserve">Brick/Concrete Office Structures </t>
  </si>
  <si>
    <t xml:space="preserve">Treatment and Pumping Station Civils (incl. Intakes) </t>
  </si>
  <si>
    <t xml:space="preserve">Roads and Car Parks </t>
  </si>
  <si>
    <t xml:space="preserve">Water Towers </t>
  </si>
  <si>
    <t xml:space="preserve">Borehole Installation </t>
  </si>
  <si>
    <t xml:space="preserve">Headworks/Valves </t>
  </si>
  <si>
    <t xml:space="preserve">Underwater Assets </t>
  </si>
  <si>
    <t xml:space="preserve">Reinforced Concrete Tanks / Service Reservoirs </t>
  </si>
  <si>
    <t xml:space="preserve">Weirs </t>
  </si>
  <si>
    <t xml:space="preserve">Pipelines </t>
  </si>
  <si>
    <t xml:space="preserve">Tunnels </t>
  </si>
  <si>
    <t xml:space="preserve">Aqueducts </t>
  </si>
  <si>
    <t xml:space="preserve">Embankment Works </t>
  </si>
  <si>
    <t>Treatment Works Upgrade</t>
  </si>
  <si>
    <t>Reservoir Construction</t>
  </si>
  <si>
    <t>Offsite Main</t>
  </si>
  <si>
    <t>Table 5c: Financing Cost - Worked Example</t>
  </si>
  <si>
    <t>Inputs</t>
  </si>
  <si>
    <t>[A]</t>
  </si>
  <si>
    <t>Discount Rate</t>
  </si>
  <si>
    <t>[B]</t>
  </si>
  <si>
    <t>WACC</t>
  </si>
  <si>
    <t>[C]</t>
  </si>
  <si>
    <t>Asset Life</t>
  </si>
  <si>
    <t>[D]</t>
  </si>
  <si>
    <t>Year 1 capex</t>
  </si>
  <si>
    <t>[E]</t>
  </si>
  <si>
    <t>Depreciation Factor</t>
  </si>
  <si>
    <t>Year 1</t>
  </si>
  <si>
    <t>Year 2</t>
  </si>
  <si>
    <t>Year 3</t>
  </si>
  <si>
    <t>Year 4</t>
  </si>
  <si>
    <t>Year 5</t>
  </si>
  <si>
    <t>Calculation</t>
  </si>
  <si>
    <t>[F]</t>
  </si>
  <si>
    <t>1 / [(1 + [A]) ^ t ]</t>
  </si>
  <si>
    <t>Worked Example</t>
  </si>
  <si>
    <t>[G]</t>
  </si>
  <si>
    <t>RCV at start of year</t>
  </si>
  <si>
    <t>£000s</t>
  </si>
  <si>
    <r>
      <t>=[I]</t>
    </r>
    <r>
      <rPr>
        <sz val="8"/>
        <color theme="1"/>
        <rFont val="Arial"/>
        <family val="2"/>
      </rPr>
      <t>t-1</t>
    </r>
    <r>
      <rPr>
        <sz val="10"/>
        <color theme="1"/>
        <rFont val="Arial"/>
        <family val="2"/>
      </rPr>
      <t xml:space="preserve"> for t &gt; 1</t>
    </r>
  </si>
  <si>
    <t>[H]</t>
  </si>
  <si>
    <t>Depreciation</t>
  </si>
  <si>
    <t>[G] x [E]</t>
  </si>
  <si>
    <t>[I]</t>
  </si>
  <si>
    <t>RCV at end of year</t>
  </si>
  <si>
    <t>[G]-[H]</t>
  </si>
  <si>
    <t>[J]</t>
  </si>
  <si>
    <t>Mid-year RCV</t>
  </si>
  <si>
    <t>AVERAGE [G],[I]</t>
  </si>
  <si>
    <t>[K]</t>
  </si>
  <si>
    <t>( [J] x [B]) + [H]</t>
  </si>
  <si>
    <t>[L]</t>
  </si>
  <si>
    <t>Discounted Financing Cost</t>
  </si>
  <si>
    <t>[K] x [F]</t>
  </si>
  <si>
    <t>[M]</t>
  </si>
  <si>
    <t>NPV Financing Cost</t>
  </si>
  <si>
    <t>∑ [L]</t>
  </si>
  <si>
    <t xml:space="preserve">To calculate financing costs as a stream of annual costs over the life of the option, follow an approach based on the Regulated Capital Value and Net Book Value (NBV) of capital assets. In this approach, the full NBV of an asset is added to the RCV at the start of the first year of the period, and is reduced incrementally by a constant amount in each subsequent year to zero as its value depreciates, giving an annual "net capital value". If the asset is renewed at the end of its useful life, the full NBV is incurred again and the depreciation cycle renews. Annual financing costs are calculated by applying the WACC to the annual net capital value amount (the RCV adjusted for depreciation), and adding back depreciation. These annual financing costs are then discounted using the standard declining long-term discount rate (STPR) reported in the HM Treasury Green Book. 
The worked example shows the calculation for an asset with an NBV of £1,000 and an asset life of five years, depreciating at a constant rate of £200,000 per year. In Year 1, the average net capital value is £900,000 after adjusting for depreciation. The financing cost is calculated by applying the WACC (2.92% in this example) to the £900,000 and then adding back depreciation, resulting in a total of £226,000. That financing cost is then discounted using the discount rate (in this case, 3.5% for all five years - the rate will change for longer time horizons as per Green Book guidance), and the sum of the stream of discounted costs results in a total NPV of financing costs of £971,000. Note that the NPV will be lower when the discount rate is greater than the WACC. 
</t>
  </si>
  <si>
    <t>Table 6: WRZ Level - Drought Plan Links</t>
  </si>
  <si>
    <t>Deployable Output Benefit (Ml/d) under 
Drought Severity of ~ 1 in 500 (0.2% chance in any given year)</t>
  </si>
  <si>
    <t>Deployable Output Benefit (Ml/d) under 
 Drought Severity of 1 in 200 (0.5% chance in any given year)</t>
  </si>
  <si>
    <r>
      <t xml:space="preserve">Deployable Output Benefit (Ml/d) under 
Worst Historic Drought Scenario </t>
    </r>
    <r>
      <rPr>
        <b/>
        <sz val="11"/>
        <color rgb="FFFF0000"/>
        <rFont val="Arial"/>
        <family val="2"/>
      </rPr>
      <t>(define year and return period)</t>
    </r>
  </si>
  <si>
    <r>
      <t xml:space="preserve">Deployable Output Benefit (Ml/d) under 
Additional drought scenario - </t>
    </r>
    <r>
      <rPr>
        <b/>
        <sz val="11"/>
        <color rgb="FFFF0000"/>
        <rFont val="Arial"/>
        <family val="2"/>
      </rPr>
      <t>optional  [please define]</t>
    </r>
  </si>
  <si>
    <t>Row Ref</t>
  </si>
  <si>
    <t>Drought Measure</t>
  </si>
  <si>
    <t>Description</t>
  </si>
  <si>
    <t>Type</t>
  </si>
  <si>
    <t>Drought Plan Reference(s)</t>
  </si>
  <si>
    <r>
      <t xml:space="preserve">Included in FP scenario? 
</t>
    </r>
    <r>
      <rPr>
        <b/>
        <sz val="11"/>
        <color rgb="FFFF0000"/>
        <rFont val="Arial"/>
        <family val="2"/>
      </rPr>
      <t>Y or N</t>
    </r>
  </si>
  <si>
    <t>Base year</t>
  </si>
  <si>
    <t>Base Year</t>
  </si>
  <si>
    <t>Baseline</t>
  </si>
  <si>
    <t>1FPD</t>
  </si>
  <si>
    <t>Appeals for restraint</t>
  </si>
  <si>
    <r>
      <rPr>
        <sz val="11"/>
        <color rgb="FFFF0000"/>
        <rFont val="Arial"/>
        <family val="2"/>
      </rPr>
      <t xml:space="preserve"> [5]</t>
    </r>
    <r>
      <rPr>
        <sz val="11"/>
        <color rgb="FF000000"/>
        <rFont val="Arial"/>
        <family val="2"/>
      </rPr>
      <t>% savings when an appeal for restraint is implemented</t>
    </r>
  </si>
  <si>
    <t>Demand Side</t>
  </si>
  <si>
    <t>page x, para y</t>
  </si>
  <si>
    <t>2FPD</t>
  </si>
  <si>
    <t>Licensed drought only sources</t>
  </si>
  <si>
    <t>List the names of all drought sources / sites</t>
  </si>
  <si>
    <t>Supply Side</t>
  </si>
  <si>
    <t>3FPD</t>
  </si>
  <si>
    <t>Other level 1 drought measures</t>
  </si>
  <si>
    <t>Please detail other level 1 drought measures</t>
  </si>
  <si>
    <t>4FPD</t>
  </si>
  <si>
    <t>Temporary Use Bans</t>
  </si>
  <si>
    <r>
      <rPr>
        <sz val="11"/>
        <color rgb="FFFF0000"/>
        <rFont val="Arial"/>
        <family val="2"/>
      </rPr>
      <t>[5]</t>
    </r>
    <r>
      <rPr>
        <sz val="11"/>
        <color rgb="FF000000"/>
        <rFont val="Arial"/>
        <family val="2"/>
      </rPr>
      <t>% demand savings when a Temporary Use Ban is implemented</t>
    </r>
  </si>
  <si>
    <t>5FPD</t>
  </si>
  <si>
    <t>Level 2 Drought Permits/Orders</t>
  </si>
  <si>
    <t>List the names of all drought sources / sites brought online when the level 2 control curve is crossed</t>
  </si>
  <si>
    <t>6FPD</t>
  </si>
  <si>
    <t>Other level 2 drought measures</t>
  </si>
  <si>
    <t>Please detail other level 2 drought measures</t>
  </si>
  <si>
    <t>7FPD</t>
  </si>
  <si>
    <t>Non Essential Use Bans</t>
  </si>
  <si>
    <r>
      <rPr>
        <sz val="11"/>
        <color rgb="FFFF0000"/>
        <rFont val="Arial"/>
        <family val="2"/>
      </rPr>
      <t>[X]</t>
    </r>
    <r>
      <rPr>
        <sz val="11"/>
        <color rgb="FF000000"/>
        <rFont val="Arial"/>
        <family val="2"/>
      </rPr>
      <t>% demand savings when a Non-Essential Use Ban is implemented</t>
    </r>
  </si>
  <si>
    <t>8FPD</t>
  </si>
  <si>
    <t>Level 3 Drought Permits/Orders</t>
  </si>
  <si>
    <t>List the names of all drought sources / sites brought online when the level 3 control curve is crossed</t>
  </si>
  <si>
    <t>9FPD</t>
  </si>
  <si>
    <t>Other level 3 drought measures</t>
  </si>
  <si>
    <t>Please detail other level 3 drought measures</t>
  </si>
  <si>
    <t>10FPD</t>
  </si>
  <si>
    <t>TOTAL BENEFIT</t>
  </si>
  <si>
    <t>Combined benefit from above drought measures for the drought scenario</t>
  </si>
  <si>
    <t>11.1FPD</t>
  </si>
  <si>
    <t>Distribution Input Adjustment</t>
  </si>
  <si>
    <t>Drought Demand Enhancement - for specific drought event  (where applicable)</t>
  </si>
  <si>
    <t>11FPD</t>
  </si>
  <si>
    <t>Distribution Input</t>
  </si>
  <si>
    <t xml:space="preserve">45FP + 11.1FPD </t>
  </si>
  <si>
    <t>12FPD</t>
  </si>
  <si>
    <t>10FP - 7.5FP + 10FPD</t>
  </si>
  <si>
    <t>13.1FPD</t>
  </si>
  <si>
    <r>
      <t xml:space="preserve">Import </t>
    </r>
    <r>
      <rPr>
        <sz val="11"/>
        <color rgb="FFFF0000"/>
        <rFont val="Arial"/>
        <family val="2"/>
      </rPr>
      <t>(+ve)</t>
    </r>
    <r>
      <rPr>
        <sz val="11"/>
        <rFont val="Arial"/>
        <family val="2"/>
      </rPr>
      <t xml:space="preserve"> and Export</t>
    </r>
    <r>
      <rPr>
        <sz val="11"/>
        <color rgb="FFFF0000"/>
        <rFont val="Arial"/>
        <family val="2"/>
      </rPr>
      <t xml:space="preserve"> (-ve) </t>
    </r>
    <r>
      <rPr>
        <sz val="11"/>
        <rFont val="Arial"/>
        <family val="2"/>
      </rPr>
      <t xml:space="preserve">Drought Adjustment </t>
    </r>
  </si>
  <si>
    <t>Drought Import/Export Adjustment for specific drought event  (where applicable)</t>
  </si>
  <si>
    <t>13FPD</t>
  </si>
  <si>
    <t>12FPD + sum(2FP:5FP) + 13.1FPD</t>
  </si>
  <si>
    <t>16FPD</t>
  </si>
  <si>
    <t>16.1FPD</t>
  </si>
  <si>
    <t>Target Headroom Adjustment</t>
  </si>
  <si>
    <t>Target headroom adjustment for specific drought event (where applicable)</t>
  </si>
  <si>
    <t>17FPD</t>
  </si>
  <si>
    <t>13FPD - 11FPD</t>
  </si>
  <si>
    <t>18FPD</t>
  </si>
  <si>
    <t>17FPD - (16FPD + 16.1FPD)</t>
  </si>
  <si>
    <r>
      <rPr>
        <sz val="11"/>
        <color rgb="FFFF0000"/>
        <rFont val="Arial"/>
        <family val="2"/>
      </rPr>
      <t xml:space="preserve"> [7]</t>
    </r>
    <r>
      <rPr>
        <sz val="11"/>
        <color rgb="FF000000"/>
        <rFont val="Arial"/>
        <family val="2"/>
      </rPr>
      <t>% savings when an appeal for restraint is implemented</t>
    </r>
  </si>
  <si>
    <r>
      <rPr>
        <sz val="11"/>
        <color rgb="FFFF0000"/>
        <rFont val="Arial"/>
        <family val="2"/>
      </rPr>
      <t>[2]</t>
    </r>
    <r>
      <rPr>
        <sz val="11"/>
        <color rgb="FF000000"/>
        <rFont val="Arial"/>
        <family val="2"/>
      </rPr>
      <t>% demand savings when a Non-Essential Use Ban is implemented</t>
    </r>
  </si>
  <si>
    <t>Programme:</t>
  </si>
  <si>
    <t>WRZ(s) impacted</t>
  </si>
  <si>
    <t>DYAA - 1 in 500</t>
  </si>
  <si>
    <t>Description of key triggers for alternative programme activation</t>
  </si>
  <si>
    <t>We have been granted Accelerated Delivery Funding to undertake detailed design of both the Lowestoft Reuse and North Suffolk winter storage reservoir options between 2023 to 2026.  Technical reports will be delivered which will confirm which scheme can be delivered the quickest and which scheme actually provides Best Value. We will then either deliver the Lowestoft Reuse scheme which is currently in our Best Value Plan else move to the North Suffolk Reservoir adaptive pathway / programme.  We would make this decision in 2026/27.</t>
  </si>
  <si>
    <t>Paste in Updated diagram</t>
  </si>
  <si>
    <t xml:space="preserve">
Monitoring and triggering of alternative programme</t>
  </si>
  <si>
    <t>We will monitor the delivery date of the North Suffolk Reservoir ever 6 months during the detailed engineering design stage of the project which we expect to conclude in 2026/27. If future revisions to our least cost and best value assessments conclude that North Suffolk Reservoir provides better value than Lowestoft Water Reuse, then we will move to the North Suffolk Reservoir Adaptive Programme.</t>
  </si>
  <si>
    <t>Insert figure to represent your adaptive programmes here
 if applicable</t>
  </si>
  <si>
    <t>Option differences to preferred (most likely) programme</t>
  </si>
  <si>
    <r>
      <rPr>
        <sz val="11"/>
        <rFont val="Arial"/>
        <family val="2"/>
      </rPr>
      <t xml:space="preserve">Additional options selected: No additional Options (change to date scheduled only) 
Preferred options removed: No Options removed (change to date scheduled only) 
</t>
    </r>
    <r>
      <rPr>
        <sz val="11"/>
        <color rgb="FFFF0000"/>
        <rFont val="Arial"/>
        <family val="2"/>
      </rPr>
      <t xml:space="preserve">
 </t>
    </r>
  </si>
  <si>
    <t>NPV cost associated with programme (£000)</t>
  </si>
  <si>
    <t xml:space="preserve">Likelihood </t>
  </si>
  <si>
    <t>High</t>
  </si>
  <si>
    <t>Earliest expected trigger year</t>
  </si>
  <si>
    <t>2026/27</t>
  </si>
  <si>
    <t>5 Year totals</t>
  </si>
  <si>
    <t>BL SDB Component</t>
  </si>
  <si>
    <t>2024/25</t>
  </si>
  <si>
    <t>2025/26</t>
  </si>
  <si>
    <t>2027/28</t>
  </si>
  <si>
    <t>2028/29</t>
  </si>
  <si>
    <t>2029/30</t>
  </si>
  <si>
    <t>2034/35</t>
  </si>
  <si>
    <t>2039/40</t>
  </si>
  <si>
    <t>2044/45</t>
  </si>
  <si>
    <t>2049/50</t>
  </si>
  <si>
    <t>2054/55</t>
  </si>
  <si>
    <t>2059/60</t>
  </si>
  <si>
    <t>2064/65</t>
  </si>
  <si>
    <t>2069/70</t>
  </si>
  <si>
    <t>2074/75</t>
  </si>
  <si>
    <t>2079/80</t>
  </si>
  <si>
    <t>2084/85</t>
  </si>
  <si>
    <t>2089/90</t>
  </si>
  <si>
    <t>2094/95</t>
  </si>
  <si>
    <t>2099/100</t>
  </si>
  <si>
    <t>AP1BL</t>
  </si>
  <si>
    <t>AP2BL</t>
  </si>
  <si>
    <t xml:space="preserve">AP3BL </t>
  </si>
  <si>
    <t>AP5BL</t>
  </si>
  <si>
    <t>FP SDB Component</t>
  </si>
  <si>
    <t>AP1FP</t>
  </si>
  <si>
    <t>AP2FP</t>
  </si>
  <si>
    <t>AP3FP</t>
  </si>
  <si>
    <t>AP4FP</t>
  </si>
  <si>
    <t>Expenditure element</t>
  </si>
  <si>
    <t>Expenditure type</t>
  </si>
  <si>
    <t>Unit £m</t>
  </si>
  <si>
    <t>AP6FP</t>
  </si>
  <si>
    <t>Totex increases (base)</t>
  </si>
  <si>
    <t>Totex</t>
  </si>
  <si>
    <t>£m</t>
  </si>
  <si>
    <t>AP7FP</t>
  </si>
  <si>
    <t>Totex savings (base)</t>
  </si>
  <si>
    <t>AP8FP</t>
  </si>
  <si>
    <t>Totex total (base)</t>
  </si>
  <si>
    <t>AP9FP</t>
  </si>
  <si>
    <t>Total enhancement expenditure</t>
  </si>
  <si>
    <t>AP10FP</t>
  </si>
  <si>
    <t>AP11FP</t>
  </si>
  <si>
    <t>ESWESX, ESWNCT</t>
  </si>
  <si>
    <t>Change to Distribution Input to reflect a high PCC scenario. Review point is 2027 to determine if the ESWESW WRZ requires an additional resource, and what the Best value Plan would be to meet forecasted demand in the ESWNCT, depending on if the North Suffolk Reservoir Adaptive Programme has been triggered.</t>
  </si>
  <si>
    <t>We will monitor and report PCC annually through our WRMP Annual Review which we will submit to regulators every June.  If PCC does not outturn in line with our central (most likely) forecast, then we will discuss with regulators and agree whether or not to move to the High PCC adaptive pathway by December 2025.</t>
  </si>
  <si>
    <r>
      <t xml:space="preserve">Additional options selected:
</t>
    </r>
    <r>
      <rPr>
        <u/>
        <sz val="11"/>
        <rFont val="Arial"/>
        <family val="2"/>
      </rPr>
      <t>ESWESX</t>
    </r>
    <r>
      <rPr>
        <sz val="11"/>
        <rFont val="Arial"/>
        <family val="2"/>
      </rPr>
      <t xml:space="preserve">: Southend Reuse Phase A [ESW-EFR-001A].  However, least cost modelling results estimate that an additional resource is only required for 3 years between 2032 and 2035, so an options appraisal would be conducted.   Preferred options removed: None
</t>
    </r>
    <r>
      <rPr>
        <u/>
        <sz val="11"/>
        <rFont val="Arial"/>
        <family val="2"/>
      </rPr>
      <t>ESWNCT</t>
    </r>
    <r>
      <rPr>
        <sz val="11"/>
        <rFont val="Arial"/>
        <family val="2"/>
      </rPr>
      <t>: Corton Desal Beach Well and Transfer (ESWDES008BWA) and Caister Water Reuse and Ormesby Transfer (03b0478B) are selected; but  North Suffolk Winter Storage 7500 and Transfer (ESWRES002C) is not and is a Preferred option that has been removed from this Adaptive Programme.</t>
    </r>
  </si>
  <si>
    <t>Medium</t>
  </si>
  <si>
    <t>This will be a one off review on completion of the AMP8 WINEP ED investigations.  However, it might be that further WINEP ED investigations are required in future AMPs in which case we would review the outcomes of those investigations during preparation of each subsequent draft WRMP supply forecasts.  The change year for moving to the adaptive pathway would also be agreed as part preparation of that draft WRMP although for the purposes of this adaptive programme, we have assumed that will be December 2026.</t>
  </si>
  <si>
    <t>We will review the outcomes of our AMP8 WINEP ED investigations.  A deliverable will be a technical report which will conclude what the ED sustainability reductions should be for each abstraction licence.  We will then apply these reductions to our baseline dWRMP29 supply forecast by December 2026.  We would agree the adaptive pathway change year as part of our draft WRMP29.</t>
  </si>
  <si>
    <t>Additional options selected:
ESWESX: Canvey Island Desalination 190Ml/d (ESW-DES-001D) and Southend Water Reuse and Transfer (ESWEFR001).
ESWNCT: Corton Desal Beach Well and Transfer (ESWDES008BWA) and Caister Water Reuse and Ormesby Transfer (03b0478B).
Preferred options removed: North Suffolk Winter Storage 7500 and Transfer (ESWRES002C)</t>
  </si>
  <si>
    <t>Low</t>
  </si>
  <si>
    <t xml:space="preserve">We are awaiting the outcome of the Environment Agency's assessments to determine the abstraction licence sustainability reductions they will implement on our sources that feed Ormesby WTW and Barsham WTW in our ESWNCT. </t>
  </si>
  <si>
    <t>Outcomes of the Environment Agency’s Habitat Regulations investigations.  A deliverable will be a technical report which will conclude what the Habitats Regulations sustainability reductions should be for each of our Broadland abstraction licences.  We will then apply these reductions to our baseline supply forecast in 2024/25 and if required, will agree the adaptive pathway change year with the Environment Agency.</t>
  </si>
  <si>
    <t xml:space="preserve">Additional options selected in the ESWNCT are Caister Water Reuse and Ormesby Transfer (ESWRES002C) along with the medium sized North Suffolk Winter Storage 5000 and Transfer (ESWRES002B), instead of the largest North Suffolk Winter Storage 7500 and Transfer (ESWRES002C), which is removed from this Adaptive Programme. 
Under this Adaptive Programme, to achieve supply demand balance in the NCZ, we also require an option to defer the implementation of a proportion of the Habs Regs Sustainability Reductions and potentially also, prolong the REG19 Derogation option we have in our Preferred Plan, which delays the implementation of WFD No Det Sustainability Reductions in our Hartismere WRZ.   </t>
  </si>
  <si>
    <t>Least Cost Plan is the same as our Best Value (Preferred Plan)</t>
  </si>
  <si>
    <t xml:space="preserve">Additional options selected: N/A
Preferred options removed: N/A
</t>
  </si>
  <si>
    <t>ESWNCZ</t>
  </si>
  <si>
    <t xml:space="preserve">The Core Plan represents no or low regret options that are required to maintain a supply surplus in all years of the planning period and to meet government expectations on demand management. The core plan includes all the Best Value Plan Options that are needed in AMP8 and 9 but does not include those Best Value Plan options that are driven by Environmental Destination abstraction sustainability reductions in the 2040s.  This is because there is a low level of certainty regarding the size of the abstraction licence sustainability reductions, thus why they will be included in our AMP8 WINEP for further investigation.
</t>
  </si>
  <si>
    <t>All options required as part of Preferred Plan.</t>
  </si>
  <si>
    <t>Additional options selected: N/A
Preferred options removed: North Suffolk Winter Storage 7500 and Transfer (ESWRES002C).</t>
  </si>
  <si>
    <t>Preferred (most likely) programme</t>
  </si>
  <si>
    <t>NPV cost associated with plan (£M)</t>
  </si>
  <si>
    <t>Table 8a: Summary Base Totex expenditure for programme consistent with RAG  reporting requirements</t>
  </si>
  <si>
    <t>Annual totals</t>
  </si>
  <si>
    <t>Five year totals</t>
  </si>
  <si>
    <t>Reference</t>
  </si>
  <si>
    <t>2030-31 
to 
2034-35</t>
  </si>
  <si>
    <t>2035-36 
to 
2039-40</t>
  </si>
  <si>
    <t>2040-41 
to 
2044-45</t>
  </si>
  <si>
    <t>2045-46 
to 
2049-50</t>
  </si>
  <si>
    <t>2050-51 
to 
2054-55</t>
  </si>
  <si>
    <t>2055-56 
to 
2059-60</t>
  </si>
  <si>
    <t>2060-61 
to 
2064-65</t>
  </si>
  <si>
    <t>2065-66 
to 
2069-70</t>
  </si>
  <si>
    <t>2070-71 
to 
2074-75</t>
  </si>
  <si>
    <t>2075-76 
to 
2079-80</t>
  </si>
  <si>
    <t>A1</t>
  </si>
  <si>
    <t>£M</t>
  </si>
  <si>
    <t>A2</t>
  </si>
  <si>
    <t>A3</t>
  </si>
  <si>
    <t>Total totex variance (base)</t>
  </si>
  <si>
    <t>Table 8b: Summary of supply-demand balance enhancement expenditure for programme consistent with RAG  reporting requirements</t>
  </si>
  <si>
    <t>B1</t>
  </si>
  <si>
    <t>Supply-side improvements</t>
  </si>
  <si>
    <t>B2</t>
  </si>
  <si>
    <t>B3</t>
  </si>
  <si>
    <t>B4</t>
  </si>
  <si>
    <t>Demand-side improvements (excl. leakage and metering)</t>
  </si>
  <si>
    <t>B5</t>
  </si>
  <si>
    <t>B6</t>
  </si>
  <si>
    <t>B7</t>
  </si>
  <si>
    <t>Leakage improvements</t>
  </si>
  <si>
    <t>B8</t>
  </si>
  <si>
    <t>B9</t>
  </si>
  <si>
    <t>B10</t>
  </si>
  <si>
    <t>Internal interconnectors</t>
  </si>
  <si>
    <t>B11</t>
  </si>
  <si>
    <t>B12</t>
  </si>
  <si>
    <t>B13</t>
  </si>
  <si>
    <t>Strategic regional water resources</t>
  </si>
  <si>
    <t>B14</t>
  </si>
  <si>
    <t>B15</t>
  </si>
  <si>
    <t>B16</t>
  </si>
  <si>
    <t xml:space="preserve">Total supply demand expenditure </t>
  </si>
  <si>
    <t>Table 8c: Summary of metering enhancement expenditure for  programme consistent with RAG  reporting requirements</t>
  </si>
  <si>
    <t>C1</t>
  </si>
  <si>
    <t>New meters requested by existing customers (optants)</t>
  </si>
  <si>
    <t>C1.1</t>
  </si>
  <si>
    <t>New basic meters requested by existing customers (optants)</t>
  </si>
  <si>
    <t>C1.2</t>
  </si>
  <si>
    <t>New AMR meters requested by existing customers (optants)</t>
  </si>
  <si>
    <t>C1.3</t>
  </si>
  <si>
    <t>New AMI meters requested by existing customers (optants)</t>
  </si>
  <si>
    <t>C2</t>
  </si>
  <si>
    <t>C2.1</t>
  </si>
  <si>
    <t>C2.2</t>
  </si>
  <si>
    <t>C2.3</t>
  </si>
  <si>
    <t>C3</t>
  </si>
  <si>
    <t>C4</t>
  </si>
  <si>
    <t>New meters introduced by companies for existing customers</t>
  </si>
  <si>
    <t>C4.1</t>
  </si>
  <si>
    <t xml:space="preserve">New basic meters introduced by companies for existing customers </t>
  </si>
  <si>
    <t>C4.2</t>
  </si>
  <si>
    <t>New AMR meters  introduced by companies for existing customers</t>
  </si>
  <si>
    <t>C4.3</t>
  </si>
  <si>
    <t>New AMI meters introduced by companies for existing customers</t>
  </si>
  <si>
    <t>C5</t>
  </si>
  <si>
    <t>C5.1</t>
  </si>
  <si>
    <t>New basic meters introduced by companies for existing customers</t>
  </si>
  <si>
    <t>C5.2</t>
  </si>
  <si>
    <t>New AMR meters introduced by companies for existing customers</t>
  </si>
  <si>
    <t>C5.3</t>
  </si>
  <si>
    <t>C6</t>
  </si>
  <si>
    <t>C7</t>
  </si>
  <si>
    <t>New meters for existing customers - business</t>
  </si>
  <si>
    <t>C7.1</t>
  </si>
  <si>
    <t>New basic meters for existing customers - business</t>
  </si>
  <si>
    <t>C7.2</t>
  </si>
  <si>
    <t>New AMR meters for existing customers - business</t>
  </si>
  <si>
    <t>C7.3</t>
  </si>
  <si>
    <t>New AMI meters for existing customers - business</t>
  </si>
  <si>
    <t>C8</t>
  </si>
  <si>
    <t>C8.1</t>
  </si>
  <si>
    <t>C8.2</t>
  </si>
  <si>
    <t>C8.3</t>
  </si>
  <si>
    <t>C9</t>
  </si>
  <si>
    <t>C10</t>
  </si>
  <si>
    <t>Replacement of existing basic meters with AMR meters</t>
  </si>
  <si>
    <t>C11</t>
  </si>
  <si>
    <t>Replacement of existing basic meters with AMI meters</t>
  </si>
  <si>
    <t>C11a</t>
  </si>
  <si>
    <t>Replacement of existing AMR meters with AMI meters</t>
  </si>
  <si>
    <t>C12</t>
  </si>
  <si>
    <t>Smart metering infrastructure</t>
  </si>
  <si>
    <t>C13</t>
  </si>
  <si>
    <t>C14</t>
  </si>
  <si>
    <t>C14a</t>
  </si>
  <si>
    <t>C15</t>
  </si>
  <si>
    <t>C16</t>
  </si>
  <si>
    <t>C17</t>
  </si>
  <si>
    <t>C17a</t>
  </si>
  <si>
    <t>C18</t>
  </si>
  <si>
    <t>C19</t>
  </si>
  <si>
    <t xml:space="preserve">Total metering expenditure </t>
  </si>
  <si>
    <t>Table 8d: Summary of total enhancement for programme  consistent with RAG  reporting requirements</t>
  </si>
  <si>
    <t>D1</t>
  </si>
  <si>
    <t xml:space="preserve">Total enhancement expenditure </t>
  </si>
  <si>
    <t>D2</t>
  </si>
  <si>
    <t>D3</t>
  </si>
  <si>
    <t>Table 8e: Summary of supply demand benefits for programme consistent with RAG  reporting requirements</t>
  </si>
  <si>
    <t>Benefit element</t>
  </si>
  <si>
    <t>E1</t>
  </si>
  <si>
    <t xml:space="preserve">Supply-side improvements </t>
  </si>
  <si>
    <t>Benefit</t>
  </si>
  <si>
    <t>E2</t>
  </si>
  <si>
    <t>Demand-side improvements (excluding leakage and metering)</t>
  </si>
  <si>
    <t>E3</t>
  </si>
  <si>
    <t>E4</t>
  </si>
  <si>
    <t>Internal interconnectors*</t>
  </si>
  <si>
    <t>E5</t>
  </si>
  <si>
    <t>Metering improvements</t>
  </si>
  <si>
    <t xml:space="preserve">E5.1 </t>
  </si>
  <si>
    <t>Benefits from new basic meter installations (household)</t>
  </si>
  <si>
    <t>E5.2</t>
  </si>
  <si>
    <t>Benefits from new AMR meter installations (household)</t>
  </si>
  <si>
    <t>E5.3</t>
  </si>
  <si>
    <t>Benefits from new AMI meter installations (household)</t>
  </si>
  <si>
    <t>E5.4</t>
  </si>
  <si>
    <t>Benefits from replacing (or upgrading) existing basic meters with AMR meters (household)</t>
  </si>
  <si>
    <t>E5.5</t>
  </si>
  <si>
    <t>Benefits from replacing (or upgrading) existing basic or AMR meters with AMI meters (household)</t>
  </si>
  <si>
    <t>E5.6</t>
  </si>
  <si>
    <t>Benefits from replacing (or upgrading) existing basic meters with AMR meters (non-household)</t>
  </si>
  <si>
    <t>E5.7</t>
  </si>
  <si>
    <t>Benefits from replacing (or upgrading) existing basic or AMR meters with AMI meters (non-household)</t>
  </si>
  <si>
    <t>Table 8f: Summary of totex leakage expenditure for programme consistent with RAG  reporting requirements</t>
  </si>
  <si>
    <t>F27</t>
  </si>
  <si>
    <t>Total leakage activity - Maintaining leakage</t>
  </si>
  <si>
    <t>F28</t>
  </si>
  <si>
    <t>Total leakage activity - Reducing leakage</t>
  </si>
  <si>
    <t>Least Cost Programme</t>
  </si>
  <si>
    <t>Table 8c: Summary of metering enhancement expenditure for programme consistent with RAG  reporting requirements</t>
  </si>
  <si>
    <t>Ofwat Core programme</t>
  </si>
  <si>
    <t>Option Type</t>
  </si>
  <si>
    <t>COMPANY</t>
  </si>
  <si>
    <t>WRZ_NAME</t>
  </si>
  <si>
    <t>RZ_ID</t>
  </si>
  <si>
    <t>WC id</t>
  </si>
  <si>
    <t>WRZ id</t>
  </si>
  <si>
    <t>Combined id</t>
  </si>
  <si>
    <t>Blyth</t>
  </si>
  <si>
    <t>ESW</t>
  </si>
  <si>
    <t>BLY</t>
  </si>
  <si>
    <t>Aquifer recharge/Aquifer storage recovery</t>
  </si>
  <si>
    <t>Affinity Water</t>
  </si>
  <si>
    <t>1 Misbourne</t>
  </si>
  <si>
    <t>AFW</t>
  </si>
  <si>
    <t>MS1</t>
  </si>
  <si>
    <t>AFWMS1</t>
  </si>
  <si>
    <t>Essex</t>
  </si>
  <si>
    <t>ESX</t>
  </si>
  <si>
    <t>Catchment management</t>
  </si>
  <si>
    <t>2 Colne</t>
  </si>
  <si>
    <t>CN2</t>
  </si>
  <si>
    <t>AFWCN2</t>
  </si>
  <si>
    <t>Hartismere</t>
  </si>
  <si>
    <t>HRT</t>
  </si>
  <si>
    <t xml:space="preserve">Conjunctive use </t>
  </si>
  <si>
    <t>3 Lee</t>
  </si>
  <si>
    <t>LE3</t>
  </si>
  <si>
    <t>AFWLE3</t>
  </si>
  <si>
    <t>Northern Central</t>
  </si>
  <si>
    <t>NCT</t>
  </si>
  <si>
    <t>4 Pinn</t>
  </si>
  <si>
    <t>PN4</t>
  </si>
  <si>
    <t>AFWPN4</t>
  </si>
  <si>
    <t>Drought permits/orders</t>
  </si>
  <si>
    <t>5 Stort</t>
  </si>
  <si>
    <t>ST5</t>
  </si>
  <si>
    <t>AFWST5</t>
  </si>
  <si>
    <t>6 Wey</t>
  </si>
  <si>
    <t>WY6</t>
  </si>
  <si>
    <t>AFWWY6</t>
  </si>
  <si>
    <t>7 Dour</t>
  </si>
  <si>
    <t>DR7</t>
  </si>
  <si>
    <t>AFWDR7</t>
  </si>
  <si>
    <t>8 Brett</t>
  </si>
  <si>
    <t>BR8</t>
  </si>
  <si>
    <t>AFWBR8</t>
  </si>
  <si>
    <t>International import</t>
  </si>
  <si>
    <t>Anglian Water</t>
  </si>
  <si>
    <t>Essex Central</t>
  </si>
  <si>
    <t>AWS</t>
  </si>
  <si>
    <t>EXC</t>
  </si>
  <si>
    <t>AWSEXC</t>
  </si>
  <si>
    <t>Licence trading</t>
  </si>
  <si>
    <t>Essex South</t>
  </si>
  <si>
    <t>EXS</t>
  </si>
  <si>
    <t>New groundwater</t>
  </si>
  <si>
    <t>Fenland</t>
  </si>
  <si>
    <t>FND</t>
  </si>
  <si>
    <t>AWSFND</t>
  </si>
  <si>
    <t>New reservoir</t>
  </si>
  <si>
    <t>Hartlepool</t>
  </si>
  <si>
    <t>HPL</t>
  </si>
  <si>
    <t>AWSHPL</t>
  </si>
  <si>
    <t>New surface water</t>
  </si>
  <si>
    <t>Lincolnshire Bourne</t>
  </si>
  <si>
    <t>LNB</t>
  </si>
  <si>
    <t>AWSLNB</t>
  </si>
  <si>
    <t>New technology</t>
  </si>
  <si>
    <t>Lincolnshire Central</t>
  </si>
  <si>
    <t>LNC</t>
  </si>
  <si>
    <t>AWSLNC</t>
  </si>
  <si>
    <t>New water treatment works</t>
  </si>
  <si>
    <t>Lincolnshire East</t>
  </si>
  <si>
    <t>LNE</t>
  </si>
  <si>
    <t>AWSLNE</t>
  </si>
  <si>
    <t>Reduction of raw water losses</t>
  </si>
  <si>
    <t>Lincolnshire Retford and Gainsborough</t>
  </si>
  <si>
    <t>LNN</t>
  </si>
  <si>
    <t>AWSLNN</t>
  </si>
  <si>
    <t>Reservoir enlargement</t>
  </si>
  <si>
    <t>Norfolk Aylsham</t>
  </si>
  <si>
    <t>NAY</t>
  </si>
  <si>
    <t>AWSNAY</t>
  </si>
  <si>
    <t>Surface water enhancement</t>
  </si>
  <si>
    <t>Norfolk Bradenham</t>
  </si>
  <si>
    <t>NBR</t>
  </si>
  <si>
    <t>AWSNBR</t>
  </si>
  <si>
    <t>Norfolk East Dereham</t>
  </si>
  <si>
    <t>NED</t>
  </si>
  <si>
    <t>AWSNED</t>
  </si>
  <si>
    <t>New/Enhanced pumping station</t>
  </si>
  <si>
    <t>Production Options</t>
  </si>
  <si>
    <t>Norfolk East Harling</t>
  </si>
  <si>
    <t>NEH</t>
  </si>
  <si>
    <t>AWSNEH</t>
  </si>
  <si>
    <t>Norfolk Happisburgh</t>
  </si>
  <si>
    <t>NHA</t>
  </si>
  <si>
    <t>AWSNHA</t>
  </si>
  <si>
    <t>Norfolk Harleston</t>
  </si>
  <si>
    <t>NHL</t>
  </si>
  <si>
    <t>AWSNHL</t>
  </si>
  <si>
    <t>Water treatment works loss recovery</t>
  </si>
  <si>
    <t>Norfolk North Coast</t>
  </si>
  <si>
    <t>NNC</t>
  </si>
  <si>
    <t>AWSNNC</t>
  </si>
  <si>
    <t>Active leakage management</t>
  </si>
  <si>
    <t>Norfolk Norwich &amp; the Broads</t>
  </si>
  <si>
    <t>NTB</t>
  </si>
  <si>
    <t>External potable bulk supply/transfer</t>
  </si>
  <si>
    <t>Norfolk Wymondham</t>
  </si>
  <si>
    <t>NWY</t>
  </si>
  <si>
    <t>AWSNWY</t>
  </si>
  <si>
    <t>Internal potable transfer</t>
  </si>
  <si>
    <t>Ruthamford Central</t>
  </si>
  <si>
    <t>RTC</t>
  </si>
  <si>
    <t>AWSRTC</t>
  </si>
  <si>
    <t>Mains replacement (not trunk mains)</t>
  </si>
  <si>
    <t>Ruthamford North</t>
  </si>
  <si>
    <t>RTN</t>
  </si>
  <si>
    <t>AWSRTN</t>
  </si>
  <si>
    <t>Ruthamford South</t>
  </si>
  <si>
    <t>RTS</t>
  </si>
  <si>
    <t>AWSRTS</t>
  </si>
  <si>
    <t>Pressure management</t>
  </si>
  <si>
    <t>Ruthamford West</t>
  </si>
  <si>
    <t>RTW</t>
  </si>
  <si>
    <t>AWSRTW</t>
  </si>
  <si>
    <t>Trunk mains renewal/new</t>
  </si>
  <si>
    <t>South Humber Bank</t>
  </si>
  <si>
    <t>SHB</t>
  </si>
  <si>
    <t>AWSSHB</t>
  </si>
  <si>
    <t>Suffolk East</t>
  </si>
  <si>
    <t>SUE</t>
  </si>
  <si>
    <t>Suffolk Ixworth</t>
  </si>
  <si>
    <t>SUI</t>
  </si>
  <si>
    <t>Household water recycling</t>
  </si>
  <si>
    <t>Suffolk Sudbury</t>
  </si>
  <si>
    <t>SUS</t>
  </si>
  <si>
    <t>AWSSUS</t>
  </si>
  <si>
    <t>Metering change of occupancy</t>
  </si>
  <si>
    <t>Suffolk Thetford</t>
  </si>
  <si>
    <t>SUT</t>
  </si>
  <si>
    <t>AWSSUT</t>
  </si>
  <si>
    <t>Suffolk West &amp; Cambs</t>
  </si>
  <si>
    <t>SWC</t>
  </si>
  <si>
    <t>AWSSWC</t>
  </si>
  <si>
    <t>Bristol Water</t>
  </si>
  <si>
    <t>Bristol</t>
  </si>
  <si>
    <t>BWX</t>
  </si>
  <si>
    <t>BRS</t>
  </si>
  <si>
    <t>BWXBRS</t>
  </si>
  <si>
    <t>Metering other selective</t>
  </si>
  <si>
    <t>Cambridge Water</t>
  </si>
  <si>
    <t>Cambridge</t>
  </si>
  <si>
    <t>CAM</t>
  </si>
  <si>
    <t>CAMCAM</t>
  </si>
  <si>
    <t>Dwr Cymru Welsh Water</t>
  </si>
  <si>
    <t>Alwen /Dee</t>
  </si>
  <si>
    <t>DCW</t>
  </si>
  <si>
    <t>ALW</t>
  </si>
  <si>
    <t>DCWALW</t>
  </si>
  <si>
    <t>Bala</t>
  </si>
  <si>
    <t>BAL</t>
  </si>
  <si>
    <t>DCWBAL</t>
  </si>
  <si>
    <t>Blaenau Ffestiniog</t>
  </si>
  <si>
    <t>BFF</t>
  </si>
  <si>
    <t>DCWBFF</t>
  </si>
  <si>
    <t>Retrofitting indoor water efficiency devices</t>
  </si>
  <si>
    <t>Brecon</t>
  </si>
  <si>
    <t>BCN</t>
  </si>
  <si>
    <t>DCWBCN</t>
  </si>
  <si>
    <t>Clwyd Coastal</t>
  </si>
  <si>
    <t>CCT</t>
  </si>
  <si>
    <t>DCWCCT</t>
  </si>
  <si>
    <t>Dyffryn Conwy</t>
  </si>
  <si>
    <t>CWY</t>
  </si>
  <si>
    <t>DCWCWY</t>
  </si>
  <si>
    <t>Elan/Builth Wells</t>
  </si>
  <si>
    <t>EBW</t>
  </si>
  <si>
    <t>DCWEBW</t>
  </si>
  <si>
    <t>Harlech/Barmouth</t>
  </si>
  <si>
    <t>HBA</t>
  </si>
  <si>
    <t>DCWHBA</t>
  </si>
  <si>
    <t>Hereford C.U. System</t>
  </si>
  <si>
    <t>HRF</t>
  </si>
  <si>
    <t>DCWHRF</t>
  </si>
  <si>
    <t>Lleyn</t>
  </si>
  <si>
    <t>LLN</t>
  </si>
  <si>
    <t>DCWLLN</t>
  </si>
  <si>
    <t>Llyswen</t>
  </si>
  <si>
    <t>LYW</t>
  </si>
  <si>
    <t>DCWLYW</t>
  </si>
  <si>
    <t>Mid &amp; South Ceredigion</t>
  </si>
  <si>
    <t>MSC</t>
  </si>
  <si>
    <t>DCWMSC</t>
  </si>
  <si>
    <t>Monmouth</t>
  </si>
  <si>
    <t>MNM</t>
  </si>
  <si>
    <t>DCWMNM</t>
  </si>
  <si>
    <t>North Ceredigion</t>
  </si>
  <si>
    <t>NTC</t>
  </si>
  <si>
    <t>DCWNTC</t>
  </si>
  <si>
    <t>North Eryri / Ynys Mon</t>
  </si>
  <si>
    <t>NTE</t>
  </si>
  <si>
    <t>DCWNTE</t>
  </si>
  <si>
    <t>Pembrokeshire</t>
  </si>
  <si>
    <t>PBK</t>
  </si>
  <si>
    <t>DCWPBK</t>
  </si>
  <si>
    <t>Pilleth</t>
  </si>
  <si>
    <t>PLH</t>
  </si>
  <si>
    <t>DCWPLH</t>
  </si>
  <si>
    <t>Ross-on-Wye</t>
  </si>
  <si>
    <t>ROW</t>
  </si>
  <si>
    <t>DCWROW</t>
  </si>
  <si>
    <t>SE Wales C.U. System</t>
  </si>
  <si>
    <t>SEW</t>
  </si>
  <si>
    <t>DCWSEW</t>
  </si>
  <si>
    <t>South Meirionydd</t>
  </si>
  <si>
    <t>SMR</t>
  </si>
  <si>
    <t>DCWSMR</t>
  </si>
  <si>
    <t>Tywi C.U. System</t>
  </si>
  <si>
    <t>TYW</t>
  </si>
  <si>
    <t>DCWTYW</t>
  </si>
  <si>
    <t>Tywyn / Aberdyfi</t>
  </si>
  <si>
    <t>TYN</t>
  </si>
  <si>
    <t>DCWTYN</t>
  </si>
  <si>
    <t>Vowchurch</t>
  </si>
  <si>
    <t>VWH</t>
  </si>
  <si>
    <t>DCWVWH</t>
  </si>
  <si>
    <t>Whitbourne</t>
  </si>
  <si>
    <t>WTB</t>
  </si>
  <si>
    <t>DCWWTB</t>
  </si>
  <si>
    <t xml:space="preserve">Hafren dyfrdwy </t>
  </si>
  <si>
    <t>Llandinam and Llanwrin</t>
  </si>
  <si>
    <t>HDD</t>
  </si>
  <si>
    <t>LAL</t>
  </si>
  <si>
    <t>HDDLAL</t>
  </si>
  <si>
    <t>Llanfyllin</t>
  </si>
  <si>
    <t>LLF</t>
  </si>
  <si>
    <t>HDDLLF</t>
  </si>
  <si>
    <t>Saltney</t>
  </si>
  <si>
    <t>SAL</t>
  </si>
  <si>
    <t>HDDSAL</t>
  </si>
  <si>
    <t>Wrexham</t>
  </si>
  <si>
    <t>WRX</t>
  </si>
  <si>
    <t>HDDWRX</t>
  </si>
  <si>
    <t>Northumbrian Water</t>
  </si>
  <si>
    <t>Berwick-Fowberry</t>
  </si>
  <si>
    <t>NWL</t>
  </si>
  <si>
    <t>BWF</t>
  </si>
  <si>
    <t>NWLBWF</t>
  </si>
  <si>
    <t>Kielder</t>
  </si>
  <si>
    <t>KLD</t>
  </si>
  <si>
    <t>NWLKLD</t>
  </si>
  <si>
    <t>Portsmouth Water</t>
  </si>
  <si>
    <t>Portsmouth</t>
  </si>
  <si>
    <t>PWS</t>
  </si>
  <si>
    <t>PRT</t>
  </si>
  <si>
    <t>PWSPRT</t>
  </si>
  <si>
    <t>SES Water</t>
  </si>
  <si>
    <t>SES</t>
  </si>
  <si>
    <t>SESSES</t>
  </si>
  <si>
    <t>Severn Trent Water</t>
  </si>
  <si>
    <t>Bishops Castle</t>
  </si>
  <si>
    <t>SVT</t>
  </si>
  <si>
    <t>BCS</t>
  </si>
  <si>
    <t>SVTBCS</t>
  </si>
  <si>
    <t>Chester</t>
  </si>
  <si>
    <t>CHS</t>
  </si>
  <si>
    <t>SVTCHS</t>
  </si>
  <si>
    <t>Forest and Stroud</t>
  </si>
  <si>
    <t>FAS</t>
  </si>
  <si>
    <t>SVTFAS</t>
  </si>
  <si>
    <t>Kinsall</t>
  </si>
  <si>
    <t>KSL</t>
  </si>
  <si>
    <t>SVTKSL</t>
  </si>
  <si>
    <t>Mardy</t>
  </si>
  <si>
    <t>MDY</t>
  </si>
  <si>
    <t>SVTMDY</t>
  </si>
  <si>
    <t>Newark</t>
  </si>
  <si>
    <t>NWK</t>
  </si>
  <si>
    <t>SVTNWK</t>
  </si>
  <si>
    <t>North Staffs</t>
  </si>
  <si>
    <t>NST</t>
  </si>
  <si>
    <t>SVTNST</t>
  </si>
  <si>
    <t>Rutland</t>
  </si>
  <si>
    <t>RTL</t>
  </si>
  <si>
    <t>SVTRTL</t>
  </si>
  <si>
    <t>Ruyton</t>
  </si>
  <si>
    <t>RYN</t>
  </si>
  <si>
    <t>SVTRYN</t>
  </si>
  <si>
    <t>Shelton</t>
  </si>
  <si>
    <t>SHN</t>
  </si>
  <si>
    <t>SVTSHN</t>
  </si>
  <si>
    <t>Stafford</t>
  </si>
  <si>
    <t>STF</t>
  </si>
  <si>
    <t>SVTSTF</t>
  </si>
  <si>
    <t>SvT - Nottinghamshire</t>
  </si>
  <si>
    <t>NTT</t>
  </si>
  <si>
    <t>SVTNTT</t>
  </si>
  <si>
    <t>SvT- Strategic Grid</t>
  </si>
  <si>
    <t>SGD</t>
  </si>
  <si>
    <t>SVTSGD</t>
  </si>
  <si>
    <t>Whitchurch and Wem</t>
  </si>
  <si>
    <t>WAW</t>
  </si>
  <si>
    <t>SVTWAW</t>
  </si>
  <si>
    <t>Wolverhampton</t>
  </si>
  <si>
    <t>WVH</t>
  </si>
  <si>
    <t>SVTWVH</t>
  </si>
  <si>
    <t>South East Water</t>
  </si>
  <si>
    <t>Tunbridge Wells (1)</t>
  </si>
  <si>
    <t>TW1</t>
  </si>
  <si>
    <t>SEWTW1</t>
  </si>
  <si>
    <t>Haywards Heath (2)</t>
  </si>
  <si>
    <t>HH2</t>
  </si>
  <si>
    <t>SEWHH2</t>
  </si>
  <si>
    <t>Eastbourne (3)</t>
  </si>
  <si>
    <t>EB3</t>
  </si>
  <si>
    <t>SEWEB3</t>
  </si>
  <si>
    <t>Bracknell (4)</t>
  </si>
  <si>
    <t>BK4</t>
  </si>
  <si>
    <t>SEWBK4</t>
  </si>
  <si>
    <t>Farnham (5)</t>
  </si>
  <si>
    <t>FN5</t>
  </si>
  <si>
    <t>SEWFN5</t>
  </si>
  <si>
    <t>Maidstone (6)</t>
  </si>
  <si>
    <t>MT6</t>
  </si>
  <si>
    <t>SEWMT6</t>
  </si>
  <si>
    <t>Cranbrook (7)</t>
  </si>
  <si>
    <t>CB7</t>
  </si>
  <si>
    <t>SEWCB7</t>
  </si>
  <si>
    <t>Ashford (8)</t>
  </si>
  <si>
    <t>AF8</t>
  </si>
  <si>
    <t>SEWAF8</t>
  </si>
  <si>
    <t>South Staffordshire Water</t>
  </si>
  <si>
    <t>South Staffordshire</t>
  </si>
  <si>
    <t>SSW</t>
  </si>
  <si>
    <t>SSWSSW</t>
  </si>
  <si>
    <t>South West Water</t>
  </si>
  <si>
    <t>Bournemouth</t>
  </si>
  <si>
    <t>SWW</t>
  </si>
  <si>
    <t>BNM</t>
  </si>
  <si>
    <t>SWWBNM</t>
  </si>
  <si>
    <t>Colliford</t>
  </si>
  <si>
    <t>CLF</t>
  </si>
  <si>
    <t>SWWCLF</t>
  </si>
  <si>
    <t>Roadford</t>
  </si>
  <si>
    <t>RDF</t>
  </si>
  <si>
    <t>SWWRDF</t>
  </si>
  <si>
    <t>Wimbleball</t>
  </si>
  <si>
    <t>WMB</t>
  </si>
  <si>
    <t>SWWWMB</t>
  </si>
  <si>
    <t>Southern Water</t>
  </si>
  <si>
    <t>Hamps Andover</t>
  </si>
  <si>
    <t>SWS</t>
  </si>
  <si>
    <t>HAD</t>
  </si>
  <si>
    <t>SWSHAD</t>
  </si>
  <si>
    <t>Hamps Kingsclere</t>
  </si>
  <si>
    <t>HKC</t>
  </si>
  <si>
    <t>SWSHKC</t>
  </si>
  <si>
    <t>Hamps Rural</t>
  </si>
  <si>
    <t>HRU</t>
  </si>
  <si>
    <t>SWSHRU</t>
  </si>
  <si>
    <t>Hamps Winchester</t>
  </si>
  <si>
    <t>HWN</t>
  </si>
  <si>
    <t>SWSHWN</t>
  </si>
  <si>
    <t>Isle of Wight</t>
  </si>
  <si>
    <t>IOW</t>
  </si>
  <si>
    <t>SWSIOW</t>
  </si>
  <si>
    <t>Kent Medway East</t>
  </si>
  <si>
    <t>KME</t>
  </si>
  <si>
    <t>SWSKME</t>
  </si>
  <si>
    <t>Kent Medway West</t>
  </si>
  <si>
    <t>KMW</t>
  </si>
  <si>
    <t>SWSKMW</t>
  </si>
  <si>
    <t>Kent Thannet</t>
  </si>
  <si>
    <t>KTH</t>
  </si>
  <si>
    <t>SWSKTH</t>
  </si>
  <si>
    <t>Southampton East</t>
  </si>
  <si>
    <t>HSE</t>
  </si>
  <si>
    <t>SWSHSE</t>
  </si>
  <si>
    <t>Southampton West</t>
  </si>
  <si>
    <t>HSW</t>
  </si>
  <si>
    <t>SWSHSW</t>
  </si>
  <si>
    <t>Sussex Brighton</t>
  </si>
  <si>
    <t>SBR</t>
  </si>
  <si>
    <t>SWSSBR</t>
  </si>
  <si>
    <t>Sussex Hastings</t>
  </si>
  <si>
    <t>SHT</t>
  </si>
  <si>
    <t>SWSSHT</t>
  </si>
  <si>
    <t>Sussex North</t>
  </si>
  <si>
    <t>SNT</t>
  </si>
  <si>
    <t>SWSSNT</t>
  </si>
  <si>
    <t>Sussex Worthing</t>
  </si>
  <si>
    <t>SWR</t>
  </si>
  <si>
    <t>SWSSWR</t>
  </si>
  <si>
    <t>Thames Water</t>
  </si>
  <si>
    <t>Guildford</t>
  </si>
  <si>
    <t>TWS</t>
  </si>
  <si>
    <t>GLF</t>
  </si>
  <si>
    <t>TWSGLF</t>
  </si>
  <si>
    <t>Henley</t>
  </si>
  <si>
    <t>HNY</t>
  </si>
  <si>
    <t>TWSHNY</t>
  </si>
  <si>
    <t>Kennet Valley</t>
  </si>
  <si>
    <t>KNV</t>
  </si>
  <si>
    <t>TWSKNV</t>
  </si>
  <si>
    <t>London</t>
  </si>
  <si>
    <t>LND</t>
  </si>
  <si>
    <t>Slough Wycombe Aylesbury</t>
  </si>
  <si>
    <t>SWA</t>
  </si>
  <si>
    <t>TWSSWA</t>
  </si>
  <si>
    <t>SWOX</t>
  </si>
  <si>
    <t>SWX</t>
  </si>
  <si>
    <t>TWSSWX</t>
  </si>
  <si>
    <t>United Utilities</t>
  </si>
  <si>
    <t>Carlisle</t>
  </si>
  <si>
    <t>UUX</t>
  </si>
  <si>
    <t>CRL</t>
  </si>
  <si>
    <t>UUXCRL</t>
  </si>
  <si>
    <t>North Eden</t>
  </si>
  <si>
    <t>UUXNED</t>
  </si>
  <si>
    <t>UU-Strategic</t>
  </si>
  <si>
    <t>STG</t>
  </si>
  <si>
    <t>UUXSTG</t>
  </si>
  <si>
    <t>Veolia Water Projects</t>
  </si>
  <si>
    <t>Veolia Water P</t>
  </si>
  <si>
    <t>VWP</t>
  </si>
  <si>
    <t>TDW</t>
  </si>
  <si>
    <t>VWPTDW</t>
  </si>
  <si>
    <t>Wessex Water</t>
  </si>
  <si>
    <t>Wessex</t>
  </si>
  <si>
    <t>WXW</t>
  </si>
  <si>
    <t>WSX</t>
  </si>
  <si>
    <t>WXWWSX</t>
  </si>
  <si>
    <t>Yorkshire Water</t>
  </si>
  <si>
    <t>East SWZ</t>
  </si>
  <si>
    <t>YWS</t>
  </si>
  <si>
    <t>EST</t>
  </si>
  <si>
    <t>YWSEST</t>
  </si>
  <si>
    <t>Grid SWZ</t>
  </si>
  <si>
    <t>GRD</t>
  </si>
  <si>
    <t>YWSGRD</t>
  </si>
  <si>
    <t>NAV</t>
  </si>
  <si>
    <t>NAVNAV</t>
  </si>
  <si>
    <r>
      <rPr>
        <sz val="11"/>
        <color theme="9"/>
        <rFont val="Arial"/>
        <family val="2"/>
      </rPr>
      <t>**Changes highlighted in green**</t>
    </r>
    <r>
      <rPr>
        <sz val="11"/>
        <color theme="1"/>
        <rFont val="Arial"/>
        <family val="2"/>
      </rPr>
      <t xml:space="preserve">
</t>
    </r>
    <r>
      <rPr>
        <sz val="11"/>
        <rFont val="Arial"/>
        <family val="2"/>
      </rPr>
      <t>Added two AWS exports to Table 1g. 
Updated options and costs for Habs Regs AP: Table 4; Table 5; and Table 7 (5000Ml NSR instead of 3500Ml, and increase in capacity of Holton WTW to Eye Airfield PWT to 9.13Ml/d).
Updated cost for Bungay to Broome WTW and Broome to Barsham WTW transfer (ESW-TRA-018 &amp; ESW-TRA-023) (to correct previous error) in all plans and programmes in Tables 4, 7, and 8.</t>
    </r>
  </si>
  <si>
    <t>NAV IWNL</t>
  </si>
  <si>
    <t>NAV Albion Water</t>
  </si>
  <si>
    <t>NAV LEEP Utilities</t>
  </si>
  <si>
    <t>NAV Icosa</t>
  </si>
  <si>
    <t>Lower Thames Crossing</t>
  </si>
  <si>
    <t>ESWESX 5BL Potable Water Exported - updated data.
1. Base Year Licences - Table 1g - NAVs and LTC export added.</t>
  </si>
  <si>
    <t>(NESBWE2) Anglian Water (Fairstead)</t>
  </si>
  <si>
    <t>(NESBWE3) Anglian Water (Fuller Street)</t>
  </si>
  <si>
    <t>(NESBWE4) Anglian Water (Hogwells)</t>
  </si>
  <si>
    <t>(NESBWE5) Anglian Water (Layer)</t>
  </si>
  <si>
    <t>(NESBWE6) Anglian Water (Maldon)</t>
  </si>
  <si>
    <t>(NESBWE7) Anglian Water (Hatfield)</t>
  </si>
  <si>
    <t xml:space="preserve">(NESBWE11) Anglian Water (Stour - Tiptree) </t>
  </si>
  <si>
    <t xml:space="preserve">We are aware of growth in LEEP utilities for one site therefore the output increases from 3.47 Ml/d (base year) to 7.18Ml/d (2033/34) for this NAV. </t>
  </si>
  <si>
    <t xml:space="preserve">Correct made to Table 1g: WRZ Code From and WRZ Code To, for ESW to AWS exports. </t>
  </si>
  <si>
    <t>Average historical volume of 0.0003Ml/d</t>
  </si>
  <si>
    <t>Comment added to Table 1g (NESBWE7) Anglian Water (Hatfield)</t>
  </si>
  <si>
    <t>Updates made in response to EA Data Quality check to make table 6 consistent with tables 4 and 5 for demand-side drought measures.</t>
  </si>
  <si>
    <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</si>
</sst>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41" formatCode="_-* #,##0_-;\-* #,##0_-;_-* &quot;-&quot;_-;_-@_-"/>
    <numFmt numFmtId="44" formatCode="_-&quot;£&quot;* #,##0.00_-;\-&quot;£&quot;* #,##0.00_-;_-&quot;£&quot;* &quot;-&quot;??_-;_-@_-"/>
    <numFmt numFmtId="43" formatCode="_-* #,##0.00_-;\-* #,##0.00_-;_-* &quot;-&quot;??_-;_-@_-"/>
    <numFmt numFmtId="164" formatCode="yyyy\-yy"/>
    <numFmt numFmtId="165" formatCode="0.0"/>
    <numFmt numFmtId="166" formatCode="0.0%"/>
    <numFmt numFmtId="167" formatCode="0.000"/>
    <numFmt numFmtId="168" formatCode="&quot;£&quot;#,##0"/>
    <numFmt numFmtId="169" formatCode="&quot;£&quot;#,##0_);[Red]\(&quot;£&quot;#,##0\)"/>
    <numFmt numFmtId="170" formatCode="#,##0.000"/>
    <numFmt numFmtId="171" formatCode="&quot;£&quot;#,##0.00"/>
    <numFmt numFmtId="172" formatCode="_-* #,##0.000_-;\-* #,##0.000_-;_-* &quot;-&quot;??_-;_-@_-"/>
    <numFmt numFmtId="173" formatCode="_-* #,##0.000_-;\-* #,##0.000_-;_-* &quot;-&quot;???_-;_-@_-"/>
    <numFmt numFmtId="174" formatCode="0.0000"/>
    <numFmt numFmtId="175" formatCode="_-* #,##0_-;\-* #,##0_-;_-* &quot;-&quot;??_-;_-@_-"/>
  </numFmts>
  <fonts count="58" x14ac:knownFonts="1">
    <font>
      <sz val="12"/>
      <color theme="1"/>
      <name val="Arial"/>
      <family val="2"/>
    </font>
    <font>
      <sz val="11"/>
      <color theme="1"/>
      <name val="Calibri"/>
      <family val="2"/>
      <scheme val="minor"/>
    </font>
    <font>
      <sz val="10"/>
      <name val="Arial"/>
      <family val="2"/>
    </font>
    <font>
      <u/>
      <sz val="10"/>
      <color indexed="12"/>
      <name val="Arial"/>
      <family val="2"/>
    </font>
    <font>
      <b/>
      <sz val="12"/>
      <name val="Arial"/>
      <family val="2"/>
    </font>
    <font>
      <sz val="11"/>
      <name val="Arial"/>
      <family val="2"/>
    </font>
    <font>
      <sz val="10"/>
      <name val="Arial"/>
      <family val="2"/>
    </font>
    <font>
      <b/>
      <sz val="11"/>
      <name val="Arial"/>
      <family val="2"/>
    </font>
    <font>
      <b/>
      <sz val="11"/>
      <color indexed="9"/>
      <name val="Arial"/>
      <family val="2"/>
    </font>
    <font>
      <sz val="11"/>
      <color indexed="9"/>
      <name val="Arial"/>
      <family val="2"/>
    </font>
    <font>
      <sz val="12"/>
      <color theme="1"/>
      <name val="Arial"/>
      <family val="2"/>
    </font>
    <font>
      <sz val="11"/>
      <color theme="1"/>
      <name val="Arial"/>
      <family val="2"/>
    </font>
    <font>
      <b/>
      <sz val="11"/>
      <color theme="1"/>
      <name val="Arial"/>
      <family val="2"/>
    </font>
    <font>
      <b/>
      <sz val="11"/>
      <color indexed="10"/>
      <name val="Arial"/>
      <family val="2"/>
    </font>
    <font>
      <sz val="11"/>
      <color rgb="FFFF0000"/>
      <name val="Arial"/>
      <family val="2"/>
    </font>
    <font>
      <b/>
      <sz val="11"/>
      <color rgb="FF000000"/>
      <name val="Arial"/>
      <family val="2"/>
    </font>
    <font>
      <b/>
      <sz val="11"/>
      <color rgb="FFFF0000"/>
      <name val="Arial"/>
      <family val="2"/>
    </font>
    <font>
      <sz val="11"/>
      <color rgb="FF000000"/>
      <name val="Arial"/>
      <family val="2"/>
    </font>
    <font>
      <i/>
      <sz val="11"/>
      <color rgb="FF000000"/>
      <name val="Arial"/>
      <family val="2"/>
    </font>
    <font>
      <sz val="11"/>
      <color rgb="FF808080"/>
      <name val="Arial"/>
      <family val="2"/>
    </font>
    <font>
      <i/>
      <sz val="11"/>
      <name val="Arial"/>
      <family val="2"/>
    </font>
    <font>
      <b/>
      <i/>
      <sz val="11"/>
      <name val="Arial"/>
      <family val="2"/>
    </font>
    <font>
      <u/>
      <sz val="11"/>
      <color indexed="12"/>
      <name val="Arial"/>
      <family val="2"/>
    </font>
    <font>
      <sz val="11"/>
      <color indexed="47"/>
      <name val="Arial"/>
      <family val="2"/>
    </font>
    <font>
      <sz val="11"/>
      <color theme="0"/>
      <name val="Arial"/>
      <family val="2"/>
    </font>
    <font>
      <b/>
      <sz val="14"/>
      <name val="Arial"/>
      <family val="2"/>
    </font>
    <font>
      <b/>
      <sz val="18"/>
      <name val="Arial"/>
      <family val="2"/>
    </font>
    <font>
      <sz val="18"/>
      <color theme="1"/>
      <name val="Arial"/>
      <family val="2"/>
    </font>
    <font>
      <b/>
      <u/>
      <sz val="11"/>
      <color indexed="12"/>
      <name val="Arial"/>
      <family val="2"/>
    </font>
    <font>
      <b/>
      <sz val="14"/>
      <color theme="1"/>
      <name val="Arial"/>
      <family val="2"/>
    </font>
    <font>
      <b/>
      <vertAlign val="subscript"/>
      <sz val="11"/>
      <color rgb="FF000000"/>
      <name val="Arial"/>
      <family val="2"/>
    </font>
    <font>
      <b/>
      <sz val="24"/>
      <color theme="1"/>
      <name val="Arial"/>
      <family val="2"/>
    </font>
    <font>
      <b/>
      <sz val="12"/>
      <color theme="1"/>
      <name val="Arial"/>
      <family val="2"/>
    </font>
    <font>
      <sz val="11"/>
      <color rgb="FF000000"/>
      <name val="Calibri"/>
      <family val="2"/>
    </font>
    <font>
      <sz val="8"/>
      <name val="Arial"/>
      <family val="2"/>
    </font>
    <font>
      <sz val="10"/>
      <color theme="1"/>
      <name val="Arial"/>
      <family val="2"/>
    </font>
    <font>
      <b/>
      <sz val="10"/>
      <color theme="1"/>
      <name val="Arial"/>
      <family val="2"/>
    </font>
    <font>
      <sz val="8"/>
      <color theme="1"/>
      <name val="Arial"/>
      <family val="2"/>
    </font>
    <font>
      <b/>
      <sz val="10"/>
      <color theme="0"/>
      <name val="Arial"/>
      <family val="2"/>
    </font>
    <font>
      <sz val="14"/>
      <color theme="1"/>
      <name val="Arial"/>
      <family val="2"/>
    </font>
    <font>
      <b/>
      <sz val="12"/>
      <color rgb="FFFF0000"/>
      <name val="Arial"/>
      <family val="2"/>
    </font>
    <font>
      <b/>
      <sz val="10"/>
      <name val="Arial"/>
      <family val="2"/>
    </font>
    <font>
      <sz val="11"/>
      <color rgb="FFFFC000"/>
      <name val="Arial"/>
      <family val="2"/>
    </font>
    <font>
      <b/>
      <sz val="11"/>
      <color rgb="FF0000FF"/>
      <name val="Arial"/>
      <family val="2"/>
    </font>
    <font>
      <b/>
      <i/>
      <sz val="11"/>
      <color rgb="FF0000FF"/>
      <name val="Arial"/>
      <family val="2"/>
    </font>
    <font>
      <sz val="11"/>
      <color theme="0" tint="-0.14999847407452621"/>
      <name val="Arial"/>
      <family val="2"/>
    </font>
    <font>
      <sz val="11"/>
      <color rgb="FF92D050"/>
      <name val="Arial"/>
      <family val="2"/>
    </font>
    <font>
      <sz val="14"/>
      <color rgb="FFFF0000"/>
      <name val="Arial"/>
      <family val="2"/>
    </font>
    <font>
      <sz val="11"/>
      <color theme="0" tint="-0.249977111117893"/>
      <name val="Arial"/>
      <family val="2"/>
    </font>
    <font>
      <u/>
      <sz val="11"/>
      <name val="Arial"/>
      <family val="2"/>
    </font>
    <font>
      <sz val="11"/>
      <color theme="2"/>
      <name val="Arial"/>
      <family val="2"/>
    </font>
    <font>
      <sz val="10"/>
      <color rgb="FFFF0000"/>
      <name val="Arial"/>
      <family val="2"/>
    </font>
    <font>
      <sz val="11"/>
      <color rgb="FF0000FF"/>
      <name val="Arial"/>
      <family val="2"/>
    </font>
    <font>
      <sz val="11"/>
      <color theme="9"/>
      <name val="Arial"/>
      <family val="2"/>
    </font>
    <font>
      <sz val="9"/>
      <color theme="1"/>
      <name val="Segoe UI"/>
      <family val="2"/>
    </font>
    <font>
      <sz val="11"/>
      <color theme="1"/>
      <name val="Calibri"/>
      <family val="2"/>
    </font>
    <font>
      <sz val="9"/>
      <color indexed="81"/>
      <name val="Tahoma"/>
      <charset val="1"/>
    </font>
    <font>
      <b/>
      <sz val="9"/>
      <color indexed="81"/>
      <name val="Tahoma"/>
      <charset val="1"/>
    </font>
  </fonts>
  <fills count="57">
    <fill>
      <patternFill patternType="none"/>
    </fill>
    <fill>
      <patternFill patternType="gray125"/>
    </fill>
    <fill>
      <patternFill patternType="solid">
        <fgColor indexed="9"/>
        <bgColor indexed="64"/>
      </patternFill>
    </fill>
    <fill>
      <patternFill patternType="solid">
        <fgColor indexed="43"/>
        <bgColor indexed="64"/>
      </patternFill>
    </fill>
    <fill>
      <patternFill patternType="solid">
        <fgColor indexed="44"/>
        <bgColor indexed="64"/>
      </patternFill>
    </fill>
    <fill>
      <patternFill patternType="solid">
        <fgColor indexed="47"/>
        <bgColor indexed="64"/>
      </patternFill>
    </fill>
    <fill>
      <patternFill patternType="solid">
        <fgColor rgb="FFFFFFFF"/>
        <bgColor rgb="FF000000"/>
      </patternFill>
    </fill>
    <fill>
      <patternFill patternType="solid">
        <fgColor theme="0"/>
        <bgColor indexed="64"/>
      </patternFill>
    </fill>
    <fill>
      <patternFill patternType="solid">
        <fgColor theme="0" tint="-0.14999847407452621"/>
        <bgColor indexed="64"/>
      </patternFill>
    </fill>
    <fill>
      <patternFill patternType="solid">
        <fgColor rgb="FFFFFF99"/>
        <bgColor indexed="64"/>
      </patternFill>
    </fill>
    <fill>
      <patternFill patternType="solid">
        <fgColor rgb="FFFFFF99"/>
        <bgColor rgb="FF000000"/>
      </patternFill>
    </fill>
    <fill>
      <patternFill patternType="solid">
        <fgColor rgb="FFC0C0C0"/>
        <bgColor rgb="FF000000"/>
      </patternFill>
    </fill>
    <fill>
      <patternFill patternType="solid">
        <fgColor rgb="FFD9D9D9"/>
        <bgColor rgb="FF000000"/>
      </patternFill>
    </fill>
    <fill>
      <patternFill patternType="solid">
        <fgColor rgb="FF99CCFF"/>
        <bgColor rgb="FF000000"/>
      </patternFill>
    </fill>
    <fill>
      <patternFill patternType="solid">
        <fgColor theme="0" tint="-4.9989318521683403E-2"/>
        <bgColor indexed="64"/>
      </patternFill>
    </fill>
    <fill>
      <patternFill patternType="solid">
        <fgColor theme="0" tint="-0.249977111117893"/>
        <bgColor indexed="64"/>
      </patternFill>
    </fill>
    <fill>
      <patternFill patternType="solid">
        <fgColor theme="0" tint="-4.9989318521683403E-2"/>
        <bgColor rgb="FF000000"/>
      </patternFill>
    </fill>
    <fill>
      <patternFill patternType="solid">
        <fgColor theme="0" tint="-0.14999847407452621"/>
        <bgColor rgb="FF000000"/>
      </patternFill>
    </fill>
    <fill>
      <patternFill patternType="solid">
        <fgColor rgb="FFA5A5A5"/>
        <bgColor indexed="64"/>
      </patternFill>
    </fill>
    <fill>
      <patternFill patternType="solid">
        <fgColor rgb="FFFFFFFF"/>
        <bgColor indexed="64"/>
      </patternFill>
    </fill>
    <fill>
      <patternFill patternType="solid">
        <fgColor rgb="FFBFBFBF"/>
        <bgColor indexed="64"/>
      </patternFill>
    </fill>
    <fill>
      <patternFill patternType="solid">
        <fgColor rgb="FFAEAAAA"/>
        <bgColor indexed="64"/>
      </patternFill>
    </fill>
    <fill>
      <patternFill patternType="solid">
        <fgColor theme="0" tint="-0.249977111117893"/>
        <bgColor rgb="FF000000"/>
      </patternFill>
    </fill>
    <fill>
      <patternFill patternType="solid">
        <fgColor theme="9" tint="0.59999389629810485"/>
        <bgColor indexed="64"/>
      </patternFill>
    </fill>
    <fill>
      <patternFill patternType="solid">
        <fgColor theme="0" tint="-0.34998626667073579"/>
        <bgColor indexed="64"/>
      </patternFill>
    </fill>
    <fill>
      <patternFill patternType="solid">
        <fgColor rgb="FFD9D9D9"/>
        <bgColor indexed="64"/>
      </patternFill>
    </fill>
    <fill>
      <patternFill patternType="solid">
        <fgColor rgb="FFBFBFBF"/>
        <bgColor rgb="FF000000"/>
      </patternFill>
    </fill>
    <fill>
      <patternFill patternType="solid">
        <fgColor theme="4" tint="0.59999389629810485"/>
        <bgColor indexed="64"/>
      </patternFill>
    </fill>
    <fill>
      <patternFill patternType="solid">
        <fgColor theme="7"/>
        <bgColor indexed="64"/>
      </patternFill>
    </fill>
    <fill>
      <patternFill patternType="solid">
        <fgColor theme="7" tint="0.39997558519241921"/>
        <bgColor indexed="64"/>
      </patternFill>
    </fill>
    <fill>
      <patternFill patternType="solid">
        <fgColor theme="9"/>
        <bgColor indexed="64"/>
      </patternFill>
    </fill>
    <fill>
      <patternFill patternType="solid">
        <fgColor theme="9" tint="0.39997558519241921"/>
        <bgColor indexed="64"/>
      </patternFill>
    </fill>
    <fill>
      <patternFill patternType="solid">
        <fgColor theme="8"/>
        <bgColor indexed="64"/>
      </patternFill>
    </fill>
    <fill>
      <patternFill patternType="solid">
        <fgColor theme="4"/>
        <bgColor indexed="64"/>
      </patternFill>
    </fill>
    <fill>
      <patternFill patternType="solid">
        <fgColor theme="5"/>
        <bgColor indexed="64"/>
      </patternFill>
    </fill>
    <fill>
      <patternFill patternType="solid">
        <fgColor theme="7" tint="0.39997558519241921"/>
        <bgColor rgb="FF000000"/>
      </patternFill>
    </fill>
    <fill>
      <patternFill patternType="solid">
        <fgColor theme="5" tint="0.39997558519241921"/>
        <bgColor indexed="64"/>
      </patternFill>
    </fill>
    <fill>
      <patternFill patternType="solid">
        <fgColor theme="7" tint="0.59999389629810485"/>
        <bgColor rgb="FF000000"/>
      </patternFill>
    </fill>
    <fill>
      <patternFill patternType="solid">
        <fgColor theme="7" tint="0.59999389629810485"/>
        <bgColor indexed="64"/>
      </patternFill>
    </fill>
    <fill>
      <patternFill patternType="solid">
        <fgColor rgb="FFCCFFCC"/>
        <bgColor indexed="64"/>
      </patternFill>
    </fill>
    <fill>
      <patternFill patternType="solid">
        <fgColor theme="5" tint="0.59999389629810485"/>
        <bgColor indexed="64"/>
      </patternFill>
    </fill>
    <fill>
      <patternFill patternType="solid">
        <fgColor theme="7" tint="0.79998168889431442"/>
        <bgColor indexed="64"/>
      </patternFill>
    </fill>
    <fill>
      <patternFill patternType="solid">
        <fgColor theme="8" tint="0.39997558519241921"/>
        <bgColor indexed="64"/>
      </patternFill>
    </fill>
    <fill>
      <patternFill patternType="solid">
        <fgColor theme="8" tint="0.59999389629810485"/>
        <bgColor indexed="64"/>
      </patternFill>
    </fill>
    <fill>
      <patternFill patternType="solid">
        <fgColor theme="4" tint="0.39997558519241921"/>
        <bgColor indexed="64"/>
      </patternFill>
    </fill>
    <fill>
      <patternFill patternType="solid">
        <fgColor rgb="FF00B050"/>
        <bgColor rgb="FF000000"/>
      </patternFill>
    </fill>
    <fill>
      <patternFill patternType="solid">
        <fgColor rgb="FF92D050"/>
        <bgColor rgb="FF000000"/>
      </patternFill>
    </fill>
    <fill>
      <patternFill patternType="solid">
        <fgColor theme="4" tint="0.79998168889431442"/>
        <bgColor indexed="64"/>
      </patternFill>
    </fill>
    <fill>
      <patternFill patternType="solid">
        <fgColor rgb="FF002060"/>
        <bgColor indexed="64"/>
      </patternFill>
    </fill>
    <fill>
      <patternFill patternType="solid">
        <fgColor theme="5" tint="0.79998168889431442"/>
        <bgColor indexed="64"/>
      </patternFill>
    </fill>
    <fill>
      <patternFill patternType="solid">
        <fgColor theme="9" tint="0.79998168889431442"/>
        <bgColor indexed="64"/>
      </patternFill>
    </fill>
    <fill>
      <patternFill patternType="solid">
        <fgColor rgb="FFEFD5E8"/>
        <bgColor indexed="64"/>
      </patternFill>
    </fill>
    <fill>
      <patternFill patternType="solid">
        <fgColor rgb="FFC0C0C0"/>
        <bgColor indexed="64"/>
      </patternFill>
    </fill>
    <fill>
      <patternFill patternType="solid">
        <fgColor rgb="FFFFFF00"/>
        <bgColor indexed="64"/>
      </patternFill>
    </fill>
    <fill>
      <patternFill patternType="solid">
        <fgColor rgb="FFCCA0E0"/>
        <bgColor indexed="64"/>
      </patternFill>
    </fill>
    <fill>
      <patternFill patternType="solid">
        <fgColor rgb="FF92D050"/>
        <bgColor indexed="64"/>
      </patternFill>
    </fill>
    <fill>
      <patternFill patternType="solid">
        <fgColor theme="4" tint="0.59999389629810485"/>
        <bgColor indexed="65"/>
      </patternFill>
    </fill>
  </fills>
  <borders count="216">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right style="thin">
        <color indexed="64"/>
      </right>
      <top/>
      <bottom style="medium">
        <color indexed="64"/>
      </bottom>
      <diagonal/>
    </border>
    <border>
      <left style="medium">
        <color indexed="64"/>
      </left>
      <right style="thin">
        <color indexed="64"/>
      </right>
      <top style="thin">
        <color indexed="64"/>
      </top>
      <bottom/>
      <diagonal/>
    </border>
    <border>
      <left/>
      <right/>
      <top style="medium">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ck">
        <color rgb="FF000000"/>
      </left>
      <right style="thin">
        <color rgb="FF000000"/>
      </right>
      <top/>
      <bottom style="thin">
        <color rgb="FF000000"/>
      </bottom>
      <diagonal/>
    </border>
    <border>
      <left style="thick">
        <color rgb="FF000000"/>
      </left>
      <right style="thin">
        <color rgb="FF000000"/>
      </right>
      <top style="thin">
        <color rgb="FF000000"/>
      </top>
      <bottom style="thin">
        <color rgb="FF000000"/>
      </bottom>
      <diagonal/>
    </border>
    <border>
      <left style="thin">
        <color rgb="FF000000"/>
      </left>
      <right/>
      <top/>
      <bottom style="thin">
        <color rgb="FF000000"/>
      </bottom>
      <diagonal/>
    </border>
    <border>
      <left style="thin">
        <color rgb="FF000000"/>
      </left>
      <right/>
      <top style="thin">
        <color rgb="FF000000"/>
      </top>
      <bottom style="thin">
        <color rgb="FF000000"/>
      </bottom>
      <diagonal/>
    </border>
    <border>
      <left style="thin">
        <color indexed="64"/>
      </left>
      <right style="thin">
        <color indexed="64"/>
      </right>
      <top/>
      <bottom/>
      <diagonal/>
    </border>
    <border>
      <left style="thin">
        <color indexed="64"/>
      </left>
      <right/>
      <top/>
      <bottom style="thin">
        <color indexed="64"/>
      </bottom>
      <diagonal/>
    </border>
    <border>
      <left style="thin">
        <color indexed="64"/>
      </left>
      <right/>
      <top style="thin">
        <color indexed="64"/>
      </top>
      <bottom/>
      <diagonal/>
    </border>
    <border>
      <left style="thin">
        <color indexed="64"/>
      </left>
      <right/>
      <top style="medium">
        <color indexed="64"/>
      </top>
      <bottom style="thin">
        <color indexed="64"/>
      </bottom>
      <diagonal/>
    </border>
    <border>
      <left style="thin">
        <color indexed="64"/>
      </left>
      <right/>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rgb="FF000000"/>
      </left>
      <right style="thin">
        <color indexed="64"/>
      </right>
      <top style="medium">
        <color rgb="FF000000"/>
      </top>
      <bottom style="thin">
        <color indexed="64"/>
      </bottom>
      <diagonal/>
    </border>
    <border>
      <left style="thin">
        <color indexed="64"/>
      </left>
      <right style="thin">
        <color indexed="64"/>
      </right>
      <top style="medium">
        <color rgb="FF000000"/>
      </top>
      <bottom style="thin">
        <color indexed="64"/>
      </bottom>
      <diagonal/>
    </border>
    <border>
      <left style="thin">
        <color indexed="64"/>
      </left>
      <right style="medium">
        <color rgb="FF000000"/>
      </right>
      <top style="medium">
        <color rgb="FF000000"/>
      </top>
      <bottom style="thin">
        <color indexed="64"/>
      </bottom>
      <diagonal/>
    </border>
    <border>
      <left style="medium">
        <color rgb="FF000000"/>
      </left>
      <right style="thin">
        <color indexed="64"/>
      </right>
      <top style="thin">
        <color indexed="64"/>
      </top>
      <bottom style="thin">
        <color indexed="64"/>
      </bottom>
      <diagonal/>
    </border>
    <border>
      <left style="thin">
        <color indexed="64"/>
      </left>
      <right style="medium">
        <color rgb="FF000000"/>
      </right>
      <top style="thin">
        <color indexed="64"/>
      </top>
      <bottom style="thin">
        <color indexed="64"/>
      </bottom>
      <diagonal/>
    </border>
    <border>
      <left style="medium">
        <color rgb="FF000000"/>
      </left>
      <right style="thin">
        <color indexed="64"/>
      </right>
      <top style="thin">
        <color indexed="64"/>
      </top>
      <bottom style="medium">
        <color rgb="FF000000"/>
      </bottom>
      <diagonal/>
    </border>
    <border>
      <left style="thin">
        <color indexed="64"/>
      </left>
      <right style="thin">
        <color indexed="64"/>
      </right>
      <top style="thin">
        <color indexed="64"/>
      </top>
      <bottom style="medium">
        <color rgb="FF000000"/>
      </bottom>
      <diagonal/>
    </border>
    <border>
      <left style="thin">
        <color indexed="64"/>
      </left>
      <right style="medium">
        <color rgb="FF000000"/>
      </right>
      <top style="thin">
        <color indexed="64"/>
      </top>
      <bottom style="medium">
        <color rgb="FF000000"/>
      </bottom>
      <diagonal/>
    </border>
    <border>
      <left style="thin">
        <color indexed="64"/>
      </left>
      <right style="medium">
        <color indexed="64"/>
      </right>
      <top/>
      <bottom/>
      <diagonal/>
    </border>
    <border>
      <left style="medium">
        <color indexed="64"/>
      </left>
      <right style="thin">
        <color indexed="64"/>
      </right>
      <top/>
      <bottom/>
      <diagonal/>
    </border>
    <border>
      <left style="thin">
        <color indexed="64"/>
      </left>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bottom style="medium">
        <color indexed="64"/>
      </bottom>
      <diagonal/>
    </border>
    <border>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style="thin">
        <color rgb="FF000000"/>
      </left>
      <right style="medium">
        <color indexed="64"/>
      </right>
      <top style="thin">
        <color rgb="FF000000"/>
      </top>
      <bottom style="thin">
        <color rgb="FF000000"/>
      </bottom>
      <diagonal/>
    </border>
    <border>
      <left style="thin">
        <color rgb="FF000000"/>
      </left>
      <right style="medium">
        <color indexed="64"/>
      </right>
      <top style="thin">
        <color rgb="FF000000"/>
      </top>
      <bottom/>
      <diagonal/>
    </border>
    <border>
      <left style="thin">
        <color rgb="FF000000"/>
      </left>
      <right style="medium">
        <color indexed="64"/>
      </right>
      <top style="thin">
        <color rgb="FF000000"/>
      </top>
      <bottom style="medium">
        <color indexed="64"/>
      </bottom>
      <diagonal/>
    </border>
    <border>
      <left/>
      <right style="thin">
        <color indexed="64"/>
      </right>
      <top style="medium">
        <color indexed="64"/>
      </top>
      <bottom style="medium">
        <color rgb="FF000000"/>
      </bottom>
      <diagonal/>
    </border>
    <border>
      <left/>
      <right/>
      <top style="medium">
        <color indexed="64"/>
      </top>
      <bottom style="medium">
        <color rgb="FF000000"/>
      </bottom>
      <diagonal/>
    </border>
    <border>
      <left style="thick">
        <color rgb="FF000000"/>
      </left>
      <right style="thin">
        <color indexed="64"/>
      </right>
      <top style="medium">
        <color indexed="64"/>
      </top>
      <bottom style="medium">
        <color rgb="FF000000"/>
      </bottom>
      <diagonal/>
    </border>
    <border>
      <left style="medium">
        <color indexed="64"/>
      </left>
      <right style="thin">
        <color rgb="FF000000"/>
      </right>
      <top/>
      <bottom style="thin">
        <color rgb="FF000000"/>
      </bottom>
      <diagonal/>
    </border>
    <border>
      <left style="thin">
        <color rgb="FF000000"/>
      </left>
      <right style="medium">
        <color indexed="64"/>
      </right>
      <top/>
      <bottom style="thin">
        <color rgb="FF000000"/>
      </bottom>
      <diagonal/>
    </border>
    <border>
      <left style="medium">
        <color indexed="64"/>
      </left>
      <right style="thin">
        <color rgb="FF000000"/>
      </right>
      <top style="thin">
        <color rgb="FF000000"/>
      </top>
      <bottom style="thin">
        <color rgb="FF000000"/>
      </bottom>
      <diagonal/>
    </border>
    <border>
      <left style="medium">
        <color indexed="64"/>
      </left>
      <right style="thin">
        <color rgb="FF000000"/>
      </right>
      <top style="thin">
        <color rgb="FF000000"/>
      </top>
      <bottom style="medium">
        <color indexed="64"/>
      </bottom>
      <diagonal/>
    </border>
    <border>
      <left/>
      <right style="thin">
        <color indexed="64"/>
      </right>
      <top style="thin">
        <color rgb="FF000000"/>
      </top>
      <bottom style="medium">
        <color indexed="64"/>
      </bottom>
      <diagonal/>
    </border>
    <border>
      <left/>
      <right/>
      <top style="thin">
        <color rgb="FF000000"/>
      </top>
      <bottom style="medium">
        <color indexed="64"/>
      </bottom>
      <diagonal/>
    </border>
    <border>
      <left style="thick">
        <color rgb="FF000000"/>
      </left>
      <right style="thin">
        <color indexed="64"/>
      </right>
      <top style="thin">
        <color rgb="FF000000"/>
      </top>
      <bottom style="medium">
        <color indexed="64"/>
      </bottom>
      <diagonal/>
    </border>
    <border>
      <left style="thin">
        <color rgb="FF000000"/>
      </left>
      <right style="thin">
        <color indexed="64"/>
      </right>
      <top style="thin">
        <color rgb="FF000000"/>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thin">
        <color rgb="FF000000"/>
      </left>
      <right/>
      <top style="medium">
        <color indexed="64"/>
      </top>
      <bottom style="medium">
        <color indexed="64"/>
      </bottom>
      <diagonal/>
    </border>
    <border>
      <left style="thin">
        <color rgb="FF000000"/>
      </left>
      <right style="thin">
        <color rgb="FF000000"/>
      </right>
      <top/>
      <bottom style="medium">
        <color indexed="64"/>
      </bottom>
      <diagonal/>
    </border>
    <border>
      <left style="thin">
        <color rgb="FF000000"/>
      </left>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thin">
        <color rgb="FF000000"/>
      </top>
      <bottom style="thin">
        <color rgb="FF000000"/>
      </bottom>
      <diagonal/>
    </border>
    <border>
      <left style="medium">
        <color indexed="64"/>
      </left>
      <right/>
      <top style="thin">
        <color rgb="FF000000"/>
      </top>
      <bottom style="medium">
        <color indexed="64"/>
      </bottom>
      <diagonal/>
    </border>
    <border>
      <left style="thin">
        <color rgb="FF000000"/>
      </left>
      <right/>
      <top style="thin">
        <color rgb="FF000000"/>
      </top>
      <bottom style="medium">
        <color indexed="64"/>
      </bottom>
      <diagonal/>
    </border>
    <border>
      <left style="thin">
        <color rgb="FF000000"/>
      </left>
      <right style="thin">
        <color rgb="FF000000"/>
      </right>
      <top style="thin">
        <color rgb="FF000000"/>
      </top>
      <bottom style="medium">
        <color indexed="64"/>
      </bottom>
      <diagonal/>
    </border>
    <border>
      <left style="medium">
        <color indexed="64"/>
      </left>
      <right/>
      <top/>
      <bottom style="thin">
        <color rgb="FF000000"/>
      </bottom>
      <diagonal/>
    </border>
    <border>
      <left style="medium">
        <color indexed="64"/>
      </left>
      <right style="medium">
        <color indexed="64"/>
      </right>
      <top/>
      <bottom style="thin">
        <color rgb="FF000000"/>
      </bottom>
      <diagonal/>
    </border>
    <border>
      <left style="medium">
        <color indexed="64"/>
      </left>
      <right style="medium">
        <color indexed="64"/>
      </right>
      <top style="thin">
        <color rgb="FF000000"/>
      </top>
      <bottom style="thin">
        <color rgb="FF000000"/>
      </bottom>
      <diagonal/>
    </border>
    <border>
      <left style="medium">
        <color indexed="64"/>
      </left>
      <right style="medium">
        <color indexed="64"/>
      </right>
      <top style="thin">
        <color rgb="FF000000"/>
      </top>
      <bottom style="medium">
        <color indexed="64"/>
      </bottom>
      <diagonal/>
    </border>
    <border>
      <left style="medium">
        <color indexed="64"/>
      </left>
      <right style="medium">
        <color indexed="64"/>
      </right>
      <top/>
      <bottom/>
      <diagonal/>
    </border>
    <border>
      <left style="medium">
        <color indexed="64"/>
      </left>
      <right style="medium">
        <color indexed="64"/>
      </right>
      <top style="thin">
        <color indexed="64"/>
      </top>
      <bottom style="thin">
        <color indexed="64"/>
      </bottom>
      <diagonal/>
    </border>
    <border>
      <left style="thick">
        <color rgb="FF000000"/>
      </left>
      <right/>
      <top style="medium">
        <color rgb="FF000000"/>
      </top>
      <bottom style="medium">
        <color indexed="64"/>
      </bottom>
      <diagonal/>
    </border>
    <border>
      <left/>
      <right/>
      <top style="medium">
        <color rgb="FF000000"/>
      </top>
      <bottom style="medium">
        <color indexed="64"/>
      </bottom>
      <diagonal/>
    </border>
    <border>
      <left/>
      <right style="medium">
        <color rgb="FF000000"/>
      </right>
      <top style="medium">
        <color rgb="FF000000"/>
      </top>
      <bottom style="medium">
        <color indexed="64"/>
      </bottom>
      <diagonal/>
    </border>
    <border>
      <left style="medium">
        <color indexed="64"/>
      </left>
      <right/>
      <top style="thin">
        <color rgb="FF000000"/>
      </top>
      <bottom/>
      <diagonal/>
    </border>
    <border>
      <left style="medium">
        <color indexed="64"/>
      </left>
      <right style="thin">
        <color rgb="FF000000"/>
      </right>
      <top style="thin">
        <color rgb="FF000000"/>
      </top>
      <bottom/>
      <diagonal/>
    </border>
    <border>
      <left style="medium">
        <color indexed="64"/>
      </left>
      <right style="medium">
        <color indexed="64"/>
      </right>
      <top style="thin">
        <color rgb="FF000000"/>
      </top>
      <bottom/>
      <diagonal/>
    </border>
    <border>
      <left style="thin">
        <color rgb="FF000000"/>
      </left>
      <right style="thin">
        <color indexed="64"/>
      </right>
      <top style="medium">
        <color indexed="64"/>
      </top>
      <bottom/>
      <diagonal/>
    </border>
    <border>
      <left/>
      <right style="thin">
        <color rgb="FF000000"/>
      </right>
      <top style="thin">
        <color rgb="FF000000"/>
      </top>
      <bottom style="thin">
        <color rgb="FF000000"/>
      </bottom>
      <diagonal/>
    </border>
    <border>
      <left style="thick">
        <color rgb="FF000000"/>
      </left>
      <right style="thin">
        <color indexed="64"/>
      </right>
      <top style="medium">
        <color indexed="64"/>
      </top>
      <bottom/>
      <diagonal/>
    </border>
    <border>
      <left/>
      <right/>
      <top style="thin">
        <color indexed="64"/>
      </top>
      <bottom/>
      <diagonal/>
    </border>
    <border>
      <left/>
      <right style="thin">
        <color rgb="FF000000"/>
      </right>
      <top style="thin">
        <color rgb="FF000000"/>
      </top>
      <bottom/>
      <diagonal/>
    </border>
    <border>
      <left style="thick">
        <color rgb="FF000000"/>
      </left>
      <right style="thin">
        <color rgb="FF000000"/>
      </right>
      <top style="thin">
        <color rgb="FF000000"/>
      </top>
      <bottom/>
      <diagonal/>
    </border>
    <border>
      <left/>
      <right/>
      <top style="thick">
        <color rgb="FF000000"/>
      </top>
      <bottom/>
      <diagonal/>
    </border>
    <border>
      <left style="thin">
        <color rgb="FF000000"/>
      </left>
      <right style="thick">
        <color rgb="FF000000"/>
      </right>
      <top style="medium">
        <color rgb="FF000000"/>
      </top>
      <bottom style="thin">
        <color rgb="FF000000"/>
      </bottom>
      <diagonal/>
    </border>
    <border>
      <left style="thin">
        <color rgb="FF000000"/>
      </left>
      <right style="thick">
        <color rgb="FF000000"/>
      </right>
      <top style="thin">
        <color rgb="FF000000"/>
      </top>
      <bottom style="thin">
        <color rgb="FF000000"/>
      </bottom>
      <diagonal/>
    </border>
    <border>
      <left style="thin">
        <color rgb="FF000000"/>
      </left>
      <right style="thick">
        <color rgb="FF000000"/>
      </right>
      <top style="thin">
        <color rgb="FF000000"/>
      </top>
      <bottom/>
      <diagonal/>
    </border>
    <border>
      <left/>
      <right style="thin">
        <color rgb="FF000000"/>
      </right>
      <top style="medium">
        <color indexed="64"/>
      </top>
      <bottom style="medium">
        <color indexed="64"/>
      </bottom>
      <diagonal/>
    </border>
    <border>
      <left style="thin">
        <color rgb="FF000000"/>
      </left>
      <right style="thin">
        <color rgb="FF000000"/>
      </right>
      <top/>
      <bottom style="medium">
        <color rgb="FF000000"/>
      </bottom>
      <diagonal/>
    </border>
    <border>
      <left style="thin">
        <color rgb="FF000000"/>
      </left>
      <right/>
      <top/>
      <bottom style="medium">
        <color rgb="FF000000"/>
      </bottom>
      <diagonal/>
    </border>
    <border>
      <left style="medium">
        <color indexed="64"/>
      </left>
      <right/>
      <top style="medium">
        <color indexed="64"/>
      </top>
      <bottom style="thin">
        <color rgb="FF000000"/>
      </bottom>
      <diagonal/>
    </border>
    <border>
      <left style="thin">
        <color rgb="FF000000"/>
      </left>
      <right/>
      <top style="medium">
        <color indexed="64"/>
      </top>
      <bottom style="thin">
        <color rgb="FF000000"/>
      </bottom>
      <diagonal/>
    </border>
    <border>
      <left style="thin">
        <color rgb="FF000000"/>
      </left>
      <right style="medium">
        <color indexed="64"/>
      </right>
      <top style="medium">
        <color indexed="64"/>
      </top>
      <bottom style="thin">
        <color rgb="FF000000"/>
      </bottom>
      <diagonal/>
    </border>
    <border>
      <left style="medium">
        <color indexed="64"/>
      </left>
      <right style="thin">
        <color rgb="FF000000"/>
      </right>
      <top style="medium">
        <color indexed="64"/>
      </top>
      <bottom style="thin">
        <color rgb="FF000000"/>
      </bottom>
      <diagonal/>
    </border>
    <border>
      <left style="thin">
        <color rgb="FF000000"/>
      </left>
      <right style="thin">
        <color rgb="FF000000"/>
      </right>
      <top style="medium">
        <color indexed="64"/>
      </top>
      <bottom style="thin">
        <color rgb="FF000000"/>
      </bottom>
      <diagonal/>
    </border>
    <border>
      <left style="thick">
        <color rgb="FF000000"/>
      </left>
      <right style="thin">
        <color indexed="64"/>
      </right>
      <top style="thin">
        <color rgb="FF000000"/>
      </top>
      <bottom/>
      <diagonal/>
    </border>
    <border>
      <left style="thick">
        <color rgb="FF000000"/>
      </left>
      <right style="medium">
        <color indexed="64"/>
      </right>
      <top style="medium">
        <color indexed="64"/>
      </top>
      <bottom style="medium">
        <color indexed="64"/>
      </bottom>
      <diagonal/>
    </border>
    <border>
      <left/>
      <right style="thin">
        <color rgb="FF000000"/>
      </right>
      <top/>
      <bottom style="medium">
        <color rgb="FF000000"/>
      </bottom>
      <diagonal/>
    </border>
    <border>
      <left style="medium">
        <color indexed="64"/>
      </left>
      <right style="thin">
        <color indexed="64"/>
      </right>
      <top style="medium">
        <color indexed="64"/>
      </top>
      <bottom style="medium">
        <color rgb="FF000000"/>
      </bottom>
      <diagonal/>
    </border>
    <border>
      <left style="thin">
        <color rgb="FF000000"/>
      </left>
      <right style="thin">
        <color rgb="FF000000"/>
      </right>
      <top style="medium">
        <color indexed="64"/>
      </top>
      <bottom style="medium">
        <color rgb="FF000000"/>
      </bottom>
      <diagonal/>
    </border>
    <border>
      <left style="thin">
        <color rgb="FF000000"/>
      </left>
      <right style="medium">
        <color indexed="64"/>
      </right>
      <top style="medium">
        <color indexed="64"/>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style="medium">
        <color rgb="FF000000"/>
      </left>
      <right/>
      <top style="medium">
        <color rgb="FF000000"/>
      </top>
      <bottom style="thin">
        <color rgb="FF000000"/>
      </bottom>
      <diagonal/>
    </border>
    <border>
      <left style="thin">
        <color rgb="FF000000"/>
      </left>
      <right/>
      <top style="medium">
        <color rgb="FF000000"/>
      </top>
      <bottom style="thin">
        <color rgb="FF000000"/>
      </bottom>
      <diagonal/>
    </border>
    <border>
      <left style="thin">
        <color rgb="FF000000"/>
      </left>
      <right style="medium">
        <color indexed="64"/>
      </right>
      <top style="medium">
        <color rgb="FF000000"/>
      </top>
      <bottom style="thin">
        <color rgb="FF000000"/>
      </bottom>
      <diagonal/>
    </border>
    <border>
      <left style="medium">
        <color indexed="64"/>
      </left>
      <right style="thin">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style="medium">
        <color rgb="FF000000"/>
      </left>
      <right/>
      <top style="thin">
        <color rgb="FF000000"/>
      </top>
      <bottom style="thin">
        <color rgb="FF000000"/>
      </bottom>
      <diagonal/>
    </border>
    <border>
      <left style="medium">
        <color indexed="64"/>
      </left>
      <right style="medium">
        <color rgb="FF000000"/>
      </right>
      <top style="thin">
        <color rgb="FF000000"/>
      </top>
      <bottom style="thin">
        <color rgb="FF000000"/>
      </bottom>
      <diagonal/>
    </border>
    <border>
      <left style="medium">
        <color rgb="FF000000"/>
      </left>
      <right/>
      <top style="thin">
        <color rgb="FF000000"/>
      </top>
      <bottom/>
      <diagonal/>
    </border>
    <border>
      <left style="medium">
        <color indexed="64"/>
      </left>
      <right style="medium">
        <color rgb="FF000000"/>
      </right>
      <top style="thin">
        <color rgb="FF000000"/>
      </top>
      <bottom/>
      <diagonal/>
    </border>
    <border>
      <left style="medium">
        <color rgb="FF000000"/>
      </left>
      <right/>
      <top style="thin">
        <color rgb="FF000000"/>
      </top>
      <bottom style="medium">
        <color rgb="FF000000"/>
      </bottom>
      <diagonal/>
    </border>
    <border>
      <left style="thin">
        <color rgb="FF000000"/>
      </left>
      <right/>
      <top style="thin">
        <color rgb="FF000000"/>
      </top>
      <bottom style="medium">
        <color rgb="FF000000"/>
      </bottom>
      <diagonal/>
    </border>
    <border>
      <left style="thin">
        <color rgb="FF000000"/>
      </left>
      <right style="medium">
        <color indexed="64"/>
      </right>
      <top style="thin">
        <color rgb="FF000000"/>
      </top>
      <bottom style="medium">
        <color rgb="FF000000"/>
      </bottom>
      <diagonal/>
    </border>
    <border>
      <left style="medium">
        <color indexed="64"/>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medium">
        <color indexed="64"/>
      </left>
      <right style="medium">
        <color indexed="64"/>
      </right>
      <top style="thin">
        <color rgb="FF000000"/>
      </top>
      <bottom style="medium">
        <color rgb="FF000000"/>
      </bottom>
      <diagonal/>
    </border>
    <border>
      <left style="medium">
        <color indexed="64"/>
      </left>
      <right style="medium">
        <color rgb="FF000000"/>
      </right>
      <top style="thin">
        <color rgb="FF000000"/>
      </top>
      <bottom style="medium">
        <color rgb="FF000000"/>
      </bottom>
      <diagonal/>
    </border>
    <border>
      <left style="thin">
        <color rgb="FF000000"/>
      </left>
      <right/>
      <top style="medium">
        <color indexed="64"/>
      </top>
      <bottom/>
      <diagonal/>
    </border>
    <border>
      <left style="thin">
        <color rgb="FF000000"/>
      </left>
      <right style="medium">
        <color indexed="64"/>
      </right>
      <top style="medium">
        <color indexed="64"/>
      </top>
      <bottom/>
      <diagonal/>
    </border>
    <border>
      <left style="medium">
        <color indexed="64"/>
      </left>
      <right style="thin">
        <color rgb="FF000000"/>
      </right>
      <top style="medium">
        <color indexed="64"/>
      </top>
      <bottom/>
      <diagonal/>
    </border>
    <border>
      <left style="thin">
        <color rgb="FF000000"/>
      </left>
      <right style="thin">
        <color rgb="FF000000"/>
      </right>
      <top style="medium">
        <color indexed="64"/>
      </top>
      <bottom/>
      <diagonal/>
    </border>
    <border>
      <left/>
      <right style="thin">
        <color indexed="64"/>
      </right>
      <top/>
      <bottom style="medium">
        <color rgb="FF000000"/>
      </bottom>
      <diagonal/>
    </border>
    <border>
      <left style="thin">
        <color rgb="FF000000"/>
      </left>
      <right style="medium">
        <color indexed="64"/>
      </right>
      <top/>
      <bottom style="medium">
        <color rgb="FF000000"/>
      </bottom>
      <diagonal/>
    </border>
    <border>
      <left style="thin">
        <color indexed="64"/>
      </left>
      <right style="thick">
        <color rgb="FF000000"/>
      </right>
      <top style="medium">
        <color indexed="64"/>
      </top>
      <bottom style="medium">
        <color rgb="FF000000"/>
      </bottom>
      <diagonal/>
    </border>
    <border>
      <left style="thin">
        <color indexed="64"/>
      </left>
      <right style="medium">
        <color indexed="64"/>
      </right>
      <top style="medium">
        <color indexed="64"/>
      </top>
      <bottom style="medium">
        <color rgb="FF000000"/>
      </bottom>
      <diagonal/>
    </border>
    <border>
      <left style="thin">
        <color indexed="64"/>
      </left>
      <right/>
      <top style="medium">
        <color indexed="64"/>
      </top>
      <bottom/>
      <diagonal/>
    </border>
    <border>
      <left style="medium">
        <color indexed="64"/>
      </left>
      <right/>
      <top style="thin">
        <color indexed="64"/>
      </top>
      <bottom/>
      <diagonal/>
    </border>
    <border>
      <left/>
      <right/>
      <top style="thick">
        <color indexed="64"/>
      </top>
      <bottom/>
      <diagonal/>
    </border>
    <border>
      <left style="thin">
        <color rgb="FF000000"/>
      </left>
      <right style="thick">
        <color rgb="FF000000"/>
      </right>
      <top style="medium">
        <color indexed="64"/>
      </top>
      <bottom style="thin">
        <color rgb="FF000000"/>
      </bottom>
      <diagonal/>
    </border>
    <border>
      <left/>
      <right style="thin">
        <color rgb="FF000000"/>
      </right>
      <top style="medium">
        <color indexed="64"/>
      </top>
      <bottom style="thin">
        <color rgb="FF000000"/>
      </bottom>
      <diagonal/>
    </border>
    <border>
      <left style="thick">
        <color rgb="FF000000"/>
      </left>
      <right style="thin">
        <color rgb="FF000000"/>
      </right>
      <top style="medium">
        <color indexed="64"/>
      </top>
      <bottom style="thin">
        <color rgb="FF000000"/>
      </bottom>
      <diagonal/>
    </border>
    <border>
      <left style="medium">
        <color indexed="64"/>
      </left>
      <right style="medium">
        <color indexed="64"/>
      </right>
      <top style="medium">
        <color rgb="FF000000"/>
      </top>
      <bottom style="medium">
        <color indexed="64"/>
      </bottom>
      <diagonal/>
    </border>
    <border>
      <left style="thin">
        <color indexed="64"/>
      </left>
      <right style="thick">
        <color rgb="FF000000"/>
      </right>
      <top style="medium">
        <color indexed="64"/>
      </top>
      <bottom style="medium">
        <color indexed="64"/>
      </bottom>
      <diagonal/>
    </border>
    <border>
      <left style="thick">
        <color indexed="64"/>
      </left>
      <right style="thin">
        <color indexed="64"/>
      </right>
      <top style="medium">
        <color indexed="64"/>
      </top>
      <bottom style="thin">
        <color indexed="64"/>
      </bottom>
      <diagonal/>
    </border>
    <border>
      <left style="thick">
        <color indexed="64"/>
      </left>
      <right style="thin">
        <color indexed="64"/>
      </right>
      <top style="thin">
        <color indexed="64"/>
      </top>
      <bottom style="thin">
        <color indexed="64"/>
      </bottom>
      <diagonal/>
    </border>
    <border>
      <left style="thick">
        <color indexed="64"/>
      </left>
      <right style="thin">
        <color indexed="64"/>
      </right>
      <top style="thin">
        <color indexed="64"/>
      </top>
      <bottom style="thick">
        <color indexed="64"/>
      </bottom>
      <diagonal/>
    </border>
    <border>
      <left style="thin">
        <color rgb="FF000000"/>
      </left>
      <right style="thick">
        <color indexed="64"/>
      </right>
      <top style="thin">
        <color rgb="FF000000"/>
      </top>
      <bottom style="thin">
        <color rgb="FF000000"/>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top/>
      <bottom style="medium">
        <color indexed="64"/>
      </bottom>
      <diagonal/>
    </border>
    <border>
      <left/>
      <right style="thin">
        <color indexed="64"/>
      </right>
      <top style="thin">
        <color rgb="FF000000"/>
      </top>
      <bottom style="thin">
        <color indexed="64"/>
      </bottom>
      <diagonal/>
    </border>
    <border>
      <left style="thin">
        <color indexed="64"/>
      </left>
      <right style="thin">
        <color indexed="64"/>
      </right>
      <top style="thin">
        <color rgb="FF000000"/>
      </top>
      <bottom style="thin">
        <color indexed="64"/>
      </bottom>
      <diagonal/>
    </border>
    <border>
      <left style="thin">
        <color indexed="64"/>
      </left>
      <right style="medium">
        <color indexed="64"/>
      </right>
      <top style="thin">
        <color rgb="FF000000"/>
      </top>
      <bottom style="thin">
        <color indexed="64"/>
      </bottom>
      <diagonal/>
    </border>
    <border>
      <left style="medium">
        <color indexed="64"/>
      </left>
      <right style="thin">
        <color indexed="64"/>
      </right>
      <top style="medium">
        <color indexed="64"/>
      </top>
      <bottom/>
      <diagonal/>
    </border>
    <border>
      <left style="medium">
        <color rgb="FF000000"/>
      </left>
      <right/>
      <top style="medium">
        <color rgb="FF000000"/>
      </top>
      <bottom/>
      <diagonal/>
    </border>
    <border>
      <left style="thin">
        <color indexed="64"/>
      </left>
      <right/>
      <top style="medium">
        <color rgb="FF000000"/>
      </top>
      <bottom style="thin">
        <color indexed="64"/>
      </bottom>
      <diagonal/>
    </border>
    <border>
      <left style="thin">
        <color rgb="FF000000"/>
      </left>
      <right style="medium">
        <color rgb="FF000000"/>
      </right>
      <top style="medium">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indexed="64"/>
      </right>
      <top/>
      <bottom style="thin">
        <color indexed="64"/>
      </bottom>
      <diagonal/>
    </border>
    <border>
      <left style="medium">
        <color rgb="FF000000"/>
      </left>
      <right style="thin">
        <color rgb="FF000000"/>
      </right>
      <top style="thin">
        <color indexed="64"/>
      </top>
      <bottom style="medium">
        <color rgb="FF000000"/>
      </bottom>
      <diagonal/>
    </border>
    <border>
      <left style="thin">
        <color rgb="FF000000"/>
      </left>
      <right style="medium">
        <color rgb="FF000000"/>
      </right>
      <top/>
      <bottom style="medium">
        <color rgb="FF000000"/>
      </bottom>
      <diagonal/>
    </border>
    <border>
      <left/>
      <right style="thin">
        <color indexed="64"/>
      </right>
      <top style="thin">
        <color indexed="64"/>
      </top>
      <bottom style="thick">
        <color indexed="64"/>
      </bottom>
      <diagonal/>
    </border>
    <border>
      <left style="thick">
        <color indexed="64"/>
      </left>
      <right style="thin">
        <color indexed="64"/>
      </right>
      <top style="medium">
        <color indexed="64"/>
      </top>
      <bottom/>
      <diagonal/>
    </border>
    <border>
      <left style="medium">
        <color indexed="64"/>
      </left>
      <right/>
      <top style="thin">
        <color indexed="64"/>
      </top>
      <bottom style="medium">
        <color indexed="64"/>
      </bottom>
      <diagonal/>
    </border>
    <border>
      <left style="medium">
        <color indexed="64"/>
      </left>
      <right style="medium">
        <color indexed="64"/>
      </right>
      <top style="thin">
        <color indexed="64"/>
      </top>
      <bottom/>
      <diagonal/>
    </border>
    <border>
      <left/>
      <right style="thin">
        <color rgb="FF000000"/>
      </right>
      <top style="medium">
        <color indexed="64"/>
      </top>
      <bottom/>
      <diagonal/>
    </border>
    <border>
      <left/>
      <right style="thin">
        <color rgb="FF000000"/>
      </right>
      <top style="thin">
        <color rgb="FF000000"/>
      </top>
      <bottom style="medium">
        <color indexed="64"/>
      </bottom>
      <diagonal/>
    </border>
    <border>
      <left style="medium">
        <color indexed="64"/>
      </left>
      <right style="medium">
        <color indexed="64"/>
      </right>
      <top/>
      <bottom style="medium">
        <color indexed="64"/>
      </bottom>
      <diagonal/>
    </border>
    <border>
      <left/>
      <right/>
      <top/>
      <bottom style="medium">
        <color rgb="FF000000"/>
      </bottom>
      <diagonal/>
    </border>
    <border>
      <left/>
      <right style="medium">
        <color rgb="FF000000"/>
      </right>
      <top style="medium">
        <color rgb="FF000000"/>
      </top>
      <bottom style="medium">
        <color rgb="FF000000"/>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diagonal/>
    </border>
    <border>
      <left/>
      <right style="medium">
        <color rgb="FF000000"/>
      </right>
      <top/>
      <bottom/>
      <diagonal/>
    </border>
    <border>
      <left style="medium">
        <color rgb="FF000000"/>
      </left>
      <right/>
      <top/>
      <bottom style="medium">
        <color rgb="FF000000"/>
      </bottom>
      <diagonal/>
    </border>
    <border>
      <left/>
      <right style="medium">
        <color rgb="FF000000"/>
      </right>
      <top/>
      <bottom style="medium">
        <color rgb="FF000000"/>
      </bottom>
      <diagonal/>
    </border>
    <border>
      <left style="thin">
        <color rgb="FF000000"/>
      </left>
      <right style="thin">
        <color rgb="FF000000"/>
      </right>
      <top/>
      <bottom/>
      <diagonal/>
    </border>
    <border>
      <left style="thin">
        <color rgb="FF000000"/>
      </left>
      <right/>
      <top/>
      <bottom/>
      <diagonal/>
    </border>
    <border>
      <left style="thin">
        <color rgb="FF000000"/>
      </left>
      <right style="thin">
        <color rgb="FF000000"/>
      </right>
      <top style="thin">
        <color indexed="64"/>
      </top>
      <bottom style="thin">
        <color indexed="64"/>
      </bottom>
      <diagonal/>
    </border>
    <border>
      <left/>
      <right style="thin">
        <color rgb="FF000000"/>
      </right>
      <top style="thin">
        <color indexed="64"/>
      </top>
      <bottom style="thin">
        <color indexed="64"/>
      </bottom>
      <diagonal/>
    </border>
    <border>
      <left style="medium">
        <color indexed="64"/>
      </left>
      <right style="thin">
        <color rgb="FF000000"/>
      </right>
      <top/>
      <bottom/>
      <diagonal/>
    </border>
    <border>
      <left style="medium">
        <color indexed="64"/>
      </left>
      <right style="medium">
        <color rgb="FF000000"/>
      </right>
      <top/>
      <bottom/>
      <diagonal/>
    </border>
    <border>
      <left/>
      <right style="medium">
        <color indexed="64"/>
      </right>
      <top style="thin">
        <color rgb="FF000000"/>
      </top>
      <bottom style="thin">
        <color rgb="FF000000"/>
      </bottom>
      <diagonal/>
    </border>
    <border>
      <left style="medium">
        <color indexed="64"/>
      </left>
      <right style="thin">
        <color rgb="FF000000"/>
      </right>
      <top style="medium">
        <color rgb="FF000000"/>
      </top>
      <bottom/>
      <diagonal/>
    </border>
    <border>
      <left/>
      <right/>
      <top style="thin">
        <color indexed="64"/>
      </top>
      <bottom style="medium">
        <color indexed="64"/>
      </bottom>
      <diagonal/>
    </border>
    <border>
      <left style="thin">
        <color rgb="FF000000"/>
      </left>
      <right style="thin">
        <color rgb="FF000000"/>
      </right>
      <top/>
      <bottom style="thin">
        <color indexed="64"/>
      </bottom>
      <diagonal/>
    </border>
    <border>
      <left style="thin">
        <color rgb="FF000000"/>
      </left>
      <right/>
      <top/>
      <bottom style="thin">
        <color indexed="64"/>
      </bottom>
      <diagonal/>
    </border>
    <border>
      <left style="thin">
        <color rgb="FF000000"/>
      </left>
      <right style="medium">
        <color indexed="64"/>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s>
  <cellStyleXfs count="21">
    <xf numFmtId="0" fontId="0" fillId="0" borderId="0"/>
    <xf numFmtId="0" fontId="2" fillId="0" borderId="0"/>
    <xf numFmtId="0" fontId="3" fillId="0" borderId="0" applyNumberFormat="0" applyFill="0" applyBorder="0" applyAlignment="0" applyProtection="0">
      <alignment vertical="top"/>
      <protection locked="0"/>
    </xf>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0" fontId="10" fillId="0" borderId="0"/>
    <xf numFmtId="0" fontId="2" fillId="0" borderId="0"/>
    <xf numFmtId="0" fontId="11" fillId="0" borderId="0"/>
    <xf numFmtId="0" fontId="11" fillId="0" borderId="0"/>
    <xf numFmtId="0" fontId="10" fillId="0" borderId="0"/>
    <xf numFmtId="0" fontId="1" fillId="0" borderId="0"/>
    <xf numFmtId="0" fontId="2" fillId="0" borderId="0"/>
    <xf numFmtId="0" fontId="2" fillId="0" borderId="0"/>
    <xf numFmtId="44" fontId="10" fillId="0" borderId="0" applyFont="0" applyFill="0" applyBorder="0" applyAlignment="0" applyProtection="0"/>
    <xf numFmtId="43" fontId="10" fillId="0" borderId="0" applyFont="0" applyFill="0" applyBorder="0" applyAlignment="0" applyProtection="0"/>
    <xf numFmtId="9" fontId="10" fillId="0" borderId="0" applyFont="0" applyFill="0" applyBorder="0" applyAlignment="0" applyProtection="0"/>
    <xf numFmtId="0" fontId="35" fillId="56" borderId="0" applyNumberFormat="0" applyBorder="0" applyAlignment="0" applyProtection="0"/>
  </cellStyleXfs>
  <cellXfs count="1902">
    <xf numFmtId="0" fontId="0" fillId="0" borderId="0" xfId="0"/>
    <xf numFmtId="0" fontId="11" fillId="0" borderId="0" xfId="0" applyFont="1" applyAlignment="1">
      <alignment horizontal="left" vertical="center" wrapText="1"/>
    </xf>
    <xf numFmtId="0" fontId="5" fillId="0" borderId="0" xfId="1" applyFont="1" applyAlignment="1" applyProtection="1">
      <alignment horizontal="left" vertical="center" wrapText="1"/>
      <protection locked="0"/>
    </xf>
    <xf numFmtId="0" fontId="13" fillId="0" borderId="0" xfId="1" applyFont="1" applyAlignment="1" applyProtection="1">
      <alignment horizontal="left" vertical="center"/>
      <protection locked="0"/>
    </xf>
    <xf numFmtId="0" fontId="7" fillId="0" borderId="0" xfId="1" applyFont="1" applyAlignment="1" applyProtection="1">
      <alignment horizontal="left" vertical="center"/>
      <protection locked="0"/>
    </xf>
    <xf numFmtId="0" fontId="8" fillId="0" borderId="0" xfId="1" applyFont="1" applyAlignment="1" applyProtection="1">
      <alignment horizontal="left" vertical="center"/>
      <protection locked="0"/>
    </xf>
    <xf numFmtId="0" fontId="7" fillId="0" borderId="0" xfId="1" applyFont="1" applyAlignment="1" applyProtection="1">
      <alignment horizontal="left" vertical="center" wrapText="1"/>
      <protection locked="0"/>
    </xf>
    <xf numFmtId="0" fontId="11" fillId="0" borderId="0" xfId="0" applyFont="1" applyAlignment="1">
      <alignment horizontal="left" vertical="center"/>
    </xf>
    <xf numFmtId="0" fontId="9" fillId="0" borderId="0" xfId="1" applyFont="1" applyAlignment="1" applyProtection="1">
      <alignment horizontal="left" vertical="center"/>
      <protection locked="0"/>
    </xf>
    <xf numFmtId="0" fontId="5" fillId="0" borderId="0" xfId="1" applyFont="1" applyAlignment="1" applyProtection="1">
      <alignment horizontal="left" vertical="center"/>
      <protection locked="0"/>
    </xf>
    <xf numFmtId="0" fontId="9" fillId="0" borderId="0" xfId="1" applyFont="1" applyAlignment="1" applyProtection="1">
      <alignment horizontal="left" vertical="center" wrapText="1"/>
      <protection locked="0"/>
    </xf>
    <xf numFmtId="0" fontId="8" fillId="0" borderId="0" xfId="1" applyFont="1" applyAlignment="1" applyProtection="1">
      <alignment horizontal="left" vertical="center" wrapText="1"/>
      <protection locked="0"/>
    </xf>
    <xf numFmtId="1" fontId="9" fillId="0" borderId="0" xfId="1" applyNumberFormat="1" applyFont="1" applyAlignment="1">
      <alignment horizontal="left" vertical="center" wrapText="1"/>
    </xf>
    <xf numFmtId="49" fontId="5" fillId="0" borderId="6" xfId="1" applyNumberFormat="1" applyFont="1" applyBorder="1" applyAlignment="1" applyProtection="1">
      <alignment horizontal="left" vertical="center" wrapText="1"/>
      <protection locked="0"/>
    </xf>
    <xf numFmtId="2" fontId="5" fillId="0" borderId="6" xfId="1" applyNumberFormat="1" applyFont="1" applyBorder="1" applyAlignment="1" applyProtection="1">
      <alignment horizontal="left" vertical="center" wrapText="1"/>
      <protection locked="0"/>
    </xf>
    <xf numFmtId="165" fontId="9" fillId="0" borderId="0" xfId="1" applyNumberFormat="1" applyFont="1" applyAlignment="1" applyProtection="1">
      <alignment horizontal="left" vertical="center"/>
      <protection locked="0"/>
    </xf>
    <xf numFmtId="0" fontId="7" fillId="0" borderId="6" xfId="1" applyFont="1" applyBorder="1" applyAlignment="1">
      <alignment horizontal="left" vertical="center" wrapText="1"/>
    </xf>
    <xf numFmtId="2" fontId="9" fillId="0" borderId="0" xfId="1" applyNumberFormat="1" applyFont="1" applyAlignment="1" applyProtection="1">
      <alignment horizontal="left" vertical="center"/>
      <protection locked="0"/>
    </xf>
    <xf numFmtId="165" fontId="5" fillId="0" borderId="8" xfId="1" applyNumberFormat="1" applyFont="1" applyBorder="1" applyAlignment="1" applyProtection="1">
      <alignment horizontal="left" vertical="center" wrapText="1"/>
      <protection locked="0"/>
    </xf>
    <xf numFmtId="0" fontId="12" fillId="0" borderId="0" xfId="0" applyFont="1" applyAlignment="1">
      <alignment horizontal="left" vertical="center" wrapText="1"/>
    </xf>
    <xf numFmtId="2" fontId="5" fillId="0" borderId="0" xfId="1" applyNumberFormat="1" applyFont="1" applyAlignment="1" applyProtection="1">
      <alignment horizontal="left" vertical="center" wrapText="1"/>
      <protection locked="0"/>
    </xf>
    <xf numFmtId="0" fontId="5" fillId="0" borderId="23" xfId="1" applyFont="1" applyBorder="1" applyAlignment="1">
      <alignment horizontal="left" vertical="center" wrapText="1"/>
    </xf>
    <xf numFmtId="0" fontId="7" fillId="0" borderId="34" xfId="1" applyFont="1" applyBorder="1" applyAlignment="1">
      <alignment horizontal="left" vertical="center" wrapText="1"/>
    </xf>
    <xf numFmtId="0" fontId="5" fillId="0" borderId="15" xfId="1" applyFont="1" applyBorder="1" applyAlignment="1">
      <alignment horizontal="left" vertical="center" wrapText="1"/>
    </xf>
    <xf numFmtId="49" fontId="5" fillId="0" borderId="25" xfId="1" applyNumberFormat="1" applyFont="1" applyBorder="1" applyAlignment="1" applyProtection="1">
      <alignment horizontal="left" vertical="center" wrapText="1"/>
      <protection locked="0"/>
    </xf>
    <xf numFmtId="2" fontId="5" fillId="0" borderId="25" xfId="1" applyNumberFormat="1" applyFont="1" applyBorder="1" applyAlignment="1" applyProtection="1">
      <alignment horizontal="left" vertical="center" wrapText="1"/>
      <protection locked="0"/>
    </xf>
    <xf numFmtId="49" fontId="5" fillId="0" borderId="10" xfId="1" applyNumberFormat="1" applyFont="1" applyBorder="1" applyAlignment="1" applyProtection="1">
      <alignment horizontal="left" vertical="center" wrapText="1"/>
      <protection locked="0"/>
    </xf>
    <xf numFmtId="2" fontId="5" fillId="0" borderId="10" xfId="1" applyNumberFormat="1" applyFont="1" applyBorder="1" applyAlignment="1" applyProtection="1">
      <alignment horizontal="left" vertical="center" wrapText="1"/>
      <protection locked="0"/>
    </xf>
    <xf numFmtId="2" fontId="5" fillId="0" borderId="10" xfId="1" applyNumberFormat="1" applyFont="1" applyBorder="1" applyAlignment="1" applyProtection="1">
      <alignment horizontal="left" vertical="center"/>
      <protection locked="0"/>
    </xf>
    <xf numFmtId="0" fontId="7" fillId="0" borderId="10" xfId="1" applyFont="1" applyBorder="1" applyAlignment="1">
      <alignment horizontal="left" vertical="center" wrapText="1"/>
    </xf>
    <xf numFmtId="165" fontId="5" fillId="0" borderId="0" xfId="1" applyNumberFormat="1" applyFont="1" applyAlignment="1" applyProtection="1">
      <alignment horizontal="left" vertical="center" wrapText="1"/>
      <protection locked="0"/>
    </xf>
    <xf numFmtId="49" fontId="5" fillId="0" borderId="0" xfId="1" applyNumberFormat="1" applyFont="1" applyAlignment="1" applyProtection="1">
      <alignment horizontal="left" vertical="center" wrapText="1"/>
      <protection locked="0"/>
    </xf>
    <xf numFmtId="0" fontId="5" fillId="0" borderId="0" xfId="4" applyFont="1" applyAlignment="1" applyProtection="1">
      <alignment horizontal="left" vertical="center"/>
      <protection locked="0"/>
    </xf>
    <xf numFmtId="0" fontId="5" fillId="0" borderId="0" xfId="5" applyFont="1" applyAlignment="1" applyProtection="1">
      <alignment horizontal="left" vertical="center"/>
      <protection locked="0"/>
    </xf>
    <xf numFmtId="2" fontId="5" fillId="0" borderId="0" xfId="6" applyNumberFormat="1" applyFont="1" applyAlignment="1">
      <alignment horizontal="left" vertical="center"/>
    </xf>
    <xf numFmtId="2" fontId="5" fillId="0" borderId="0" xfId="7" applyNumberFormat="1" applyFont="1" applyAlignment="1" applyProtection="1">
      <alignment horizontal="left" vertical="center"/>
      <protection locked="0"/>
    </xf>
    <xf numFmtId="0" fontId="5" fillId="0" borderId="34" xfId="1" applyFont="1" applyBorder="1" applyAlignment="1" applyProtection="1">
      <alignment horizontal="left" vertical="center" wrapText="1"/>
      <protection locked="0"/>
    </xf>
    <xf numFmtId="0" fontId="5" fillId="0" borderId="34" xfId="1" applyFont="1" applyBorder="1" applyAlignment="1" applyProtection="1">
      <alignment horizontal="left" vertical="center"/>
      <protection locked="0"/>
    </xf>
    <xf numFmtId="0" fontId="5" fillId="0" borderId="49" xfId="1" applyFont="1" applyBorder="1" applyAlignment="1" applyProtection="1">
      <alignment horizontal="left" vertical="center"/>
      <protection locked="0"/>
    </xf>
    <xf numFmtId="2" fontId="5" fillId="0" borderId="0" xfId="1" applyNumberFormat="1" applyFont="1" applyAlignment="1" applyProtection="1">
      <alignment horizontal="left" vertical="center"/>
      <protection locked="0"/>
    </xf>
    <xf numFmtId="165" fontId="5" fillId="0" borderId="31" xfId="1" applyNumberFormat="1" applyFont="1" applyBorder="1" applyAlignment="1" applyProtection="1">
      <alignment horizontal="left" vertical="center" wrapText="1"/>
      <protection locked="0"/>
    </xf>
    <xf numFmtId="0" fontId="11" fillId="0" borderId="25" xfId="0" applyFont="1" applyBorder="1" applyAlignment="1">
      <alignment horizontal="left" vertical="center"/>
    </xf>
    <xf numFmtId="0" fontId="11" fillId="0" borderId="49" xfId="0" applyFont="1" applyBorder="1" applyAlignment="1">
      <alignment horizontal="left" vertical="center"/>
    </xf>
    <xf numFmtId="1" fontId="7" fillId="0" borderId="9" xfId="1" applyNumberFormat="1" applyFont="1" applyBorder="1" applyAlignment="1" applyProtection="1">
      <alignment horizontal="left" vertical="center" wrapText="1"/>
      <protection locked="0"/>
    </xf>
    <xf numFmtId="1" fontId="7" fillId="0" borderId="10" xfId="1" applyNumberFormat="1" applyFont="1" applyBorder="1" applyAlignment="1" applyProtection="1">
      <alignment horizontal="left" vertical="center" wrapText="1"/>
      <protection locked="0"/>
    </xf>
    <xf numFmtId="0" fontId="5" fillId="14" borderId="6" xfId="10" applyFont="1" applyFill="1" applyBorder="1" applyAlignment="1" applyProtection="1">
      <alignment horizontal="left" vertical="center" wrapText="1" shrinkToFit="1"/>
      <protection locked="0"/>
    </xf>
    <xf numFmtId="0" fontId="5" fillId="14" borderId="27" xfId="10" applyFont="1" applyFill="1" applyBorder="1" applyAlignment="1" applyProtection="1">
      <alignment horizontal="left" vertical="center" wrapText="1" shrinkToFit="1"/>
      <protection locked="0"/>
    </xf>
    <xf numFmtId="0" fontId="11" fillId="15" borderId="21" xfId="0" applyFont="1" applyFill="1" applyBorder="1" applyAlignment="1">
      <alignment vertical="center" wrapText="1"/>
    </xf>
    <xf numFmtId="0" fontId="11" fillId="15" borderId="26" xfId="0" applyFont="1" applyFill="1" applyBorder="1" applyAlignment="1">
      <alignment vertical="center" wrapText="1"/>
    </xf>
    <xf numFmtId="49" fontId="5" fillId="14" borderId="6" xfId="10" applyNumberFormat="1" applyFont="1" applyFill="1" applyBorder="1" applyAlignment="1" applyProtection="1">
      <alignment horizontal="left" vertical="center" wrapText="1" shrinkToFit="1"/>
      <protection locked="0"/>
    </xf>
    <xf numFmtId="0" fontId="5" fillId="14" borderId="6" xfId="10" applyFont="1" applyFill="1" applyBorder="1" applyAlignment="1" applyProtection="1">
      <alignment horizontal="left" vertical="center" shrinkToFit="1"/>
      <protection locked="0"/>
    </xf>
    <xf numFmtId="49" fontId="5" fillId="14" borderId="27" xfId="10" applyNumberFormat="1" applyFont="1" applyFill="1" applyBorder="1" applyAlignment="1" applyProtection="1">
      <alignment horizontal="left" vertical="center" wrapText="1" shrinkToFit="1"/>
      <protection locked="0"/>
    </xf>
    <xf numFmtId="0" fontId="5" fillId="14" borderId="27" xfId="10" applyFont="1" applyFill="1" applyBorder="1" applyAlignment="1" applyProtection="1">
      <alignment horizontal="left" vertical="center" shrinkToFit="1"/>
      <protection locked="0"/>
    </xf>
    <xf numFmtId="49" fontId="5" fillId="0" borderId="0" xfId="10" applyNumberFormat="1" applyFont="1" applyAlignment="1" applyProtection="1">
      <alignment horizontal="left" vertical="center" wrapText="1" shrinkToFit="1"/>
      <protection locked="0"/>
    </xf>
    <xf numFmtId="49" fontId="5" fillId="0" borderId="9" xfId="1" applyNumberFormat="1" applyFont="1" applyBorder="1" applyAlignment="1" applyProtection="1">
      <alignment horizontal="left" vertical="center" wrapText="1"/>
      <protection locked="0"/>
    </xf>
    <xf numFmtId="0" fontId="5" fillId="0" borderId="0" xfId="1" applyFont="1" applyAlignment="1">
      <alignment horizontal="left" vertical="center" wrapText="1"/>
    </xf>
    <xf numFmtId="0" fontId="7" fillId="0" borderId="0" xfId="1" applyFont="1" applyAlignment="1">
      <alignment horizontal="left" vertical="center" wrapText="1"/>
    </xf>
    <xf numFmtId="0" fontId="11" fillId="0" borderId="0" xfId="0" applyFont="1" applyAlignment="1">
      <alignment vertical="center"/>
    </xf>
    <xf numFmtId="2" fontId="11" fillId="0" borderId="90" xfId="0" applyNumberFormat="1" applyFont="1" applyBorder="1" applyAlignment="1">
      <alignment horizontal="left" vertical="center" wrapText="1"/>
    </xf>
    <xf numFmtId="0" fontId="11" fillId="0" borderId="90" xfId="0" applyFont="1" applyBorder="1" applyAlignment="1">
      <alignment horizontal="left" vertical="center" wrapText="1"/>
    </xf>
    <xf numFmtId="0" fontId="17" fillId="20" borderId="35" xfId="0" applyFont="1" applyFill="1" applyBorder="1" applyAlignment="1">
      <alignment horizontal="left" vertical="center" wrapText="1"/>
    </xf>
    <xf numFmtId="0" fontId="11" fillId="18" borderId="35" xfId="0" applyFont="1" applyFill="1" applyBorder="1" applyAlignment="1">
      <alignment horizontal="left" vertical="center"/>
    </xf>
    <xf numFmtId="0" fontId="17" fillId="0" borderId="0" xfId="0" applyFont="1" applyAlignment="1">
      <alignment horizontal="left" vertical="center" wrapText="1"/>
    </xf>
    <xf numFmtId="0" fontId="15" fillId="0" borderId="0" xfId="0" applyFont="1" applyAlignment="1">
      <alignment horizontal="left" vertical="center" wrapText="1"/>
    </xf>
    <xf numFmtId="0" fontId="11" fillId="0" borderId="10" xfId="0" applyFont="1" applyBorder="1" applyAlignment="1">
      <alignment horizontal="left" vertical="center" wrapText="1"/>
    </xf>
    <xf numFmtId="0" fontId="16" fillId="0" borderId="0" xfId="0" applyFont="1" applyAlignment="1">
      <alignment horizontal="left" vertical="center" wrapText="1"/>
    </xf>
    <xf numFmtId="0" fontId="5" fillId="0" borderId="0" xfId="0" applyFont="1" applyAlignment="1">
      <alignment horizontal="left" vertical="center" wrapText="1"/>
    </xf>
    <xf numFmtId="0" fontId="7" fillId="22" borderId="30" xfId="0" applyFont="1" applyFill="1" applyBorder="1" applyAlignment="1">
      <alignment horizontal="left" vertical="center" wrapText="1"/>
    </xf>
    <xf numFmtId="0" fontId="7" fillId="22" borderId="10" xfId="0" applyFont="1" applyFill="1" applyBorder="1" applyAlignment="1">
      <alignment horizontal="left" vertical="center" wrapText="1"/>
    </xf>
    <xf numFmtId="0" fontId="7" fillId="22" borderId="92" xfId="0" applyFont="1" applyFill="1" applyBorder="1" applyAlignment="1">
      <alignment horizontal="left" vertical="center" wrapText="1"/>
    </xf>
    <xf numFmtId="0" fontId="7" fillId="22" borderId="93" xfId="0" applyFont="1" applyFill="1" applyBorder="1" applyAlignment="1">
      <alignment horizontal="left" vertical="center" wrapText="1"/>
    </xf>
    <xf numFmtId="0" fontId="11" fillId="15" borderId="94" xfId="0" applyFont="1" applyFill="1" applyBorder="1" applyAlignment="1">
      <alignment horizontal="left" vertical="center" wrapText="1"/>
    </xf>
    <xf numFmtId="0" fontId="11" fillId="15" borderId="88" xfId="0" applyFont="1" applyFill="1" applyBorder="1" applyAlignment="1">
      <alignment horizontal="left" vertical="center"/>
    </xf>
    <xf numFmtId="0" fontId="11" fillId="0" borderId="2" xfId="0" applyFont="1" applyBorder="1" applyAlignment="1">
      <alignment horizontal="left" vertical="center"/>
    </xf>
    <xf numFmtId="0" fontId="11" fillId="0" borderId="10" xfId="0" applyFont="1" applyBorder="1" applyAlignment="1">
      <alignment horizontal="left" vertical="center"/>
    </xf>
    <xf numFmtId="0" fontId="7" fillId="22" borderId="12" xfId="0" applyFont="1" applyFill="1" applyBorder="1" applyAlignment="1">
      <alignment horizontal="left" vertical="center" wrapText="1"/>
    </xf>
    <xf numFmtId="0" fontId="7" fillId="22" borderId="40" xfId="0" applyFont="1" applyFill="1" applyBorder="1" applyAlignment="1">
      <alignment horizontal="left" vertical="center" wrapText="1"/>
    </xf>
    <xf numFmtId="0" fontId="7" fillId="22" borderId="77" xfId="0" applyFont="1" applyFill="1" applyBorder="1" applyAlignment="1">
      <alignment horizontal="left" vertical="center" wrapText="1"/>
    </xf>
    <xf numFmtId="0" fontId="7" fillId="22" borderId="78" xfId="0" applyFont="1" applyFill="1" applyBorder="1" applyAlignment="1">
      <alignment horizontal="left" vertical="center" wrapText="1"/>
    </xf>
    <xf numFmtId="0" fontId="7" fillId="13" borderId="79" xfId="0" applyFont="1" applyFill="1" applyBorder="1" applyAlignment="1">
      <alignment horizontal="left" vertical="center" wrapText="1"/>
    </xf>
    <xf numFmtId="0" fontId="20" fillId="14" borderId="80" xfId="0" applyFont="1" applyFill="1" applyBorder="1" applyAlignment="1">
      <alignment horizontal="left" vertical="center" wrapText="1"/>
    </xf>
    <xf numFmtId="0" fontId="17" fillId="16" borderId="17" xfId="0" applyFont="1" applyFill="1" applyBorder="1" applyAlignment="1">
      <alignment horizontal="left" vertical="center" wrapText="1"/>
    </xf>
    <xf numFmtId="0" fontId="17" fillId="14" borderId="17" xfId="0" applyFont="1" applyFill="1" applyBorder="1" applyAlignment="1">
      <alignment horizontal="left" vertical="center" wrapText="1"/>
    </xf>
    <xf numFmtId="0" fontId="5" fillId="14" borderId="82" xfId="0" applyFont="1" applyFill="1" applyBorder="1" applyAlignment="1">
      <alignment horizontal="left" vertical="center" wrapText="1"/>
    </xf>
    <xf numFmtId="0" fontId="20" fillId="14" borderId="82" xfId="0" applyFont="1" applyFill="1" applyBorder="1" applyAlignment="1">
      <alignment horizontal="left" vertical="center" wrapText="1"/>
    </xf>
    <xf numFmtId="0" fontId="5" fillId="14" borderId="83" xfId="0" applyFont="1" applyFill="1" applyBorder="1" applyAlignment="1">
      <alignment horizontal="left" vertical="center" wrapText="1"/>
    </xf>
    <xf numFmtId="0" fontId="21" fillId="16" borderId="87" xfId="0" applyFont="1" applyFill="1" applyBorder="1" applyAlignment="1">
      <alignment horizontal="left" vertical="center" wrapText="1"/>
    </xf>
    <xf numFmtId="0" fontId="21" fillId="16" borderId="84" xfId="0" applyFont="1" applyFill="1" applyBorder="1" applyAlignment="1">
      <alignment horizontal="left" vertical="center" wrapText="1"/>
    </xf>
    <xf numFmtId="0" fontId="21" fillId="14" borderId="84" xfId="0" applyFont="1" applyFill="1" applyBorder="1" applyAlignment="1">
      <alignment horizontal="left" vertical="center" wrapText="1"/>
    </xf>
    <xf numFmtId="0" fontId="7" fillId="14" borderId="84" xfId="0" applyFont="1" applyFill="1" applyBorder="1" applyAlignment="1">
      <alignment horizontal="left" vertical="center" wrapText="1"/>
    </xf>
    <xf numFmtId="0" fontId="7" fillId="22" borderId="36" xfId="0" applyFont="1" applyFill="1" applyBorder="1" applyAlignment="1">
      <alignment horizontal="left" vertical="center" wrapText="1"/>
    </xf>
    <xf numFmtId="0" fontId="5" fillId="8" borderId="69" xfId="0" applyFont="1" applyFill="1" applyBorder="1" applyAlignment="1">
      <alignment horizontal="left" vertical="center" wrapText="1"/>
    </xf>
    <xf numFmtId="0" fontId="5" fillId="8" borderId="17" xfId="0" applyFont="1" applyFill="1" applyBorder="1" applyAlignment="1">
      <alignment horizontal="left" vertical="center"/>
    </xf>
    <xf numFmtId="0" fontId="5" fillId="17" borderId="7" xfId="0" applyFont="1" applyFill="1" applyBorder="1" applyAlignment="1">
      <alignment horizontal="left" vertical="center" wrapText="1"/>
    </xf>
    <xf numFmtId="0" fontId="5" fillId="17" borderId="17" xfId="0" applyFont="1" applyFill="1" applyBorder="1" applyAlignment="1">
      <alignment horizontal="left" vertical="center" wrapText="1"/>
    </xf>
    <xf numFmtId="0" fontId="5" fillId="17" borderId="69" xfId="0" applyFont="1" applyFill="1" applyBorder="1" applyAlignment="1">
      <alignment horizontal="left" vertical="center" wrapText="1"/>
    </xf>
    <xf numFmtId="0" fontId="5" fillId="17" borderId="17" xfId="0" applyFont="1" applyFill="1" applyBorder="1" applyAlignment="1">
      <alignment horizontal="left" vertical="center"/>
    </xf>
    <xf numFmtId="0" fontId="5" fillId="17" borderId="33" xfId="0" applyFont="1" applyFill="1" applyBorder="1" applyAlignment="1">
      <alignment horizontal="left" vertical="center" wrapText="1"/>
    </xf>
    <xf numFmtId="0" fontId="5" fillId="8" borderId="17" xfId="0" applyFont="1" applyFill="1" applyBorder="1" applyAlignment="1">
      <alignment horizontal="left" vertical="center" wrapText="1"/>
    </xf>
    <xf numFmtId="0" fontId="5" fillId="8" borderId="33" xfId="0" applyFont="1" applyFill="1" applyBorder="1" applyAlignment="1">
      <alignment horizontal="left" vertical="center" wrapText="1"/>
    </xf>
    <xf numFmtId="0" fontId="11" fillId="15" borderId="88" xfId="0" applyFont="1" applyFill="1" applyBorder="1" applyAlignment="1">
      <alignment horizontal="left" vertical="center" wrapText="1"/>
    </xf>
    <xf numFmtId="0" fontId="11" fillId="15" borderId="35" xfId="0" applyFont="1" applyFill="1" applyBorder="1" applyAlignment="1">
      <alignment horizontal="left" vertical="center" wrapText="1"/>
    </xf>
    <xf numFmtId="0" fontId="11" fillId="18" borderId="35" xfId="0" applyFont="1" applyFill="1" applyBorder="1" applyAlignment="1">
      <alignment horizontal="left" vertical="center" wrapText="1"/>
    </xf>
    <xf numFmtId="0" fontId="11" fillId="0" borderId="90" xfId="0" applyFont="1" applyBorder="1" applyAlignment="1">
      <alignment horizontal="left" vertical="center"/>
    </xf>
    <xf numFmtId="0" fontId="11" fillId="21" borderId="12" xfId="0" applyFont="1" applyFill="1" applyBorder="1" applyAlignment="1">
      <alignment horizontal="left" vertical="center" wrapText="1"/>
    </xf>
    <xf numFmtId="0" fontId="11" fillId="0" borderId="19" xfId="0" applyFont="1" applyBorder="1" applyAlignment="1">
      <alignment horizontal="left" vertical="center"/>
    </xf>
    <xf numFmtId="0" fontId="12" fillId="15" borderId="35" xfId="0" applyFont="1" applyFill="1" applyBorder="1" applyAlignment="1">
      <alignment horizontal="left" vertical="center" wrapText="1"/>
    </xf>
    <xf numFmtId="0" fontId="12" fillId="15" borderId="91" xfId="0" applyFont="1" applyFill="1" applyBorder="1" applyAlignment="1">
      <alignment horizontal="left" vertical="center" wrapText="1"/>
    </xf>
    <xf numFmtId="0" fontId="12" fillId="15" borderId="90" xfId="0" applyFont="1" applyFill="1" applyBorder="1" applyAlignment="1">
      <alignment horizontal="left" vertical="center" wrapText="1"/>
    </xf>
    <xf numFmtId="0" fontId="12" fillId="15" borderId="89" xfId="0" applyFont="1" applyFill="1" applyBorder="1" applyAlignment="1">
      <alignment horizontal="left" vertical="center"/>
    </xf>
    <xf numFmtId="0" fontId="12" fillId="15" borderId="90" xfId="0" applyFont="1" applyFill="1" applyBorder="1" applyAlignment="1">
      <alignment horizontal="left" vertical="center"/>
    </xf>
    <xf numFmtId="0" fontId="17" fillId="14" borderId="100" xfId="0" applyFont="1" applyFill="1" applyBorder="1" applyAlignment="1">
      <alignment horizontal="left" vertical="center" wrapText="1"/>
    </xf>
    <xf numFmtId="0" fontId="5" fillId="14" borderId="81" xfId="0" applyFont="1" applyFill="1" applyBorder="1" applyAlignment="1">
      <alignment horizontal="left" vertical="center" wrapText="1"/>
    </xf>
    <xf numFmtId="0" fontId="17" fillId="14" borderId="96" xfId="0" applyFont="1" applyFill="1" applyBorder="1" applyAlignment="1">
      <alignment horizontal="left" vertical="center" wrapText="1"/>
    </xf>
    <xf numFmtId="0" fontId="5" fillId="14" borderId="46" xfId="0" applyFont="1" applyFill="1" applyBorder="1" applyAlignment="1">
      <alignment horizontal="left" vertical="center" wrapText="1"/>
    </xf>
    <xf numFmtId="0" fontId="5" fillId="14" borderId="74" xfId="0" applyFont="1" applyFill="1" applyBorder="1" applyAlignment="1">
      <alignment horizontal="left" vertical="center" wrapText="1"/>
    </xf>
    <xf numFmtId="0" fontId="17" fillId="14" borderId="97" xfId="0" applyFont="1" applyFill="1" applyBorder="1" applyAlignment="1">
      <alignment horizontal="left" vertical="center" wrapText="1"/>
    </xf>
    <xf numFmtId="0" fontId="5" fillId="14" borderId="98" xfId="0" applyFont="1" applyFill="1" applyBorder="1" applyAlignment="1">
      <alignment horizontal="left" vertical="center" wrapText="1"/>
    </xf>
    <xf numFmtId="0" fontId="5" fillId="14" borderId="76" xfId="0" applyFont="1" applyFill="1" applyBorder="1" applyAlignment="1">
      <alignment horizontal="left" vertical="center" wrapText="1"/>
    </xf>
    <xf numFmtId="0" fontId="12" fillId="15" borderId="88" xfId="0" applyFont="1" applyFill="1" applyBorder="1" applyAlignment="1">
      <alignment horizontal="left" vertical="center"/>
    </xf>
    <xf numFmtId="0" fontId="12" fillId="15" borderId="39" xfId="0" applyFont="1" applyFill="1" applyBorder="1" applyAlignment="1">
      <alignment horizontal="left" vertical="center"/>
    </xf>
    <xf numFmtId="0" fontId="22" fillId="7" borderId="0" xfId="2" applyFont="1" applyFill="1" applyBorder="1" applyAlignment="1" applyProtection="1">
      <alignment vertical="center"/>
    </xf>
    <xf numFmtId="0" fontId="5" fillId="7" borderId="0" xfId="1" applyFont="1" applyFill="1" applyAlignment="1">
      <alignment vertical="center"/>
    </xf>
    <xf numFmtId="0" fontId="5" fillId="0" borderId="104" xfId="1" applyFont="1" applyBorder="1" applyAlignment="1">
      <alignment vertical="center"/>
    </xf>
    <xf numFmtId="0" fontId="4" fillId="0" borderId="104" xfId="1" applyFont="1" applyBorder="1" applyAlignment="1">
      <alignment vertical="center"/>
    </xf>
    <xf numFmtId="0" fontId="5" fillId="0" borderId="0" xfId="1" applyFont="1" applyAlignment="1">
      <alignment vertical="center"/>
    </xf>
    <xf numFmtId="0" fontId="22" fillId="0" borderId="0" xfId="2" applyFont="1" applyFill="1" applyBorder="1" applyAlignment="1" applyProtection="1">
      <alignment vertical="center"/>
    </xf>
    <xf numFmtId="0" fontId="5" fillId="0" borderId="0" xfId="1" applyFont="1" applyAlignment="1">
      <alignment vertical="center" wrapText="1"/>
    </xf>
    <xf numFmtId="0" fontId="27" fillId="0" borderId="0" xfId="0" applyFont="1" applyAlignment="1">
      <alignment vertical="center"/>
    </xf>
    <xf numFmtId="0" fontId="7" fillId="0" borderId="0" xfId="1" applyFont="1" applyAlignment="1">
      <alignment vertical="center"/>
    </xf>
    <xf numFmtId="17" fontId="5" fillId="0" borderId="0" xfId="1" applyNumberFormat="1" applyFont="1" applyAlignment="1">
      <alignment horizontal="left" vertical="center"/>
    </xf>
    <xf numFmtId="0" fontId="23" fillId="0" borderId="0" xfId="1" applyFont="1" applyAlignment="1">
      <alignment vertical="center"/>
    </xf>
    <xf numFmtId="0" fontId="14" fillId="0" borderId="0" xfId="3" applyFont="1" applyAlignment="1">
      <alignment vertical="center"/>
    </xf>
    <xf numFmtId="0" fontId="5" fillId="0" borderId="4" xfId="1" applyFont="1" applyBorder="1" applyAlignment="1">
      <alignment vertical="center"/>
    </xf>
    <xf numFmtId="0" fontId="26" fillId="0" borderId="4" xfId="1" applyFont="1" applyBorder="1" applyAlignment="1">
      <alignment vertical="center"/>
    </xf>
    <xf numFmtId="2" fontId="11" fillId="0" borderId="50" xfId="0" applyNumberFormat="1" applyFont="1" applyBorder="1" applyAlignment="1">
      <alignment horizontal="left" vertical="center" wrapText="1"/>
    </xf>
    <xf numFmtId="0" fontId="17" fillId="0" borderId="10" xfId="0" applyFont="1" applyBorder="1" applyAlignment="1">
      <alignment horizontal="left" vertical="center" wrapText="1"/>
    </xf>
    <xf numFmtId="0" fontId="5" fillId="0" borderId="10" xfId="0" applyFont="1" applyBorder="1" applyAlignment="1">
      <alignment horizontal="left" vertical="center" wrapText="1"/>
    </xf>
    <xf numFmtId="0" fontId="5" fillId="0" borderId="9" xfId="0" applyFont="1" applyBorder="1" applyAlignment="1">
      <alignment horizontal="left" vertical="center" wrapText="1"/>
    </xf>
    <xf numFmtId="0" fontId="26" fillId="15" borderId="1" xfId="1" applyFont="1" applyFill="1" applyBorder="1" applyAlignment="1">
      <alignment vertical="center"/>
    </xf>
    <xf numFmtId="0" fontId="26" fillId="15" borderId="2" xfId="1" applyFont="1" applyFill="1" applyBorder="1" applyAlignment="1">
      <alignment vertical="center"/>
    </xf>
    <xf numFmtId="0" fontId="26" fillId="15" borderId="3" xfId="1" applyFont="1" applyFill="1" applyBorder="1" applyAlignment="1">
      <alignment vertical="center"/>
    </xf>
    <xf numFmtId="0" fontId="26" fillId="15" borderId="4" xfId="1" applyFont="1" applyFill="1" applyBorder="1" applyAlignment="1">
      <alignment vertical="center"/>
    </xf>
    <xf numFmtId="0" fontId="26" fillId="15" borderId="5" xfId="1" applyFont="1" applyFill="1" applyBorder="1" applyAlignment="1">
      <alignment vertical="center"/>
    </xf>
    <xf numFmtId="0" fontId="26" fillId="15" borderId="4" xfId="1" applyFont="1" applyFill="1" applyBorder="1" applyAlignment="1">
      <alignment horizontal="center" vertical="center"/>
    </xf>
    <xf numFmtId="0" fontId="11" fillId="15" borderId="4" xfId="0" applyFont="1" applyFill="1" applyBorder="1" applyAlignment="1">
      <alignment vertical="center"/>
    </xf>
    <xf numFmtId="0" fontId="5" fillId="15" borderId="9" xfId="1" applyFont="1" applyFill="1" applyBorder="1" applyAlignment="1">
      <alignment vertical="center"/>
    </xf>
    <xf numFmtId="0" fontId="7" fillId="15" borderId="10" xfId="1" applyFont="1" applyFill="1" applyBorder="1" applyAlignment="1">
      <alignment vertical="center"/>
    </xf>
    <xf numFmtId="17" fontId="5" fillId="15" borderId="10" xfId="1" applyNumberFormat="1" applyFont="1" applyFill="1" applyBorder="1" applyAlignment="1">
      <alignment horizontal="left" vertical="center"/>
    </xf>
    <xf numFmtId="0" fontId="22" fillId="15" borderId="10" xfId="2" applyFont="1" applyFill="1" applyBorder="1" applyAlignment="1" applyProtection="1">
      <alignment vertical="center"/>
    </xf>
    <xf numFmtId="0" fontId="5" fillId="15" borderId="10" xfId="1" applyFont="1" applyFill="1" applyBorder="1" applyAlignment="1">
      <alignment vertical="center" wrapText="1"/>
    </xf>
    <xf numFmtId="0" fontId="5" fillId="15" borderId="10" xfId="1" applyFont="1" applyFill="1" applyBorder="1" applyAlignment="1">
      <alignment vertical="center"/>
    </xf>
    <xf numFmtId="0" fontId="5" fillId="15" borderId="11" xfId="1" applyFont="1" applyFill="1" applyBorder="1" applyAlignment="1">
      <alignment vertical="center"/>
    </xf>
    <xf numFmtId="0" fontId="7" fillId="15" borderId="2" xfId="1" applyFont="1" applyFill="1" applyBorder="1" applyAlignment="1">
      <alignment vertical="center"/>
    </xf>
    <xf numFmtId="17" fontId="5" fillId="15" borderId="2" xfId="1" applyNumberFormat="1" applyFont="1" applyFill="1" applyBorder="1" applyAlignment="1">
      <alignment horizontal="left" vertical="center"/>
    </xf>
    <xf numFmtId="0" fontId="22" fillId="15" borderId="2" xfId="2" applyFont="1" applyFill="1" applyBorder="1" applyAlignment="1" applyProtection="1">
      <alignment vertical="center"/>
    </xf>
    <xf numFmtId="0" fontId="5" fillId="15" borderId="2" xfId="1" applyFont="1" applyFill="1" applyBorder="1" applyAlignment="1">
      <alignment vertical="center" wrapText="1"/>
    </xf>
    <xf numFmtId="0" fontId="5" fillId="15" borderId="2" xfId="1" applyFont="1" applyFill="1" applyBorder="1" applyAlignment="1">
      <alignment vertical="center"/>
    </xf>
    <xf numFmtId="0" fontId="5" fillId="15" borderId="3" xfId="1" applyFont="1" applyFill="1" applyBorder="1" applyAlignment="1">
      <alignment vertical="center"/>
    </xf>
    <xf numFmtId="0" fontId="7" fillId="15" borderId="0" xfId="1" applyFont="1" applyFill="1" applyAlignment="1">
      <alignment vertical="center"/>
    </xf>
    <xf numFmtId="17" fontId="5" fillId="15" borderId="0" xfId="1" applyNumberFormat="1" applyFont="1" applyFill="1" applyAlignment="1">
      <alignment horizontal="left" vertical="center"/>
    </xf>
    <xf numFmtId="0" fontId="22" fillId="15" borderId="0" xfId="2" applyFont="1" applyFill="1" applyBorder="1" applyAlignment="1" applyProtection="1">
      <alignment vertical="center"/>
    </xf>
    <xf numFmtId="0" fontId="5" fillId="15" borderId="0" xfId="1" applyFont="1" applyFill="1" applyAlignment="1">
      <alignment vertical="center" wrapText="1"/>
    </xf>
    <xf numFmtId="0" fontId="5" fillId="15" borderId="0" xfId="1" applyFont="1" applyFill="1" applyAlignment="1">
      <alignment vertical="center"/>
    </xf>
    <xf numFmtId="0" fontId="5" fillId="15" borderId="5" xfId="1" applyFont="1" applyFill="1" applyBorder="1" applyAlignment="1">
      <alignment vertical="center"/>
    </xf>
    <xf numFmtId="0" fontId="11" fillId="15" borderId="5" xfId="0" applyFont="1" applyFill="1" applyBorder="1" applyAlignment="1">
      <alignment vertical="center"/>
    </xf>
    <xf numFmtId="0" fontId="5" fillId="15" borderId="19" xfId="1" applyFont="1" applyFill="1" applyBorder="1" applyAlignment="1">
      <alignment horizontal="left" vertical="center"/>
    </xf>
    <xf numFmtId="17" fontId="5" fillId="15" borderId="19" xfId="1" applyNumberFormat="1" applyFont="1" applyFill="1" applyBorder="1" applyAlignment="1">
      <alignment horizontal="left" vertical="center"/>
    </xf>
    <xf numFmtId="0" fontId="5" fillId="15" borderId="10" xfId="1" applyFont="1" applyFill="1" applyBorder="1" applyAlignment="1">
      <alignment horizontal="center" vertical="center" wrapText="1"/>
    </xf>
    <xf numFmtId="0" fontId="5" fillId="15" borderId="10" xfId="1" applyFont="1" applyFill="1" applyBorder="1" applyAlignment="1">
      <alignment horizontal="left" vertical="center" wrapText="1"/>
    </xf>
    <xf numFmtId="0" fontId="5" fillId="15" borderId="1" xfId="1" applyFont="1" applyFill="1" applyBorder="1" applyAlignment="1">
      <alignment vertical="center"/>
    </xf>
    <xf numFmtId="0" fontId="4" fillId="15" borderId="4" xfId="1" applyFont="1" applyFill="1" applyBorder="1" applyAlignment="1">
      <alignment vertical="center"/>
    </xf>
    <xf numFmtId="0" fontId="4" fillId="15" borderId="0" xfId="1" applyFont="1" applyFill="1" applyAlignment="1">
      <alignment vertical="center"/>
    </xf>
    <xf numFmtId="0" fontId="4" fillId="15" borderId="5" xfId="1" applyFont="1" applyFill="1" applyBorder="1" applyAlignment="1">
      <alignment vertical="center"/>
    </xf>
    <xf numFmtId="0" fontId="5" fillId="15" borderId="4" xfId="1" applyFont="1" applyFill="1" applyBorder="1" applyAlignment="1">
      <alignment vertical="center"/>
    </xf>
    <xf numFmtId="0" fontId="7" fillId="15" borderId="4" xfId="1" applyFont="1" applyFill="1" applyBorder="1" applyAlignment="1">
      <alignment vertical="center" wrapText="1"/>
    </xf>
    <xf numFmtId="0" fontId="7" fillId="15" borderId="12" xfId="1" applyFont="1" applyFill="1" applyBorder="1" applyAlignment="1">
      <alignment vertical="center"/>
    </xf>
    <xf numFmtId="0" fontId="23" fillId="15" borderId="0" xfId="1" applyFont="1" applyFill="1" applyAlignment="1">
      <alignment vertical="center"/>
    </xf>
    <xf numFmtId="0" fontId="11" fillId="15" borderId="10" xfId="0" applyFont="1" applyFill="1" applyBorder="1" applyAlignment="1">
      <alignment vertical="center"/>
    </xf>
    <xf numFmtId="0" fontId="28" fillId="15" borderId="0" xfId="2" applyFont="1" applyFill="1" applyBorder="1" applyAlignment="1" applyProtection="1">
      <alignment vertical="center"/>
    </xf>
    <xf numFmtId="0" fontId="7" fillId="15" borderId="1" xfId="1" applyFont="1" applyFill="1" applyBorder="1" applyAlignment="1">
      <alignment vertical="center" wrapText="1"/>
    </xf>
    <xf numFmtId="0" fontId="5" fillId="15" borderId="0" xfId="1" applyFont="1" applyFill="1" applyAlignment="1">
      <alignment horizontal="left" vertical="center"/>
    </xf>
    <xf numFmtId="0" fontId="5" fillId="15" borderId="0" xfId="1" applyFont="1" applyFill="1" applyAlignment="1">
      <alignment horizontal="left" vertical="center" wrapText="1"/>
    </xf>
    <xf numFmtId="0" fontId="11" fillId="0" borderId="105" xfId="0" applyFont="1" applyBorder="1" applyAlignment="1">
      <alignment vertical="center"/>
    </xf>
    <xf numFmtId="0" fontId="11" fillId="0" borderId="33" xfId="0" applyFont="1" applyBorder="1" applyAlignment="1">
      <alignment vertical="center"/>
    </xf>
    <xf numFmtId="0" fontId="11" fillId="15" borderId="2" xfId="0" applyFont="1" applyFill="1" applyBorder="1" applyAlignment="1">
      <alignment vertical="center"/>
    </xf>
    <xf numFmtId="0" fontId="11" fillId="15" borderId="3" xfId="0" applyFont="1" applyFill="1" applyBorder="1" applyAlignment="1">
      <alignment vertical="center"/>
    </xf>
    <xf numFmtId="0" fontId="11" fillId="15" borderId="0" xfId="0" applyFont="1" applyFill="1" applyAlignment="1">
      <alignment vertical="center"/>
    </xf>
    <xf numFmtId="0" fontId="12" fillId="15" borderId="39" xfId="0" applyFont="1" applyFill="1" applyBorder="1" applyAlignment="1">
      <alignment vertical="center"/>
    </xf>
    <xf numFmtId="0" fontId="12" fillId="15" borderId="35" xfId="0" applyFont="1" applyFill="1" applyBorder="1" applyAlignment="1">
      <alignment vertical="center"/>
    </xf>
    <xf numFmtId="0" fontId="11" fillId="15" borderId="9" xfId="0" applyFont="1" applyFill="1" applyBorder="1" applyAlignment="1">
      <alignment vertical="center"/>
    </xf>
    <xf numFmtId="0" fontId="11" fillId="15" borderId="11" xfId="0" applyFont="1" applyFill="1" applyBorder="1" applyAlignment="1">
      <alignment vertical="center"/>
    </xf>
    <xf numFmtId="0" fontId="23" fillId="15" borderId="4" xfId="1" applyFont="1" applyFill="1" applyBorder="1" applyAlignment="1">
      <alignment vertical="center"/>
    </xf>
    <xf numFmtId="0" fontId="7" fillId="24" borderId="20" xfId="1" applyFont="1" applyFill="1" applyBorder="1" applyAlignment="1" applyProtection="1">
      <alignment horizontal="left" vertical="center" wrapText="1"/>
      <protection locked="0"/>
    </xf>
    <xf numFmtId="0" fontId="7" fillId="24" borderId="37" xfId="1" applyFont="1" applyFill="1" applyBorder="1" applyAlignment="1" applyProtection="1">
      <alignment horizontal="left" vertical="center"/>
      <protection locked="0"/>
    </xf>
    <xf numFmtId="0" fontId="17" fillId="14" borderId="109" xfId="0" applyFont="1" applyFill="1" applyBorder="1" applyAlignment="1">
      <alignment horizontal="left" vertical="center" wrapText="1"/>
    </xf>
    <xf numFmtId="0" fontId="5" fillId="14" borderId="73" xfId="0" applyFont="1" applyFill="1" applyBorder="1" applyAlignment="1">
      <alignment horizontal="left" vertical="center" wrapText="1"/>
    </xf>
    <xf numFmtId="0" fontId="7" fillId="22" borderId="55" xfId="0" applyFont="1" applyFill="1" applyBorder="1" applyAlignment="1">
      <alignment horizontal="left" vertical="center" wrapText="1"/>
    </xf>
    <xf numFmtId="0" fontId="7" fillId="22" borderId="112" xfId="0" applyFont="1" applyFill="1" applyBorder="1" applyAlignment="1">
      <alignment horizontal="left" vertical="center" wrapText="1"/>
    </xf>
    <xf numFmtId="0" fontId="5" fillId="17" borderId="113" xfId="0" applyFont="1" applyFill="1" applyBorder="1" applyAlignment="1">
      <alignment horizontal="left" vertical="center" wrapText="1"/>
    </xf>
    <xf numFmtId="0" fontId="5" fillId="8" borderId="113" xfId="0" applyFont="1" applyFill="1" applyBorder="1" applyAlignment="1">
      <alignment horizontal="left" vertical="center" wrapText="1"/>
    </xf>
    <xf numFmtId="0" fontId="7" fillId="22" borderId="2" xfId="0" applyFont="1" applyFill="1" applyBorder="1" applyAlignment="1">
      <alignment horizontal="left" vertical="center" wrapText="1"/>
    </xf>
    <xf numFmtId="0" fontId="7" fillId="22" borderId="3" xfId="0" applyFont="1" applyFill="1" applyBorder="1" applyAlignment="1">
      <alignment horizontal="left" vertical="center" wrapText="1"/>
    </xf>
    <xf numFmtId="0" fontId="7" fillId="13" borderId="114" xfId="0" applyFont="1" applyFill="1" applyBorder="1" applyAlignment="1">
      <alignment horizontal="left" vertical="center" wrapText="1"/>
    </xf>
    <xf numFmtId="2" fontId="5" fillId="10" borderId="7" xfId="0" applyNumberFormat="1" applyFont="1" applyFill="1" applyBorder="1" applyAlignment="1">
      <alignment vertical="center" wrapText="1"/>
    </xf>
    <xf numFmtId="2" fontId="5" fillId="10" borderId="41" xfId="0" applyNumberFormat="1" applyFont="1" applyFill="1" applyBorder="1" applyAlignment="1">
      <alignment vertical="center" wrapText="1"/>
    </xf>
    <xf numFmtId="0" fontId="5" fillId="17" borderId="115" xfId="0" applyFont="1" applyFill="1" applyBorder="1" applyAlignment="1">
      <alignment horizontal="left" vertical="center" wrapText="1"/>
    </xf>
    <xf numFmtId="0" fontId="5" fillId="17" borderId="116" xfId="0" applyFont="1" applyFill="1" applyBorder="1" applyAlignment="1">
      <alignment horizontal="left" vertical="center" wrapText="1"/>
    </xf>
    <xf numFmtId="0" fontId="5" fillId="17" borderId="16" xfId="0" applyFont="1" applyFill="1" applyBorder="1" applyAlignment="1">
      <alignment horizontal="left" vertical="center" wrapText="1"/>
    </xf>
    <xf numFmtId="0" fontId="11" fillId="0" borderId="118" xfId="0" applyFont="1" applyBorder="1" applyAlignment="1">
      <alignment horizontal="left" vertical="center"/>
    </xf>
    <xf numFmtId="0" fontId="5" fillId="17" borderId="67" xfId="0" applyFont="1" applyFill="1" applyBorder="1" applyAlignment="1">
      <alignment horizontal="left" vertical="center" wrapText="1"/>
    </xf>
    <xf numFmtId="0" fontId="5" fillId="17" borderId="16" xfId="0" applyFont="1" applyFill="1" applyBorder="1" applyAlignment="1">
      <alignment horizontal="left" vertical="center"/>
    </xf>
    <xf numFmtId="0" fontId="5" fillId="17" borderId="115" xfId="0" applyFont="1" applyFill="1" applyBorder="1" applyAlignment="1">
      <alignment horizontal="left" vertical="center"/>
    </xf>
    <xf numFmtId="2" fontId="5" fillId="6" borderId="41" xfId="0" applyNumberFormat="1" applyFont="1" applyFill="1" applyBorder="1" applyAlignment="1">
      <alignment vertical="center" wrapText="1"/>
    </xf>
    <xf numFmtId="2" fontId="5" fillId="6" borderId="46" xfId="0" applyNumberFormat="1" applyFont="1" applyFill="1" applyBorder="1" applyAlignment="1">
      <alignment vertical="center" wrapText="1"/>
    </xf>
    <xf numFmtId="2" fontId="5" fillId="6" borderId="14" xfId="0" applyNumberFormat="1" applyFont="1" applyFill="1" applyBorder="1" applyAlignment="1">
      <alignment vertical="center" wrapText="1"/>
    </xf>
    <xf numFmtId="2" fontId="5" fillId="6" borderId="17" xfId="0" applyNumberFormat="1" applyFont="1" applyFill="1" applyBorder="1" applyAlignment="1">
      <alignment vertical="center" wrapText="1"/>
    </xf>
    <xf numFmtId="2" fontId="5" fillId="6" borderId="7" xfId="0" applyNumberFormat="1" applyFont="1" applyFill="1" applyBorder="1" applyAlignment="1">
      <alignment vertical="center" wrapText="1"/>
    </xf>
    <xf numFmtId="2" fontId="5" fillId="12" borderId="44" xfId="0" applyNumberFormat="1" applyFont="1" applyFill="1" applyBorder="1" applyAlignment="1">
      <alignment vertical="center" wrapText="1"/>
    </xf>
    <xf numFmtId="2" fontId="5" fillId="0" borderId="119" xfId="0" applyNumberFormat="1" applyFont="1" applyBorder="1" applyAlignment="1">
      <alignment vertical="center" wrapText="1"/>
    </xf>
    <xf numFmtId="2" fontId="5" fillId="0" borderId="120" xfId="0" applyNumberFormat="1" applyFont="1" applyBorder="1" applyAlignment="1">
      <alignment vertical="center" wrapText="1"/>
    </xf>
    <xf numFmtId="2" fontId="5" fillId="10" borderId="121" xfId="0" applyNumberFormat="1" applyFont="1" applyFill="1" applyBorder="1" applyAlignment="1">
      <alignment vertical="center" wrapText="1"/>
    </xf>
    <xf numFmtId="2" fontId="5" fillId="6" borderId="120" xfId="0" applyNumberFormat="1" applyFont="1" applyFill="1" applyBorder="1" applyAlignment="1">
      <alignment vertical="center" wrapText="1"/>
    </xf>
    <xf numFmtId="0" fontId="12" fillId="0" borderId="0" xfId="11" applyFont="1"/>
    <xf numFmtId="0" fontId="5" fillId="14" borderId="14" xfId="10" applyFont="1" applyFill="1" applyBorder="1" applyAlignment="1" applyProtection="1">
      <alignment horizontal="left" vertical="center" wrapText="1" shrinkToFit="1"/>
      <protection locked="0"/>
    </xf>
    <xf numFmtId="49" fontId="5" fillId="14" borderId="14" xfId="10" applyNumberFormat="1" applyFont="1" applyFill="1" applyBorder="1" applyAlignment="1" applyProtection="1">
      <alignment horizontal="left" vertical="center" wrapText="1" shrinkToFit="1"/>
      <protection locked="0"/>
    </xf>
    <xf numFmtId="0" fontId="5" fillId="14" borderId="8" xfId="10" applyFont="1" applyFill="1" applyBorder="1" applyAlignment="1">
      <alignment horizontal="left" vertical="center" shrinkToFit="1"/>
    </xf>
    <xf numFmtId="49" fontId="5" fillId="14" borderId="8" xfId="10" applyNumberFormat="1" applyFont="1" applyFill="1" applyBorder="1" applyAlignment="1" applyProtection="1">
      <alignment horizontal="left" vertical="center" shrinkToFit="1"/>
      <protection locked="0"/>
    </xf>
    <xf numFmtId="49" fontId="5" fillId="14" borderId="26" xfId="10" applyNumberFormat="1" applyFont="1" applyFill="1" applyBorder="1" applyAlignment="1" applyProtection="1">
      <alignment horizontal="left" vertical="center" shrinkToFit="1"/>
      <protection locked="0"/>
    </xf>
    <xf numFmtId="49" fontId="5" fillId="0" borderId="0" xfId="10" applyNumberFormat="1" applyFont="1" applyAlignment="1" applyProtection="1">
      <alignment horizontal="left" vertical="center" shrinkToFit="1"/>
      <protection locked="0"/>
    </xf>
    <xf numFmtId="0" fontId="5" fillId="0" borderId="0" xfId="10" applyFont="1" applyAlignment="1" applyProtection="1">
      <alignment horizontal="left" vertical="center" wrapText="1" shrinkToFit="1"/>
      <protection locked="0"/>
    </xf>
    <xf numFmtId="0" fontId="5" fillId="0" borderId="0" xfId="10" applyFont="1" applyAlignment="1" applyProtection="1">
      <alignment horizontal="left" vertical="center" shrinkToFit="1"/>
      <protection locked="0"/>
    </xf>
    <xf numFmtId="1" fontId="5" fillId="0" borderId="0" xfId="10" applyNumberFormat="1" applyFont="1" applyAlignment="1" applyProtection="1">
      <alignment horizontal="center" vertical="center" shrinkToFit="1"/>
      <protection locked="0"/>
    </xf>
    <xf numFmtId="0" fontId="5" fillId="14" borderId="69" xfId="10" applyFont="1" applyFill="1" applyBorder="1" applyAlignment="1">
      <alignment horizontal="left" vertical="center" shrinkToFit="1"/>
    </xf>
    <xf numFmtId="1" fontId="7" fillId="15" borderId="12" xfId="10" applyNumberFormat="1" applyFont="1" applyFill="1" applyBorder="1" applyAlignment="1" applyProtection="1">
      <alignment horizontal="left" vertical="center" wrapText="1"/>
      <protection locked="0"/>
    </xf>
    <xf numFmtId="1" fontId="7" fillId="15" borderId="13" xfId="10" applyNumberFormat="1" applyFont="1" applyFill="1" applyBorder="1" applyAlignment="1" applyProtection="1">
      <alignment horizontal="left" vertical="center" wrapText="1"/>
      <protection locked="0"/>
    </xf>
    <xf numFmtId="1" fontId="7" fillId="15" borderId="19" xfId="10" applyNumberFormat="1" applyFont="1" applyFill="1" applyBorder="1" applyAlignment="1" applyProtection="1">
      <alignment horizontal="left" vertical="center" wrapText="1"/>
      <protection locked="0"/>
    </xf>
    <xf numFmtId="1" fontId="7" fillId="15" borderId="13" xfId="10" applyNumberFormat="1" applyFont="1" applyFill="1" applyBorder="1" applyAlignment="1" applyProtection="1">
      <alignment horizontal="center" vertical="center" wrapText="1"/>
      <protection locked="0"/>
    </xf>
    <xf numFmtId="1" fontId="7" fillId="15" borderId="19" xfId="10" applyNumberFormat="1" applyFont="1" applyFill="1" applyBorder="1" applyAlignment="1" applyProtection="1">
      <alignment horizontal="center" vertical="center" wrapText="1"/>
      <protection locked="0"/>
    </xf>
    <xf numFmtId="1" fontId="7" fillId="15" borderId="40" xfId="10" applyNumberFormat="1" applyFont="1" applyFill="1" applyBorder="1" applyAlignment="1" applyProtection="1">
      <alignment horizontal="center" vertical="center" wrapText="1"/>
      <protection locked="0"/>
    </xf>
    <xf numFmtId="0" fontId="11" fillId="0" borderId="0" xfId="11"/>
    <xf numFmtId="2" fontId="17" fillId="0" borderId="0" xfId="11" applyNumberFormat="1" applyFont="1" applyAlignment="1">
      <alignment horizontal="left" vertical="center" wrapText="1"/>
    </xf>
    <xf numFmtId="0" fontId="15" fillId="0" borderId="0" xfId="11" applyFont="1" applyAlignment="1">
      <alignment horizontal="left" vertical="center" wrapText="1"/>
    </xf>
    <xf numFmtId="0" fontId="5" fillId="0" borderId="2" xfId="1" applyFont="1" applyBorder="1" applyAlignment="1">
      <alignment vertical="center"/>
    </xf>
    <xf numFmtId="0" fontId="17" fillId="14" borderId="125" xfId="0" applyFont="1" applyFill="1" applyBorder="1" applyAlignment="1">
      <alignment horizontal="left" vertical="center" wrapText="1"/>
    </xf>
    <xf numFmtId="0" fontId="5" fillId="14" borderId="126" xfId="0" applyFont="1" applyFill="1" applyBorder="1" applyAlignment="1">
      <alignment horizontal="left" vertical="center" wrapText="1"/>
    </xf>
    <xf numFmtId="2" fontId="5" fillId="6" borderId="42" xfId="0" applyNumberFormat="1" applyFont="1" applyFill="1" applyBorder="1" applyAlignment="1">
      <alignment vertical="center" wrapText="1"/>
    </xf>
    <xf numFmtId="0" fontId="7" fillId="13" borderId="131" xfId="0" applyFont="1" applyFill="1" applyBorder="1" applyAlignment="1">
      <alignment horizontal="left" vertical="center" wrapText="1"/>
    </xf>
    <xf numFmtId="0" fontId="7" fillId="22" borderId="13" xfId="0" applyFont="1" applyFill="1" applyBorder="1" applyAlignment="1">
      <alignment horizontal="left" vertical="center" wrapText="1"/>
    </xf>
    <xf numFmtId="2" fontId="5" fillId="15" borderId="22" xfId="1" applyNumberFormat="1" applyFont="1" applyFill="1" applyBorder="1" applyAlignment="1" applyProtection="1">
      <alignment horizontal="right" vertical="center" shrinkToFit="1"/>
      <protection locked="0"/>
    </xf>
    <xf numFmtId="2" fontId="5" fillId="15" borderId="18" xfId="1" applyNumberFormat="1" applyFont="1" applyFill="1" applyBorder="1" applyAlignment="1" applyProtection="1">
      <alignment horizontal="right" vertical="center" shrinkToFit="1"/>
      <protection locked="0"/>
    </xf>
    <xf numFmtId="2" fontId="5" fillId="15" borderId="56" xfId="1" applyNumberFormat="1" applyFont="1" applyFill="1" applyBorder="1" applyAlignment="1">
      <alignment horizontal="right" vertical="center" shrinkToFit="1"/>
    </xf>
    <xf numFmtId="2" fontId="5" fillId="15" borderId="27" xfId="1" applyNumberFormat="1" applyFont="1" applyFill="1" applyBorder="1" applyAlignment="1">
      <alignment horizontal="right" vertical="center" shrinkToFit="1"/>
    </xf>
    <xf numFmtId="2" fontId="5" fillId="15" borderId="40" xfId="1" applyNumberFormat="1" applyFont="1" applyFill="1" applyBorder="1" applyAlignment="1" applyProtection="1">
      <alignment horizontal="right" vertical="center" shrinkToFit="1"/>
      <protection locked="0"/>
    </xf>
    <xf numFmtId="2" fontId="5" fillId="15" borderId="13" xfId="1" applyNumberFormat="1" applyFont="1" applyFill="1" applyBorder="1" applyAlignment="1" applyProtection="1">
      <alignment horizontal="right" vertical="center" shrinkToFit="1"/>
      <protection locked="0"/>
    </xf>
    <xf numFmtId="2" fontId="5" fillId="15" borderId="16" xfId="1" applyNumberFormat="1" applyFont="1" applyFill="1" applyBorder="1" applyAlignment="1" applyProtection="1">
      <alignment horizontal="right" vertical="center" shrinkToFit="1"/>
      <protection locked="0"/>
    </xf>
    <xf numFmtId="2" fontId="5" fillId="15" borderId="47" xfId="1" applyNumberFormat="1" applyFont="1" applyFill="1" applyBorder="1" applyAlignment="1" applyProtection="1">
      <alignment horizontal="right" vertical="center" wrapText="1"/>
      <protection locked="0"/>
    </xf>
    <xf numFmtId="2" fontId="5" fillId="3" borderId="14" xfId="1" applyNumberFormat="1" applyFont="1" applyFill="1" applyBorder="1" applyAlignment="1">
      <alignment horizontal="right" vertical="center"/>
    </xf>
    <xf numFmtId="2" fontId="5" fillId="0" borderId="6" xfId="1" applyNumberFormat="1" applyFont="1" applyBorder="1" applyAlignment="1" applyProtection="1">
      <alignment horizontal="right" vertical="center"/>
      <protection locked="0"/>
    </xf>
    <xf numFmtId="2" fontId="5" fillId="0" borderId="25" xfId="1" applyNumberFormat="1" applyFont="1" applyBorder="1" applyAlignment="1" applyProtection="1">
      <alignment horizontal="right" vertical="center"/>
      <protection locked="0"/>
    </xf>
    <xf numFmtId="2" fontId="5" fillId="3" borderId="14" xfId="1" applyNumberFormat="1" applyFont="1" applyFill="1" applyBorder="1" applyAlignment="1" applyProtection="1">
      <alignment horizontal="right" vertical="center"/>
      <protection locked="0"/>
    </xf>
    <xf numFmtId="0" fontId="11" fillId="0" borderId="25" xfId="0" applyFont="1" applyBorder="1" applyAlignment="1">
      <alignment horizontal="right" vertical="center"/>
    </xf>
    <xf numFmtId="1" fontId="5" fillId="14" borderId="24" xfId="10" applyNumberFormat="1" applyFont="1" applyFill="1" applyBorder="1" applyAlignment="1" applyProtection="1">
      <alignment horizontal="right" vertical="center" shrinkToFit="1"/>
      <protection locked="0"/>
    </xf>
    <xf numFmtId="1" fontId="5" fillId="14" borderId="28" xfId="10" applyNumberFormat="1" applyFont="1" applyFill="1" applyBorder="1" applyAlignment="1" applyProtection="1">
      <alignment horizontal="right" vertical="center" shrinkToFit="1"/>
      <protection locked="0"/>
    </xf>
    <xf numFmtId="0" fontId="5" fillId="14" borderId="7" xfId="0" applyFont="1" applyFill="1" applyBorder="1" applyAlignment="1">
      <alignment horizontal="right" vertical="center" wrapText="1"/>
    </xf>
    <xf numFmtId="0" fontId="7" fillId="14" borderId="85" xfId="0" applyFont="1" applyFill="1" applyBorder="1" applyAlignment="1">
      <alignment horizontal="right" vertical="center" wrapText="1"/>
    </xf>
    <xf numFmtId="0" fontId="5" fillId="17" borderId="32" xfId="0" applyFont="1" applyFill="1" applyBorder="1" applyAlignment="1">
      <alignment horizontal="right" vertical="center" wrapText="1"/>
    </xf>
    <xf numFmtId="0" fontId="5" fillId="17" borderId="7" xfId="0" applyFont="1" applyFill="1" applyBorder="1" applyAlignment="1">
      <alignment horizontal="right" vertical="center" wrapText="1"/>
    </xf>
    <xf numFmtId="0" fontId="5" fillId="8" borderId="7" xfId="0" applyFont="1" applyFill="1" applyBorder="1" applyAlignment="1">
      <alignment horizontal="right" vertical="center" wrapText="1"/>
    </xf>
    <xf numFmtId="0" fontId="5" fillId="17" borderId="0" xfId="0" applyFont="1" applyFill="1" applyAlignment="1">
      <alignment horizontal="right" vertical="center" wrapText="1"/>
    </xf>
    <xf numFmtId="0" fontId="5" fillId="14" borderId="127" xfId="0" applyFont="1" applyFill="1" applyBorder="1" applyAlignment="1">
      <alignment horizontal="right" vertical="center" wrapText="1"/>
    </xf>
    <xf numFmtId="0" fontId="5" fillId="14" borderId="74" xfId="0" applyFont="1" applyFill="1" applyBorder="1" applyAlignment="1">
      <alignment horizontal="right" vertical="center" wrapText="1"/>
    </xf>
    <xf numFmtId="0" fontId="5" fillId="14" borderId="76" xfId="0" applyFont="1" applyFill="1" applyBorder="1" applyAlignment="1">
      <alignment horizontal="right" vertical="center" wrapText="1"/>
    </xf>
    <xf numFmtId="1" fontId="5" fillId="14" borderId="54" xfId="10" applyNumberFormat="1" applyFont="1" applyFill="1" applyBorder="1" applyAlignment="1" applyProtection="1">
      <alignment horizontal="right" vertical="center" shrinkToFit="1"/>
      <protection locked="0"/>
    </xf>
    <xf numFmtId="0" fontId="5" fillId="14" borderId="6" xfId="10" applyFont="1" applyFill="1" applyBorder="1" applyAlignment="1" applyProtection="1">
      <alignment horizontal="right" vertical="center" shrinkToFit="1"/>
      <protection locked="0"/>
    </xf>
    <xf numFmtId="167" fontId="17" fillId="0" borderId="14" xfId="11" applyNumberFormat="1" applyFont="1" applyBorder="1" applyAlignment="1">
      <alignment horizontal="right" vertical="center" wrapText="1"/>
    </xf>
    <xf numFmtId="167" fontId="17" fillId="0" borderId="6" xfId="11" applyNumberFormat="1" applyFont="1" applyBorder="1" applyAlignment="1">
      <alignment horizontal="right" vertical="center" wrapText="1"/>
    </xf>
    <xf numFmtId="167" fontId="17" fillId="9" borderId="15" xfId="11" applyNumberFormat="1" applyFont="1" applyFill="1" applyBorder="1" applyAlignment="1">
      <alignment horizontal="right" vertical="center" wrapText="1"/>
    </xf>
    <xf numFmtId="167" fontId="17" fillId="0" borderId="34" xfId="11" applyNumberFormat="1" applyFont="1" applyBorder="1" applyAlignment="1">
      <alignment horizontal="right" vertical="center" wrapText="1"/>
    </xf>
    <xf numFmtId="167" fontId="17" fillId="9" borderId="23" xfId="11" applyNumberFormat="1" applyFont="1" applyFill="1" applyBorder="1" applyAlignment="1">
      <alignment horizontal="right" vertical="center" wrapText="1"/>
    </xf>
    <xf numFmtId="167" fontId="17" fillId="9" borderId="33" xfId="11" applyNumberFormat="1" applyFont="1" applyFill="1" applyBorder="1" applyAlignment="1">
      <alignment horizontal="right" vertical="center" wrapText="1"/>
    </xf>
    <xf numFmtId="167" fontId="11" fillId="0" borderId="6" xfId="11" applyNumberFormat="1" applyBorder="1" applyAlignment="1">
      <alignment horizontal="right"/>
    </xf>
    <xf numFmtId="167" fontId="11" fillId="0" borderId="34" xfId="11" applyNumberFormat="1" applyBorder="1" applyAlignment="1">
      <alignment horizontal="right"/>
    </xf>
    <xf numFmtId="2" fontId="11" fillId="0" borderId="6" xfId="11" applyNumberFormat="1" applyBorder="1" applyAlignment="1">
      <alignment horizontal="right"/>
    </xf>
    <xf numFmtId="167" fontId="11" fillId="0" borderId="25" xfId="11" applyNumberFormat="1" applyBorder="1" applyAlignment="1">
      <alignment horizontal="right"/>
    </xf>
    <xf numFmtId="167" fontId="11" fillId="0" borderId="128" xfId="0" applyNumberFormat="1" applyFont="1" applyBorder="1" applyAlignment="1">
      <alignment horizontal="right" vertical="center"/>
    </xf>
    <xf numFmtId="167" fontId="11" fillId="0" borderId="82" xfId="0" applyNumberFormat="1" applyFont="1" applyBorder="1" applyAlignment="1">
      <alignment horizontal="right" vertical="center"/>
    </xf>
    <xf numFmtId="167" fontId="11" fillId="0" borderId="83" xfId="0" applyNumberFormat="1" applyFont="1" applyBorder="1" applyAlignment="1">
      <alignment horizontal="right" vertical="center"/>
    </xf>
    <xf numFmtId="2" fontId="11" fillId="0" borderId="80" xfId="0" applyNumberFormat="1" applyFont="1" applyBorder="1" applyAlignment="1">
      <alignment horizontal="right" vertical="center"/>
    </xf>
    <xf numFmtId="2" fontId="11" fillId="0" borderId="42" xfId="0" applyNumberFormat="1" applyFont="1" applyBorder="1" applyAlignment="1">
      <alignment horizontal="right" vertical="center"/>
    </xf>
    <xf numFmtId="2" fontId="11" fillId="0" borderId="81" xfId="0" applyNumberFormat="1" applyFont="1" applyBorder="1" applyAlignment="1">
      <alignment horizontal="right" vertical="center"/>
    </xf>
    <xf numFmtId="2" fontId="11" fillId="0" borderId="101" xfId="0" applyNumberFormat="1" applyFont="1" applyBorder="1" applyAlignment="1">
      <alignment horizontal="right" vertical="center"/>
    </xf>
    <xf numFmtId="2" fontId="11" fillId="0" borderId="82" xfId="0" applyNumberFormat="1" applyFont="1" applyBorder="1" applyAlignment="1">
      <alignment horizontal="right" vertical="center"/>
    </xf>
    <xf numFmtId="2" fontId="11" fillId="0" borderId="41" xfId="0" applyNumberFormat="1" applyFont="1" applyBorder="1" applyAlignment="1">
      <alignment horizontal="right" vertical="center"/>
    </xf>
    <xf numFmtId="2" fontId="11" fillId="0" borderId="74" xfId="0" applyNumberFormat="1" applyFont="1" applyBorder="1" applyAlignment="1">
      <alignment horizontal="right" vertical="center"/>
    </xf>
    <xf numFmtId="2" fontId="11" fillId="0" borderId="102" xfId="0" applyNumberFormat="1" applyFont="1" applyBorder="1" applyAlignment="1">
      <alignment horizontal="right" vertical="center"/>
    </xf>
    <xf numFmtId="2" fontId="11" fillId="0" borderId="110" xfId="0" applyNumberFormat="1" applyFont="1" applyBorder="1" applyAlignment="1">
      <alignment horizontal="right" vertical="center"/>
    </xf>
    <xf numFmtId="2" fontId="11" fillId="0" borderId="72" xfId="0" applyNumberFormat="1" applyFont="1" applyBorder="1" applyAlignment="1">
      <alignment horizontal="right" vertical="center"/>
    </xf>
    <xf numFmtId="2" fontId="11" fillId="0" borderId="75" xfId="0" applyNumberFormat="1" applyFont="1" applyBorder="1" applyAlignment="1">
      <alignment horizontal="right" vertical="center"/>
    </xf>
    <xf numFmtId="2" fontId="11" fillId="0" borderId="111" xfId="0" applyNumberFormat="1" applyFont="1" applyBorder="1" applyAlignment="1">
      <alignment horizontal="right" vertical="center"/>
    </xf>
    <xf numFmtId="2" fontId="11" fillId="0" borderId="83" xfId="0" applyNumberFormat="1" applyFont="1" applyBorder="1" applyAlignment="1">
      <alignment horizontal="right" vertical="center"/>
    </xf>
    <xf numFmtId="2" fontId="11" fillId="0" borderId="99" xfId="0" applyNumberFormat="1" applyFont="1" applyBorder="1" applyAlignment="1">
      <alignment horizontal="right" vertical="center"/>
    </xf>
    <xf numFmtId="2" fontId="11" fillId="0" borderId="76" xfId="0" applyNumberFormat="1" applyFont="1" applyBorder="1" applyAlignment="1">
      <alignment horizontal="right" vertical="center"/>
    </xf>
    <xf numFmtId="2" fontId="11" fillId="0" borderId="103" xfId="0" applyNumberFormat="1" applyFont="1" applyBorder="1" applyAlignment="1">
      <alignment horizontal="right" vertical="center"/>
    </xf>
    <xf numFmtId="2" fontId="5" fillId="0" borderId="44" xfId="0" applyNumberFormat="1" applyFont="1" applyBorder="1" applyAlignment="1">
      <alignment horizontal="right" vertical="center" wrapText="1"/>
    </xf>
    <xf numFmtId="2" fontId="5" fillId="0" borderId="41" xfId="0" applyNumberFormat="1" applyFont="1" applyBorder="1" applyAlignment="1">
      <alignment horizontal="right" vertical="center" wrapText="1"/>
    </xf>
    <xf numFmtId="2" fontId="5" fillId="0" borderId="46" xfId="0" applyNumberFormat="1" applyFont="1" applyBorder="1" applyAlignment="1">
      <alignment horizontal="right" vertical="center" wrapText="1"/>
    </xf>
    <xf numFmtId="2" fontId="5" fillId="0" borderId="43" xfId="0" applyNumberFormat="1" applyFont="1" applyBorder="1" applyAlignment="1">
      <alignment horizontal="right" vertical="center" wrapText="1"/>
    </xf>
    <xf numFmtId="2" fontId="5" fillId="0" borderId="42" xfId="0" applyNumberFormat="1" applyFont="1" applyBorder="1" applyAlignment="1">
      <alignment horizontal="right" vertical="center" wrapText="1"/>
    </xf>
    <xf numFmtId="2" fontId="5" fillId="0" borderId="45" xfId="0" applyNumberFormat="1" applyFont="1" applyBorder="1" applyAlignment="1">
      <alignment horizontal="right" vertical="center" wrapText="1"/>
    </xf>
    <xf numFmtId="2" fontId="5" fillId="10" borderId="117" xfId="0" applyNumberFormat="1" applyFont="1" applyFill="1" applyBorder="1" applyAlignment="1">
      <alignment horizontal="right" vertical="center" wrapText="1"/>
    </xf>
    <xf numFmtId="2" fontId="5" fillId="10" borderId="72" xfId="0" applyNumberFormat="1" applyFont="1" applyFill="1" applyBorder="1" applyAlignment="1">
      <alignment horizontal="right" vertical="center" wrapText="1"/>
    </xf>
    <xf numFmtId="2" fontId="5" fillId="10" borderId="73" xfId="0" applyNumberFormat="1" applyFont="1" applyFill="1" applyBorder="1" applyAlignment="1">
      <alignment horizontal="right" vertical="center" wrapText="1"/>
    </xf>
    <xf numFmtId="2" fontId="5" fillId="10" borderId="130" xfId="0" applyNumberFormat="1" applyFont="1" applyFill="1" applyBorder="1" applyAlignment="1">
      <alignment horizontal="right" vertical="center" wrapText="1"/>
    </xf>
    <xf numFmtId="2" fontId="5" fillId="10" borderId="84" xfId="0" applyNumberFormat="1" applyFont="1" applyFill="1" applyBorder="1" applyAlignment="1">
      <alignment horizontal="right" vertical="center" wrapText="1"/>
    </xf>
    <xf numFmtId="2" fontId="5" fillId="10" borderId="85" xfId="0" applyNumberFormat="1" applyFont="1" applyFill="1" applyBorder="1" applyAlignment="1">
      <alignment horizontal="right" vertical="center" wrapText="1"/>
    </xf>
    <xf numFmtId="2" fontId="5" fillId="10" borderId="86" xfId="0" applyNumberFormat="1" applyFont="1" applyFill="1" applyBorder="1" applyAlignment="1">
      <alignment horizontal="right" vertical="center" wrapText="1"/>
    </xf>
    <xf numFmtId="10" fontId="11" fillId="0" borderId="71" xfId="0" applyNumberFormat="1" applyFont="1" applyBorder="1" applyAlignment="1">
      <alignment horizontal="right" vertical="center" wrapText="1"/>
    </xf>
    <xf numFmtId="10" fontId="11" fillId="0" borderId="42" xfId="0" applyNumberFormat="1" applyFont="1" applyBorder="1" applyAlignment="1">
      <alignment horizontal="right" vertical="center" wrapText="1"/>
    </xf>
    <xf numFmtId="10" fontId="11" fillId="0" borderId="113" xfId="0" applyNumberFormat="1" applyFont="1" applyBorder="1" applyAlignment="1">
      <alignment horizontal="right" vertical="center" wrapText="1"/>
    </xf>
    <xf numFmtId="10" fontId="11" fillId="0" borderId="41" xfId="0" applyNumberFormat="1" applyFont="1" applyBorder="1" applyAlignment="1">
      <alignment horizontal="right" vertical="center" wrapText="1"/>
    </xf>
    <xf numFmtId="10" fontId="11" fillId="0" borderId="116" xfId="0" applyNumberFormat="1" applyFont="1" applyBorder="1" applyAlignment="1">
      <alignment horizontal="right" vertical="center" wrapText="1"/>
    </xf>
    <xf numFmtId="10" fontId="11" fillId="0" borderId="72" xfId="0" applyNumberFormat="1" applyFont="1" applyBorder="1" applyAlignment="1">
      <alignment horizontal="right" vertical="center" wrapText="1"/>
    </xf>
    <xf numFmtId="165" fontId="11" fillId="9" borderId="22" xfId="0" applyNumberFormat="1" applyFont="1" applyFill="1" applyBorder="1" applyAlignment="1">
      <alignment horizontal="right" vertical="center" wrapText="1"/>
    </xf>
    <xf numFmtId="165" fontId="11" fillId="9" borderId="18" xfId="0" applyNumberFormat="1" applyFont="1" applyFill="1" applyBorder="1" applyAlignment="1">
      <alignment horizontal="right" vertical="center" wrapText="1"/>
    </xf>
    <xf numFmtId="165" fontId="11" fillId="15" borderId="23" xfId="0" applyNumberFormat="1" applyFont="1" applyFill="1" applyBorder="1" applyAlignment="1">
      <alignment horizontal="right" vertical="center" wrapText="1"/>
    </xf>
    <xf numFmtId="165" fontId="11" fillId="15" borderId="6" xfId="0" applyNumberFormat="1" applyFont="1" applyFill="1" applyBorder="1" applyAlignment="1">
      <alignment horizontal="right" vertical="center" wrapText="1"/>
    </xf>
    <xf numFmtId="165" fontId="11" fillId="0" borderId="6" xfId="0" applyNumberFormat="1" applyFont="1" applyBorder="1" applyAlignment="1">
      <alignment horizontal="right" vertical="center" wrapText="1"/>
    </xf>
    <xf numFmtId="165" fontId="11" fillId="15" borderId="15" xfId="0" applyNumberFormat="1" applyFont="1" applyFill="1" applyBorder="1" applyAlignment="1">
      <alignment horizontal="right" vertical="center" wrapText="1"/>
    </xf>
    <xf numFmtId="165" fontId="11" fillId="15" borderId="25" xfId="0" applyNumberFormat="1" applyFont="1" applyFill="1" applyBorder="1" applyAlignment="1">
      <alignment horizontal="right" vertical="center" wrapText="1"/>
    </xf>
    <xf numFmtId="165" fontId="11" fillId="0" borderId="25" xfId="0" applyNumberFormat="1" applyFont="1" applyBorder="1" applyAlignment="1">
      <alignment horizontal="right" vertical="center" wrapText="1"/>
    </xf>
    <xf numFmtId="165" fontId="11" fillId="15" borderId="56" xfId="0" applyNumberFormat="1" applyFont="1" applyFill="1" applyBorder="1" applyAlignment="1">
      <alignment horizontal="right" vertical="center" wrapText="1"/>
    </xf>
    <xf numFmtId="165" fontId="11" fillId="15" borderId="27" xfId="0" applyNumberFormat="1" applyFont="1" applyFill="1" applyBorder="1" applyAlignment="1">
      <alignment horizontal="right" vertical="center" wrapText="1"/>
    </xf>
    <xf numFmtId="165" fontId="11" fillId="0" borderId="27" xfId="0" applyNumberFormat="1" applyFont="1" applyBorder="1" applyAlignment="1">
      <alignment horizontal="right" vertical="center" wrapText="1"/>
    </xf>
    <xf numFmtId="165" fontId="11" fillId="9" borderId="17" xfId="0" applyNumberFormat="1" applyFont="1" applyFill="1" applyBorder="1" applyAlignment="1">
      <alignment horizontal="right" vertical="center" wrapText="1"/>
    </xf>
    <xf numFmtId="165" fontId="11" fillId="9" borderId="14" xfId="0" applyNumberFormat="1" applyFont="1" applyFill="1" applyBorder="1" applyAlignment="1">
      <alignment horizontal="right" vertical="center" wrapText="1"/>
    </xf>
    <xf numFmtId="165" fontId="5" fillId="15" borderId="23" xfId="1" applyNumberFormat="1" applyFont="1" applyFill="1" applyBorder="1" applyAlignment="1">
      <alignment horizontal="right" vertical="center" shrinkToFit="1"/>
    </xf>
    <xf numFmtId="165" fontId="5" fillId="15" borderId="6" xfId="1" applyNumberFormat="1" applyFont="1" applyFill="1" applyBorder="1" applyAlignment="1">
      <alignment horizontal="right" vertical="center" shrinkToFit="1"/>
    </xf>
    <xf numFmtId="0" fontId="14" fillId="0" borderId="0" xfId="0" applyFont="1" applyAlignment="1">
      <alignment horizontal="left" vertical="center"/>
    </xf>
    <xf numFmtId="0" fontId="17" fillId="14" borderId="138" xfId="0" applyFont="1" applyFill="1" applyBorder="1" applyAlignment="1">
      <alignment horizontal="left" vertical="center" wrapText="1"/>
    </xf>
    <xf numFmtId="0" fontId="5" fillId="14" borderId="140" xfId="0" applyFont="1" applyFill="1" applyBorder="1" applyAlignment="1">
      <alignment horizontal="left" vertical="center" wrapText="1"/>
    </xf>
    <xf numFmtId="2" fontId="11" fillId="0" borderId="141" xfId="0" applyNumberFormat="1" applyFont="1" applyBorder="1" applyAlignment="1">
      <alignment horizontal="right" vertical="center"/>
    </xf>
    <xf numFmtId="2" fontId="11" fillId="0" borderId="146" xfId="0" applyNumberFormat="1" applyFont="1" applyBorder="1" applyAlignment="1">
      <alignment horizontal="right" vertical="center"/>
    </xf>
    <xf numFmtId="0" fontId="12" fillId="15" borderId="1" xfId="0" applyFont="1" applyFill="1" applyBorder="1" applyAlignment="1">
      <alignment horizontal="left" vertical="center" wrapText="1"/>
    </xf>
    <xf numFmtId="0" fontId="12" fillId="15" borderId="154" xfId="0" applyFont="1" applyFill="1" applyBorder="1" applyAlignment="1">
      <alignment horizontal="left" vertical="center" wrapText="1"/>
    </xf>
    <xf numFmtId="0" fontId="12" fillId="15" borderId="155" xfId="0" applyFont="1" applyFill="1" applyBorder="1" applyAlignment="1">
      <alignment horizontal="left" vertical="center" wrapText="1"/>
    </xf>
    <xf numFmtId="0" fontId="12" fillId="15" borderId="156" xfId="0" applyFont="1" applyFill="1" applyBorder="1" applyAlignment="1">
      <alignment horizontal="left" vertical="center"/>
    </xf>
    <xf numFmtId="0" fontId="12" fillId="15" borderId="157" xfId="0" applyFont="1" applyFill="1" applyBorder="1" applyAlignment="1">
      <alignment horizontal="left" vertical="center"/>
    </xf>
    <xf numFmtId="0" fontId="12" fillId="15" borderId="155" xfId="0" applyFont="1" applyFill="1" applyBorder="1" applyAlignment="1">
      <alignment horizontal="left" vertical="center"/>
    </xf>
    <xf numFmtId="0" fontId="12" fillId="15" borderId="20" xfId="0" applyFont="1" applyFill="1" applyBorder="1" applyAlignment="1">
      <alignment horizontal="left" vertical="center"/>
    </xf>
    <xf numFmtId="167" fontId="17" fillId="25" borderId="17" xfId="11" applyNumberFormat="1" applyFont="1" applyFill="1" applyBorder="1" applyAlignment="1">
      <alignment horizontal="right" vertical="center" wrapText="1"/>
    </xf>
    <xf numFmtId="167" fontId="17" fillId="25" borderId="14" xfId="11" applyNumberFormat="1" applyFont="1" applyFill="1" applyBorder="1" applyAlignment="1">
      <alignment horizontal="right" vertical="center" wrapText="1"/>
    </xf>
    <xf numFmtId="167" fontId="17" fillId="25" borderId="23" xfId="11" applyNumberFormat="1" applyFont="1" applyFill="1" applyBorder="1" applyAlignment="1">
      <alignment horizontal="right" vertical="center" wrapText="1"/>
    </xf>
    <xf numFmtId="167" fontId="17" fillId="25" borderId="6" xfId="11" applyNumberFormat="1" applyFont="1" applyFill="1" applyBorder="1" applyAlignment="1">
      <alignment horizontal="right" vertical="center" wrapText="1"/>
    </xf>
    <xf numFmtId="167" fontId="11" fillId="25" borderId="23" xfId="11" applyNumberFormat="1" applyFill="1" applyBorder="1" applyAlignment="1">
      <alignment horizontal="right"/>
    </xf>
    <xf numFmtId="167" fontId="11" fillId="25" borderId="6" xfId="11" applyNumberFormat="1" applyFill="1" applyBorder="1" applyAlignment="1">
      <alignment horizontal="right"/>
    </xf>
    <xf numFmtId="2" fontId="11" fillId="25" borderId="23" xfId="11" applyNumberFormat="1" applyFill="1" applyBorder="1" applyAlignment="1">
      <alignment horizontal="right"/>
    </xf>
    <xf numFmtId="2" fontId="11" fillId="25" borderId="6" xfId="11" applyNumberFormat="1" applyFill="1" applyBorder="1" applyAlignment="1">
      <alignment horizontal="right"/>
    </xf>
    <xf numFmtId="167" fontId="11" fillId="25" borderId="15" xfId="11" applyNumberFormat="1" applyFill="1" applyBorder="1" applyAlignment="1">
      <alignment horizontal="right"/>
    </xf>
    <xf numFmtId="167" fontId="11" fillId="25" borderId="25" xfId="11" applyNumberFormat="1" applyFill="1" applyBorder="1" applyAlignment="1">
      <alignment horizontal="right"/>
    </xf>
    <xf numFmtId="0" fontId="17" fillId="26" borderId="35" xfId="0" applyFont="1" applyFill="1" applyBorder="1" applyAlignment="1">
      <alignment wrapText="1"/>
    </xf>
    <xf numFmtId="0" fontId="7" fillId="22" borderId="160" xfId="0" applyFont="1" applyFill="1" applyBorder="1" applyAlignment="1">
      <alignment horizontal="left" vertical="center" wrapText="1"/>
    </xf>
    <xf numFmtId="0" fontId="7" fillId="22" borderId="161" xfId="0" applyFont="1" applyFill="1" applyBorder="1" applyAlignment="1">
      <alignment horizontal="left" vertical="center" wrapText="1"/>
    </xf>
    <xf numFmtId="0" fontId="11" fillId="15" borderId="12" xfId="11" applyFill="1" applyBorder="1" applyAlignment="1">
      <alignment horizontal="left" vertical="center" wrapText="1"/>
    </xf>
    <xf numFmtId="0" fontId="11" fillId="15" borderId="70" xfId="11" applyFill="1" applyBorder="1" applyAlignment="1">
      <alignment vertical="center" wrapText="1"/>
    </xf>
    <xf numFmtId="0" fontId="11" fillId="15" borderId="88" xfId="11" applyFill="1" applyBorder="1" applyAlignment="1">
      <alignment vertical="center" wrapText="1"/>
    </xf>
    <xf numFmtId="2" fontId="5" fillId="3" borderId="1" xfId="1" applyNumberFormat="1" applyFont="1" applyFill="1" applyBorder="1" applyAlignment="1">
      <alignment horizontal="right" vertical="center" shrinkToFit="1"/>
    </xf>
    <xf numFmtId="165" fontId="5" fillId="3" borderId="1" xfId="1" applyNumberFormat="1" applyFont="1" applyFill="1" applyBorder="1" applyAlignment="1">
      <alignment horizontal="right" vertical="center" shrinkToFit="1"/>
    </xf>
    <xf numFmtId="166" fontId="5" fillId="3" borderId="163" xfId="1" applyNumberFormat="1" applyFont="1" applyFill="1" applyBorder="1" applyAlignment="1">
      <alignment horizontal="right" vertical="center" shrinkToFit="1"/>
    </xf>
    <xf numFmtId="2" fontId="5" fillId="3" borderId="163" xfId="1" applyNumberFormat="1" applyFont="1" applyFill="1" applyBorder="1" applyAlignment="1">
      <alignment horizontal="right" vertical="center" shrinkToFit="1"/>
    </xf>
    <xf numFmtId="2" fontId="5" fillId="3" borderId="1" xfId="1" applyNumberFormat="1" applyFont="1" applyFill="1" applyBorder="1" applyAlignment="1">
      <alignment horizontal="right" vertical="center" wrapText="1"/>
    </xf>
    <xf numFmtId="2" fontId="5" fillId="3" borderId="163" xfId="1" applyNumberFormat="1" applyFont="1" applyFill="1" applyBorder="1" applyAlignment="1">
      <alignment horizontal="right" vertical="center" wrapText="1"/>
    </xf>
    <xf numFmtId="0" fontId="31" fillId="0" borderId="0" xfId="0" applyFont="1" applyAlignment="1">
      <alignment horizontal="left" vertical="center"/>
    </xf>
    <xf numFmtId="2" fontId="5" fillId="27" borderId="43" xfId="0" applyNumberFormat="1" applyFont="1" applyFill="1" applyBorder="1" applyAlignment="1">
      <alignment horizontal="right" vertical="center" wrapText="1"/>
    </xf>
    <xf numFmtId="2" fontId="5" fillId="27" borderId="44" xfId="0" applyNumberFormat="1" applyFont="1" applyFill="1" applyBorder="1" applyAlignment="1">
      <alignment horizontal="right" vertical="center" wrapText="1"/>
    </xf>
    <xf numFmtId="2" fontId="5" fillId="27" borderId="44" xfId="0" applyNumberFormat="1" applyFont="1" applyFill="1" applyBorder="1" applyAlignment="1">
      <alignment horizontal="right" vertical="center"/>
    </xf>
    <xf numFmtId="0" fontId="11" fillId="0" borderId="164" xfId="0" applyFont="1" applyBorder="1" applyAlignment="1">
      <alignment horizontal="left" vertical="center"/>
    </xf>
    <xf numFmtId="2" fontId="5" fillId="6" borderId="129" xfId="0" applyNumberFormat="1" applyFont="1" applyFill="1" applyBorder="1" applyAlignment="1">
      <alignment vertical="center" wrapText="1"/>
    </xf>
    <xf numFmtId="2" fontId="5" fillId="6" borderId="165" xfId="0" applyNumberFormat="1" applyFont="1" applyFill="1" applyBorder="1" applyAlignment="1">
      <alignment vertical="center" wrapText="1"/>
    </xf>
    <xf numFmtId="0" fontId="7" fillId="22" borderId="38" xfId="0" applyFont="1" applyFill="1" applyBorder="1" applyAlignment="1">
      <alignment horizontal="left" vertical="center" wrapText="1"/>
    </xf>
    <xf numFmtId="0" fontId="5" fillId="17" borderId="166" xfId="0" applyFont="1" applyFill="1" applyBorder="1" applyAlignment="1">
      <alignment horizontal="left" vertical="center" wrapText="1"/>
    </xf>
    <xf numFmtId="2" fontId="5" fillId="12" borderId="167" xfId="0" applyNumberFormat="1" applyFont="1" applyFill="1" applyBorder="1" applyAlignment="1">
      <alignment vertical="center" wrapText="1"/>
    </xf>
    <xf numFmtId="0" fontId="7" fillId="22" borderId="168" xfId="0" applyFont="1" applyFill="1" applyBorder="1" applyAlignment="1">
      <alignment horizontal="left" vertical="center" wrapText="1"/>
    </xf>
    <xf numFmtId="2" fontId="5" fillId="27" borderId="167" xfId="0" applyNumberFormat="1" applyFont="1" applyFill="1" applyBorder="1" applyAlignment="1">
      <alignment horizontal="right" vertical="center" wrapText="1"/>
    </xf>
    <xf numFmtId="2" fontId="5" fillId="0" borderId="129" xfId="0" applyNumberFormat="1" applyFont="1" applyBorder="1" applyAlignment="1">
      <alignment horizontal="right" vertical="center" wrapText="1"/>
    </xf>
    <xf numFmtId="0" fontId="7" fillId="22" borderId="169" xfId="0" applyFont="1" applyFill="1" applyBorder="1" applyAlignment="1">
      <alignment horizontal="left" vertical="center" wrapText="1"/>
    </xf>
    <xf numFmtId="2" fontId="5" fillId="12" borderId="170" xfId="0" applyNumberFormat="1" applyFont="1" applyFill="1" applyBorder="1" applyAlignment="1">
      <alignment vertical="center" wrapText="1"/>
    </xf>
    <xf numFmtId="2" fontId="5" fillId="12" borderId="171" xfId="0" applyNumberFormat="1" applyFont="1" applyFill="1" applyBorder="1" applyAlignment="1">
      <alignment vertical="center" wrapText="1"/>
    </xf>
    <xf numFmtId="2" fontId="5" fillId="12" borderId="172" xfId="0" applyNumberFormat="1" applyFont="1" applyFill="1" applyBorder="1" applyAlignment="1">
      <alignment vertical="center" wrapText="1"/>
    </xf>
    <xf numFmtId="2" fontId="5" fillId="6" borderId="126" xfId="0" applyNumberFormat="1" applyFont="1" applyFill="1" applyBorder="1" applyAlignment="1">
      <alignment vertical="center" wrapText="1"/>
    </xf>
    <xf numFmtId="2" fontId="5" fillId="12" borderId="23" xfId="0" applyNumberFormat="1" applyFont="1" applyFill="1" applyBorder="1" applyAlignment="1">
      <alignment vertical="center" wrapText="1"/>
    </xf>
    <xf numFmtId="2" fontId="5" fillId="6" borderId="173" xfId="0" applyNumberFormat="1" applyFont="1" applyFill="1" applyBorder="1" applyAlignment="1">
      <alignment vertical="center" wrapText="1"/>
    </xf>
    <xf numFmtId="0" fontId="11" fillId="15" borderId="12" xfId="9" applyFont="1" applyFill="1" applyBorder="1" applyAlignment="1">
      <alignment horizontal="left" vertical="top" wrapText="1"/>
    </xf>
    <xf numFmtId="2" fontId="11" fillId="0" borderId="19" xfId="9" applyNumberFormat="1" applyFont="1" applyBorder="1" applyAlignment="1">
      <alignment horizontal="left" vertical="top" wrapText="1"/>
    </xf>
    <xf numFmtId="0" fontId="11" fillId="0" borderId="19" xfId="9" applyFont="1" applyBorder="1" applyAlignment="1">
      <alignment horizontal="left" vertical="top" wrapText="1"/>
    </xf>
    <xf numFmtId="0" fontId="11" fillId="15" borderId="12" xfId="9" applyFont="1" applyFill="1" applyBorder="1" applyAlignment="1">
      <alignment horizontal="left" vertical="top"/>
    </xf>
    <xf numFmtId="2" fontId="11" fillId="0" borderId="19" xfId="9" applyNumberFormat="1" applyFont="1" applyBorder="1" applyAlignment="1">
      <alignment horizontal="left" vertical="top"/>
    </xf>
    <xf numFmtId="0" fontId="11" fillId="15" borderId="94" xfId="0" applyFont="1" applyFill="1" applyBorder="1" applyAlignment="1">
      <alignment horizontal="left" vertical="top" wrapText="1"/>
    </xf>
    <xf numFmtId="0" fontId="11" fillId="15" borderId="21" xfId="0" applyFont="1" applyFill="1" applyBorder="1" applyAlignment="1">
      <alignment vertical="top" wrapText="1"/>
    </xf>
    <xf numFmtId="2" fontId="11" fillId="0" borderId="50" xfId="0" applyNumberFormat="1" applyFont="1" applyBorder="1" applyAlignment="1">
      <alignment horizontal="left" vertical="top" wrapText="1"/>
    </xf>
    <xf numFmtId="0" fontId="7" fillId="28" borderId="39" xfId="1" applyFont="1" applyFill="1" applyBorder="1" applyAlignment="1" applyProtection="1">
      <alignment horizontal="left" vertical="center" wrapText="1"/>
      <protection locked="0"/>
    </xf>
    <xf numFmtId="1" fontId="7" fillId="29" borderId="16" xfId="1" applyNumberFormat="1" applyFont="1" applyFill="1" applyBorder="1" applyAlignment="1" applyProtection="1">
      <alignment horizontal="left" vertical="center" wrapText="1"/>
      <protection locked="0"/>
    </xf>
    <xf numFmtId="1" fontId="7" fillId="29" borderId="47" xfId="1" applyNumberFormat="1" applyFont="1" applyFill="1" applyBorder="1" applyAlignment="1" applyProtection="1">
      <alignment horizontal="left" vertical="center" wrapText="1"/>
      <protection locked="0"/>
    </xf>
    <xf numFmtId="1" fontId="7" fillId="29" borderId="66" xfId="1" applyNumberFormat="1" applyFont="1" applyFill="1" applyBorder="1" applyAlignment="1" applyProtection="1">
      <alignment horizontal="left" vertical="center" wrapText="1"/>
      <protection locked="0"/>
    </xf>
    <xf numFmtId="0" fontId="11" fillId="28" borderId="68" xfId="0" applyFont="1" applyFill="1" applyBorder="1" applyAlignment="1">
      <alignment horizontal="left" vertical="center" wrapText="1"/>
    </xf>
    <xf numFmtId="1" fontId="7" fillId="31" borderId="47" xfId="1" applyNumberFormat="1" applyFont="1" applyFill="1" applyBorder="1" applyAlignment="1" applyProtection="1">
      <alignment horizontal="left" vertical="center" wrapText="1"/>
      <protection locked="0"/>
    </xf>
    <xf numFmtId="1" fontId="7" fillId="31" borderId="66" xfId="1" applyNumberFormat="1" applyFont="1" applyFill="1" applyBorder="1" applyAlignment="1" applyProtection="1">
      <alignment horizontal="left" vertical="center" wrapText="1"/>
      <protection locked="0"/>
    </xf>
    <xf numFmtId="1" fontId="7" fillId="31" borderId="16" xfId="1" applyNumberFormat="1" applyFont="1" applyFill="1" applyBorder="1" applyAlignment="1" applyProtection="1">
      <alignment horizontal="left" vertical="center" wrapText="1"/>
      <protection locked="0"/>
    </xf>
    <xf numFmtId="0" fontId="11" fillId="30" borderId="68" xfId="0" applyFont="1" applyFill="1" applyBorder="1" applyAlignment="1">
      <alignment horizontal="left" vertical="center" wrapText="1"/>
    </xf>
    <xf numFmtId="0" fontId="7" fillId="30" borderId="39" xfId="1" applyFont="1" applyFill="1" applyBorder="1" applyAlignment="1" applyProtection="1">
      <alignment horizontal="left" vertical="center" wrapText="1"/>
      <protection locked="0"/>
    </xf>
    <xf numFmtId="2" fontId="5" fillId="31" borderId="13" xfId="1" applyNumberFormat="1" applyFont="1" applyFill="1" applyBorder="1" applyAlignment="1" applyProtection="1">
      <alignment horizontal="left" vertical="center" shrinkToFit="1"/>
      <protection locked="0"/>
    </xf>
    <xf numFmtId="2" fontId="5" fillId="31" borderId="13" xfId="1" applyNumberFormat="1" applyFont="1" applyFill="1" applyBorder="1" applyAlignment="1" applyProtection="1">
      <alignment horizontal="left" vertical="center" wrapText="1" shrinkToFit="1"/>
      <protection locked="0"/>
    </xf>
    <xf numFmtId="1" fontId="5" fillId="31" borderId="19" xfId="1" applyNumberFormat="1" applyFont="1" applyFill="1" applyBorder="1" applyAlignment="1" applyProtection="1">
      <alignment horizontal="right" vertical="center" shrinkToFit="1"/>
      <protection locked="0"/>
    </xf>
    <xf numFmtId="2" fontId="5" fillId="23" borderId="6" xfId="1" applyNumberFormat="1" applyFont="1" applyFill="1" applyBorder="1" applyAlignment="1" applyProtection="1">
      <alignment horizontal="left" vertical="center" shrinkToFit="1"/>
      <protection locked="0"/>
    </xf>
    <xf numFmtId="2" fontId="5" fillId="23" borderId="6" xfId="1" applyNumberFormat="1" applyFont="1" applyFill="1" applyBorder="1" applyAlignment="1" applyProtection="1">
      <alignment horizontal="left" vertical="center" wrapText="1" shrinkToFit="1"/>
      <protection locked="0"/>
    </xf>
    <xf numFmtId="1" fontId="7" fillId="31" borderId="104" xfId="1" applyNumberFormat="1" applyFont="1" applyFill="1" applyBorder="1" applyAlignment="1" applyProtection="1">
      <alignment horizontal="left" vertical="center" wrapText="1"/>
      <protection locked="0"/>
    </xf>
    <xf numFmtId="0" fontId="5" fillId="31" borderId="40" xfId="1" applyFont="1" applyFill="1" applyBorder="1" applyAlignment="1" applyProtection="1">
      <alignment horizontal="left" vertical="center" shrinkToFit="1"/>
      <protection locked="0"/>
    </xf>
    <xf numFmtId="0" fontId="5" fillId="31" borderId="13" xfId="1" applyFont="1" applyFill="1" applyBorder="1" applyAlignment="1" applyProtection="1">
      <alignment horizontal="left" vertical="center" shrinkToFit="1"/>
      <protection locked="0"/>
    </xf>
    <xf numFmtId="2" fontId="5" fillId="23" borderId="22" xfId="1" applyNumberFormat="1" applyFont="1" applyFill="1" applyBorder="1" applyAlignment="1" applyProtection="1">
      <alignment horizontal="left" vertical="center" shrinkToFit="1"/>
      <protection locked="0"/>
    </xf>
    <xf numFmtId="2" fontId="5" fillId="23" borderId="18" xfId="1" applyNumberFormat="1" applyFont="1" applyFill="1" applyBorder="1" applyAlignment="1" applyProtection="1">
      <alignment horizontal="left" vertical="center" shrinkToFit="1"/>
      <protection locked="0"/>
    </xf>
    <xf numFmtId="2" fontId="5" fillId="23" borderId="18" xfId="1" applyNumberFormat="1" applyFont="1" applyFill="1" applyBorder="1" applyAlignment="1" applyProtection="1">
      <alignment horizontal="left" vertical="center" wrapText="1" shrinkToFit="1"/>
      <protection locked="0"/>
    </xf>
    <xf numFmtId="0" fontId="5" fillId="23" borderId="18" xfId="1" applyFont="1" applyFill="1" applyBorder="1" applyAlignment="1" applyProtection="1">
      <alignment horizontal="left" vertical="center" shrinkToFit="1"/>
      <protection locked="0"/>
    </xf>
    <xf numFmtId="1" fontId="5" fillId="23" borderId="29" xfId="1" applyNumberFormat="1" applyFont="1" applyFill="1" applyBorder="1" applyAlignment="1" applyProtection="1">
      <alignment horizontal="right" vertical="center" shrinkToFit="1"/>
      <protection locked="0"/>
    </xf>
    <xf numFmtId="0" fontId="5" fillId="23" borderId="23" xfId="1" applyFont="1" applyFill="1" applyBorder="1" applyAlignment="1" applyProtection="1">
      <alignment horizontal="left" vertical="center" shrinkToFit="1"/>
      <protection locked="0"/>
    </xf>
    <xf numFmtId="0" fontId="5" fillId="23" borderId="6" xfId="1" applyFont="1" applyFill="1" applyBorder="1" applyAlignment="1">
      <alignment horizontal="left" vertical="center" shrinkToFit="1"/>
    </xf>
    <xf numFmtId="1" fontId="5" fillId="23" borderId="24" xfId="1" applyNumberFormat="1" applyFont="1" applyFill="1" applyBorder="1" applyAlignment="1">
      <alignment horizontal="right" vertical="center" shrinkToFit="1"/>
    </xf>
    <xf numFmtId="0" fontId="5" fillId="23" borderId="56" xfId="1" applyFont="1" applyFill="1" applyBorder="1" applyAlignment="1" applyProtection="1">
      <alignment horizontal="left" vertical="center" shrinkToFit="1"/>
      <protection locked="0"/>
    </xf>
    <xf numFmtId="2" fontId="5" fillId="23" borderId="27" xfId="1" applyNumberFormat="1" applyFont="1" applyFill="1" applyBorder="1" applyAlignment="1" applyProtection="1">
      <alignment horizontal="left" vertical="center" shrinkToFit="1"/>
      <protection locked="0"/>
    </xf>
    <xf numFmtId="2" fontId="5" fillId="23" borderId="27" xfId="1" applyNumberFormat="1" applyFont="1" applyFill="1" applyBorder="1" applyAlignment="1" applyProtection="1">
      <alignment horizontal="left" vertical="center" wrapText="1" shrinkToFit="1"/>
      <protection locked="0"/>
    </xf>
    <xf numFmtId="0" fontId="5" fillId="23" borderId="27" xfId="1" applyFont="1" applyFill="1" applyBorder="1" applyAlignment="1" applyProtection="1">
      <alignment horizontal="left" vertical="center" shrinkToFit="1"/>
      <protection locked="0"/>
    </xf>
    <xf numFmtId="1" fontId="5" fillId="23" borderId="28" xfId="1" applyNumberFormat="1" applyFont="1" applyFill="1" applyBorder="1" applyAlignment="1">
      <alignment horizontal="right" vertical="center" shrinkToFit="1"/>
    </xf>
    <xf numFmtId="0" fontId="5" fillId="23" borderId="16" xfId="1" applyFont="1" applyFill="1" applyBorder="1" applyAlignment="1" applyProtection="1">
      <alignment horizontal="left" vertical="center" shrinkToFit="1"/>
      <protection locked="0"/>
    </xf>
    <xf numFmtId="2" fontId="5" fillId="23" borderId="47" xfId="1" applyNumberFormat="1" applyFont="1" applyFill="1" applyBorder="1" applyAlignment="1" applyProtection="1">
      <alignment horizontal="left" vertical="center" shrinkToFit="1"/>
      <protection locked="0"/>
    </xf>
    <xf numFmtId="2" fontId="5" fillId="23" borderId="47" xfId="1" applyNumberFormat="1" applyFont="1" applyFill="1" applyBorder="1" applyAlignment="1" applyProtection="1">
      <alignment horizontal="left" vertical="center" wrapText="1" shrinkToFit="1"/>
      <protection locked="0"/>
    </xf>
    <xf numFmtId="0" fontId="5" fillId="23" borderId="47" xfId="1" applyFont="1" applyFill="1" applyBorder="1" applyAlignment="1" applyProtection="1">
      <alignment horizontal="left" vertical="center" shrinkToFit="1"/>
      <protection locked="0"/>
    </xf>
    <xf numFmtId="1" fontId="5" fillId="23" borderId="66" xfId="1" applyNumberFormat="1" applyFont="1" applyFill="1" applyBorder="1" applyAlignment="1" applyProtection="1">
      <alignment horizontal="right" vertical="center" shrinkToFit="1"/>
      <protection locked="0"/>
    </xf>
    <xf numFmtId="0" fontId="7" fillId="28" borderId="20" xfId="1" applyFont="1" applyFill="1" applyBorder="1" applyAlignment="1" applyProtection="1">
      <alignment horizontal="left" vertical="center" wrapText="1"/>
      <protection locked="0"/>
    </xf>
    <xf numFmtId="1" fontId="7" fillId="29" borderId="67" xfId="1" applyNumberFormat="1" applyFont="1" applyFill="1" applyBorder="1" applyAlignment="1" applyProtection="1">
      <alignment horizontal="left" vertical="center" wrapText="1"/>
      <protection locked="0"/>
    </xf>
    <xf numFmtId="0" fontId="5" fillId="35" borderId="58" xfId="0" applyFont="1" applyFill="1" applyBorder="1" applyAlignment="1">
      <alignment horizontal="left" vertical="center" wrapText="1"/>
    </xf>
    <xf numFmtId="0" fontId="5" fillId="35" borderId="59" xfId="0" applyFont="1" applyFill="1" applyBorder="1" applyAlignment="1">
      <alignment horizontal="left" vertical="center" wrapText="1"/>
    </xf>
    <xf numFmtId="0" fontId="11" fillId="29" borderId="59" xfId="0" applyFont="1" applyFill="1" applyBorder="1" applyAlignment="1">
      <alignment horizontal="left" vertical="center" wrapText="1"/>
    </xf>
    <xf numFmtId="0" fontId="11" fillId="29" borderId="60" xfId="0" applyFont="1" applyFill="1" applyBorder="1" applyAlignment="1">
      <alignment horizontal="right" vertical="center" wrapText="1"/>
    </xf>
    <xf numFmtId="0" fontId="5" fillId="35" borderId="61" xfId="0" applyFont="1" applyFill="1" applyBorder="1" applyAlignment="1">
      <alignment horizontal="left" vertical="center" wrapText="1"/>
    </xf>
    <xf numFmtId="0" fontId="5" fillId="35" borderId="6" xfId="0" applyFont="1" applyFill="1" applyBorder="1" applyAlignment="1">
      <alignment horizontal="left" vertical="center" wrapText="1"/>
    </xf>
    <xf numFmtId="0" fontId="11" fillId="29" borderId="6" xfId="0" applyFont="1" applyFill="1" applyBorder="1" applyAlignment="1">
      <alignment horizontal="left" vertical="center" wrapText="1"/>
    </xf>
    <xf numFmtId="0" fontId="11" fillId="29" borderId="62" xfId="0" applyFont="1" applyFill="1" applyBorder="1" applyAlignment="1">
      <alignment horizontal="right" vertical="center" wrapText="1"/>
    </xf>
    <xf numFmtId="0" fontId="5" fillId="35" borderId="63" xfId="0" applyFont="1" applyFill="1" applyBorder="1" applyAlignment="1">
      <alignment horizontal="left" vertical="center" wrapText="1"/>
    </xf>
    <xf numFmtId="0" fontId="5" fillId="35" borderId="64" xfId="0" applyFont="1" applyFill="1" applyBorder="1" applyAlignment="1">
      <alignment horizontal="left" vertical="center" wrapText="1"/>
    </xf>
    <xf numFmtId="0" fontId="11" fillId="29" borderId="64" xfId="0" applyFont="1" applyFill="1" applyBorder="1" applyAlignment="1">
      <alignment horizontal="left" vertical="center" wrapText="1"/>
    </xf>
    <xf numFmtId="0" fontId="11" fillId="29" borderId="65" xfId="0" applyFont="1" applyFill="1" applyBorder="1" applyAlignment="1">
      <alignment horizontal="right" vertical="center" wrapText="1"/>
    </xf>
    <xf numFmtId="1" fontId="7" fillId="29" borderId="158" xfId="1" applyNumberFormat="1" applyFont="1" applyFill="1" applyBorder="1" applyAlignment="1">
      <alignment horizontal="left" vertical="center" wrapText="1"/>
    </xf>
    <xf numFmtId="1" fontId="7" fillId="29" borderId="123" xfId="1" applyNumberFormat="1" applyFont="1" applyFill="1" applyBorder="1" applyAlignment="1">
      <alignment horizontal="left" vertical="center" wrapText="1"/>
    </xf>
    <xf numFmtId="1" fontId="7" fillId="29" borderId="159" xfId="1" applyNumberFormat="1" applyFont="1" applyFill="1" applyBorder="1" applyAlignment="1">
      <alignment horizontal="left" vertical="center" wrapText="1"/>
    </xf>
    <xf numFmtId="1" fontId="7" fillId="29" borderId="132" xfId="1" applyNumberFormat="1" applyFont="1" applyFill="1" applyBorder="1" applyAlignment="1">
      <alignment horizontal="left" vertical="center" wrapText="1"/>
    </xf>
    <xf numFmtId="49" fontId="5" fillId="29" borderId="162" xfId="1" applyNumberFormat="1" applyFont="1" applyFill="1" applyBorder="1" applyAlignment="1">
      <alignment horizontal="left" vertical="center" wrapText="1"/>
    </xf>
    <xf numFmtId="1" fontId="5" fillId="29" borderId="162" xfId="1" applyNumberFormat="1" applyFont="1" applyFill="1" applyBorder="1" applyAlignment="1">
      <alignment horizontal="right" vertical="center" shrinkToFit="1"/>
    </xf>
    <xf numFmtId="49" fontId="5" fillId="29" borderId="49" xfId="1" applyNumberFormat="1" applyFont="1" applyFill="1" applyBorder="1" applyAlignment="1">
      <alignment horizontal="left" vertical="center" wrapText="1"/>
    </xf>
    <xf numFmtId="1" fontId="5" fillId="29" borderId="49" xfId="1" applyNumberFormat="1" applyFont="1" applyFill="1" applyBorder="1" applyAlignment="1">
      <alignment horizontal="right" vertical="center" shrinkToFit="1"/>
    </xf>
    <xf numFmtId="2" fontId="5" fillId="29" borderId="162" xfId="1" applyNumberFormat="1" applyFont="1" applyFill="1" applyBorder="1" applyAlignment="1">
      <alignment horizontal="left" vertical="center" shrinkToFit="1"/>
    </xf>
    <xf numFmtId="2" fontId="5" fillId="29" borderId="162" xfId="1" applyNumberFormat="1" applyFont="1" applyFill="1" applyBorder="1" applyAlignment="1">
      <alignment horizontal="left" vertical="center" wrapText="1" shrinkToFit="1"/>
    </xf>
    <xf numFmtId="49" fontId="5" fillId="29" borderId="162" xfId="1" applyNumberFormat="1" applyFont="1" applyFill="1" applyBorder="1" applyAlignment="1">
      <alignment horizontal="left" vertical="center" wrapText="1" shrinkToFit="1"/>
    </xf>
    <xf numFmtId="1" fontId="5" fillId="29" borderId="162" xfId="1" applyNumberFormat="1" applyFont="1" applyFill="1" applyBorder="1" applyAlignment="1">
      <alignment horizontal="right" vertical="center" wrapText="1"/>
    </xf>
    <xf numFmtId="1" fontId="7" fillId="29" borderId="133" xfId="1" applyNumberFormat="1" applyFont="1" applyFill="1" applyBorder="1" applyAlignment="1">
      <alignment horizontal="left" vertical="center" wrapText="1"/>
    </xf>
    <xf numFmtId="1" fontId="7" fillId="29" borderId="134" xfId="1" applyNumberFormat="1" applyFont="1" applyFill="1" applyBorder="1" applyAlignment="1">
      <alignment horizontal="left" vertical="center" wrapText="1"/>
    </xf>
    <xf numFmtId="1" fontId="7" fillId="29" borderId="135" xfId="1" applyNumberFormat="1" applyFont="1" applyFill="1" applyBorder="1" applyAlignment="1">
      <alignment horizontal="left" vertical="center" wrapText="1"/>
    </xf>
    <xf numFmtId="165" fontId="7" fillId="36" borderId="12" xfId="1" applyNumberFormat="1" applyFont="1" applyFill="1" applyBorder="1" applyAlignment="1" applyProtection="1">
      <alignment horizontal="left" vertical="center" wrapText="1"/>
      <protection locked="0"/>
    </xf>
    <xf numFmtId="0" fontId="7" fillId="36" borderId="13" xfId="1" applyFont="1" applyFill="1" applyBorder="1" applyAlignment="1" applyProtection="1">
      <alignment horizontal="left" vertical="center" wrapText="1"/>
      <protection locked="0"/>
    </xf>
    <xf numFmtId="165" fontId="5" fillId="36" borderId="17" xfId="1" applyNumberFormat="1" applyFont="1" applyFill="1" applyBorder="1" applyAlignment="1">
      <alignment horizontal="left" vertical="center" wrapText="1"/>
    </xf>
    <xf numFmtId="0" fontId="5" fillId="36" borderId="14" xfId="1" applyFont="1" applyFill="1" applyBorder="1" applyAlignment="1">
      <alignment horizontal="left" vertical="center" wrapText="1"/>
    </xf>
    <xf numFmtId="0" fontId="7" fillId="36" borderId="19" xfId="1" applyFont="1" applyFill="1" applyBorder="1" applyAlignment="1" applyProtection="1">
      <alignment horizontal="left" vertical="center" wrapText="1"/>
      <protection locked="0"/>
    </xf>
    <xf numFmtId="2" fontId="5" fillId="36" borderId="14" xfId="1" applyNumberFormat="1" applyFont="1" applyFill="1" applyBorder="1" applyAlignment="1">
      <alignment horizontal="right" vertical="center"/>
    </xf>
    <xf numFmtId="0" fontId="5" fillId="36" borderId="14" xfId="1" applyFont="1" applyFill="1" applyBorder="1" applyAlignment="1" applyProtection="1">
      <alignment horizontal="left" vertical="center" wrapText="1"/>
      <protection locked="0"/>
    </xf>
    <xf numFmtId="0" fontId="5" fillId="36" borderId="48" xfId="1" applyFont="1" applyFill="1" applyBorder="1" applyAlignment="1" applyProtection="1">
      <alignment horizontal="left" vertical="center" wrapText="1"/>
      <protection locked="0"/>
    </xf>
    <xf numFmtId="165" fontId="5" fillId="36" borderId="17" xfId="1" applyNumberFormat="1" applyFont="1" applyFill="1" applyBorder="1" applyAlignment="1" applyProtection="1">
      <alignment horizontal="left" vertical="center" wrapText="1"/>
      <protection locked="0"/>
    </xf>
    <xf numFmtId="0" fontId="7" fillId="36" borderId="14" xfId="1" applyFont="1" applyFill="1" applyBorder="1" applyAlignment="1">
      <alignment horizontal="left" vertical="center" wrapText="1"/>
    </xf>
    <xf numFmtId="0" fontId="7" fillId="36" borderId="19" xfId="1" applyFont="1" applyFill="1" applyBorder="1" applyAlignment="1">
      <alignment horizontal="left" vertical="center" wrapText="1"/>
    </xf>
    <xf numFmtId="0" fontId="7" fillId="36" borderId="12" xfId="1" applyFont="1" applyFill="1" applyBorder="1" applyAlignment="1" applyProtection="1">
      <alignment horizontal="left" vertical="center" wrapText="1"/>
      <protection locked="0"/>
    </xf>
    <xf numFmtId="0" fontId="7" fillId="36" borderId="47" xfId="1" applyFont="1" applyFill="1" applyBorder="1" applyAlignment="1" applyProtection="1">
      <alignment horizontal="left" vertical="center" wrapText="1"/>
      <protection locked="0"/>
    </xf>
    <xf numFmtId="0" fontId="7" fillId="36" borderId="51" xfId="1" applyFont="1" applyFill="1" applyBorder="1" applyAlignment="1" applyProtection="1">
      <alignment horizontal="left" vertical="center" wrapText="1"/>
      <protection locked="0"/>
    </xf>
    <xf numFmtId="0" fontId="7" fillId="34" borderId="20" xfId="1" applyFont="1" applyFill="1" applyBorder="1" applyAlignment="1" applyProtection="1">
      <alignment horizontal="left" vertical="center" wrapText="1"/>
      <protection locked="0"/>
    </xf>
    <xf numFmtId="0" fontId="7" fillId="34" borderId="39" xfId="1" applyFont="1" applyFill="1" applyBorder="1" applyAlignment="1" applyProtection="1">
      <alignment horizontal="left" vertical="center" wrapText="1"/>
      <protection locked="0"/>
    </xf>
    <xf numFmtId="0" fontId="5" fillId="37" borderId="21" xfId="0" applyFont="1" applyFill="1" applyBorder="1" applyAlignment="1">
      <alignment horizontal="left" vertical="center" wrapText="1"/>
    </xf>
    <xf numFmtId="0" fontId="5" fillId="37" borderId="18" xfId="0" applyFont="1" applyFill="1" applyBorder="1" applyAlignment="1">
      <alignment horizontal="left" vertical="center" wrapText="1"/>
    </xf>
    <xf numFmtId="0" fontId="11" fillId="38" borderId="18" xfId="0" applyFont="1" applyFill="1" applyBorder="1" applyAlignment="1">
      <alignment horizontal="left" vertical="center" wrapText="1"/>
    </xf>
    <xf numFmtId="0" fontId="11" fillId="38" borderId="29" xfId="0" applyFont="1" applyFill="1" applyBorder="1" applyAlignment="1">
      <alignment horizontal="right" vertical="center" wrapText="1"/>
    </xf>
    <xf numFmtId="0" fontId="5" fillId="37" borderId="8" xfId="0" applyFont="1" applyFill="1" applyBorder="1" applyAlignment="1">
      <alignment horizontal="left" vertical="center" wrapText="1"/>
    </xf>
    <xf numFmtId="0" fontId="5" fillId="37" borderId="6" xfId="0" applyFont="1" applyFill="1" applyBorder="1" applyAlignment="1">
      <alignment horizontal="left" vertical="center" wrapText="1"/>
    </xf>
    <xf numFmtId="0" fontId="11" fillId="38" borderId="6" xfId="0" applyFont="1" applyFill="1" applyBorder="1" applyAlignment="1">
      <alignment horizontal="left" vertical="center" wrapText="1"/>
    </xf>
    <xf numFmtId="0" fontId="11" fillId="38" borderId="24" xfId="0" applyFont="1" applyFill="1" applyBorder="1" applyAlignment="1">
      <alignment horizontal="right" vertical="center" wrapText="1"/>
    </xf>
    <xf numFmtId="0" fontId="5" fillId="37" borderId="31" xfId="0" applyFont="1" applyFill="1" applyBorder="1" applyAlignment="1">
      <alignment horizontal="left" vertical="center" wrapText="1"/>
    </xf>
    <xf numFmtId="0" fontId="5" fillId="37" borderId="25" xfId="0" applyFont="1" applyFill="1" applyBorder="1" applyAlignment="1">
      <alignment horizontal="left" vertical="center" wrapText="1"/>
    </xf>
    <xf numFmtId="0" fontId="11" fillId="38" borderId="25" xfId="0" applyFont="1" applyFill="1" applyBorder="1" applyAlignment="1">
      <alignment horizontal="left" vertical="center" wrapText="1"/>
    </xf>
    <xf numFmtId="0" fontId="11" fillId="38" borderId="57" xfId="0" applyFont="1" applyFill="1" applyBorder="1" applyAlignment="1">
      <alignment horizontal="right" vertical="center" wrapText="1"/>
    </xf>
    <xf numFmtId="0" fontId="11" fillId="38" borderId="71" xfId="0" applyFont="1" applyFill="1" applyBorder="1" applyAlignment="1">
      <alignment horizontal="left" vertical="center" wrapText="1"/>
    </xf>
    <xf numFmtId="0" fontId="17" fillId="38" borderId="42" xfId="0" applyFont="1" applyFill="1" applyBorder="1" applyAlignment="1">
      <alignment horizontal="left" vertical="center" wrapText="1"/>
    </xf>
    <xf numFmtId="0" fontId="11" fillId="38" borderId="42" xfId="0" applyFont="1" applyFill="1" applyBorder="1" applyAlignment="1">
      <alignment horizontal="left" vertical="center" wrapText="1"/>
    </xf>
    <xf numFmtId="0" fontId="11" fillId="38" borderId="81" xfId="0" applyFont="1" applyFill="1" applyBorder="1" applyAlignment="1">
      <alignment horizontal="right" vertical="center" wrapText="1"/>
    </xf>
    <xf numFmtId="0" fontId="11" fillId="38" borderId="113" xfId="0" applyFont="1" applyFill="1" applyBorder="1" applyAlignment="1">
      <alignment horizontal="left" vertical="center" wrapText="1"/>
    </xf>
    <xf numFmtId="0" fontId="17" fillId="38" borderId="41" xfId="0" applyFont="1" applyFill="1" applyBorder="1" applyAlignment="1">
      <alignment horizontal="left" vertical="center" wrapText="1"/>
    </xf>
    <xf numFmtId="0" fontId="11" fillId="38" borderId="41" xfId="0" applyFont="1" applyFill="1" applyBorder="1" applyAlignment="1">
      <alignment horizontal="left" vertical="center" wrapText="1"/>
    </xf>
    <xf numFmtId="0" fontId="11" fillId="38" borderId="74" xfId="0" applyFont="1" applyFill="1" applyBorder="1" applyAlignment="1">
      <alignment horizontal="right" vertical="center" wrapText="1"/>
    </xf>
    <xf numFmtId="0" fontId="11" fillId="38" borderId="116" xfId="0" applyFont="1" applyFill="1" applyBorder="1" applyAlignment="1">
      <alignment horizontal="left" vertical="center" wrapText="1"/>
    </xf>
    <xf numFmtId="0" fontId="17" fillId="38" borderId="72" xfId="0" applyFont="1" applyFill="1" applyBorder="1" applyAlignment="1">
      <alignment horizontal="left" vertical="center" wrapText="1"/>
    </xf>
    <xf numFmtId="0" fontId="11" fillId="38" borderId="72" xfId="0" applyFont="1" applyFill="1" applyBorder="1" applyAlignment="1">
      <alignment horizontal="left" vertical="center" wrapText="1"/>
    </xf>
    <xf numFmtId="0" fontId="11" fillId="38" borderId="75" xfId="0" applyFont="1" applyFill="1" applyBorder="1" applyAlignment="1">
      <alignment horizontal="right" vertical="center" wrapText="1"/>
    </xf>
    <xf numFmtId="2" fontId="5" fillId="38" borderId="162" xfId="1" applyNumberFormat="1" applyFont="1" applyFill="1" applyBorder="1" applyAlignment="1">
      <alignment horizontal="left" vertical="center" shrinkToFit="1"/>
    </xf>
    <xf numFmtId="2" fontId="5" fillId="38" borderId="162" xfId="1" applyNumberFormat="1" applyFont="1" applyFill="1" applyBorder="1" applyAlignment="1">
      <alignment horizontal="left" vertical="center" wrapText="1" shrinkToFit="1"/>
    </xf>
    <xf numFmtId="1" fontId="5" fillId="38" borderId="162" xfId="1" applyNumberFormat="1" applyFont="1" applyFill="1" applyBorder="1" applyAlignment="1">
      <alignment horizontal="right" vertical="center" shrinkToFit="1"/>
    </xf>
    <xf numFmtId="49" fontId="5" fillId="38" borderId="162" xfId="1" applyNumberFormat="1" applyFont="1" applyFill="1" applyBorder="1" applyAlignment="1">
      <alignment horizontal="left" vertical="center" wrapText="1" shrinkToFit="1"/>
    </xf>
    <xf numFmtId="1" fontId="5" fillId="38" borderId="162" xfId="1" applyNumberFormat="1" applyFont="1" applyFill="1" applyBorder="1" applyAlignment="1">
      <alignment horizontal="right" vertical="center" wrapText="1"/>
    </xf>
    <xf numFmtId="2" fontId="5" fillId="38" borderId="49" xfId="1" applyNumberFormat="1" applyFont="1" applyFill="1" applyBorder="1" applyAlignment="1">
      <alignment horizontal="left" vertical="center" shrinkToFit="1"/>
    </xf>
    <xf numFmtId="2" fontId="5" fillId="38" borderId="49" xfId="1" applyNumberFormat="1" applyFont="1" applyFill="1" applyBorder="1" applyAlignment="1">
      <alignment horizontal="left" vertical="center" wrapText="1" shrinkToFit="1"/>
    </xf>
    <xf numFmtId="1" fontId="5" fillId="38" borderId="49" xfId="1" applyNumberFormat="1" applyFont="1" applyFill="1" applyBorder="1" applyAlignment="1">
      <alignment horizontal="right" vertical="center" shrinkToFit="1"/>
    </xf>
    <xf numFmtId="49" fontId="5" fillId="38" borderId="49" xfId="1" applyNumberFormat="1" applyFont="1" applyFill="1" applyBorder="1" applyAlignment="1">
      <alignment horizontal="left" vertical="center" wrapText="1" shrinkToFit="1"/>
    </xf>
    <xf numFmtId="1" fontId="5" fillId="38" borderId="49" xfId="1" applyNumberFormat="1" applyFont="1" applyFill="1" applyBorder="1" applyAlignment="1">
      <alignment horizontal="right" vertical="center" wrapText="1"/>
    </xf>
    <xf numFmtId="0" fontId="11" fillId="38" borderId="80" xfId="0" applyFont="1" applyFill="1" applyBorder="1" applyAlignment="1">
      <alignment horizontal="left" vertical="center" wrapText="1"/>
    </xf>
    <xf numFmtId="0" fontId="11" fillId="38" borderId="82" xfId="0" applyFont="1" applyFill="1" applyBorder="1" applyAlignment="1">
      <alignment horizontal="left" vertical="center" wrapText="1"/>
    </xf>
    <xf numFmtId="0" fontId="11" fillId="38" borderId="83" xfId="0" applyFont="1" applyFill="1" applyBorder="1" applyAlignment="1">
      <alignment horizontal="left" vertical="center" wrapText="1"/>
    </xf>
    <xf numFmtId="0" fontId="17" fillId="38" borderId="99" xfId="0" applyFont="1" applyFill="1" applyBorder="1" applyAlignment="1">
      <alignment horizontal="left" vertical="center" wrapText="1"/>
    </xf>
    <xf numFmtId="0" fontId="11" fillId="38" borderId="99" xfId="0" applyFont="1" applyFill="1" applyBorder="1" applyAlignment="1">
      <alignment horizontal="left" vertical="center" wrapText="1"/>
    </xf>
    <xf numFmtId="0" fontId="11" fillId="38" borderId="76" xfId="0" applyFont="1" applyFill="1" applyBorder="1" applyAlignment="1">
      <alignment horizontal="right" vertical="center" wrapText="1"/>
    </xf>
    <xf numFmtId="49" fontId="3" fillId="0" borderId="0" xfId="2" applyNumberFormat="1" applyAlignment="1" applyProtection="1"/>
    <xf numFmtId="0" fontId="7" fillId="34" borderId="39" xfId="10" applyFont="1" applyFill="1" applyBorder="1" applyAlignment="1" applyProtection="1">
      <alignment horizontal="left" vertical="center" wrapText="1"/>
      <protection locked="0"/>
    </xf>
    <xf numFmtId="1" fontId="7" fillId="0" borderId="10" xfId="10" applyNumberFormat="1" applyFont="1" applyBorder="1" applyAlignment="1" applyProtection="1">
      <alignment horizontal="left" vertical="center" wrapText="1"/>
      <protection locked="0"/>
    </xf>
    <xf numFmtId="1" fontId="7" fillId="36" borderId="16" xfId="10" applyNumberFormat="1" applyFont="1" applyFill="1" applyBorder="1" applyAlignment="1" applyProtection="1">
      <alignment horizontal="left" vertical="center" wrapText="1"/>
      <protection locked="0"/>
    </xf>
    <xf numFmtId="1" fontId="7" fillId="36" borderId="47" xfId="10" applyNumberFormat="1" applyFont="1" applyFill="1" applyBorder="1" applyAlignment="1" applyProtection="1">
      <alignment horizontal="left" vertical="center" wrapText="1"/>
      <protection locked="0"/>
    </xf>
    <xf numFmtId="1" fontId="7" fillId="36" borderId="66" xfId="10" applyNumberFormat="1" applyFont="1" applyFill="1" applyBorder="1" applyAlignment="1" applyProtection="1">
      <alignment horizontal="left" vertical="center" wrapText="1"/>
      <protection locked="0"/>
    </xf>
    <xf numFmtId="0" fontId="5" fillId="40" borderId="22" xfId="10" applyFont="1" applyFill="1" applyBorder="1" applyAlignment="1">
      <alignment horizontal="left" vertical="center" shrinkToFit="1"/>
    </xf>
    <xf numFmtId="0" fontId="5" fillId="40" borderId="18" xfId="10" applyFont="1" applyFill="1" applyBorder="1" applyAlignment="1" applyProtection="1">
      <alignment horizontal="left" vertical="center" wrapText="1" shrinkToFit="1"/>
      <protection locked="0"/>
    </xf>
    <xf numFmtId="49" fontId="5" fillId="40" borderId="18" xfId="10" applyNumberFormat="1" applyFont="1" applyFill="1" applyBorder="1" applyAlignment="1" applyProtection="1">
      <alignment horizontal="left" vertical="center" wrapText="1" shrinkToFit="1"/>
      <protection locked="0"/>
    </xf>
    <xf numFmtId="0" fontId="5" fillId="40" borderId="18" xfId="10" applyFont="1" applyFill="1" applyBorder="1" applyAlignment="1" applyProtection="1">
      <alignment horizontal="left" vertical="center" shrinkToFit="1"/>
      <protection locked="0"/>
    </xf>
    <xf numFmtId="1" fontId="5" fillId="40" borderId="29" xfId="10" applyNumberFormat="1" applyFont="1" applyFill="1" applyBorder="1" applyAlignment="1" applyProtection="1">
      <alignment horizontal="right" vertical="center" shrinkToFit="1"/>
      <protection locked="0"/>
    </xf>
    <xf numFmtId="2" fontId="5" fillId="15" borderId="22" xfId="10" applyNumberFormat="1" applyFont="1" applyFill="1" applyBorder="1" applyAlignment="1" applyProtection="1">
      <alignment horizontal="right" vertical="center" shrinkToFit="1"/>
      <protection locked="0"/>
    </xf>
    <xf numFmtId="2" fontId="5" fillId="7" borderId="18" xfId="10" applyNumberFormat="1" applyFont="1" applyFill="1" applyBorder="1" applyAlignment="1" applyProtection="1">
      <alignment horizontal="right" vertical="center" shrinkToFit="1"/>
      <protection locked="0"/>
    </xf>
    <xf numFmtId="2" fontId="5" fillId="7" borderId="29" xfId="10" applyNumberFormat="1" applyFont="1" applyFill="1" applyBorder="1" applyAlignment="1" applyProtection="1">
      <alignment horizontal="right" vertical="center" shrinkToFit="1"/>
      <protection locked="0"/>
    </xf>
    <xf numFmtId="49" fontId="5" fillId="40" borderId="23" xfId="10" applyNumberFormat="1" applyFont="1" applyFill="1" applyBorder="1" applyAlignment="1" applyProtection="1">
      <alignment horizontal="left" vertical="center" shrinkToFit="1"/>
      <protection locked="0"/>
    </xf>
    <xf numFmtId="0" fontId="5" fillId="40" borderId="6" xfId="10" applyFont="1" applyFill="1" applyBorder="1" applyAlignment="1" applyProtection="1">
      <alignment horizontal="left" vertical="center" wrapText="1" shrinkToFit="1"/>
      <protection locked="0"/>
    </xf>
    <xf numFmtId="49" fontId="5" fillId="40" borderId="6" xfId="10" applyNumberFormat="1" applyFont="1" applyFill="1" applyBorder="1" applyAlignment="1" applyProtection="1">
      <alignment horizontal="left" vertical="center" wrapText="1" shrinkToFit="1"/>
      <protection locked="0"/>
    </xf>
    <xf numFmtId="0" fontId="5" fillId="40" borderId="6" xfId="10" applyFont="1" applyFill="1" applyBorder="1" applyAlignment="1" applyProtection="1">
      <alignment horizontal="left" vertical="center" shrinkToFit="1"/>
      <protection locked="0"/>
    </xf>
    <xf numFmtId="1" fontId="5" fillId="40" borderId="24" xfId="10" applyNumberFormat="1" applyFont="1" applyFill="1" applyBorder="1" applyAlignment="1" applyProtection="1">
      <alignment horizontal="right" vertical="center" shrinkToFit="1"/>
      <protection locked="0"/>
    </xf>
    <xf numFmtId="2" fontId="5" fillId="15" borderId="23" xfId="10" applyNumberFormat="1" applyFont="1" applyFill="1" applyBorder="1" applyAlignment="1" applyProtection="1">
      <alignment horizontal="right" vertical="center" shrinkToFit="1"/>
      <protection locked="0"/>
    </xf>
    <xf numFmtId="2" fontId="5" fillId="0" borderId="6" xfId="10" applyNumberFormat="1" applyFont="1" applyBorder="1" applyAlignment="1" applyProtection="1">
      <alignment horizontal="right" vertical="center" shrinkToFit="1"/>
      <protection locked="0"/>
    </xf>
    <xf numFmtId="2" fontId="5" fillId="0" borderId="24" xfId="10" applyNumberFormat="1" applyFont="1" applyBorder="1" applyAlignment="1" applyProtection="1">
      <alignment horizontal="right" vertical="center" shrinkToFit="1"/>
      <protection locked="0"/>
    </xf>
    <xf numFmtId="0" fontId="5" fillId="40" borderId="23" xfId="10" applyFont="1" applyFill="1" applyBorder="1" applyAlignment="1" applyProtection="1">
      <alignment horizontal="left" vertical="center" shrinkToFit="1"/>
      <protection locked="0"/>
    </xf>
    <xf numFmtId="2" fontId="5" fillId="7" borderId="6" xfId="10" applyNumberFormat="1" applyFont="1" applyFill="1" applyBorder="1" applyAlignment="1" applyProtection="1">
      <alignment horizontal="right" vertical="center" shrinkToFit="1"/>
      <protection locked="0"/>
    </xf>
    <xf numFmtId="2" fontId="5" fillId="7" borderId="24" xfId="10" applyNumberFormat="1" applyFont="1" applyFill="1" applyBorder="1" applyAlignment="1" applyProtection="1">
      <alignment horizontal="right" vertical="center" shrinkToFit="1"/>
      <protection locked="0"/>
    </xf>
    <xf numFmtId="2" fontId="5" fillId="40" borderId="6" xfId="10" applyNumberFormat="1" applyFont="1" applyFill="1" applyBorder="1" applyAlignment="1">
      <alignment horizontal="left" vertical="center" wrapText="1"/>
    </xf>
    <xf numFmtId="2" fontId="5" fillId="3" borderId="23" xfId="10" applyNumberFormat="1" applyFont="1" applyFill="1" applyBorder="1" applyAlignment="1" applyProtection="1">
      <alignment horizontal="right" vertical="center" shrinkToFit="1"/>
      <protection locked="0"/>
    </xf>
    <xf numFmtId="2" fontId="5" fillId="3" borderId="24" xfId="10" applyNumberFormat="1" applyFont="1" applyFill="1" applyBorder="1" applyAlignment="1" applyProtection="1">
      <alignment horizontal="right" vertical="center" shrinkToFit="1"/>
      <protection locked="0"/>
    </xf>
    <xf numFmtId="2" fontId="5" fillId="40" borderId="23" xfId="10" applyNumberFormat="1" applyFont="1" applyFill="1" applyBorder="1" applyAlignment="1" applyProtection="1">
      <alignment horizontal="left" vertical="center" shrinkToFit="1"/>
      <protection locked="0"/>
    </xf>
    <xf numFmtId="2" fontId="5" fillId="40" borderId="6" xfId="10" applyNumberFormat="1" applyFont="1" applyFill="1" applyBorder="1" applyAlignment="1" applyProtection="1">
      <alignment horizontal="left" vertical="center" wrapText="1" shrinkToFit="1"/>
      <protection locked="0"/>
    </xf>
    <xf numFmtId="2" fontId="5" fillId="40" borderId="6" xfId="10" applyNumberFormat="1" applyFont="1" applyFill="1" applyBorder="1" applyAlignment="1" applyProtection="1">
      <alignment horizontal="left" vertical="center" shrinkToFit="1"/>
      <protection locked="0"/>
    </xf>
    <xf numFmtId="2" fontId="5" fillId="3" borderId="6" xfId="10" applyNumberFormat="1" applyFont="1" applyFill="1" applyBorder="1" applyAlignment="1" applyProtection="1">
      <alignment horizontal="right" vertical="center" shrinkToFit="1"/>
      <protection locked="0"/>
    </xf>
    <xf numFmtId="2" fontId="5" fillId="15" borderId="6" xfId="10" applyNumberFormat="1" applyFont="1" applyFill="1" applyBorder="1" applyAlignment="1" applyProtection="1">
      <alignment horizontal="right" vertical="center" shrinkToFit="1"/>
      <protection locked="0"/>
    </xf>
    <xf numFmtId="2" fontId="5" fillId="15" borderId="24" xfId="10" applyNumberFormat="1" applyFont="1" applyFill="1" applyBorder="1" applyAlignment="1" applyProtection="1">
      <alignment horizontal="right" vertical="center" shrinkToFit="1"/>
      <protection locked="0"/>
    </xf>
    <xf numFmtId="2" fontId="5" fillId="40" borderId="56" xfId="10" applyNumberFormat="1" applyFont="1" applyFill="1" applyBorder="1" applyAlignment="1" applyProtection="1">
      <alignment horizontal="left" vertical="center" shrinkToFit="1"/>
      <protection locked="0"/>
    </xf>
    <xf numFmtId="2" fontId="5" fillId="40" borderId="27" xfId="10" applyNumberFormat="1" applyFont="1" applyFill="1" applyBorder="1" applyAlignment="1" applyProtection="1">
      <alignment horizontal="left" vertical="center" wrapText="1" shrinkToFit="1"/>
      <protection locked="0"/>
    </xf>
    <xf numFmtId="2" fontId="5" fillId="40" borderId="27" xfId="10" applyNumberFormat="1" applyFont="1" applyFill="1" applyBorder="1" applyAlignment="1" applyProtection="1">
      <alignment horizontal="left" vertical="center" shrinkToFit="1"/>
      <protection locked="0"/>
    </xf>
    <xf numFmtId="1" fontId="5" fillId="40" borderId="28" xfId="10" applyNumberFormat="1" applyFont="1" applyFill="1" applyBorder="1" applyAlignment="1" applyProtection="1">
      <alignment horizontal="right" vertical="center" shrinkToFit="1"/>
      <protection locked="0"/>
    </xf>
    <xf numFmtId="2" fontId="5" fillId="3" borderId="56" xfId="10" applyNumberFormat="1" applyFont="1" applyFill="1" applyBorder="1" applyAlignment="1" applyProtection="1">
      <alignment horizontal="right" vertical="center" shrinkToFit="1"/>
      <protection locked="0"/>
    </xf>
    <xf numFmtId="2" fontId="5" fillId="3" borderId="28" xfId="10" applyNumberFormat="1" applyFont="1" applyFill="1" applyBorder="1" applyAlignment="1" applyProtection="1">
      <alignment horizontal="right" vertical="center" shrinkToFit="1"/>
      <protection locked="0"/>
    </xf>
    <xf numFmtId="0" fontId="5" fillId="36" borderId="22" xfId="10" applyFont="1" applyFill="1" applyBorder="1" applyAlignment="1">
      <alignment horizontal="left" vertical="center" shrinkToFit="1"/>
    </xf>
    <xf numFmtId="0" fontId="5" fillId="36" borderId="18" xfId="10" applyFont="1" applyFill="1" applyBorder="1" applyAlignment="1" applyProtection="1">
      <alignment horizontal="left" vertical="center" wrapText="1" shrinkToFit="1"/>
      <protection locked="0"/>
    </xf>
    <xf numFmtId="0" fontId="5" fillId="36" borderId="23" xfId="10" applyFont="1" applyFill="1" applyBorder="1" applyAlignment="1" applyProtection="1">
      <alignment horizontal="left" vertical="center" shrinkToFit="1"/>
      <protection locked="0"/>
    </xf>
    <xf numFmtId="2" fontId="5" fillId="36" borderId="6" xfId="10" applyNumberFormat="1" applyFont="1" applyFill="1" applyBorder="1" applyAlignment="1">
      <alignment horizontal="left" vertical="center" wrapText="1"/>
    </xf>
    <xf numFmtId="49" fontId="5" fillId="36" borderId="6" xfId="10" applyNumberFormat="1" applyFont="1" applyFill="1" applyBorder="1" applyAlignment="1">
      <alignment horizontal="left" vertical="center" wrapText="1" shrinkToFit="1"/>
    </xf>
    <xf numFmtId="0" fontId="5" fillId="36" borderId="6" xfId="10" applyFont="1" applyFill="1" applyBorder="1" applyAlignment="1" applyProtection="1">
      <alignment horizontal="left" vertical="center" shrinkToFit="1"/>
      <protection locked="0"/>
    </xf>
    <xf numFmtId="1" fontId="5" fillId="36" borderId="24" xfId="10" applyNumberFormat="1" applyFont="1" applyFill="1" applyBorder="1" applyAlignment="1" applyProtection="1">
      <alignment horizontal="right" vertical="center" shrinkToFit="1"/>
      <protection locked="0"/>
    </xf>
    <xf numFmtId="166" fontId="5" fillId="15" borderId="23" xfId="10" applyNumberFormat="1" applyFont="1" applyFill="1" applyBorder="1" applyAlignment="1" applyProtection="1">
      <alignment horizontal="right" vertical="center" shrinkToFit="1"/>
      <protection locked="0"/>
    </xf>
    <xf numFmtId="2" fontId="5" fillId="9" borderId="23" xfId="10" applyNumberFormat="1" applyFont="1" applyFill="1" applyBorder="1" applyAlignment="1" applyProtection="1">
      <alignment horizontal="right" vertical="center" shrinkToFit="1"/>
      <protection locked="0"/>
    </xf>
    <xf numFmtId="165" fontId="5" fillId="3" borderId="24" xfId="10" applyNumberFormat="1" applyFont="1" applyFill="1" applyBorder="1" applyAlignment="1" applyProtection="1">
      <alignment horizontal="right" vertical="center" shrinkToFit="1"/>
      <protection locked="0"/>
    </xf>
    <xf numFmtId="0" fontId="5" fillId="36" borderId="6" xfId="10" applyFont="1" applyFill="1" applyBorder="1" applyAlignment="1" applyProtection="1">
      <alignment horizontal="left" vertical="center" wrapText="1" shrinkToFit="1"/>
      <protection locked="0"/>
    </xf>
    <xf numFmtId="49" fontId="5" fillId="36" borderId="6" xfId="10" applyNumberFormat="1" applyFont="1" applyFill="1" applyBorder="1" applyAlignment="1">
      <alignment horizontal="left" vertical="center" wrapText="1"/>
    </xf>
    <xf numFmtId="0" fontId="5" fillId="36" borderId="6" xfId="10" applyFont="1" applyFill="1" applyBorder="1" applyAlignment="1">
      <alignment horizontal="left" vertical="center" shrinkToFit="1"/>
    </xf>
    <xf numFmtId="1" fontId="5" fillId="36" borderId="24" xfId="10" applyNumberFormat="1" applyFont="1" applyFill="1" applyBorder="1" applyAlignment="1">
      <alignment horizontal="right" vertical="center" shrinkToFit="1"/>
    </xf>
    <xf numFmtId="165" fontId="5" fillId="3" borderId="23" xfId="10" applyNumberFormat="1" applyFont="1" applyFill="1" applyBorder="1" applyAlignment="1" applyProtection="1">
      <alignment horizontal="right" vertical="center" shrinkToFit="1"/>
      <protection locked="0"/>
    </xf>
    <xf numFmtId="165" fontId="5" fillId="3" borderId="6" xfId="10" applyNumberFormat="1" applyFont="1" applyFill="1" applyBorder="1" applyAlignment="1" applyProtection="1">
      <alignment horizontal="right" vertical="center" shrinkToFit="1"/>
      <protection locked="0"/>
    </xf>
    <xf numFmtId="0" fontId="5" fillId="36" borderId="56" xfId="10" applyFont="1" applyFill="1" applyBorder="1" applyAlignment="1" applyProtection="1">
      <alignment horizontal="left" vertical="center" shrinkToFit="1"/>
      <protection locked="0"/>
    </xf>
    <xf numFmtId="0" fontId="5" fillId="36" borderId="27" xfId="10" applyFont="1" applyFill="1" applyBorder="1" applyAlignment="1" applyProtection="1">
      <alignment horizontal="left" vertical="center" wrapText="1" shrinkToFit="1"/>
      <protection locked="0"/>
    </xf>
    <xf numFmtId="49" fontId="5" fillId="36" borderId="27" xfId="10" applyNumberFormat="1" applyFont="1" applyFill="1" applyBorder="1" applyAlignment="1" applyProtection="1">
      <alignment horizontal="left" vertical="center" wrapText="1" shrinkToFit="1"/>
      <protection locked="0"/>
    </xf>
    <xf numFmtId="0" fontId="5" fillId="36" borderId="27" xfId="10" applyFont="1" applyFill="1" applyBorder="1" applyAlignment="1" applyProtection="1">
      <alignment horizontal="left" vertical="center" shrinkToFit="1"/>
      <protection locked="0"/>
    </xf>
    <xf numFmtId="1" fontId="5" fillId="36" borderId="28" xfId="10" applyNumberFormat="1" applyFont="1" applyFill="1" applyBorder="1" applyAlignment="1" applyProtection="1">
      <alignment horizontal="right" vertical="center" shrinkToFit="1"/>
      <protection locked="0"/>
    </xf>
    <xf numFmtId="2" fontId="5" fillId="15" borderId="56" xfId="10" applyNumberFormat="1" applyFont="1" applyFill="1" applyBorder="1" applyAlignment="1" applyProtection="1">
      <alignment horizontal="right" vertical="center" shrinkToFit="1"/>
      <protection locked="0"/>
    </xf>
    <xf numFmtId="2" fontId="5" fillId="0" borderId="27" xfId="10" applyNumberFormat="1" applyFont="1" applyBorder="1" applyAlignment="1" applyProtection="1">
      <alignment horizontal="right" vertical="center" shrinkToFit="1"/>
      <protection locked="0"/>
    </xf>
    <xf numFmtId="2" fontId="5" fillId="0" borderId="28" xfId="10" applyNumberFormat="1" applyFont="1" applyBorder="1" applyAlignment="1" applyProtection="1">
      <alignment horizontal="right" vertical="center" shrinkToFit="1"/>
      <protection locked="0"/>
    </xf>
    <xf numFmtId="0" fontId="5" fillId="40" borderId="56" xfId="10" applyFont="1" applyFill="1" applyBorder="1" applyAlignment="1" applyProtection="1">
      <alignment horizontal="left" vertical="center" shrinkToFit="1"/>
      <protection locked="0"/>
    </xf>
    <xf numFmtId="0" fontId="5" fillId="40" borderId="27" xfId="10" applyFont="1" applyFill="1" applyBorder="1" applyAlignment="1" applyProtection="1">
      <alignment horizontal="left" vertical="center" wrapText="1" shrinkToFit="1"/>
      <protection locked="0"/>
    </xf>
    <xf numFmtId="49" fontId="5" fillId="40" borderId="27" xfId="10" applyNumberFormat="1" applyFont="1" applyFill="1" applyBorder="1" applyAlignment="1" applyProtection="1">
      <alignment horizontal="left" vertical="center" wrapText="1" shrinkToFit="1"/>
      <protection locked="0"/>
    </xf>
    <xf numFmtId="0" fontId="5" fillId="40" borderId="27" xfId="10" applyFont="1" applyFill="1" applyBorder="1" applyAlignment="1" applyProtection="1">
      <alignment horizontal="left" vertical="center" shrinkToFit="1"/>
      <protection locked="0"/>
    </xf>
    <xf numFmtId="2" fontId="5" fillId="3" borderId="27" xfId="10" applyNumberFormat="1" applyFont="1" applyFill="1" applyBorder="1" applyAlignment="1" applyProtection="1">
      <alignment horizontal="right" vertical="center" shrinkToFit="1"/>
      <protection locked="0"/>
    </xf>
    <xf numFmtId="49" fontId="5" fillId="36" borderId="18" xfId="10" applyNumberFormat="1" applyFont="1" applyFill="1" applyBorder="1" applyAlignment="1" applyProtection="1">
      <alignment horizontal="left" vertical="center" wrapText="1" shrinkToFit="1"/>
      <protection locked="0"/>
    </xf>
    <xf numFmtId="0" fontId="5" fillId="36" borderId="18" xfId="10" applyFont="1" applyFill="1" applyBorder="1" applyAlignment="1">
      <alignment horizontal="left" vertical="center" shrinkToFit="1"/>
    </xf>
    <xf numFmtId="1" fontId="5" fillId="36" borderId="29" xfId="10" applyNumberFormat="1" applyFont="1" applyFill="1" applyBorder="1" applyAlignment="1">
      <alignment horizontal="right" vertical="center" shrinkToFit="1"/>
    </xf>
    <xf numFmtId="2" fontId="5" fillId="15" borderId="22" xfId="10" applyNumberFormat="1" applyFont="1" applyFill="1" applyBorder="1" applyAlignment="1">
      <alignment horizontal="right" vertical="center" shrinkToFit="1"/>
    </xf>
    <xf numFmtId="2" fontId="5" fillId="7" borderId="18" xfId="10" applyNumberFormat="1" applyFont="1" applyFill="1" applyBorder="1" applyAlignment="1">
      <alignment horizontal="right" vertical="center" shrinkToFit="1"/>
    </xf>
    <xf numFmtId="2" fontId="5" fillId="7" borderId="29" xfId="10" applyNumberFormat="1" applyFont="1" applyFill="1" applyBorder="1" applyAlignment="1">
      <alignment horizontal="right" vertical="center" shrinkToFit="1"/>
    </xf>
    <xf numFmtId="49" fontId="5" fillId="36" borderId="6" xfId="10" applyNumberFormat="1" applyFont="1" applyFill="1" applyBorder="1" applyAlignment="1" applyProtection="1">
      <alignment horizontal="left" vertical="center" wrapText="1" shrinkToFit="1"/>
      <protection locked="0"/>
    </xf>
    <xf numFmtId="2" fontId="5" fillId="15" borderId="23" xfId="10" applyNumberFormat="1" applyFont="1" applyFill="1" applyBorder="1" applyAlignment="1">
      <alignment horizontal="right" vertical="center" shrinkToFit="1"/>
    </xf>
    <xf numFmtId="2" fontId="5" fillId="7" borderId="6" xfId="10" applyNumberFormat="1" applyFont="1" applyFill="1" applyBorder="1" applyAlignment="1">
      <alignment horizontal="right" vertical="center" shrinkToFit="1"/>
    </xf>
    <xf numFmtId="2" fontId="5" fillId="7" borderId="24" xfId="10" applyNumberFormat="1" applyFont="1" applyFill="1" applyBorder="1" applyAlignment="1">
      <alignment horizontal="right" vertical="center" shrinkToFit="1"/>
    </xf>
    <xf numFmtId="49" fontId="5" fillId="36" borderId="23" xfId="10" applyNumberFormat="1" applyFont="1" applyFill="1" applyBorder="1" applyAlignment="1" applyProtection="1">
      <alignment horizontal="left" vertical="center" shrinkToFit="1"/>
      <protection locked="0"/>
    </xf>
    <xf numFmtId="0" fontId="5" fillId="36" borderId="6" xfId="10" applyFont="1" applyFill="1" applyBorder="1" applyAlignment="1">
      <alignment horizontal="left" vertical="center" wrapText="1" shrinkToFit="1"/>
    </xf>
    <xf numFmtId="49" fontId="5" fillId="39" borderId="6" xfId="10" applyNumberFormat="1" applyFont="1" applyFill="1" applyBorder="1" applyAlignment="1" applyProtection="1">
      <alignment horizontal="left" vertical="center" wrapText="1" shrinkToFit="1"/>
      <protection locked="0"/>
    </xf>
    <xf numFmtId="0" fontId="5" fillId="39" borderId="6" xfId="10" applyFont="1" applyFill="1" applyBorder="1" applyAlignment="1">
      <alignment horizontal="left" vertical="center" shrinkToFit="1"/>
    </xf>
    <xf numFmtId="1" fontId="5" fillId="39" borderId="24" xfId="10" applyNumberFormat="1" applyFont="1" applyFill="1" applyBorder="1" applyAlignment="1">
      <alignment horizontal="right" vertical="center" shrinkToFit="1"/>
    </xf>
    <xf numFmtId="0" fontId="5" fillId="36" borderId="56" xfId="10" applyFont="1" applyFill="1" applyBorder="1" applyAlignment="1">
      <alignment horizontal="left" vertical="center" shrinkToFit="1"/>
    </xf>
    <xf numFmtId="2" fontId="5" fillId="36" borderId="27" xfId="10" applyNumberFormat="1" applyFont="1" applyFill="1" applyBorder="1" applyAlignment="1" applyProtection="1">
      <alignment horizontal="left" vertical="center" wrapText="1" shrinkToFit="1"/>
      <protection locked="0"/>
    </xf>
    <xf numFmtId="49" fontId="5" fillId="36" borderId="27" xfId="10" applyNumberFormat="1" applyFont="1" applyFill="1" applyBorder="1" applyAlignment="1">
      <alignment horizontal="left" vertical="center" wrapText="1" shrinkToFit="1"/>
    </xf>
    <xf numFmtId="0" fontId="5" fillId="36" borderId="27" xfId="10" applyFont="1" applyFill="1" applyBorder="1" applyAlignment="1">
      <alignment horizontal="left" vertical="center" shrinkToFit="1"/>
    </xf>
    <xf numFmtId="1" fontId="5" fillId="36" borderId="28" xfId="10" applyNumberFormat="1" applyFont="1" applyFill="1" applyBorder="1" applyAlignment="1">
      <alignment horizontal="right" vertical="center" shrinkToFit="1"/>
    </xf>
    <xf numFmtId="0" fontId="5" fillId="40" borderId="18" xfId="10" applyFont="1" applyFill="1" applyBorder="1" applyAlignment="1">
      <alignment horizontal="left" vertical="center" shrinkToFit="1"/>
    </xf>
    <xf numFmtId="1" fontId="5" fillId="40" borderId="29" xfId="10" applyNumberFormat="1" applyFont="1" applyFill="1" applyBorder="1" applyAlignment="1">
      <alignment horizontal="right" vertical="center" shrinkToFit="1"/>
    </xf>
    <xf numFmtId="0" fontId="5" fillId="40" borderId="6" xfId="10" applyFont="1" applyFill="1" applyBorder="1" applyAlignment="1">
      <alignment horizontal="left" vertical="center" shrinkToFit="1"/>
    </xf>
    <xf numFmtId="1" fontId="5" fillId="40" borderId="24" xfId="10" applyNumberFormat="1" applyFont="1" applyFill="1" applyBorder="1" applyAlignment="1">
      <alignment horizontal="right" vertical="center" shrinkToFit="1"/>
    </xf>
    <xf numFmtId="0" fontId="5" fillId="40" borderId="6" xfId="10" applyFont="1" applyFill="1" applyBorder="1" applyAlignment="1">
      <alignment horizontal="left" vertical="center" wrapText="1" shrinkToFit="1"/>
    </xf>
    <xf numFmtId="0" fontId="5" fillId="40" borderId="23" xfId="10" applyFont="1" applyFill="1" applyBorder="1" applyAlignment="1">
      <alignment horizontal="left" vertical="center" shrinkToFit="1"/>
    </xf>
    <xf numFmtId="49" fontId="5" fillId="40" borderId="6" xfId="10" applyNumberFormat="1" applyFont="1" applyFill="1" applyBorder="1" applyAlignment="1">
      <alignment horizontal="left" vertical="center" wrapText="1" shrinkToFit="1"/>
    </xf>
    <xf numFmtId="166" fontId="5" fillId="3" borderId="23" xfId="10" applyNumberFormat="1" applyFont="1" applyFill="1" applyBorder="1" applyAlignment="1" applyProtection="1">
      <alignment horizontal="right" vertical="center" shrinkToFit="1"/>
      <protection locked="0"/>
    </xf>
    <xf numFmtId="166" fontId="5" fillId="3" borderId="6" xfId="10" applyNumberFormat="1" applyFont="1" applyFill="1" applyBorder="1" applyAlignment="1" applyProtection="1">
      <alignment horizontal="right" vertical="center" shrinkToFit="1"/>
      <protection locked="0"/>
    </xf>
    <xf numFmtId="166" fontId="5" fillId="3" borderId="24" xfId="10" applyNumberFormat="1" applyFont="1" applyFill="1" applyBorder="1" applyAlignment="1" applyProtection="1">
      <alignment horizontal="right" vertical="center" shrinkToFit="1"/>
      <protection locked="0"/>
    </xf>
    <xf numFmtId="0" fontId="5" fillId="40" borderId="56" xfId="10" applyFont="1" applyFill="1" applyBorder="1" applyAlignment="1">
      <alignment horizontal="left" vertical="center" shrinkToFit="1"/>
    </xf>
    <xf numFmtId="0" fontId="5" fillId="40" borderId="27" xfId="10" applyFont="1" applyFill="1" applyBorder="1" applyAlignment="1">
      <alignment horizontal="left" vertical="center" wrapText="1" shrinkToFit="1"/>
    </xf>
    <xf numFmtId="49" fontId="5" fillId="40" borderId="27" xfId="10" applyNumberFormat="1" applyFont="1" applyFill="1" applyBorder="1" applyAlignment="1">
      <alignment horizontal="left" vertical="center" wrapText="1" shrinkToFit="1"/>
    </xf>
    <xf numFmtId="0" fontId="5" fillId="40" borderId="27" xfId="10" applyFont="1" applyFill="1" applyBorder="1" applyAlignment="1">
      <alignment horizontal="left" vertical="center" shrinkToFit="1"/>
    </xf>
    <xf numFmtId="1" fontId="5" fillId="40" borderId="28" xfId="10" applyNumberFormat="1" applyFont="1" applyFill="1" applyBorder="1" applyAlignment="1">
      <alignment horizontal="right" vertical="center" shrinkToFit="1"/>
    </xf>
    <xf numFmtId="166" fontId="5" fillId="3" borderId="56" xfId="10" applyNumberFormat="1" applyFont="1" applyFill="1" applyBorder="1" applyAlignment="1" applyProtection="1">
      <alignment horizontal="right" vertical="center" shrinkToFit="1"/>
      <protection locked="0"/>
    </xf>
    <xf numFmtId="0" fontId="5" fillId="36" borderId="40" xfId="10" applyFont="1" applyFill="1" applyBorder="1" applyAlignment="1" applyProtection="1">
      <alignment horizontal="left" vertical="center" wrapText="1"/>
      <protection locked="0"/>
    </xf>
    <xf numFmtId="0" fontId="5" fillId="36" borderId="13" xfId="10" applyFont="1" applyFill="1" applyBorder="1" applyAlignment="1" applyProtection="1">
      <alignment horizontal="left" vertical="center" wrapText="1"/>
      <protection locked="0"/>
    </xf>
    <xf numFmtId="1" fontId="5" fillId="36" borderId="19" xfId="10" applyNumberFormat="1" applyFont="1" applyFill="1" applyBorder="1" applyAlignment="1" applyProtection="1">
      <alignment horizontal="right" vertical="center" wrapText="1"/>
      <protection locked="0"/>
    </xf>
    <xf numFmtId="2" fontId="5" fillId="3" borderId="40" xfId="10" applyNumberFormat="1" applyFont="1" applyFill="1" applyBorder="1" applyAlignment="1" applyProtection="1">
      <alignment horizontal="right" vertical="center" wrapText="1"/>
      <protection locked="0"/>
    </xf>
    <xf numFmtId="0" fontId="5" fillId="40" borderId="22" xfId="10" applyFont="1" applyFill="1" applyBorder="1" applyAlignment="1" applyProtection="1">
      <alignment horizontal="left" vertical="center" wrapText="1"/>
      <protection locked="0"/>
    </xf>
    <xf numFmtId="0" fontId="5" fillId="40" borderId="18" xfId="10" applyFont="1" applyFill="1" applyBorder="1" applyAlignment="1" applyProtection="1">
      <alignment horizontal="left" vertical="center" wrapText="1"/>
      <protection locked="0"/>
    </xf>
    <xf numFmtId="1" fontId="5" fillId="40" borderId="29" xfId="10" applyNumberFormat="1" applyFont="1" applyFill="1" applyBorder="1" applyAlignment="1" applyProtection="1">
      <alignment horizontal="right" vertical="center" wrapText="1"/>
      <protection locked="0"/>
    </xf>
    <xf numFmtId="2" fontId="5" fillId="15" borderId="17" xfId="10" applyNumberFormat="1" applyFont="1" applyFill="1" applyBorder="1" applyAlignment="1" applyProtection="1">
      <alignment horizontal="right" vertical="center" wrapText="1"/>
      <protection locked="0"/>
    </xf>
    <xf numFmtId="0" fontId="5" fillId="40" borderId="23" xfId="10" applyFont="1" applyFill="1" applyBorder="1" applyAlignment="1" applyProtection="1">
      <alignment horizontal="left" vertical="center" wrapText="1"/>
      <protection locked="0"/>
    </xf>
    <xf numFmtId="0" fontId="5" fillId="40" borderId="6" xfId="10" applyFont="1" applyFill="1" applyBorder="1" applyAlignment="1" applyProtection="1">
      <alignment horizontal="left" vertical="center" wrapText="1"/>
      <protection locked="0"/>
    </xf>
    <xf numFmtId="1" fontId="5" fillId="40" borderId="24" xfId="10" applyNumberFormat="1" applyFont="1" applyFill="1" applyBorder="1" applyAlignment="1" applyProtection="1">
      <alignment horizontal="right" vertical="center" wrapText="1"/>
      <protection locked="0"/>
    </xf>
    <xf numFmtId="2" fontId="5" fillId="15" borderId="23" xfId="10" applyNumberFormat="1" applyFont="1" applyFill="1" applyBorder="1" applyAlignment="1" applyProtection="1">
      <alignment horizontal="right" vertical="center" wrapText="1"/>
      <protection locked="0"/>
    </xf>
    <xf numFmtId="2" fontId="5" fillId="3" borderId="23" xfId="10" applyNumberFormat="1" applyFont="1" applyFill="1" applyBorder="1" applyAlignment="1" applyProtection="1">
      <alignment horizontal="right" vertical="center" wrapText="1"/>
      <protection locked="0"/>
    </xf>
    <xf numFmtId="2" fontId="5" fillId="3" borderId="6" xfId="10" applyNumberFormat="1" applyFont="1" applyFill="1" applyBorder="1" applyAlignment="1" applyProtection="1">
      <alignment horizontal="right" vertical="center" wrapText="1"/>
      <protection locked="0"/>
    </xf>
    <xf numFmtId="2" fontId="5" fillId="3" borderId="24" xfId="10" applyNumberFormat="1" applyFont="1" applyFill="1" applyBorder="1" applyAlignment="1" applyProtection="1">
      <alignment horizontal="right" vertical="center" wrapText="1"/>
      <protection locked="0"/>
    </xf>
    <xf numFmtId="2" fontId="5" fillId="3" borderId="15" xfId="10" applyNumberFormat="1" applyFont="1" applyFill="1" applyBorder="1" applyAlignment="1" applyProtection="1">
      <alignment horizontal="right" vertical="center" wrapText="1"/>
      <protection locked="0"/>
    </xf>
    <xf numFmtId="2" fontId="5" fillId="3" borderId="25" xfId="10" applyNumberFormat="1" applyFont="1" applyFill="1" applyBorder="1" applyAlignment="1" applyProtection="1">
      <alignment horizontal="right" vertical="center" wrapText="1"/>
      <protection locked="0"/>
    </xf>
    <xf numFmtId="2" fontId="5" fillId="3" borderId="57" xfId="10" applyNumberFormat="1" applyFont="1" applyFill="1" applyBorder="1" applyAlignment="1" applyProtection="1">
      <alignment horizontal="right" vertical="center" wrapText="1"/>
      <protection locked="0"/>
    </xf>
    <xf numFmtId="0" fontId="5" fillId="36" borderId="55" xfId="10" applyFont="1" applyFill="1" applyBorder="1" applyAlignment="1" applyProtection="1">
      <alignment horizontal="left" vertical="center" wrapText="1"/>
      <protection locked="0"/>
    </xf>
    <xf numFmtId="0" fontId="5" fillId="36" borderId="52" xfId="10" applyFont="1" applyFill="1" applyBorder="1" applyAlignment="1" applyProtection="1">
      <alignment horizontal="left" vertical="center" wrapText="1"/>
      <protection locked="0"/>
    </xf>
    <xf numFmtId="49" fontId="5" fillId="36" borderId="52" xfId="10" applyNumberFormat="1" applyFont="1" applyFill="1" applyBorder="1" applyAlignment="1" applyProtection="1">
      <alignment horizontal="left" vertical="center" wrapText="1" shrinkToFit="1"/>
      <protection locked="0"/>
    </xf>
    <xf numFmtId="1" fontId="5" fillId="36" borderId="53" xfId="10" applyNumberFormat="1" applyFont="1" applyFill="1" applyBorder="1" applyAlignment="1" applyProtection="1">
      <alignment horizontal="right" vertical="center" wrapText="1"/>
      <protection locked="0"/>
    </xf>
    <xf numFmtId="2" fontId="5" fillId="3" borderId="55" xfId="10" applyNumberFormat="1" applyFont="1" applyFill="1" applyBorder="1" applyAlignment="1" applyProtection="1">
      <alignment horizontal="right" vertical="center" wrapText="1"/>
      <protection locked="0"/>
    </xf>
    <xf numFmtId="2" fontId="5" fillId="3" borderId="52" xfId="10" applyNumberFormat="1" applyFont="1" applyFill="1" applyBorder="1" applyAlignment="1" applyProtection="1">
      <alignment horizontal="right" vertical="center" wrapText="1"/>
      <protection locked="0"/>
    </xf>
    <xf numFmtId="2" fontId="5" fillId="3" borderId="53" xfId="10" applyNumberFormat="1" applyFont="1" applyFill="1" applyBorder="1" applyAlignment="1" applyProtection="1">
      <alignment horizontal="right" vertical="center" wrapText="1"/>
      <protection locked="0"/>
    </xf>
    <xf numFmtId="0" fontId="5" fillId="0" borderId="2" xfId="10" applyFont="1" applyBorder="1" applyAlignment="1" applyProtection="1">
      <alignment horizontal="left" vertical="center" wrapText="1"/>
      <protection locked="0"/>
    </xf>
    <xf numFmtId="0" fontId="5" fillId="0" borderId="0" xfId="10" applyFont="1" applyAlignment="1" applyProtection="1">
      <alignment horizontal="left" vertical="center" wrapText="1"/>
      <protection locked="0"/>
    </xf>
    <xf numFmtId="1" fontId="5" fillId="0" borderId="0" xfId="10" applyNumberFormat="1" applyFont="1" applyAlignment="1" applyProtection="1">
      <alignment horizontal="left" vertical="center" wrapText="1"/>
      <protection locked="0"/>
    </xf>
    <xf numFmtId="2" fontId="5" fillId="0" borderId="0" xfId="10" applyNumberFormat="1" applyFont="1" applyAlignment="1" applyProtection="1">
      <alignment horizontal="left" vertical="center" wrapText="1"/>
      <protection locked="0"/>
    </xf>
    <xf numFmtId="0" fontId="7" fillId="28" borderId="39" xfId="10" applyFont="1" applyFill="1" applyBorder="1" applyAlignment="1" applyProtection="1">
      <alignment horizontal="left" vertical="center" wrapText="1"/>
      <protection locked="0"/>
    </xf>
    <xf numFmtId="1" fontId="7" fillId="29" borderId="30" xfId="10" applyNumberFormat="1" applyFont="1" applyFill="1" applyBorder="1" applyAlignment="1" applyProtection="1">
      <alignment horizontal="left" vertical="center" wrapText="1"/>
      <protection locked="0"/>
    </xf>
    <xf numFmtId="1" fontId="7" fillId="29" borderId="174" xfId="10" applyNumberFormat="1" applyFont="1" applyFill="1" applyBorder="1" applyAlignment="1" applyProtection="1">
      <alignment horizontal="left" vertical="center" wrapText="1"/>
      <protection locked="0"/>
    </xf>
    <xf numFmtId="1" fontId="7" fillId="29" borderId="175" xfId="10" applyNumberFormat="1" applyFont="1" applyFill="1" applyBorder="1" applyAlignment="1" applyProtection="1">
      <alignment horizontal="left" vertical="center" wrapText="1"/>
      <protection locked="0"/>
    </xf>
    <xf numFmtId="1" fontId="7" fillId="29" borderId="70" xfId="10" applyNumberFormat="1" applyFont="1" applyFill="1" applyBorder="1" applyAlignment="1" applyProtection="1">
      <alignment horizontal="left" vertical="center" wrapText="1"/>
      <protection locked="0"/>
    </xf>
    <xf numFmtId="1" fontId="7" fillId="29" borderId="176" xfId="10" applyNumberFormat="1" applyFont="1" applyFill="1" applyBorder="1" applyAlignment="1" applyProtection="1">
      <alignment horizontal="left" vertical="center" wrapText="1"/>
      <protection locked="0"/>
    </xf>
    <xf numFmtId="2" fontId="5" fillId="41" borderId="17" xfId="10" applyNumberFormat="1" applyFont="1" applyFill="1" applyBorder="1" applyAlignment="1">
      <alignment horizontal="left" vertical="center" wrapText="1"/>
    </xf>
    <xf numFmtId="2" fontId="5" fillId="41" borderId="14" xfId="10" applyNumberFormat="1" applyFont="1" applyFill="1" applyBorder="1" applyAlignment="1">
      <alignment horizontal="left" vertical="center" wrapText="1"/>
    </xf>
    <xf numFmtId="1" fontId="5" fillId="41" borderId="54" xfId="10" applyNumberFormat="1" applyFont="1" applyFill="1" applyBorder="1" applyAlignment="1" applyProtection="1">
      <alignment horizontal="right" vertical="center" wrapText="1"/>
      <protection locked="0"/>
    </xf>
    <xf numFmtId="2" fontId="5" fillId="15" borderId="21" xfId="10" applyNumberFormat="1" applyFont="1" applyFill="1" applyBorder="1" applyAlignment="1" applyProtection="1">
      <alignment horizontal="right" vertical="center" wrapText="1"/>
      <protection locked="0"/>
    </xf>
    <xf numFmtId="2" fontId="5" fillId="0" borderId="18" xfId="10" applyNumberFormat="1" applyFont="1" applyBorder="1" applyAlignment="1" applyProtection="1">
      <alignment horizontal="right" vertical="center" wrapText="1"/>
      <protection locked="0"/>
    </xf>
    <xf numFmtId="2" fontId="5" fillId="0" borderId="6" xfId="10" applyNumberFormat="1" applyFont="1" applyBorder="1" applyAlignment="1" applyProtection="1">
      <alignment horizontal="right" vertical="center" wrapText="1"/>
      <protection locked="0"/>
    </xf>
    <xf numFmtId="2" fontId="5" fillId="41" borderId="23" xfId="10" applyNumberFormat="1" applyFont="1" applyFill="1" applyBorder="1" applyAlignment="1">
      <alignment horizontal="left" vertical="center" wrapText="1"/>
    </xf>
    <xf numFmtId="2" fontId="5" fillId="41" borderId="6" xfId="10" applyNumberFormat="1" applyFont="1" applyFill="1" applyBorder="1" applyAlignment="1">
      <alignment horizontal="left" vertical="center" wrapText="1"/>
    </xf>
    <xf numFmtId="1" fontId="5" fillId="41" borderId="24" xfId="10" applyNumberFormat="1" applyFont="1" applyFill="1" applyBorder="1" applyAlignment="1" applyProtection="1">
      <alignment horizontal="right" vertical="center" wrapText="1"/>
      <protection locked="0"/>
    </xf>
    <xf numFmtId="2" fontId="5" fillId="15" borderId="8" xfId="10" applyNumberFormat="1" applyFont="1" applyFill="1" applyBorder="1" applyAlignment="1" applyProtection="1">
      <alignment horizontal="right" vertical="center" wrapText="1"/>
      <protection locked="0"/>
    </xf>
    <xf numFmtId="2" fontId="5" fillId="15" borderId="6" xfId="10" applyNumberFormat="1" applyFont="1" applyFill="1" applyBorder="1" applyAlignment="1" applyProtection="1">
      <alignment horizontal="right" vertical="center" wrapText="1"/>
      <protection locked="0"/>
    </xf>
    <xf numFmtId="0" fontId="5" fillId="41" borderId="23" xfId="10" applyFont="1" applyFill="1" applyBorder="1" applyAlignment="1" applyProtection="1">
      <alignment horizontal="left" vertical="center" wrapText="1" shrinkToFit="1"/>
      <protection locked="0"/>
    </xf>
    <xf numFmtId="0" fontId="5" fillId="41" borderId="6" xfId="10" applyFont="1" applyFill="1" applyBorder="1" applyAlignment="1" applyProtection="1">
      <alignment horizontal="left" vertical="center" wrapText="1" shrinkToFit="1"/>
      <protection locked="0"/>
    </xf>
    <xf numFmtId="0" fontId="5" fillId="41" borderId="23" xfId="10" applyFont="1" applyFill="1" applyBorder="1" applyAlignment="1" applyProtection="1">
      <alignment horizontal="left" vertical="center" wrapText="1"/>
      <protection locked="0"/>
    </xf>
    <xf numFmtId="0" fontId="5" fillId="41" borderId="6" xfId="10" applyFont="1" applyFill="1" applyBorder="1" applyAlignment="1" applyProtection="1">
      <alignment horizontal="left" vertical="center" wrapText="1"/>
      <protection locked="0"/>
    </xf>
    <xf numFmtId="49" fontId="5" fillId="41" borderId="6" xfId="10" applyNumberFormat="1" applyFont="1" applyFill="1" applyBorder="1" applyAlignment="1" applyProtection="1">
      <alignment horizontal="left" vertical="center" wrapText="1" shrinkToFit="1"/>
      <protection locked="0"/>
    </xf>
    <xf numFmtId="1" fontId="5" fillId="41" borderId="34" xfId="10" applyNumberFormat="1" applyFont="1" applyFill="1" applyBorder="1" applyAlignment="1" applyProtection="1">
      <alignment horizontal="right" vertical="center" wrapText="1"/>
      <protection locked="0"/>
    </xf>
    <xf numFmtId="2" fontId="5" fillId="41" borderId="56" xfId="10" applyNumberFormat="1" applyFont="1" applyFill="1" applyBorder="1" applyAlignment="1">
      <alignment horizontal="left" vertical="center" wrapText="1"/>
    </xf>
    <xf numFmtId="2" fontId="5" fillId="41" borderId="27" xfId="10" applyNumberFormat="1" applyFont="1" applyFill="1" applyBorder="1" applyAlignment="1">
      <alignment horizontal="left" vertical="center" wrapText="1"/>
    </xf>
    <xf numFmtId="1" fontId="5" fillId="41" borderId="68" xfId="10" applyNumberFormat="1" applyFont="1" applyFill="1" applyBorder="1" applyAlignment="1" applyProtection="1">
      <alignment horizontal="right" vertical="center" wrapText="1"/>
      <protection locked="0"/>
    </xf>
    <xf numFmtId="2" fontId="5" fillId="15" borderId="26" xfId="10" applyNumberFormat="1" applyFont="1" applyFill="1" applyBorder="1" applyAlignment="1" applyProtection="1">
      <alignment horizontal="right" vertical="center" wrapText="1"/>
      <protection locked="0"/>
    </xf>
    <xf numFmtId="2" fontId="5" fillId="15" borderId="27" xfId="10" applyNumberFormat="1" applyFont="1" applyFill="1" applyBorder="1" applyAlignment="1" applyProtection="1">
      <alignment horizontal="right" vertical="center" wrapText="1"/>
      <protection locked="0"/>
    </xf>
    <xf numFmtId="2" fontId="5" fillId="0" borderId="27" xfId="10" applyNumberFormat="1" applyFont="1" applyBorder="1" applyAlignment="1" applyProtection="1">
      <alignment horizontal="right" vertical="center" wrapText="1"/>
      <protection locked="0"/>
    </xf>
    <xf numFmtId="0" fontId="5" fillId="29" borderId="22" xfId="10" applyFont="1" applyFill="1" applyBorder="1" applyAlignment="1" applyProtection="1">
      <alignment horizontal="left" vertical="center" wrapText="1"/>
      <protection locked="0"/>
    </xf>
    <xf numFmtId="0" fontId="5" fillId="29" borderId="18" xfId="10" applyFont="1" applyFill="1" applyBorder="1" applyAlignment="1" applyProtection="1">
      <alignment horizontal="left" vertical="center" wrapText="1"/>
      <protection locked="0"/>
    </xf>
    <xf numFmtId="49" fontId="5" fillId="29" borderId="18" xfId="10" applyNumberFormat="1" applyFont="1" applyFill="1" applyBorder="1" applyAlignment="1" applyProtection="1">
      <alignment horizontal="left" vertical="center" wrapText="1" shrinkToFit="1"/>
      <protection locked="0"/>
    </xf>
    <xf numFmtId="1" fontId="5" fillId="29" borderId="50" xfId="10" applyNumberFormat="1" applyFont="1" applyFill="1" applyBorder="1" applyAlignment="1" applyProtection="1">
      <alignment horizontal="right" vertical="center" wrapText="1"/>
      <protection locked="0"/>
    </xf>
    <xf numFmtId="0" fontId="5" fillId="29" borderId="23" xfId="10" applyFont="1" applyFill="1" applyBorder="1" applyAlignment="1" applyProtection="1">
      <alignment horizontal="left" vertical="center" wrapText="1"/>
      <protection locked="0"/>
    </xf>
    <xf numFmtId="0" fontId="5" fillId="29" borderId="6" xfId="10" applyFont="1" applyFill="1" applyBorder="1" applyAlignment="1" applyProtection="1">
      <alignment horizontal="left" vertical="center" wrapText="1"/>
      <protection locked="0"/>
    </xf>
    <xf numFmtId="49" fontId="5" fillId="29" borderId="6" xfId="10" applyNumberFormat="1" applyFont="1" applyFill="1" applyBorder="1" applyAlignment="1" applyProtection="1">
      <alignment horizontal="left" vertical="center" wrapText="1" shrinkToFit="1"/>
      <protection locked="0"/>
    </xf>
    <xf numFmtId="1" fontId="5" fillId="29" borderId="34" xfId="10" applyNumberFormat="1" applyFont="1" applyFill="1" applyBorder="1" applyAlignment="1" applyProtection="1">
      <alignment horizontal="right" vertical="center" wrapText="1"/>
      <protection locked="0"/>
    </xf>
    <xf numFmtId="2" fontId="5" fillId="29" borderId="15" xfId="10" applyNumberFormat="1" applyFont="1" applyFill="1" applyBorder="1" applyAlignment="1">
      <alignment horizontal="left" vertical="center" wrapText="1"/>
    </xf>
    <xf numFmtId="2" fontId="5" fillId="29" borderId="25" xfId="10" applyNumberFormat="1" applyFont="1" applyFill="1" applyBorder="1" applyAlignment="1">
      <alignment horizontal="left" vertical="center" wrapText="1"/>
    </xf>
    <xf numFmtId="1" fontId="5" fillId="29" borderId="49" xfId="10" applyNumberFormat="1" applyFont="1" applyFill="1" applyBorder="1" applyAlignment="1" applyProtection="1">
      <alignment horizontal="right" vertical="center" wrapText="1"/>
      <protection locked="0"/>
    </xf>
    <xf numFmtId="2" fontId="5" fillId="15" borderId="31" xfId="10" applyNumberFormat="1" applyFont="1" applyFill="1" applyBorder="1" applyAlignment="1" applyProtection="1">
      <alignment horizontal="right" vertical="center" wrapText="1"/>
      <protection locked="0"/>
    </xf>
    <xf numFmtId="2" fontId="5" fillId="0" borderId="25" xfId="10" applyNumberFormat="1" applyFont="1" applyBorder="1" applyAlignment="1" applyProtection="1">
      <alignment horizontal="right" vertical="center" wrapText="1"/>
      <protection locked="0"/>
    </xf>
    <xf numFmtId="0" fontId="5" fillId="41" borderId="22" xfId="10" applyFont="1" applyFill="1" applyBorder="1" applyAlignment="1" applyProtection="1">
      <alignment horizontal="left" vertical="center" wrapText="1"/>
      <protection locked="0"/>
    </xf>
    <xf numFmtId="0" fontId="5" fillId="41" borderId="18" xfId="10" applyFont="1" applyFill="1" applyBorder="1" applyAlignment="1" applyProtection="1">
      <alignment horizontal="left" vertical="center" wrapText="1"/>
      <protection locked="0"/>
    </xf>
    <xf numFmtId="49" fontId="5" fillId="41" borderId="18" xfId="10" applyNumberFormat="1" applyFont="1" applyFill="1" applyBorder="1" applyAlignment="1" applyProtection="1">
      <alignment horizontal="left" vertical="center" wrapText="1" shrinkToFit="1"/>
      <protection locked="0"/>
    </xf>
    <xf numFmtId="1" fontId="5" fillId="41" borderId="50" xfId="10" applyNumberFormat="1" applyFont="1" applyFill="1" applyBorder="1" applyAlignment="1" applyProtection="1">
      <alignment horizontal="right" vertical="center" wrapText="1"/>
      <protection locked="0"/>
    </xf>
    <xf numFmtId="2" fontId="5" fillId="41" borderId="15" xfId="10" applyNumberFormat="1" applyFont="1" applyFill="1" applyBorder="1" applyAlignment="1">
      <alignment horizontal="left" vertical="center" wrapText="1"/>
    </xf>
    <xf numFmtId="2" fontId="5" fillId="41" borderId="25" xfId="10" applyNumberFormat="1" applyFont="1" applyFill="1" applyBorder="1" applyAlignment="1">
      <alignment horizontal="left" vertical="center" wrapText="1"/>
    </xf>
    <xf numFmtId="1" fontId="5" fillId="41" borderId="49" xfId="10" applyNumberFormat="1" applyFont="1" applyFill="1" applyBorder="1" applyAlignment="1" applyProtection="1">
      <alignment horizontal="right" vertical="center" wrapText="1"/>
      <protection locked="0"/>
    </xf>
    <xf numFmtId="2" fontId="5" fillId="0" borderId="0" xfId="10" applyNumberFormat="1" applyFont="1" applyAlignment="1">
      <alignment horizontal="left" vertical="center" wrapText="1"/>
    </xf>
    <xf numFmtId="1" fontId="7" fillId="29" borderId="16" xfId="10" applyNumberFormat="1" applyFont="1" applyFill="1" applyBorder="1" applyAlignment="1" applyProtection="1">
      <alignment horizontal="left" vertical="center" wrapText="1"/>
      <protection locked="0"/>
    </xf>
    <xf numFmtId="1" fontId="7" fillId="29" borderId="47" xfId="10" applyNumberFormat="1" applyFont="1" applyFill="1" applyBorder="1" applyAlignment="1" applyProtection="1">
      <alignment horizontal="left" vertical="center" wrapText="1"/>
      <protection locked="0"/>
    </xf>
    <xf numFmtId="1" fontId="7" fillId="29" borderId="66" xfId="10" applyNumberFormat="1" applyFont="1" applyFill="1" applyBorder="1" applyAlignment="1" applyProtection="1">
      <alignment horizontal="left" vertical="center" wrapText="1"/>
      <protection locked="0"/>
    </xf>
    <xf numFmtId="0" fontId="5" fillId="38" borderId="22" xfId="10" applyFont="1" applyFill="1" applyBorder="1" applyAlignment="1">
      <alignment horizontal="left" vertical="center" shrinkToFit="1"/>
    </xf>
    <xf numFmtId="0" fontId="5" fillId="38" borderId="18" xfId="10" applyFont="1" applyFill="1" applyBorder="1" applyAlignment="1" applyProtection="1">
      <alignment horizontal="left" vertical="center" wrapText="1" shrinkToFit="1"/>
      <protection locked="0"/>
    </xf>
    <xf numFmtId="49" fontId="5" fillId="38" borderId="18" xfId="10" applyNumberFormat="1" applyFont="1" applyFill="1" applyBorder="1" applyAlignment="1" applyProtection="1">
      <alignment horizontal="left" vertical="center" wrapText="1" shrinkToFit="1"/>
      <protection locked="0"/>
    </xf>
    <xf numFmtId="0" fontId="5" fillId="38" borderId="18" xfId="10" applyFont="1" applyFill="1" applyBorder="1" applyAlignment="1" applyProtection="1">
      <alignment horizontal="left" vertical="center" shrinkToFit="1"/>
      <protection locked="0"/>
    </xf>
    <xf numFmtId="1" fontId="5" fillId="38" borderId="29" xfId="10" applyNumberFormat="1" applyFont="1" applyFill="1" applyBorder="1" applyAlignment="1" applyProtection="1">
      <alignment horizontal="right" vertical="center" shrinkToFit="1"/>
      <protection locked="0"/>
    </xf>
    <xf numFmtId="49" fontId="5" fillId="38" borderId="23" xfId="10" applyNumberFormat="1" applyFont="1" applyFill="1" applyBorder="1" applyAlignment="1" applyProtection="1">
      <alignment horizontal="left" vertical="center" shrinkToFit="1"/>
      <protection locked="0"/>
    </xf>
    <xf numFmtId="0" fontId="5" fillId="38" borderId="6" xfId="10" applyFont="1" applyFill="1" applyBorder="1" applyAlignment="1" applyProtection="1">
      <alignment horizontal="left" vertical="center" wrapText="1" shrinkToFit="1"/>
      <protection locked="0"/>
    </xf>
    <xf numFmtId="49" fontId="5" fillId="38" borderId="6" xfId="10" applyNumberFormat="1" applyFont="1" applyFill="1" applyBorder="1" applyAlignment="1" applyProtection="1">
      <alignment horizontal="left" vertical="center" wrapText="1" shrinkToFit="1"/>
      <protection locked="0"/>
    </xf>
    <xf numFmtId="0" fontId="5" fillId="38" borderId="6" xfId="10" applyFont="1" applyFill="1" applyBorder="1" applyAlignment="1" applyProtection="1">
      <alignment horizontal="left" vertical="center" shrinkToFit="1"/>
      <protection locked="0"/>
    </xf>
    <xf numFmtId="1" fontId="5" fillId="38" borderId="24" xfId="10" applyNumberFormat="1" applyFont="1" applyFill="1" applyBorder="1" applyAlignment="1" applyProtection="1">
      <alignment horizontal="right" vertical="center" shrinkToFit="1"/>
      <protection locked="0"/>
    </xf>
    <xf numFmtId="2" fontId="5" fillId="9" borderId="6" xfId="10" applyNumberFormat="1" applyFont="1" applyFill="1" applyBorder="1" applyAlignment="1" applyProtection="1">
      <alignment horizontal="right" vertical="center" shrinkToFit="1"/>
      <protection locked="0"/>
    </xf>
    <xf numFmtId="2" fontId="5" fillId="9" borderId="24" xfId="10" applyNumberFormat="1" applyFont="1" applyFill="1" applyBorder="1" applyAlignment="1" applyProtection="1">
      <alignment horizontal="right" vertical="center" shrinkToFit="1"/>
      <protection locked="0"/>
    </xf>
    <xf numFmtId="0" fontId="5" fillId="38" borderId="23" xfId="10" applyFont="1" applyFill="1" applyBorder="1" applyAlignment="1" applyProtection="1">
      <alignment horizontal="left" vertical="center" shrinkToFit="1"/>
      <protection locked="0"/>
    </xf>
    <xf numFmtId="2" fontId="5" fillId="38" borderId="6" xfId="10" applyNumberFormat="1" applyFont="1" applyFill="1" applyBorder="1" applyAlignment="1">
      <alignment horizontal="left" vertical="center" wrapText="1"/>
    </xf>
    <xf numFmtId="2" fontId="5" fillId="38" borderId="23" xfId="10" applyNumberFormat="1" applyFont="1" applyFill="1" applyBorder="1" applyAlignment="1" applyProtection="1">
      <alignment horizontal="left" vertical="center" shrinkToFit="1"/>
      <protection locked="0"/>
    </xf>
    <xf numFmtId="2" fontId="5" fillId="38" borderId="6" xfId="10" applyNumberFormat="1" applyFont="1" applyFill="1" applyBorder="1" applyAlignment="1" applyProtection="1">
      <alignment horizontal="left" vertical="center" wrapText="1" shrinkToFit="1"/>
      <protection locked="0"/>
    </xf>
    <xf numFmtId="2" fontId="5" fillId="38" borderId="6" xfId="10" applyNumberFormat="1" applyFont="1" applyFill="1" applyBorder="1" applyAlignment="1" applyProtection="1">
      <alignment horizontal="left" vertical="center" shrinkToFit="1"/>
      <protection locked="0"/>
    </xf>
    <xf numFmtId="2" fontId="5" fillId="38" borderId="56" xfId="10" applyNumberFormat="1" applyFont="1" applyFill="1" applyBorder="1" applyAlignment="1" applyProtection="1">
      <alignment horizontal="left" vertical="center" shrinkToFit="1"/>
      <protection locked="0"/>
    </xf>
    <xf numFmtId="2" fontId="5" fillId="38" borderId="27" xfId="10" applyNumberFormat="1" applyFont="1" applyFill="1" applyBorder="1" applyAlignment="1" applyProtection="1">
      <alignment horizontal="left" vertical="center" wrapText="1" shrinkToFit="1"/>
      <protection locked="0"/>
    </xf>
    <xf numFmtId="2" fontId="5" fillId="38" borderId="27" xfId="10" applyNumberFormat="1" applyFont="1" applyFill="1" applyBorder="1" applyAlignment="1" applyProtection="1">
      <alignment horizontal="left" vertical="center" shrinkToFit="1"/>
      <protection locked="0"/>
    </xf>
    <xf numFmtId="1" fontId="5" fillId="38" borderId="28" xfId="10" applyNumberFormat="1" applyFont="1" applyFill="1" applyBorder="1" applyAlignment="1" applyProtection="1">
      <alignment horizontal="right" vertical="center" shrinkToFit="1"/>
      <protection locked="0"/>
    </xf>
    <xf numFmtId="2" fontId="5" fillId="9" borderId="56" xfId="10" applyNumberFormat="1" applyFont="1" applyFill="1" applyBorder="1" applyAlignment="1" applyProtection="1">
      <alignment horizontal="right" vertical="center" shrinkToFit="1"/>
      <protection locked="0"/>
    </xf>
    <xf numFmtId="0" fontId="5" fillId="29" borderId="22" xfId="10" applyFont="1" applyFill="1" applyBorder="1" applyAlignment="1">
      <alignment horizontal="left" vertical="center" shrinkToFit="1"/>
    </xf>
    <xf numFmtId="0" fontId="5" fillId="29" borderId="18" xfId="10" applyFont="1" applyFill="1" applyBorder="1" applyAlignment="1" applyProtection="1">
      <alignment horizontal="left" vertical="center" wrapText="1" shrinkToFit="1"/>
      <protection locked="0"/>
    </xf>
    <xf numFmtId="49" fontId="5" fillId="29" borderId="18" xfId="10" applyNumberFormat="1" applyFont="1" applyFill="1" applyBorder="1" applyAlignment="1">
      <alignment horizontal="left" vertical="center" wrapText="1" shrinkToFit="1"/>
    </xf>
    <xf numFmtId="0" fontId="5" fillId="29" borderId="18" xfId="10" applyFont="1" applyFill="1" applyBorder="1" applyAlignment="1" applyProtection="1">
      <alignment horizontal="left" vertical="center" shrinkToFit="1"/>
      <protection locked="0"/>
    </xf>
    <xf numFmtId="1" fontId="5" fillId="29" borderId="29" xfId="10" applyNumberFormat="1" applyFont="1" applyFill="1" applyBorder="1" applyAlignment="1" applyProtection="1">
      <alignment horizontal="right" vertical="center" shrinkToFit="1"/>
      <protection locked="0"/>
    </xf>
    <xf numFmtId="2" fontId="5" fillId="9" borderId="22" xfId="10" applyNumberFormat="1" applyFont="1" applyFill="1" applyBorder="1" applyAlignment="1" applyProtection="1">
      <alignment horizontal="right" vertical="center" shrinkToFit="1"/>
      <protection locked="0"/>
    </xf>
    <xf numFmtId="2" fontId="5" fillId="9" borderId="18" xfId="10" applyNumberFormat="1" applyFont="1" applyFill="1" applyBorder="1" applyAlignment="1" applyProtection="1">
      <alignment horizontal="right" vertical="center" shrinkToFit="1"/>
      <protection locked="0"/>
    </xf>
    <xf numFmtId="2" fontId="5" fillId="9" borderId="29" xfId="10" applyNumberFormat="1" applyFont="1" applyFill="1" applyBorder="1" applyAlignment="1" applyProtection="1">
      <alignment horizontal="right" vertical="center" shrinkToFit="1"/>
      <protection locked="0"/>
    </xf>
    <xf numFmtId="0" fontId="5" fillId="29" borderId="23" xfId="10" applyFont="1" applyFill="1" applyBorder="1" applyAlignment="1" applyProtection="1">
      <alignment horizontal="left" vertical="center" shrinkToFit="1"/>
      <protection locked="0"/>
    </xf>
    <xf numFmtId="2" fontId="5" fillId="29" borderId="6" xfId="10" applyNumberFormat="1" applyFont="1" applyFill="1" applyBorder="1" applyAlignment="1">
      <alignment horizontal="left" vertical="center" wrapText="1"/>
    </xf>
    <xf numFmtId="49" fontId="5" fillId="29" borderId="6" xfId="10" applyNumberFormat="1" applyFont="1" applyFill="1" applyBorder="1" applyAlignment="1">
      <alignment horizontal="left" vertical="center" wrapText="1" shrinkToFit="1"/>
    </xf>
    <xf numFmtId="0" fontId="5" fillId="29" borderId="6" xfId="10" applyFont="1" applyFill="1" applyBorder="1" applyAlignment="1" applyProtection="1">
      <alignment horizontal="left" vertical="center" shrinkToFit="1"/>
      <protection locked="0"/>
    </xf>
    <xf numFmtId="1" fontId="5" fillId="29" borderId="24" xfId="10" applyNumberFormat="1" applyFont="1" applyFill="1" applyBorder="1" applyAlignment="1" applyProtection="1">
      <alignment horizontal="right" vertical="center" shrinkToFit="1"/>
      <protection locked="0"/>
    </xf>
    <xf numFmtId="166" fontId="5" fillId="9" borderId="23" xfId="10" applyNumberFormat="1" applyFont="1" applyFill="1" applyBorder="1" applyAlignment="1" applyProtection="1">
      <alignment horizontal="right" vertical="center" shrinkToFit="1"/>
      <protection locked="0"/>
    </xf>
    <xf numFmtId="166" fontId="5" fillId="9" borderId="6" xfId="10" applyNumberFormat="1" applyFont="1" applyFill="1" applyBorder="1" applyAlignment="1" applyProtection="1">
      <alignment horizontal="right" vertical="center" shrinkToFit="1"/>
      <protection locked="0"/>
    </xf>
    <xf numFmtId="166" fontId="5" fillId="9" borderId="24" xfId="10" applyNumberFormat="1" applyFont="1" applyFill="1" applyBorder="1" applyAlignment="1" applyProtection="1">
      <alignment horizontal="right" vertical="center" shrinkToFit="1"/>
      <protection locked="0"/>
    </xf>
    <xf numFmtId="0" fontId="5" fillId="29" borderId="6" xfId="10" applyFont="1" applyFill="1" applyBorder="1" applyAlignment="1" applyProtection="1">
      <alignment horizontal="left" vertical="center" wrapText="1" shrinkToFit="1"/>
      <protection locked="0"/>
    </xf>
    <xf numFmtId="49" fontId="5" fillId="29" borderId="6" xfId="10" applyNumberFormat="1" applyFont="1" applyFill="1" applyBorder="1" applyAlignment="1">
      <alignment horizontal="left" vertical="center" wrapText="1"/>
    </xf>
    <xf numFmtId="0" fontId="5" fillId="29" borderId="6" xfId="10" applyFont="1" applyFill="1" applyBorder="1" applyAlignment="1">
      <alignment horizontal="left" vertical="center" shrinkToFit="1"/>
    </xf>
    <xf numFmtId="1" fontId="5" fillId="29" borderId="24" xfId="10" applyNumberFormat="1" applyFont="1" applyFill="1" applyBorder="1" applyAlignment="1">
      <alignment horizontal="right" vertical="center" shrinkToFit="1"/>
    </xf>
    <xf numFmtId="165" fontId="5" fillId="9" borderId="23" xfId="10" applyNumberFormat="1" applyFont="1" applyFill="1" applyBorder="1" applyAlignment="1" applyProtection="1">
      <alignment horizontal="right" vertical="center" shrinkToFit="1"/>
      <protection locked="0"/>
    </xf>
    <xf numFmtId="165" fontId="5" fillId="9" borderId="6" xfId="10" applyNumberFormat="1" applyFont="1" applyFill="1" applyBorder="1" applyAlignment="1" applyProtection="1">
      <alignment horizontal="right" vertical="center" shrinkToFit="1"/>
      <protection locked="0"/>
    </xf>
    <xf numFmtId="165" fontId="5" fillId="9" borderId="24" xfId="10" applyNumberFormat="1" applyFont="1" applyFill="1" applyBorder="1" applyAlignment="1" applyProtection="1">
      <alignment horizontal="right" vertical="center" shrinkToFit="1"/>
      <protection locked="0"/>
    </xf>
    <xf numFmtId="0" fontId="5" fillId="29" borderId="56" xfId="10" applyFont="1" applyFill="1" applyBorder="1" applyAlignment="1" applyProtection="1">
      <alignment horizontal="left" vertical="center" shrinkToFit="1"/>
      <protection locked="0"/>
    </xf>
    <xf numFmtId="0" fontId="5" fillId="29" borderId="27" xfId="10" applyFont="1" applyFill="1" applyBorder="1" applyAlignment="1" applyProtection="1">
      <alignment horizontal="left" vertical="center" wrapText="1" shrinkToFit="1"/>
      <protection locked="0"/>
    </xf>
    <xf numFmtId="49" fontId="5" fillId="29" borderId="27" xfId="10" applyNumberFormat="1" applyFont="1" applyFill="1" applyBorder="1" applyAlignment="1" applyProtection="1">
      <alignment horizontal="left" vertical="center" wrapText="1" shrinkToFit="1"/>
      <protection locked="0"/>
    </xf>
    <xf numFmtId="0" fontId="5" fillId="29" borderId="27" xfId="10" applyFont="1" applyFill="1" applyBorder="1" applyAlignment="1" applyProtection="1">
      <alignment horizontal="left" vertical="center" shrinkToFit="1"/>
      <protection locked="0"/>
    </xf>
    <xf numFmtId="1" fontId="5" fillId="29" borderId="28" xfId="10" applyNumberFormat="1" applyFont="1" applyFill="1" applyBorder="1" applyAlignment="1" applyProtection="1">
      <alignment horizontal="right" vertical="center" shrinkToFit="1"/>
      <protection locked="0"/>
    </xf>
    <xf numFmtId="2" fontId="5" fillId="9" borderId="27" xfId="10" applyNumberFormat="1" applyFont="1" applyFill="1" applyBorder="1" applyAlignment="1" applyProtection="1">
      <alignment horizontal="right" vertical="center" shrinkToFit="1"/>
      <protection locked="0"/>
    </xf>
    <xf numFmtId="2" fontId="5" fillId="9" borderId="28" xfId="10" applyNumberFormat="1" applyFont="1" applyFill="1" applyBorder="1" applyAlignment="1" applyProtection="1">
      <alignment horizontal="right" vertical="center" shrinkToFit="1"/>
      <protection locked="0"/>
    </xf>
    <xf numFmtId="0" fontId="5" fillId="38" borderId="56" xfId="10" applyFont="1" applyFill="1" applyBorder="1" applyAlignment="1" applyProtection="1">
      <alignment horizontal="left" vertical="center" shrinkToFit="1"/>
      <protection locked="0"/>
    </xf>
    <xf numFmtId="0" fontId="5" fillId="38" borderId="27" xfId="10" applyFont="1" applyFill="1" applyBorder="1" applyAlignment="1" applyProtection="1">
      <alignment horizontal="left" vertical="center" wrapText="1" shrinkToFit="1"/>
      <protection locked="0"/>
    </xf>
    <xf numFmtId="49" fontId="5" fillId="38" borderId="27" xfId="10" applyNumberFormat="1" applyFont="1" applyFill="1" applyBorder="1" applyAlignment="1" applyProtection="1">
      <alignment horizontal="left" vertical="center" wrapText="1" shrinkToFit="1"/>
      <protection locked="0"/>
    </xf>
    <xf numFmtId="0" fontId="5" fillId="38" borderId="27" xfId="10" applyFont="1" applyFill="1" applyBorder="1" applyAlignment="1" applyProtection="1">
      <alignment horizontal="left" vertical="center" shrinkToFit="1"/>
      <protection locked="0"/>
    </xf>
    <xf numFmtId="0" fontId="5" fillId="29" borderId="18" xfId="10" applyFont="1" applyFill="1" applyBorder="1" applyAlignment="1">
      <alignment horizontal="left" vertical="center" shrinkToFit="1"/>
    </xf>
    <xf numFmtId="1" fontId="5" fillId="29" borderId="29" xfId="10" applyNumberFormat="1" applyFont="1" applyFill="1" applyBorder="1" applyAlignment="1">
      <alignment horizontal="right" vertical="center" shrinkToFit="1"/>
    </xf>
    <xf numFmtId="49" fontId="5" fillId="29" borderId="23" xfId="10" applyNumberFormat="1" applyFont="1" applyFill="1" applyBorder="1" applyAlignment="1" applyProtection="1">
      <alignment horizontal="left" vertical="center" shrinkToFit="1"/>
      <protection locked="0"/>
    </xf>
    <xf numFmtId="0" fontId="5" fillId="29" borderId="6" xfId="10" applyFont="1" applyFill="1" applyBorder="1" applyAlignment="1">
      <alignment horizontal="left" vertical="center" wrapText="1" shrinkToFit="1"/>
    </xf>
    <xf numFmtId="0" fontId="5" fillId="29" borderId="56" xfId="10" applyFont="1" applyFill="1" applyBorder="1" applyAlignment="1">
      <alignment horizontal="left" vertical="center" shrinkToFit="1"/>
    </xf>
    <xf numFmtId="2" fontId="5" fillId="29" borderId="27" xfId="10" applyNumberFormat="1" applyFont="1" applyFill="1" applyBorder="1" applyAlignment="1" applyProtection="1">
      <alignment horizontal="left" vertical="center" wrapText="1" shrinkToFit="1"/>
      <protection locked="0"/>
    </xf>
    <xf numFmtId="49" fontId="5" fillId="29" borderId="27" xfId="10" applyNumberFormat="1" applyFont="1" applyFill="1" applyBorder="1" applyAlignment="1">
      <alignment horizontal="left" vertical="center" wrapText="1" shrinkToFit="1"/>
    </xf>
    <xf numFmtId="0" fontId="5" fillId="29" borderId="27" xfId="10" applyFont="1" applyFill="1" applyBorder="1" applyAlignment="1">
      <alignment horizontal="left" vertical="center" shrinkToFit="1"/>
    </xf>
    <xf numFmtId="1" fontId="5" fillId="29" borderId="28" xfId="10" applyNumberFormat="1" applyFont="1" applyFill="1" applyBorder="1" applyAlignment="1">
      <alignment horizontal="right" vertical="center" shrinkToFit="1"/>
    </xf>
    <xf numFmtId="0" fontId="5" fillId="38" borderId="18" xfId="10" applyFont="1" applyFill="1" applyBorder="1" applyAlignment="1">
      <alignment horizontal="left" vertical="center" shrinkToFit="1"/>
    </xf>
    <xf numFmtId="1" fontId="5" fillId="38" borderId="29" xfId="10" applyNumberFormat="1" applyFont="1" applyFill="1" applyBorder="1" applyAlignment="1">
      <alignment horizontal="right" vertical="center" shrinkToFit="1"/>
    </xf>
    <xf numFmtId="0" fontId="5" fillId="38" borderId="6" xfId="10" applyFont="1" applyFill="1" applyBorder="1" applyAlignment="1">
      <alignment horizontal="left" vertical="center" shrinkToFit="1"/>
    </xf>
    <xf numFmtId="1" fontId="5" fillId="38" borderId="24" xfId="10" applyNumberFormat="1" applyFont="1" applyFill="1" applyBorder="1" applyAlignment="1">
      <alignment horizontal="right" vertical="center" shrinkToFit="1"/>
    </xf>
    <xf numFmtId="0" fontId="5" fillId="38" borderId="6" xfId="10" applyFont="1" applyFill="1" applyBorder="1" applyAlignment="1">
      <alignment horizontal="left" vertical="center" wrapText="1" shrinkToFit="1"/>
    </xf>
    <xf numFmtId="0" fontId="5" fillId="38" borderId="23" xfId="10" applyFont="1" applyFill="1" applyBorder="1" applyAlignment="1">
      <alignment horizontal="left" vertical="center" shrinkToFit="1"/>
    </xf>
    <xf numFmtId="49" fontId="5" fillId="38" borderId="6" xfId="10" applyNumberFormat="1" applyFont="1" applyFill="1" applyBorder="1" applyAlignment="1">
      <alignment horizontal="left" vertical="center" wrapText="1" shrinkToFit="1"/>
    </xf>
    <xf numFmtId="0" fontId="5" fillId="38" borderId="56" xfId="10" applyFont="1" applyFill="1" applyBorder="1" applyAlignment="1">
      <alignment horizontal="left" vertical="center" shrinkToFit="1"/>
    </xf>
    <xf numFmtId="0" fontId="5" fillId="38" borderId="27" xfId="10" applyFont="1" applyFill="1" applyBorder="1" applyAlignment="1">
      <alignment horizontal="left" vertical="center" wrapText="1" shrinkToFit="1"/>
    </xf>
    <xf numFmtId="49" fontId="5" fillId="38" borderId="27" xfId="10" applyNumberFormat="1" applyFont="1" applyFill="1" applyBorder="1" applyAlignment="1">
      <alignment horizontal="left" vertical="center" wrapText="1" shrinkToFit="1"/>
    </xf>
    <xf numFmtId="0" fontId="5" fillId="38" borderId="27" xfId="10" applyFont="1" applyFill="1" applyBorder="1" applyAlignment="1">
      <alignment horizontal="left" vertical="center" shrinkToFit="1"/>
    </xf>
    <xf numFmtId="1" fontId="5" fillId="38" borderId="28" xfId="10" applyNumberFormat="1" applyFont="1" applyFill="1" applyBorder="1" applyAlignment="1">
      <alignment horizontal="right" vertical="center" shrinkToFit="1"/>
    </xf>
    <xf numFmtId="166" fontId="5" fillId="9" borderId="56" xfId="10" applyNumberFormat="1" applyFont="1" applyFill="1" applyBorder="1" applyAlignment="1" applyProtection="1">
      <alignment horizontal="right" vertical="center" shrinkToFit="1"/>
      <protection locked="0"/>
    </xf>
    <xf numFmtId="0" fontId="5" fillId="29" borderId="40" xfId="10" applyFont="1" applyFill="1" applyBorder="1" applyAlignment="1" applyProtection="1">
      <alignment horizontal="left" vertical="center" wrapText="1"/>
      <protection locked="0"/>
    </xf>
    <xf numFmtId="0" fontId="5" fillId="29" borderId="13" xfId="10" applyFont="1" applyFill="1" applyBorder="1" applyAlignment="1" applyProtection="1">
      <alignment horizontal="left" vertical="center" wrapText="1"/>
      <protection locked="0"/>
    </xf>
    <xf numFmtId="1" fontId="5" fillId="29" borderId="19" xfId="10" applyNumberFormat="1" applyFont="1" applyFill="1" applyBorder="1" applyAlignment="1" applyProtection="1">
      <alignment horizontal="right" vertical="center" wrapText="1"/>
      <protection locked="0"/>
    </xf>
    <xf numFmtId="0" fontId="5" fillId="38" borderId="22" xfId="10" applyFont="1" applyFill="1" applyBorder="1" applyAlignment="1" applyProtection="1">
      <alignment horizontal="left" vertical="center" wrapText="1"/>
      <protection locked="0"/>
    </xf>
    <xf numFmtId="0" fontId="5" fillId="38" borderId="18" xfId="10" applyFont="1" applyFill="1" applyBorder="1" applyAlignment="1" applyProtection="1">
      <alignment horizontal="left" vertical="center" wrapText="1"/>
      <protection locked="0"/>
    </xf>
    <xf numFmtId="1" fontId="5" fillId="38" borderId="29" xfId="10" applyNumberFormat="1" applyFont="1" applyFill="1" applyBorder="1" applyAlignment="1" applyProtection="1">
      <alignment horizontal="right" vertical="center" wrapText="1"/>
      <protection locked="0"/>
    </xf>
    <xf numFmtId="0" fontId="5" fillId="38" borderId="23" xfId="10" applyFont="1" applyFill="1" applyBorder="1" applyAlignment="1" applyProtection="1">
      <alignment horizontal="left" vertical="center" wrapText="1"/>
      <protection locked="0"/>
    </xf>
    <xf numFmtId="0" fontId="5" fillId="38" borderId="6" xfId="10" applyFont="1" applyFill="1" applyBorder="1" applyAlignment="1" applyProtection="1">
      <alignment horizontal="left" vertical="center" wrapText="1"/>
      <protection locked="0"/>
    </xf>
    <xf numFmtId="1" fontId="5" fillId="38" borderId="24" xfId="10" applyNumberFormat="1" applyFont="1" applyFill="1" applyBorder="1" applyAlignment="1" applyProtection="1">
      <alignment horizontal="right" vertical="center" wrapText="1"/>
      <protection locked="0"/>
    </xf>
    <xf numFmtId="2" fontId="5" fillId="9" borderId="23" xfId="10" applyNumberFormat="1" applyFont="1" applyFill="1" applyBorder="1" applyAlignment="1" applyProtection="1">
      <alignment horizontal="right" vertical="center" wrapText="1"/>
      <protection locked="0"/>
    </xf>
    <xf numFmtId="2" fontId="5" fillId="9" borderId="6" xfId="10" applyNumberFormat="1" applyFont="1" applyFill="1" applyBorder="1" applyAlignment="1" applyProtection="1">
      <alignment horizontal="right" vertical="center" wrapText="1"/>
      <protection locked="0"/>
    </xf>
    <xf numFmtId="2" fontId="5" fillId="9" borderId="24" xfId="10" applyNumberFormat="1" applyFont="1" applyFill="1" applyBorder="1" applyAlignment="1" applyProtection="1">
      <alignment horizontal="right" vertical="center" wrapText="1"/>
      <protection locked="0"/>
    </xf>
    <xf numFmtId="2" fontId="5" fillId="9" borderId="15" xfId="10" applyNumberFormat="1" applyFont="1" applyFill="1" applyBorder="1" applyAlignment="1" applyProtection="1">
      <alignment horizontal="right" vertical="center" wrapText="1"/>
      <protection locked="0"/>
    </xf>
    <xf numFmtId="2" fontId="5" fillId="9" borderId="25" xfId="10" applyNumberFormat="1" applyFont="1" applyFill="1" applyBorder="1" applyAlignment="1" applyProtection="1">
      <alignment horizontal="right" vertical="center" wrapText="1"/>
      <protection locked="0"/>
    </xf>
    <xf numFmtId="2" fontId="5" fillId="9" borderId="57" xfId="10" applyNumberFormat="1" applyFont="1" applyFill="1" applyBorder="1" applyAlignment="1" applyProtection="1">
      <alignment horizontal="right" vertical="center" wrapText="1"/>
      <protection locked="0"/>
    </xf>
    <xf numFmtId="0" fontId="5" fillId="29" borderId="55" xfId="10" applyFont="1" applyFill="1" applyBorder="1" applyAlignment="1" applyProtection="1">
      <alignment horizontal="left" vertical="center" wrapText="1"/>
      <protection locked="0"/>
    </xf>
    <xf numFmtId="0" fontId="5" fillId="29" borderId="52" xfId="10" applyFont="1" applyFill="1" applyBorder="1" applyAlignment="1" applyProtection="1">
      <alignment horizontal="left" vertical="center" wrapText="1"/>
      <protection locked="0"/>
    </xf>
    <xf numFmtId="49" fontId="5" fillId="29" borderId="52" xfId="10" applyNumberFormat="1" applyFont="1" applyFill="1" applyBorder="1" applyAlignment="1" applyProtection="1">
      <alignment horizontal="left" vertical="center" wrapText="1" shrinkToFit="1"/>
      <protection locked="0"/>
    </xf>
    <xf numFmtId="1" fontId="5" fillId="29" borderId="53" xfId="10" applyNumberFormat="1" applyFont="1" applyFill="1" applyBorder="1" applyAlignment="1" applyProtection="1">
      <alignment horizontal="right" vertical="center" wrapText="1"/>
      <protection locked="0"/>
    </xf>
    <xf numFmtId="2" fontId="5" fillId="9" borderId="55" xfId="10" applyNumberFormat="1" applyFont="1" applyFill="1" applyBorder="1" applyAlignment="1" applyProtection="1">
      <alignment horizontal="right" vertical="center" wrapText="1"/>
      <protection locked="0"/>
    </xf>
    <xf numFmtId="2" fontId="5" fillId="9" borderId="52" xfId="10" applyNumberFormat="1" applyFont="1" applyFill="1" applyBorder="1" applyAlignment="1" applyProtection="1">
      <alignment horizontal="right" vertical="center" wrapText="1"/>
      <protection locked="0"/>
    </xf>
    <xf numFmtId="2" fontId="5" fillId="9" borderId="53" xfId="10" applyNumberFormat="1" applyFont="1" applyFill="1" applyBorder="1" applyAlignment="1" applyProtection="1">
      <alignment horizontal="right" vertical="center" wrapText="1"/>
      <protection locked="0"/>
    </xf>
    <xf numFmtId="1" fontId="5" fillId="0" borderId="0" xfId="10" applyNumberFormat="1" applyFont="1" applyAlignment="1" applyProtection="1">
      <alignment horizontal="right" vertical="center" wrapText="1"/>
      <protection locked="0"/>
    </xf>
    <xf numFmtId="2" fontId="5" fillId="0" borderId="0" xfId="10" applyNumberFormat="1" applyFont="1" applyAlignment="1" applyProtection="1">
      <alignment horizontal="right" vertical="center" wrapText="1"/>
      <protection locked="0"/>
    </xf>
    <xf numFmtId="0" fontId="7" fillId="32" borderId="39" xfId="10" applyFont="1" applyFill="1" applyBorder="1" applyAlignment="1" applyProtection="1">
      <alignment horizontal="left" vertical="center" wrapText="1"/>
      <protection locked="0"/>
    </xf>
    <xf numFmtId="1" fontId="7" fillId="42" borderId="16" xfId="10" applyNumberFormat="1" applyFont="1" applyFill="1" applyBorder="1" applyAlignment="1" applyProtection="1">
      <alignment horizontal="left" vertical="center" wrapText="1"/>
      <protection locked="0"/>
    </xf>
    <xf numFmtId="1" fontId="7" fillId="42" borderId="47" xfId="10" applyNumberFormat="1" applyFont="1" applyFill="1" applyBorder="1" applyAlignment="1" applyProtection="1">
      <alignment horizontal="left" vertical="center" wrapText="1"/>
      <protection locked="0"/>
    </xf>
    <xf numFmtId="1" fontId="7" fillId="42" borderId="66" xfId="10" applyNumberFormat="1" applyFont="1" applyFill="1" applyBorder="1" applyAlignment="1" applyProtection="1">
      <alignment horizontal="left" vertical="center" wrapText="1"/>
      <protection locked="0"/>
    </xf>
    <xf numFmtId="0" fontId="5" fillId="43" borderId="22" xfId="10" applyFont="1" applyFill="1" applyBorder="1" applyAlignment="1">
      <alignment horizontal="left" vertical="center" shrinkToFit="1"/>
    </xf>
    <xf numFmtId="0" fontId="5" fillId="43" borderId="18" xfId="10" applyFont="1" applyFill="1" applyBorder="1" applyAlignment="1" applyProtection="1">
      <alignment horizontal="left" vertical="center" wrapText="1" shrinkToFit="1"/>
      <protection locked="0"/>
    </xf>
    <xf numFmtId="49" fontId="5" fillId="43" borderId="18" xfId="10" applyNumberFormat="1" applyFont="1" applyFill="1" applyBorder="1" applyAlignment="1" applyProtection="1">
      <alignment horizontal="left" vertical="center" wrapText="1" shrinkToFit="1"/>
      <protection locked="0"/>
    </xf>
    <xf numFmtId="0" fontId="5" fillId="43" borderId="18" xfId="10" applyFont="1" applyFill="1" applyBorder="1" applyAlignment="1" applyProtection="1">
      <alignment horizontal="left" vertical="center" shrinkToFit="1"/>
      <protection locked="0"/>
    </xf>
    <xf numFmtId="1" fontId="5" fillId="43" borderId="29" xfId="10" applyNumberFormat="1" applyFont="1" applyFill="1" applyBorder="1" applyAlignment="1" applyProtection="1">
      <alignment horizontal="right" vertical="center" shrinkToFit="1"/>
      <protection locked="0"/>
    </xf>
    <xf numFmtId="49" fontId="5" fillId="43" borderId="23" xfId="10" applyNumberFormat="1" applyFont="1" applyFill="1" applyBorder="1" applyAlignment="1" applyProtection="1">
      <alignment horizontal="left" vertical="center" shrinkToFit="1"/>
      <protection locked="0"/>
    </xf>
    <xf numFmtId="0" fontId="5" fillId="43" borderId="6" xfId="10" applyFont="1" applyFill="1" applyBorder="1" applyAlignment="1" applyProtection="1">
      <alignment horizontal="left" vertical="center" wrapText="1" shrinkToFit="1"/>
      <protection locked="0"/>
    </xf>
    <xf numFmtId="49" fontId="5" fillId="43" borderId="6" xfId="10" applyNumberFormat="1" applyFont="1" applyFill="1" applyBorder="1" applyAlignment="1" applyProtection="1">
      <alignment horizontal="left" vertical="center" wrapText="1" shrinkToFit="1"/>
      <protection locked="0"/>
    </xf>
    <xf numFmtId="0" fontId="5" fillId="43" borderId="6" xfId="10" applyFont="1" applyFill="1" applyBorder="1" applyAlignment="1" applyProtection="1">
      <alignment horizontal="left" vertical="center" shrinkToFit="1"/>
      <protection locked="0"/>
    </xf>
    <xf numFmtId="1" fontId="5" fillId="43" borderId="24" xfId="10" applyNumberFormat="1" applyFont="1" applyFill="1" applyBorder="1" applyAlignment="1" applyProtection="1">
      <alignment horizontal="right" vertical="center" shrinkToFit="1"/>
      <protection locked="0"/>
    </xf>
    <xf numFmtId="0" fontId="5" fillId="43" borderId="23" xfId="10" applyFont="1" applyFill="1" applyBorder="1" applyAlignment="1" applyProtection="1">
      <alignment horizontal="left" vertical="center" shrinkToFit="1"/>
      <protection locked="0"/>
    </xf>
    <xf numFmtId="2" fontId="5" fillId="43" borderId="6" xfId="10" applyNumberFormat="1" applyFont="1" applyFill="1" applyBorder="1" applyAlignment="1">
      <alignment horizontal="left" vertical="center" wrapText="1"/>
    </xf>
    <xf numFmtId="2" fontId="5" fillId="43" borderId="23" xfId="10" applyNumberFormat="1" applyFont="1" applyFill="1" applyBorder="1" applyAlignment="1" applyProtection="1">
      <alignment horizontal="left" vertical="center" shrinkToFit="1"/>
      <protection locked="0"/>
    </xf>
    <xf numFmtId="2" fontId="5" fillId="43" borderId="6" xfId="10" applyNumberFormat="1" applyFont="1" applyFill="1" applyBorder="1" applyAlignment="1" applyProtection="1">
      <alignment horizontal="left" vertical="center" wrapText="1" shrinkToFit="1"/>
      <protection locked="0"/>
    </xf>
    <xf numFmtId="2" fontId="5" fillId="43" borderId="6" xfId="10" applyNumberFormat="1" applyFont="1" applyFill="1" applyBorder="1" applyAlignment="1" applyProtection="1">
      <alignment horizontal="left" vertical="center" shrinkToFit="1"/>
      <protection locked="0"/>
    </xf>
    <xf numFmtId="2" fontId="5" fillId="43" borderId="56" xfId="10" applyNumberFormat="1" applyFont="1" applyFill="1" applyBorder="1" applyAlignment="1" applyProtection="1">
      <alignment horizontal="left" vertical="center" shrinkToFit="1"/>
      <protection locked="0"/>
    </xf>
    <xf numFmtId="2" fontId="5" fillId="43" borderId="27" xfId="10" applyNumberFormat="1" applyFont="1" applyFill="1" applyBorder="1" applyAlignment="1" applyProtection="1">
      <alignment horizontal="left" vertical="center" wrapText="1" shrinkToFit="1"/>
      <protection locked="0"/>
    </xf>
    <xf numFmtId="2" fontId="5" fillId="43" borderId="27" xfId="10" applyNumberFormat="1" applyFont="1" applyFill="1" applyBorder="1" applyAlignment="1" applyProtection="1">
      <alignment horizontal="left" vertical="center" shrinkToFit="1"/>
      <protection locked="0"/>
    </xf>
    <xf numFmtId="1" fontId="5" fillId="43" borderId="28" xfId="10" applyNumberFormat="1" applyFont="1" applyFill="1" applyBorder="1" applyAlignment="1" applyProtection="1">
      <alignment horizontal="right" vertical="center" shrinkToFit="1"/>
      <protection locked="0"/>
    </xf>
    <xf numFmtId="0" fontId="5" fillId="42" borderId="22" xfId="10" applyFont="1" applyFill="1" applyBorder="1" applyAlignment="1">
      <alignment horizontal="left" vertical="center" shrinkToFit="1"/>
    </xf>
    <xf numFmtId="0" fontId="5" fillId="42" borderId="18" xfId="10" applyFont="1" applyFill="1" applyBorder="1" applyAlignment="1" applyProtection="1">
      <alignment horizontal="left" vertical="center" wrapText="1" shrinkToFit="1"/>
      <protection locked="0"/>
    </xf>
    <xf numFmtId="0" fontId="5" fillId="42" borderId="18" xfId="10" applyFont="1" applyFill="1" applyBorder="1" applyAlignment="1" applyProtection="1">
      <alignment horizontal="left" vertical="center" shrinkToFit="1"/>
      <protection locked="0"/>
    </xf>
    <xf numFmtId="1" fontId="5" fillId="42" borderId="29" xfId="10" applyNumberFormat="1" applyFont="1" applyFill="1" applyBorder="1" applyAlignment="1" applyProtection="1">
      <alignment horizontal="right" vertical="center" shrinkToFit="1"/>
      <protection locked="0"/>
    </xf>
    <xf numFmtId="0" fontId="5" fillId="42" borderId="23" xfId="10" applyFont="1" applyFill="1" applyBorder="1" applyAlignment="1" applyProtection="1">
      <alignment horizontal="left" vertical="center" shrinkToFit="1"/>
      <protection locked="0"/>
    </xf>
    <xf numFmtId="2" fontId="5" fillId="42" borderId="6" xfId="10" applyNumberFormat="1" applyFont="1" applyFill="1" applyBorder="1" applyAlignment="1">
      <alignment horizontal="left" vertical="center" wrapText="1"/>
    </xf>
    <xf numFmtId="49" fontId="5" fillId="42" borderId="6" xfId="10" applyNumberFormat="1" applyFont="1" applyFill="1" applyBorder="1" applyAlignment="1">
      <alignment horizontal="left" vertical="center" wrapText="1" shrinkToFit="1"/>
    </xf>
    <xf numFmtId="0" fontId="5" fillId="42" borderId="6" xfId="10" applyFont="1" applyFill="1" applyBorder="1" applyAlignment="1" applyProtection="1">
      <alignment horizontal="left" vertical="center" shrinkToFit="1"/>
      <protection locked="0"/>
    </xf>
    <xf numFmtId="1" fontId="5" fillId="42" borderId="24" xfId="10" applyNumberFormat="1" applyFont="1" applyFill="1" applyBorder="1" applyAlignment="1" applyProtection="1">
      <alignment horizontal="right" vertical="center" shrinkToFit="1"/>
      <protection locked="0"/>
    </xf>
    <xf numFmtId="0" fontId="5" fillId="42" borderId="6" xfId="10" applyFont="1" applyFill="1" applyBorder="1" applyAlignment="1" applyProtection="1">
      <alignment horizontal="left" vertical="center" wrapText="1" shrinkToFit="1"/>
      <protection locked="0"/>
    </xf>
    <xf numFmtId="49" fontId="5" fillId="42" borderId="6" xfId="10" applyNumberFormat="1" applyFont="1" applyFill="1" applyBorder="1" applyAlignment="1">
      <alignment horizontal="left" vertical="center" wrapText="1"/>
    </xf>
    <xf numFmtId="0" fontId="5" fillId="42" borderId="6" xfId="10" applyFont="1" applyFill="1" applyBorder="1" applyAlignment="1">
      <alignment horizontal="left" vertical="center" shrinkToFit="1"/>
    </xf>
    <xf numFmtId="1" fontId="5" fillId="42" borderId="24" xfId="10" applyNumberFormat="1" applyFont="1" applyFill="1" applyBorder="1" applyAlignment="1">
      <alignment horizontal="right" vertical="center" shrinkToFit="1"/>
    </xf>
    <xf numFmtId="0" fontId="5" fillId="42" borderId="56" xfId="10" applyFont="1" applyFill="1" applyBorder="1" applyAlignment="1" applyProtection="1">
      <alignment horizontal="left" vertical="center" shrinkToFit="1"/>
      <protection locked="0"/>
    </xf>
    <xf numFmtId="0" fontId="5" fillId="42" borderId="27" xfId="10" applyFont="1" applyFill="1" applyBorder="1" applyAlignment="1" applyProtection="1">
      <alignment horizontal="left" vertical="center" wrapText="1" shrinkToFit="1"/>
      <protection locked="0"/>
    </xf>
    <xf numFmtId="49" fontId="5" fillId="42" borderId="27" xfId="10" applyNumberFormat="1" applyFont="1" applyFill="1" applyBorder="1" applyAlignment="1" applyProtection="1">
      <alignment horizontal="left" vertical="center" wrapText="1" shrinkToFit="1"/>
      <protection locked="0"/>
    </xf>
    <xf numFmtId="0" fontId="5" fillId="42" borderId="27" xfId="10" applyFont="1" applyFill="1" applyBorder="1" applyAlignment="1" applyProtection="1">
      <alignment horizontal="left" vertical="center" shrinkToFit="1"/>
      <protection locked="0"/>
    </xf>
    <xf numFmtId="1" fontId="5" fillId="42" borderId="28" xfId="10" applyNumberFormat="1" applyFont="1" applyFill="1" applyBorder="1" applyAlignment="1" applyProtection="1">
      <alignment horizontal="right" vertical="center" shrinkToFit="1"/>
      <protection locked="0"/>
    </xf>
    <xf numFmtId="0" fontId="5" fillId="43" borderId="56" xfId="10" applyFont="1" applyFill="1" applyBorder="1" applyAlignment="1" applyProtection="1">
      <alignment horizontal="left" vertical="center" shrinkToFit="1"/>
      <protection locked="0"/>
    </xf>
    <xf numFmtId="0" fontId="5" fillId="43" borderId="27" xfId="10" applyFont="1" applyFill="1" applyBorder="1" applyAlignment="1" applyProtection="1">
      <alignment horizontal="left" vertical="center" wrapText="1" shrinkToFit="1"/>
      <protection locked="0"/>
    </xf>
    <xf numFmtId="49" fontId="5" fillId="43" borderId="27" xfId="10" applyNumberFormat="1" applyFont="1" applyFill="1" applyBorder="1" applyAlignment="1" applyProtection="1">
      <alignment horizontal="left" vertical="center" wrapText="1" shrinkToFit="1"/>
      <protection locked="0"/>
    </xf>
    <xf numFmtId="0" fontId="5" fillId="43" borderId="27" xfId="10" applyFont="1" applyFill="1" applyBorder="1" applyAlignment="1" applyProtection="1">
      <alignment horizontal="left" vertical="center" shrinkToFit="1"/>
      <protection locked="0"/>
    </xf>
    <xf numFmtId="49" fontId="5" fillId="42" borderId="18" xfId="10" applyNumberFormat="1" applyFont="1" applyFill="1" applyBorder="1" applyAlignment="1" applyProtection="1">
      <alignment horizontal="left" vertical="center" wrapText="1" shrinkToFit="1"/>
      <protection locked="0"/>
    </xf>
    <xf numFmtId="0" fontId="5" fillId="42" borderId="18" xfId="10" applyFont="1" applyFill="1" applyBorder="1" applyAlignment="1">
      <alignment horizontal="left" vertical="center" shrinkToFit="1"/>
    </xf>
    <xf numFmtId="1" fontId="5" fillId="42" borderId="29" xfId="10" applyNumberFormat="1" applyFont="1" applyFill="1" applyBorder="1" applyAlignment="1">
      <alignment horizontal="right" vertical="center" shrinkToFit="1"/>
    </xf>
    <xf numFmtId="49" fontId="5" fillId="42" borderId="6" xfId="10" applyNumberFormat="1" applyFont="1" applyFill="1" applyBorder="1" applyAlignment="1" applyProtection="1">
      <alignment horizontal="left" vertical="center" wrapText="1" shrinkToFit="1"/>
      <protection locked="0"/>
    </xf>
    <xf numFmtId="49" fontId="5" fillId="42" borderId="23" xfId="10" applyNumberFormat="1" applyFont="1" applyFill="1" applyBorder="1" applyAlignment="1" applyProtection="1">
      <alignment horizontal="left" vertical="center" shrinkToFit="1"/>
      <protection locked="0"/>
    </xf>
    <xf numFmtId="0" fontId="5" fillId="42" borderId="6" xfId="10" applyFont="1" applyFill="1" applyBorder="1" applyAlignment="1">
      <alignment horizontal="left" vertical="center" wrapText="1" shrinkToFit="1"/>
    </xf>
    <xf numFmtId="0" fontId="5" fillId="42" borderId="56" xfId="10" applyFont="1" applyFill="1" applyBorder="1" applyAlignment="1">
      <alignment horizontal="left" vertical="center" shrinkToFit="1"/>
    </xf>
    <xf numFmtId="2" fontId="5" fillId="42" borderId="27" xfId="10" applyNumberFormat="1" applyFont="1" applyFill="1" applyBorder="1" applyAlignment="1" applyProtection="1">
      <alignment horizontal="left" vertical="center" wrapText="1" shrinkToFit="1"/>
      <protection locked="0"/>
    </xf>
    <xf numFmtId="49" fontId="5" fillId="42" borderId="27" xfId="10" applyNumberFormat="1" applyFont="1" applyFill="1" applyBorder="1" applyAlignment="1">
      <alignment horizontal="left" vertical="center" wrapText="1" shrinkToFit="1"/>
    </xf>
    <xf numFmtId="0" fontId="5" fillId="42" borderId="27" xfId="10" applyFont="1" applyFill="1" applyBorder="1" applyAlignment="1">
      <alignment horizontal="left" vertical="center" shrinkToFit="1"/>
    </xf>
    <xf numFmtId="1" fontId="5" fillId="42" borderId="28" xfId="10" applyNumberFormat="1" applyFont="1" applyFill="1" applyBorder="1" applyAlignment="1">
      <alignment horizontal="right" vertical="center" shrinkToFit="1"/>
    </xf>
    <xf numFmtId="0" fontId="5" fillId="43" borderId="18" xfId="10" applyFont="1" applyFill="1" applyBorder="1" applyAlignment="1">
      <alignment horizontal="left" vertical="center" shrinkToFit="1"/>
    </xf>
    <xf numFmtId="1" fontId="5" fillId="43" borderId="29" xfId="10" applyNumberFormat="1" applyFont="1" applyFill="1" applyBorder="1" applyAlignment="1">
      <alignment horizontal="right" vertical="center" shrinkToFit="1"/>
    </xf>
    <xf numFmtId="0" fontId="5" fillId="43" borderId="6" xfId="10" applyFont="1" applyFill="1" applyBorder="1" applyAlignment="1">
      <alignment horizontal="left" vertical="center" shrinkToFit="1"/>
    </xf>
    <xf numFmtId="1" fontId="5" fillId="43" borderId="24" xfId="10" applyNumberFormat="1" applyFont="1" applyFill="1" applyBorder="1" applyAlignment="1">
      <alignment horizontal="right" vertical="center" shrinkToFit="1"/>
    </xf>
    <xf numFmtId="0" fontId="5" fillId="43" borderId="6" xfId="10" applyFont="1" applyFill="1" applyBorder="1" applyAlignment="1">
      <alignment horizontal="left" vertical="center" wrapText="1" shrinkToFit="1"/>
    </xf>
    <xf numFmtId="0" fontId="5" fillId="43" borderId="23" xfId="10" applyFont="1" applyFill="1" applyBorder="1" applyAlignment="1">
      <alignment horizontal="left" vertical="center" shrinkToFit="1"/>
    </xf>
    <xf numFmtId="49" fontId="5" fillId="43" borderId="6" xfId="10" applyNumberFormat="1" applyFont="1" applyFill="1" applyBorder="1" applyAlignment="1">
      <alignment horizontal="left" vertical="center" wrapText="1" shrinkToFit="1"/>
    </xf>
    <xf numFmtId="0" fontId="5" fillId="43" borderId="56" xfId="10" applyFont="1" applyFill="1" applyBorder="1" applyAlignment="1">
      <alignment horizontal="left" vertical="center" shrinkToFit="1"/>
    </xf>
    <xf numFmtId="0" fontId="5" fillId="43" borderId="27" xfId="10" applyFont="1" applyFill="1" applyBorder="1" applyAlignment="1">
      <alignment horizontal="left" vertical="center" wrapText="1" shrinkToFit="1"/>
    </xf>
    <xf numFmtId="49" fontId="5" fillId="43" borderId="27" xfId="10" applyNumberFormat="1" applyFont="1" applyFill="1" applyBorder="1" applyAlignment="1">
      <alignment horizontal="left" vertical="center" wrapText="1" shrinkToFit="1"/>
    </xf>
    <xf numFmtId="0" fontId="5" fillId="43" borderId="27" xfId="10" applyFont="1" applyFill="1" applyBorder="1" applyAlignment="1">
      <alignment horizontal="left" vertical="center" shrinkToFit="1"/>
    </xf>
    <xf numFmtId="1" fontId="5" fillId="43" borderId="28" xfId="10" applyNumberFormat="1" applyFont="1" applyFill="1" applyBorder="1" applyAlignment="1">
      <alignment horizontal="right" vertical="center" shrinkToFit="1"/>
    </xf>
    <xf numFmtId="0" fontId="5" fillId="42" borderId="40" xfId="10" applyFont="1" applyFill="1" applyBorder="1" applyAlignment="1" applyProtection="1">
      <alignment horizontal="left" vertical="center" wrapText="1"/>
      <protection locked="0"/>
    </xf>
    <xf numFmtId="0" fontId="5" fillId="42" borderId="13" xfId="10" applyFont="1" applyFill="1" applyBorder="1" applyAlignment="1" applyProtection="1">
      <alignment horizontal="left" vertical="center" wrapText="1"/>
      <protection locked="0"/>
    </xf>
    <xf numFmtId="1" fontId="5" fillId="42" borderId="19" xfId="10" applyNumberFormat="1" applyFont="1" applyFill="1" applyBorder="1" applyAlignment="1" applyProtection="1">
      <alignment horizontal="right" vertical="center" wrapText="1"/>
      <protection locked="0"/>
    </xf>
    <xf numFmtId="0" fontId="5" fillId="43" borderId="22" xfId="10" applyFont="1" applyFill="1" applyBorder="1" applyAlignment="1" applyProtection="1">
      <alignment horizontal="left" vertical="center" wrapText="1"/>
      <protection locked="0"/>
    </xf>
    <xf numFmtId="0" fontId="5" fillId="43" borderId="18" xfId="10" applyFont="1" applyFill="1" applyBorder="1" applyAlignment="1" applyProtection="1">
      <alignment horizontal="left" vertical="center" wrapText="1"/>
      <protection locked="0"/>
    </xf>
    <xf numFmtId="1" fontId="5" fillId="43" borderId="29" xfId="10" applyNumberFormat="1" applyFont="1" applyFill="1" applyBorder="1" applyAlignment="1" applyProtection="1">
      <alignment horizontal="right" vertical="center" wrapText="1"/>
      <protection locked="0"/>
    </xf>
    <xf numFmtId="0" fontId="5" fillId="43" borderId="23" xfId="10" applyFont="1" applyFill="1" applyBorder="1" applyAlignment="1" applyProtection="1">
      <alignment horizontal="left" vertical="center" wrapText="1"/>
      <protection locked="0"/>
    </xf>
    <xf numFmtId="0" fontId="5" fillId="43" borderId="6" xfId="10" applyFont="1" applyFill="1" applyBorder="1" applyAlignment="1" applyProtection="1">
      <alignment horizontal="left" vertical="center" wrapText="1"/>
      <protection locked="0"/>
    </xf>
    <xf numFmtId="1" fontId="5" fillId="43" borderId="24" xfId="10" applyNumberFormat="1" applyFont="1" applyFill="1" applyBorder="1" applyAlignment="1" applyProtection="1">
      <alignment horizontal="right" vertical="center" wrapText="1"/>
      <protection locked="0"/>
    </xf>
    <xf numFmtId="0" fontId="5" fillId="42" borderId="55" xfId="10" applyFont="1" applyFill="1" applyBorder="1" applyAlignment="1" applyProtection="1">
      <alignment horizontal="left" vertical="center" wrapText="1"/>
      <protection locked="0"/>
    </xf>
    <xf numFmtId="0" fontId="5" fillId="42" borderId="52" xfId="10" applyFont="1" applyFill="1" applyBorder="1" applyAlignment="1" applyProtection="1">
      <alignment horizontal="left" vertical="center" wrapText="1"/>
      <protection locked="0"/>
    </xf>
    <xf numFmtId="49" fontId="5" fillId="42" borderId="52" xfId="10" applyNumberFormat="1" applyFont="1" applyFill="1" applyBorder="1" applyAlignment="1" applyProtection="1">
      <alignment horizontal="left" vertical="center" wrapText="1" shrinkToFit="1"/>
      <protection locked="0"/>
    </xf>
    <xf numFmtId="1" fontId="5" fillId="42" borderId="53" xfId="10" applyNumberFormat="1" applyFont="1" applyFill="1" applyBorder="1" applyAlignment="1" applyProtection="1">
      <alignment horizontal="right" vertical="center" wrapText="1"/>
      <protection locked="0"/>
    </xf>
    <xf numFmtId="0" fontId="7" fillId="33" borderId="39" xfId="10" applyFont="1" applyFill="1" applyBorder="1" applyAlignment="1" applyProtection="1">
      <alignment horizontal="left" vertical="center" wrapText="1"/>
      <protection locked="0"/>
    </xf>
    <xf numFmtId="1" fontId="7" fillId="44" borderId="30" xfId="10" applyNumberFormat="1" applyFont="1" applyFill="1" applyBorder="1" applyAlignment="1" applyProtection="1">
      <alignment horizontal="left" vertical="center" wrapText="1"/>
      <protection locked="0"/>
    </xf>
    <xf numFmtId="1" fontId="7" fillId="44" borderId="174" xfId="10" applyNumberFormat="1" applyFont="1" applyFill="1" applyBorder="1" applyAlignment="1" applyProtection="1">
      <alignment horizontal="left" vertical="center" wrapText="1"/>
      <protection locked="0"/>
    </xf>
    <xf numFmtId="1" fontId="7" fillId="44" borderId="175" xfId="10" applyNumberFormat="1" applyFont="1" applyFill="1" applyBorder="1" applyAlignment="1" applyProtection="1">
      <alignment horizontal="left" vertical="center" wrapText="1"/>
      <protection locked="0"/>
    </xf>
    <xf numFmtId="1" fontId="7" fillId="44" borderId="70" xfId="10" applyNumberFormat="1" applyFont="1" applyFill="1" applyBorder="1" applyAlignment="1" applyProtection="1">
      <alignment horizontal="left" vertical="center" wrapText="1"/>
      <protection locked="0"/>
    </xf>
    <xf numFmtId="1" fontId="7" fillId="44" borderId="176" xfId="10" applyNumberFormat="1" applyFont="1" applyFill="1" applyBorder="1" applyAlignment="1" applyProtection="1">
      <alignment horizontal="left" vertical="center" wrapText="1"/>
      <protection locked="0"/>
    </xf>
    <xf numFmtId="2" fontId="5" fillId="27" borderId="17" xfId="10" applyNumberFormat="1" applyFont="1" applyFill="1" applyBorder="1" applyAlignment="1">
      <alignment horizontal="left" vertical="center" wrapText="1"/>
    </xf>
    <xf numFmtId="2" fontId="5" fillId="27" borderId="14" xfId="10" applyNumberFormat="1" applyFont="1" applyFill="1" applyBorder="1" applyAlignment="1">
      <alignment horizontal="left" vertical="center" wrapText="1"/>
    </xf>
    <xf numFmtId="1" fontId="5" fillId="27" borderId="54" xfId="10" applyNumberFormat="1" applyFont="1" applyFill="1" applyBorder="1" applyAlignment="1" applyProtection="1">
      <alignment horizontal="right" vertical="center" wrapText="1"/>
      <protection locked="0"/>
    </xf>
    <xf numFmtId="2" fontId="5" fillId="27" borderId="23" xfId="10" applyNumberFormat="1" applyFont="1" applyFill="1" applyBorder="1" applyAlignment="1">
      <alignment horizontal="left" vertical="center" wrapText="1"/>
    </xf>
    <xf numFmtId="2" fontId="5" fillId="27" borderId="6" xfId="10" applyNumberFormat="1" applyFont="1" applyFill="1" applyBorder="1" applyAlignment="1">
      <alignment horizontal="left" vertical="center" wrapText="1"/>
    </xf>
    <xf numFmtId="1" fontId="5" fillId="27" borderId="24" xfId="10" applyNumberFormat="1" applyFont="1" applyFill="1" applyBorder="1" applyAlignment="1" applyProtection="1">
      <alignment horizontal="right" vertical="center" wrapText="1"/>
      <protection locked="0"/>
    </xf>
    <xf numFmtId="0" fontId="5" fillId="27" borderId="23" xfId="10" applyFont="1" applyFill="1" applyBorder="1" applyAlignment="1" applyProtection="1">
      <alignment horizontal="left" vertical="center" wrapText="1" shrinkToFit="1"/>
      <protection locked="0"/>
    </xf>
    <xf numFmtId="0" fontId="5" fillId="27" borderId="6" xfId="10" applyFont="1" applyFill="1" applyBorder="1" applyAlignment="1" applyProtection="1">
      <alignment horizontal="left" vertical="center" wrapText="1" shrinkToFit="1"/>
      <protection locked="0"/>
    </xf>
    <xf numFmtId="0" fontId="5" fillId="27" borderId="23" xfId="10" applyFont="1" applyFill="1" applyBorder="1" applyAlignment="1" applyProtection="1">
      <alignment horizontal="left" vertical="center" wrapText="1"/>
      <protection locked="0"/>
    </xf>
    <xf numFmtId="0" fontId="5" fillId="27" borderId="6" xfId="10" applyFont="1" applyFill="1" applyBorder="1" applyAlignment="1" applyProtection="1">
      <alignment horizontal="left" vertical="center" wrapText="1"/>
      <protection locked="0"/>
    </xf>
    <xf numFmtId="49" fontId="5" fillId="27" borderId="6" xfId="10" applyNumberFormat="1" applyFont="1" applyFill="1" applyBorder="1" applyAlignment="1" applyProtection="1">
      <alignment horizontal="left" vertical="center" wrapText="1" shrinkToFit="1"/>
      <protection locked="0"/>
    </xf>
    <xf numFmtId="1" fontId="5" fillId="27" borderId="34" xfId="10" applyNumberFormat="1" applyFont="1" applyFill="1" applyBorder="1" applyAlignment="1" applyProtection="1">
      <alignment horizontal="right" vertical="center" wrapText="1"/>
      <protection locked="0"/>
    </xf>
    <xf numFmtId="2" fontId="5" fillId="27" borderId="56" xfId="10" applyNumberFormat="1" applyFont="1" applyFill="1" applyBorder="1" applyAlignment="1">
      <alignment horizontal="left" vertical="center" wrapText="1"/>
    </xf>
    <xf numFmtId="2" fontId="5" fillId="27" borderId="27" xfId="10" applyNumberFormat="1" applyFont="1" applyFill="1" applyBorder="1" applyAlignment="1">
      <alignment horizontal="left" vertical="center" wrapText="1"/>
    </xf>
    <xf numFmtId="1" fontId="5" fillId="27" borderId="68" xfId="10" applyNumberFormat="1" applyFont="1" applyFill="1" applyBorder="1" applyAlignment="1" applyProtection="1">
      <alignment horizontal="right" vertical="center" wrapText="1"/>
      <protection locked="0"/>
    </xf>
    <xf numFmtId="0" fontId="5" fillId="44" borderId="22" xfId="10" applyFont="1" applyFill="1" applyBorder="1" applyAlignment="1" applyProtection="1">
      <alignment horizontal="left" vertical="center" wrapText="1"/>
      <protection locked="0"/>
    </xf>
    <xf numFmtId="0" fontId="5" fillId="44" borderId="18" xfId="10" applyFont="1" applyFill="1" applyBorder="1" applyAlignment="1" applyProtection="1">
      <alignment horizontal="left" vertical="center" wrapText="1"/>
      <protection locked="0"/>
    </xf>
    <xf numFmtId="49" fontId="5" fillId="44" borderId="18" xfId="10" applyNumberFormat="1" applyFont="1" applyFill="1" applyBorder="1" applyAlignment="1" applyProtection="1">
      <alignment horizontal="left" vertical="center" wrapText="1" shrinkToFit="1"/>
      <protection locked="0"/>
    </xf>
    <xf numFmtId="1" fontId="5" fillId="44" borderId="50" xfId="10" applyNumberFormat="1" applyFont="1" applyFill="1" applyBorder="1" applyAlignment="1" applyProtection="1">
      <alignment horizontal="right" vertical="center" wrapText="1"/>
      <protection locked="0"/>
    </xf>
    <xf numFmtId="0" fontId="5" fillId="44" borderId="23" xfId="10" applyFont="1" applyFill="1" applyBorder="1" applyAlignment="1" applyProtection="1">
      <alignment horizontal="left" vertical="center" wrapText="1"/>
      <protection locked="0"/>
    </xf>
    <xf numFmtId="0" fontId="5" fillId="44" borderId="6" xfId="10" applyFont="1" applyFill="1" applyBorder="1" applyAlignment="1" applyProtection="1">
      <alignment horizontal="left" vertical="center" wrapText="1"/>
      <protection locked="0"/>
    </xf>
    <xf numFmtId="49" fontId="5" fillId="44" borderId="6" xfId="10" applyNumberFormat="1" applyFont="1" applyFill="1" applyBorder="1" applyAlignment="1" applyProtection="1">
      <alignment horizontal="left" vertical="center" wrapText="1" shrinkToFit="1"/>
      <protection locked="0"/>
    </xf>
    <xf numFmtId="1" fontId="5" fillId="44" borderId="34" xfId="10" applyNumberFormat="1" applyFont="1" applyFill="1" applyBorder="1" applyAlignment="1" applyProtection="1">
      <alignment horizontal="right" vertical="center" wrapText="1"/>
      <protection locked="0"/>
    </xf>
    <xf numFmtId="2" fontId="5" fillId="44" borderId="15" xfId="10" applyNumberFormat="1" applyFont="1" applyFill="1" applyBorder="1" applyAlignment="1">
      <alignment horizontal="left" vertical="center" wrapText="1"/>
    </xf>
    <xf numFmtId="2" fontId="5" fillId="44" borderId="25" xfId="10" applyNumberFormat="1" applyFont="1" applyFill="1" applyBorder="1" applyAlignment="1">
      <alignment horizontal="left" vertical="center" wrapText="1"/>
    </xf>
    <xf numFmtId="1" fontId="5" fillId="44" borderId="49" xfId="10" applyNumberFormat="1" applyFont="1" applyFill="1" applyBorder="1" applyAlignment="1" applyProtection="1">
      <alignment horizontal="right" vertical="center" wrapText="1"/>
      <protection locked="0"/>
    </xf>
    <xf numFmtId="0" fontId="5" fillId="27" borderId="22" xfId="10" applyFont="1" applyFill="1" applyBorder="1" applyAlignment="1" applyProtection="1">
      <alignment horizontal="left" vertical="center" wrapText="1"/>
      <protection locked="0"/>
    </xf>
    <xf numFmtId="0" fontId="5" fillId="27" borderId="18" xfId="10" applyFont="1" applyFill="1" applyBorder="1" applyAlignment="1" applyProtection="1">
      <alignment horizontal="left" vertical="center" wrapText="1"/>
      <protection locked="0"/>
    </xf>
    <xf numFmtId="49" fontId="5" fillId="27" borderId="18" xfId="10" applyNumberFormat="1" applyFont="1" applyFill="1" applyBorder="1" applyAlignment="1" applyProtection="1">
      <alignment horizontal="left" vertical="center" wrapText="1" shrinkToFit="1"/>
      <protection locked="0"/>
    </xf>
    <xf numFmtId="1" fontId="5" fillId="27" borderId="50" xfId="10" applyNumberFormat="1" applyFont="1" applyFill="1" applyBorder="1" applyAlignment="1" applyProtection="1">
      <alignment horizontal="right" vertical="center" wrapText="1"/>
      <protection locked="0"/>
    </xf>
    <xf numFmtId="2" fontId="5" fillId="27" borderId="15" xfId="10" applyNumberFormat="1" applyFont="1" applyFill="1" applyBorder="1" applyAlignment="1">
      <alignment horizontal="left" vertical="center" wrapText="1"/>
    </xf>
    <xf numFmtId="2" fontId="5" fillId="27" borderId="25" xfId="10" applyNumberFormat="1" applyFont="1" applyFill="1" applyBorder="1" applyAlignment="1">
      <alignment horizontal="left" vertical="center" wrapText="1"/>
    </xf>
    <xf numFmtId="1" fontId="5" fillId="27" borderId="49" xfId="10" applyNumberFormat="1" applyFont="1" applyFill="1" applyBorder="1" applyAlignment="1" applyProtection="1">
      <alignment horizontal="right" vertical="center" wrapText="1"/>
      <protection locked="0"/>
    </xf>
    <xf numFmtId="1" fontId="7" fillId="44" borderId="16" xfId="10" applyNumberFormat="1" applyFont="1" applyFill="1" applyBorder="1" applyAlignment="1" applyProtection="1">
      <alignment horizontal="left" vertical="center" wrapText="1"/>
      <protection locked="0"/>
    </xf>
    <xf numFmtId="1" fontId="7" fillId="44" borderId="47" xfId="10" applyNumberFormat="1" applyFont="1" applyFill="1" applyBorder="1" applyAlignment="1" applyProtection="1">
      <alignment horizontal="left" vertical="center" wrapText="1"/>
      <protection locked="0"/>
    </xf>
    <xf numFmtId="1" fontId="7" fillId="44" borderId="66" xfId="10" applyNumberFormat="1" applyFont="1" applyFill="1" applyBorder="1" applyAlignment="1" applyProtection="1">
      <alignment horizontal="left" vertical="center" wrapText="1"/>
      <protection locked="0"/>
    </xf>
    <xf numFmtId="0" fontId="5" fillId="27" borderId="22" xfId="10" applyFont="1" applyFill="1" applyBorder="1" applyAlignment="1">
      <alignment horizontal="left" vertical="center" shrinkToFit="1"/>
    </xf>
    <xf numFmtId="0" fontId="5" fillId="27" borderId="18" xfId="10" applyFont="1" applyFill="1" applyBorder="1" applyAlignment="1" applyProtection="1">
      <alignment horizontal="left" vertical="center" wrapText="1" shrinkToFit="1"/>
      <protection locked="0"/>
    </xf>
    <xf numFmtId="0" fontId="5" fillId="27" borderId="18" xfId="10" applyFont="1" applyFill="1" applyBorder="1" applyAlignment="1" applyProtection="1">
      <alignment horizontal="left" vertical="center" shrinkToFit="1"/>
      <protection locked="0"/>
    </xf>
    <xf numFmtId="1" fontId="5" fillId="27" borderId="29" xfId="10" applyNumberFormat="1" applyFont="1" applyFill="1" applyBorder="1" applyAlignment="1" applyProtection="1">
      <alignment horizontal="right" vertical="center" shrinkToFit="1"/>
      <protection locked="0"/>
    </xf>
    <xf numFmtId="49" fontId="5" fillId="27" borderId="23" xfId="10" applyNumberFormat="1" applyFont="1" applyFill="1" applyBorder="1" applyAlignment="1" applyProtection="1">
      <alignment horizontal="left" vertical="center" shrinkToFit="1"/>
      <protection locked="0"/>
    </xf>
    <xf numFmtId="0" fontId="5" fillId="27" borderId="6" xfId="10" applyFont="1" applyFill="1" applyBorder="1" applyAlignment="1" applyProtection="1">
      <alignment horizontal="left" vertical="center" shrinkToFit="1"/>
      <protection locked="0"/>
    </xf>
    <xf numFmtId="1" fontId="5" fillId="27" borderId="24" xfId="10" applyNumberFormat="1" applyFont="1" applyFill="1" applyBorder="1" applyAlignment="1" applyProtection="1">
      <alignment horizontal="right" vertical="center" shrinkToFit="1"/>
      <protection locked="0"/>
    </xf>
    <xf numFmtId="0" fontId="5" fillId="27" borderId="23" xfId="10" applyFont="1" applyFill="1" applyBorder="1" applyAlignment="1" applyProtection="1">
      <alignment horizontal="left" vertical="center" shrinkToFit="1"/>
      <protection locked="0"/>
    </xf>
    <xf numFmtId="2" fontId="5" fillId="27" borderId="23" xfId="10" applyNumberFormat="1" applyFont="1" applyFill="1" applyBorder="1" applyAlignment="1" applyProtection="1">
      <alignment horizontal="left" vertical="center" shrinkToFit="1"/>
      <protection locked="0"/>
    </xf>
    <xf numFmtId="2" fontId="5" fillId="27" borderId="6" xfId="10" applyNumberFormat="1" applyFont="1" applyFill="1" applyBorder="1" applyAlignment="1" applyProtection="1">
      <alignment horizontal="left" vertical="center" wrapText="1" shrinkToFit="1"/>
      <protection locked="0"/>
    </xf>
    <xf numFmtId="2" fontId="5" fillId="27" borderId="6" xfId="10" applyNumberFormat="1" applyFont="1" applyFill="1" applyBorder="1" applyAlignment="1" applyProtection="1">
      <alignment horizontal="left" vertical="center" shrinkToFit="1"/>
      <protection locked="0"/>
    </xf>
    <xf numFmtId="2" fontId="5" fillId="27" borderId="56" xfId="10" applyNumberFormat="1" applyFont="1" applyFill="1" applyBorder="1" applyAlignment="1" applyProtection="1">
      <alignment horizontal="left" vertical="center" shrinkToFit="1"/>
      <protection locked="0"/>
    </xf>
    <xf numFmtId="2" fontId="5" fillId="27" borderId="27" xfId="10" applyNumberFormat="1" applyFont="1" applyFill="1" applyBorder="1" applyAlignment="1" applyProtection="1">
      <alignment horizontal="left" vertical="center" wrapText="1" shrinkToFit="1"/>
      <protection locked="0"/>
    </xf>
    <xf numFmtId="2" fontId="5" fillId="27" borderId="27" xfId="10" applyNumberFormat="1" applyFont="1" applyFill="1" applyBorder="1" applyAlignment="1" applyProtection="1">
      <alignment horizontal="left" vertical="center" shrinkToFit="1"/>
      <protection locked="0"/>
    </xf>
    <xf numFmtId="1" fontId="5" fillId="27" borderId="28" xfId="10" applyNumberFormat="1" applyFont="1" applyFill="1" applyBorder="1" applyAlignment="1" applyProtection="1">
      <alignment horizontal="right" vertical="center" shrinkToFit="1"/>
      <protection locked="0"/>
    </xf>
    <xf numFmtId="0" fontId="5" fillId="44" borderId="22" xfId="10" applyFont="1" applyFill="1" applyBorder="1" applyAlignment="1">
      <alignment horizontal="left" vertical="center" shrinkToFit="1"/>
    </xf>
    <xf numFmtId="0" fontId="5" fillId="44" borderId="18" xfId="10" applyFont="1" applyFill="1" applyBorder="1" applyAlignment="1" applyProtection="1">
      <alignment horizontal="left" vertical="center" wrapText="1" shrinkToFit="1"/>
      <protection locked="0"/>
    </xf>
    <xf numFmtId="49" fontId="5" fillId="44" borderId="18" xfId="10" applyNumberFormat="1" applyFont="1" applyFill="1" applyBorder="1" applyAlignment="1">
      <alignment horizontal="left" vertical="center" wrapText="1" shrinkToFit="1"/>
    </xf>
    <xf numFmtId="0" fontId="5" fillId="44" borderId="18" xfId="10" applyFont="1" applyFill="1" applyBorder="1" applyAlignment="1" applyProtection="1">
      <alignment horizontal="left" vertical="center" shrinkToFit="1"/>
      <protection locked="0"/>
    </xf>
    <xf numFmtId="1" fontId="5" fillId="44" borderId="29" xfId="10" applyNumberFormat="1" applyFont="1" applyFill="1" applyBorder="1" applyAlignment="1" applyProtection="1">
      <alignment horizontal="right" vertical="center" shrinkToFit="1"/>
      <protection locked="0"/>
    </xf>
    <xf numFmtId="0" fontId="5" fillId="44" borderId="23" xfId="10" applyFont="1" applyFill="1" applyBorder="1" applyAlignment="1" applyProtection="1">
      <alignment horizontal="left" vertical="center" shrinkToFit="1"/>
      <protection locked="0"/>
    </xf>
    <xf numFmtId="2" fontId="5" fillId="44" borderId="6" xfId="10" applyNumberFormat="1" applyFont="1" applyFill="1" applyBorder="1" applyAlignment="1">
      <alignment horizontal="left" vertical="center" wrapText="1"/>
    </xf>
    <xf numFmtId="49" fontId="5" fillId="44" borderId="6" xfId="10" applyNumberFormat="1" applyFont="1" applyFill="1" applyBorder="1" applyAlignment="1">
      <alignment horizontal="left" vertical="center" wrapText="1" shrinkToFit="1"/>
    </xf>
    <xf numFmtId="0" fontId="5" fillId="44" borderId="6" xfId="10" applyFont="1" applyFill="1" applyBorder="1" applyAlignment="1" applyProtection="1">
      <alignment horizontal="left" vertical="center" shrinkToFit="1"/>
      <protection locked="0"/>
    </xf>
    <xf numFmtId="1" fontId="5" fillId="44" borderId="24" xfId="10" applyNumberFormat="1" applyFont="1" applyFill="1" applyBorder="1" applyAlignment="1" applyProtection="1">
      <alignment horizontal="right" vertical="center" shrinkToFit="1"/>
      <protection locked="0"/>
    </xf>
    <xf numFmtId="0" fontId="5" fillId="44" borderId="6" xfId="10" applyFont="1" applyFill="1" applyBorder="1" applyAlignment="1" applyProtection="1">
      <alignment horizontal="left" vertical="center" wrapText="1" shrinkToFit="1"/>
      <protection locked="0"/>
    </xf>
    <xf numFmtId="49" fontId="5" fillId="44" borderId="6" xfId="10" applyNumberFormat="1" applyFont="1" applyFill="1" applyBorder="1" applyAlignment="1">
      <alignment horizontal="left" vertical="center" wrapText="1"/>
    </xf>
    <xf numFmtId="0" fontId="5" fillId="44" borderId="6" xfId="10" applyFont="1" applyFill="1" applyBorder="1" applyAlignment="1">
      <alignment horizontal="left" vertical="center" shrinkToFit="1"/>
    </xf>
    <xf numFmtId="1" fontId="5" fillId="44" borderId="24" xfId="10" applyNumberFormat="1" applyFont="1" applyFill="1" applyBorder="1" applyAlignment="1">
      <alignment horizontal="right" vertical="center" shrinkToFit="1"/>
    </xf>
    <xf numFmtId="0" fontId="5" fillId="44" borderId="56" xfId="10" applyFont="1" applyFill="1" applyBorder="1" applyAlignment="1" applyProtection="1">
      <alignment horizontal="left" vertical="center" shrinkToFit="1"/>
      <protection locked="0"/>
    </xf>
    <xf numFmtId="0" fontId="5" fillId="44" borderId="27" xfId="10" applyFont="1" applyFill="1" applyBorder="1" applyAlignment="1" applyProtection="1">
      <alignment horizontal="left" vertical="center" wrapText="1" shrinkToFit="1"/>
      <protection locked="0"/>
    </xf>
    <xf numFmtId="49" fontId="5" fillId="44" borderId="27" xfId="10" applyNumberFormat="1" applyFont="1" applyFill="1" applyBorder="1" applyAlignment="1" applyProtection="1">
      <alignment horizontal="left" vertical="center" wrapText="1" shrinkToFit="1"/>
      <protection locked="0"/>
    </xf>
    <xf numFmtId="0" fontId="5" fillId="44" borderId="27" xfId="10" applyFont="1" applyFill="1" applyBorder="1" applyAlignment="1" applyProtection="1">
      <alignment horizontal="left" vertical="center" shrinkToFit="1"/>
      <protection locked="0"/>
    </xf>
    <xf numFmtId="1" fontId="5" fillId="44" borderId="28" xfId="10" applyNumberFormat="1" applyFont="1" applyFill="1" applyBorder="1" applyAlignment="1" applyProtection="1">
      <alignment horizontal="right" vertical="center" shrinkToFit="1"/>
      <protection locked="0"/>
    </xf>
    <xf numFmtId="0" fontId="5" fillId="27" borderId="56" xfId="10" applyFont="1" applyFill="1" applyBorder="1" applyAlignment="1" applyProtection="1">
      <alignment horizontal="left" vertical="center" shrinkToFit="1"/>
      <protection locked="0"/>
    </xf>
    <xf numFmtId="0" fontId="5" fillId="27" borderId="27" xfId="10" applyFont="1" applyFill="1" applyBorder="1" applyAlignment="1" applyProtection="1">
      <alignment horizontal="left" vertical="center" wrapText="1" shrinkToFit="1"/>
      <protection locked="0"/>
    </xf>
    <xf numFmtId="49" fontId="5" fillId="27" borderId="27" xfId="10" applyNumberFormat="1" applyFont="1" applyFill="1" applyBorder="1" applyAlignment="1" applyProtection="1">
      <alignment horizontal="left" vertical="center" wrapText="1" shrinkToFit="1"/>
      <protection locked="0"/>
    </xf>
    <xf numFmtId="0" fontId="5" fillId="27" borderId="27" xfId="10" applyFont="1" applyFill="1" applyBorder="1" applyAlignment="1" applyProtection="1">
      <alignment horizontal="left" vertical="center" shrinkToFit="1"/>
      <protection locked="0"/>
    </xf>
    <xf numFmtId="0" fontId="5" fillId="44" borderId="18" xfId="10" applyFont="1" applyFill="1" applyBorder="1" applyAlignment="1">
      <alignment horizontal="left" vertical="center" shrinkToFit="1"/>
    </xf>
    <xf numFmtId="1" fontId="5" fillId="44" borderId="29" xfId="10" applyNumberFormat="1" applyFont="1" applyFill="1" applyBorder="1" applyAlignment="1">
      <alignment horizontal="right" vertical="center" shrinkToFit="1"/>
    </xf>
    <xf numFmtId="49" fontId="5" fillId="44" borderId="23" xfId="10" applyNumberFormat="1" applyFont="1" applyFill="1" applyBorder="1" applyAlignment="1" applyProtection="1">
      <alignment horizontal="left" vertical="center" shrinkToFit="1"/>
      <protection locked="0"/>
    </xf>
    <xf numFmtId="0" fontId="5" fillId="44" borderId="6" xfId="10" applyFont="1" applyFill="1" applyBorder="1" applyAlignment="1">
      <alignment horizontal="left" vertical="center" wrapText="1" shrinkToFit="1"/>
    </xf>
    <xf numFmtId="0" fontId="5" fillId="44" borderId="56" xfId="10" applyFont="1" applyFill="1" applyBorder="1" applyAlignment="1">
      <alignment horizontal="left" vertical="center" shrinkToFit="1"/>
    </xf>
    <xf numFmtId="2" fontId="5" fillId="44" borderId="27" xfId="10" applyNumberFormat="1" applyFont="1" applyFill="1" applyBorder="1" applyAlignment="1" applyProtection="1">
      <alignment horizontal="left" vertical="center" wrapText="1" shrinkToFit="1"/>
      <protection locked="0"/>
    </xf>
    <xf numFmtId="49" fontId="5" fillId="44" borderId="27" xfId="10" applyNumberFormat="1" applyFont="1" applyFill="1" applyBorder="1" applyAlignment="1">
      <alignment horizontal="left" vertical="center" wrapText="1" shrinkToFit="1"/>
    </xf>
    <xf numFmtId="0" fontId="5" fillId="44" borderId="27" xfId="10" applyFont="1" applyFill="1" applyBorder="1" applyAlignment="1">
      <alignment horizontal="left" vertical="center" shrinkToFit="1"/>
    </xf>
    <xf numFmtId="1" fontId="5" fillId="44" borderId="28" xfId="10" applyNumberFormat="1" applyFont="1" applyFill="1" applyBorder="1" applyAlignment="1">
      <alignment horizontal="right" vertical="center" shrinkToFit="1"/>
    </xf>
    <xf numFmtId="0" fontId="5" fillId="27" borderId="18" xfId="10" applyFont="1" applyFill="1" applyBorder="1" applyAlignment="1">
      <alignment horizontal="left" vertical="center" shrinkToFit="1"/>
    </xf>
    <xf numFmtId="1" fontId="5" fillId="27" borderId="29" xfId="10" applyNumberFormat="1" applyFont="1" applyFill="1" applyBorder="1" applyAlignment="1">
      <alignment horizontal="right" vertical="center" shrinkToFit="1"/>
    </xf>
    <xf numFmtId="0" fontId="5" fillId="27" borderId="6" xfId="10" applyFont="1" applyFill="1" applyBorder="1" applyAlignment="1">
      <alignment horizontal="left" vertical="center" shrinkToFit="1"/>
    </xf>
    <xf numFmtId="1" fontId="5" fillId="27" borderId="24" xfId="10" applyNumberFormat="1" applyFont="1" applyFill="1" applyBorder="1" applyAlignment="1">
      <alignment horizontal="right" vertical="center" shrinkToFit="1"/>
    </xf>
    <xf numFmtId="0" fontId="5" fillId="27" borderId="6" xfId="10" applyFont="1" applyFill="1" applyBorder="1" applyAlignment="1">
      <alignment horizontal="left" vertical="center" wrapText="1" shrinkToFit="1"/>
    </xf>
    <xf numFmtId="0" fontId="5" fillId="27" borderId="23" xfId="10" applyFont="1" applyFill="1" applyBorder="1" applyAlignment="1">
      <alignment horizontal="left" vertical="center" shrinkToFit="1"/>
    </xf>
    <xf numFmtId="49" fontId="5" fillId="27" borderId="6" xfId="10" applyNumberFormat="1" applyFont="1" applyFill="1" applyBorder="1" applyAlignment="1">
      <alignment horizontal="left" vertical="center" wrapText="1" shrinkToFit="1"/>
    </xf>
    <xf numFmtId="0" fontId="5" fillId="27" borderId="56" xfId="10" applyFont="1" applyFill="1" applyBorder="1" applyAlignment="1">
      <alignment horizontal="left" vertical="center" shrinkToFit="1"/>
    </xf>
    <xf numFmtId="0" fontId="5" fillId="27" borderId="27" xfId="10" applyFont="1" applyFill="1" applyBorder="1" applyAlignment="1">
      <alignment horizontal="left" vertical="center" wrapText="1" shrinkToFit="1"/>
    </xf>
    <xf numFmtId="49" fontId="5" fillId="27" borderId="27" xfId="10" applyNumberFormat="1" applyFont="1" applyFill="1" applyBorder="1" applyAlignment="1">
      <alignment horizontal="left" vertical="center" wrapText="1" shrinkToFit="1"/>
    </xf>
    <xf numFmtId="0" fontId="5" fillId="27" borderId="27" xfId="10" applyFont="1" applyFill="1" applyBorder="1" applyAlignment="1">
      <alignment horizontal="left" vertical="center" shrinkToFit="1"/>
    </xf>
    <xf numFmtId="1" fontId="5" fillId="27" borderId="28" xfId="10" applyNumberFormat="1" applyFont="1" applyFill="1" applyBorder="1" applyAlignment="1">
      <alignment horizontal="right" vertical="center" shrinkToFit="1"/>
    </xf>
    <xf numFmtId="0" fontId="5" fillId="44" borderId="40" xfId="10" applyFont="1" applyFill="1" applyBorder="1" applyAlignment="1" applyProtection="1">
      <alignment horizontal="left" vertical="center" wrapText="1"/>
      <protection locked="0"/>
    </xf>
    <xf numFmtId="0" fontId="5" fillId="44" borderId="13" xfId="10" applyFont="1" applyFill="1" applyBorder="1" applyAlignment="1" applyProtection="1">
      <alignment horizontal="left" vertical="center" wrapText="1"/>
      <protection locked="0"/>
    </xf>
    <xf numFmtId="1" fontId="5" fillId="44" borderId="19" xfId="10" applyNumberFormat="1" applyFont="1" applyFill="1" applyBorder="1" applyAlignment="1" applyProtection="1">
      <alignment horizontal="right" vertical="center" wrapText="1"/>
      <protection locked="0"/>
    </xf>
    <xf numFmtId="1" fontId="5" fillId="27" borderId="29" xfId="10" applyNumberFormat="1" applyFont="1" applyFill="1" applyBorder="1" applyAlignment="1" applyProtection="1">
      <alignment horizontal="right" vertical="center" wrapText="1"/>
      <protection locked="0"/>
    </xf>
    <xf numFmtId="0" fontId="5" fillId="44" borderId="55" xfId="10" applyFont="1" applyFill="1" applyBorder="1" applyAlignment="1" applyProtection="1">
      <alignment horizontal="left" vertical="center" wrapText="1"/>
      <protection locked="0"/>
    </xf>
    <xf numFmtId="0" fontId="5" fillId="44" borderId="52" xfId="10" applyFont="1" applyFill="1" applyBorder="1" applyAlignment="1" applyProtection="1">
      <alignment horizontal="left" vertical="center" wrapText="1"/>
      <protection locked="0"/>
    </xf>
    <xf numFmtId="49" fontId="5" fillId="44" borderId="52" xfId="10" applyNumberFormat="1" applyFont="1" applyFill="1" applyBorder="1" applyAlignment="1" applyProtection="1">
      <alignment horizontal="left" vertical="center" wrapText="1" shrinkToFit="1"/>
      <protection locked="0"/>
    </xf>
    <xf numFmtId="1" fontId="5" fillId="44" borderId="53" xfId="10" applyNumberFormat="1" applyFont="1" applyFill="1" applyBorder="1" applyAlignment="1" applyProtection="1">
      <alignment horizontal="right" vertical="center" wrapText="1"/>
      <protection locked="0"/>
    </xf>
    <xf numFmtId="1" fontId="5" fillId="15" borderId="0" xfId="10" applyNumberFormat="1" applyFont="1" applyFill="1" applyAlignment="1" applyProtection="1">
      <alignment horizontal="left" vertical="center" wrapText="1"/>
      <protection locked="0"/>
    </xf>
    <xf numFmtId="1" fontId="5" fillId="15" borderId="5" xfId="10" applyNumberFormat="1" applyFont="1" applyFill="1" applyBorder="1" applyAlignment="1" applyProtection="1">
      <alignment horizontal="left" vertical="center" wrapText="1"/>
      <protection locked="0"/>
    </xf>
    <xf numFmtId="2" fontId="5" fillId="9" borderId="0" xfId="10" applyNumberFormat="1" applyFont="1" applyFill="1" applyAlignment="1" applyProtection="1">
      <alignment horizontal="right" vertical="center" wrapText="1"/>
      <protection locked="0"/>
    </xf>
    <xf numFmtId="2" fontId="5" fillId="9" borderId="5" xfId="10" applyNumberFormat="1" applyFont="1" applyFill="1" applyBorder="1" applyAlignment="1" applyProtection="1">
      <alignment horizontal="right" vertical="center" wrapText="1"/>
      <protection locked="0"/>
    </xf>
    <xf numFmtId="0" fontId="5" fillId="40" borderId="14" xfId="10" applyFont="1" applyFill="1" applyBorder="1" applyAlignment="1" applyProtection="1">
      <alignment horizontal="left" vertical="center" wrapText="1" shrinkToFit="1"/>
      <protection locked="0"/>
    </xf>
    <xf numFmtId="49" fontId="5" fillId="40" borderId="14" xfId="10" applyNumberFormat="1" applyFont="1" applyFill="1" applyBorder="1" applyAlignment="1" applyProtection="1">
      <alignment horizontal="left" vertical="center" wrapText="1" shrinkToFit="1"/>
      <protection locked="0"/>
    </xf>
    <xf numFmtId="0" fontId="5" fillId="40" borderId="14" xfId="10" applyFont="1" applyFill="1" applyBorder="1" applyAlignment="1" applyProtection="1">
      <alignment horizontal="left" vertical="center" shrinkToFit="1"/>
      <protection locked="0"/>
    </xf>
    <xf numFmtId="1" fontId="5" fillId="40" borderId="54" xfId="10" applyNumberFormat="1" applyFont="1" applyFill="1" applyBorder="1" applyAlignment="1" applyProtection="1">
      <alignment horizontal="right" vertical="center" shrinkToFit="1"/>
      <protection locked="0"/>
    </xf>
    <xf numFmtId="2" fontId="5" fillId="15" borderId="17" xfId="10" applyNumberFormat="1" applyFont="1" applyFill="1" applyBorder="1" applyAlignment="1" applyProtection="1">
      <alignment horizontal="right" vertical="center" shrinkToFit="1"/>
      <protection locked="0"/>
    </xf>
    <xf numFmtId="2" fontId="5" fillId="7" borderId="14" xfId="10" applyNumberFormat="1" applyFont="1" applyFill="1" applyBorder="1" applyAlignment="1" applyProtection="1">
      <alignment horizontal="right" vertical="center" shrinkToFit="1"/>
      <protection locked="0"/>
    </xf>
    <xf numFmtId="2" fontId="5" fillId="7" borderId="54" xfId="10" applyNumberFormat="1" applyFont="1" applyFill="1" applyBorder="1" applyAlignment="1" applyProtection="1">
      <alignment horizontal="right" vertical="center" shrinkToFit="1"/>
      <protection locked="0"/>
    </xf>
    <xf numFmtId="2" fontId="5" fillId="15" borderId="69" xfId="10" applyNumberFormat="1" applyFont="1" applyFill="1" applyBorder="1" applyAlignment="1" applyProtection="1">
      <alignment horizontal="right" vertical="center" shrinkToFit="1"/>
      <protection locked="0"/>
    </xf>
    <xf numFmtId="49" fontId="5" fillId="40" borderId="17" xfId="10" applyNumberFormat="1" applyFont="1" applyFill="1" applyBorder="1" applyAlignment="1" applyProtection="1">
      <alignment horizontal="left" vertical="center" shrinkToFit="1"/>
      <protection locked="0"/>
    </xf>
    <xf numFmtId="0" fontId="5" fillId="40" borderId="177" xfId="10" applyFont="1" applyFill="1" applyBorder="1" applyAlignment="1">
      <alignment horizontal="left" vertical="center" shrinkToFit="1"/>
    </xf>
    <xf numFmtId="0" fontId="5" fillId="40" borderId="178" xfId="10" applyFont="1" applyFill="1" applyBorder="1" applyAlignment="1" applyProtection="1">
      <alignment horizontal="left" vertical="center" wrapText="1" shrinkToFit="1"/>
      <protection locked="0"/>
    </xf>
    <xf numFmtId="49" fontId="5" fillId="40" borderId="178" xfId="10" applyNumberFormat="1" applyFont="1" applyFill="1" applyBorder="1" applyAlignment="1" applyProtection="1">
      <alignment horizontal="left" vertical="center" wrapText="1" shrinkToFit="1"/>
      <protection locked="0"/>
    </xf>
    <xf numFmtId="0" fontId="5" fillId="40" borderId="178" xfId="10" applyFont="1" applyFill="1" applyBorder="1" applyAlignment="1" applyProtection="1">
      <alignment horizontal="left" vertical="center" shrinkToFit="1"/>
      <protection locked="0"/>
    </xf>
    <xf numFmtId="1" fontId="5" fillId="40" borderId="179" xfId="10" applyNumberFormat="1" applyFont="1" applyFill="1" applyBorder="1" applyAlignment="1" applyProtection="1">
      <alignment horizontal="right" vertical="center" shrinkToFit="1"/>
      <protection locked="0"/>
    </xf>
    <xf numFmtId="0" fontId="5" fillId="40" borderId="55" xfId="10" applyFont="1" applyFill="1" applyBorder="1" applyAlignment="1">
      <alignment horizontal="left" vertical="center" shrinkToFit="1"/>
    </xf>
    <xf numFmtId="0" fontId="5" fillId="40" borderId="52" xfId="10" applyFont="1" applyFill="1" applyBorder="1" applyAlignment="1" applyProtection="1">
      <alignment horizontal="left" vertical="center" wrapText="1" shrinkToFit="1"/>
      <protection locked="0"/>
    </xf>
    <xf numFmtId="49" fontId="5" fillId="40" borderId="52" xfId="10" applyNumberFormat="1" applyFont="1" applyFill="1" applyBorder="1" applyAlignment="1" applyProtection="1">
      <alignment horizontal="left" vertical="center" wrapText="1" shrinkToFit="1"/>
      <protection locked="0"/>
    </xf>
    <xf numFmtId="0" fontId="5" fillId="40" borderId="52" xfId="10" applyFont="1" applyFill="1" applyBorder="1" applyAlignment="1" applyProtection="1">
      <alignment horizontal="left" vertical="center" shrinkToFit="1"/>
      <protection locked="0"/>
    </xf>
    <xf numFmtId="1" fontId="5" fillId="40" borderId="53" xfId="10" applyNumberFormat="1" applyFont="1" applyFill="1" applyBorder="1" applyAlignment="1" applyProtection="1">
      <alignment horizontal="right" vertical="center" shrinkToFit="1"/>
      <protection locked="0"/>
    </xf>
    <xf numFmtId="49" fontId="5" fillId="36" borderId="178" xfId="10" applyNumberFormat="1" applyFont="1" applyFill="1" applyBorder="1" applyAlignment="1">
      <alignment horizontal="left" vertical="center" wrapText="1" shrinkToFit="1"/>
    </xf>
    <xf numFmtId="0" fontId="5" fillId="36" borderId="178" xfId="10" applyFont="1" applyFill="1" applyBorder="1" applyAlignment="1" applyProtection="1">
      <alignment horizontal="left" vertical="center" shrinkToFit="1"/>
      <protection locked="0"/>
    </xf>
    <xf numFmtId="1" fontId="5" fillId="36" borderId="179" xfId="10" applyNumberFormat="1" applyFont="1" applyFill="1" applyBorder="1" applyAlignment="1" applyProtection="1">
      <alignment horizontal="right" vertical="center" shrinkToFit="1"/>
      <protection locked="0"/>
    </xf>
    <xf numFmtId="0" fontId="5" fillId="36" borderId="55" xfId="10" applyFont="1" applyFill="1" applyBorder="1" applyAlignment="1">
      <alignment horizontal="left" vertical="center" shrinkToFit="1"/>
    </xf>
    <xf numFmtId="0" fontId="5" fillId="36" borderId="52" xfId="10" applyFont="1" applyFill="1" applyBorder="1" applyAlignment="1" applyProtection="1">
      <alignment horizontal="left" vertical="center" wrapText="1" shrinkToFit="1"/>
      <protection locked="0"/>
    </xf>
    <xf numFmtId="49" fontId="5" fillId="36" borderId="52" xfId="10" applyNumberFormat="1" applyFont="1" applyFill="1" applyBorder="1" applyAlignment="1">
      <alignment horizontal="left" vertical="center" wrapText="1" shrinkToFit="1"/>
    </xf>
    <xf numFmtId="0" fontId="5" fillId="36" borderId="52" xfId="10" applyFont="1" applyFill="1" applyBorder="1" applyAlignment="1" applyProtection="1">
      <alignment horizontal="left" vertical="center" shrinkToFit="1"/>
      <protection locked="0"/>
    </xf>
    <xf numFmtId="1" fontId="5" fillId="36" borderId="53" xfId="10" applyNumberFormat="1" applyFont="1" applyFill="1" applyBorder="1" applyAlignment="1" applyProtection="1">
      <alignment horizontal="right" vertical="center" shrinkToFit="1"/>
      <protection locked="0"/>
    </xf>
    <xf numFmtId="0" fontId="5" fillId="36" borderId="177" xfId="10" applyFont="1" applyFill="1" applyBorder="1" applyAlignment="1">
      <alignment horizontal="left" vertical="center" shrinkToFit="1"/>
    </xf>
    <xf numFmtId="0" fontId="5" fillId="36" borderId="178" xfId="10" applyFont="1" applyFill="1" applyBorder="1" applyAlignment="1" applyProtection="1">
      <alignment horizontal="left" vertical="center" wrapText="1" shrinkToFit="1"/>
      <protection locked="0"/>
    </xf>
    <xf numFmtId="0" fontId="5" fillId="36" borderId="15" xfId="10" applyFont="1" applyFill="1" applyBorder="1" applyAlignment="1" applyProtection="1">
      <alignment horizontal="left" vertical="center" shrinkToFit="1"/>
      <protection locked="0"/>
    </xf>
    <xf numFmtId="2" fontId="5" fillId="36" borderId="25" xfId="10" applyNumberFormat="1" applyFont="1" applyFill="1" applyBorder="1" applyAlignment="1">
      <alignment horizontal="left" vertical="center" wrapText="1"/>
    </xf>
    <xf numFmtId="49" fontId="5" fillId="36" borderId="25" xfId="10" applyNumberFormat="1" applyFont="1" applyFill="1" applyBorder="1" applyAlignment="1">
      <alignment horizontal="left" vertical="center" wrapText="1" shrinkToFit="1"/>
    </xf>
    <xf numFmtId="0" fontId="5" fillId="36" borderId="25" xfId="10" applyFont="1" applyFill="1" applyBorder="1" applyAlignment="1" applyProtection="1">
      <alignment horizontal="left" vertical="center" shrinkToFit="1"/>
      <protection locked="0"/>
    </xf>
    <xf numFmtId="1" fontId="5" fillId="36" borderId="57" xfId="10" applyNumberFormat="1" applyFont="1" applyFill="1" applyBorder="1" applyAlignment="1" applyProtection="1">
      <alignment horizontal="right" vertical="center" shrinkToFit="1"/>
      <protection locked="0"/>
    </xf>
    <xf numFmtId="49" fontId="5" fillId="38" borderId="177" xfId="10" applyNumberFormat="1" applyFont="1" applyFill="1" applyBorder="1" applyAlignment="1" applyProtection="1">
      <alignment horizontal="left" vertical="center" shrinkToFit="1"/>
      <protection locked="0"/>
    </xf>
    <xf numFmtId="0" fontId="5" fillId="38" borderId="178" xfId="10" applyFont="1" applyFill="1" applyBorder="1" applyAlignment="1" applyProtection="1">
      <alignment horizontal="left" vertical="center" wrapText="1" shrinkToFit="1"/>
      <protection locked="0"/>
    </xf>
    <xf numFmtId="49" fontId="5" fillId="38" borderId="178" xfId="10" applyNumberFormat="1" applyFont="1" applyFill="1" applyBorder="1" applyAlignment="1" applyProtection="1">
      <alignment horizontal="left" vertical="center" wrapText="1" shrinkToFit="1"/>
      <protection locked="0"/>
    </xf>
    <xf numFmtId="0" fontId="5" fillId="38" borderId="178" xfId="10" applyFont="1" applyFill="1" applyBorder="1" applyAlignment="1" applyProtection="1">
      <alignment horizontal="left" vertical="center" shrinkToFit="1"/>
      <protection locked="0"/>
    </xf>
    <xf numFmtId="1" fontId="5" fillId="38" borderId="179" xfId="10" applyNumberFormat="1" applyFont="1" applyFill="1" applyBorder="1" applyAlignment="1" applyProtection="1">
      <alignment horizontal="right" vertical="center" shrinkToFit="1"/>
      <protection locked="0"/>
    </xf>
    <xf numFmtId="0" fontId="5" fillId="29" borderId="177" xfId="10" applyFont="1" applyFill="1" applyBorder="1" applyAlignment="1" applyProtection="1">
      <alignment horizontal="left" vertical="center" shrinkToFit="1"/>
      <protection locked="0"/>
    </xf>
    <xf numFmtId="2" fontId="5" fillId="29" borderId="178" xfId="10" applyNumberFormat="1" applyFont="1" applyFill="1" applyBorder="1" applyAlignment="1">
      <alignment horizontal="left" vertical="center" wrapText="1"/>
    </xf>
    <xf numFmtId="49" fontId="5" fillId="29" borderId="178" xfId="10" applyNumberFormat="1" applyFont="1" applyFill="1" applyBorder="1" applyAlignment="1">
      <alignment horizontal="left" vertical="center" wrapText="1" shrinkToFit="1"/>
    </xf>
    <xf numFmtId="0" fontId="5" fillId="29" borderId="178" xfId="10" applyFont="1" applyFill="1" applyBorder="1" applyAlignment="1" applyProtection="1">
      <alignment horizontal="left" vertical="center" shrinkToFit="1"/>
      <protection locked="0"/>
    </xf>
    <xf numFmtId="1" fontId="5" fillId="29" borderId="179" xfId="10" applyNumberFormat="1" applyFont="1" applyFill="1" applyBorder="1" applyAlignment="1" applyProtection="1">
      <alignment horizontal="right" vertical="center" shrinkToFit="1"/>
      <protection locked="0"/>
    </xf>
    <xf numFmtId="0" fontId="5" fillId="38" borderId="177" xfId="10" applyFont="1" applyFill="1" applyBorder="1" applyAlignment="1">
      <alignment horizontal="left" vertical="center" shrinkToFit="1"/>
    </xf>
    <xf numFmtId="0" fontId="5" fillId="38" borderId="55" xfId="10" applyFont="1" applyFill="1" applyBorder="1" applyAlignment="1">
      <alignment horizontal="left" vertical="center" shrinkToFit="1"/>
    </xf>
    <xf numFmtId="0" fontId="5" fillId="38" borderId="52" xfId="10" applyFont="1" applyFill="1" applyBorder="1" applyAlignment="1" applyProtection="1">
      <alignment horizontal="left" vertical="center" wrapText="1" shrinkToFit="1"/>
      <protection locked="0"/>
    </xf>
    <xf numFmtId="49" fontId="5" fillId="38" borderId="52" xfId="10" applyNumberFormat="1" applyFont="1" applyFill="1" applyBorder="1" applyAlignment="1" applyProtection="1">
      <alignment horizontal="left" vertical="center" wrapText="1" shrinkToFit="1"/>
      <protection locked="0"/>
    </xf>
    <xf numFmtId="0" fontId="5" fillId="38" borderId="52" xfId="10" applyFont="1" applyFill="1" applyBorder="1" applyAlignment="1" applyProtection="1">
      <alignment horizontal="left" vertical="center" shrinkToFit="1"/>
      <protection locked="0"/>
    </xf>
    <xf numFmtId="1" fontId="5" fillId="38" borderId="53" xfId="10" applyNumberFormat="1" applyFont="1" applyFill="1" applyBorder="1" applyAlignment="1" applyProtection="1">
      <alignment horizontal="right" vertical="center" shrinkToFit="1"/>
      <protection locked="0"/>
    </xf>
    <xf numFmtId="2" fontId="5" fillId="3" borderId="67" xfId="10" applyNumberFormat="1" applyFont="1" applyFill="1" applyBorder="1" applyAlignment="1" applyProtection="1">
      <alignment horizontal="right" vertical="center" wrapText="1"/>
      <protection locked="0"/>
    </xf>
    <xf numFmtId="0" fontId="5" fillId="40" borderId="15" xfId="10" applyFont="1" applyFill="1" applyBorder="1" applyAlignment="1" applyProtection="1">
      <alignment horizontal="left" vertical="center" wrapText="1"/>
      <protection locked="0"/>
    </xf>
    <xf numFmtId="0" fontId="5" fillId="40" borderId="25" xfId="10" applyFont="1" applyFill="1" applyBorder="1" applyAlignment="1" applyProtection="1">
      <alignment horizontal="left" vertical="center" wrapText="1"/>
      <protection locked="0"/>
    </xf>
    <xf numFmtId="49" fontId="5" fillId="40" borderId="25" xfId="10" applyNumberFormat="1" applyFont="1" applyFill="1" applyBorder="1" applyAlignment="1" applyProtection="1">
      <alignment horizontal="left" vertical="center" wrapText="1" shrinkToFit="1"/>
      <protection locked="0"/>
    </xf>
    <xf numFmtId="1" fontId="5" fillId="40" borderId="57" xfId="10" applyNumberFormat="1" applyFont="1" applyFill="1" applyBorder="1" applyAlignment="1" applyProtection="1">
      <alignment horizontal="right" vertical="center" wrapText="1"/>
      <protection locked="0"/>
    </xf>
    <xf numFmtId="0" fontId="5" fillId="38" borderId="15" xfId="10" applyFont="1" applyFill="1" applyBorder="1" applyAlignment="1" applyProtection="1">
      <alignment horizontal="left" vertical="center" wrapText="1"/>
      <protection locked="0"/>
    </xf>
    <xf numFmtId="0" fontId="5" fillId="38" borderId="25" xfId="10" applyFont="1" applyFill="1" applyBorder="1" applyAlignment="1" applyProtection="1">
      <alignment horizontal="left" vertical="center" wrapText="1"/>
      <protection locked="0"/>
    </xf>
    <xf numFmtId="49" fontId="5" fillId="38" borderId="25" xfId="10" applyNumberFormat="1" applyFont="1" applyFill="1" applyBorder="1" applyAlignment="1" applyProtection="1">
      <alignment horizontal="left" vertical="center" wrapText="1" shrinkToFit="1"/>
      <protection locked="0"/>
    </xf>
    <xf numFmtId="1" fontId="5" fillId="38" borderId="57" xfId="10" applyNumberFormat="1" applyFont="1" applyFill="1" applyBorder="1" applyAlignment="1" applyProtection="1">
      <alignment horizontal="right" vertical="center" wrapText="1"/>
      <protection locked="0"/>
    </xf>
    <xf numFmtId="0" fontId="5" fillId="43" borderId="15" xfId="10" applyFont="1" applyFill="1" applyBorder="1" applyAlignment="1" applyProtection="1">
      <alignment horizontal="left" vertical="center" wrapText="1"/>
      <protection locked="0"/>
    </xf>
    <xf numFmtId="0" fontId="5" fillId="43" borderId="25" xfId="10" applyFont="1" applyFill="1" applyBorder="1" applyAlignment="1" applyProtection="1">
      <alignment horizontal="left" vertical="center" wrapText="1"/>
      <protection locked="0"/>
    </xf>
    <xf numFmtId="49" fontId="5" fillId="43" borderId="25" xfId="10" applyNumberFormat="1" applyFont="1" applyFill="1" applyBorder="1" applyAlignment="1" applyProtection="1">
      <alignment horizontal="left" vertical="center" wrapText="1" shrinkToFit="1"/>
      <protection locked="0"/>
    </xf>
    <xf numFmtId="1" fontId="5" fillId="43" borderId="57" xfId="10" applyNumberFormat="1" applyFont="1" applyFill="1" applyBorder="1" applyAlignment="1" applyProtection="1">
      <alignment horizontal="right" vertical="center" wrapText="1"/>
      <protection locked="0"/>
    </xf>
    <xf numFmtId="0" fontId="5" fillId="27" borderId="15" xfId="10" applyFont="1" applyFill="1" applyBorder="1" applyAlignment="1" applyProtection="1">
      <alignment horizontal="left" vertical="center" wrapText="1"/>
      <protection locked="0"/>
    </xf>
    <xf numFmtId="0" fontId="5" fillId="27" borderId="25" xfId="10" applyFont="1" applyFill="1" applyBorder="1" applyAlignment="1" applyProtection="1">
      <alignment horizontal="left" vertical="center" wrapText="1"/>
      <protection locked="0"/>
    </xf>
    <xf numFmtId="49" fontId="5" fillId="27" borderId="25" xfId="10" applyNumberFormat="1" applyFont="1" applyFill="1" applyBorder="1" applyAlignment="1" applyProtection="1">
      <alignment horizontal="left" vertical="center" wrapText="1" shrinkToFit="1"/>
      <protection locked="0"/>
    </xf>
    <xf numFmtId="1" fontId="5" fillId="27" borderId="57" xfId="10" applyNumberFormat="1" applyFont="1" applyFill="1" applyBorder="1" applyAlignment="1" applyProtection="1">
      <alignment horizontal="right" vertical="center" wrapText="1"/>
      <protection locked="0"/>
    </xf>
    <xf numFmtId="1" fontId="7" fillId="0" borderId="0" xfId="10" applyNumberFormat="1" applyFont="1" applyAlignment="1" applyProtection="1">
      <alignment horizontal="left" vertical="center" wrapText="1"/>
      <protection locked="0"/>
    </xf>
    <xf numFmtId="2" fontId="5" fillId="3" borderId="8" xfId="10" applyNumberFormat="1" applyFont="1" applyFill="1" applyBorder="1" applyAlignment="1" applyProtection="1">
      <alignment horizontal="right" vertical="center" wrapText="1"/>
      <protection locked="0"/>
    </xf>
    <xf numFmtId="2" fontId="5" fillId="3" borderId="26" xfId="10" applyNumberFormat="1" applyFont="1" applyFill="1" applyBorder="1" applyAlignment="1" applyProtection="1">
      <alignment horizontal="right" vertical="center" wrapText="1"/>
      <protection locked="0"/>
    </xf>
    <xf numFmtId="2" fontId="5" fillId="3" borderId="56" xfId="10" applyNumberFormat="1" applyFont="1" applyFill="1" applyBorder="1" applyAlignment="1" applyProtection="1">
      <alignment horizontal="right" vertical="center" wrapText="1"/>
      <protection locked="0"/>
    </xf>
    <xf numFmtId="0" fontId="32" fillId="0" borderId="6" xfId="0" applyFont="1" applyBorder="1"/>
    <xf numFmtId="0" fontId="17" fillId="0" borderId="42" xfId="0" applyFont="1" applyBorder="1" applyAlignment="1">
      <alignment horizontal="left" vertical="center" wrapText="1" readingOrder="1"/>
    </xf>
    <xf numFmtId="0" fontId="33" fillId="0" borderId="42" xfId="0" applyFont="1" applyBorder="1" applyAlignment="1">
      <alignment horizontal="left" wrapText="1" readingOrder="1"/>
    </xf>
    <xf numFmtId="0" fontId="17" fillId="0" borderId="41" xfId="0" applyFont="1" applyBorder="1" applyAlignment="1">
      <alignment horizontal="left" vertical="center" wrapText="1" readingOrder="1"/>
    </xf>
    <xf numFmtId="0" fontId="33" fillId="0" borderId="41" xfId="0" applyFont="1" applyBorder="1" applyAlignment="1">
      <alignment horizontal="left" wrapText="1" readingOrder="1"/>
    </xf>
    <xf numFmtId="2" fontId="5" fillId="9" borderId="14" xfId="1" applyNumberFormat="1" applyFont="1" applyFill="1" applyBorder="1" applyAlignment="1">
      <alignment horizontal="right" vertical="center"/>
    </xf>
    <xf numFmtId="2" fontId="11" fillId="9" borderId="15" xfId="11" applyNumberFormat="1" applyFill="1" applyBorder="1" applyAlignment="1">
      <alignment horizontal="right"/>
    </xf>
    <xf numFmtId="49" fontId="5" fillId="14" borderId="21" xfId="10" applyNumberFormat="1" applyFont="1" applyFill="1" applyBorder="1" applyAlignment="1" applyProtection="1">
      <alignment horizontal="left" vertical="center" shrinkToFit="1"/>
      <protection locked="0"/>
    </xf>
    <xf numFmtId="0" fontId="5" fillId="14" borderId="18" xfId="10" applyFont="1" applyFill="1" applyBorder="1" applyAlignment="1" applyProtection="1">
      <alignment horizontal="left" vertical="center" wrapText="1" shrinkToFit="1"/>
      <protection locked="0"/>
    </xf>
    <xf numFmtId="49" fontId="5" fillId="14" borderId="18" xfId="10" applyNumberFormat="1" applyFont="1" applyFill="1" applyBorder="1" applyAlignment="1" applyProtection="1">
      <alignment horizontal="left" vertical="center" wrapText="1" shrinkToFit="1"/>
      <protection locked="0"/>
    </xf>
    <xf numFmtId="0" fontId="5" fillId="14" borderId="18" xfId="10" applyFont="1" applyFill="1" applyBorder="1" applyAlignment="1" applyProtection="1">
      <alignment horizontal="left" vertical="center" shrinkToFit="1"/>
      <protection locked="0"/>
    </xf>
    <xf numFmtId="1" fontId="5" fillId="14" borderId="29" xfId="10" applyNumberFormat="1" applyFont="1" applyFill="1" applyBorder="1" applyAlignment="1" applyProtection="1">
      <alignment horizontal="right" vertical="center" shrinkToFit="1"/>
      <protection locked="0"/>
    </xf>
    <xf numFmtId="167" fontId="17" fillId="0" borderId="23" xfId="11" applyNumberFormat="1" applyFont="1" applyBorder="1" applyAlignment="1">
      <alignment horizontal="right" vertical="center" wrapText="1"/>
    </xf>
    <xf numFmtId="167" fontId="17" fillId="0" borderId="33" xfId="11" applyNumberFormat="1" applyFont="1" applyBorder="1" applyAlignment="1">
      <alignment horizontal="right" vertical="center" wrapText="1"/>
    </xf>
    <xf numFmtId="1" fontId="7" fillId="15" borderId="180" xfId="10" applyNumberFormat="1" applyFont="1" applyFill="1" applyBorder="1" applyAlignment="1" applyProtection="1">
      <alignment horizontal="left" vertical="center" wrapText="1"/>
      <protection locked="0"/>
    </xf>
    <xf numFmtId="1" fontId="7" fillId="15" borderId="52" xfId="10" applyNumberFormat="1" applyFont="1" applyFill="1" applyBorder="1" applyAlignment="1" applyProtection="1">
      <alignment horizontal="left" vertical="center" wrapText="1"/>
      <protection locked="0"/>
    </xf>
    <xf numFmtId="1" fontId="7" fillId="15" borderId="53" xfId="10" applyNumberFormat="1" applyFont="1" applyFill="1" applyBorder="1" applyAlignment="1" applyProtection="1">
      <alignment horizontal="left" vertical="center" wrapText="1"/>
      <protection locked="0"/>
    </xf>
    <xf numFmtId="0" fontId="5" fillId="14" borderId="18" xfId="10" applyFont="1" applyFill="1" applyBorder="1" applyAlignment="1" applyProtection="1">
      <alignment horizontal="right" vertical="center" shrinkToFit="1"/>
      <protection locked="0"/>
    </xf>
    <xf numFmtId="0" fontId="5" fillId="17" borderId="7" xfId="0" applyFont="1" applyFill="1" applyBorder="1" applyAlignment="1">
      <alignment horizontal="left" vertical="center"/>
    </xf>
    <xf numFmtId="0" fontId="5" fillId="8" borderId="33" xfId="0" applyFont="1" applyFill="1" applyBorder="1" applyAlignment="1">
      <alignment horizontal="left" vertical="center"/>
    </xf>
    <xf numFmtId="2" fontId="5" fillId="0" borderId="6" xfId="0" applyNumberFormat="1" applyFont="1" applyBorder="1" applyAlignment="1">
      <alignment vertical="center" wrapText="1"/>
    </xf>
    <xf numFmtId="2" fontId="5" fillId="10" borderId="6" xfId="0" applyNumberFormat="1" applyFont="1" applyFill="1" applyBorder="1" applyAlignment="1">
      <alignment vertical="center" wrapText="1"/>
    </xf>
    <xf numFmtId="2" fontId="5" fillId="0" borderId="0" xfId="1" applyNumberFormat="1" applyFont="1" applyAlignment="1" applyProtection="1">
      <alignment horizontal="right" vertical="center"/>
      <protection locked="0"/>
    </xf>
    <xf numFmtId="0" fontId="11" fillId="0" borderId="0" xfId="0" applyFont="1" applyAlignment="1">
      <alignment horizontal="right" vertical="center"/>
    </xf>
    <xf numFmtId="2" fontId="5" fillId="0" borderId="0" xfId="6" applyNumberFormat="1" applyFont="1" applyAlignment="1">
      <alignment horizontal="right" vertical="center"/>
    </xf>
    <xf numFmtId="2" fontId="5" fillId="0" borderId="0" xfId="7" applyNumberFormat="1" applyFont="1" applyAlignment="1" applyProtection="1">
      <alignment horizontal="right" vertical="center"/>
      <protection locked="0"/>
    </xf>
    <xf numFmtId="2" fontId="5" fillId="12" borderId="181" xfId="0" applyNumberFormat="1" applyFont="1" applyFill="1" applyBorder="1" applyAlignment="1">
      <alignment vertical="center" wrapText="1"/>
    </xf>
    <xf numFmtId="2" fontId="5" fillId="6" borderId="182" xfId="0" applyNumberFormat="1" applyFont="1" applyFill="1" applyBorder="1" applyAlignment="1">
      <alignment vertical="center" wrapText="1"/>
    </xf>
    <xf numFmtId="2" fontId="5" fillId="6" borderId="142" xfId="0" applyNumberFormat="1" applyFont="1" applyFill="1" applyBorder="1" applyAlignment="1">
      <alignment vertical="center" wrapText="1"/>
    </xf>
    <xf numFmtId="2" fontId="5" fillId="6" borderId="183" xfId="0" applyNumberFormat="1" applyFont="1" applyFill="1" applyBorder="1" applyAlignment="1">
      <alignment vertical="center" wrapText="1"/>
    </xf>
    <xf numFmtId="2" fontId="5" fillId="12" borderId="61" xfId="0" applyNumberFormat="1" applyFont="1" applyFill="1" applyBorder="1" applyAlignment="1">
      <alignment vertical="center" wrapText="1"/>
    </xf>
    <xf numFmtId="2" fontId="5" fillId="10" borderId="184" xfId="0" applyNumberFormat="1" applyFont="1" applyFill="1" applyBorder="1" applyAlignment="1">
      <alignment vertical="center" wrapText="1"/>
    </xf>
    <xf numFmtId="2" fontId="5" fillId="12" borderId="185" xfId="0" applyNumberFormat="1" applyFont="1" applyFill="1" applyBorder="1" applyAlignment="1">
      <alignment vertical="center" wrapText="1"/>
    </xf>
    <xf numFmtId="2" fontId="5" fillId="0" borderId="62" xfId="0" applyNumberFormat="1" applyFont="1" applyBorder="1" applyAlignment="1">
      <alignment vertical="center" wrapText="1"/>
    </xf>
    <xf numFmtId="2" fontId="5" fillId="10" borderId="62" xfId="0" applyNumberFormat="1" applyFont="1" applyFill="1" applyBorder="1" applyAlignment="1">
      <alignment vertical="center" wrapText="1"/>
    </xf>
    <xf numFmtId="2" fontId="5" fillId="12" borderId="186" xfId="0" applyNumberFormat="1" applyFont="1" applyFill="1" applyBorder="1" applyAlignment="1">
      <alignment vertical="center" wrapText="1"/>
    </xf>
    <xf numFmtId="2" fontId="5" fillId="10" borderId="124" xfId="0" applyNumberFormat="1" applyFont="1" applyFill="1" applyBorder="1" applyAlignment="1">
      <alignment vertical="center" wrapText="1"/>
    </xf>
    <xf numFmtId="2" fontId="5" fillId="10" borderId="123" xfId="0" applyNumberFormat="1" applyFont="1" applyFill="1" applyBorder="1" applyAlignment="1">
      <alignment vertical="center" wrapText="1"/>
    </xf>
    <xf numFmtId="2" fontId="5" fillId="10" borderId="187" xfId="0" applyNumberFormat="1" applyFont="1" applyFill="1" applyBorder="1" applyAlignment="1">
      <alignment vertical="center" wrapText="1"/>
    </xf>
    <xf numFmtId="2" fontId="5" fillId="12" borderId="22" xfId="0" applyNumberFormat="1" applyFont="1" applyFill="1" applyBorder="1" applyAlignment="1">
      <alignment vertical="center" wrapText="1"/>
    </xf>
    <xf numFmtId="2" fontId="5" fillId="12" borderId="188" xfId="0" applyNumberFormat="1" applyFont="1" applyFill="1" applyBorder="1" applyAlignment="1">
      <alignment vertical="center" wrapText="1"/>
    </xf>
    <xf numFmtId="0" fontId="7" fillId="13" borderId="189" xfId="0" applyFont="1" applyFill="1" applyBorder="1" applyAlignment="1">
      <alignment horizontal="left" vertical="center" wrapText="1"/>
    </xf>
    <xf numFmtId="0" fontId="7" fillId="22" borderId="52" xfId="0" applyFont="1" applyFill="1" applyBorder="1" applyAlignment="1">
      <alignment horizontal="left" vertical="center" wrapText="1"/>
    </xf>
    <xf numFmtId="0" fontId="7" fillId="15" borderId="0" xfId="1" applyFont="1" applyFill="1" applyAlignment="1">
      <alignment horizontal="right" vertical="center"/>
    </xf>
    <xf numFmtId="1" fontId="7" fillId="29" borderId="1" xfId="1" applyNumberFormat="1" applyFont="1" applyFill="1" applyBorder="1" applyAlignment="1">
      <alignment horizontal="left" vertical="center" wrapText="1"/>
    </xf>
    <xf numFmtId="1" fontId="7" fillId="29" borderId="162" xfId="1" applyNumberFormat="1" applyFont="1" applyFill="1" applyBorder="1" applyAlignment="1">
      <alignment horizontal="left" vertical="center" wrapText="1"/>
    </xf>
    <xf numFmtId="2" fontId="5" fillId="38" borderId="1" xfId="1" applyNumberFormat="1" applyFont="1" applyFill="1" applyBorder="1" applyAlignment="1">
      <alignment horizontal="left" vertical="center" shrinkToFit="1"/>
    </xf>
    <xf numFmtId="0" fontId="5" fillId="29" borderId="1" xfId="1" applyFont="1" applyFill="1" applyBorder="1" applyAlignment="1">
      <alignment horizontal="left" vertical="center" shrinkToFit="1"/>
    </xf>
    <xf numFmtId="0" fontId="5" fillId="29" borderId="162" xfId="1" applyFont="1" applyFill="1" applyBorder="1" applyAlignment="1">
      <alignment horizontal="left" vertical="center" shrinkToFit="1"/>
    </xf>
    <xf numFmtId="0" fontId="5" fillId="29" borderId="163" xfId="1" applyFont="1" applyFill="1" applyBorder="1" applyAlignment="1">
      <alignment horizontal="left" vertical="center" shrinkToFit="1"/>
    </xf>
    <xf numFmtId="0" fontId="5" fillId="29" borderId="49" xfId="1" applyFont="1" applyFill="1" applyBorder="1" applyAlignment="1">
      <alignment horizontal="left" vertical="center" shrinkToFit="1"/>
    </xf>
    <xf numFmtId="2" fontId="5" fillId="29" borderId="1" xfId="1" applyNumberFormat="1" applyFont="1" applyFill="1" applyBorder="1" applyAlignment="1">
      <alignment horizontal="left" vertical="center" shrinkToFit="1"/>
    </xf>
    <xf numFmtId="0" fontId="5" fillId="38" borderId="1" xfId="1" applyFont="1" applyFill="1" applyBorder="1" applyAlignment="1">
      <alignment horizontal="left" vertical="center" wrapText="1"/>
    </xf>
    <xf numFmtId="0" fontId="5" fillId="38" borderId="162" xfId="1" applyFont="1" applyFill="1" applyBorder="1" applyAlignment="1">
      <alignment horizontal="left" vertical="center" wrapText="1"/>
    </xf>
    <xf numFmtId="2" fontId="5" fillId="38" borderId="163" xfId="1" applyNumberFormat="1" applyFont="1" applyFill="1" applyBorder="1" applyAlignment="1">
      <alignment horizontal="left" vertical="center" shrinkToFit="1"/>
    </xf>
    <xf numFmtId="0" fontId="5" fillId="38" borderId="190" xfId="1" applyFont="1" applyFill="1" applyBorder="1" applyAlignment="1">
      <alignment horizontal="left" vertical="center" wrapText="1"/>
    </xf>
    <xf numFmtId="0" fontId="5" fillId="38" borderId="68" xfId="1" applyFont="1" applyFill="1" applyBorder="1" applyAlignment="1">
      <alignment horizontal="left" vertical="center" wrapText="1"/>
    </xf>
    <xf numFmtId="49" fontId="5" fillId="38" borderId="68" xfId="1" applyNumberFormat="1" applyFont="1" applyFill="1" applyBorder="1" applyAlignment="1">
      <alignment horizontal="left" vertical="center" wrapText="1" shrinkToFit="1"/>
    </xf>
    <xf numFmtId="1" fontId="5" fillId="38" borderId="68" xfId="1" applyNumberFormat="1" applyFont="1" applyFill="1" applyBorder="1" applyAlignment="1">
      <alignment horizontal="right" vertical="center" wrapText="1"/>
    </xf>
    <xf numFmtId="2" fontId="5" fillId="3" borderId="190" xfId="1" applyNumberFormat="1" applyFont="1" applyFill="1" applyBorder="1" applyAlignment="1">
      <alignment horizontal="right" vertical="center" wrapText="1"/>
    </xf>
    <xf numFmtId="0" fontId="5" fillId="38" borderId="163" xfId="1" applyFont="1" applyFill="1" applyBorder="1" applyAlignment="1">
      <alignment horizontal="left" vertical="center" wrapText="1"/>
    </xf>
    <xf numFmtId="0" fontId="5" fillId="38" borderId="49" xfId="1" applyFont="1" applyFill="1" applyBorder="1" applyAlignment="1">
      <alignment horizontal="left" vertical="center" wrapText="1"/>
    </xf>
    <xf numFmtId="0" fontId="5" fillId="29" borderId="1" xfId="1" applyFont="1" applyFill="1" applyBorder="1" applyAlignment="1">
      <alignment horizontal="left" vertical="center" wrapText="1"/>
    </xf>
    <xf numFmtId="0" fontId="5" fillId="29" borderId="162" xfId="1" applyFont="1" applyFill="1" applyBorder="1" applyAlignment="1">
      <alignment horizontal="left" vertical="center" wrapText="1"/>
    </xf>
    <xf numFmtId="0" fontId="5" fillId="29" borderId="190" xfId="1" applyFont="1" applyFill="1" applyBorder="1" applyAlignment="1">
      <alignment horizontal="left" vertical="center" wrapText="1"/>
    </xf>
    <xf numFmtId="0" fontId="5" fillId="29" borderId="68" xfId="1" applyFont="1" applyFill="1" applyBorder="1" applyAlignment="1">
      <alignment horizontal="left" vertical="center" wrapText="1"/>
    </xf>
    <xf numFmtId="49" fontId="5" fillId="29" borderId="68" xfId="1" applyNumberFormat="1" applyFont="1" applyFill="1" applyBorder="1" applyAlignment="1">
      <alignment horizontal="left" vertical="center" wrapText="1" shrinkToFit="1"/>
    </xf>
    <xf numFmtId="1" fontId="5" fillId="29" borderId="68" xfId="1" applyNumberFormat="1" applyFont="1" applyFill="1" applyBorder="1" applyAlignment="1">
      <alignment horizontal="right" vertical="center" wrapText="1"/>
    </xf>
    <xf numFmtId="2" fontId="11" fillId="19" borderId="113" xfId="0" applyNumberFormat="1" applyFont="1" applyFill="1" applyBorder="1" applyAlignment="1">
      <alignment horizontal="right" vertical="center" wrapText="1"/>
    </xf>
    <xf numFmtId="2" fontId="11" fillId="19" borderId="41" xfId="0" applyNumberFormat="1" applyFont="1" applyFill="1" applyBorder="1" applyAlignment="1">
      <alignment horizontal="right" vertical="center" wrapText="1"/>
    </xf>
    <xf numFmtId="2" fontId="11" fillId="19" borderId="116" xfId="0" applyNumberFormat="1" applyFont="1" applyFill="1" applyBorder="1" applyAlignment="1">
      <alignment horizontal="right" vertical="center" wrapText="1"/>
    </xf>
    <xf numFmtId="0" fontId="7" fillId="36" borderId="174" xfId="1" applyFont="1" applyFill="1" applyBorder="1" applyAlignment="1" applyProtection="1">
      <alignment horizontal="left" vertical="center" wrapText="1"/>
      <protection locked="0"/>
    </xf>
    <xf numFmtId="0" fontId="29" fillId="15" borderId="0" xfId="0" applyFont="1" applyFill="1" applyAlignment="1">
      <alignment vertical="center"/>
    </xf>
    <xf numFmtId="0" fontId="24" fillId="15" borderId="4" xfId="10" applyFont="1" applyFill="1" applyBorder="1" applyAlignment="1">
      <alignment vertical="center"/>
    </xf>
    <xf numFmtId="0" fontId="14" fillId="15" borderId="4" xfId="10" applyFont="1" applyFill="1" applyBorder="1" applyAlignment="1">
      <alignment vertical="center"/>
    </xf>
    <xf numFmtId="0" fontId="11" fillId="0" borderId="95" xfId="0" applyFont="1" applyBorder="1" applyAlignment="1">
      <alignment vertical="center"/>
    </xf>
    <xf numFmtId="0" fontId="28" fillId="7" borderId="39" xfId="2" applyFont="1" applyFill="1" applyBorder="1" applyAlignment="1" applyProtection="1">
      <alignment horizontal="left" vertical="center" wrapText="1"/>
    </xf>
    <xf numFmtId="1" fontId="7" fillId="0" borderId="0" xfId="1" applyNumberFormat="1" applyFont="1" applyAlignment="1" applyProtection="1">
      <alignment horizontal="left" vertical="center" wrapText="1"/>
      <protection locked="0"/>
    </xf>
    <xf numFmtId="1" fontId="7" fillId="29" borderId="20" xfId="1" applyNumberFormat="1" applyFont="1" applyFill="1" applyBorder="1" applyAlignment="1">
      <alignment horizontal="left" vertical="center" wrapText="1"/>
    </xf>
    <xf numFmtId="2" fontId="5" fillId="3" borderId="20" xfId="1" applyNumberFormat="1" applyFont="1" applyFill="1" applyBorder="1" applyAlignment="1">
      <alignment horizontal="right" vertical="center" shrinkToFit="1"/>
    </xf>
    <xf numFmtId="165" fontId="5" fillId="3" borderId="20" xfId="1" applyNumberFormat="1" applyFont="1" applyFill="1" applyBorder="1" applyAlignment="1">
      <alignment horizontal="right" vertical="center" shrinkToFit="1"/>
    </xf>
    <xf numFmtId="166" fontId="5" fillId="3" borderId="191" xfId="1" applyNumberFormat="1" applyFont="1" applyFill="1" applyBorder="1" applyAlignment="1">
      <alignment horizontal="right" vertical="center" shrinkToFit="1"/>
    </xf>
    <xf numFmtId="2" fontId="5" fillId="3" borderId="191" xfId="1" applyNumberFormat="1" applyFont="1" applyFill="1" applyBorder="1" applyAlignment="1">
      <alignment horizontal="right" vertical="center" shrinkToFit="1"/>
    </xf>
    <xf numFmtId="2" fontId="5" fillId="3" borderId="20" xfId="1" applyNumberFormat="1" applyFont="1" applyFill="1" applyBorder="1" applyAlignment="1">
      <alignment horizontal="right" vertical="center" wrapText="1"/>
    </xf>
    <xf numFmtId="2" fontId="5" fillId="3" borderId="95" xfId="1" applyNumberFormat="1" applyFont="1" applyFill="1" applyBorder="1" applyAlignment="1">
      <alignment horizontal="right" vertical="center" wrapText="1"/>
    </xf>
    <xf numFmtId="2" fontId="5" fillId="3" borderId="191" xfId="1" applyNumberFormat="1" applyFont="1" applyFill="1" applyBorder="1" applyAlignment="1">
      <alignment horizontal="right" vertical="center" wrapText="1"/>
    </xf>
    <xf numFmtId="1" fontId="7" fillId="29" borderId="39" xfId="1" applyNumberFormat="1" applyFont="1" applyFill="1" applyBorder="1" applyAlignment="1">
      <alignment horizontal="left" vertical="center" wrapText="1"/>
    </xf>
    <xf numFmtId="0" fontId="18" fillId="0" borderId="6" xfId="0" applyFont="1" applyBorder="1" applyAlignment="1">
      <alignment horizontal="left" vertical="center" wrapText="1"/>
    </xf>
    <xf numFmtId="0" fontId="17" fillId="0" borderId="6" xfId="0" applyFont="1" applyBorder="1" applyAlignment="1">
      <alignment horizontal="left" vertical="center" wrapText="1"/>
    </xf>
    <xf numFmtId="0" fontId="16" fillId="0" borderId="68" xfId="11" applyFont="1" applyBorder="1" applyAlignment="1">
      <alignment horizontal="left" vertical="center" wrapText="1"/>
    </xf>
    <xf numFmtId="0" fontId="11" fillId="0" borderId="0" xfId="12"/>
    <xf numFmtId="0" fontId="11" fillId="0" borderId="28" xfId="12" applyBorder="1"/>
    <xf numFmtId="0" fontId="17" fillId="0" borderId="27" xfId="12" applyFont="1" applyBorder="1" applyAlignment="1">
      <alignment horizontal="left" vertical="center" wrapText="1"/>
    </xf>
    <xf numFmtId="0" fontId="11" fillId="0" borderId="24" xfId="12" applyBorder="1"/>
    <xf numFmtId="0" fontId="11" fillId="0" borderId="6" xfId="12" applyBorder="1"/>
    <xf numFmtId="0" fontId="11" fillId="15" borderId="6" xfId="12" applyFill="1" applyBorder="1"/>
    <xf numFmtId="0" fontId="17" fillId="0" borderId="6" xfId="12" applyFont="1" applyBorder="1" applyAlignment="1">
      <alignment horizontal="left" vertical="center" wrapText="1"/>
    </xf>
    <xf numFmtId="0" fontId="11" fillId="15" borderId="23" xfId="12" applyFill="1" applyBorder="1"/>
    <xf numFmtId="0" fontId="15" fillId="15" borderId="6" xfId="12" applyFont="1" applyFill="1" applyBorder="1" applyAlignment="1">
      <alignment horizontal="left" vertical="center" wrapText="1"/>
    </xf>
    <xf numFmtId="0" fontId="18" fillId="15" borderId="6" xfId="12" applyFont="1" applyFill="1" applyBorder="1" applyAlignment="1">
      <alignment horizontal="left" vertical="center" wrapText="1"/>
    </xf>
    <xf numFmtId="0" fontId="17" fillId="15" borderId="23" xfId="12" applyFont="1" applyFill="1" applyBorder="1" applyAlignment="1">
      <alignment horizontal="left" vertical="center" wrapText="1"/>
    </xf>
    <xf numFmtId="0" fontId="17" fillId="15" borderId="6" xfId="12" applyFont="1" applyFill="1" applyBorder="1" applyAlignment="1">
      <alignment horizontal="left" vertical="center" wrapText="1"/>
    </xf>
    <xf numFmtId="0" fontId="5" fillId="0" borderId="6" xfId="12" applyFont="1" applyBorder="1" applyAlignment="1">
      <alignment horizontal="left" vertical="center" wrapText="1"/>
    </xf>
    <xf numFmtId="0" fontId="11" fillId="0" borderId="29" xfId="12" applyBorder="1"/>
    <xf numFmtId="0" fontId="11" fillId="0" borderId="18" xfId="12" applyBorder="1"/>
    <xf numFmtId="0" fontId="11" fillId="15" borderId="18" xfId="12" applyFill="1" applyBorder="1"/>
    <xf numFmtId="0" fontId="15" fillId="15" borderId="18" xfId="12" applyFont="1" applyFill="1" applyBorder="1" applyAlignment="1">
      <alignment horizontal="left" vertical="center" wrapText="1"/>
    </xf>
    <xf numFmtId="0" fontId="17" fillId="15" borderId="18" xfId="12" applyFont="1" applyFill="1" applyBorder="1" applyAlignment="1">
      <alignment horizontal="left" vertical="center" wrapText="1"/>
    </xf>
    <xf numFmtId="0" fontId="17" fillId="15" borderId="22" xfId="12" applyFont="1" applyFill="1" applyBorder="1" applyAlignment="1">
      <alignment horizontal="left" vertical="center" wrapText="1"/>
    </xf>
    <xf numFmtId="0" fontId="17" fillId="0" borderId="18" xfId="12" applyFont="1" applyBorder="1" applyAlignment="1">
      <alignment horizontal="left" vertical="center" wrapText="1"/>
    </xf>
    <xf numFmtId="0" fontId="5" fillId="0" borderId="18" xfId="12" applyFont="1" applyBorder="1" applyAlignment="1">
      <alignment horizontal="left" vertical="center" wrapText="1"/>
    </xf>
    <xf numFmtId="1" fontId="7" fillId="29" borderId="53" xfId="1" applyNumberFormat="1" applyFont="1" applyFill="1" applyBorder="1" applyAlignment="1" applyProtection="1">
      <alignment horizontal="left" vertical="center" wrapText="1"/>
      <protection locked="0"/>
    </xf>
    <xf numFmtId="1" fontId="7" fillId="29" borderId="52" xfId="1" applyNumberFormat="1" applyFont="1" applyFill="1" applyBorder="1" applyAlignment="1" applyProtection="1">
      <alignment horizontal="left" vertical="center" wrapText="1"/>
      <protection locked="0"/>
    </xf>
    <xf numFmtId="1" fontId="7" fillId="29" borderId="55" xfId="1" applyNumberFormat="1" applyFont="1" applyFill="1" applyBorder="1" applyAlignment="1" applyProtection="1">
      <alignment horizontal="left" vertical="center" wrapText="1"/>
      <protection locked="0"/>
    </xf>
    <xf numFmtId="0" fontId="7" fillId="11" borderId="52" xfId="12" applyFont="1" applyFill="1" applyBorder="1" applyAlignment="1">
      <alignment horizontal="left" vertical="center" wrapText="1"/>
    </xf>
    <xf numFmtId="0" fontId="15" fillId="11" borderId="52" xfId="12" applyFont="1" applyFill="1" applyBorder="1" applyAlignment="1">
      <alignment horizontal="left" vertical="center" wrapText="1"/>
    </xf>
    <xf numFmtId="0" fontId="15" fillId="11" borderId="180" xfId="12" applyFont="1" applyFill="1" applyBorder="1" applyAlignment="1">
      <alignment horizontal="left" vertical="center" wrapText="1"/>
    </xf>
    <xf numFmtId="0" fontId="7" fillId="0" borderId="1" xfId="12" applyFont="1" applyBorder="1" applyAlignment="1">
      <alignment horizontal="center" vertical="center"/>
    </xf>
    <xf numFmtId="0" fontId="11" fillId="7" borderId="0" xfId="12" applyFill="1"/>
    <xf numFmtId="0" fontId="17" fillId="7" borderId="6" xfId="12" applyFont="1" applyFill="1" applyBorder="1" applyAlignment="1">
      <alignment horizontal="left" vertical="center" wrapText="1"/>
    </xf>
    <xf numFmtId="0" fontId="5" fillId="7" borderId="6" xfId="12" applyFont="1" applyFill="1" applyBorder="1" applyAlignment="1">
      <alignment horizontal="left" vertical="center" wrapText="1"/>
    </xf>
    <xf numFmtId="0" fontId="11" fillId="7" borderId="27" xfId="12" applyFill="1" applyBorder="1"/>
    <xf numFmtId="0" fontId="11" fillId="15" borderId="25" xfId="12" applyFill="1" applyBorder="1"/>
    <xf numFmtId="0" fontId="15" fillId="15" borderId="25" xfId="12" applyFont="1" applyFill="1" applyBorder="1" applyAlignment="1">
      <alignment horizontal="left" vertical="center" wrapText="1"/>
    </xf>
    <xf numFmtId="0" fontId="15" fillId="15" borderId="14" xfId="12" applyFont="1" applyFill="1" applyBorder="1" applyAlignment="1">
      <alignment horizontal="left" vertical="center" wrapText="1"/>
    </xf>
    <xf numFmtId="0" fontId="17" fillId="0" borderId="14" xfId="12" applyFont="1" applyBorder="1" applyAlignment="1">
      <alignment horizontal="left" vertical="center" wrapText="1"/>
    </xf>
    <xf numFmtId="0" fontId="14" fillId="0" borderId="6" xfId="12" applyFont="1" applyBorder="1" applyAlignment="1">
      <alignment horizontal="left" vertical="center" wrapText="1"/>
    </xf>
    <xf numFmtId="0" fontId="14" fillId="0" borderId="18" xfId="12" applyFont="1" applyBorder="1" applyAlignment="1">
      <alignment horizontal="left" vertical="center" wrapText="1"/>
    </xf>
    <xf numFmtId="0" fontId="17" fillId="0" borderId="0" xfId="12" applyFont="1" applyAlignment="1">
      <alignment horizontal="left" vertical="center" wrapText="1"/>
    </xf>
    <xf numFmtId="0" fontId="11" fillId="0" borderId="0" xfId="9" applyFont="1" applyAlignment="1">
      <alignment horizontal="left" vertical="top"/>
    </xf>
    <xf numFmtId="0" fontId="11" fillId="15" borderId="35" xfId="9" applyFont="1" applyFill="1" applyBorder="1" applyAlignment="1">
      <alignment horizontal="left" vertical="top"/>
    </xf>
    <xf numFmtId="0" fontId="12" fillId="0" borderId="0" xfId="12" applyFont="1"/>
    <xf numFmtId="0" fontId="35" fillId="7" borderId="0" xfId="12" applyFont="1" applyFill="1"/>
    <xf numFmtId="0" fontId="35" fillId="7" borderId="0" xfId="12" applyFont="1" applyFill="1" applyAlignment="1">
      <alignment horizontal="center"/>
    </xf>
    <xf numFmtId="168" fontId="36" fillId="7" borderId="23" xfId="12" applyNumberFormat="1" applyFont="1" applyFill="1" applyBorder="1"/>
    <xf numFmtId="0" fontId="35" fillId="7" borderId="6" xfId="12" applyFont="1" applyFill="1" applyBorder="1" applyAlignment="1">
      <alignment horizontal="center"/>
    </xf>
    <xf numFmtId="0" fontId="36" fillId="7" borderId="34" xfId="12" applyFont="1" applyFill="1" applyBorder="1"/>
    <xf numFmtId="0" fontId="35" fillId="7" borderId="47" xfId="12" applyFont="1" applyFill="1" applyBorder="1" applyAlignment="1">
      <alignment horizontal="center"/>
    </xf>
    <xf numFmtId="0" fontId="36" fillId="47" borderId="47" xfId="12" applyFont="1" applyFill="1" applyBorder="1" applyAlignment="1">
      <alignment horizontal="center"/>
    </xf>
    <xf numFmtId="0" fontId="35" fillId="7" borderId="7" xfId="12" applyFont="1" applyFill="1" applyBorder="1"/>
    <xf numFmtId="0" fontId="35" fillId="7" borderId="48" xfId="12" applyFont="1" applyFill="1" applyBorder="1" applyAlignment="1">
      <alignment horizontal="center"/>
    </xf>
    <xf numFmtId="0" fontId="2" fillId="7" borderId="0" xfId="12" applyFont="1" applyFill="1"/>
    <xf numFmtId="0" fontId="35" fillId="7" borderId="17" xfId="12" applyFont="1" applyFill="1" applyBorder="1" applyAlignment="1">
      <alignment horizontal="center"/>
    </xf>
    <xf numFmtId="0" fontId="35" fillId="7" borderId="51" xfId="12" applyFont="1" applyFill="1" applyBorder="1" applyAlignment="1">
      <alignment horizontal="center"/>
    </xf>
    <xf numFmtId="0" fontId="35" fillId="7" borderId="16" xfId="12" applyFont="1" applyFill="1" applyBorder="1" applyAlignment="1">
      <alignment horizontal="center"/>
    </xf>
    <xf numFmtId="10" fontId="35" fillId="7" borderId="16" xfId="12" applyNumberFormat="1" applyFont="1" applyFill="1" applyBorder="1" applyAlignment="1">
      <alignment horizontal="center"/>
    </xf>
    <xf numFmtId="0" fontId="38" fillId="48" borderId="51" xfId="12" applyFont="1" applyFill="1" applyBorder="1" applyAlignment="1">
      <alignment horizontal="center"/>
    </xf>
    <xf numFmtId="0" fontId="38" fillId="48" borderId="0" xfId="12" applyFont="1" applyFill="1" applyAlignment="1">
      <alignment horizontal="center"/>
    </xf>
    <xf numFmtId="0" fontId="38" fillId="48" borderId="16" xfId="12" applyFont="1" applyFill="1" applyBorder="1" applyAlignment="1">
      <alignment horizontal="center"/>
    </xf>
    <xf numFmtId="0" fontId="38" fillId="48" borderId="2" xfId="12" applyFont="1" applyFill="1" applyBorder="1" applyAlignment="1">
      <alignment horizontal="center"/>
    </xf>
    <xf numFmtId="0" fontId="38" fillId="48" borderId="2" xfId="12" applyFont="1" applyFill="1" applyBorder="1"/>
    <xf numFmtId="0" fontId="38" fillId="48" borderId="3" xfId="12" applyFont="1" applyFill="1" applyBorder="1"/>
    <xf numFmtId="0" fontId="35" fillId="47" borderId="4" xfId="12" applyFont="1" applyFill="1" applyBorder="1" applyAlignment="1">
      <alignment horizontal="center"/>
    </xf>
    <xf numFmtId="0" fontId="35" fillId="47" borderId="0" xfId="12" applyFont="1" applyFill="1"/>
    <xf numFmtId="0" fontId="36" fillId="47" borderId="0" xfId="12" applyFont="1" applyFill="1" applyAlignment="1">
      <alignment horizontal="right"/>
    </xf>
    <xf numFmtId="0" fontId="36" fillId="47" borderId="5" xfId="12" applyFont="1" applyFill="1" applyBorder="1" applyAlignment="1">
      <alignment horizontal="right"/>
    </xf>
    <xf numFmtId="168" fontId="35" fillId="7" borderId="0" xfId="12" applyNumberFormat="1" applyFont="1" applyFill="1"/>
    <xf numFmtId="168" fontId="35" fillId="7" borderId="5" xfId="12" applyNumberFormat="1" applyFont="1" applyFill="1" applyBorder="1"/>
    <xf numFmtId="0" fontId="35" fillId="7" borderId="9" xfId="12" applyFont="1" applyFill="1" applyBorder="1"/>
    <xf numFmtId="0" fontId="35" fillId="7" borderId="10" xfId="12" applyFont="1" applyFill="1" applyBorder="1"/>
    <xf numFmtId="0" fontId="35" fillId="7" borderId="174" xfId="12" applyFont="1" applyFill="1" applyBorder="1"/>
    <xf numFmtId="0" fontId="35" fillId="7" borderId="11" xfId="12" applyFont="1" applyFill="1" applyBorder="1"/>
    <xf numFmtId="0" fontId="35" fillId="47" borderId="1" xfId="12" applyFont="1" applyFill="1" applyBorder="1"/>
    <xf numFmtId="0" fontId="35" fillId="47" borderId="2" xfId="12" applyFont="1" applyFill="1" applyBorder="1"/>
    <xf numFmtId="0" fontId="36" fillId="47" borderId="2" xfId="12" applyFont="1" applyFill="1" applyBorder="1" applyAlignment="1">
      <alignment horizontal="right"/>
    </xf>
    <xf numFmtId="0" fontId="36" fillId="47" borderId="3" xfId="12" applyFont="1" applyFill="1" applyBorder="1" applyAlignment="1">
      <alignment horizontal="right"/>
    </xf>
    <xf numFmtId="0" fontId="35" fillId="7" borderId="9" xfId="12" applyFont="1" applyFill="1" applyBorder="1" applyAlignment="1">
      <alignment horizontal="center"/>
    </xf>
    <xf numFmtId="0" fontId="35" fillId="7" borderId="5" xfId="12" applyFont="1" applyFill="1" applyBorder="1"/>
    <xf numFmtId="2" fontId="5" fillId="36" borderId="6" xfId="1" applyNumberFormat="1" applyFont="1" applyFill="1" applyBorder="1" applyAlignment="1" applyProtection="1">
      <alignment horizontal="left" vertical="center" wrapText="1"/>
      <protection locked="0"/>
    </xf>
    <xf numFmtId="0" fontId="35" fillId="0" borderId="0" xfId="0" applyFont="1"/>
    <xf numFmtId="0" fontId="15" fillId="45" borderId="1" xfId="0" applyFont="1" applyFill="1" applyBorder="1" applyAlignment="1">
      <alignment horizontal="left" vertical="center" wrapText="1"/>
    </xf>
    <xf numFmtId="0" fontId="15" fillId="11" borderId="47" xfId="12" applyFont="1" applyFill="1" applyBorder="1" applyAlignment="1">
      <alignment horizontal="left" vertical="center" wrapText="1"/>
    </xf>
    <xf numFmtId="0" fontId="7" fillId="11" borderId="47" xfId="12" applyFont="1" applyFill="1" applyBorder="1" applyAlignment="1">
      <alignment horizontal="left" vertical="center" wrapText="1"/>
    </xf>
    <xf numFmtId="0" fontId="17" fillId="7" borderId="0" xfId="12" applyFont="1" applyFill="1" applyAlignment="1">
      <alignment horizontal="left" vertical="center" wrapText="1"/>
    </xf>
    <xf numFmtId="0" fontId="5" fillId="7" borderId="0" xfId="12" applyFont="1" applyFill="1" applyAlignment="1">
      <alignment horizontal="left" vertical="center" wrapText="1"/>
    </xf>
    <xf numFmtId="0" fontId="34" fillId="7" borderId="0" xfId="12" applyFont="1" applyFill="1" applyAlignment="1">
      <alignment horizontal="left" vertical="center" wrapText="1"/>
    </xf>
    <xf numFmtId="0" fontId="15" fillId="7" borderId="0" xfId="12" applyFont="1" applyFill="1" applyAlignment="1">
      <alignment horizontal="left" vertical="center" wrapText="1"/>
    </xf>
    <xf numFmtId="0" fontId="17" fillId="0" borderId="195" xfId="12" applyFont="1" applyBorder="1" applyAlignment="1">
      <alignment horizontal="left" vertical="center" wrapText="1"/>
    </xf>
    <xf numFmtId="0" fontId="5" fillId="0" borderId="195" xfId="12" applyFont="1" applyBorder="1" applyAlignment="1">
      <alignment horizontal="left" vertical="center" wrapText="1"/>
    </xf>
    <xf numFmtId="0" fontId="11" fillId="0" borderId="195" xfId="12" applyBorder="1"/>
    <xf numFmtId="0" fontId="16" fillId="7" borderId="0" xfId="12" applyFont="1" applyFill="1" applyAlignment="1">
      <alignment horizontal="center" vertical="top" wrapText="1"/>
    </xf>
    <xf numFmtId="0" fontId="7" fillId="0" borderId="4" xfId="12" applyFont="1" applyBorder="1" applyAlignment="1">
      <alignment horizontal="center" vertical="center"/>
    </xf>
    <xf numFmtId="0" fontId="15" fillId="11" borderId="67" xfId="12" applyFont="1" applyFill="1" applyBorder="1" applyAlignment="1">
      <alignment horizontal="left" vertical="center" wrapText="1"/>
    </xf>
    <xf numFmtId="0" fontId="12" fillId="0" borderId="0" xfId="0" applyFont="1" applyAlignment="1">
      <alignment horizontal="left" vertical="center"/>
    </xf>
    <xf numFmtId="1" fontId="11" fillId="38" borderId="113" xfId="1" applyNumberFormat="1" applyFont="1" applyFill="1" applyBorder="1" applyAlignment="1">
      <alignment horizontal="left" vertical="center" wrapText="1"/>
    </xf>
    <xf numFmtId="1" fontId="17" fillId="38" borderId="41" xfId="1" applyNumberFormat="1" applyFont="1" applyFill="1" applyBorder="1" applyAlignment="1">
      <alignment horizontal="left" vertical="center" wrapText="1"/>
    </xf>
    <xf numFmtId="1" fontId="11" fillId="38" borderId="41" xfId="1" applyNumberFormat="1" applyFont="1" applyFill="1" applyBorder="1" applyAlignment="1">
      <alignment horizontal="left" vertical="center" wrapText="1"/>
    </xf>
    <xf numFmtId="1" fontId="11" fillId="38" borderId="74" xfId="1" applyNumberFormat="1" applyFont="1" applyFill="1" applyBorder="1" applyAlignment="1">
      <alignment horizontal="right" vertical="center" wrapText="1"/>
    </xf>
    <xf numFmtId="2" fontId="11" fillId="19" borderId="113" xfId="1" applyNumberFormat="1" applyFont="1" applyFill="1" applyBorder="1" applyAlignment="1">
      <alignment horizontal="right" vertical="center" wrapText="1"/>
    </xf>
    <xf numFmtId="2" fontId="11" fillId="19" borderId="41" xfId="1" applyNumberFormat="1" applyFont="1" applyFill="1" applyBorder="1" applyAlignment="1">
      <alignment horizontal="right" vertical="center" wrapText="1"/>
    </xf>
    <xf numFmtId="0" fontId="34" fillId="0" borderId="195" xfId="12" applyFont="1" applyBorder="1" applyAlignment="1">
      <alignment horizontal="left" vertical="center" wrapText="1"/>
    </xf>
    <xf numFmtId="0" fontId="15" fillId="0" borderId="195" xfId="12" applyFont="1" applyBorder="1" applyAlignment="1">
      <alignment horizontal="left" vertical="center" wrapText="1"/>
    </xf>
    <xf numFmtId="2" fontId="5" fillId="15" borderId="0" xfId="1" applyNumberFormat="1" applyFont="1" applyFill="1" applyAlignment="1" applyProtection="1">
      <alignment horizontal="center" vertical="center"/>
      <protection locked="0"/>
    </xf>
    <xf numFmtId="0" fontId="35" fillId="7" borderId="4" xfId="12" applyFont="1" applyFill="1" applyBorder="1" applyAlignment="1">
      <alignment horizontal="center"/>
    </xf>
    <xf numFmtId="0" fontId="38" fillId="48" borderId="1" xfId="12" applyFont="1" applyFill="1" applyBorder="1" applyAlignment="1">
      <alignment horizontal="center"/>
    </xf>
    <xf numFmtId="2" fontId="11" fillId="9" borderId="71" xfId="0" applyNumberFormat="1" applyFont="1" applyFill="1" applyBorder="1" applyAlignment="1">
      <alignment horizontal="right" vertical="center" wrapText="1"/>
    </xf>
    <xf numFmtId="169" fontId="35" fillId="7" borderId="16" xfId="12" applyNumberFormat="1" applyFont="1" applyFill="1" applyBorder="1" applyAlignment="1">
      <alignment horizontal="center"/>
    </xf>
    <xf numFmtId="2" fontId="35" fillId="7" borderId="7" xfId="0" applyNumberFormat="1" applyFont="1" applyFill="1" applyBorder="1"/>
    <xf numFmtId="14" fontId="11" fillId="0" borderId="94" xfId="0" applyNumberFormat="1" applyFont="1" applyBorder="1" applyAlignment="1">
      <alignment vertical="center"/>
    </xf>
    <xf numFmtId="0" fontId="0" fillId="0" borderId="23" xfId="0" applyBorder="1"/>
    <xf numFmtId="0" fontId="0" fillId="0" borderId="6" xfId="0" applyBorder="1"/>
    <xf numFmtId="0" fontId="0" fillId="0" borderId="34" xfId="0" applyBorder="1"/>
    <xf numFmtId="0" fontId="0" fillId="0" borderId="15" xfId="0" applyBorder="1"/>
    <xf numFmtId="0" fontId="0" fillId="0" borderId="25" xfId="0" applyBorder="1"/>
    <xf numFmtId="0" fontId="0" fillId="0" borderId="49" xfId="0" applyBorder="1"/>
    <xf numFmtId="0" fontId="32" fillId="0" borderId="17" xfId="0" applyFont="1" applyBorder="1"/>
    <xf numFmtId="0" fontId="32" fillId="0" borderId="14" xfId="0" applyFont="1" applyBorder="1"/>
    <xf numFmtId="0" fontId="32" fillId="0" borderId="48" xfId="0" applyFont="1" applyBorder="1"/>
    <xf numFmtId="2" fontId="5" fillId="10" borderId="24" xfId="0" applyNumberFormat="1" applyFont="1" applyFill="1" applyBorder="1" applyAlignment="1">
      <alignment vertical="center" wrapText="1"/>
    </xf>
    <xf numFmtId="0" fontId="11" fillId="0" borderId="0" xfId="13" applyFont="1" applyAlignment="1">
      <alignment horizontal="left" vertical="center" wrapText="1"/>
    </xf>
    <xf numFmtId="0" fontId="1" fillId="0" borderId="0" xfId="14"/>
    <xf numFmtId="49" fontId="1" fillId="0" borderId="0" xfId="14" applyNumberFormat="1"/>
    <xf numFmtId="0" fontId="11" fillId="15" borderId="21" xfId="13" applyFont="1" applyFill="1" applyBorder="1" applyAlignment="1">
      <alignment horizontal="left" vertical="center" wrapText="1"/>
    </xf>
    <xf numFmtId="2" fontId="11" fillId="0" borderId="29" xfId="13" applyNumberFormat="1" applyFont="1" applyBorder="1" applyAlignment="1">
      <alignment horizontal="left" vertical="top" wrapText="1"/>
    </xf>
    <xf numFmtId="0" fontId="11" fillId="15" borderId="26" xfId="13" applyFont="1" applyFill="1" applyBorder="1" applyAlignment="1">
      <alignment horizontal="left" vertical="center"/>
    </xf>
    <xf numFmtId="0" fontId="11" fillId="0" borderId="28" xfId="13" applyFont="1" applyBorder="1" applyAlignment="1">
      <alignment horizontal="left" vertical="center" wrapText="1"/>
    </xf>
    <xf numFmtId="0" fontId="11" fillId="15" borderId="26" xfId="13" applyFont="1" applyFill="1" applyBorder="1" applyAlignment="1">
      <alignment horizontal="left" vertical="center" wrapText="1"/>
    </xf>
    <xf numFmtId="2" fontId="11" fillId="0" borderId="0" xfId="13" applyNumberFormat="1" applyFont="1" applyAlignment="1">
      <alignment horizontal="left" vertical="center" wrapText="1"/>
    </xf>
    <xf numFmtId="2" fontId="11" fillId="0" borderId="0" xfId="13" applyNumberFormat="1" applyFont="1" applyAlignment="1">
      <alignment horizontal="left" vertical="center"/>
    </xf>
    <xf numFmtId="166" fontId="11" fillId="0" borderId="0" xfId="13" applyNumberFormat="1" applyFont="1" applyAlignment="1">
      <alignment horizontal="left" vertical="center" wrapText="1"/>
    </xf>
    <xf numFmtId="166" fontId="11" fillId="0" borderId="0" xfId="13" applyNumberFormat="1" applyFont="1" applyAlignment="1">
      <alignment horizontal="left" vertical="center"/>
    </xf>
    <xf numFmtId="0" fontId="11" fillId="0" borderId="0" xfId="13" applyFont="1" applyAlignment="1">
      <alignment horizontal="left" vertical="center"/>
    </xf>
    <xf numFmtId="0" fontId="12" fillId="15" borderId="1" xfId="13" applyFont="1" applyFill="1" applyBorder="1" applyAlignment="1">
      <alignment horizontal="left" vertical="center" wrapText="1"/>
    </xf>
    <xf numFmtId="0" fontId="11" fillId="15" borderId="2" xfId="13" applyFont="1" applyFill="1" applyBorder="1" applyAlignment="1">
      <alignment horizontal="left" vertical="center" wrapText="1"/>
    </xf>
    <xf numFmtId="0" fontId="11" fillId="15" borderId="3" xfId="13" applyFont="1" applyFill="1" applyBorder="1" applyAlignment="1">
      <alignment horizontal="left" vertical="center" wrapText="1"/>
    </xf>
    <xf numFmtId="0" fontId="11" fillId="15" borderId="4" xfId="13" applyFont="1" applyFill="1" applyBorder="1" applyAlignment="1">
      <alignment horizontal="left" vertical="center" wrapText="1"/>
    </xf>
    <xf numFmtId="0" fontId="11" fillId="15" borderId="0" xfId="13" applyFont="1" applyFill="1" applyAlignment="1">
      <alignment horizontal="left" vertical="center" wrapText="1"/>
    </xf>
    <xf numFmtId="0" fontId="11" fillId="15" borderId="5" xfId="13" applyFont="1" applyFill="1" applyBorder="1" applyAlignment="1">
      <alignment horizontal="left" vertical="center" wrapText="1"/>
    </xf>
    <xf numFmtId="0" fontId="11" fillId="15" borderId="9" xfId="13" applyFont="1" applyFill="1" applyBorder="1" applyAlignment="1">
      <alignment horizontal="left" vertical="center" wrapText="1"/>
    </xf>
    <xf numFmtId="0" fontId="11" fillId="15" borderId="10" xfId="13" applyFont="1" applyFill="1" applyBorder="1" applyAlignment="1">
      <alignment horizontal="left" vertical="center" wrapText="1"/>
    </xf>
    <xf numFmtId="0" fontId="11" fillId="15" borderId="11" xfId="13" applyFont="1" applyFill="1" applyBorder="1" applyAlignment="1">
      <alignment horizontal="left" vertical="center" wrapText="1"/>
    </xf>
    <xf numFmtId="1" fontId="3" fillId="0" borderId="9" xfId="2" applyNumberFormat="1" applyBorder="1" applyAlignment="1" applyProtection="1">
      <alignment horizontal="left" vertical="center" wrapText="1"/>
      <protection locked="0"/>
    </xf>
    <xf numFmtId="0" fontId="3" fillId="0" borderId="0" xfId="2" applyAlignment="1" applyProtection="1">
      <alignment horizontal="left" vertical="center" wrapText="1"/>
      <protection locked="0"/>
    </xf>
    <xf numFmtId="0" fontId="3" fillId="0" borderId="0" xfId="2" applyAlignment="1" applyProtection="1"/>
    <xf numFmtId="0" fontId="3" fillId="0" borderId="10" xfId="2" applyBorder="1" applyAlignment="1" applyProtection="1">
      <alignment horizontal="left" vertical="center"/>
    </xf>
    <xf numFmtId="0" fontId="3" fillId="7" borderId="39" xfId="2" applyFill="1" applyBorder="1" applyAlignment="1" applyProtection="1">
      <alignment horizontal="left" vertical="center" wrapText="1"/>
    </xf>
    <xf numFmtId="0" fontId="3" fillId="0" borderId="0" xfId="2" applyAlignment="1" applyProtection="1">
      <alignment horizontal="left" vertical="center"/>
    </xf>
    <xf numFmtId="0" fontId="3" fillId="0" borderId="0" xfId="2" applyAlignment="1" applyProtection="1">
      <alignment horizontal="left" vertical="center" wrapText="1"/>
    </xf>
    <xf numFmtId="1" fontId="3" fillId="0" borderId="0" xfId="2" applyNumberFormat="1" applyAlignment="1" applyProtection="1">
      <alignment horizontal="left" vertical="center" wrapText="1"/>
      <protection locked="0"/>
    </xf>
    <xf numFmtId="2" fontId="3" fillId="0" borderId="0" xfId="2" applyNumberFormat="1" applyAlignment="1" applyProtection="1">
      <alignment horizontal="left" vertical="center" wrapText="1"/>
      <protection locked="0"/>
    </xf>
    <xf numFmtId="0" fontId="3" fillId="0" borderId="0" xfId="2" quotePrefix="1" applyAlignment="1" applyProtection="1">
      <alignment horizontal="left" vertical="center" wrapText="1"/>
    </xf>
    <xf numFmtId="2" fontId="3" fillId="0" borderId="0" xfId="2" quotePrefix="1" applyNumberFormat="1" applyAlignment="1" applyProtection="1">
      <alignment horizontal="left" vertical="center" wrapText="1"/>
      <protection locked="0"/>
    </xf>
    <xf numFmtId="49" fontId="2" fillId="0" borderId="6" xfId="1" applyNumberFormat="1" applyBorder="1" applyAlignment="1" applyProtection="1">
      <alignment horizontal="center" vertical="center" wrapText="1"/>
      <protection locked="0"/>
    </xf>
    <xf numFmtId="49" fontId="5" fillId="0" borderId="6" xfId="0" applyNumberFormat="1" applyFont="1" applyBorder="1" applyAlignment="1" applyProtection="1">
      <alignment horizontal="center" vertical="center" wrapText="1"/>
      <protection locked="0"/>
    </xf>
    <xf numFmtId="0" fontId="11" fillId="0" borderId="34" xfId="0" applyFont="1" applyBorder="1" applyAlignment="1">
      <alignment horizontal="right" vertical="center"/>
    </xf>
    <xf numFmtId="49" fontId="11" fillId="0" borderId="0" xfId="0" applyNumberFormat="1" applyFont="1" applyAlignment="1">
      <alignment horizontal="left" vertical="center"/>
    </xf>
    <xf numFmtId="2" fontId="11" fillId="0" borderId="34" xfId="0" applyNumberFormat="1" applyFont="1" applyBorder="1" applyAlignment="1">
      <alignment horizontal="right" vertical="center"/>
    </xf>
    <xf numFmtId="0" fontId="11" fillId="0" borderId="33" xfId="0" applyFont="1" applyBorder="1" applyAlignment="1">
      <alignment vertical="center" wrapText="1"/>
    </xf>
    <xf numFmtId="14" fontId="11" fillId="0" borderId="105" xfId="0" applyNumberFormat="1" applyFont="1" applyBorder="1" applyAlignment="1">
      <alignment vertical="center"/>
    </xf>
    <xf numFmtId="10" fontId="5" fillId="9" borderId="6" xfId="10" applyNumberFormat="1" applyFont="1" applyFill="1" applyBorder="1" applyAlignment="1" applyProtection="1">
      <alignment horizontal="right" vertical="center" shrinkToFit="1"/>
      <protection locked="0"/>
    </xf>
    <xf numFmtId="10" fontId="5" fillId="9" borderId="23" xfId="10" applyNumberFormat="1" applyFont="1" applyFill="1" applyBorder="1" applyAlignment="1" applyProtection="1">
      <alignment horizontal="right" vertical="center" shrinkToFit="1"/>
      <protection locked="0"/>
    </xf>
    <xf numFmtId="10" fontId="5" fillId="15" borderId="23" xfId="10" applyNumberFormat="1" applyFont="1" applyFill="1" applyBorder="1" applyAlignment="1" applyProtection="1">
      <alignment horizontal="right" vertical="center" shrinkToFit="1"/>
      <protection locked="0"/>
    </xf>
    <xf numFmtId="10" fontId="5" fillId="0" borderId="6" xfId="10" applyNumberFormat="1" applyFont="1" applyBorder="1" applyAlignment="1" applyProtection="1">
      <alignment horizontal="right" vertical="center" shrinkToFit="1"/>
      <protection locked="0"/>
    </xf>
    <xf numFmtId="10" fontId="5" fillId="0" borderId="24" xfId="10" applyNumberFormat="1" applyFont="1" applyBorder="1" applyAlignment="1" applyProtection="1">
      <alignment horizontal="right" vertical="center" shrinkToFit="1"/>
      <protection locked="0"/>
    </xf>
    <xf numFmtId="170" fontId="17" fillId="0" borderId="23" xfId="11" applyNumberFormat="1" applyFont="1" applyBorder="1" applyAlignment="1">
      <alignment horizontal="right" vertical="center" wrapText="1"/>
    </xf>
    <xf numFmtId="0" fontId="17" fillId="0" borderId="25" xfId="0" applyFont="1" applyBorder="1" applyAlignment="1">
      <alignment horizontal="left" vertical="center" wrapText="1"/>
    </xf>
    <xf numFmtId="0" fontId="7" fillId="0" borderId="0" xfId="12" applyFont="1" applyAlignment="1">
      <alignment horizontal="center" vertical="top" wrapText="1"/>
    </xf>
    <xf numFmtId="0" fontId="15" fillId="0" borderId="0" xfId="12" applyFont="1" applyAlignment="1">
      <alignment horizontal="center" vertical="center" wrapText="1"/>
    </xf>
    <xf numFmtId="0" fontId="16" fillId="0" borderId="18" xfId="12" applyFont="1" applyBorder="1" applyAlignment="1">
      <alignment horizontal="center" vertical="center" wrapText="1"/>
    </xf>
    <xf numFmtId="2" fontId="11" fillId="0" borderId="6" xfId="12" applyNumberFormat="1" applyBorder="1"/>
    <xf numFmtId="2" fontId="11" fillId="7" borderId="27" xfId="12" applyNumberFormat="1" applyFill="1" applyBorder="1"/>
    <xf numFmtId="2" fontId="11" fillId="0" borderId="18" xfId="12" applyNumberFormat="1" applyBorder="1"/>
    <xf numFmtId="0" fontId="7" fillId="0" borderId="0" xfId="1" applyFont="1" applyAlignment="1" applyProtection="1">
      <alignment horizontal="center" vertical="center" wrapText="1"/>
      <protection locked="0"/>
    </xf>
    <xf numFmtId="0" fontId="5" fillId="0" borderId="0" xfId="12" applyFont="1" applyAlignment="1">
      <alignment horizontal="left" vertical="center" wrapText="1"/>
    </xf>
    <xf numFmtId="0" fontId="34" fillId="0" borderId="0" xfId="12" applyFont="1" applyAlignment="1">
      <alignment horizontal="left" vertical="center" wrapText="1"/>
    </xf>
    <xf numFmtId="0" fontId="15" fillId="0" borderId="0" xfId="12" applyFont="1" applyAlignment="1">
      <alignment horizontal="left" vertical="center" wrapText="1"/>
    </xf>
    <xf numFmtId="2" fontId="5" fillId="0" borderId="22" xfId="10" applyNumberFormat="1" applyFont="1" applyBorder="1" applyAlignment="1">
      <alignment horizontal="right" vertical="center" shrinkToFit="1"/>
    </xf>
    <xf numFmtId="2" fontId="5" fillId="0" borderId="23" xfId="10" applyNumberFormat="1" applyFont="1" applyBorder="1" applyAlignment="1" applyProtection="1">
      <alignment horizontal="right" vertical="center" shrinkToFit="1"/>
      <protection locked="0"/>
    </xf>
    <xf numFmtId="2" fontId="5" fillId="0" borderId="17" xfId="10" applyNumberFormat="1" applyFont="1" applyBorder="1" applyAlignment="1" applyProtection="1">
      <alignment horizontal="right" vertical="center" wrapText="1"/>
      <protection locked="0"/>
    </xf>
    <xf numFmtId="2" fontId="5" fillId="7" borderId="17" xfId="10" applyNumberFormat="1" applyFont="1" applyFill="1" applyBorder="1" applyAlignment="1" applyProtection="1">
      <alignment horizontal="right" vertical="center" shrinkToFit="1"/>
      <protection locked="0"/>
    </xf>
    <xf numFmtId="2" fontId="5" fillId="7" borderId="23" xfId="10" applyNumberFormat="1" applyFont="1" applyFill="1" applyBorder="1" applyAlignment="1" applyProtection="1">
      <alignment horizontal="right" vertical="center" shrinkToFit="1"/>
      <protection locked="0"/>
    </xf>
    <xf numFmtId="49" fontId="5" fillId="14" borderId="67" xfId="0" applyNumberFormat="1" applyFont="1" applyFill="1" applyBorder="1" applyAlignment="1" applyProtection="1">
      <alignment horizontal="left" vertical="center" shrinkToFit="1"/>
      <protection locked="0"/>
    </xf>
    <xf numFmtId="0" fontId="5" fillId="14" borderId="47" xfId="0" applyFont="1" applyFill="1" applyBorder="1" applyAlignment="1" applyProtection="1">
      <alignment horizontal="left" vertical="center" wrapText="1" shrinkToFit="1"/>
      <protection locked="0"/>
    </xf>
    <xf numFmtId="49" fontId="5" fillId="14" borderId="47" xfId="0" applyNumberFormat="1" applyFont="1" applyFill="1" applyBorder="1" applyAlignment="1" applyProtection="1">
      <alignment horizontal="left" vertical="center" wrapText="1" shrinkToFit="1"/>
      <protection locked="0"/>
    </xf>
    <xf numFmtId="0" fontId="5" fillId="14" borderId="47" xfId="0" applyFont="1" applyFill="1" applyBorder="1" applyAlignment="1" applyProtection="1">
      <alignment horizontal="right" vertical="center" shrinkToFit="1"/>
      <protection locked="0"/>
    </xf>
    <xf numFmtId="1" fontId="5" fillId="14" borderId="66" xfId="0" applyNumberFormat="1" applyFont="1" applyFill="1" applyBorder="1" applyAlignment="1" applyProtection="1">
      <alignment horizontal="right" vertical="center" shrinkToFit="1"/>
      <protection locked="0"/>
    </xf>
    <xf numFmtId="167" fontId="17" fillId="9" borderId="15" xfId="0" applyNumberFormat="1" applyFont="1" applyFill="1" applyBorder="1" applyAlignment="1">
      <alignment horizontal="right" vertical="center" wrapText="1"/>
    </xf>
    <xf numFmtId="167" fontId="17" fillId="0" borderId="15" xfId="0" applyNumberFormat="1" applyFont="1" applyBorder="1" applyAlignment="1">
      <alignment horizontal="right" vertical="center" wrapText="1"/>
    </xf>
    <xf numFmtId="165" fontId="17" fillId="0" borderId="15" xfId="0" applyNumberFormat="1" applyFont="1" applyBorder="1" applyAlignment="1">
      <alignment horizontal="right" vertical="center" wrapText="1"/>
    </xf>
    <xf numFmtId="167" fontId="17" fillId="0" borderId="115" xfId="0" applyNumberFormat="1" applyFont="1" applyBorder="1" applyAlignment="1">
      <alignment horizontal="right" vertical="center" wrapText="1"/>
    </xf>
    <xf numFmtId="43" fontId="11" fillId="0" borderId="0" xfId="18" applyFont="1"/>
    <xf numFmtId="43" fontId="17" fillId="0" borderId="90" xfId="18" applyFont="1" applyFill="1" applyBorder="1" applyAlignment="1">
      <alignment wrapText="1"/>
    </xf>
    <xf numFmtId="43" fontId="11" fillId="0" borderId="0" xfId="0" applyNumberFormat="1" applyFont="1" applyAlignment="1">
      <alignment horizontal="left" vertical="center"/>
    </xf>
    <xf numFmtId="0" fontId="5" fillId="0" borderId="19" xfId="0" applyFont="1" applyBorder="1" applyAlignment="1">
      <alignment horizontal="left" vertical="center"/>
    </xf>
    <xf numFmtId="0" fontId="5" fillId="0" borderId="90" xfId="0" applyFont="1" applyBorder="1" applyAlignment="1">
      <alignment horizontal="left" vertical="center" wrapText="1"/>
    </xf>
    <xf numFmtId="0" fontId="40" fillId="0" borderId="0" xfId="0" applyFont="1" applyAlignment="1">
      <alignment vertical="center" wrapText="1"/>
    </xf>
    <xf numFmtId="0" fontId="32" fillId="0" borderId="0" xfId="0" applyFont="1" applyAlignment="1">
      <alignment vertical="center"/>
    </xf>
    <xf numFmtId="0" fontId="11" fillId="50" borderId="90" xfId="0" applyFont="1" applyFill="1" applyBorder="1" applyAlignment="1">
      <alignment horizontal="left" vertical="center" wrapText="1"/>
    </xf>
    <xf numFmtId="0" fontId="11" fillId="47" borderId="90" xfId="0" applyFont="1" applyFill="1" applyBorder="1" applyAlignment="1">
      <alignment horizontal="left" vertical="center" wrapText="1"/>
    </xf>
    <xf numFmtId="0" fontId="11" fillId="41" borderId="90" xfId="0" applyFont="1" applyFill="1" applyBorder="1" applyAlignment="1">
      <alignment horizontal="left" vertical="center" wrapText="1"/>
    </xf>
    <xf numFmtId="2" fontId="11" fillId="0" borderId="10" xfId="0" applyNumberFormat="1" applyFont="1" applyBorder="1" applyAlignment="1">
      <alignment horizontal="left" vertical="center"/>
    </xf>
    <xf numFmtId="0" fontId="11" fillId="49" borderId="90" xfId="0" applyFont="1" applyFill="1" applyBorder="1" applyAlignment="1">
      <alignment horizontal="left" vertical="center" wrapText="1"/>
    </xf>
    <xf numFmtId="0" fontId="11" fillId="51" borderId="90" xfId="0" applyFont="1" applyFill="1" applyBorder="1" applyAlignment="1">
      <alignment horizontal="left" vertical="center" wrapText="1"/>
    </xf>
    <xf numFmtId="2" fontId="14" fillId="0" borderId="82" xfId="0" applyNumberFormat="1" applyFont="1" applyBorder="1" applyAlignment="1">
      <alignment horizontal="right" vertical="center"/>
    </xf>
    <xf numFmtId="2" fontId="14" fillId="0" borderId="41" xfId="0" applyNumberFormat="1" applyFont="1" applyBorder="1" applyAlignment="1">
      <alignment horizontal="right" vertical="center"/>
    </xf>
    <xf numFmtId="2" fontId="14" fillId="0" borderId="74" xfId="0" applyNumberFormat="1" applyFont="1" applyBorder="1" applyAlignment="1">
      <alignment horizontal="right" vertical="center"/>
    </xf>
    <xf numFmtId="2" fontId="14" fillId="0" borderId="102" xfId="0" applyNumberFormat="1" applyFont="1" applyBorder="1" applyAlignment="1">
      <alignment horizontal="right" vertical="center"/>
    </xf>
    <xf numFmtId="0" fontId="17" fillId="0" borderId="147" xfId="0" applyFont="1" applyBorder="1" applyAlignment="1">
      <alignment horizontal="left" vertical="center" wrapText="1"/>
    </xf>
    <xf numFmtId="0" fontId="5" fillId="0" borderId="148" xfId="0" applyFont="1" applyBorder="1" applyAlignment="1">
      <alignment horizontal="left" vertical="center" wrapText="1"/>
    </xf>
    <xf numFmtId="0" fontId="5" fillId="0" borderId="149" xfId="0" applyFont="1" applyBorder="1" applyAlignment="1">
      <alignment horizontal="left" vertical="center" wrapText="1"/>
    </xf>
    <xf numFmtId="2" fontId="11" fillId="0" borderId="150" xfId="0" applyNumberFormat="1" applyFont="1" applyBorder="1" applyAlignment="1">
      <alignment horizontal="right" vertical="center"/>
    </xf>
    <xf numFmtId="0" fontId="17" fillId="0" borderId="145" xfId="0" applyFont="1" applyBorder="1" applyAlignment="1">
      <alignment horizontal="left" vertical="center" wrapText="1"/>
    </xf>
    <xf numFmtId="0" fontId="5" fillId="0" borderId="73" xfId="0" applyFont="1" applyBorder="1" applyAlignment="1">
      <alignment horizontal="left" vertical="center" wrapText="1"/>
    </xf>
    <xf numFmtId="0" fontId="5" fillId="0" borderId="74" xfId="0" applyFont="1" applyBorder="1" applyAlignment="1">
      <alignment horizontal="left" vertical="center" wrapText="1"/>
    </xf>
    <xf numFmtId="2" fontId="11" fillId="0" borderId="152" xfId="0" applyNumberFormat="1" applyFont="1" applyBorder="1" applyAlignment="1">
      <alignment horizontal="right" vertical="center"/>
    </xf>
    <xf numFmtId="2" fontId="11" fillId="0" borderId="153" xfId="0" applyNumberFormat="1" applyFont="1" applyBorder="1" applyAlignment="1">
      <alignment horizontal="right" vertical="center"/>
    </xf>
    <xf numFmtId="0" fontId="17" fillId="0" borderId="143" xfId="0" applyFont="1" applyBorder="1" applyAlignment="1">
      <alignment horizontal="left" vertical="center" wrapText="1"/>
    </xf>
    <xf numFmtId="0" fontId="5" fillId="0" borderId="46" xfId="0" applyFont="1" applyBorder="1" applyAlignment="1">
      <alignment horizontal="left" vertical="center" wrapText="1"/>
    </xf>
    <xf numFmtId="2" fontId="11" fillId="0" borderId="144" xfId="0" applyNumberFormat="1" applyFont="1" applyBorder="1" applyAlignment="1">
      <alignment horizontal="right" vertical="center"/>
    </xf>
    <xf numFmtId="0" fontId="5" fillId="0" borderId="90" xfId="0" applyFont="1" applyBorder="1" applyAlignment="1">
      <alignment horizontal="left" vertical="center"/>
    </xf>
    <xf numFmtId="2" fontId="5" fillId="52" borderId="6" xfId="10" applyNumberFormat="1" applyFont="1" applyFill="1" applyBorder="1" applyAlignment="1" applyProtection="1">
      <alignment horizontal="right" vertical="center" wrapText="1"/>
      <protection locked="0"/>
    </xf>
    <xf numFmtId="0" fontId="42" fillId="0" borderId="197" xfId="0" applyFont="1" applyBorder="1" applyAlignment="1">
      <alignment vertical="center"/>
    </xf>
    <xf numFmtId="2" fontId="5" fillId="0" borderId="150" xfId="0" applyNumberFormat="1" applyFont="1" applyBorder="1" applyAlignment="1">
      <alignment horizontal="right" vertical="center"/>
    </xf>
    <xf numFmtId="2" fontId="5" fillId="0" borderId="82" xfId="0" applyNumberFormat="1" applyFont="1" applyBorder="1" applyAlignment="1">
      <alignment horizontal="right" vertical="center"/>
    </xf>
    <xf numFmtId="0" fontId="14" fillId="0" borderId="197" xfId="0" applyFont="1" applyBorder="1" applyAlignment="1">
      <alignment vertical="center"/>
    </xf>
    <xf numFmtId="0" fontId="5" fillId="0" borderId="145" xfId="0" applyFont="1" applyBorder="1" applyAlignment="1">
      <alignment horizontal="left" vertical="center" wrapText="1"/>
    </xf>
    <xf numFmtId="2" fontId="5" fillId="0" borderId="111" xfId="0" applyNumberFormat="1" applyFont="1" applyBorder="1" applyAlignment="1">
      <alignment horizontal="right" vertical="center"/>
    </xf>
    <xf numFmtId="0" fontId="5" fillId="0" borderId="147" xfId="0" applyFont="1" applyBorder="1" applyAlignment="1">
      <alignment horizontal="left" vertical="center" wrapText="1"/>
    </xf>
    <xf numFmtId="2" fontId="5" fillId="0" borderId="151" xfId="0" applyNumberFormat="1" applyFont="1" applyBorder="1" applyAlignment="1">
      <alignment horizontal="right" vertical="center"/>
    </xf>
    <xf numFmtId="2" fontId="5" fillId="0" borderId="149" xfId="0" applyNumberFormat="1" applyFont="1" applyBorder="1" applyAlignment="1">
      <alignment horizontal="right" vertical="center"/>
    </xf>
    <xf numFmtId="2" fontId="5" fillId="0" borderId="152" xfId="0" applyNumberFormat="1" applyFont="1" applyBorder="1" applyAlignment="1">
      <alignment horizontal="right" vertical="center"/>
    </xf>
    <xf numFmtId="2" fontId="5" fillId="0" borderId="153" xfId="0" applyNumberFormat="1" applyFont="1" applyBorder="1" applyAlignment="1">
      <alignment horizontal="right" vertical="center"/>
    </xf>
    <xf numFmtId="0" fontId="5" fillId="0" borderId="143" xfId="0" applyFont="1" applyBorder="1" applyAlignment="1">
      <alignment horizontal="left" vertical="center" wrapText="1"/>
    </xf>
    <xf numFmtId="2" fontId="5" fillId="0" borderId="102" xfId="0" applyNumberFormat="1" applyFont="1" applyBorder="1" applyAlignment="1">
      <alignment horizontal="right" vertical="center"/>
    </xf>
    <xf numFmtId="2" fontId="5" fillId="0" borderId="144" xfId="0" applyNumberFormat="1" applyFont="1" applyBorder="1" applyAlignment="1">
      <alignment horizontal="right" vertical="center"/>
    </xf>
    <xf numFmtId="173" fontId="11" fillId="0" borderId="0" xfId="0" applyNumberFormat="1" applyFont="1" applyAlignment="1">
      <alignment horizontal="left" vertical="center"/>
    </xf>
    <xf numFmtId="0" fontId="33" fillId="15" borderId="23" xfId="12" applyFont="1" applyFill="1" applyBorder="1" applyAlignment="1">
      <alignment horizontal="left" vertical="center" wrapText="1"/>
    </xf>
    <xf numFmtId="2" fontId="14" fillId="0" borderId="6" xfId="10" applyNumberFormat="1" applyFont="1" applyBorder="1" applyAlignment="1" applyProtection="1">
      <alignment horizontal="right" vertical="center" shrinkToFit="1"/>
      <protection locked="0"/>
    </xf>
    <xf numFmtId="2" fontId="5" fillId="0" borderId="4" xfId="10" applyNumberFormat="1" applyFont="1" applyBorder="1" applyAlignment="1" applyProtection="1">
      <alignment horizontal="right" vertical="center" wrapText="1"/>
      <protection locked="0"/>
    </xf>
    <xf numFmtId="0" fontId="5" fillId="14" borderId="15" xfId="10" applyFont="1" applyFill="1" applyBorder="1" applyAlignment="1" applyProtection="1">
      <alignment horizontal="left" vertical="center" wrapText="1"/>
      <protection locked="0"/>
    </xf>
    <xf numFmtId="0" fontId="5" fillId="14" borderId="25" xfId="10" applyFont="1" applyFill="1" applyBorder="1" applyAlignment="1" applyProtection="1">
      <alignment horizontal="left" vertical="center" wrapText="1"/>
      <protection locked="0"/>
    </xf>
    <xf numFmtId="49" fontId="5" fillId="14" borderId="25" xfId="10" applyNumberFormat="1" applyFont="1" applyFill="1" applyBorder="1" applyAlignment="1" applyProtection="1">
      <alignment horizontal="left" vertical="center" wrapText="1" shrinkToFit="1"/>
      <protection locked="0"/>
    </xf>
    <xf numFmtId="1" fontId="5" fillId="14" borderId="57" xfId="10" applyNumberFormat="1" applyFont="1" applyFill="1" applyBorder="1" applyAlignment="1" applyProtection="1">
      <alignment horizontal="right" vertical="center" wrapText="1"/>
      <protection locked="0"/>
    </xf>
    <xf numFmtId="43" fontId="11" fillId="0" borderId="0" xfId="11" applyNumberFormat="1"/>
    <xf numFmtId="0" fontId="7" fillId="22" borderId="192" xfId="0" applyFont="1" applyFill="1" applyBorder="1" applyAlignment="1">
      <alignment horizontal="left" vertical="center" wrapText="1"/>
    </xf>
    <xf numFmtId="2" fontId="5" fillId="50" borderId="6" xfId="10" applyNumberFormat="1" applyFont="1" applyFill="1" applyBorder="1" applyAlignment="1" applyProtection="1">
      <alignment horizontal="right" vertical="center" wrapText="1"/>
      <protection locked="0"/>
    </xf>
    <xf numFmtId="0" fontId="7" fillId="22" borderId="156" xfId="0" applyFont="1" applyFill="1" applyBorder="1" applyAlignment="1">
      <alignment horizontal="left" vertical="center" wrapText="1"/>
    </xf>
    <xf numFmtId="0" fontId="15" fillId="22" borderId="180" xfId="0" applyFont="1" applyFill="1" applyBorder="1" applyAlignment="1">
      <alignment horizontal="left" vertical="center" wrapText="1"/>
    </xf>
    <xf numFmtId="0" fontId="15" fillId="11" borderId="55" xfId="0" applyFont="1" applyFill="1" applyBorder="1" applyAlignment="1">
      <alignment horizontal="left" vertical="center" wrapText="1"/>
    </xf>
    <xf numFmtId="2" fontId="5" fillId="0" borderId="0" xfId="0" applyNumberFormat="1" applyFont="1" applyAlignment="1">
      <alignment horizontal="left" vertical="center" wrapText="1"/>
    </xf>
    <xf numFmtId="1" fontId="5" fillId="0" borderId="0" xfId="0" applyNumberFormat="1" applyFont="1" applyAlignment="1" applyProtection="1">
      <alignment horizontal="left" vertical="center" wrapText="1"/>
      <protection locked="0"/>
    </xf>
    <xf numFmtId="2" fontId="5" fillId="0" borderId="0" xfId="0" applyNumberFormat="1" applyFont="1" applyAlignment="1" applyProtection="1">
      <alignment horizontal="left" vertical="center" wrapText="1"/>
      <protection locked="0"/>
    </xf>
    <xf numFmtId="2" fontId="17" fillId="0" borderId="6" xfId="0" applyNumberFormat="1" applyFont="1" applyBorder="1" applyAlignment="1">
      <alignment horizontal="left" vertical="center" wrapText="1"/>
    </xf>
    <xf numFmtId="0" fontId="5" fillId="0" borderId="33" xfId="0" applyFont="1" applyBorder="1" applyAlignment="1">
      <alignment vertical="center" wrapText="1"/>
    </xf>
    <xf numFmtId="2" fontId="5" fillId="52" borderId="23" xfId="10" applyNumberFormat="1" applyFont="1" applyFill="1" applyBorder="1" applyAlignment="1" applyProtection="1">
      <alignment horizontal="right" vertical="center" shrinkToFit="1"/>
      <protection locked="0"/>
    </xf>
    <xf numFmtId="2" fontId="7" fillId="0" borderId="10" xfId="10" applyNumberFormat="1" applyFont="1" applyBorder="1" applyAlignment="1" applyProtection="1">
      <alignment horizontal="left" vertical="center" wrapText="1"/>
      <protection locked="0"/>
    </xf>
    <xf numFmtId="2" fontId="5" fillId="0" borderId="4" xfId="0" applyNumberFormat="1" applyFont="1" applyBorder="1" applyAlignment="1" applyProtection="1">
      <alignment horizontal="right" vertical="center" wrapText="1"/>
      <protection locked="0"/>
    </xf>
    <xf numFmtId="2" fontId="5" fillId="0" borderId="0" xfId="0" applyNumberFormat="1" applyFont="1" applyAlignment="1" applyProtection="1">
      <alignment horizontal="right" vertical="center" wrapText="1"/>
      <protection locked="0"/>
    </xf>
    <xf numFmtId="167" fontId="5" fillId="0" borderId="0" xfId="0" applyNumberFormat="1" applyFont="1" applyAlignment="1" applyProtection="1">
      <alignment horizontal="right" vertical="center" wrapText="1"/>
      <protection locked="0"/>
    </xf>
    <xf numFmtId="2" fontId="5" fillId="15" borderId="23" xfId="19" applyNumberFormat="1" applyFont="1" applyFill="1" applyBorder="1" applyAlignment="1" applyProtection="1">
      <alignment horizontal="right" vertical="center" shrinkToFit="1"/>
      <protection locked="0"/>
    </xf>
    <xf numFmtId="0" fontId="5" fillId="14" borderId="15" xfId="0" applyFont="1" applyFill="1" applyBorder="1" applyAlignment="1" applyProtection="1">
      <alignment horizontal="left" vertical="center" wrapText="1"/>
      <protection locked="0"/>
    </xf>
    <xf numFmtId="0" fontId="5" fillId="14" borderId="25" xfId="0" applyFont="1" applyFill="1" applyBorder="1" applyAlignment="1" applyProtection="1">
      <alignment horizontal="left" vertical="center" wrapText="1"/>
      <protection locked="0"/>
    </xf>
    <xf numFmtId="49" fontId="5" fillId="14" borderId="25" xfId="0" applyNumberFormat="1" applyFont="1" applyFill="1" applyBorder="1" applyAlignment="1" applyProtection="1">
      <alignment horizontal="left" vertical="center" wrapText="1" shrinkToFit="1"/>
      <protection locked="0"/>
    </xf>
    <xf numFmtId="1" fontId="5" fillId="14" borderId="49" xfId="0" applyNumberFormat="1" applyFont="1" applyFill="1" applyBorder="1" applyAlignment="1" applyProtection="1">
      <alignment horizontal="right" vertical="center" wrapText="1"/>
      <protection locked="0"/>
    </xf>
    <xf numFmtId="2" fontId="5" fillId="15" borderId="31" xfId="0" applyNumberFormat="1" applyFont="1" applyFill="1" applyBorder="1" applyAlignment="1" applyProtection="1">
      <alignment horizontal="right" vertical="center" wrapText="1"/>
      <protection locked="0"/>
    </xf>
    <xf numFmtId="2" fontId="5" fillId="15" borderId="25" xfId="0" applyNumberFormat="1" applyFont="1" applyFill="1" applyBorder="1" applyAlignment="1" applyProtection="1">
      <alignment horizontal="right" vertical="center" wrapText="1"/>
      <protection locked="0"/>
    </xf>
    <xf numFmtId="2" fontId="5" fillId="0" borderId="25" xfId="0" applyNumberFormat="1" applyFont="1" applyBorder="1" applyAlignment="1" applyProtection="1">
      <alignment horizontal="right" vertical="center" wrapText="1"/>
      <protection locked="0"/>
    </xf>
    <xf numFmtId="2" fontId="5" fillId="0" borderId="49" xfId="0" applyNumberFormat="1" applyFont="1" applyBorder="1" applyAlignment="1" applyProtection="1">
      <alignment horizontal="right" vertical="center" wrapText="1"/>
      <protection locked="0"/>
    </xf>
    <xf numFmtId="2" fontId="5" fillId="0" borderId="15" xfId="10" applyNumberFormat="1" applyFont="1" applyBorder="1" applyAlignment="1" applyProtection="1">
      <alignment horizontal="right" vertical="center" wrapText="1"/>
      <protection locked="0"/>
    </xf>
    <xf numFmtId="1" fontId="5" fillId="14" borderId="57" xfId="0" applyNumberFormat="1" applyFont="1" applyFill="1" applyBorder="1" applyAlignment="1" applyProtection="1">
      <alignment horizontal="right" vertical="center" wrapText="1"/>
      <protection locked="0"/>
    </xf>
    <xf numFmtId="0" fontId="5" fillId="0" borderId="25" xfId="0" applyFont="1" applyBorder="1" applyAlignment="1" applyProtection="1">
      <alignment horizontal="right" vertical="center" wrapText="1"/>
      <protection locked="0"/>
    </xf>
    <xf numFmtId="2" fontId="11" fillId="0" borderId="34" xfId="11" applyNumberFormat="1" applyBorder="1" applyAlignment="1">
      <alignment horizontal="right"/>
    </xf>
    <xf numFmtId="2" fontId="11" fillId="8" borderId="6" xfId="11" applyNumberFormat="1" applyFill="1" applyBorder="1" applyAlignment="1">
      <alignment horizontal="right"/>
    </xf>
    <xf numFmtId="1" fontId="5" fillId="0" borderId="14" xfId="10" applyNumberFormat="1" applyFont="1" applyBorder="1" applyAlignment="1" applyProtection="1">
      <alignment horizontal="left" vertical="center" wrapText="1"/>
      <protection locked="0"/>
    </xf>
    <xf numFmtId="1" fontId="5" fillId="0" borderId="6" xfId="10" applyNumberFormat="1" applyFont="1" applyBorder="1" applyAlignment="1" applyProtection="1">
      <alignment horizontal="left" vertical="center" wrapText="1"/>
      <protection locked="0"/>
    </xf>
    <xf numFmtId="1" fontId="5" fillId="0" borderId="25" xfId="10" applyNumberFormat="1" applyFont="1" applyBorder="1" applyAlignment="1" applyProtection="1">
      <alignment horizontal="left" vertical="center" wrapText="1"/>
      <protection locked="0"/>
    </xf>
    <xf numFmtId="2" fontId="11" fillId="0" borderId="0" xfId="0" applyNumberFormat="1" applyFont="1" applyAlignment="1">
      <alignment horizontal="left" vertical="center"/>
    </xf>
    <xf numFmtId="2" fontId="11" fillId="0" borderId="0" xfId="11" applyNumberFormat="1"/>
    <xf numFmtId="2" fontId="5" fillId="15" borderId="38" xfId="1" applyNumberFormat="1" applyFont="1" applyFill="1" applyBorder="1" applyAlignment="1" applyProtection="1">
      <alignment vertical="center"/>
      <protection locked="0"/>
    </xf>
    <xf numFmtId="2" fontId="5" fillId="15" borderId="35" xfId="1" applyNumberFormat="1" applyFont="1" applyFill="1" applyBorder="1" applyAlignment="1" applyProtection="1">
      <alignment vertical="center"/>
      <protection locked="0"/>
    </xf>
    <xf numFmtId="2" fontId="5" fillId="15" borderId="36" xfId="1" applyNumberFormat="1" applyFont="1" applyFill="1" applyBorder="1" applyAlignment="1" applyProtection="1">
      <alignment vertical="center"/>
      <protection locked="0"/>
    </xf>
    <xf numFmtId="2" fontId="5" fillId="15" borderId="37" xfId="1" applyNumberFormat="1" applyFont="1" applyFill="1" applyBorder="1" applyAlignment="1" applyProtection="1">
      <alignment vertical="center"/>
      <protection locked="0"/>
    </xf>
    <xf numFmtId="1" fontId="7" fillId="31" borderId="16" xfId="10" applyNumberFormat="1" applyFont="1" applyFill="1" applyBorder="1" applyAlignment="1" applyProtection="1">
      <alignment horizontal="left" vertical="center" wrapText="1"/>
      <protection locked="0"/>
    </xf>
    <xf numFmtId="1" fontId="7" fillId="31" borderId="47" xfId="10" applyNumberFormat="1" applyFont="1" applyFill="1" applyBorder="1" applyAlignment="1" applyProtection="1">
      <alignment horizontal="left" vertical="center" wrapText="1"/>
      <protection locked="0"/>
    </xf>
    <xf numFmtId="1" fontId="7" fillId="31" borderId="51" xfId="10" applyNumberFormat="1" applyFont="1" applyFill="1" applyBorder="1" applyAlignment="1" applyProtection="1">
      <alignment horizontal="left" vertical="center" wrapText="1"/>
      <protection locked="0"/>
    </xf>
    <xf numFmtId="1" fontId="7" fillId="31" borderId="104" xfId="10" applyNumberFormat="1" applyFont="1" applyFill="1" applyBorder="1" applyAlignment="1" applyProtection="1">
      <alignment horizontal="left" vertical="center" wrapText="1"/>
      <protection locked="0"/>
    </xf>
    <xf numFmtId="2" fontId="5" fillId="0" borderId="18" xfId="1" applyNumberFormat="1" applyFont="1" applyBorder="1" applyAlignment="1" applyProtection="1">
      <alignment horizontal="right" vertical="center" shrinkToFit="1"/>
      <protection locked="0"/>
    </xf>
    <xf numFmtId="2" fontId="5" fillId="0" borderId="50" xfId="1" applyNumberFormat="1" applyFont="1" applyBorder="1" applyAlignment="1" applyProtection="1">
      <alignment horizontal="right" vertical="center" shrinkToFit="1"/>
      <protection locked="0"/>
    </xf>
    <xf numFmtId="2" fontId="5" fillId="0" borderId="94" xfId="1" applyNumberFormat="1" applyFont="1" applyBorder="1" applyAlignment="1" applyProtection="1">
      <alignment horizontal="right" vertical="center" shrinkToFit="1"/>
      <protection locked="0"/>
    </xf>
    <xf numFmtId="2" fontId="5" fillId="0" borderId="27" xfId="1" applyNumberFormat="1" applyFont="1" applyBorder="1" applyAlignment="1">
      <alignment horizontal="right" vertical="center" shrinkToFit="1"/>
    </xf>
    <xf numFmtId="2" fontId="5" fillId="0" borderId="68" xfId="1" applyNumberFormat="1" applyFont="1" applyBorder="1" applyAlignment="1">
      <alignment horizontal="right" vertical="center" shrinkToFit="1"/>
    </xf>
    <xf numFmtId="2" fontId="5" fillId="0" borderId="95" xfId="1" applyNumberFormat="1" applyFont="1" applyBorder="1" applyAlignment="1">
      <alignment horizontal="right" vertical="center" shrinkToFit="1"/>
    </xf>
    <xf numFmtId="2" fontId="5" fillId="0" borderId="13" xfId="1" applyNumberFormat="1" applyFont="1" applyBorder="1" applyAlignment="1" applyProtection="1">
      <alignment horizontal="right" vertical="center" shrinkToFit="1"/>
      <protection locked="0"/>
    </xf>
    <xf numFmtId="2" fontId="5" fillId="0" borderId="38" xfId="1" applyNumberFormat="1" applyFont="1" applyBorder="1" applyAlignment="1" applyProtection="1">
      <alignment horizontal="right" vertical="center" shrinkToFit="1"/>
      <protection locked="0"/>
    </xf>
    <xf numFmtId="2" fontId="5" fillId="0" borderId="39" xfId="1" applyNumberFormat="1" applyFont="1" applyBorder="1" applyAlignment="1" applyProtection="1">
      <alignment horizontal="right" vertical="center" shrinkToFit="1"/>
      <protection locked="0"/>
    </xf>
    <xf numFmtId="2" fontId="5" fillId="0" borderId="47" xfId="1" applyNumberFormat="1" applyFont="1" applyBorder="1" applyAlignment="1" applyProtection="1">
      <alignment horizontal="right" vertical="center" wrapText="1"/>
      <protection locked="0"/>
    </xf>
    <xf numFmtId="2" fontId="5" fillId="0" borderId="51" xfId="1" applyNumberFormat="1" applyFont="1" applyBorder="1" applyAlignment="1" applyProtection="1">
      <alignment horizontal="right" vertical="center" wrapText="1"/>
      <protection locked="0"/>
    </xf>
    <xf numFmtId="2" fontId="5" fillId="0" borderId="104" xfId="1" applyNumberFormat="1" applyFont="1" applyBorder="1" applyAlignment="1" applyProtection="1">
      <alignment horizontal="right" vertical="center" wrapText="1"/>
      <protection locked="0"/>
    </xf>
    <xf numFmtId="165" fontId="5" fillId="0" borderId="6" xfId="1" applyNumberFormat="1" applyFont="1" applyBorder="1" applyAlignment="1">
      <alignment horizontal="right" vertical="center" shrinkToFit="1"/>
    </xf>
    <xf numFmtId="165" fontId="5" fillId="0" borderId="34" xfId="1" applyNumberFormat="1" applyFont="1" applyBorder="1" applyAlignment="1">
      <alignment horizontal="right" vertical="center" shrinkToFit="1"/>
    </xf>
    <xf numFmtId="165" fontId="5" fillId="0" borderId="105" xfId="1" applyNumberFormat="1" applyFont="1" applyBorder="1" applyAlignment="1">
      <alignment horizontal="right" vertical="center" shrinkToFit="1"/>
    </xf>
    <xf numFmtId="165" fontId="11" fillId="9" borderId="71" xfId="0" applyNumberFormat="1" applyFont="1" applyFill="1" applyBorder="1" applyAlignment="1">
      <alignment horizontal="right" vertical="center" wrapText="1"/>
    </xf>
    <xf numFmtId="2" fontId="11" fillId="0" borderId="95" xfId="0" applyNumberFormat="1" applyFont="1" applyBorder="1" applyAlignment="1">
      <alignment horizontal="left" vertical="center" wrapText="1"/>
    </xf>
    <xf numFmtId="2" fontId="11" fillId="0" borderId="29" xfId="13" applyNumberFormat="1" applyFont="1" applyBorder="1" applyAlignment="1">
      <alignment horizontal="left" vertical="center" wrapText="1"/>
    </xf>
    <xf numFmtId="2" fontId="5" fillId="0" borderId="19" xfId="0" applyNumberFormat="1" applyFont="1" applyBorder="1" applyAlignment="1">
      <alignment horizontal="left" vertical="center"/>
    </xf>
    <xf numFmtId="2" fontId="11" fillId="0" borderId="19" xfId="0" applyNumberFormat="1" applyFont="1" applyBorder="1" applyAlignment="1">
      <alignment horizontal="left" vertical="center"/>
    </xf>
    <xf numFmtId="2" fontId="17" fillId="0" borderId="37" xfId="0" applyNumberFormat="1" applyFont="1" applyBorder="1" applyAlignment="1">
      <alignment wrapText="1"/>
    </xf>
    <xf numFmtId="174" fontId="5" fillId="15" borderId="23" xfId="10" applyNumberFormat="1" applyFont="1" applyFill="1" applyBorder="1" applyAlignment="1" applyProtection="1">
      <alignment horizontal="right" vertical="center" shrinkToFit="1"/>
      <protection locked="0"/>
    </xf>
    <xf numFmtId="167" fontId="5" fillId="7" borderId="6" xfId="10" applyNumberFormat="1" applyFont="1" applyFill="1" applyBorder="1" applyAlignment="1" applyProtection="1">
      <alignment horizontal="right" vertical="center" shrinkToFit="1"/>
      <protection locked="0"/>
    </xf>
    <xf numFmtId="1" fontId="11" fillId="19" borderId="41" xfId="0" applyNumberFormat="1" applyFont="1" applyFill="1" applyBorder="1" applyAlignment="1">
      <alignment horizontal="right" vertical="center" wrapText="1"/>
    </xf>
    <xf numFmtId="1" fontId="11" fillId="19" borderId="72" xfId="0" applyNumberFormat="1" applyFont="1" applyFill="1" applyBorder="1" applyAlignment="1">
      <alignment horizontal="right" vertical="center" wrapText="1"/>
    </xf>
    <xf numFmtId="1" fontId="11" fillId="19" borderId="41" xfId="1" applyNumberFormat="1" applyFont="1" applyFill="1" applyBorder="1" applyAlignment="1">
      <alignment horizontal="right" vertical="center" wrapText="1"/>
    </xf>
    <xf numFmtId="1" fontId="11" fillId="9" borderId="71" xfId="0" applyNumberFormat="1" applyFont="1" applyFill="1" applyBorder="1" applyAlignment="1">
      <alignment horizontal="right" vertical="center" wrapText="1"/>
    </xf>
    <xf numFmtId="0" fontId="5" fillId="0" borderId="0" xfId="0" applyFont="1" applyAlignment="1" applyProtection="1">
      <alignment horizontal="right" vertical="center" wrapText="1"/>
      <protection locked="0"/>
    </xf>
    <xf numFmtId="1" fontId="11" fillId="0" borderId="0" xfId="13" applyNumberFormat="1" applyFont="1" applyAlignment="1">
      <alignment horizontal="left" vertical="center" wrapText="1"/>
    </xf>
    <xf numFmtId="1" fontId="5" fillId="7" borderId="29" xfId="10" applyNumberFormat="1" applyFont="1" applyFill="1" applyBorder="1" applyAlignment="1">
      <alignment horizontal="left" vertical="center" shrinkToFit="1"/>
    </xf>
    <xf numFmtId="1" fontId="5" fillId="7" borderId="24" xfId="10" applyNumberFormat="1" applyFont="1" applyFill="1" applyBorder="1" applyAlignment="1">
      <alignment horizontal="left" vertical="center" shrinkToFit="1"/>
    </xf>
    <xf numFmtId="49" fontId="15" fillId="11" borderId="55" xfId="0" applyNumberFormat="1" applyFont="1" applyFill="1" applyBorder="1" applyAlignment="1">
      <alignment horizontal="left" vertical="center" wrapText="1"/>
    </xf>
    <xf numFmtId="0" fontId="7" fillId="11" borderId="55" xfId="0" applyFont="1" applyFill="1" applyBorder="1" applyAlignment="1">
      <alignment horizontal="left" vertical="center" wrapText="1"/>
    </xf>
    <xf numFmtId="0" fontId="15" fillId="45" borderId="2" xfId="0" applyFont="1" applyFill="1" applyBorder="1" applyAlignment="1">
      <alignment horizontal="left" vertical="center" wrapText="1"/>
    </xf>
    <xf numFmtId="0" fontId="15" fillId="46" borderId="180" xfId="0" applyFont="1" applyFill="1" applyBorder="1" applyAlignment="1">
      <alignment horizontal="left" vertical="center" wrapText="1"/>
    </xf>
    <xf numFmtId="0" fontId="15" fillId="46" borderId="3" xfId="0" applyFont="1" applyFill="1" applyBorder="1" applyAlignment="1">
      <alignment horizontal="left" vertical="center" wrapText="1"/>
    </xf>
    <xf numFmtId="0" fontId="15" fillId="11" borderId="52" xfId="0" applyFont="1" applyFill="1" applyBorder="1" applyAlignment="1">
      <alignment horizontal="left" vertical="center" wrapText="1"/>
    </xf>
    <xf numFmtId="0" fontId="15" fillId="11" borderId="53" xfId="0" applyFont="1" applyFill="1" applyBorder="1" applyAlignment="1">
      <alignment horizontal="left" vertical="center" wrapText="1"/>
    </xf>
    <xf numFmtId="0" fontId="5" fillId="0" borderId="6" xfId="0" applyFont="1" applyBorder="1" applyAlignment="1">
      <alignment horizontal="left" vertical="center"/>
    </xf>
    <xf numFmtId="0" fontId="18" fillId="0" borderId="25" xfId="0" applyFont="1" applyBorder="1" applyAlignment="1">
      <alignment horizontal="left" vertical="center" wrapText="1"/>
    </xf>
    <xf numFmtId="2" fontId="18" fillId="0" borderId="6" xfId="0" applyNumberFormat="1" applyFont="1" applyBorder="1" applyAlignment="1">
      <alignment horizontal="left" vertical="center"/>
    </xf>
    <xf numFmtId="1" fontId="5" fillId="40" borderId="49" xfId="10" applyNumberFormat="1" applyFont="1" applyFill="1" applyBorder="1" applyAlignment="1" applyProtection="1">
      <alignment horizontal="right" vertical="center" wrapText="1"/>
      <protection locked="0"/>
    </xf>
    <xf numFmtId="2" fontId="5" fillId="3" borderId="27" xfId="10" applyNumberFormat="1" applyFont="1" applyFill="1" applyBorder="1" applyAlignment="1" applyProtection="1">
      <alignment horizontal="right" vertical="center" wrapText="1"/>
      <protection locked="0"/>
    </xf>
    <xf numFmtId="2" fontId="5" fillId="3" borderId="21" xfId="10" applyNumberFormat="1" applyFont="1" applyFill="1" applyBorder="1" applyAlignment="1" applyProtection="1">
      <alignment horizontal="right" vertical="center" wrapText="1"/>
      <protection locked="0"/>
    </xf>
    <xf numFmtId="2" fontId="5" fillId="3" borderId="22" xfId="10" applyNumberFormat="1" applyFont="1" applyFill="1" applyBorder="1" applyAlignment="1" applyProtection="1">
      <alignment horizontal="right" vertical="center" wrapText="1"/>
      <protection locked="0"/>
    </xf>
    <xf numFmtId="2" fontId="5" fillId="3" borderId="18" xfId="10" applyNumberFormat="1" applyFont="1" applyFill="1" applyBorder="1" applyAlignment="1" applyProtection="1">
      <alignment horizontal="right" vertical="center" wrapText="1"/>
      <protection locked="0"/>
    </xf>
    <xf numFmtId="2" fontId="5" fillId="3" borderId="29" xfId="10" applyNumberFormat="1" applyFont="1" applyFill="1" applyBorder="1" applyAlignment="1" applyProtection="1">
      <alignment horizontal="right" vertical="center" wrapText="1"/>
      <protection locked="0"/>
    </xf>
    <xf numFmtId="0" fontId="11" fillId="0" borderId="10" xfId="13" applyFont="1" applyBorder="1" applyAlignment="1">
      <alignment horizontal="left" vertical="center" wrapText="1"/>
    </xf>
    <xf numFmtId="2" fontId="5" fillId="3" borderId="16" xfId="10" applyNumberFormat="1" applyFont="1" applyFill="1" applyBorder="1" applyAlignment="1" applyProtection="1">
      <alignment horizontal="right" vertical="center" wrapText="1"/>
      <protection locked="0"/>
    </xf>
    <xf numFmtId="2" fontId="5" fillId="3" borderId="47" xfId="10" applyNumberFormat="1" applyFont="1" applyFill="1" applyBorder="1" applyAlignment="1" applyProtection="1">
      <alignment horizontal="right" vertical="center" wrapText="1"/>
      <protection locked="0"/>
    </xf>
    <xf numFmtId="1" fontId="5" fillId="40" borderId="28" xfId="10" applyNumberFormat="1" applyFont="1" applyFill="1" applyBorder="1" applyAlignment="1" applyProtection="1">
      <alignment horizontal="right" vertical="center" wrapText="1"/>
      <protection locked="0"/>
    </xf>
    <xf numFmtId="2" fontId="7" fillId="41" borderId="23" xfId="10" applyNumberFormat="1" applyFont="1" applyFill="1" applyBorder="1" applyAlignment="1">
      <alignment horizontal="left" vertical="center" wrapText="1"/>
    </xf>
    <xf numFmtId="0" fontId="7" fillId="41" borderId="23" xfId="10" applyFont="1" applyFill="1" applyBorder="1" applyAlignment="1" applyProtection="1">
      <alignment horizontal="left" vertical="center" wrapText="1"/>
      <protection locked="0"/>
    </xf>
    <xf numFmtId="2" fontId="5" fillId="15" borderId="17" xfId="10" applyNumberFormat="1" applyFont="1" applyFill="1" applyBorder="1" applyAlignment="1">
      <alignment horizontal="right" vertical="center" shrinkToFit="1"/>
    </xf>
    <xf numFmtId="2" fontId="5" fillId="7" borderId="14" xfId="10" applyNumberFormat="1" applyFont="1" applyFill="1" applyBorder="1" applyAlignment="1">
      <alignment horizontal="right" vertical="center" shrinkToFit="1"/>
    </xf>
    <xf numFmtId="2" fontId="5" fillId="7" borderId="54" xfId="10" applyNumberFormat="1" applyFont="1" applyFill="1" applyBorder="1" applyAlignment="1">
      <alignment horizontal="right" vertical="center" shrinkToFit="1"/>
    </xf>
    <xf numFmtId="2" fontId="5" fillId="15" borderId="18" xfId="10" applyNumberFormat="1" applyFont="1" applyFill="1" applyBorder="1" applyAlignment="1">
      <alignment horizontal="right" vertical="center" shrinkToFit="1"/>
    </xf>
    <xf numFmtId="0" fontId="7" fillId="27" borderId="23" xfId="10" applyFont="1" applyFill="1" applyBorder="1" applyAlignment="1" applyProtection="1">
      <alignment horizontal="left" vertical="center" wrapText="1"/>
      <protection locked="0"/>
    </xf>
    <xf numFmtId="0" fontId="7" fillId="27" borderId="6" xfId="10" applyFont="1" applyFill="1" applyBorder="1" applyAlignment="1" applyProtection="1">
      <alignment horizontal="left" vertical="center" wrapText="1"/>
      <protection locked="0"/>
    </xf>
    <xf numFmtId="2" fontId="7" fillId="41" borderId="6" xfId="10" applyNumberFormat="1" applyFont="1" applyFill="1" applyBorder="1" applyAlignment="1">
      <alignment horizontal="left" vertical="center" wrapText="1"/>
    </xf>
    <xf numFmtId="2" fontId="5" fillId="41" borderId="6" xfId="10" applyNumberFormat="1" applyFont="1" applyFill="1" applyBorder="1" applyAlignment="1" applyProtection="1">
      <alignment horizontal="right" vertical="center" wrapText="1"/>
      <protection locked="0"/>
    </xf>
    <xf numFmtId="2" fontId="7" fillId="41" borderId="6" xfId="10" applyNumberFormat="1" applyFont="1" applyFill="1" applyBorder="1" applyAlignment="1" applyProtection="1">
      <alignment horizontal="right" vertical="center" wrapText="1"/>
      <protection locked="0"/>
    </xf>
    <xf numFmtId="2" fontId="5" fillId="15" borderId="14" xfId="10" applyNumberFormat="1" applyFont="1" applyFill="1" applyBorder="1" applyAlignment="1" applyProtection="1">
      <alignment horizontal="right" vertical="center" wrapText="1"/>
      <protection locked="0"/>
    </xf>
    <xf numFmtId="2" fontId="7" fillId="27" borderId="23" xfId="10" applyNumberFormat="1" applyFont="1" applyFill="1" applyBorder="1" applyAlignment="1">
      <alignment horizontal="left" vertical="center" wrapText="1"/>
    </xf>
    <xf numFmtId="2" fontId="7" fillId="27" borderId="6" xfId="10" applyNumberFormat="1" applyFont="1" applyFill="1" applyBorder="1" applyAlignment="1">
      <alignment horizontal="left" vertical="center" wrapText="1"/>
    </xf>
    <xf numFmtId="2" fontId="5" fillId="41" borderId="23" xfId="10" applyNumberFormat="1" applyFont="1" applyFill="1" applyBorder="1" applyAlignment="1" applyProtection="1">
      <alignment horizontal="right" vertical="center" shrinkToFit="1"/>
      <protection locked="0"/>
    </xf>
    <xf numFmtId="2" fontId="5" fillId="0" borderId="14" xfId="10" applyNumberFormat="1" applyFont="1" applyBorder="1" applyAlignment="1" applyProtection="1">
      <alignment horizontal="right" vertical="center" wrapText="1"/>
      <protection locked="0"/>
    </xf>
    <xf numFmtId="2" fontId="5" fillId="15" borderId="25" xfId="10" applyNumberFormat="1" applyFont="1" applyFill="1" applyBorder="1" applyAlignment="1" applyProtection="1">
      <alignment horizontal="right" vertical="center" wrapText="1"/>
      <protection locked="0"/>
    </xf>
    <xf numFmtId="0" fontId="5" fillId="0" borderId="0" xfId="0" applyFont="1" applyAlignment="1" applyProtection="1">
      <alignment horizontal="left" vertical="center" wrapText="1"/>
      <protection locked="0"/>
    </xf>
    <xf numFmtId="2" fontId="5" fillId="0" borderId="16" xfId="10" applyNumberFormat="1" applyFont="1" applyBorder="1" applyAlignment="1" applyProtection="1">
      <alignment horizontal="right" vertical="center" wrapText="1"/>
      <protection locked="0"/>
    </xf>
    <xf numFmtId="2" fontId="7" fillId="15" borderId="6" xfId="10" applyNumberFormat="1" applyFont="1" applyFill="1" applyBorder="1" applyAlignment="1" applyProtection="1">
      <alignment horizontal="right" vertical="center" wrapText="1"/>
      <protection locked="0"/>
    </xf>
    <xf numFmtId="2" fontId="7" fillId="0" borderId="6" xfId="10" applyNumberFormat="1" applyFont="1" applyBorder="1" applyAlignment="1" applyProtection="1">
      <alignment horizontal="right" vertical="center" wrapText="1"/>
      <protection locked="0"/>
    </xf>
    <xf numFmtId="2" fontId="7" fillId="15" borderId="27" xfId="10" applyNumberFormat="1" applyFont="1" applyFill="1" applyBorder="1" applyAlignment="1" applyProtection="1">
      <alignment horizontal="right" vertical="center" wrapText="1"/>
      <protection locked="0"/>
    </xf>
    <xf numFmtId="2" fontId="7" fillId="0" borderId="27" xfId="10" applyNumberFormat="1" applyFont="1" applyBorder="1" applyAlignment="1" applyProtection="1">
      <alignment horizontal="right" vertical="center" wrapText="1"/>
      <protection locked="0"/>
    </xf>
    <xf numFmtId="2" fontId="7" fillId="41" borderId="27" xfId="10" applyNumberFormat="1" applyFont="1" applyFill="1" applyBorder="1" applyAlignment="1" applyProtection="1">
      <alignment horizontal="right" vertical="center" wrapText="1"/>
      <protection locked="0"/>
    </xf>
    <xf numFmtId="2" fontId="5" fillId="41" borderId="6" xfId="10" applyNumberFormat="1" applyFont="1" applyFill="1" applyBorder="1" applyAlignment="1" applyProtection="1">
      <alignment horizontal="right" vertical="center" shrinkToFit="1"/>
      <protection locked="0"/>
    </xf>
    <xf numFmtId="2" fontId="5" fillId="15" borderId="6" xfId="10" applyNumberFormat="1" applyFont="1" applyFill="1" applyBorder="1" applyAlignment="1">
      <alignment horizontal="right" vertical="center" shrinkToFit="1"/>
    </xf>
    <xf numFmtId="2" fontId="5" fillId="3" borderId="14" xfId="10" applyNumberFormat="1" applyFont="1" applyFill="1" applyBorder="1" applyAlignment="1" applyProtection="1">
      <alignment horizontal="right" vertical="center" wrapText="1"/>
      <protection locked="0"/>
    </xf>
    <xf numFmtId="166" fontId="5" fillId="9" borderId="27" xfId="10" applyNumberFormat="1" applyFont="1" applyFill="1" applyBorder="1" applyAlignment="1" applyProtection="1">
      <alignment horizontal="right" vertical="center" shrinkToFit="1"/>
      <protection locked="0"/>
    </xf>
    <xf numFmtId="2" fontId="5" fillId="3" borderId="12" xfId="10" applyNumberFormat="1" applyFont="1" applyFill="1" applyBorder="1" applyAlignment="1" applyProtection="1">
      <alignment horizontal="right" vertical="center" wrapText="1"/>
      <protection locked="0"/>
    </xf>
    <xf numFmtId="2" fontId="5" fillId="3" borderId="13" xfId="10" applyNumberFormat="1" applyFont="1" applyFill="1" applyBorder="1" applyAlignment="1" applyProtection="1">
      <alignment horizontal="right" vertical="center" wrapText="1"/>
      <protection locked="0"/>
    </xf>
    <xf numFmtId="2" fontId="5" fillId="3" borderId="19" xfId="10" applyNumberFormat="1" applyFont="1" applyFill="1" applyBorder="1" applyAlignment="1" applyProtection="1">
      <alignment horizontal="right" vertical="center" wrapText="1"/>
      <protection locked="0"/>
    </xf>
    <xf numFmtId="2" fontId="5" fillId="41" borderId="27" xfId="10" applyNumberFormat="1" applyFont="1" applyFill="1" applyBorder="1" applyAlignment="1" applyProtection="1">
      <alignment horizontal="right" vertical="center" wrapText="1"/>
      <protection locked="0"/>
    </xf>
    <xf numFmtId="1" fontId="5" fillId="0" borderId="27" xfId="10" applyNumberFormat="1" applyFont="1" applyBorder="1" applyAlignment="1" applyProtection="1">
      <alignment horizontal="left" vertical="center" wrapText="1"/>
      <protection locked="0"/>
    </xf>
    <xf numFmtId="167" fontId="5" fillId="0" borderId="6" xfId="10" applyNumberFormat="1" applyFont="1" applyBorder="1" applyAlignment="1" applyProtection="1">
      <alignment horizontal="right" vertical="center" wrapText="1"/>
      <protection locked="0"/>
    </xf>
    <xf numFmtId="0" fontId="17" fillId="0" borderId="6" xfId="0" applyFont="1" applyBorder="1" applyAlignment="1">
      <alignment horizontal="left" wrapText="1" readingOrder="1"/>
    </xf>
    <xf numFmtId="2" fontId="14" fillId="9" borderId="25" xfId="10" applyNumberFormat="1" applyFont="1" applyFill="1" applyBorder="1" applyAlignment="1" applyProtection="1">
      <alignment horizontal="right" vertical="center" wrapText="1"/>
      <protection locked="0"/>
    </xf>
    <xf numFmtId="0" fontId="47" fillId="0" borderId="0" xfId="0" applyFont="1" applyAlignment="1">
      <alignment horizontal="left" vertical="center" wrapText="1"/>
    </xf>
    <xf numFmtId="49" fontId="5" fillId="0" borderId="67" xfId="0" applyNumberFormat="1" applyFont="1" applyBorder="1" applyAlignment="1" applyProtection="1">
      <alignment horizontal="left" vertical="center" shrinkToFit="1"/>
      <protection locked="0"/>
    </xf>
    <xf numFmtId="167" fontId="17" fillId="25" borderId="0" xfId="0" applyNumberFormat="1" applyFont="1" applyFill="1" applyAlignment="1">
      <alignment horizontal="right" vertical="center" wrapText="1"/>
    </xf>
    <xf numFmtId="167" fontId="17" fillId="0" borderId="0" xfId="0" applyNumberFormat="1" applyFont="1" applyAlignment="1">
      <alignment horizontal="right" vertical="center" wrapText="1"/>
    </xf>
    <xf numFmtId="0" fontId="11" fillId="54" borderId="90" xfId="0" applyFont="1" applyFill="1" applyBorder="1" applyAlignment="1">
      <alignment horizontal="left" vertical="center" wrapText="1"/>
    </xf>
    <xf numFmtId="1" fontId="5" fillId="9" borderId="47" xfId="10" applyNumberFormat="1" applyFont="1" applyFill="1" applyBorder="1" applyAlignment="1" applyProtection="1">
      <alignment horizontal="left" vertical="center" wrapText="1"/>
      <protection locked="0"/>
    </xf>
    <xf numFmtId="49" fontId="5" fillId="14" borderId="31" xfId="0" applyNumberFormat="1" applyFont="1" applyFill="1" applyBorder="1" applyAlignment="1" applyProtection="1">
      <alignment horizontal="left" vertical="center" shrinkToFit="1"/>
      <protection locked="0"/>
    </xf>
    <xf numFmtId="0" fontId="5" fillId="14" borderId="25" xfId="0" applyFont="1" applyFill="1" applyBorder="1" applyAlignment="1" applyProtection="1">
      <alignment horizontal="left" vertical="center" wrapText="1" shrinkToFit="1"/>
      <protection locked="0"/>
    </xf>
    <xf numFmtId="0" fontId="5" fillId="14" borderId="25" xfId="0" applyFont="1" applyFill="1" applyBorder="1" applyAlignment="1" applyProtection="1">
      <alignment horizontal="right" vertical="center" shrinkToFit="1"/>
      <protection locked="0"/>
    </xf>
    <xf numFmtId="1" fontId="5" fillId="14" borderId="57" xfId="0" applyNumberFormat="1" applyFont="1" applyFill="1" applyBorder="1" applyAlignment="1" applyProtection="1">
      <alignment horizontal="right" vertical="center" shrinkToFit="1"/>
      <protection locked="0"/>
    </xf>
    <xf numFmtId="167" fontId="17" fillId="25" borderId="15" xfId="0" applyNumberFormat="1" applyFont="1" applyFill="1" applyBorder="1" applyAlignment="1">
      <alignment horizontal="right" vertical="center" wrapText="1"/>
    </xf>
    <xf numFmtId="2" fontId="48" fillId="0" borderId="0" xfId="0" applyNumberFormat="1" applyFont="1" applyAlignment="1">
      <alignment horizontal="left" vertical="center" wrapText="1"/>
    </xf>
    <xf numFmtId="0" fontId="5" fillId="0" borderId="139" xfId="0" applyFont="1" applyBorder="1" applyAlignment="1">
      <alignment horizontal="left" vertical="center" wrapText="1"/>
    </xf>
    <xf numFmtId="0" fontId="5" fillId="0" borderId="45" xfId="0" applyFont="1" applyBorder="1" applyAlignment="1">
      <alignment horizontal="left" vertical="center" wrapText="1"/>
    </xf>
    <xf numFmtId="0" fontId="11" fillId="53" borderId="0" xfId="0" applyFont="1" applyFill="1" applyAlignment="1">
      <alignment vertical="center"/>
    </xf>
    <xf numFmtId="0" fontId="16" fillId="0" borderId="0" xfId="0" applyFont="1" applyAlignment="1">
      <alignment horizontal="left" vertical="center"/>
    </xf>
    <xf numFmtId="0" fontId="5" fillId="14" borderId="27" xfId="10" applyFont="1" applyFill="1" applyBorder="1" applyAlignment="1" applyProtection="1">
      <alignment horizontal="right" vertical="center" shrinkToFit="1"/>
      <protection locked="0"/>
    </xf>
    <xf numFmtId="0" fontId="17" fillId="0" borderId="100" xfId="0" applyFont="1" applyBorder="1" applyAlignment="1">
      <alignment horizontal="left" vertical="center" wrapText="1"/>
    </xf>
    <xf numFmtId="0" fontId="5" fillId="0" borderId="81" xfId="0" applyFont="1" applyBorder="1" applyAlignment="1">
      <alignment horizontal="left" vertical="center" wrapText="1"/>
    </xf>
    <xf numFmtId="0" fontId="17" fillId="0" borderId="96" xfId="0" applyFont="1" applyBorder="1" applyAlignment="1">
      <alignment horizontal="left" vertical="center" wrapText="1"/>
    </xf>
    <xf numFmtId="0" fontId="17" fillId="0" borderId="109" xfId="0" applyFont="1" applyBorder="1" applyAlignment="1">
      <alignment horizontal="left" vertical="center" wrapText="1"/>
    </xf>
    <xf numFmtId="0" fontId="17" fillId="0" borderId="97" xfId="0" applyFont="1" applyBorder="1" applyAlignment="1">
      <alignment horizontal="left" vertical="center" wrapText="1"/>
    </xf>
    <xf numFmtId="0" fontId="5" fillId="0" borderId="98" xfId="0" applyFont="1" applyBorder="1" applyAlignment="1">
      <alignment horizontal="left" vertical="center" wrapText="1"/>
    </xf>
    <xf numFmtId="0" fontId="5" fillId="0" borderId="76" xfId="0" applyFont="1" applyBorder="1" applyAlignment="1">
      <alignment horizontal="left" vertical="center" wrapText="1"/>
    </xf>
    <xf numFmtId="0" fontId="17" fillId="0" borderId="138" xfId="0" applyFont="1" applyBorder="1" applyAlignment="1">
      <alignment horizontal="left" vertical="center" wrapText="1"/>
    </xf>
    <xf numFmtId="0" fontId="5" fillId="0" borderId="140" xfId="0" applyFont="1" applyBorder="1" applyAlignment="1">
      <alignment horizontal="left" vertical="center" wrapText="1"/>
    </xf>
    <xf numFmtId="0" fontId="5" fillId="0" borderId="96" xfId="0" applyFont="1" applyBorder="1" applyAlignment="1">
      <alignment horizontal="left" vertical="center" wrapText="1"/>
    </xf>
    <xf numFmtId="0" fontId="5" fillId="0" borderId="109" xfId="0" applyFont="1" applyBorder="1" applyAlignment="1">
      <alignment horizontal="left" vertical="center" wrapText="1"/>
    </xf>
    <xf numFmtId="0" fontId="5" fillId="0" borderId="97" xfId="0" applyFont="1" applyBorder="1" applyAlignment="1">
      <alignment horizontal="left" vertical="center" wrapText="1"/>
    </xf>
    <xf numFmtId="0" fontId="17" fillId="0" borderId="125" xfId="0" applyFont="1" applyBorder="1" applyAlignment="1">
      <alignment horizontal="left" vertical="center" wrapText="1"/>
    </xf>
    <xf numFmtId="0" fontId="5" fillId="0" borderId="126" xfId="0" applyFont="1" applyBorder="1" applyAlignment="1">
      <alignment horizontal="left" vertical="center" wrapText="1"/>
    </xf>
    <xf numFmtId="0" fontId="5" fillId="0" borderId="127" xfId="0" applyFont="1" applyBorder="1" applyAlignment="1">
      <alignment horizontal="right" vertical="center" wrapText="1"/>
    </xf>
    <xf numFmtId="0" fontId="5" fillId="0" borderId="74" xfId="0" applyFont="1" applyBorder="1" applyAlignment="1">
      <alignment horizontal="right" vertical="center" wrapText="1"/>
    </xf>
    <xf numFmtId="0" fontId="5" fillId="0" borderId="76" xfId="0" applyFont="1" applyBorder="1" applyAlignment="1">
      <alignment horizontal="right" vertical="center" wrapText="1"/>
    </xf>
    <xf numFmtId="2" fontId="11" fillId="0" borderId="71" xfId="0" applyNumberFormat="1" applyFont="1" applyBorder="1" applyAlignment="1">
      <alignment horizontal="right" vertical="center"/>
    </xf>
    <xf numFmtId="2" fontId="14" fillId="0" borderId="113" xfId="0" applyNumberFormat="1" applyFont="1" applyBorder="1" applyAlignment="1">
      <alignment horizontal="right" vertical="center"/>
    </xf>
    <xf numFmtId="2" fontId="11" fillId="7" borderId="6" xfId="0" applyNumberFormat="1" applyFont="1" applyFill="1" applyBorder="1"/>
    <xf numFmtId="2" fontId="5" fillId="0" borderId="6" xfId="0" applyNumberFormat="1" applyFont="1" applyBorder="1" applyAlignment="1">
      <alignment horizontal="right" vertical="center"/>
    </xf>
    <xf numFmtId="2" fontId="5" fillId="0" borderId="207" xfId="0" applyNumberFormat="1" applyFont="1" applyBorder="1" applyAlignment="1">
      <alignment horizontal="right" vertical="center"/>
    </xf>
    <xf numFmtId="2" fontId="5" fillId="0" borderId="104" xfId="0" applyNumberFormat="1" applyFont="1" applyBorder="1" applyAlignment="1">
      <alignment horizontal="right" vertical="center"/>
    </xf>
    <xf numFmtId="2" fontId="5" fillId="0" borderId="208" xfId="0" applyNumberFormat="1" applyFont="1" applyBorder="1" applyAlignment="1">
      <alignment horizontal="right" vertical="center"/>
    </xf>
    <xf numFmtId="2" fontId="11" fillId="0" borderId="210" xfId="0" applyNumberFormat="1" applyFont="1" applyBorder="1" applyAlignment="1">
      <alignment horizontal="right" vertical="center"/>
    </xf>
    <xf numFmtId="0" fontId="5" fillId="0" borderId="100" xfId="0" applyFont="1" applyBorder="1" applyAlignment="1">
      <alignment horizontal="left" vertical="center" wrapText="1"/>
    </xf>
    <xf numFmtId="0" fontId="5" fillId="0" borderId="138" xfId="0" applyFont="1" applyBorder="1" applyAlignment="1">
      <alignment horizontal="left" vertical="center" wrapText="1"/>
    </xf>
    <xf numFmtId="165" fontId="7" fillId="0" borderId="10" xfId="10" applyNumberFormat="1" applyFont="1" applyBorder="1" applyAlignment="1" applyProtection="1">
      <alignment horizontal="left" vertical="center" wrapText="1"/>
      <protection locked="0"/>
    </xf>
    <xf numFmtId="2" fontId="11" fillId="0" borderId="0" xfId="13" applyNumberFormat="1" applyFont="1" applyAlignment="1">
      <alignment horizontal="right" vertical="center" wrapText="1"/>
    </xf>
    <xf numFmtId="0" fontId="45" fillId="0" borderId="0" xfId="13" applyFont="1" applyAlignment="1">
      <alignment horizontal="left" vertical="center" wrapText="1"/>
    </xf>
    <xf numFmtId="0" fontId="14" fillId="0" borderId="0" xfId="13" applyFont="1" applyAlignment="1">
      <alignment horizontal="left" vertical="center" wrapText="1"/>
    </xf>
    <xf numFmtId="0" fontId="46" fillId="0" borderId="0" xfId="13" applyFont="1" applyAlignment="1">
      <alignment horizontal="left" vertical="center" wrapText="1"/>
    </xf>
    <xf numFmtId="0" fontId="50" fillId="0" borderId="0" xfId="13" applyFont="1" applyAlignment="1">
      <alignment horizontal="left" vertical="center" wrapText="1"/>
    </xf>
    <xf numFmtId="0" fontId="42" fillId="0" borderId="0" xfId="13" applyFont="1" applyAlignment="1">
      <alignment horizontal="left" vertical="center" wrapText="1"/>
    </xf>
    <xf numFmtId="2" fontId="11" fillId="15" borderId="6" xfId="12" applyNumberFormat="1" applyFill="1" applyBorder="1"/>
    <xf numFmtId="0" fontId="17" fillId="0" borderId="6" xfId="12" applyFont="1" applyBorder="1" applyAlignment="1">
      <alignment horizontal="center" vertical="center" wrapText="1"/>
    </xf>
    <xf numFmtId="0" fontId="11" fillId="0" borderId="27" xfId="12" applyBorder="1" applyAlignment="1">
      <alignment horizontal="center"/>
    </xf>
    <xf numFmtId="0" fontId="11" fillId="0" borderId="27" xfId="12" applyBorder="1"/>
    <xf numFmtId="0" fontId="11" fillId="15" borderId="27" xfId="12" applyFill="1" applyBorder="1"/>
    <xf numFmtId="2" fontId="11" fillId="0" borderId="39" xfId="9" applyNumberFormat="1" applyFont="1" applyBorder="1" applyAlignment="1">
      <alignment horizontal="left" vertical="top"/>
    </xf>
    <xf numFmtId="0" fontId="5" fillId="0" borderId="6" xfId="1" applyFont="1" applyBorder="1" applyAlignment="1">
      <alignment horizontal="left" vertical="center" wrapText="1"/>
    </xf>
    <xf numFmtId="0" fontId="11" fillId="0" borderId="25" xfId="0" applyFont="1" applyBorder="1" applyAlignment="1">
      <alignment horizontal="left" vertical="center" wrapText="1"/>
    </xf>
    <xf numFmtId="2" fontId="5" fillId="0" borderId="34" xfId="1" applyNumberFormat="1" applyFont="1" applyBorder="1" applyAlignment="1" applyProtection="1">
      <alignment horizontal="left" vertical="center" wrapText="1"/>
      <protection locked="0"/>
    </xf>
    <xf numFmtId="2" fontId="5" fillId="0" borderId="23" xfId="1" applyNumberFormat="1" applyFont="1" applyBorder="1" applyAlignment="1" applyProtection="1">
      <alignment horizontal="left" vertical="center" wrapText="1"/>
      <protection locked="0"/>
    </xf>
    <xf numFmtId="0" fontId="5" fillId="0" borderId="34" xfId="1" applyFont="1" applyBorder="1" applyAlignment="1">
      <alignment horizontal="left" vertical="center" wrapText="1"/>
    </xf>
    <xf numFmtId="0" fontId="5" fillId="0" borderId="33" xfId="1" applyFont="1" applyBorder="1" applyAlignment="1">
      <alignment horizontal="left" vertical="center" wrapText="1"/>
    </xf>
    <xf numFmtId="0" fontId="5" fillId="0" borderId="115" xfId="1" applyFont="1" applyBorder="1" applyAlignment="1">
      <alignment horizontal="left" vertical="center" wrapText="1"/>
    </xf>
    <xf numFmtId="2" fontId="11" fillId="0" borderId="6" xfId="0" applyNumberFormat="1" applyFont="1" applyBorder="1" applyAlignment="1">
      <alignment horizontal="right" vertical="center"/>
    </xf>
    <xf numFmtId="2" fontId="5" fillId="0" borderId="49" xfId="1" applyNumberFormat="1" applyFont="1" applyBorder="1" applyAlignment="1" applyProtection="1">
      <alignment horizontal="right" vertical="center"/>
      <protection locked="0"/>
    </xf>
    <xf numFmtId="0" fontId="5" fillId="0" borderId="49" xfId="1" applyFont="1" applyBorder="1" applyAlignment="1" applyProtection="1">
      <alignment horizontal="left" vertical="center" wrapText="1"/>
      <protection locked="0"/>
    </xf>
    <xf numFmtId="2" fontId="5" fillId="0" borderId="6" xfId="0" applyNumberFormat="1" applyFont="1" applyBorder="1" applyAlignment="1" applyProtection="1">
      <alignment horizontal="left" vertical="center" wrapText="1"/>
      <protection locked="0"/>
    </xf>
    <xf numFmtId="0" fontId="2" fillId="0" borderId="14" xfId="15" applyBorder="1" applyAlignment="1" applyProtection="1">
      <alignment horizontal="center" vertical="center" wrapText="1"/>
      <protection locked="0"/>
    </xf>
    <xf numFmtId="0" fontId="2" fillId="0" borderId="14" xfId="15" applyBorder="1" applyAlignment="1" applyProtection="1">
      <alignment horizontal="center" vertical="center"/>
      <protection locked="0"/>
    </xf>
    <xf numFmtId="2" fontId="2" fillId="0" borderId="6" xfId="1" applyNumberFormat="1" applyBorder="1" applyAlignment="1" applyProtection="1">
      <alignment horizontal="center" vertical="center" wrapText="1"/>
      <protection locked="0"/>
    </xf>
    <xf numFmtId="2" fontId="2" fillId="0" borderId="25" xfId="1" applyNumberFormat="1" applyBorder="1" applyAlignment="1" applyProtection="1">
      <alignment horizontal="center" vertical="center" wrapText="1"/>
      <protection locked="0"/>
    </xf>
    <xf numFmtId="2" fontId="2" fillId="0" borderId="6" xfId="6" applyNumberFormat="1" applyFont="1" applyBorder="1" applyAlignment="1">
      <alignment horizontal="center" vertical="center"/>
    </xf>
    <xf numFmtId="2" fontId="2" fillId="0" borderId="6" xfId="16" applyNumberFormat="1" applyBorder="1" applyAlignment="1" applyProtection="1">
      <alignment horizontal="center" vertical="center"/>
      <protection locked="0"/>
    </xf>
    <xf numFmtId="0" fontId="2" fillId="0" borderId="23" xfId="1" applyBorder="1" applyAlignment="1">
      <alignment horizontal="center" vertical="center" wrapText="1"/>
    </xf>
    <xf numFmtId="2" fontId="2" fillId="0" borderId="6" xfId="1" applyNumberFormat="1" applyBorder="1" applyAlignment="1" applyProtection="1">
      <alignment horizontal="center" vertical="center"/>
      <protection locked="0"/>
    </xf>
    <xf numFmtId="2" fontId="2" fillId="0" borderId="25" xfId="1" applyNumberFormat="1" applyBorder="1" applyAlignment="1" applyProtection="1">
      <alignment horizontal="center" vertical="center"/>
      <protection locked="0"/>
    </xf>
    <xf numFmtId="2" fontId="35" fillId="0" borderId="34" xfId="0" applyNumberFormat="1" applyFont="1" applyBorder="1" applyAlignment="1">
      <alignment horizontal="center" vertical="center"/>
    </xf>
    <xf numFmtId="0" fontId="2" fillId="0" borderId="6" xfId="5" applyFont="1" applyBorder="1" applyAlignment="1" applyProtection="1">
      <alignment horizontal="center" vertical="center"/>
      <protection locked="0"/>
    </xf>
    <xf numFmtId="2" fontId="2" fillId="0" borderId="6" xfId="0" applyNumberFormat="1" applyFont="1" applyBorder="1" applyAlignment="1" applyProtection="1">
      <alignment horizontal="center" vertical="center" wrapText="1"/>
      <protection locked="0"/>
    </xf>
    <xf numFmtId="0" fontId="2" fillId="0" borderId="15" xfId="1" applyBorder="1" applyAlignment="1">
      <alignment horizontal="center" vertical="center" wrapText="1"/>
    </xf>
    <xf numFmtId="0" fontId="11" fillId="0" borderId="0" xfId="0" applyFont="1" applyAlignment="1">
      <alignment wrapText="1"/>
    </xf>
    <xf numFmtId="2" fontId="5" fillId="14" borderId="25" xfId="1" applyNumberFormat="1" applyFont="1" applyFill="1" applyBorder="1" applyAlignment="1" applyProtection="1">
      <alignment horizontal="right" vertical="center"/>
      <protection locked="0"/>
    </xf>
    <xf numFmtId="2" fontId="51" fillId="14" borderId="6" xfId="6" applyNumberFormat="1" applyFont="1" applyFill="1" applyBorder="1" applyAlignment="1">
      <alignment horizontal="center" vertical="center"/>
    </xf>
    <xf numFmtId="2" fontId="14" fillId="14" borderId="25" xfId="1" applyNumberFormat="1" applyFont="1" applyFill="1" applyBorder="1" applyAlignment="1" applyProtection="1">
      <alignment horizontal="right" vertical="center"/>
      <protection locked="0"/>
    </xf>
    <xf numFmtId="2" fontId="5" fillId="14" borderId="6" xfId="1" applyNumberFormat="1" applyFont="1" applyFill="1" applyBorder="1" applyAlignment="1" applyProtection="1">
      <alignment horizontal="right" vertical="center"/>
      <protection locked="0"/>
    </xf>
    <xf numFmtId="49" fontId="5" fillId="14" borderId="6" xfId="1" applyNumberFormat="1" applyFont="1" applyFill="1" applyBorder="1" applyAlignment="1" applyProtection="1">
      <alignment horizontal="left" vertical="center" wrapText="1"/>
      <protection locked="0"/>
    </xf>
    <xf numFmtId="165" fontId="5" fillId="0" borderId="18" xfId="1" applyNumberFormat="1" applyFont="1" applyBorder="1" applyAlignment="1" applyProtection="1">
      <alignment horizontal="left" vertical="center" wrapText="1"/>
      <protection locked="0"/>
    </xf>
    <xf numFmtId="0" fontId="5" fillId="0" borderId="18" xfId="1" applyFont="1" applyBorder="1" applyAlignment="1" applyProtection="1">
      <alignment horizontal="left" vertical="center" wrapText="1"/>
      <protection locked="0"/>
    </xf>
    <xf numFmtId="0" fontId="5" fillId="0" borderId="52" xfId="1" applyFont="1" applyBorder="1" applyAlignment="1" applyProtection="1">
      <alignment horizontal="left" vertical="center" wrapText="1"/>
      <protection locked="0"/>
    </xf>
    <xf numFmtId="0" fontId="5" fillId="0" borderId="18" xfId="1" applyFont="1" applyBorder="1" applyAlignment="1" applyProtection="1">
      <alignment horizontal="right" vertical="center" wrapText="1"/>
      <protection locked="0"/>
    </xf>
    <xf numFmtId="0" fontId="5" fillId="0" borderId="50" xfId="1" applyFont="1" applyBorder="1" applyAlignment="1">
      <alignment horizontal="left" vertical="center" wrapText="1"/>
    </xf>
    <xf numFmtId="0" fontId="5" fillId="0" borderId="6" xfId="1" applyFont="1" applyBorder="1" applyAlignment="1" applyProtection="1">
      <alignment horizontal="left" vertical="center" wrapText="1"/>
      <protection locked="0"/>
    </xf>
    <xf numFmtId="0" fontId="5" fillId="0" borderId="14" xfId="1" applyFont="1" applyBorder="1" applyAlignment="1" applyProtection="1">
      <alignment horizontal="left" vertical="center" wrapText="1"/>
      <protection locked="0"/>
    </xf>
    <xf numFmtId="0" fontId="7" fillId="0" borderId="50" xfId="1" applyFont="1" applyBorder="1" applyAlignment="1">
      <alignment horizontal="left" vertical="center" wrapText="1"/>
    </xf>
    <xf numFmtId="2" fontId="5" fillId="0" borderId="6" xfId="0" applyNumberFormat="1" applyFont="1" applyBorder="1" applyAlignment="1">
      <alignment horizontal="left" vertical="center"/>
    </xf>
    <xf numFmtId="0" fontId="2" fillId="0" borderId="6" xfId="1" applyBorder="1" applyAlignment="1">
      <alignment horizontal="center" vertical="center" wrapText="1"/>
    </xf>
    <xf numFmtId="2" fontId="51" fillId="14" borderId="6" xfId="1" applyNumberFormat="1" applyFont="1" applyFill="1" applyBorder="1" applyAlignment="1" applyProtection="1">
      <alignment horizontal="center" vertical="center"/>
      <protection locked="0"/>
    </xf>
    <xf numFmtId="2" fontId="35" fillId="0" borderId="6" xfId="0" applyNumberFormat="1" applyFont="1" applyBorder="1" applyAlignment="1">
      <alignment horizontal="center" vertical="center"/>
    </xf>
    <xf numFmtId="0" fontId="5" fillId="0" borderId="6" xfId="1" applyFont="1" applyBorder="1" applyAlignment="1" applyProtection="1">
      <alignment horizontal="left" vertical="center"/>
      <protection locked="0"/>
    </xf>
    <xf numFmtId="0" fontId="17" fillId="33" borderId="0" xfId="0" applyFont="1" applyFill="1" applyAlignment="1">
      <alignment horizontal="left" vertical="center" wrapText="1"/>
    </xf>
    <xf numFmtId="14" fontId="5" fillId="0" borderId="105" xfId="0" applyNumberFormat="1" applyFont="1" applyBorder="1" applyAlignment="1">
      <alignment vertical="center"/>
    </xf>
    <xf numFmtId="2" fontId="17" fillId="0" borderId="25" xfId="0" applyNumberFormat="1" applyFont="1" applyBorder="1" applyAlignment="1">
      <alignment horizontal="left" vertical="center" wrapText="1"/>
    </xf>
    <xf numFmtId="0" fontId="17" fillId="0" borderId="25" xfId="0" applyFont="1" applyBorder="1" applyAlignment="1">
      <alignment horizontal="left" wrapText="1" readingOrder="1"/>
    </xf>
    <xf numFmtId="0" fontId="5" fillId="0" borderId="25" xfId="0" applyFont="1" applyBorder="1" applyAlignment="1">
      <alignment horizontal="left" vertical="center"/>
    </xf>
    <xf numFmtId="2" fontId="5" fillId="0" borderId="25" xfId="0" applyNumberFormat="1" applyFont="1" applyBorder="1" applyAlignment="1">
      <alignment horizontal="left" vertical="center"/>
    </xf>
    <xf numFmtId="2" fontId="18" fillId="0" borderId="25" xfId="0" applyNumberFormat="1" applyFont="1" applyBorder="1" applyAlignment="1">
      <alignment horizontal="left" vertical="center"/>
    </xf>
    <xf numFmtId="0" fontId="7" fillId="0" borderId="48" xfId="1" applyFont="1" applyBorder="1" applyAlignment="1">
      <alignment horizontal="left" vertical="center" wrapText="1"/>
    </xf>
    <xf numFmtId="167" fontId="17" fillId="31" borderId="6" xfId="11" applyNumberFormat="1" applyFont="1" applyFill="1" applyBorder="1" applyAlignment="1">
      <alignment horizontal="right" vertical="center" wrapText="1"/>
    </xf>
    <xf numFmtId="175" fontId="11" fillId="23" borderId="90" xfId="18" applyNumberFormat="1" applyFont="1" applyFill="1" applyBorder="1" applyAlignment="1">
      <alignment horizontal="left" vertical="center"/>
    </xf>
    <xf numFmtId="41" fontId="5" fillId="23" borderId="90" xfId="18" applyNumberFormat="1" applyFont="1" applyFill="1" applyBorder="1" applyAlignment="1">
      <alignment horizontal="left" vertical="center"/>
    </xf>
    <xf numFmtId="172" fontId="11" fillId="23" borderId="157" xfId="18" applyNumberFormat="1" applyFont="1" applyFill="1" applyBorder="1" applyAlignment="1">
      <alignment horizontal="right" vertical="center"/>
    </xf>
    <xf numFmtId="172" fontId="11" fillId="23" borderId="215" xfId="18" applyNumberFormat="1" applyFont="1" applyFill="1" applyBorder="1" applyAlignment="1">
      <alignment horizontal="right" vertical="center"/>
    </xf>
    <xf numFmtId="172" fontId="11" fillId="23" borderId="214" xfId="18" applyNumberFormat="1" applyFont="1" applyFill="1" applyBorder="1" applyAlignment="1">
      <alignment horizontal="right" vertical="center"/>
    </xf>
    <xf numFmtId="172" fontId="11" fillId="23" borderId="99" xfId="18" applyNumberFormat="1" applyFont="1" applyFill="1" applyBorder="1" applyAlignment="1">
      <alignment horizontal="right" vertical="center"/>
    </xf>
    <xf numFmtId="172" fontId="11" fillId="23" borderId="129" xfId="18" applyNumberFormat="1" applyFont="1" applyFill="1" applyBorder="1" applyAlignment="1">
      <alignment horizontal="right" vertical="center"/>
    </xf>
    <xf numFmtId="172" fontId="11" fillId="23" borderId="41" xfId="18" applyNumberFormat="1" applyFont="1" applyFill="1" applyBorder="1" applyAlignment="1">
      <alignment horizontal="right" vertical="center"/>
    </xf>
    <xf numFmtId="167" fontId="11" fillId="23" borderId="128" xfId="0" applyNumberFormat="1" applyFont="1" applyFill="1" applyBorder="1" applyAlignment="1">
      <alignment horizontal="right" vertical="center"/>
    </xf>
    <xf numFmtId="167" fontId="11" fillId="23" borderId="82" xfId="0" applyNumberFormat="1" applyFont="1" applyFill="1" applyBorder="1" applyAlignment="1">
      <alignment horizontal="right" vertical="center"/>
    </xf>
    <xf numFmtId="167" fontId="11" fillId="23" borderId="83" xfId="0" applyNumberFormat="1" applyFont="1" applyFill="1" applyBorder="1" applyAlignment="1">
      <alignment horizontal="right" vertical="center"/>
    </xf>
    <xf numFmtId="2" fontId="11" fillId="55" borderId="82" xfId="0" applyNumberFormat="1" applyFont="1" applyFill="1" applyBorder="1" applyAlignment="1">
      <alignment horizontal="right" vertical="center"/>
    </xf>
    <xf numFmtId="0" fontId="5" fillId="0" borderId="46" xfId="0" applyFont="1" applyFill="1" applyBorder="1" applyAlignment="1">
      <alignment horizontal="left" vertical="center" wrapText="1"/>
    </xf>
    <xf numFmtId="0" fontId="5" fillId="0" borderId="98" xfId="0" applyFont="1" applyFill="1" applyBorder="1" applyAlignment="1">
      <alignment horizontal="left" vertical="center" wrapText="1"/>
    </xf>
    <xf numFmtId="2" fontId="5" fillId="55" borderId="6" xfId="0" applyNumberFormat="1" applyFont="1" applyFill="1" applyBorder="1" applyAlignment="1">
      <alignment horizontal="right" vertical="center"/>
    </xf>
    <xf numFmtId="2" fontId="5" fillId="55" borderId="209" xfId="0" applyNumberFormat="1" applyFont="1" applyFill="1" applyBorder="1" applyAlignment="1">
      <alignment horizontal="right" vertical="center"/>
    </xf>
    <xf numFmtId="2" fontId="5" fillId="55" borderId="102" xfId="0" applyNumberFormat="1" applyFont="1" applyFill="1" applyBorder="1" applyAlignment="1">
      <alignment horizontal="right" vertical="center"/>
    </xf>
    <xf numFmtId="2" fontId="5" fillId="55" borderId="144" xfId="0" applyNumberFormat="1" applyFont="1" applyFill="1" applyBorder="1" applyAlignment="1">
      <alignment horizontal="right" vertical="center"/>
    </xf>
    <xf numFmtId="2" fontId="5" fillId="55" borderId="151" xfId="0" applyNumberFormat="1" applyFont="1" applyFill="1" applyBorder="1" applyAlignment="1">
      <alignment horizontal="right" vertical="center"/>
    </xf>
    <xf numFmtId="2" fontId="5" fillId="55" borderId="149" xfId="0" applyNumberFormat="1" applyFont="1" applyFill="1" applyBorder="1" applyAlignment="1">
      <alignment horizontal="right" vertical="center"/>
    </xf>
    <xf numFmtId="2" fontId="5" fillId="0" borderId="150" xfId="0" applyNumberFormat="1" applyFont="1" applyFill="1" applyBorder="1" applyAlignment="1">
      <alignment horizontal="right" vertical="center"/>
    </xf>
    <xf numFmtId="2" fontId="5" fillId="55" borderId="152" xfId="0" applyNumberFormat="1" applyFont="1" applyFill="1" applyBorder="1" applyAlignment="1">
      <alignment horizontal="right" vertical="center"/>
    </xf>
    <xf numFmtId="2" fontId="5" fillId="55" borderId="153" xfId="0" applyNumberFormat="1" applyFont="1" applyFill="1" applyBorder="1" applyAlignment="1">
      <alignment horizontal="right" vertical="center"/>
    </xf>
    <xf numFmtId="0" fontId="5" fillId="0" borderId="148" xfId="0" applyFont="1" applyFill="1" applyBorder="1" applyAlignment="1">
      <alignment horizontal="left" vertical="center" wrapText="1"/>
    </xf>
    <xf numFmtId="0" fontId="7" fillId="0" borderId="49" xfId="1" applyFont="1" applyBorder="1" applyAlignment="1">
      <alignment horizontal="left" vertical="center" wrapText="1"/>
    </xf>
    <xf numFmtId="165" fontId="5" fillId="0" borderId="8" xfId="1" applyNumberFormat="1" applyFont="1" applyFill="1" applyBorder="1" applyAlignment="1" applyProtection="1">
      <alignment horizontal="left" vertical="center" wrapText="1"/>
      <protection locked="0"/>
    </xf>
    <xf numFmtId="0" fontId="5" fillId="0" borderId="6" xfId="1" applyFont="1" applyFill="1" applyBorder="1" applyAlignment="1" applyProtection="1">
      <alignment horizontal="left" vertical="center" wrapText="1"/>
      <protection locked="0"/>
    </xf>
    <xf numFmtId="0" fontId="5" fillId="0" borderId="14" xfId="1" applyFont="1" applyFill="1" applyBorder="1" applyAlignment="1" applyProtection="1">
      <alignment horizontal="left" vertical="center" wrapText="1"/>
      <protection locked="0"/>
    </xf>
    <xf numFmtId="0" fontId="5" fillId="0" borderId="14" xfId="1" applyFont="1" applyFill="1" applyBorder="1" applyAlignment="1" applyProtection="1">
      <alignment horizontal="right" vertical="center" wrapText="1"/>
      <protection locked="0"/>
    </xf>
    <xf numFmtId="2" fontId="5" fillId="0" borderId="0" xfId="1" applyNumberFormat="1" applyFont="1" applyBorder="1" applyAlignment="1" applyProtection="1">
      <alignment horizontal="left" vertical="center" wrapText="1"/>
      <protection locked="0"/>
    </xf>
    <xf numFmtId="165" fontId="5" fillId="0" borderId="0" xfId="1" applyNumberFormat="1" applyFont="1" applyBorder="1" applyAlignment="1" applyProtection="1">
      <alignment horizontal="left" vertical="center" wrapText="1"/>
      <protection locked="0"/>
    </xf>
    <xf numFmtId="49" fontId="5" fillId="0" borderId="0" xfId="1" applyNumberFormat="1" applyFont="1" applyBorder="1" applyAlignment="1" applyProtection="1">
      <alignment horizontal="left" vertical="center" wrapText="1"/>
      <protection locked="0"/>
    </xf>
    <xf numFmtId="0" fontId="11" fillId="0" borderId="0" xfId="0" applyFont="1" applyBorder="1" applyAlignment="1">
      <alignment horizontal="left" vertical="center"/>
    </xf>
    <xf numFmtId="0" fontId="5" fillId="0" borderId="0" xfId="1" applyFont="1" applyFill="1" applyBorder="1" applyAlignment="1" applyProtection="1">
      <alignment horizontal="left" vertical="center" wrapText="1"/>
      <protection locked="0"/>
    </xf>
    <xf numFmtId="2" fontId="5" fillId="0" borderId="0" xfId="1" applyNumberFormat="1" applyFont="1" applyBorder="1" applyAlignment="1" applyProtection="1">
      <alignment horizontal="right" vertical="center"/>
      <protection locked="0"/>
    </xf>
    <xf numFmtId="0" fontId="7" fillId="0" borderId="0" xfId="1" applyFont="1" applyBorder="1" applyAlignment="1">
      <alignment horizontal="left" vertical="center" wrapText="1"/>
    </xf>
    <xf numFmtId="0" fontId="11" fillId="0" borderId="16" xfId="0" applyFont="1" applyBorder="1" applyAlignment="1">
      <alignment horizontal="left" vertical="center"/>
    </xf>
    <xf numFmtId="0" fontId="11" fillId="0" borderId="16" xfId="0" applyFont="1" applyBorder="1" applyAlignment="1">
      <alignment horizontal="right" vertical="center"/>
    </xf>
    <xf numFmtId="0" fontId="11" fillId="0" borderId="51" xfId="0" applyFont="1" applyBorder="1" applyAlignment="1">
      <alignment horizontal="right" vertical="center"/>
    </xf>
    <xf numFmtId="0" fontId="11" fillId="0" borderId="51" xfId="0" applyFont="1" applyBorder="1" applyAlignment="1">
      <alignment horizontal="left" vertical="center"/>
    </xf>
    <xf numFmtId="49" fontId="5" fillId="0" borderId="47" xfId="1" applyNumberFormat="1" applyFont="1" applyBorder="1" applyAlignment="1" applyProtection="1">
      <alignment horizontal="left" vertical="center" wrapText="1"/>
      <protection locked="0"/>
    </xf>
    <xf numFmtId="2" fontId="5" fillId="0" borderId="47" xfId="1" applyNumberFormat="1" applyFont="1" applyBorder="1" applyAlignment="1" applyProtection="1">
      <alignment horizontal="left" vertical="center" wrapText="1"/>
      <protection locked="0"/>
    </xf>
    <xf numFmtId="0" fontId="11" fillId="0" borderId="6" xfId="0" applyFont="1" applyBorder="1" applyAlignment="1">
      <alignment horizontal="left" vertical="center"/>
    </xf>
    <xf numFmtId="0" fontId="54" fillId="0" borderId="0" xfId="0" applyFont="1"/>
    <xf numFmtId="14" fontId="11" fillId="0" borderId="0" xfId="0" applyNumberFormat="1" applyFont="1" applyAlignment="1">
      <alignment horizontal="left" vertical="center"/>
    </xf>
    <xf numFmtId="2" fontId="5" fillId="0" borderId="23" xfId="10" applyNumberFormat="1" applyFont="1" applyFill="1" applyBorder="1" applyAlignment="1" applyProtection="1">
      <alignment horizontal="right" vertical="center" shrinkToFit="1"/>
      <protection locked="0"/>
    </xf>
    <xf numFmtId="1" fontId="11" fillId="0" borderId="94" xfId="0" applyNumberFormat="1" applyFont="1" applyBorder="1" applyAlignment="1">
      <alignment horizontal="center" vertical="center"/>
    </xf>
    <xf numFmtId="1" fontId="11" fillId="0" borderId="105" xfId="0" applyNumberFormat="1" applyFont="1" applyBorder="1" applyAlignment="1">
      <alignment horizontal="center" vertical="center"/>
    </xf>
    <xf numFmtId="1" fontId="11" fillId="0" borderId="105" xfId="0" applyNumberFormat="1" applyFont="1" applyBorder="1" applyAlignment="1">
      <alignment horizontal="center"/>
    </xf>
    <xf numFmtId="2" fontId="5" fillId="0" borderId="14" xfId="1" applyNumberFormat="1" applyFont="1" applyBorder="1" applyAlignment="1" applyProtection="1">
      <alignment horizontal="right" vertical="center" wrapText="1"/>
      <protection locked="0"/>
    </xf>
    <xf numFmtId="0" fontId="5" fillId="0" borderId="49" xfId="1" applyFont="1" applyBorder="1" applyAlignment="1">
      <alignment horizontal="left" vertical="center" wrapText="1"/>
    </xf>
    <xf numFmtId="2" fontId="7" fillId="0" borderId="0" xfId="1" applyNumberFormat="1" applyFont="1" applyAlignment="1" applyProtection="1">
      <alignment horizontal="center" vertical="center"/>
      <protection locked="0"/>
    </xf>
    <xf numFmtId="2" fontId="11" fillId="15" borderId="94" xfId="0" applyNumberFormat="1" applyFont="1" applyFill="1" applyBorder="1" applyAlignment="1">
      <alignment horizontal="left" vertical="top" wrapText="1"/>
    </xf>
    <xf numFmtId="0" fontId="11" fillId="0" borderId="105" xfId="0" applyFont="1" applyBorder="1" applyAlignment="1">
      <alignment horizontal="center" vertical="center"/>
    </xf>
    <xf numFmtId="0" fontId="55" fillId="0" borderId="0" xfId="0" applyFont="1" applyAlignment="1">
      <alignment horizontal="left" vertical="center"/>
    </xf>
    <xf numFmtId="0" fontId="17" fillId="0" borderId="0" xfId="0" applyFont="1" applyFill="1" applyAlignment="1">
      <alignment horizontal="left" vertical="center" wrapText="1"/>
    </xf>
    <xf numFmtId="0" fontId="17" fillId="0" borderId="6" xfId="0" applyFont="1" applyFill="1" applyBorder="1" applyAlignment="1">
      <alignment horizontal="left" vertical="center" wrapText="1"/>
    </xf>
    <xf numFmtId="0" fontId="17" fillId="0" borderId="6" xfId="0" applyFont="1" applyFill="1" applyBorder="1" applyAlignment="1">
      <alignment horizontal="left" vertical="center" wrapText="1" readingOrder="1"/>
    </xf>
    <xf numFmtId="0" fontId="18" fillId="0" borderId="6" xfId="0" applyFont="1" applyFill="1" applyBorder="1" applyAlignment="1">
      <alignment horizontal="left" vertical="center" wrapText="1"/>
    </xf>
    <xf numFmtId="0" fontId="11" fillId="0" borderId="0" xfId="0" applyFont="1" applyFill="1" applyAlignment="1">
      <alignment horizontal="left" vertical="center" wrapText="1"/>
    </xf>
    <xf numFmtId="0" fontId="5" fillId="0" borderId="6" xfId="0" applyFont="1" applyFill="1" applyBorder="1" applyAlignment="1">
      <alignment horizontal="left" vertical="center" wrapText="1"/>
    </xf>
    <xf numFmtId="0" fontId="5" fillId="0" borderId="6" xfId="0" applyFont="1" applyFill="1" applyBorder="1" applyAlignment="1">
      <alignment horizontal="left" vertical="center" wrapText="1" readingOrder="1"/>
    </xf>
    <xf numFmtId="0" fontId="5" fillId="0" borderId="6" xfId="0" applyFont="1" applyFill="1" applyBorder="1"/>
    <xf numFmtId="0" fontId="20" fillId="0" borderId="6" xfId="0" applyFont="1" applyFill="1" applyBorder="1" applyAlignment="1">
      <alignment horizontal="left" vertical="center" wrapText="1"/>
    </xf>
    <xf numFmtId="4" fontId="17" fillId="0" borderId="6" xfId="0" applyNumberFormat="1" applyFont="1" applyFill="1" applyBorder="1" applyAlignment="1">
      <alignment horizontal="left" vertical="center" wrapText="1"/>
    </xf>
    <xf numFmtId="2" fontId="18" fillId="0" borderId="6" xfId="0" applyNumberFormat="1" applyFont="1" applyFill="1" applyBorder="1" applyAlignment="1">
      <alignment horizontal="left" vertical="center" wrapText="1"/>
    </xf>
    <xf numFmtId="2" fontId="17" fillId="0" borderId="6" xfId="0" applyNumberFormat="1" applyFont="1" applyFill="1" applyBorder="1" applyAlignment="1">
      <alignment horizontal="left" vertical="center" wrapText="1"/>
    </xf>
    <xf numFmtId="0" fontId="5" fillId="0" borderId="6" xfId="0" applyFont="1" applyFill="1" applyBorder="1" applyAlignment="1">
      <alignment horizontal="left" wrapText="1" readingOrder="1"/>
    </xf>
    <xf numFmtId="167" fontId="17" fillId="0" borderId="6" xfId="0" applyNumberFormat="1" applyFont="1" applyFill="1" applyBorder="1" applyAlignment="1">
      <alignment horizontal="left" vertical="center" wrapText="1"/>
    </xf>
    <xf numFmtId="165" fontId="20" fillId="0" borderId="6" xfId="0" applyNumberFormat="1" applyFont="1" applyFill="1" applyBorder="1" applyAlignment="1">
      <alignment horizontal="left" vertical="center" wrapText="1"/>
    </xf>
    <xf numFmtId="0" fontId="44" fillId="0" borderId="6" xfId="0" applyFont="1" applyFill="1" applyBorder="1" applyAlignment="1">
      <alignment horizontal="left" vertical="center" wrapText="1"/>
    </xf>
    <xf numFmtId="171" fontId="17" fillId="0" borderId="6" xfId="17" applyNumberFormat="1" applyFont="1" applyFill="1" applyBorder="1" applyAlignment="1">
      <alignment horizontal="left" vertical="center" wrapText="1"/>
    </xf>
    <xf numFmtId="2" fontId="5" fillId="0" borderId="6" xfId="0" applyNumberFormat="1" applyFont="1" applyFill="1" applyBorder="1" applyAlignment="1">
      <alignment horizontal="left" vertical="center" wrapText="1"/>
    </xf>
    <xf numFmtId="171" fontId="17" fillId="0" borderId="6" xfId="0" applyNumberFormat="1" applyFont="1" applyFill="1" applyBorder="1" applyAlignment="1">
      <alignment horizontal="left" vertical="center" wrapText="1"/>
    </xf>
    <xf numFmtId="0" fontId="18" fillId="0" borderId="6" xfId="0" quotePrefix="1" applyFont="1" applyFill="1" applyBorder="1" applyAlignment="1">
      <alignment horizontal="left" vertical="center" wrapText="1"/>
    </xf>
    <xf numFmtId="2" fontId="5" fillId="0" borderId="6" xfId="1" applyNumberFormat="1" applyFont="1" applyFill="1" applyBorder="1" applyAlignment="1">
      <alignment horizontal="left" vertical="center" wrapText="1"/>
    </xf>
    <xf numFmtId="0" fontId="17" fillId="0" borderId="6" xfId="0" applyFont="1" applyFill="1" applyBorder="1" applyAlignment="1">
      <alignment horizontal="left" wrapText="1" readingOrder="1"/>
    </xf>
    <xf numFmtId="2" fontId="11" fillId="0" borderId="6" xfId="0" applyNumberFormat="1" applyFont="1" applyFill="1" applyBorder="1"/>
    <xf numFmtId="2" fontId="44" fillId="0" borderId="6" xfId="0" applyNumberFormat="1" applyFont="1" applyFill="1" applyBorder="1" applyAlignment="1">
      <alignment horizontal="left" vertical="center" wrapText="1"/>
    </xf>
    <xf numFmtId="2" fontId="52" fillId="0" borderId="6" xfId="0" applyNumberFormat="1" applyFont="1" applyFill="1" applyBorder="1" applyAlignment="1">
      <alignment horizontal="left" vertical="center" wrapText="1"/>
    </xf>
    <xf numFmtId="165" fontId="5" fillId="0" borderId="6" xfId="0" applyNumberFormat="1" applyFont="1" applyFill="1" applyBorder="1" applyAlignment="1">
      <alignment horizontal="left" vertical="center" wrapText="1"/>
    </xf>
    <xf numFmtId="0" fontId="17" fillId="0" borderId="7" xfId="0" applyFont="1" applyFill="1" applyBorder="1" applyAlignment="1">
      <alignment horizontal="left" vertical="center" wrapText="1"/>
    </xf>
    <xf numFmtId="0" fontId="11" fillId="0" borderId="7" xfId="0" applyFont="1" applyFill="1" applyBorder="1" applyAlignment="1">
      <alignment horizontal="left" vertical="center" wrapText="1"/>
    </xf>
    <xf numFmtId="0" fontId="17" fillId="0" borderId="211" xfId="0" applyFont="1" applyFill="1" applyBorder="1" applyAlignment="1">
      <alignment horizontal="left" vertical="center" wrapText="1"/>
    </xf>
    <xf numFmtId="0" fontId="17" fillId="0" borderId="27" xfId="0" applyFont="1" applyFill="1" applyBorder="1" applyAlignment="1">
      <alignment horizontal="left" vertical="center" wrapText="1"/>
    </xf>
    <xf numFmtId="0" fontId="18" fillId="0" borderId="27" xfId="0" applyFont="1" applyFill="1" applyBorder="1" applyAlignment="1">
      <alignment horizontal="left" vertical="center" wrapText="1"/>
    </xf>
    <xf numFmtId="0" fontId="11" fillId="0" borderId="211" xfId="0" applyFont="1" applyFill="1" applyBorder="1" applyAlignment="1">
      <alignment horizontal="left" vertical="center" wrapText="1"/>
    </xf>
    <xf numFmtId="0" fontId="17" fillId="0" borderId="14" xfId="0" applyFont="1" applyFill="1" applyBorder="1" applyAlignment="1">
      <alignment horizontal="left" vertical="center" wrapText="1"/>
    </xf>
    <xf numFmtId="0" fontId="18" fillId="0" borderId="47" xfId="0" applyFont="1" applyFill="1" applyBorder="1" applyAlignment="1">
      <alignment horizontal="left" vertical="center" wrapText="1"/>
    </xf>
    <xf numFmtId="2" fontId="17" fillId="0" borderId="6" xfId="18" applyNumberFormat="1" applyFont="1" applyFill="1" applyBorder="1" applyAlignment="1">
      <alignment horizontal="left" vertical="center" wrapText="1"/>
    </xf>
    <xf numFmtId="2" fontId="18" fillId="0" borderId="6" xfId="18" applyNumberFormat="1" applyFont="1" applyFill="1" applyBorder="1" applyAlignment="1">
      <alignment horizontal="left" vertical="center" wrapText="1"/>
    </xf>
    <xf numFmtId="0" fontId="5" fillId="0" borderId="6" xfId="0" applyFont="1" applyFill="1" applyBorder="1" applyAlignment="1">
      <alignment horizontal="left" vertical="center"/>
    </xf>
    <xf numFmtId="2" fontId="5" fillId="0" borderId="6" xfId="0" applyNumberFormat="1" applyFont="1" applyFill="1" applyBorder="1" applyAlignment="1">
      <alignment horizontal="left" vertical="center"/>
    </xf>
    <xf numFmtId="2" fontId="18" fillId="0" borderId="6" xfId="0" applyNumberFormat="1" applyFont="1" applyFill="1" applyBorder="1" applyAlignment="1">
      <alignment horizontal="left" vertical="center"/>
    </xf>
    <xf numFmtId="0" fontId="43" fillId="0" borderId="6" xfId="0" applyFont="1" applyFill="1" applyBorder="1" applyAlignment="1">
      <alignment horizontal="left" vertical="center" wrapText="1"/>
    </xf>
    <xf numFmtId="2" fontId="20" fillId="0" borderId="6" xfId="0" applyNumberFormat="1" applyFont="1" applyFill="1" applyBorder="1" applyAlignment="1">
      <alignment horizontal="left" vertical="center" wrapText="1"/>
    </xf>
    <xf numFmtId="0" fontId="11" fillId="0" borderId="36" xfId="0" applyFont="1" applyFill="1" applyBorder="1" applyAlignment="1">
      <alignment horizontal="left" vertical="center" wrapText="1"/>
    </xf>
    <xf numFmtId="0" fontId="11" fillId="0" borderId="37" xfId="0" applyFont="1" applyFill="1" applyBorder="1" applyAlignment="1">
      <alignment horizontal="left" vertical="center" wrapText="1"/>
    </xf>
    <xf numFmtId="0" fontId="11" fillId="0" borderId="6" xfId="0" applyFont="1" applyFill="1" applyBorder="1" applyAlignment="1">
      <alignment wrapText="1"/>
    </xf>
    <xf numFmtId="0" fontId="17" fillId="0" borderId="25" xfId="0" applyFont="1" applyFill="1" applyBorder="1" applyAlignment="1">
      <alignment horizontal="left" vertical="center" wrapText="1"/>
    </xf>
    <xf numFmtId="0" fontId="5" fillId="0" borderId="25" xfId="0" applyFont="1" applyFill="1" applyBorder="1" applyAlignment="1">
      <alignment horizontal="left" vertical="center" wrapText="1"/>
    </xf>
    <xf numFmtId="0" fontId="5" fillId="0" borderId="25" xfId="0" applyFont="1" applyFill="1" applyBorder="1" applyAlignment="1">
      <alignment horizontal="left" wrapText="1" readingOrder="1"/>
    </xf>
    <xf numFmtId="0" fontId="18" fillId="0" borderId="25" xfId="0" applyFont="1" applyFill="1" applyBorder="1" applyAlignment="1">
      <alignment horizontal="left" vertical="center" wrapText="1"/>
    </xf>
    <xf numFmtId="2" fontId="18" fillId="0" borderId="25" xfId="0" applyNumberFormat="1" applyFont="1" applyFill="1" applyBorder="1" applyAlignment="1">
      <alignment horizontal="left" vertical="center" wrapText="1"/>
    </xf>
    <xf numFmtId="0" fontId="5" fillId="0" borderId="6" xfId="0" applyFont="1" applyFill="1" applyBorder="1" applyAlignment="1">
      <alignment horizontal="right" vertical="center" wrapText="1"/>
    </xf>
    <xf numFmtId="2" fontId="5" fillId="0" borderId="17" xfId="0" applyNumberFormat="1" applyFont="1" applyFill="1" applyBorder="1" applyAlignment="1">
      <alignment horizontal="right" vertical="center" wrapText="1"/>
    </xf>
    <xf numFmtId="2" fontId="5" fillId="0" borderId="14" xfId="0" applyNumberFormat="1" applyFont="1" applyFill="1" applyBorder="1" applyAlignment="1">
      <alignment horizontal="right" vertical="center" wrapText="1"/>
    </xf>
    <xf numFmtId="2" fontId="5" fillId="0" borderId="7" xfId="0" applyNumberFormat="1" applyFont="1" applyFill="1" applyBorder="1" applyAlignment="1">
      <alignment horizontal="right" vertical="center" wrapText="1"/>
    </xf>
    <xf numFmtId="2" fontId="5" fillId="0" borderId="41" xfId="0" applyNumberFormat="1" applyFont="1" applyFill="1" applyBorder="1" applyAlignment="1">
      <alignment horizontal="right" vertical="center" wrapText="1"/>
    </xf>
    <xf numFmtId="2" fontId="19" fillId="0" borderId="46" xfId="0" applyNumberFormat="1" applyFont="1" applyFill="1" applyBorder="1" applyAlignment="1">
      <alignment horizontal="right" vertical="center" wrapText="1"/>
    </xf>
    <xf numFmtId="2" fontId="5" fillId="0" borderId="42" xfId="0" applyNumberFormat="1" applyFont="1" applyFill="1" applyBorder="1" applyAlignment="1">
      <alignment horizontal="left" vertical="center" wrapText="1"/>
    </xf>
    <xf numFmtId="0" fontId="11" fillId="0" borderId="0" xfId="0" applyFont="1" applyFill="1" applyAlignment="1">
      <alignment horizontal="left" vertical="center"/>
    </xf>
    <xf numFmtId="0" fontId="17" fillId="0" borderId="6" xfId="12" applyFont="1" applyFill="1" applyBorder="1" applyAlignment="1">
      <alignment horizontal="left" vertical="center" wrapText="1"/>
    </xf>
    <xf numFmtId="0" fontId="5" fillId="0" borderId="25" xfId="0" applyFont="1" applyFill="1" applyBorder="1" applyAlignment="1">
      <alignment horizontal="right" vertical="center" wrapText="1"/>
    </xf>
    <xf numFmtId="0" fontId="5" fillId="0" borderId="49" xfId="0" applyFont="1" applyFill="1" applyBorder="1" applyAlignment="1">
      <alignment horizontal="right" vertical="center" wrapText="1"/>
    </xf>
    <xf numFmtId="0" fontId="5" fillId="0" borderId="14" xfId="0" applyFont="1" applyFill="1" applyBorder="1" applyAlignment="1">
      <alignment horizontal="left" vertical="center" wrapText="1"/>
    </xf>
    <xf numFmtId="0" fontId="5" fillId="0" borderId="47" xfId="0" applyFont="1" applyFill="1" applyBorder="1" applyAlignment="1">
      <alignment horizontal="left" vertical="center" wrapText="1"/>
    </xf>
    <xf numFmtId="0" fontId="5" fillId="0" borderId="47" xfId="0" applyFont="1" applyFill="1" applyBorder="1" applyAlignment="1">
      <alignment horizontal="right" vertical="center" wrapText="1"/>
    </xf>
    <xf numFmtId="0" fontId="11" fillId="0" borderId="7" xfId="0" applyFont="1" applyFill="1" applyBorder="1"/>
    <xf numFmtId="2" fontId="5" fillId="0" borderId="48" xfId="0" applyNumberFormat="1" applyFont="1" applyFill="1" applyBorder="1" applyAlignment="1">
      <alignment horizontal="right" vertical="center" wrapText="1"/>
    </xf>
    <xf numFmtId="2" fontId="5" fillId="0" borderId="41" xfId="0" applyNumberFormat="1" applyFont="1" applyFill="1" applyBorder="1" applyAlignment="1">
      <alignment horizontal="left" vertical="center" wrapText="1"/>
    </xf>
    <xf numFmtId="2" fontId="5" fillId="0" borderId="6" xfId="0" applyNumberFormat="1" applyFont="1" applyFill="1" applyBorder="1" applyAlignment="1">
      <alignment horizontal="right" vertical="center" wrapText="1"/>
    </xf>
    <xf numFmtId="2" fontId="5" fillId="0" borderId="33" xfId="0" applyNumberFormat="1" applyFont="1" applyFill="1" applyBorder="1" applyAlignment="1">
      <alignment horizontal="right" vertical="center" wrapText="1"/>
    </xf>
    <xf numFmtId="2" fontId="5" fillId="0" borderId="34" xfId="0" applyNumberFormat="1" applyFont="1" applyFill="1" applyBorder="1" applyAlignment="1">
      <alignment horizontal="right" vertical="center" wrapText="1"/>
    </xf>
    <xf numFmtId="2" fontId="5" fillId="0" borderId="23" xfId="0" applyNumberFormat="1" applyFont="1" applyFill="1" applyBorder="1" applyAlignment="1">
      <alignment horizontal="right" vertical="center" wrapText="1"/>
    </xf>
    <xf numFmtId="2" fontId="5" fillId="0" borderId="206" xfId="0" applyNumberFormat="1" applyFont="1" applyFill="1" applyBorder="1" applyAlignment="1">
      <alignment horizontal="right" vertical="center" wrapText="1"/>
    </xf>
    <xf numFmtId="2" fontId="11" fillId="0" borderId="6" xfId="0" applyNumberFormat="1" applyFont="1" applyFill="1" applyBorder="1" applyAlignment="1">
      <alignment horizontal="right" vertical="center"/>
    </xf>
    <xf numFmtId="2" fontId="11" fillId="0" borderId="23" xfId="0" applyNumberFormat="1" applyFont="1" applyFill="1" applyBorder="1" applyAlignment="1">
      <alignment horizontal="right" vertical="center"/>
    </xf>
    <xf numFmtId="2" fontId="5" fillId="0" borderId="205" xfId="0" applyNumberFormat="1" applyFont="1" applyFill="1" applyBorder="1" applyAlignment="1">
      <alignment horizontal="right" vertical="center" wrapText="1"/>
    </xf>
    <xf numFmtId="2" fontId="5" fillId="0" borderId="72" xfId="0" applyNumberFormat="1" applyFont="1" applyFill="1" applyBorder="1" applyAlignment="1">
      <alignment horizontal="right" vertical="center" wrapText="1"/>
    </xf>
    <xf numFmtId="2" fontId="19" fillId="0" borderId="73" xfId="0" applyNumberFormat="1" applyFont="1" applyFill="1" applyBorder="1" applyAlignment="1">
      <alignment horizontal="right" vertical="center" wrapText="1"/>
    </xf>
    <xf numFmtId="2" fontId="5" fillId="0" borderId="42" xfId="0" applyNumberFormat="1" applyFont="1" applyFill="1" applyBorder="1" applyAlignment="1">
      <alignment horizontal="right" vertical="center" wrapText="1"/>
    </xf>
    <xf numFmtId="2" fontId="5" fillId="0" borderId="16" xfId="0" applyNumberFormat="1" applyFont="1" applyFill="1" applyBorder="1" applyAlignment="1">
      <alignment horizontal="right" vertical="center" wrapText="1"/>
    </xf>
    <xf numFmtId="2" fontId="5" fillId="0" borderId="0" xfId="0" applyNumberFormat="1" applyFont="1" applyFill="1" applyAlignment="1">
      <alignment horizontal="right" vertical="center" wrapText="1"/>
    </xf>
    <xf numFmtId="2" fontId="5" fillId="0" borderId="51" xfId="0" applyNumberFormat="1" applyFont="1" applyFill="1" applyBorder="1" applyAlignment="1">
      <alignment horizontal="right" vertical="center" wrapText="1"/>
    </xf>
    <xf numFmtId="2" fontId="5" fillId="0" borderId="47" xfId="0" applyNumberFormat="1" applyFont="1" applyFill="1" applyBorder="1" applyAlignment="1">
      <alignment horizontal="right" vertical="center" wrapText="1"/>
    </xf>
    <xf numFmtId="2" fontId="5" fillId="0" borderId="72" xfId="0" applyNumberFormat="1" applyFont="1" applyFill="1" applyBorder="1" applyAlignment="1">
      <alignment horizontal="left" vertical="center" wrapText="1"/>
    </xf>
    <xf numFmtId="2" fontId="19" fillId="0" borderId="6" xfId="0" applyNumberFormat="1" applyFont="1" applyFill="1" applyBorder="1" applyAlignment="1">
      <alignment horizontal="right" vertical="center" wrapText="1"/>
    </xf>
    <xf numFmtId="0" fontId="11" fillId="0" borderId="7" xfId="0" applyFont="1" applyFill="1" applyBorder="1" applyAlignment="1">
      <alignment horizontal="left" vertical="center"/>
    </xf>
    <xf numFmtId="2" fontId="5" fillId="0" borderId="212" xfId="0" applyNumberFormat="1" applyFont="1" applyFill="1" applyBorder="1" applyAlignment="1">
      <alignment horizontal="right" vertical="center" wrapText="1"/>
    </xf>
    <xf numFmtId="2" fontId="19" fillId="0" borderId="213" xfId="0" applyNumberFormat="1" applyFont="1" applyFill="1" applyBorder="1" applyAlignment="1">
      <alignment horizontal="right" vertical="center" wrapText="1"/>
    </xf>
    <xf numFmtId="2" fontId="5" fillId="0" borderId="212" xfId="0" applyNumberFormat="1" applyFont="1" applyFill="1" applyBorder="1" applyAlignment="1">
      <alignment horizontal="left" vertical="center" wrapText="1"/>
    </xf>
    <xf numFmtId="2" fontId="5" fillId="0" borderId="203" xfId="0" applyNumberFormat="1" applyFont="1" applyFill="1" applyBorder="1" applyAlignment="1">
      <alignment horizontal="right" vertical="center" wrapText="1"/>
    </xf>
    <xf numFmtId="2" fontId="19" fillId="0" borderId="204" xfId="0" applyNumberFormat="1" applyFont="1" applyFill="1" applyBorder="1" applyAlignment="1">
      <alignment horizontal="right" vertical="center" wrapText="1"/>
    </xf>
    <xf numFmtId="2" fontId="5" fillId="0" borderId="15" xfId="0" applyNumberFormat="1" applyFont="1" applyFill="1" applyBorder="1" applyAlignment="1">
      <alignment horizontal="right" vertical="center" wrapText="1"/>
    </xf>
    <xf numFmtId="2" fontId="5" fillId="0" borderId="115" xfId="0" applyNumberFormat="1" applyFont="1" applyFill="1" applyBorder="1" applyAlignment="1">
      <alignment horizontal="right" vertical="center" wrapText="1"/>
    </xf>
    <xf numFmtId="2" fontId="5" fillId="0" borderId="49" xfId="0" applyNumberFormat="1" applyFont="1" applyFill="1" applyBorder="1" applyAlignment="1">
      <alignment horizontal="right" vertical="center" wrapText="1"/>
    </xf>
    <xf numFmtId="2" fontId="5" fillId="0" borderId="25" xfId="0" applyNumberFormat="1" applyFont="1" applyFill="1" applyBorder="1" applyAlignment="1">
      <alignment horizontal="right" vertical="center" wrapText="1"/>
    </xf>
    <xf numFmtId="2" fontId="11" fillId="0" borderId="0" xfId="0" applyNumberFormat="1" applyFont="1" applyFill="1" applyAlignment="1">
      <alignment horizontal="left" vertical="center"/>
    </xf>
    <xf numFmtId="0" fontId="5" fillId="28" borderId="6" xfId="1" applyFont="1" applyFill="1" applyBorder="1" applyAlignment="1">
      <alignment horizontal="left" vertical="center"/>
    </xf>
    <xf numFmtId="0" fontId="25" fillId="15" borderId="0" xfId="1" applyFont="1" applyFill="1" applyAlignment="1">
      <alignment horizontal="center" vertical="center"/>
    </xf>
    <xf numFmtId="0" fontId="5" fillId="30" borderId="6" xfId="1" applyFont="1" applyFill="1" applyBorder="1" applyAlignment="1">
      <alignment horizontal="left" vertical="center" wrapText="1"/>
    </xf>
    <xf numFmtId="0" fontId="5" fillId="34" borderId="6" xfId="1" applyFont="1" applyFill="1" applyBorder="1" applyAlignment="1">
      <alignment horizontal="left" vertical="center"/>
    </xf>
    <xf numFmtId="0" fontId="5" fillId="33" borderId="6" xfId="1" applyFont="1" applyFill="1" applyBorder="1" applyAlignment="1">
      <alignment horizontal="left" vertical="center"/>
    </xf>
    <xf numFmtId="0" fontId="5" fillId="32" borderId="6" xfId="1" applyFont="1" applyFill="1" applyBorder="1" applyAlignment="1">
      <alignment horizontal="left" vertical="center"/>
    </xf>
    <xf numFmtId="0" fontId="5" fillId="39" borderId="34" xfId="1" applyFont="1" applyFill="1" applyBorder="1" applyAlignment="1">
      <alignment horizontal="left" vertical="center" wrapText="1"/>
    </xf>
    <xf numFmtId="0" fontId="5" fillId="39" borderId="23" xfId="1" applyFont="1" applyFill="1" applyBorder="1" applyAlignment="1">
      <alignment horizontal="left" vertical="center" wrapText="1"/>
    </xf>
    <xf numFmtId="0" fontId="5" fillId="0" borderId="6" xfId="1" applyFont="1" applyBorder="1" applyAlignment="1">
      <alignment horizontal="left" vertical="center" wrapText="1"/>
    </xf>
    <xf numFmtId="0" fontId="5" fillId="3" borderId="6" xfId="1" applyFont="1" applyFill="1" applyBorder="1" applyAlignment="1">
      <alignment horizontal="left" vertical="center"/>
    </xf>
    <xf numFmtId="0" fontId="5" fillId="4" borderId="6" xfId="1" applyFont="1" applyFill="1" applyBorder="1" applyAlignment="1">
      <alignment horizontal="left" vertical="center"/>
    </xf>
    <xf numFmtId="0" fontId="5" fillId="5" borderId="6" xfId="1" applyFont="1" applyFill="1" applyBorder="1" applyAlignment="1">
      <alignment horizontal="left" vertical="center"/>
    </xf>
    <xf numFmtId="0" fontId="5" fillId="15" borderId="6" xfId="1" applyFont="1" applyFill="1" applyBorder="1" applyAlignment="1">
      <alignment horizontal="left" vertical="center"/>
    </xf>
    <xf numFmtId="2" fontId="5" fillId="15" borderId="13" xfId="1" applyNumberFormat="1" applyFont="1" applyFill="1" applyBorder="1" applyAlignment="1" applyProtection="1">
      <alignment horizontal="center" vertical="center"/>
      <protection locked="0"/>
    </xf>
    <xf numFmtId="2" fontId="5" fillId="15" borderId="19" xfId="1" applyNumberFormat="1" applyFont="1" applyFill="1" applyBorder="1" applyAlignment="1" applyProtection="1">
      <alignment horizontal="center" vertical="center"/>
      <protection locked="0"/>
    </xf>
    <xf numFmtId="164" fontId="5" fillId="15" borderId="38" xfId="1" applyNumberFormat="1" applyFont="1" applyFill="1" applyBorder="1" applyAlignment="1" applyProtection="1">
      <alignment horizontal="center" vertical="center"/>
      <protection locked="0"/>
    </xf>
    <xf numFmtId="164" fontId="5" fillId="15" borderId="36" xfId="1" applyNumberFormat="1" applyFont="1" applyFill="1" applyBorder="1" applyAlignment="1" applyProtection="1">
      <alignment horizontal="center" vertical="center"/>
      <protection locked="0"/>
    </xf>
    <xf numFmtId="164" fontId="5" fillId="15" borderId="37" xfId="1" applyNumberFormat="1" applyFont="1" applyFill="1" applyBorder="1" applyAlignment="1" applyProtection="1">
      <alignment horizontal="center" vertical="center"/>
      <protection locked="0"/>
    </xf>
    <xf numFmtId="2" fontId="5" fillId="15" borderId="52" xfId="1" applyNumberFormat="1" applyFont="1" applyFill="1" applyBorder="1" applyAlignment="1" applyProtection="1">
      <alignment horizontal="center" vertical="center"/>
      <protection locked="0"/>
    </xf>
    <xf numFmtId="2" fontId="5" fillId="15" borderId="53" xfId="1" applyNumberFormat="1" applyFont="1" applyFill="1" applyBorder="1" applyAlignment="1" applyProtection="1">
      <alignment horizontal="center" vertical="center"/>
      <protection locked="0"/>
    </xf>
    <xf numFmtId="0" fontId="7" fillId="2" borderId="7" xfId="1" applyFont="1" applyFill="1" applyBorder="1" applyAlignment="1" applyProtection="1">
      <alignment horizontal="center" vertical="center"/>
      <protection locked="0"/>
    </xf>
    <xf numFmtId="14" fontId="5" fillId="0" borderId="0" xfId="1" applyNumberFormat="1" applyFont="1" applyAlignment="1" applyProtection="1">
      <alignment horizontal="center" vertical="center"/>
      <protection locked="0"/>
    </xf>
    <xf numFmtId="14" fontId="5" fillId="0" borderId="7" xfId="1" applyNumberFormat="1" applyFont="1" applyBorder="1" applyAlignment="1" applyProtection="1">
      <alignment horizontal="center" vertical="center"/>
      <protection locked="0"/>
    </xf>
    <xf numFmtId="0" fontId="7" fillId="15" borderId="4" xfId="1" applyFont="1" applyFill="1" applyBorder="1" applyAlignment="1">
      <alignment horizontal="right" vertical="center"/>
    </xf>
    <xf numFmtId="0" fontId="7" fillId="15" borderId="0" xfId="1" applyFont="1" applyFill="1" applyAlignment="1">
      <alignment horizontal="right" vertical="center"/>
    </xf>
    <xf numFmtId="0" fontId="5" fillId="15" borderId="0" xfId="1" applyFont="1" applyFill="1" applyAlignment="1">
      <alignment horizontal="center" vertical="center" wrapText="1"/>
    </xf>
    <xf numFmtId="0" fontId="3" fillId="15" borderId="0" xfId="2" applyFill="1" applyBorder="1" applyAlignment="1" applyProtection="1">
      <alignment horizontal="center" vertical="center"/>
    </xf>
    <xf numFmtId="0" fontId="22" fillId="15" borderId="0" xfId="2" applyFont="1" applyFill="1" applyBorder="1" applyAlignment="1" applyProtection="1">
      <alignment horizontal="center" vertical="center"/>
    </xf>
    <xf numFmtId="0" fontId="26" fillId="15" borderId="0" xfId="1" applyFont="1" applyFill="1" applyAlignment="1">
      <alignment horizontal="center" vertical="center"/>
    </xf>
    <xf numFmtId="0" fontId="7" fillId="15" borderId="12" xfId="1" applyFont="1" applyFill="1" applyBorder="1" applyAlignment="1">
      <alignment horizontal="left" vertical="center"/>
    </xf>
    <xf numFmtId="0" fontId="7" fillId="15" borderId="13" xfId="1" applyFont="1" applyFill="1" applyBorder="1" applyAlignment="1">
      <alignment horizontal="left" vertical="center"/>
    </xf>
    <xf numFmtId="0" fontId="3" fillId="15" borderId="10" xfId="2" applyFill="1" applyBorder="1" applyAlignment="1" applyProtection="1">
      <alignment horizontal="center" vertical="center"/>
    </xf>
    <xf numFmtId="0" fontId="15" fillId="46" borderId="1" xfId="0" applyFont="1" applyFill="1" applyBorder="1" applyAlignment="1">
      <alignment horizontal="center" vertical="center" wrapText="1"/>
    </xf>
    <xf numFmtId="0" fontId="15" fillId="46" borderId="3" xfId="0" applyFont="1" applyFill="1" applyBorder="1" applyAlignment="1">
      <alignment horizontal="center" vertical="center" wrapText="1"/>
    </xf>
    <xf numFmtId="0" fontId="15" fillId="11" borderId="136" xfId="0" applyFont="1" applyFill="1" applyBorder="1" applyAlignment="1">
      <alignment vertical="center" wrapText="1"/>
    </xf>
    <xf numFmtId="0" fontId="15" fillId="11" borderId="137" xfId="0" applyFont="1" applyFill="1" applyBorder="1" applyAlignment="1">
      <alignment vertical="center" wrapText="1"/>
    </xf>
    <xf numFmtId="0" fontId="7" fillId="24" borderId="35" xfId="1" applyFont="1" applyFill="1" applyBorder="1" applyAlignment="1" applyProtection="1">
      <alignment horizontal="center" vertical="center" wrapText="1"/>
      <protection locked="0"/>
    </xf>
    <xf numFmtId="0" fontId="7" fillId="24" borderId="37" xfId="1" applyFont="1" applyFill="1" applyBorder="1" applyAlignment="1" applyProtection="1">
      <alignment horizontal="center" vertical="center" wrapText="1"/>
      <protection locked="0"/>
    </xf>
    <xf numFmtId="0" fontId="7" fillId="24" borderId="136" xfId="1" applyFont="1" applyFill="1" applyBorder="1" applyAlignment="1" applyProtection="1">
      <alignment horizontal="center" vertical="center" wrapText="1"/>
      <protection locked="0"/>
    </xf>
    <xf numFmtId="0" fontId="7" fillId="24" borderId="196" xfId="1" applyFont="1" applyFill="1" applyBorder="1" applyAlignment="1" applyProtection="1">
      <alignment horizontal="center" vertical="center" wrapText="1"/>
      <protection locked="0"/>
    </xf>
    <xf numFmtId="0" fontId="2" fillId="7" borderId="4" xfId="12" quotePrefix="1" applyFont="1" applyFill="1" applyBorder="1" applyAlignment="1">
      <alignment horizontal="center"/>
    </xf>
    <xf numFmtId="0" fontId="2" fillId="7" borderId="5" xfId="12" quotePrefix="1" applyFont="1" applyFill="1" applyBorder="1" applyAlignment="1">
      <alignment horizontal="center"/>
    </xf>
    <xf numFmtId="0" fontId="35" fillId="7" borderId="4" xfId="12" applyFont="1" applyFill="1" applyBorder="1" applyAlignment="1">
      <alignment horizontal="center"/>
    </xf>
    <xf numFmtId="0" fontId="35" fillId="7" borderId="5" xfId="12" applyFont="1" applyFill="1" applyBorder="1" applyAlignment="1">
      <alignment horizontal="center"/>
    </xf>
    <xf numFmtId="0" fontId="39" fillId="7" borderId="181" xfId="12" applyFont="1" applyFill="1" applyBorder="1" applyAlignment="1">
      <alignment horizontal="left" vertical="center" wrapText="1"/>
    </xf>
    <xf numFmtId="0" fontId="35" fillId="7" borderId="197" xfId="12" applyFont="1" applyFill="1" applyBorder="1" applyAlignment="1">
      <alignment horizontal="left" vertical="center" wrapText="1"/>
    </xf>
    <xf numFmtId="0" fontId="35" fillId="7" borderId="198" xfId="12" applyFont="1" applyFill="1" applyBorder="1" applyAlignment="1">
      <alignment horizontal="left" vertical="center" wrapText="1"/>
    </xf>
    <xf numFmtId="0" fontId="35" fillId="7" borderId="199" xfId="12" applyFont="1" applyFill="1" applyBorder="1" applyAlignment="1">
      <alignment horizontal="left" vertical="center" wrapText="1"/>
    </xf>
    <xf numFmtId="0" fontId="35" fillId="7" borderId="0" xfId="12" applyFont="1" applyFill="1" applyAlignment="1">
      <alignment horizontal="left" vertical="center" wrapText="1"/>
    </xf>
    <xf numFmtId="0" fontId="35" fillId="7" borderId="200" xfId="12" applyFont="1" applyFill="1" applyBorder="1" applyAlignment="1">
      <alignment horizontal="left" vertical="center" wrapText="1"/>
    </xf>
    <xf numFmtId="0" fontId="35" fillId="7" borderId="201" xfId="12" applyFont="1" applyFill="1" applyBorder="1" applyAlignment="1">
      <alignment horizontal="left" vertical="center" wrapText="1"/>
    </xf>
    <xf numFmtId="0" fontId="35" fillId="7" borderId="195" xfId="12" applyFont="1" applyFill="1" applyBorder="1" applyAlignment="1">
      <alignment horizontal="left" vertical="center" wrapText="1"/>
    </xf>
    <xf numFmtId="0" fontId="35" fillId="7" borderId="202" xfId="12" applyFont="1" applyFill="1" applyBorder="1" applyAlignment="1">
      <alignment horizontal="left" vertical="center" wrapText="1"/>
    </xf>
    <xf numFmtId="167" fontId="15" fillId="41" borderId="35" xfId="12" applyNumberFormat="1" applyFont="1" applyFill="1" applyBorder="1" applyAlignment="1">
      <alignment horizontal="center" vertical="center" wrapText="1"/>
    </xf>
    <xf numFmtId="167" fontId="15" fillId="41" borderId="36" xfId="12" applyNumberFormat="1" applyFont="1" applyFill="1" applyBorder="1" applyAlignment="1">
      <alignment horizontal="center" vertical="center" wrapText="1"/>
    </xf>
    <xf numFmtId="167" fontId="15" fillId="41" borderId="37" xfId="12" applyNumberFormat="1" applyFont="1" applyFill="1" applyBorder="1" applyAlignment="1">
      <alignment horizontal="center" vertical="center" wrapText="1"/>
    </xf>
    <xf numFmtId="0" fontId="7" fillId="0" borderId="20" xfId="12" applyFont="1" applyBorder="1" applyAlignment="1">
      <alignment horizontal="center" vertical="top" wrapText="1"/>
    </xf>
    <xf numFmtId="0" fontId="7" fillId="0" borderId="104" xfId="12" applyFont="1" applyBorder="1" applyAlignment="1">
      <alignment horizontal="center" vertical="top" wrapText="1"/>
    </xf>
    <xf numFmtId="0" fontId="7" fillId="0" borderId="194" xfId="12" applyFont="1" applyBorder="1" applyAlignment="1">
      <alignment horizontal="center" vertical="top" wrapText="1"/>
    </xf>
    <xf numFmtId="0" fontId="38" fillId="48" borderId="1" xfId="12" applyFont="1" applyFill="1" applyBorder="1" applyAlignment="1">
      <alignment horizontal="center"/>
    </xf>
    <xf numFmtId="0" fontId="38" fillId="48" borderId="3" xfId="12" applyFont="1" applyFill="1" applyBorder="1" applyAlignment="1">
      <alignment horizontal="center"/>
    </xf>
    <xf numFmtId="0" fontId="41" fillId="7" borderId="4" xfId="12" applyFont="1" applyFill="1" applyBorder="1" applyAlignment="1">
      <alignment horizontal="center"/>
    </xf>
    <xf numFmtId="0" fontId="41" fillId="7" borderId="5" xfId="12" applyFont="1" applyFill="1" applyBorder="1" applyAlignment="1">
      <alignment horizontal="center"/>
    </xf>
    <xf numFmtId="0" fontId="35" fillId="7" borderId="4" xfId="12" quotePrefix="1" applyFont="1" applyFill="1" applyBorder="1" applyAlignment="1">
      <alignment horizontal="center"/>
    </xf>
    <xf numFmtId="0" fontId="35" fillId="7" borderId="5" xfId="12" quotePrefix="1" applyFont="1" applyFill="1" applyBorder="1" applyAlignment="1">
      <alignment horizontal="center"/>
    </xf>
    <xf numFmtId="0" fontId="2" fillId="7" borderId="4" xfId="12" applyFont="1" applyFill="1" applyBorder="1" applyAlignment="1">
      <alignment horizontal="center"/>
    </xf>
    <xf numFmtId="0" fontId="2" fillId="7" borderId="5" xfId="12" applyFont="1" applyFill="1" applyBorder="1" applyAlignment="1">
      <alignment horizontal="center"/>
    </xf>
    <xf numFmtId="0" fontId="15" fillId="15" borderId="106" xfId="0" applyFont="1" applyFill="1" applyBorder="1" applyAlignment="1">
      <alignment horizontal="left" vertical="center" wrapText="1"/>
    </xf>
    <xf numFmtId="0" fontId="15" fillId="15" borderId="107" xfId="0" applyFont="1" applyFill="1" applyBorder="1" applyAlignment="1">
      <alignment horizontal="left" vertical="center" wrapText="1"/>
    </xf>
    <xf numFmtId="0" fontId="15" fillId="15" borderId="108" xfId="0" applyFont="1" applyFill="1" applyBorder="1" applyAlignment="1">
      <alignment horizontal="left" vertical="center" wrapText="1"/>
    </xf>
    <xf numFmtId="0" fontId="12" fillId="24" borderId="9" xfId="0" applyFont="1" applyFill="1" applyBorder="1" applyAlignment="1">
      <alignment horizontal="center" vertical="center"/>
    </xf>
    <xf numFmtId="0" fontId="12" fillId="24" borderId="10" xfId="0" applyFont="1" applyFill="1" applyBorder="1" applyAlignment="1">
      <alignment horizontal="center" vertical="center"/>
    </xf>
    <xf numFmtId="0" fontId="12" fillId="15" borderId="91" xfId="0" applyFont="1" applyFill="1" applyBorder="1" applyAlignment="1">
      <alignment horizontal="center" vertical="center" wrapText="1"/>
    </xf>
    <xf numFmtId="0" fontId="12" fillId="15" borderId="122" xfId="0" applyFont="1" applyFill="1" applyBorder="1" applyAlignment="1">
      <alignment horizontal="center" vertical="center" wrapText="1"/>
    </xf>
    <xf numFmtId="0" fontId="5" fillId="14" borderId="126" xfId="0" applyFont="1" applyFill="1" applyBorder="1" applyAlignment="1">
      <alignment horizontal="center" vertical="center" wrapText="1"/>
    </xf>
    <xf numFmtId="0" fontId="5" fillId="14" borderId="166" xfId="0" applyFont="1" applyFill="1" applyBorder="1" applyAlignment="1">
      <alignment horizontal="center" vertical="center" wrapText="1"/>
    </xf>
    <xf numFmtId="0" fontId="5" fillId="0" borderId="46" xfId="0" applyFont="1" applyBorder="1" applyAlignment="1">
      <alignment horizontal="center" vertical="center" wrapText="1"/>
    </xf>
    <xf numFmtId="0" fontId="5" fillId="0" borderId="113" xfId="0" applyFont="1" applyBorder="1" applyAlignment="1">
      <alignment horizontal="center" vertical="center" wrapText="1"/>
    </xf>
    <xf numFmtId="0" fontId="5" fillId="0" borderId="98" xfId="0" applyFont="1" applyBorder="1" applyAlignment="1">
      <alignment horizontal="center" vertical="center" wrapText="1"/>
    </xf>
    <xf numFmtId="0" fontId="5" fillId="0" borderId="193" xfId="0" applyFont="1" applyBorder="1" applyAlignment="1">
      <alignment horizontal="center" vertical="center" wrapText="1"/>
    </xf>
    <xf numFmtId="0" fontId="5" fillId="0" borderId="91" xfId="0" applyFont="1" applyBorder="1" applyAlignment="1">
      <alignment vertical="center" wrapText="1"/>
    </xf>
    <xf numFmtId="0" fontId="5" fillId="0" borderId="36" xfId="0" applyFont="1" applyBorder="1" applyAlignment="1">
      <alignment vertical="center"/>
    </xf>
    <xf numFmtId="0" fontId="5" fillId="0" borderId="37" xfId="0" applyFont="1" applyBorder="1" applyAlignment="1">
      <alignment vertical="center"/>
    </xf>
    <xf numFmtId="0" fontId="5" fillId="0" borderId="36" xfId="0" applyFont="1" applyBorder="1" applyAlignment="1">
      <alignment vertical="center" wrapText="1"/>
    </xf>
    <xf numFmtId="0" fontId="5" fillId="0" borderId="37" xfId="0" applyFont="1" applyBorder="1" applyAlignment="1">
      <alignment vertical="center" wrapText="1"/>
    </xf>
    <xf numFmtId="0" fontId="5" fillId="0" borderId="91" xfId="0" applyFont="1" applyBorder="1" applyAlignment="1">
      <alignment horizontal="left" vertical="top" wrapText="1"/>
    </xf>
    <xf numFmtId="0" fontId="5" fillId="0" borderId="36" xfId="0" applyFont="1" applyBorder="1" applyAlignment="1">
      <alignment horizontal="left" vertical="top" wrapText="1"/>
    </xf>
    <xf numFmtId="0" fontId="5" fillId="0" borderId="37" xfId="0" applyFont="1" applyBorder="1" applyAlignment="1">
      <alignment horizontal="left" vertical="top" wrapText="1"/>
    </xf>
    <xf numFmtId="0" fontId="5" fillId="14" borderId="46" xfId="0" applyFont="1" applyFill="1" applyBorder="1" applyAlignment="1">
      <alignment horizontal="center" vertical="center" wrapText="1"/>
    </xf>
    <xf numFmtId="0" fontId="5" fillId="14" borderId="113" xfId="0" applyFont="1" applyFill="1" applyBorder="1" applyAlignment="1">
      <alignment horizontal="center" vertical="center" wrapText="1"/>
    </xf>
    <xf numFmtId="0" fontId="5" fillId="14" borderId="98" xfId="0" applyFont="1" applyFill="1" applyBorder="1" applyAlignment="1">
      <alignment horizontal="center" vertical="center" wrapText="1"/>
    </xf>
    <xf numFmtId="0" fontId="5" fillId="14" borderId="193" xfId="0" applyFont="1" applyFill="1" applyBorder="1" applyAlignment="1">
      <alignment horizontal="center" vertical="center" wrapText="1"/>
    </xf>
    <xf numFmtId="0" fontId="5" fillId="0" borderId="126" xfId="0" applyFont="1" applyBorder="1" applyAlignment="1">
      <alignment horizontal="center" vertical="center" wrapText="1"/>
    </xf>
    <xf numFmtId="0" fontId="5" fillId="0" borderId="166" xfId="0" applyFont="1" applyBorder="1" applyAlignment="1">
      <alignment horizontal="center" vertical="center" wrapText="1"/>
    </xf>
    <xf numFmtId="0" fontId="5" fillId="0" borderId="91" xfId="0" applyFont="1" applyBorder="1" applyAlignment="1">
      <alignment horizontal="left" vertical="center" wrapText="1"/>
    </xf>
    <xf numFmtId="0" fontId="5" fillId="0" borderId="36" xfId="0" applyFont="1" applyBorder="1" applyAlignment="1">
      <alignment horizontal="left" vertical="center" wrapText="1"/>
    </xf>
    <xf numFmtId="0" fontId="5" fillId="0" borderId="37" xfId="0" applyFont="1" applyBorder="1" applyAlignment="1">
      <alignment horizontal="left" vertical="center" wrapText="1"/>
    </xf>
    <xf numFmtId="0" fontId="5" fillId="55" borderId="91" xfId="0" applyFont="1" applyFill="1" applyBorder="1" applyAlignment="1">
      <alignment horizontal="left" vertical="center" wrapText="1"/>
    </xf>
    <xf numFmtId="0" fontId="5" fillId="55" borderId="36" xfId="0" applyFont="1" applyFill="1" applyBorder="1" applyAlignment="1">
      <alignment horizontal="left" vertical="center" wrapText="1"/>
    </xf>
    <xf numFmtId="0" fontId="5" fillId="55" borderId="37" xfId="0" applyFont="1" applyFill="1" applyBorder="1" applyAlignment="1">
      <alignment horizontal="left" vertical="center" wrapText="1"/>
    </xf>
    <xf numFmtId="0" fontId="5" fillId="0" borderId="36" xfId="0" applyFont="1" applyBorder="1" applyAlignment="1">
      <alignment horizontal="left" vertical="center"/>
    </xf>
    <xf numFmtId="0" fontId="5" fillId="0" borderId="37" xfId="0" applyFont="1" applyBorder="1" applyAlignment="1">
      <alignment horizontal="left" vertical="center"/>
    </xf>
    <xf numFmtId="0" fontId="14" fillId="0" borderId="91" xfId="0" applyFont="1" applyBorder="1" applyAlignment="1">
      <alignment horizontal="left" vertical="top" wrapText="1"/>
    </xf>
    <xf numFmtId="0" fontId="14" fillId="0" borderId="36" xfId="0" applyFont="1" applyBorder="1" applyAlignment="1">
      <alignment horizontal="left" vertical="top" wrapText="1"/>
    </xf>
    <xf numFmtId="0" fontId="14" fillId="0" borderId="37" xfId="0" applyFont="1" applyBorder="1" applyAlignment="1">
      <alignment horizontal="left" vertical="top" wrapText="1"/>
    </xf>
    <xf numFmtId="0" fontId="7" fillId="24" borderId="36" xfId="1" applyFont="1" applyFill="1" applyBorder="1" applyAlignment="1" applyProtection="1">
      <alignment horizontal="center" vertical="center" wrapText="1"/>
      <protection locked="0"/>
    </xf>
  </cellXfs>
  <cellStyles count="21">
    <cellStyle name="40% - Accent1 2" xfId="20" xr:uid="{C16E014D-7FA9-4F7B-B02C-7F311D4DE89F}"/>
    <cellStyle name="Comma" xfId="18" builtinId="3"/>
    <cellStyle name="Currency" xfId="17" builtinId="4"/>
    <cellStyle name="Hyperlink" xfId="2" builtinId="8"/>
    <cellStyle name="Normal" xfId="0" builtinId="0"/>
    <cellStyle name="Normal 2" xfId="1" xr:uid="{00000000-0005-0000-0000-000002000000}"/>
    <cellStyle name="Normal 2 2" xfId="3" xr:uid="{00000000-0005-0000-0000-000003000000}"/>
    <cellStyle name="Normal 2 2 2" xfId="10" xr:uid="{00000000-0005-0000-0000-000004000000}"/>
    <cellStyle name="Normal 3" xfId="4" xr:uid="{00000000-0005-0000-0000-000005000000}"/>
    <cellStyle name="Normal 3 2" xfId="9" xr:uid="{00000000-0005-0000-0000-000006000000}"/>
    <cellStyle name="Normal 3 2 2" xfId="12" xr:uid="{00000000-0005-0000-0000-000007000000}"/>
    <cellStyle name="Normal 3 2 8" xfId="13" xr:uid="{98692DBF-90E8-430F-9342-45C053D4AF95}"/>
    <cellStyle name="Normal 3 3" xfId="15" xr:uid="{BF0FADF6-1DF6-4D61-A40D-631981D8F021}"/>
    <cellStyle name="Normal 4" xfId="5" xr:uid="{00000000-0005-0000-0000-000008000000}"/>
    <cellStyle name="Normal 5" xfId="6" xr:uid="{00000000-0005-0000-0000-000009000000}"/>
    <cellStyle name="Normal 6" xfId="7" xr:uid="{00000000-0005-0000-0000-00000A000000}"/>
    <cellStyle name="Normal 6 2" xfId="16" xr:uid="{799E9CEE-9ED1-4231-8060-C72A7034EE77}"/>
    <cellStyle name="Normal 7" xfId="11" xr:uid="{00000000-0005-0000-0000-00000B000000}"/>
    <cellStyle name="Normal 8" xfId="14" xr:uid="{ED95A25F-8CCB-41FA-A50B-C34D6E286941}"/>
    <cellStyle name="Percent" xfId="19" builtinId="5"/>
    <cellStyle name="Percent 2" xfId="8" xr:uid="{00000000-0005-0000-0000-00000C000000}"/>
  </cellStyles>
  <dxfs count="4735">
    <dxf>
      <font>
        <b val="0"/>
        <i val="0"/>
        <strike val="0"/>
        <condense val="0"/>
        <extend val="0"/>
        <outline val="0"/>
        <shadow val="0"/>
        <u val="none"/>
        <vertAlign val="baseline"/>
        <sz val="11"/>
        <color rgb="FF000000"/>
        <name val="Arial"/>
        <scheme val="none"/>
      </font>
      <fill>
        <patternFill patternType="solid">
          <fgColor rgb="FFDDEBF7"/>
          <bgColor rgb="FFDDEBF7"/>
        </patternFill>
      </fill>
      <alignment horizontal="general" vertical="top" textRotation="0" wrapText="0" indent="0" justifyLastLine="0" shrinkToFit="0" readingOrder="0"/>
      <border diagonalUp="0" diagonalDown="0" outline="0">
        <left style="thin">
          <color auto="1"/>
        </left>
        <right style="medium">
          <color auto="1"/>
        </right>
        <top style="thin">
          <color auto="1"/>
        </top>
        <bottom style="thin">
          <color auto="1"/>
        </bottom>
      </border>
    </dxf>
    <dxf>
      <font>
        <b val="0"/>
        <i val="0"/>
        <strike val="0"/>
        <condense val="0"/>
        <extend val="0"/>
        <outline val="0"/>
        <shadow val="0"/>
        <u val="none"/>
        <vertAlign val="baseline"/>
        <sz val="11"/>
        <color rgb="FF000000"/>
        <name val="Arial"/>
        <scheme val="none"/>
      </font>
      <fill>
        <patternFill patternType="solid">
          <fgColor rgb="FFDDEBF7"/>
          <bgColor rgb="FFDDEBF7"/>
        </patternFill>
      </fill>
      <alignment horizontal="general" vertical="top"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rgb="FF000000"/>
        <name val="Arial"/>
        <scheme val="none"/>
      </font>
      <fill>
        <patternFill patternType="solid">
          <fgColor rgb="FFDDEBF7"/>
          <bgColor rgb="FFDDEBF7"/>
        </patternFill>
      </fill>
      <alignment horizontal="general" vertical="top"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rgb="FF000000"/>
        <name val="Calibri"/>
        <scheme val="none"/>
      </font>
      <fill>
        <patternFill patternType="solid">
          <fgColor rgb="FFDDEBF7"/>
          <bgColor rgb="FFDDEBF7"/>
        </patternFill>
      </fill>
      <alignment horizontal="general" vertical="top"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rgb="FF000000"/>
        <name val="Arial"/>
        <scheme val="none"/>
      </font>
      <fill>
        <patternFill patternType="solid">
          <fgColor rgb="FFDDEBF7"/>
          <bgColor rgb="FFDDEBF7"/>
        </patternFill>
      </fill>
      <alignment horizontal="general" vertical="top"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rgb="FF000000"/>
        <name val="Arial"/>
        <scheme val="none"/>
      </font>
      <fill>
        <patternFill patternType="solid">
          <fgColor rgb="FFDDEBF7"/>
          <bgColor rgb="FFDDEBF7"/>
        </patternFill>
      </fill>
      <alignment horizontal="general" vertical="top" textRotation="0" wrapText="0" indent="0" justifyLastLine="0" shrinkToFit="0" readingOrder="0"/>
      <border diagonalUp="0" diagonalDown="0" outline="0">
        <left style="medium">
          <color auto="1"/>
        </left>
        <right style="thin">
          <color auto="1"/>
        </right>
        <top style="thin">
          <color auto="1"/>
        </top>
        <bottom style="thin">
          <color auto="1"/>
        </bottom>
      </border>
    </dxf>
    <dxf>
      <border outline="0">
        <left style="medium">
          <color auto="1"/>
        </left>
        <right style="medium">
          <color auto="1"/>
        </right>
        <top style="medium">
          <color auto="1"/>
        </top>
        <bottom style="medium">
          <color auto="1"/>
        </bottom>
      </border>
    </dxf>
    <dxf>
      <font>
        <b val="0"/>
        <i val="0"/>
        <strike val="0"/>
        <condense val="0"/>
        <extend val="0"/>
        <outline val="0"/>
        <shadow val="0"/>
        <u val="none"/>
        <vertAlign val="baseline"/>
        <sz val="11"/>
        <color rgb="FF000000"/>
        <name val="Arial"/>
        <scheme val="none"/>
      </font>
      <fill>
        <patternFill patternType="solid">
          <fgColor rgb="FFDDEBF7"/>
          <bgColor rgb="FFDDEBF7"/>
        </patternFill>
      </fill>
      <alignment horizontal="general" vertical="top" textRotation="0" wrapText="0" indent="0" justifyLastLine="0" shrinkToFit="0" readingOrder="0"/>
    </dxf>
    <dxf>
      <border outline="0">
        <bottom style="medium">
          <color auto="1"/>
        </bottom>
      </border>
    </dxf>
    <dxf>
      <font>
        <strike val="0"/>
        <outline val="0"/>
        <shadow val="0"/>
        <u val="none"/>
        <vertAlign val="baseline"/>
        <sz val="11"/>
        <name val="Calibri"/>
        <scheme val="minor"/>
      </font>
      <fill>
        <patternFill patternType="solid">
          <fgColor indexed="64"/>
          <bgColor theme="0" tint="-0.14996795556505021"/>
        </patternFill>
      </fill>
      <border diagonalUp="0" diagonalDown="0" outline="0">
        <left style="thin">
          <color auto="1"/>
        </left>
        <right style="thin">
          <color auto="1"/>
        </right>
        <top/>
        <bottom/>
      </border>
    </dxf>
    <dxf>
      <font>
        <strike val="0"/>
        <outline val="0"/>
        <shadow val="0"/>
        <u val="none"/>
        <vertAlign val="baseline"/>
        <sz val="11"/>
        <name val="Arial"/>
        <scheme val="none"/>
      </font>
      <numFmt numFmtId="167" formatCode="0.000"/>
      <alignment horizontal="right" textRotation="0" wrapText="0" indent="0" justifyLastLine="0" readingOrder="0"/>
      <border diagonalUp="0" diagonalDown="0">
        <left style="thin">
          <color indexed="64"/>
        </left>
        <right/>
      </border>
    </dxf>
    <dxf>
      <font>
        <strike val="0"/>
        <outline val="0"/>
        <shadow val="0"/>
        <u val="none"/>
        <vertAlign val="baseline"/>
        <sz val="11"/>
        <name val="Arial"/>
        <scheme val="none"/>
      </font>
      <numFmt numFmtId="167" formatCode="0.000"/>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fill>
        <patternFill patternType="solid">
          <fgColor indexed="64"/>
          <bgColor rgb="FFD9D9D9"/>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name val="Arial"/>
        <scheme val="none"/>
      </font>
      <numFmt numFmtId="167" formatCode="0.000"/>
      <fill>
        <patternFill patternType="solid">
          <fgColor indexed="64"/>
          <bgColor rgb="FFD9D9D9"/>
        </patternFill>
      </fill>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fill>
        <patternFill patternType="solid">
          <fgColor indexed="64"/>
          <bgColor rgb="FFD9D9D9"/>
        </patternFill>
      </fill>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fill>
        <patternFill patternType="solid">
          <fgColor indexed="64"/>
          <bgColor rgb="FFD9D9D9"/>
        </patternFill>
      </fill>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fill>
        <patternFill patternType="solid">
          <fgColor indexed="64"/>
          <bgColor rgb="FFD9D9D9"/>
        </patternFill>
      </fill>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fill>
        <patternFill patternType="solid">
          <fgColor indexed="64"/>
          <bgColor rgb="FFD9D9D9"/>
        </patternFill>
      </fill>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alignment horizontal="right" textRotation="0" wrapText="0" indent="0" justifyLastLine="0" readingOrder="0"/>
      <border diagonalUp="0" diagonalDown="0" outline="0">
        <left style="thin">
          <color indexed="64"/>
        </left>
        <right style="medium">
          <color indexed="64"/>
        </right>
        <top/>
        <bottom/>
      </border>
    </dxf>
    <dxf>
      <font>
        <strike val="0"/>
        <outline val="0"/>
        <shadow val="0"/>
        <u val="none"/>
        <vertAlign val="baseline"/>
        <sz val="11"/>
        <name val="Arial"/>
        <scheme val="none"/>
      </font>
      <alignment horizontal="right" vertical="center" textRotation="0" wrapText="0" indent="0" justifyLastLine="0" shrinkToFit="1" readingOrder="0"/>
      <border diagonalUp="0" diagonalDown="0" outline="0">
        <left style="thin">
          <color indexed="64"/>
        </left>
        <right style="thin">
          <color indexed="64"/>
        </right>
        <top/>
        <bottom/>
      </border>
    </dxf>
    <dxf>
      <font>
        <strike val="0"/>
        <outline val="0"/>
        <shadow val="0"/>
        <u val="none"/>
        <vertAlign val="baseline"/>
        <sz val="11"/>
        <name val="Arial"/>
        <scheme val="none"/>
      </font>
      <border diagonalUp="0" diagonalDown="0" outline="0">
        <left style="thin">
          <color indexed="64"/>
        </left>
        <right style="thin">
          <color indexed="64"/>
        </right>
        <top/>
        <bottom/>
      </border>
    </dxf>
    <dxf>
      <font>
        <strike val="0"/>
        <outline val="0"/>
        <shadow val="0"/>
        <u val="none"/>
        <vertAlign val="baseline"/>
        <sz val="11"/>
        <name val="Arial"/>
        <scheme val="none"/>
      </font>
      <border diagonalUp="0" diagonalDown="0" outline="0">
        <left style="thin">
          <color indexed="64"/>
        </left>
        <right style="thin">
          <color indexed="64"/>
        </right>
        <top/>
        <bottom/>
      </border>
    </dxf>
    <dxf>
      <font>
        <strike val="0"/>
        <outline val="0"/>
        <shadow val="0"/>
        <u val="none"/>
        <vertAlign val="baseline"/>
        <sz val="11"/>
        <name val="Arial"/>
        <scheme val="none"/>
      </font>
      <border diagonalUp="0" diagonalDown="0" outline="0">
        <left style="medium">
          <color indexed="64"/>
        </left>
        <right style="thin">
          <color indexed="64"/>
        </right>
        <top/>
        <bottom/>
      </border>
    </dxf>
    <dxf>
      <border diagonalUp="0" diagonalDown="0">
        <left style="medium">
          <color indexed="64"/>
        </left>
        <right style="medium">
          <color indexed="64"/>
        </right>
        <top style="medium">
          <color indexed="64"/>
        </top>
        <bottom style="medium">
          <color indexed="64"/>
        </bottom>
      </border>
    </dxf>
    <dxf>
      <font>
        <strike val="0"/>
        <outline val="0"/>
        <shadow val="0"/>
        <u val="none"/>
        <vertAlign val="baseline"/>
        <sz val="11"/>
        <name val="Arial"/>
        <scheme val="none"/>
      </font>
      <numFmt numFmtId="1" formatCode="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top style="thin">
          <color indexed="64"/>
        </top>
        <bottom style="thin">
          <color indexed="64"/>
        </bottom>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fill>
        <patternFill patternType="solid">
          <fgColor indexed="64"/>
          <bgColor rgb="FFD9D9D9"/>
        </patternFill>
      </fill>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fill>
        <patternFill patternType="solid">
          <fgColor indexed="64"/>
          <bgColor rgb="FFD9D9D9"/>
        </patternFill>
      </fill>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fill>
        <patternFill patternType="solid">
          <fgColor indexed="64"/>
          <bgColor rgb="FFD9D9D9"/>
        </patternFill>
      </fill>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fill>
        <patternFill patternType="solid">
          <fgColor indexed="64"/>
          <bgColor rgb="FFD9D9D9"/>
        </patternFill>
      </fill>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fill>
        <patternFill patternType="solid">
          <fgColor indexed="64"/>
          <bgColor rgb="FFD9D9D9"/>
        </patternFill>
      </fill>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0" indent="0" justifyLastLine="0" shrinkToFit="1" readingOrder="0"/>
      <border diagonalUp="0" diagonalDown="0">
        <left style="thin">
          <color indexed="64"/>
        </left>
        <right style="medium">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0"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0" indent="0" justifyLastLine="0" shrinkToFit="1" readingOrder="0"/>
      <border diagonalUp="0" diagonalDown="0">
        <left style="medium">
          <color indexed="64"/>
        </left>
        <right style="thin">
          <color indexed="64"/>
        </right>
        <top style="thin">
          <color indexed="64"/>
        </top>
        <bottom style="thin">
          <color indexed="64"/>
        </bottom>
        <vertical style="thin">
          <color indexed="64"/>
        </vertical>
        <horizontal style="thin">
          <color indexed="64"/>
        </horizontal>
      </border>
      <protection locked="0" hidden="0"/>
    </dxf>
    <dxf>
      <border outline="0">
        <left style="medium">
          <color indexed="64"/>
        </left>
        <right style="medium">
          <color indexed="64"/>
        </right>
        <top style="medium">
          <color indexed="64"/>
        </top>
        <bottom style="medium">
          <color indexed="64"/>
        </bottom>
      </border>
    </dxf>
    <dxf>
      <font>
        <strike val="0"/>
        <outline val="0"/>
        <shadow val="0"/>
        <u val="none"/>
        <vertAlign val="baseline"/>
        <sz val="11"/>
        <name val="Arial"/>
        <scheme val="none"/>
      </font>
      <numFmt numFmtId="1" formatCode="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medium">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0" indent="0" justifyLastLine="0" shrinkToFit="1" readingOrder="0"/>
      <border diagonalUp="0" diagonalDown="0" outline="0">
        <left style="medium">
          <color indexed="64"/>
        </left>
        <right style="thin">
          <color indexed="64"/>
        </right>
        <top/>
        <bottom/>
      </border>
      <protection locked="0" hidden="0"/>
    </dxf>
    <dxf>
      <border outline="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1"/>
        <color rgb="FF000000"/>
        <name val="Arial"/>
        <scheme val="none"/>
      </font>
      <numFmt numFmtId="1" formatCode="0"/>
      <alignment horizontal="left" vertical="center" textRotation="0" wrapText="1" indent="0" justifyLastLine="0" shrinkToFit="0" readingOrder="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D9D9D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D9D9D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D9D9D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D9D9D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D9D9D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0" indent="0" justifyLastLine="0" shrinkToFit="1" readingOrder="0"/>
      <border diagonalUp="0" diagonalDown="0">
        <left style="thin">
          <color indexed="64"/>
        </left>
        <right style="medium">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right" vertical="center" textRotation="0" wrapText="0"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1"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0" indent="0" justifyLastLine="0" shrinkToFit="1" readingOrder="0"/>
      <border diagonalUp="0" diagonalDown="0">
        <left style="medium">
          <color indexed="64"/>
        </left>
        <right style="thin">
          <color indexed="64"/>
        </right>
        <top style="thin">
          <color indexed="64"/>
        </top>
        <bottom style="thin">
          <color indexed="64"/>
        </bottom>
        <vertical style="thin">
          <color indexed="64"/>
        </vertical>
        <horizontal style="thin">
          <color indexed="64"/>
        </horizontal>
      </border>
      <protection locked="0" hidden="0"/>
    </dxf>
    <dxf>
      <border diagonalUp="0" diagonalDown="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1"/>
        <color rgb="FF000000"/>
        <name val="Arial"/>
        <scheme val="none"/>
      </font>
      <numFmt numFmtId="1" formatCode="0"/>
      <alignment horizontal="left" vertical="center" textRotation="0" wrapText="1" indent="0" justifyLastLine="0" shrinkToFit="0" readingOrder="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medium">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0" indent="0" justifyLastLine="0" shrinkToFit="1" readingOrder="0"/>
      <border diagonalUp="0" diagonalDown="0" outline="0">
        <left style="medium">
          <color indexed="64"/>
        </left>
        <right style="thin">
          <color indexed="64"/>
        </right>
        <top/>
        <bottom/>
      </border>
      <protection locked="0" hidden="0"/>
    </dxf>
    <dxf>
      <border diagonalUp="0" diagonalDown="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1"/>
        <color rgb="FF000000"/>
        <name val="Arial"/>
        <scheme val="none"/>
      </font>
      <numFmt numFmtId="1" formatCode="0"/>
      <alignment horizontal="left" vertical="center" textRotation="0" wrapText="1" indent="0" justifyLastLine="0" shrinkToFit="0" readingOrder="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fill>
        <patternFill patternType="solid">
          <fgColor indexed="64"/>
          <bgColor rgb="FFD9D9D9"/>
        </patternFill>
      </fill>
      <alignment horizontal="right" vertical="center" textRotation="0" indent="0" justifyLastLine="0" readingOrder="0"/>
    </dxf>
    <dxf>
      <font>
        <strike val="0"/>
        <outline val="0"/>
        <shadow val="0"/>
        <u val="none"/>
        <vertAlign val="baseline"/>
        <sz val="11"/>
        <name val="Arial"/>
        <scheme val="none"/>
      </font>
      <numFmt numFmtId="167" formatCode="0.000"/>
      <fill>
        <patternFill patternType="solid">
          <fgColor indexed="64"/>
          <bgColor rgb="FFD9D9D9"/>
        </patternFill>
      </fill>
      <alignment horizontal="right" vertical="center" textRotation="0" indent="0" justifyLastLine="0" readingOrder="0"/>
    </dxf>
    <dxf>
      <font>
        <strike val="0"/>
        <outline val="0"/>
        <shadow val="0"/>
        <u val="none"/>
        <vertAlign val="baseline"/>
        <sz val="11"/>
        <name val="Arial"/>
        <scheme val="none"/>
      </font>
      <numFmt numFmtId="167" formatCode="0.000"/>
      <fill>
        <patternFill patternType="solid">
          <fgColor indexed="64"/>
          <bgColor rgb="FFD9D9D9"/>
        </patternFill>
      </fill>
      <alignment horizontal="right" vertical="center" textRotation="0" indent="0" justifyLastLine="0" readingOrder="0"/>
    </dxf>
    <dxf>
      <font>
        <strike val="0"/>
        <outline val="0"/>
        <shadow val="0"/>
        <u val="none"/>
        <vertAlign val="baseline"/>
        <sz val="11"/>
        <name val="Arial"/>
        <scheme val="none"/>
      </font>
      <numFmt numFmtId="167" formatCode="0.000"/>
      <fill>
        <patternFill patternType="solid">
          <fgColor indexed="64"/>
          <bgColor rgb="FFD9D9D9"/>
        </patternFill>
      </fill>
      <alignment horizontal="right" vertical="center" textRotation="0" indent="0" justifyLastLine="0" readingOrder="0"/>
    </dxf>
    <dxf>
      <font>
        <strike val="0"/>
        <outline val="0"/>
        <shadow val="0"/>
        <u val="none"/>
        <vertAlign val="baseline"/>
        <sz val="11"/>
        <name val="Arial"/>
        <scheme val="none"/>
      </font>
      <numFmt numFmtId="167" formatCode="0.000"/>
      <fill>
        <patternFill patternType="solid">
          <fgColor indexed="64"/>
          <bgColor rgb="FFD9D9D9"/>
        </patternFill>
      </fill>
      <alignment horizontal="right" vertical="center" textRotation="0" indent="0" justifyLastLine="0" readingOrder="0"/>
    </dxf>
    <dxf>
      <font>
        <strike val="0"/>
        <outline val="0"/>
        <shadow val="0"/>
        <u val="none"/>
        <vertAlign val="baseline"/>
        <sz val="11"/>
        <name val="Arial"/>
        <scheme val="none"/>
      </font>
      <numFmt numFmtId="167" formatCode="0.000"/>
      <fill>
        <patternFill patternType="solid">
          <fgColor indexed="64"/>
          <bgColor rgb="FFD9D9D9"/>
        </patternFill>
      </fill>
      <alignment horizontal="right" vertical="center" textRotation="0" indent="0" justifyLastLine="0" readingOrder="0"/>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medium">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strike val="0"/>
        <outline val="0"/>
        <shadow val="0"/>
        <u val="none"/>
        <vertAlign val="baseline"/>
        <sz val="11"/>
        <name val="Arial"/>
        <scheme val="none"/>
      </font>
      <border diagonalUp="0" diagonalDown="0" outline="0">
        <left style="medium">
          <color indexed="64"/>
        </left>
        <right style="thin">
          <color indexed="64"/>
        </right>
        <top/>
        <bottom/>
      </border>
    </dxf>
    <dxf>
      <border outline="0">
        <left style="medium">
          <color indexed="64"/>
        </left>
        <right style="medium">
          <color indexed="64"/>
        </right>
        <top style="medium">
          <color indexed="64"/>
        </top>
        <bottom style="medium">
          <color indexed="64"/>
        </bottom>
      </border>
    </dxf>
    <dxf>
      <font>
        <strike val="0"/>
        <outline val="0"/>
        <shadow val="0"/>
        <u val="none"/>
        <vertAlign val="baseline"/>
        <sz val="11"/>
        <name val="Arial"/>
        <scheme val="none"/>
      </font>
      <numFmt numFmtId="1" formatCode="0"/>
    </dxf>
    <dxf>
      <border>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auto="1"/>
        </left>
        <right style="thin">
          <color auto="1"/>
        </right>
        <top/>
        <bottom/>
      </border>
      <protection locked="0" hidden="0"/>
    </dxf>
    <dxf>
      <font>
        <strike val="0"/>
        <outline val="0"/>
        <shadow val="0"/>
        <u val="none"/>
        <vertAlign val="baseline"/>
        <sz val="11"/>
        <name val="Arial"/>
        <scheme val="none"/>
      </font>
      <numFmt numFmtId="167" formatCode="0.000"/>
      <alignment horizontal="right" textRotation="0" wrapText="0" indent="0" justifyLastLine="0" readingOrder="0"/>
      <border diagonalUp="0" diagonalDown="0">
        <left style="thin">
          <color indexed="64"/>
        </left>
        <right/>
      </border>
    </dxf>
    <dxf>
      <font>
        <strike val="0"/>
        <outline val="0"/>
        <shadow val="0"/>
        <u val="none"/>
        <vertAlign val="baseline"/>
        <sz val="11"/>
        <name val="Arial"/>
        <scheme val="none"/>
      </font>
      <numFmt numFmtId="167" formatCode="0.000"/>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fill>
        <patternFill patternType="solid">
          <fgColor indexed="64"/>
          <bgColor rgb="FFD9D9D9"/>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name val="Arial"/>
        <scheme val="none"/>
      </font>
      <numFmt numFmtId="167" formatCode="0.000"/>
      <fill>
        <patternFill patternType="solid">
          <fgColor indexed="64"/>
          <bgColor rgb="FFD9D9D9"/>
        </patternFill>
      </fill>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fill>
        <patternFill patternType="solid">
          <fgColor indexed="64"/>
          <bgColor rgb="FFD9D9D9"/>
        </patternFill>
      </fill>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fill>
        <patternFill patternType="solid">
          <fgColor indexed="64"/>
          <bgColor rgb="FFD9D9D9"/>
        </patternFill>
      </fill>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fill>
        <patternFill patternType="solid">
          <fgColor indexed="64"/>
          <bgColor rgb="FFD9D9D9"/>
        </patternFill>
      </fill>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fill>
        <patternFill patternType="solid">
          <fgColor indexed="64"/>
          <bgColor rgb="FFD9D9D9"/>
        </patternFill>
      </fill>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alignment horizontal="right" textRotation="0" wrapText="0" indent="0" justifyLastLine="0" readingOrder="0"/>
      <border diagonalUp="0" diagonalDown="0" outline="0">
        <left style="thin">
          <color indexed="64"/>
        </left>
        <right style="medium">
          <color indexed="64"/>
        </right>
        <top/>
        <bottom/>
      </border>
    </dxf>
    <dxf>
      <font>
        <strike val="0"/>
        <outline val="0"/>
        <shadow val="0"/>
        <u val="none"/>
        <vertAlign val="baseline"/>
        <sz val="11"/>
        <name val="Arial"/>
        <scheme val="none"/>
      </font>
      <alignment horizontal="right" vertical="center" textRotation="0" wrapText="0" indent="0" justifyLastLine="0" shrinkToFit="1" readingOrder="0"/>
      <border diagonalUp="0" diagonalDown="0" outline="0">
        <left style="thin">
          <color indexed="64"/>
        </left>
        <right style="thin">
          <color indexed="64"/>
        </right>
        <top/>
        <bottom/>
      </border>
    </dxf>
    <dxf>
      <font>
        <strike val="0"/>
        <outline val="0"/>
        <shadow val="0"/>
        <u val="none"/>
        <vertAlign val="baseline"/>
        <sz val="11"/>
        <name val="Arial"/>
        <scheme val="none"/>
      </font>
      <border diagonalUp="0" diagonalDown="0" outline="0">
        <left style="thin">
          <color indexed="64"/>
        </left>
        <right style="thin">
          <color indexed="64"/>
        </right>
        <top/>
        <bottom/>
      </border>
    </dxf>
    <dxf>
      <font>
        <strike val="0"/>
        <outline val="0"/>
        <shadow val="0"/>
        <u val="none"/>
        <vertAlign val="baseline"/>
        <sz val="11"/>
        <name val="Arial"/>
        <scheme val="none"/>
      </font>
      <border diagonalUp="0" diagonalDown="0" outline="0">
        <left style="thin">
          <color indexed="64"/>
        </left>
        <right style="thin">
          <color indexed="64"/>
        </right>
        <top/>
        <bottom/>
      </border>
    </dxf>
    <dxf>
      <font>
        <strike val="0"/>
        <outline val="0"/>
        <shadow val="0"/>
        <u val="none"/>
        <vertAlign val="baseline"/>
        <sz val="11"/>
        <name val="Arial"/>
        <scheme val="none"/>
      </font>
      <border diagonalUp="0" diagonalDown="0" outline="0">
        <left style="medium">
          <color indexed="64"/>
        </left>
        <right style="thin">
          <color indexed="64"/>
        </right>
        <top/>
        <bottom/>
      </border>
    </dxf>
    <dxf>
      <border diagonalUp="0" diagonalDown="0">
        <left style="medium">
          <color indexed="64"/>
        </left>
        <right style="medium">
          <color indexed="64"/>
        </right>
        <top style="medium">
          <color indexed="64"/>
        </top>
        <bottom style="medium">
          <color indexed="64"/>
        </bottom>
      </border>
    </dxf>
    <dxf>
      <font>
        <strike val="0"/>
        <outline val="0"/>
        <shadow val="0"/>
        <u val="none"/>
        <vertAlign val="baseline"/>
        <sz val="11"/>
        <name val="Arial"/>
        <scheme val="none"/>
      </font>
      <numFmt numFmtId="1" formatCode="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top style="thin">
          <color indexed="64"/>
        </top>
        <bottom style="thin">
          <color indexed="64"/>
        </bottom>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fill>
        <patternFill patternType="solid">
          <fgColor indexed="64"/>
          <bgColor rgb="FFD9D9D9"/>
        </patternFill>
      </fill>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fill>
        <patternFill patternType="solid">
          <fgColor indexed="64"/>
          <bgColor rgb="FFD9D9D9"/>
        </patternFill>
      </fill>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fill>
        <patternFill patternType="solid">
          <fgColor indexed="64"/>
          <bgColor rgb="FFD9D9D9"/>
        </patternFill>
      </fill>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fill>
        <patternFill patternType="solid">
          <fgColor indexed="64"/>
          <bgColor rgb="FFD9D9D9"/>
        </patternFill>
      </fill>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fill>
        <patternFill patternType="solid">
          <fgColor indexed="64"/>
          <bgColor rgb="FFD9D9D9"/>
        </patternFill>
      </fill>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0" indent="0" justifyLastLine="0" shrinkToFit="1" readingOrder="0"/>
      <border diagonalUp="0" diagonalDown="0">
        <left style="thin">
          <color indexed="64"/>
        </left>
        <right style="medium">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0"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0" indent="0" justifyLastLine="0" shrinkToFit="1" readingOrder="0"/>
      <border diagonalUp="0" diagonalDown="0">
        <left style="medium">
          <color indexed="64"/>
        </left>
        <right style="thin">
          <color indexed="64"/>
        </right>
        <top style="thin">
          <color indexed="64"/>
        </top>
        <bottom style="thin">
          <color indexed="64"/>
        </bottom>
        <vertical style="thin">
          <color indexed="64"/>
        </vertical>
        <horizontal style="thin">
          <color indexed="64"/>
        </horizontal>
      </border>
      <protection locked="0" hidden="0"/>
    </dxf>
    <dxf>
      <border outline="0">
        <left style="medium">
          <color indexed="64"/>
        </left>
        <right style="medium">
          <color indexed="64"/>
        </right>
        <top style="medium">
          <color indexed="64"/>
        </top>
        <bottom style="medium">
          <color indexed="64"/>
        </bottom>
      </border>
    </dxf>
    <dxf>
      <font>
        <strike val="0"/>
        <outline val="0"/>
        <shadow val="0"/>
        <u val="none"/>
        <vertAlign val="baseline"/>
        <sz val="11"/>
        <name val="Arial"/>
        <scheme val="none"/>
      </font>
      <numFmt numFmtId="1" formatCode="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medium">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0" indent="0" justifyLastLine="0" shrinkToFit="1" readingOrder="0"/>
      <border diagonalUp="0" diagonalDown="0" outline="0">
        <left style="medium">
          <color indexed="64"/>
        </left>
        <right style="thin">
          <color indexed="64"/>
        </right>
        <top/>
        <bottom/>
      </border>
      <protection locked="0" hidden="0"/>
    </dxf>
    <dxf>
      <border outline="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1"/>
        <color rgb="FF000000"/>
        <name val="Arial"/>
        <scheme val="none"/>
      </font>
      <numFmt numFmtId="1" formatCode="0"/>
      <alignment horizontal="left" vertical="center" textRotation="0" wrapText="1" indent="0" justifyLastLine="0" shrinkToFit="0" readingOrder="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D9D9D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D9D9D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D9D9D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D9D9D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D9D9D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0" indent="0" justifyLastLine="0" shrinkToFit="1" readingOrder="0"/>
      <border diagonalUp="0" diagonalDown="0">
        <left style="thin">
          <color indexed="64"/>
        </left>
        <right style="medium">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right" vertical="center" textRotation="0" wrapText="0"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1"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0" indent="0" justifyLastLine="0" shrinkToFit="1" readingOrder="0"/>
      <border diagonalUp="0" diagonalDown="0">
        <left style="medium">
          <color indexed="64"/>
        </left>
        <right style="thin">
          <color indexed="64"/>
        </right>
        <top style="thin">
          <color indexed="64"/>
        </top>
        <bottom style="thin">
          <color indexed="64"/>
        </bottom>
        <vertical style="thin">
          <color indexed="64"/>
        </vertical>
        <horizontal style="thin">
          <color indexed="64"/>
        </horizontal>
      </border>
      <protection locked="0" hidden="0"/>
    </dxf>
    <dxf>
      <border diagonalUp="0" diagonalDown="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1"/>
        <color rgb="FF000000"/>
        <name val="Arial"/>
        <scheme val="none"/>
      </font>
      <numFmt numFmtId="1" formatCode="0"/>
      <alignment horizontal="left" vertical="center" textRotation="0" wrapText="1" indent="0" justifyLastLine="0" shrinkToFit="0" readingOrder="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medium">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0" indent="0" justifyLastLine="0" shrinkToFit="1" readingOrder="0"/>
      <border diagonalUp="0" diagonalDown="0" outline="0">
        <left style="medium">
          <color indexed="64"/>
        </left>
        <right style="thin">
          <color indexed="64"/>
        </right>
        <top/>
        <bottom/>
      </border>
      <protection locked="0" hidden="0"/>
    </dxf>
    <dxf>
      <border diagonalUp="0" diagonalDown="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1"/>
        <color rgb="FF000000"/>
        <name val="Arial"/>
        <scheme val="none"/>
      </font>
      <numFmt numFmtId="1" formatCode="0"/>
      <alignment horizontal="left" vertical="center" textRotation="0" wrapText="1" indent="0" justifyLastLine="0" shrinkToFit="0" readingOrder="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strike val="0"/>
        <outline val="0"/>
        <shadow val="0"/>
        <u val="none"/>
        <vertAlign val="baseline"/>
        <sz val="11"/>
        <name val="Arial"/>
        <scheme val="none"/>
      </font>
      <numFmt numFmtId="167" formatCode="0.000"/>
      <fill>
        <patternFill patternType="solid">
          <fgColor indexed="64"/>
          <bgColor rgb="FFD9D9D9"/>
        </patternFill>
      </fill>
      <alignment horizontal="right" vertical="center" textRotation="0" indent="0" justifyLastLine="0" readingOrder="0"/>
    </dxf>
    <dxf>
      <font>
        <strike val="0"/>
        <outline val="0"/>
        <shadow val="0"/>
        <u val="none"/>
        <vertAlign val="baseline"/>
        <sz val="11"/>
        <name val="Arial"/>
        <scheme val="none"/>
      </font>
      <numFmt numFmtId="167" formatCode="0.000"/>
      <fill>
        <patternFill patternType="solid">
          <fgColor indexed="64"/>
          <bgColor rgb="FFD9D9D9"/>
        </patternFill>
      </fill>
      <alignment horizontal="right" vertical="center" textRotation="0" indent="0" justifyLastLine="0" readingOrder="0"/>
    </dxf>
    <dxf>
      <font>
        <strike val="0"/>
        <outline val="0"/>
        <shadow val="0"/>
        <u val="none"/>
        <vertAlign val="baseline"/>
        <sz val="11"/>
        <name val="Arial"/>
        <scheme val="none"/>
      </font>
      <numFmt numFmtId="167" formatCode="0.000"/>
      <fill>
        <patternFill patternType="solid">
          <fgColor indexed="64"/>
          <bgColor rgb="FFD9D9D9"/>
        </patternFill>
      </fill>
      <alignment horizontal="right" vertical="center" textRotation="0" indent="0" justifyLastLine="0" readingOrder="0"/>
    </dxf>
    <dxf>
      <font>
        <strike val="0"/>
        <outline val="0"/>
        <shadow val="0"/>
        <u val="none"/>
        <vertAlign val="baseline"/>
        <sz val="11"/>
        <name val="Arial"/>
        <scheme val="none"/>
      </font>
      <numFmt numFmtId="167" formatCode="0.000"/>
      <fill>
        <patternFill patternType="solid">
          <fgColor indexed="64"/>
          <bgColor rgb="FFD9D9D9"/>
        </patternFill>
      </fill>
      <alignment horizontal="right" vertical="center" textRotation="0" indent="0" justifyLastLine="0" readingOrder="0"/>
    </dxf>
    <dxf>
      <font>
        <strike val="0"/>
        <outline val="0"/>
        <shadow val="0"/>
        <u val="none"/>
        <vertAlign val="baseline"/>
        <sz val="11"/>
        <name val="Arial"/>
        <scheme val="none"/>
      </font>
      <numFmt numFmtId="167" formatCode="0.000"/>
      <fill>
        <patternFill patternType="solid">
          <fgColor indexed="64"/>
          <bgColor rgb="FFD9D9D9"/>
        </patternFill>
      </fill>
      <alignment horizontal="right" vertical="center" textRotation="0" indent="0" justifyLastLine="0" readingOrder="0"/>
    </dxf>
    <dxf>
      <font>
        <strike val="0"/>
        <outline val="0"/>
        <shadow val="0"/>
        <u val="none"/>
        <vertAlign val="baseline"/>
        <sz val="11"/>
        <name val="Arial"/>
        <scheme val="none"/>
      </font>
      <numFmt numFmtId="167" formatCode="0.000"/>
      <fill>
        <patternFill patternType="solid">
          <fgColor indexed="64"/>
          <bgColor rgb="FFD9D9D9"/>
        </patternFill>
      </fill>
      <alignment horizontal="right" vertical="center" textRotation="0" indent="0" justifyLastLine="0" readingOrder="0"/>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medium">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strike val="0"/>
        <outline val="0"/>
        <shadow val="0"/>
        <u val="none"/>
        <vertAlign val="baseline"/>
        <sz val="11"/>
        <name val="Arial"/>
        <scheme val="none"/>
      </font>
      <border diagonalUp="0" diagonalDown="0" outline="0">
        <left style="medium">
          <color indexed="64"/>
        </left>
        <right style="thin">
          <color indexed="64"/>
        </right>
        <top/>
        <bottom/>
      </border>
    </dxf>
    <dxf>
      <border outline="0">
        <left style="medium">
          <color indexed="64"/>
        </left>
        <right style="medium">
          <color indexed="64"/>
        </right>
        <top style="medium">
          <color indexed="64"/>
        </top>
        <bottom style="medium">
          <color indexed="64"/>
        </bottom>
      </border>
    </dxf>
    <dxf>
      <font>
        <strike val="0"/>
        <outline val="0"/>
        <shadow val="0"/>
        <u val="none"/>
        <vertAlign val="baseline"/>
        <sz val="11"/>
        <name val="Arial"/>
        <scheme val="none"/>
      </font>
      <numFmt numFmtId="1" formatCode="0"/>
    </dxf>
    <dxf>
      <border>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auto="1"/>
        </left>
        <right style="thin">
          <color auto="1"/>
        </right>
        <top/>
        <bottom/>
      </border>
      <protection locked="0" hidden="0"/>
    </dxf>
    <dxf>
      <font>
        <strike val="0"/>
        <outline val="0"/>
        <shadow val="0"/>
        <u val="none"/>
        <vertAlign val="baseline"/>
        <sz val="11"/>
        <name val="Arial"/>
        <scheme val="none"/>
      </font>
      <numFmt numFmtId="167" formatCode="0.000"/>
      <alignment horizontal="right" textRotation="0" wrapText="0" indent="0" justifyLastLine="0" readingOrder="0"/>
      <border diagonalUp="0" diagonalDown="0">
        <left style="thin">
          <color indexed="64"/>
        </left>
        <right/>
      </border>
    </dxf>
    <dxf>
      <font>
        <strike val="0"/>
        <outline val="0"/>
        <shadow val="0"/>
        <u val="none"/>
        <vertAlign val="baseline"/>
        <sz val="11"/>
        <name val="Arial"/>
        <scheme val="none"/>
      </font>
      <numFmt numFmtId="167" formatCode="0.000"/>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fill>
        <patternFill patternType="solid">
          <fgColor indexed="64"/>
          <bgColor rgb="FFD9D9D9"/>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name val="Arial"/>
        <scheme val="none"/>
      </font>
      <numFmt numFmtId="167" formatCode="0.000"/>
      <fill>
        <patternFill patternType="solid">
          <fgColor indexed="64"/>
          <bgColor rgb="FFD9D9D9"/>
        </patternFill>
      </fill>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fill>
        <patternFill patternType="solid">
          <fgColor indexed="64"/>
          <bgColor rgb="FFD9D9D9"/>
        </patternFill>
      </fill>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fill>
        <patternFill patternType="solid">
          <fgColor indexed="64"/>
          <bgColor rgb="FFD9D9D9"/>
        </patternFill>
      </fill>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fill>
        <patternFill patternType="solid">
          <fgColor indexed="64"/>
          <bgColor rgb="FFD9D9D9"/>
        </patternFill>
      </fill>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numFmt numFmtId="167" formatCode="0.000"/>
      <fill>
        <patternFill patternType="solid">
          <fgColor indexed="64"/>
          <bgColor rgb="FFD9D9D9"/>
        </patternFill>
      </fill>
      <alignment horizontal="right" textRotation="0" wrapText="0" indent="0" justifyLastLine="0" readingOrder="0"/>
      <border diagonalUp="0" diagonalDown="0">
        <left style="thin">
          <color indexed="64"/>
        </left>
        <right style="thin">
          <color indexed="64"/>
        </right>
      </border>
    </dxf>
    <dxf>
      <font>
        <strike val="0"/>
        <outline val="0"/>
        <shadow val="0"/>
        <u val="none"/>
        <vertAlign val="baseline"/>
        <sz val="11"/>
        <name val="Arial"/>
        <scheme val="none"/>
      </font>
      <alignment horizontal="right" textRotation="0" wrapText="0" indent="0" justifyLastLine="0" readingOrder="0"/>
      <border diagonalUp="0" diagonalDown="0" outline="0">
        <left style="thin">
          <color indexed="64"/>
        </left>
        <right style="medium">
          <color indexed="64"/>
        </right>
        <top/>
        <bottom/>
      </border>
    </dxf>
    <dxf>
      <font>
        <strike val="0"/>
        <outline val="0"/>
        <shadow val="0"/>
        <u val="none"/>
        <vertAlign val="baseline"/>
        <sz val="11"/>
        <name val="Arial"/>
        <scheme val="none"/>
      </font>
      <alignment horizontal="right" vertical="center" textRotation="0" wrapText="0" indent="0" justifyLastLine="0" shrinkToFit="1" readingOrder="0"/>
      <border diagonalUp="0" diagonalDown="0" outline="0">
        <left style="thin">
          <color indexed="64"/>
        </left>
        <right style="thin">
          <color indexed="64"/>
        </right>
        <top/>
        <bottom/>
      </border>
    </dxf>
    <dxf>
      <font>
        <strike val="0"/>
        <outline val="0"/>
        <shadow val="0"/>
        <u val="none"/>
        <vertAlign val="baseline"/>
        <sz val="11"/>
        <name val="Arial"/>
        <scheme val="none"/>
      </font>
      <border diagonalUp="0" diagonalDown="0" outline="0">
        <left style="thin">
          <color indexed="64"/>
        </left>
        <right style="thin">
          <color indexed="64"/>
        </right>
        <top/>
        <bottom/>
      </border>
    </dxf>
    <dxf>
      <font>
        <strike val="0"/>
        <outline val="0"/>
        <shadow val="0"/>
        <u val="none"/>
        <vertAlign val="baseline"/>
        <sz val="11"/>
        <name val="Arial"/>
        <scheme val="none"/>
      </font>
      <border diagonalUp="0" diagonalDown="0" outline="0">
        <left style="thin">
          <color indexed="64"/>
        </left>
        <right style="thin">
          <color indexed="64"/>
        </right>
        <top/>
        <bottom/>
      </border>
    </dxf>
    <dxf>
      <font>
        <strike val="0"/>
        <outline val="0"/>
        <shadow val="0"/>
        <u val="none"/>
        <vertAlign val="baseline"/>
        <sz val="11"/>
        <name val="Arial"/>
        <scheme val="none"/>
      </font>
      <border diagonalUp="0" diagonalDown="0" outline="0">
        <left style="medium">
          <color indexed="64"/>
        </left>
        <right style="thin">
          <color indexed="64"/>
        </right>
        <top/>
        <bottom/>
      </border>
    </dxf>
    <dxf>
      <border diagonalUp="0" diagonalDown="0">
        <left style="medium">
          <color indexed="64"/>
        </left>
        <right style="medium">
          <color indexed="64"/>
        </right>
        <top style="medium">
          <color indexed="64"/>
        </top>
        <bottom style="medium">
          <color indexed="64"/>
        </bottom>
      </border>
    </dxf>
    <dxf>
      <font>
        <strike val="0"/>
        <outline val="0"/>
        <shadow val="0"/>
        <u val="none"/>
        <vertAlign val="baseline"/>
        <sz val="11"/>
        <name val="Arial"/>
        <scheme val="none"/>
      </font>
      <numFmt numFmtId="1" formatCode="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top style="thin">
          <color indexed="64"/>
        </top>
        <bottom style="thin">
          <color indexed="64"/>
        </bottom>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1"/>
        <name val="Arial"/>
        <scheme val="none"/>
      </font>
      <numFmt numFmtId="2" formatCode="0.00"/>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fill>
        <patternFill patternType="solid">
          <fgColor indexed="64"/>
          <bgColor rgb="FFD9D9D9"/>
        </patternFill>
      </fill>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fill>
        <patternFill patternType="solid">
          <fgColor indexed="64"/>
          <bgColor rgb="FFD9D9D9"/>
        </patternFill>
      </fill>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fill>
        <patternFill patternType="solid">
          <fgColor indexed="64"/>
          <bgColor rgb="FFD9D9D9"/>
        </patternFill>
      </fill>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fill>
        <patternFill patternType="solid">
          <fgColor indexed="64"/>
          <bgColor rgb="FFD9D9D9"/>
        </patternFill>
      </fill>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Arial"/>
        <scheme val="none"/>
      </font>
      <numFmt numFmtId="2" formatCode="0.00"/>
      <fill>
        <patternFill patternType="solid">
          <fgColor indexed="64"/>
          <bgColor rgb="FFD9D9D9"/>
        </patternFill>
      </fill>
      <alignment horizontal="right" textRotation="0" wrapText="0" indent="0" justifyLastLine="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0" indent="0" justifyLastLine="0" shrinkToFit="1" readingOrder="0"/>
      <border diagonalUp="0" diagonalDown="0">
        <left style="thin">
          <color indexed="64"/>
        </left>
        <right style="medium">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0"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0" indent="0" justifyLastLine="0" shrinkToFit="1" readingOrder="0"/>
      <border diagonalUp="0" diagonalDown="0">
        <left style="medium">
          <color indexed="64"/>
        </left>
        <right style="thin">
          <color indexed="64"/>
        </right>
        <top style="thin">
          <color indexed="64"/>
        </top>
        <bottom style="thin">
          <color indexed="64"/>
        </bottom>
        <vertical style="thin">
          <color indexed="64"/>
        </vertical>
        <horizontal style="thin">
          <color indexed="64"/>
        </horizontal>
      </border>
      <protection locked="0" hidden="0"/>
    </dxf>
    <dxf>
      <border outline="0">
        <left style="medium">
          <color indexed="64"/>
        </left>
        <right style="medium">
          <color indexed="64"/>
        </right>
        <top style="medium">
          <color indexed="64"/>
        </top>
        <bottom style="medium">
          <color indexed="64"/>
        </bottom>
      </border>
    </dxf>
    <dxf>
      <font>
        <strike val="0"/>
        <outline val="0"/>
        <shadow val="0"/>
        <u val="none"/>
        <vertAlign val="baseline"/>
        <sz val="11"/>
        <name val="Arial"/>
        <scheme val="none"/>
      </font>
      <numFmt numFmtId="1" formatCode="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medium">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0" indent="0" justifyLastLine="0" shrinkToFit="1" readingOrder="0"/>
      <border diagonalUp="0" diagonalDown="0" outline="0">
        <left style="medium">
          <color indexed="64"/>
        </left>
        <right style="thin">
          <color indexed="64"/>
        </right>
        <top/>
        <bottom/>
      </border>
      <protection locked="0" hidden="0"/>
    </dxf>
    <dxf>
      <border outline="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1"/>
        <color rgb="FF000000"/>
        <name val="Arial"/>
        <scheme val="none"/>
      </font>
      <numFmt numFmtId="1" formatCode="0"/>
      <alignment horizontal="left" vertical="center" textRotation="0" wrapText="1" indent="0" justifyLastLine="0" shrinkToFit="0" readingOrder="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rgb="FF000000"/>
        <name val="Arial"/>
        <family val="2"/>
        <scheme val="none"/>
      </font>
      <numFmt numFmtId="167" formatCode="0.000"/>
      <alignment horizontal="right" vertical="center" textRotation="0" wrapText="1"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top style="thin">
          <color indexed="64"/>
        </top>
        <bottom style="thin">
          <color indexed="64"/>
        </bottom>
      </border>
    </dxf>
    <dxf>
      <font>
        <b val="0"/>
        <i val="0"/>
        <strike val="0"/>
        <condense val="0"/>
        <extend val="0"/>
        <outline val="0"/>
        <shadow val="0"/>
        <u val="none"/>
        <vertAlign val="baseline"/>
        <sz val="11"/>
        <color rgb="FF000000"/>
        <name val="Arial"/>
        <family val="2"/>
        <scheme val="none"/>
      </font>
      <numFmt numFmtId="167" formatCode="0.000"/>
      <alignment horizontal="right" vertical="center" textRotation="0" wrapText="1" indent="0" justifyLastLine="0" shrinkToFit="0" readingOrder="0"/>
      <border diagonalUp="0" diagonalDown="0" outline="0">
        <left/>
        <right style="thin">
          <color indexed="64"/>
        </right>
        <top style="thin">
          <color indexed="64"/>
        </top>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family val="2"/>
        <scheme val="none"/>
      </font>
      <numFmt numFmtId="167" formatCode="0.000"/>
      <alignment horizontal="right" vertical="center" textRotation="0" wrapText="1" indent="0" justifyLastLine="0" shrinkToFit="0" readingOrder="0"/>
      <border diagonalUp="0" diagonalDown="0" outline="0">
        <left/>
        <right style="thin">
          <color indexed="64"/>
        </right>
        <top style="thin">
          <color indexed="64"/>
        </top>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family val="2"/>
        <scheme val="none"/>
      </font>
      <numFmt numFmtId="167" formatCode="0.000"/>
      <alignment horizontal="right" vertical="center" textRotation="0" wrapText="1" indent="0" justifyLastLine="0" shrinkToFit="0" readingOrder="0"/>
      <border diagonalUp="0" diagonalDown="0" outline="0">
        <left/>
        <right style="thin">
          <color indexed="64"/>
        </right>
        <top style="thin">
          <color indexed="64"/>
        </top>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family val="2"/>
        <scheme val="none"/>
      </font>
      <numFmt numFmtId="167" formatCode="0.000"/>
      <alignment horizontal="right" vertical="center" textRotation="0" wrapText="1" indent="0" justifyLastLine="0" shrinkToFit="0" readingOrder="0"/>
      <border diagonalUp="0" diagonalDown="0" outline="0">
        <left/>
        <right style="thin">
          <color indexed="64"/>
        </right>
        <top style="thin">
          <color indexed="64"/>
        </top>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family val="2"/>
        <scheme val="none"/>
      </font>
      <numFmt numFmtId="167" formatCode="0.000"/>
      <alignment horizontal="right" vertical="center" textRotation="0" wrapText="1" indent="0" justifyLastLine="0" shrinkToFit="0" readingOrder="0"/>
      <border diagonalUp="0" diagonalDown="0" outline="0">
        <left/>
        <right style="thin">
          <color indexed="64"/>
        </right>
        <top style="thin">
          <color indexed="64"/>
        </top>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family val="2"/>
        <scheme val="none"/>
      </font>
      <numFmt numFmtId="167" formatCode="0.000"/>
      <alignment horizontal="right" vertical="center" textRotation="0" wrapText="1" indent="0" justifyLastLine="0" shrinkToFit="0" readingOrder="0"/>
      <border diagonalUp="0" diagonalDown="0" outline="0">
        <left/>
        <right style="thin">
          <color indexed="64"/>
        </right>
        <top style="thin">
          <color indexed="64"/>
        </top>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family val="2"/>
        <scheme val="none"/>
      </font>
      <numFmt numFmtId="167" formatCode="0.000"/>
      <alignment horizontal="right" vertical="center" textRotation="0" wrapText="1" indent="0" justifyLastLine="0" shrinkToFit="0" readingOrder="0"/>
      <border diagonalUp="0" diagonalDown="0" outline="0">
        <left/>
        <right style="thin">
          <color indexed="64"/>
        </right>
        <top style="thin">
          <color indexed="64"/>
        </top>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family val="2"/>
        <scheme val="none"/>
      </font>
      <numFmt numFmtId="167" formatCode="0.000"/>
      <alignment horizontal="right" vertical="center" textRotation="0" wrapText="1" indent="0" justifyLastLine="0" shrinkToFit="0" readingOrder="0"/>
      <border diagonalUp="0" diagonalDown="0" outline="0">
        <left/>
        <right style="thin">
          <color indexed="64"/>
        </right>
        <top style="thin">
          <color indexed="64"/>
        </top>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family val="2"/>
        <scheme val="none"/>
      </font>
      <numFmt numFmtId="167" formatCode="0.000"/>
      <alignment horizontal="right" vertical="center" textRotation="0" wrapText="1" indent="0" justifyLastLine="0" shrinkToFit="0" readingOrder="0"/>
      <border diagonalUp="0" diagonalDown="0" outline="0">
        <left/>
        <right style="thin">
          <color indexed="64"/>
        </right>
        <top style="thin">
          <color indexed="64"/>
        </top>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family val="2"/>
        <scheme val="none"/>
      </font>
      <numFmt numFmtId="167" formatCode="0.000"/>
      <alignment horizontal="right" vertical="center" textRotation="0" wrapText="1" indent="0" justifyLastLine="0" shrinkToFit="0" readingOrder="0"/>
      <border diagonalUp="0" diagonalDown="0" outline="0">
        <left/>
        <right style="thin">
          <color indexed="64"/>
        </right>
        <top style="thin">
          <color indexed="64"/>
        </top>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family val="2"/>
        <scheme val="none"/>
      </font>
      <numFmt numFmtId="167" formatCode="0.000"/>
      <alignment horizontal="right" vertical="center" textRotation="0" wrapText="1" indent="0" justifyLastLine="0" shrinkToFit="0" readingOrder="0"/>
      <border diagonalUp="0" diagonalDown="0" outline="0">
        <left/>
        <right style="thin">
          <color indexed="64"/>
        </right>
        <top style="thin">
          <color indexed="64"/>
        </top>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family val="2"/>
        <scheme val="none"/>
      </font>
      <numFmt numFmtId="167" formatCode="0.000"/>
      <alignment horizontal="right" vertical="center" textRotation="0" wrapText="1" indent="0" justifyLastLine="0" shrinkToFit="0" readingOrder="0"/>
      <border diagonalUp="0" diagonalDown="0" outline="0">
        <left/>
        <right style="thin">
          <color indexed="64"/>
        </right>
        <top style="thin">
          <color indexed="64"/>
        </top>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family val="2"/>
        <scheme val="none"/>
      </font>
      <numFmt numFmtId="167" formatCode="0.000"/>
      <alignment horizontal="right" vertical="center" textRotation="0" wrapText="1" indent="0" justifyLastLine="0" shrinkToFit="0" readingOrder="0"/>
      <border diagonalUp="0" diagonalDown="0" outline="0">
        <left/>
        <right style="thin">
          <color indexed="64"/>
        </right>
        <top style="thin">
          <color indexed="64"/>
        </top>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family val="2"/>
        <scheme val="none"/>
      </font>
      <numFmt numFmtId="167" formatCode="0.000"/>
      <alignment horizontal="right" vertical="center" textRotation="0" wrapText="1" indent="0" justifyLastLine="0" shrinkToFit="0" readingOrder="0"/>
      <border diagonalUp="0" diagonalDown="0" outline="0">
        <left/>
        <right style="thin">
          <color indexed="64"/>
        </right>
        <top style="thin">
          <color indexed="64"/>
        </top>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family val="2"/>
        <scheme val="none"/>
      </font>
      <numFmt numFmtId="167" formatCode="0.000"/>
      <alignment horizontal="right" vertical="center" textRotation="0" wrapText="1" indent="0" justifyLastLine="0" shrinkToFit="0" readingOrder="0"/>
      <border diagonalUp="0" diagonalDown="0" outline="0">
        <left/>
        <right style="thin">
          <color indexed="64"/>
        </right>
        <top style="thin">
          <color indexed="64"/>
        </top>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family val="2"/>
        <scheme val="none"/>
      </font>
      <numFmt numFmtId="167" formatCode="0.000"/>
      <fill>
        <patternFill patternType="solid">
          <fgColor indexed="64"/>
          <bgColor rgb="FFD9D9D9"/>
        </patternFill>
      </fill>
      <alignment horizontal="right" vertical="center" textRotation="0" wrapText="1" indent="0" justifyLastLine="0" shrinkToFit="0" readingOrder="0"/>
      <border diagonalUp="0" diagonalDown="0" outline="0">
        <left/>
        <right style="thin">
          <color indexed="64"/>
        </right>
        <top style="thin">
          <color indexed="64"/>
        </top>
        <bottom/>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D9D9D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family val="2"/>
        <scheme val="none"/>
      </font>
      <numFmt numFmtId="167" formatCode="0.000"/>
      <fill>
        <patternFill patternType="solid">
          <fgColor indexed="64"/>
          <bgColor rgb="FFD9D9D9"/>
        </patternFill>
      </fill>
      <alignment horizontal="right" vertical="center" textRotation="0" wrapText="1" indent="0" justifyLastLine="0" shrinkToFit="0" readingOrder="0"/>
      <border diagonalUp="0" diagonalDown="0" outline="0">
        <left/>
        <right style="thin">
          <color indexed="64"/>
        </right>
        <top style="thin">
          <color indexed="64"/>
        </top>
        <bottom/>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D9D9D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family val="2"/>
        <scheme val="none"/>
      </font>
      <numFmt numFmtId="167" formatCode="0.000"/>
      <fill>
        <patternFill patternType="solid">
          <fgColor indexed="64"/>
          <bgColor rgb="FFD9D9D9"/>
        </patternFill>
      </fill>
      <alignment horizontal="right" vertical="center" textRotation="0" wrapText="1" indent="0" justifyLastLine="0" shrinkToFit="0" readingOrder="0"/>
      <border diagonalUp="0" diagonalDown="0" outline="0">
        <left/>
        <right style="thin">
          <color indexed="64"/>
        </right>
        <top style="thin">
          <color indexed="64"/>
        </top>
        <bottom/>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D9D9D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family val="2"/>
        <scheme val="none"/>
      </font>
      <numFmt numFmtId="167" formatCode="0.000"/>
      <fill>
        <patternFill patternType="solid">
          <fgColor indexed="64"/>
          <bgColor rgb="FFD9D9D9"/>
        </patternFill>
      </fill>
      <alignment horizontal="right" vertical="center" textRotation="0" wrapText="1" indent="0" justifyLastLine="0" shrinkToFit="0" readingOrder="0"/>
      <border diagonalUp="0" diagonalDown="0" outline="0">
        <left/>
        <right style="thin">
          <color indexed="64"/>
        </right>
        <top style="thin">
          <color indexed="64"/>
        </top>
        <bottom/>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D9D9D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family val="2"/>
        <scheme val="none"/>
      </font>
      <numFmt numFmtId="167" formatCode="0.000"/>
      <fill>
        <patternFill patternType="solid">
          <fgColor indexed="64"/>
          <bgColor rgb="FFD9D9D9"/>
        </patternFill>
      </fill>
      <alignment horizontal="right" vertical="center" textRotation="0" wrapText="1" indent="0" justifyLastLine="0" shrinkToFit="0" readingOrder="0"/>
      <border diagonalUp="0" diagonalDown="0" outline="0">
        <left/>
        <right style="thin">
          <color indexed="64"/>
        </right>
        <top style="thin">
          <color indexed="64"/>
        </top>
        <bottom/>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D9D9D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medium">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0" indent="0" justifyLastLine="0" shrinkToFit="1" readingOrder="0"/>
      <border diagonalUp="0" diagonalDown="0">
        <left style="thin">
          <color indexed="64"/>
        </left>
        <right style="medium">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family val="2"/>
        <scheme val="none"/>
      </font>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right" vertical="center" textRotation="0" wrapText="0"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family val="2"/>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family val="2"/>
        <scheme val="none"/>
      </font>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1"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font>
        <b val="0"/>
        <i val="0"/>
        <strike val="0"/>
        <condense val="0"/>
        <extend val="0"/>
        <outline val="0"/>
        <shadow val="0"/>
        <u val="none"/>
        <vertAlign val="baseline"/>
        <sz val="11"/>
        <color auto="1"/>
        <name val="Arial"/>
        <family val="2"/>
        <scheme val="none"/>
      </font>
      <numFmt numFmtId="30" formatCode="@"/>
      <fill>
        <patternFill patternType="solid">
          <fgColor indexed="64"/>
          <bgColor theme="0" tint="-4.9989318521683403E-2"/>
        </patternFill>
      </fill>
      <alignment horizontal="left" vertical="center" textRotation="0" wrapText="0" indent="0" justifyLastLine="0" shrinkToFit="1" readingOrder="0"/>
      <border diagonalUp="0" diagonalDown="0" outline="0">
        <left style="medium">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0" indent="0" justifyLastLine="0" shrinkToFit="1" readingOrder="0"/>
      <border diagonalUp="0" diagonalDown="0">
        <left style="medium">
          <color indexed="64"/>
        </left>
        <right style="thin">
          <color indexed="64"/>
        </right>
        <top style="thin">
          <color indexed="64"/>
        </top>
        <bottom style="thin">
          <color indexed="64"/>
        </bottom>
        <vertical style="thin">
          <color indexed="64"/>
        </vertical>
        <horizontal style="thin">
          <color indexed="64"/>
        </horizontal>
      </border>
      <protection locked="0" hidden="0"/>
    </dxf>
    <dxf>
      <border diagonalUp="0" diagonalDown="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1"/>
        <color rgb="FF000000"/>
        <name val="Arial"/>
        <scheme val="none"/>
      </font>
      <numFmt numFmtId="1" formatCode="0"/>
      <alignment horizontal="left" vertical="center" textRotation="0" wrapText="1" indent="0" justifyLastLine="0" shrinkToFit="0" readingOrder="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rgb="FF000000"/>
        <name val="Arial"/>
        <family val="2"/>
        <scheme val="none"/>
      </font>
      <numFmt numFmtId="167" formatCode="0.000"/>
      <alignment horizontal="right" vertical="center" textRotation="0" wrapText="1"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top style="thin">
          <color indexed="64"/>
        </top>
        <bottom style="thin">
          <color indexed="64"/>
        </bottom>
      </border>
    </dxf>
    <dxf>
      <font>
        <b val="0"/>
        <i val="0"/>
        <strike val="0"/>
        <condense val="0"/>
        <extend val="0"/>
        <outline val="0"/>
        <shadow val="0"/>
        <u val="none"/>
        <vertAlign val="baseline"/>
        <sz val="11"/>
        <color rgb="FF000000"/>
        <name val="Arial"/>
        <family val="2"/>
        <scheme val="none"/>
      </font>
      <numFmt numFmtId="167" formatCode="0.000"/>
      <alignment horizontal="right" vertical="center" textRotation="0" wrapText="1" indent="0" justifyLastLine="0" shrinkToFit="0" readingOrder="0"/>
      <border diagonalUp="0" diagonalDown="0" outline="0">
        <left/>
        <right style="thin">
          <color indexed="64"/>
        </right>
        <top style="thin">
          <color indexed="64"/>
        </top>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family val="2"/>
        <scheme val="none"/>
      </font>
      <numFmt numFmtId="167" formatCode="0.000"/>
      <alignment horizontal="right" vertical="center" textRotation="0" wrapText="1" indent="0" justifyLastLine="0" shrinkToFit="0" readingOrder="0"/>
      <border diagonalUp="0" diagonalDown="0" outline="0">
        <left/>
        <right style="thin">
          <color indexed="64"/>
        </right>
        <top style="thin">
          <color indexed="64"/>
        </top>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family val="2"/>
        <scheme val="none"/>
      </font>
      <numFmt numFmtId="167" formatCode="0.000"/>
      <alignment horizontal="right" vertical="center" textRotation="0" wrapText="1" indent="0" justifyLastLine="0" shrinkToFit="0" readingOrder="0"/>
      <border diagonalUp="0" diagonalDown="0" outline="0">
        <left/>
        <right style="thin">
          <color indexed="64"/>
        </right>
        <top style="thin">
          <color indexed="64"/>
        </top>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family val="2"/>
        <scheme val="none"/>
      </font>
      <numFmt numFmtId="167" formatCode="0.000"/>
      <alignment horizontal="right" vertical="center" textRotation="0" wrapText="1" indent="0" justifyLastLine="0" shrinkToFit="0" readingOrder="0"/>
      <border diagonalUp="0" diagonalDown="0" outline="0">
        <left/>
        <right style="thin">
          <color indexed="64"/>
        </right>
        <top style="thin">
          <color indexed="64"/>
        </top>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family val="2"/>
        <scheme val="none"/>
      </font>
      <numFmt numFmtId="167" formatCode="0.000"/>
      <alignment horizontal="right" vertical="center" textRotation="0" wrapText="1" indent="0" justifyLastLine="0" shrinkToFit="0" readingOrder="0"/>
      <border diagonalUp="0" diagonalDown="0" outline="0">
        <left/>
        <right style="thin">
          <color indexed="64"/>
        </right>
        <top style="thin">
          <color indexed="64"/>
        </top>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family val="2"/>
        <scheme val="none"/>
      </font>
      <numFmt numFmtId="167" formatCode="0.000"/>
      <alignment horizontal="right" vertical="center" textRotation="0" wrapText="1" indent="0" justifyLastLine="0" shrinkToFit="0" readingOrder="0"/>
      <border diagonalUp="0" diagonalDown="0" outline="0">
        <left/>
        <right style="thin">
          <color indexed="64"/>
        </right>
        <top style="thin">
          <color indexed="64"/>
        </top>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family val="2"/>
        <scheme val="none"/>
      </font>
      <numFmt numFmtId="167" formatCode="0.000"/>
      <alignment horizontal="right" vertical="center" textRotation="0" wrapText="1" indent="0" justifyLastLine="0" shrinkToFit="0" readingOrder="0"/>
      <border diagonalUp="0" diagonalDown="0" outline="0">
        <left/>
        <right style="thin">
          <color indexed="64"/>
        </right>
        <top style="thin">
          <color indexed="64"/>
        </top>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family val="2"/>
        <scheme val="none"/>
      </font>
      <numFmt numFmtId="167" formatCode="0.000"/>
      <alignment horizontal="right" vertical="center" textRotation="0" wrapText="1" indent="0" justifyLastLine="0" shrinkToFit="0" readingOrder="0"/>
      <border diagonalUp="0" diagonalDown="0" outline="0">
        <left/>
        <right style="thin">
          <color indexed="64"/>
        </right>
        <top style="thin">
          <color indexed="64"/>
        </top>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family val="2"/>
        <scheme val="none"/>
      </font>
      <numFmt numFmtId="167" formatCode="0.000"/>
      <alignment horizontal="right" vertical="center" textRotation="0" wrapText="1" indent="0" justifyLastLine="0" shrinkToFit="0" readingOrder="0"/>
      <border diagonalUp="0" diagonalDown="0" outline="0">
        <left/>
        <right style="thin">
          <color indexed="64"/>
        </right>
        <top style="thin">
          <color indexed="64"/>
        </top>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family val="2"/>
        <scheme val="none"/>
      </font>
      <numFmt numFmtId="165" formatCode="0.0"/>
      <alignment horizontal="right" vertical="center" textRotation="0" wrapText="1" indent="0" justifyLastLine="0" shrinkToFit="0" readingOrder="0"/>
      <border diagonalUp="0" diagonalDown="0" outline="0">
        <left/>
        <right style="thin">
          <color indexed="64"/>
        </right>
        <top style="thin">
          <color indexed="64"/>
        </top>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family val="2"/>
        <scheme val="none"/>
      </font>
      <numFmt numFmtId="167" formatCode="0.000"/>
      <alignment horizontal="right" vertical="center" textRotation="0" wrapText="1" indent="0" justifyLastLine="0" shrinkToFit="0" readingOrder="0"/>
      <border diagonalUp="0" diagonalDown="0" outline="0">
        <left/>
        <right style="thin">
          <color indexed="64"/>
        </right>
        <top style="thin">
          <color indexed="64"/>
        </top>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family val="2"/>
        <scheme val="none"/>
      </font>
      <numFmt numFmtId="167" formatCode="0.000"/>
      <alignment horizontal="right" vertical="center" textRotation="0" wrapText="1" indent="0" justifyLastLine="0" shrinkToFit="0" readingOrder="0"/>
      <border diagonalUp="0" diagonalDown="0" outline="0">
        <left/>
        <right style="thin">
          <color indexed="64"/>
        </right>
        <top style="thin">
          <color indexed="64"/>
        </top>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family val="2"/>
        <scheme val="none"/>
      </font>
      <numFmt numFmtId="167" formatCode="0.000"/>
      <alignment horizontal="right" vertical="center" textRotation="0" wrapText="1" indent="0" justifyLastLine="0" shrinkToFit="0" readingOrder="0"/>
      <border diagonalUp="0" diagonalDown="0" outline="0">
        <left/>
        <right style="thin">
          <color indexed="64"/>
        </right>
        <top style="thin">
          <color indexed="64"/>
        </top>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family val="2"/>
        <scheme val="none"/>
      </font>
      <numFmt numFmtId="167" formatCode="0.000"/>
      <alignment horizontal="right" vertical="center" textRotation="0" wrapText="1" indent="0" justifyLastLine="0" shrinkToFit="0" readingOrder="0"/>
      <border diagonalUp="0" diagonalDown="0" outline="0">
        <left/>
        <right style="thin">
          <color indexed="64"/>
        </right>
        <top style="thin">
          <color indexed="64"/>
        </top>
        <bottom/>
      </border>
    </dxf>
    <dxf>
      <font>
        <b val="0"/>
        <i val="0"/>
        <strike val="0"/>
        <condense val="0"/>
        <extend val="0"/>
        <outline val="0"/>
        <shadow val="0"/>
        <u val="none"/>
        <vertAlign val="baseline"/>
        <sz val="11"/>
        <color rgb="FF000000"/>
        <name val="Arial"/>
        <scheme val="none"/>
      </font>
      <numFmt numFmtId="167" formatCode="0.0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family val="2"/>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family val="2"/>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family val="2"/>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family val="2"/>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family val="2"/>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rgb="FF000000"/>
        <name val="Arial"/>
        <family val="2"/>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border>
    </dxf>
    <dxf>
      <font>
        <b val="0"/>
        <i val="0"/>
        <strike val="0"/>
        <condense val="0"/>
        <extend val="0"/>
        <outline val="0"/>
        <shadow val="0"/>
        <u val="none"/>
        <vertAlign val="baseline"/>
        <sz val="11"/>
        <color rgb="FF000000"/>
        <name val="Arial"/>
        <scheme val="none"/>
      </font>
      <numFmt numFmtId="167" formatCode="0.000"/>
      <fill>
        <patternFill patternType="solid">
          <fgColor indexed="64"/>
          <bgColor rgb="FFFFFF99"/>
        </patternFill>
      </fill>
      <alignment horizontal="right" vertical="center" textRotation="0" wrapText="1"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numFmt numFmtId="1" formatCode="0"/>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medium">
          <color indexed="64"/>
        </right>
        <top/>
        <bottom/>
      </border>
      <protection locked="0" hidden="0"/>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medium">
          <color indexed="64"/>
        </right>
        <top/>
        <bottom/>
      </border>
      <protection locked="0" hidden="0"/>
    </dxf>
    <dxf>
      <font>
        <b val="0"/>
        <i val="0"/>
        <strike val="0"/>
        <condense val="0"/>
        <extend val="0"/>
        <outline val="0"/>
        <shadow val="0"/>
        <u val="none"/>
        <vertAlign val="baseline"/>
        <sz val="11"/>
        <color auto="1"/>
        <name val="Arial"/>
        <family val="2"/>
        <scheme val="none"/>
      </font>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family val="2"/>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family val="2"/>
        <scheme val="none"/>
      </font>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family val="2"/>
        <scheme val="none"/>
      </font>
      <numFmt numFmtId="30" formatCode="@"/>
      <fill>
        <patternFill patternType="solid">
          <fgColor indexed="64"/>
          <bgColor theme="0" tint="-4.9989318521683403E-2"/>
        </patternFill>
      </fill>
      <alignment horizontal="left" vertical="center" textRotation="0" wrapText="0" indent="0" justifyLastLine="0" shrinkToFit="1" readingOrder="0"/>
      <border diagonalUp="0" diagonalDown="0" outline="0">
        <left style="medium">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0" indent="0" justifyLastLine="0" shrinkToFit="1" readingOrder="0"/>
      <border diagonalUp="0" diagonalDown="0" outline="0">
        <left style="medium">
          <color indexed="64"/>
        </left>
        <right style="thin">
          <color indexed="64"/>
        </right>
        <top/>
        <bottom/>
      </border>
      <protection locked="0" hidden="0"/>
    </dxf>
    <dxf>
      <border diagonalUp="0" diagonalDown="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1"/>
        <color rgb="FF000000"/>
        <name val="Arial"/>
        <scheme val="none"/>
      </font>
      <numFmt numFmtId="1" formatCode="0"/>
      <alignment horizontal="left" vertical="center" textRotation="0" wrapText="1" indent="0" justifyLastLine="0" shrinkToFit="0" readingOrder="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rgb="FF000000"/>
        <name val="Arial"/>
        <family val="2"/>
        <scheme val="none"/>
      </font>
      <numFmt numFmtId="167" formatCode="0.000"/>
      <alignment horizontal="right" vertical="center" textRotation="0" wrapText="1" indent="0" justifyLastLine="0" shrinkToFit="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b val="0"/>
        <i val="0"/>
        <strike val="0"/>
        <condense val="0"/>
        <extend val="0"/>
        <outline val="0"/>
        <shadow val="0"/>
        <u val="none"/>
        <vertAlign val="baseline"/>
        <sz val="11"/>
        <color rgb="FF000000"/>
        <name val="Arial"/>
        <family val="2"/>
        <scheme val="none"/>
      </font>
      <numFmt numFmtId="167" formatCode="0.000"/>
      <alignment horizontal="right" vertical="center" textRotation="0" wrapText="1" indent="0" justifyLastLine="0" shrinkToFit="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b val="0"/>
        <i val="0"/>
        <strike val="0"/>
        <condense val="0"/>
        <extend val="0"/>
        <outline val="0"/>
        <shadow val="0"/>
        <u val="none"/>
        <vertAlign val="baseline"/>
        <sz val="11"/>
        <color rgb="FF000000"/>
        <name val="Arial"/>
        <family val="2"/>
        <scheme val="none"/>
      </font>
      <numFmt numFmtId="167" formatCode="0.000"/>
      <alignment horizontal="right" vertical="center" textRotation="0" wrapText="1" indent="0" justifyLastLine="0" shrinkToFit="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b val="0"/>
        <i val="0"/>
        <strike val="0"/>
        <condense val="0"/>
        <extend val="0"/>
        <outline val="0"/>
        <shadow val="0"/>
        <u val="none"/>
        <vertAlign val="baseline"/>
        <sz val="11"/>
        <color rgb="FF000000"/>
        <name val="Arial"/>
        <family val="2"/>
        <scheme val="none"/>
      </font>
      <numFmt numFmtId="167" formatCode="0.000"/>
      <alignment horizontal="right" vertical="center" textRotation="0" wrapText="1" indent="0" justifyLastLine="0" shrinkToFit="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b val="0"/>
        <i val="0"/>
        <strike val="0"/>
        <condense val="0"/>
        <extend val="0"/>
        <outline val="0"/>
        <shadow val="0"/>
        <u val="none"/>
        <vertAlign val="baseline"/>
        <sz val="11"/>
        <color rgb="FF000000"/>
        <name val="Arial"/>
        <family val="2"/>
        <scheme val="none"/>
      </font>
      <numFmt numFmtId="167" formatCode="0.000"/>
      <alignment horizontal="right" vertical="center" textRotation="0" wrapText="1" indent="0" justifyLastLine="0" shrinkToFit="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b val="0"/>
        <i val="0"/>
        <strike val="0"/>
        <condense val="0"/>
        <extend val="0"/>
        <outline val="0"/>
        <shadow val="0"/>
        <u val="none"/>
        <vertAlign val="baseline"/>
        <sz val="11"/>
        <color rgb="FF000000"/>
        <name val="Arial"/>
        <family val="2"/>
        <scheme val="none"/>
      </font>
      <numFmt numFmtId="167" formatCode="0.000"/>
      <alignment horizontal="right" vertical="center" textRotation="0" wrapText="1" indent="0" justifyLastLine="0" shrinkToFit="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b val="0"/>
        <i val="0"/>
        <strike val="0"/>
        <condense val="0"/>
        <extend val="0"/>
        <outline val="0"/>
        <shadow val="0"/>
        <u val="none"/>
        <vertAlign val="baseline"/>
        <sz val="11"/>
        <color rgb="FF000000"/>
        <name val="Arial"/>
        <family val="2"/>
        <scheme val="none"/>
      </font>
      <numFmt numFmtId="167" formatCode="0.000"/>
      <alignment horizontal="right" vertical="center" textRotation="0" wrapText="1" indent="0" justifyLastLine="0" shrinkToFit="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b val="0"/>
        <i val="0"/>
        <strike val="0"/>
        <condense val="0"/>
        <extend val="0"/>
        <outline val="0"/>
        <shadow val="0"/>
        <u val="none"/>
        <vertAlign val="baseline"/>
        <sz val="11"/>
        <color rgb="FF000000"/>
        <name val="Arial"/>
        <family val="2"/>
        <scheme val="none"/>
      </font>
      <numFmt numFmtId="167" formatCode="0.000"/>
      <alignment horizontal="right" vertical="center" textRotation="0" wrapText="1" indent="0" justifyLastLine="0" shrinkToFit="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b val="0"/>
        <i val="0"/>
        <strike val="0"/>
        <condense val="0"/>
        <extend val="0"/>
        <outline val="0"/>
        <shadow val="0"/>
        <u val="none"/>
        <vertAlign val="baseline"/>
        <sz val="11"/>
        <color rgb="FF000000"/>
        <name val="Arial"/>
        <family val="2"/>
        <scheme val="none"/>
      </font>
      <numFmt numFmtId="167" formatCode="0.000"/>
      <alignment horizontal="right" vertical="center" textRotation="0" wrapText="1" indent="0" justifyLastLine="0" shrinkToFit="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b val="0"/>
        <i val="0"/>
        <strike val="0"/>
        <condense val="0"/>
        <extend val="0"/>
        <outline val="0"/>
        <shadow val="0"/>
        <u val="none"/>
        <vertAlign val="baseline"/>
        <sz val="11"/>
        <color rgb="FF000000"/>
        <name val="Arial"/>
        <family val="2"/>
        <scheme val="none"/>
      </font>
      <numFmt numFmtId="167" formatCode="0.000"/>
      <alignment horizontal="right" vertical="center" textRotation="0" wrapText="1" indent="0" justifyLastLine="0" shrinkToFit="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b val="0"/>
        <i val="0"/>
        <strike val="0"/>
        <condense val="0"/>
        <extend val="0"/>
        <outline val="0"/>
        <shadow val="0"/>
        <u val="none"/>
        <vertAlign val="baseline"/>
        <sz val="11"/>
        <color rgb="FF000000"/>
        <name val="Arial"/>
        <family val="2"/>
        <scheme val="none"/>
      </font>
      <numFmt numFmtId="167" formatCode="0.000"/>
      <alignment horizontal="right" vertical="center" textRotation="0" wrapText="1" indent="0" justifyLastLine="0" shrinkToFit="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b val="0"/>
        <i val="0"/>
        <strike val="0"/>
        <condense val="0"/>
        <extend val="0"/>
        <outline val="0"/>
        <shadow val="0"/>
        <u val="none"/>
        <vertAlign val="baseline"/>
        <sz val="11"/>
        <color rgb="FF000000"/>
        <name val="Arial"/>
        <family val="2"/>
        <scheme val="none"/>
      </font>
      <numFmt numFmtId="167" formatCode="0.000"/>
      <alignment horizontal="right" vertical="center" textRotation="0" wrapText="1" indent="0" justifyLastLine="0" shrinkToFit="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b val="0"/>
        <i val="0"/>
        <strike val="0"/>
        <condense val="0"/>
        <extend val="0"/>
        <outline val="0"/>
        <shadow val="0"/>
        <u val="none"/>
        <vertAlign val="baseline"/>
        <sz val="11"/>
        <color rgb="FF000000"/>
        <name val="Arial"/>
        <family val="2"/>
        <scheme val="none"/>
      </font>
      <numFmt numFmtId="167" formatCode="0.000"/>
      <alignment horizontal="right" vertical="center" textRotation="0" wrapText="1" indent="0" justifyLastLine="0" shrinkToFit="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b val="0"/>
        <i val="0"/>
        <strike val="0"/>
        <condense val="0"/>
        <extend val="0"/>
        <outline val="0"/>
        <shadow val="0"/>
        <u val="none"/>
        <vertAlign val="baseline"/>
        <sz val="11"/>
        <color rgb="FF000000"/>
        <name val="Arial"/>
        <family val="2"/>
        <scheme val="none"/>
      </font>
      <numFmt numFmtId="167" formatCode="0.000"/>
      <alignment horizontal="right" vertical="center" textRotation="0" wrapText="1" indent="0" justifyLastLine="0" shrinkToFit="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b val="0"/>
        <i val="0"/>
        <strike val="0"/>
        <condense val="0"/>
        <extend val="0"/>
        <outline val="0"/>
        <shadow val="0"/>
        <u val="none"/>
        <vertAlign val="baseline"/>
        <sz val="11"/>
        <color rgb="FF000000"/>
        <name val="Arial"/>
        <family val="2"/>
        <scheme val="none"/>
      </font>
      <numFmt numFmtId="167" formatCode="0.000"/>
      <alignment horizontal="right" vertical="center" textRotation="0" wrapText="1" indent="0" justifyLastLine="0" shrinkToFit="0" readingOrder="0"/>
    </dxf>
    <dxf>
      <font>
        <strike val="0"/>
        <outline val="0"/>
        <shadow val="0"/>
        <u val="none"/>
        <vertAlign val="baseline"/>
        <sz val="11"/>
        <name val="Arial"/>
        <scheme val="none"/>
      </font>
      <numFmt numFmtId="167" formatCode="0.000"/>
      <alignment horizontal="right" vertical="center" textRotation="0" indent="0" justifyLastLine="0" readingOrder="0"/>
    </dxf>
    <dxf>
      <font>
        <b val="0"/>
        <i val="0"/>
        <strike val="0"/>
        <condense val="0"/>
        <extend val="0"/>
        <outline val="0"/>
        <shadow val="0"/>
        <u val="none"/>
        <vertAlign val="baseline"/>
        <sz val="11"/>
        <color rgb="FF000000"/>
        <name val="Arial"/>
        <family val="2"/>
        <scheme val="none"/>
      </font>
      <numFmt numFmtId="167" formatCode="0.000"/>
      <fill>
        <patternFill patternType="solid">
          <fgColor indexed="64"/>
          <bgColor rgb="FFD9D9D9"/>
        </patternFill>
      </fill>
      <alignment horizontal="right" vertical="center" textRotation="0" wrapText="1" indent="0" justifyLastLine="0" shrinkToFit="0" readingOrder="0"/>
    </dxf>
    <dxf>
      <font>
        <strike val="0"/>
        <outline val="0"/>
        <shadow val="0"/>
        <u val="none"/>
        <vertAlign val="baseline"/>
        <sz val="11"/>
        <name val="Arial"/>
        <scheme val="none"/>
      </font>
      <numFmt numFmtId="167" formatCode="0.000"/>
      <fill>
        <patternFill patternType="solid">
          <fgColor indexed="64"/>
          <bgColor rgb="FFD9D9D9"/>
        </patternFill>
      </fill>
      <alignment horizontal="right" vertical="center" textRotation="0" indent="0" justifyLastLine="0" readingOrder="0"/>
    </dxf>
    <dxf>
      <font>
        <b val="0"/>
        <i val="0"/>
        <strike val="0"/>
        <condense val="0"/>
        <extend val="0"/>
        <outline val="0"/>
        <shadow val="0"/>
        <u val="none"/>
        <vertAlign val="baseline"/>
        <sz val="11"/>
        <color rgb="FF000000"/>
        <name val="Arial"/>
        <family val="2"/>
        <scheme val="none"/>
      </font>
      <numFmt numFmtId="167" formatCode="0.000"/>
      <fill>
        <patternFill patternType="solid">
          <fgColor indexed="64"/>
          <bgColor rgb="FFD9D9D9"/>
        </patternFill>
      </fill>
      <alignment horizontal="right" vertical="center" textRotation="0" wrapText="1" indent="0" justifyLastLine="0" shrinkToFit="0" readingOrder="0"/>
    </dxf>
    <dxf>
      <font>
        <strike val="0"/>
        <outline val="0"/>
        <shadow val="0"/>
        <u val="none"/>
        <vertAlign val="baseline"/>
        <sz val="11"/>
        <name val="Arial"/>
        <scheme val="none"/>
      </font>
      <numFmt numFmtId="167" formatCode="0.000"/>
      <fill>
        <patternFill patternType="solid">
          <fgColor indexed="64"/>
          <bgColor rgb="FFD9D9D9"/>
        </patternFill>
      </fill>
      <alignment horizontal="right" vertical="center" textRotation="0" indent="0" justifyLastLine="0" readingOrder="0"/>
    </dxf>
    <dxf>
      <font>
        <b val="0"/>
        <i val="0"/>
        <strike val="0"/>
        <condense val="0"/>
        <extend val="0"/>
        <outline val="0"/>
        <shadow val="0"/>
        <u val="none"/>
        <vertAlign val="baseline"/>
        <sz val="11"/>
        <color rgb="FF000000"/>
        <name val="Arial"/>
        <family val="2"/>
        <scheme val="none"/>
      </font>
      <numFmt numFmtId="167" formatCode="0.000"/>
      <fill>
        <patternFill patternType="solid">
          <fgColor indexed="64"/>
          <bgColor rgb="FFD9D9D9"/>
        </patternFill>
      </fill>
      <alignment horizontal="right" vertical="center" textRotation="0" wrapText="1" indent="0" justifyLastLine="0" shrinkToFit="0" readingOrder="0"/>
    </dxf>
    <dxf>
      <font>
        <strike val="0"/>
        <outline val="0"/>
        <shadow val="0"/>
        <u val="none"/>
        <vertAlign val="baseline"/>
        <sz val="11"/>
        <name val="Arial"/>
        <scheme val="none"/>
      </font>
      <numFmt numFmtId="167" formatCode="0.000"/>
      <fill>
        <patternFill patternType="solid">
          <fgColor indexed="64"/>
          <bgColor rgb="FFD9D9D9"/>
        </patternFill>
      </fill>
      <alignment horizontal="right" vertical="center" textRotation="0" indent="0" justifyLastLine="0" readingOrder="0"/>
    </dxf>
    <dxf>
      <font>
        <b val="0"/>
        <i val="0"/>
        <strike val="0"/>
        <condense val="0"/>
        <extend val="0"/>
        <outline val="0"/>
        <shadow val="0"/>
        <u val="none"/>
        <vertAlign val="baseline"/>
        <sz val="11"/>
        <color rgb="FF000000"/>
        <name val="Arial"/>
        <family val="2"/>
        <scheme val="none"/>
      </font>
      <numFmt numFmtId="167" formatCode="0.000"/>
      <fill>
        <patternFill patternType="solid">
          <fgColor indexed="64"/>
          <bgColor rgb="FFD9D9D9"/>
        </patternFill>
      </fill>
      <alignment horizontal="right" vertical="center" textRotation="0" wrapText="1" indent="0" justifyLastLine="0" shrinkToFit="0" readingOrder="0"/>
    </dxf>
    <dxf>
      <font>
        <strike val="0"/>
        <outline val="0"/>
        <shadow val="0"/>
        <u val="none"/>
        <vertAlign val="baseline"/>
        <sz val="11"/>
        <name val="Arial"/>
        <scheme val="none"/>
      </font>
      <numFmt numFmtId="167" formatCode="0.000"/>
      <fill>
        <patternFill patternType="solid">
          <fgColor indexed="64"/>
          <bgColor rgb="FFD9D9D9"/>
        </patternFill>
      </fill>
      <alignment horizontal="right" vertical="center" textRotation="0" indent="0" justifyLastLine="0" readingOrder="0"/>
    </dxf>
    <dxf>
      <font>
        <b val="0"/>
        <i val="0"/>
        <strike val="0"/>
        <condense val="0"/>
        <extend val="0"/>
        <outline val="0"/>
        <shadow val="0"/>
        <u val="none"/>
        <vertAlign val="baseline"/>
        <sz val="11"/>
        <color rgb="FF000000"/>
        <name val="Arial"/>
        <family val="2"/>
        <scheme val="none"/>
      </font>
      <numFmt numFmtId="167" formatCode="0.000"/>
      <fill>
        <patternFill patternType="solid">
          <fgColor indexed="64"/>
          <bgColor rgb="FFD9D9D9"/>
        </patternFill>
      </fill>
      <alignment horizontal="right" vertical="center" textRotation="0" wrapText="1" indent="0" justifyLastLine="0" shrinkToFit="0" readingOrder="0"/>
    </dxf>
    <dxf>
      <font>
        <strike val="0"/>
        <outline val="0"/>
        <shadow val="0"/>
        <u val="none"/>
        <vertAlign val="baseline"/>
        <sz val="11"/>
        <name val="Arial"/>
        <scheme val="none"/>
      </font>
      <numFmt numFmtId="167" formatCode="0.000"/>
      <fill>
        <patternFill patternType="solid">
          <fgColor indexed="64"/>
          <bgColor rgb="FFD9D9D9"/>
        </patternFill>
      </fill>
      <alignment horizontal="right" vertical="center" textRotation="0" indent="0" justifyLastLine="0" readingOrder="0"/>
    </dxf>
    <dxf>
      <font>
        <b val="0"/>
        <i val="0"/>
        <strike val="0"/>
        <condense val="0"/>
        <extend val="0"/>
        <outline val="0"/>
        <shadow val="0"/>
        <u val="none"/>
        <vertAlign val="baseline"/>
        <sz val="11"/>
        <color rgb="FF000000"/>
        <name val="Arial"/>
        <family val="2"/>
        <scheme val="none"/>
      </font>
      <numFmt numFmtId="167" formatCode="0.000"/>
      <fill>
        <patternFill patternType="solid">
          <fgColor indexed="64"/>
          <bgColor rgb="FFD9D9D9"/>
        </patternFill>
      </fill>
      <alignment horizontal="right" vertical="center" textRotation="0" wrapText="1" indent="0" justifyLastLine="0" shrinkToFit="0" readingOrder="0"/>
    </dxf>
    <dxf>
      <font>
        <strike val="0"/>
        <outline val="0"/>
        <shadow val="0"/>
        <u val="none"/>
        <vertAlign val="baseline"/>
        <sz val="11"/>
        <name val="Arial"/>
        <scheme val="none"/>
      </font>
      <numFmt numFmtId="167" formatCode="0.000"/>
      <fill>
        <patternFill patternType="solid">
          <fgColor indexed="64"/>
          <bgColor rgb="FFD9D9D9"/>
        </patternFill>
      </fill>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1" formatCode="0"/>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medium">
          <color indexed="64"/>
        </right>
        <top/>
        <bottom/>
      </border>
      <protection locked="0" hidden="0"/>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medium">
          <color indexed="64"/>
        </right>
        <top/>
        <bottom/>
      </border>
      <protection locked="0" hidden="0"/>
    </dxf>
    <dxf>
      <font>
        <b val="0"/>
        <i val="0"/>
        <strike val="0"/>
        <condense val="0"/>
        <extend val="0"/>
        <outline val="0"/>
        <shadow val="0"/>
        <u val="none"/>
        <vertAlign val="baseline"/>
        <sz val="11"/>
        <color auto="1"/>
        <name val="Arial"/>
        <family val="2"/>
        <scheme val="none"/>
      </font>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right" vertical="center" textRotation="0" wrapText="0"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family val="2"/>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family val="2"/>
        <scheme val="none"/>
      </font>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family val="2"/>
        <scheme val="none"/>
      </font>
      <numFmt numFmtId="30" formatCode="@"/>
      <alignment horizontal="left" vertical="center" textRotation="0" wrapText="0" indent="0" justifyLastLine="0" shrinkToFit="1" readingOrder="0"/>
      <border diagonalUp="0" diagonalDown="0" outline="0">
        <left style="medium">
          <color indexed="64"/>
        </left>
        <right style="thin">
          <color indexed="64"/>
        </right>
        <top/>
        <bottom/>
      </border>
      <protection locked="0" hidden="0"/>
    </dxf>
    <dxf>
      <font>
        <strike val="0"/>
        <outline val="0"/>
        <shadow val="0"/>
        <u val="none"/>
        <vertAlign val="baseline"/>
        <sz val="11"/>
        <name val="Arial"/>
        <scheme val="none"/>
      </font>
      <border diagonalUp="0" diagonalDown="0" outline="0">
        <left style="medium">
          <color indexed="64"/>
        </left>
        <right style="thin">
          <color indexed="64"/>
        </right>
        <top/>
        <bottom/>
      </border>
    </dxf>
    <dxf>
      <border outline="0">
        <left style="medium">
          <color indexed="64"/>
        </left>
        <right style="medium">
          <color indexed="64"/>
        </right>
        <top style="medium">
          <color indexed="64"/>
        </top>
        <bottom style="medium">
          <color indexed="64"/>
        </bottom>
      </border>
    </dxf>
    <dxf>
      <font>
        <strike val="0"/>
        <outline val="0"/>
        <shadow val="0"/>
        <u val="none"/>
        <vertAlign val="baseline"/>
        <sz val="11"/>
        <name val="Arial"/>
        <scheme val="none"/>
      </font>
      <numFmt numFmtId="1" formatCode="0"/>
    </dxf>
    <dxf>
      <border>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0" tint="-0.249977111117893"/>
        </patternFill>
      </fill>
      <alignment horizontal="center" vertical="center" textRotation="0" wrapText="1" indent="0" justifyLastLine="0" shrinkToFit="0" readingOrder="0"/>
      <border diagonalUp="0" diagonalDown="0" outline="0">
        <left style="thin">
          <color auto="1"/>
        </left>
        <right style="thin">
          <color auto="1"/>
        </right>
        <top/>
        <bottom/>
      </border>
      <protection locked="0"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auto="1"/>
        </patternFill>
      </fill>
      <alignment horizontal="lef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rgb="FF808080"/>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style="thin">
          <color rgb="FF000000"/>
        </left>
        <right/>
        <top style="thin">
          <color rgb="FF000000"/>
        </top>
        <bottom/>
      </border>
    </dxf>
    <dxf>
      <font>
        <b val="0"/>
        <i val="0"/>
        <strike val="0"/>
        <condense val="0"/>
        <extend val="0"/>
        <outline val="0"/>
        <shadow val="0"/>
        <u val="none"/>
        <vertAlign val="baseline"/>
        <sz val="11"/>
        <color rgb="FF808080"/>
        <name val="Arial"/>
        <family val="2"/>
        <scheme val="none"/>
      </font>
      <numFmt numFmtId="2" formatCode="0.00"/>
      <fill>
        <patternFill patternType="none">
          <fgColor indexed="64"/>
          <bgColor auto="1"/>
        </patternFill>
      </fill>
      <alignment horizontal="right" vertical="center" textRotation="0" wrapText="1" indent="0" justifyLastLine="0" shrinkToFit="0" readingOrder="0"/>
      <border diagonalUp="0" diagonalDown="0" outline="0">
        <left style="thin">
          <color rgb="FF000000"/>
        </left>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auto="1"/>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auto="1"/>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auto="1"/>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auto="1"/>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auto="1"/>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auto="1"/>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auto="1"/>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auto="1"/>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auto="1"/>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auto="1"/>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auto="1"/>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auto="1"/>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auto="1"/>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auto="1"/>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auto="1"/>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auto="1"/>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auto="1"/>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auto="1"/>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auto="1"/>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auto="1"/>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auto="1"/>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auto="1"/>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auto="1"/>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top/>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auto="1"/>
        </patternFill>
      </fill>
      <alignment horizontal="right" vertical="center" textRotation="0" wrapText="1" indent="0" justifyLastLine="0" shrinkToFit="0" readingOrder="0"/>
      <border diagonalUp="0" diagonalDown="0" outline="0">
        <left/>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auto="1"/>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auto="1"/>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auto="1"/>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auto="1"/>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auto="1"/>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auto="1"/>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auto="1"/>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auto="1"/>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auto="1"/>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auto="1"/>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auto="1"/>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auto="1"/>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auto="1"/>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auto="1"/>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auto="1"/>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auto="1"/>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auto="1"/>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auto="1"/>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auto="1"/>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auto="1"/>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auto="1"/>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auto="1"/>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auto="1"/>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auto="1"/>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auto="1"/>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auto="1"/>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auto="1"/>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auto="1"/>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auto="1"/>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auto="1"/>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auto="1"/>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auto="1"/>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auto="1"/>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auto="1"/>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auto="1"/>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auto="1"/>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auto="1"/>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auto="1"/>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auto="1"/>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auto="1"/>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auto="1"/>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auto="1"/>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auto="1"/>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auto="1"/>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auto="1"/>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auto="1"/>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auto="1"/>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auto="1"/>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auto="1"/>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auto="1"/>
        </patternFill>
      </fill>
      <alignment horizontal="right" vertical="center" textRotation="0" wrapText="1" indent="0" justifyLastLine="0" shrinkToFit="0" readingOrder="0"/>
      <border diagonalUp="0" diagonalDown="0" outline="0">
        <left style="thin">
          <color indexed="64"/>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auto="1"/>
        </patternFill>
      </fill>
      <alignment horizontal="right" vertical="center" textRotation="0" wrapText="1" indent="0" justifyLastLine="0" shrinkToFit="0" readingOrder="0"/>
      <border diagonalUp="0" diagonalDown="0" outline="0">
        <left style="thin">
          <color indexed="64"/>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auto="1"/>
        </patternFill>
      </fill>
      <alignment horizontal="right" vertical="center" textRotation="0" wrapText="1" indent="0" justifyLastLine="0" shrinkToFit="0" readingOrder="0"/>
      <border diagonalUp="0" diagonalDown="0" outline="0">
        <left style="thin">
          <color indexed="64"/>
        </left>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auto="1"/>
        </patternFill>
      </fill>
      <alignment horizontal="right" vertical="center" textRotation="0" wrapText="1" indent="0" justifyLastLine="0" shrinkToFit="0" readingOrder="0"/>
      <border diagonalUp="0" diagonalDown="0" outline="0">
        <left/>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auto="1"/>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auto="1"/>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1"/>
        <color auto="1"/>
        <name val="Arial"/>
        <family val="2"/>
        <scheme val="none"/>
      </font>
      <numFmt numFmtId="2" formatCode="0.00"/>
      <fill>
        <patternFill patternType="none">
          <fgColor indexed="64"/>
          <bgColor auto="1"/>
        </patternFill>
      </fill>
      <alignment horizontal="right" vertical="center" textRotation="0" wrapText="1" indent="0" justifyLastLine="0" shrinkToFit="0" readingOrder="0"/>
      <border diagonalUp="0" diagonalDown="0" outline="0">
        <left/>
        <right style="thin">
          <color indexed="64"/>
        </right>
        <top/>
        <bottom style="thin">
          <color indexed="64"/>
        </bottom>
      </border>
    </dxf>
    <dxf>
      <font>
        <b val="0"/>
        <i val="0"/>
        <strike val="0"/>
        <condense val="0"/>
        <extend val="0"/>
        <outline val="0"/>
        <shadow val="0"/>
        <u val="none"/>
        <vertAlign val="baseline"/>
        <sz val="11"/>
        <color auto="1"/>
        <name val="Arial"/>
        <family val="2"/>
        <scheme val="none"/>
      </font>
      <fill>
        <patternFill patternType="solid">
          <fgColor indexed="64"/>
          <bgColor theme="0" tint="-4.9989318521683403E-2"/>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auto="1"/>
        <name val="Arial"/>
        <family val="2"/>
        <scheme val="none"/>
      </font>
      <fill>
        <patternFill patternType="none">
          <fgColor indexed="64"/>
          <bgColor auto="1"/>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family val="2"/>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auto="1"/>
        <name val="Arial"/>
        <family val="2"/>
        <scheme val="none"/>
      </font>
      <fill>
        <patternFill patternType="none">
          <fgColor indexed="64"/>
          <bgColor auto="1"/>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auto="1"/>
        <name val="Arial"/>
        <family val="2"/>
        <scheme val="none"/>
      </font>
      <fill>
        <patternFill patternType="none">
          <fgColor indexed="64"/>
          <bgColor auto="1"/>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auto="1"/>
        <name val="Arial"/>
        <family val="2"/>
        <scheme val="none"/>
      </font>
      <fill>
        <patternFill patternType="none">
          <fgColor indexed="64"/>
          <bgColor auto="1"/>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auto="1"/>
        <name val="Arial"/>
        <family val="2"/>
        <scheme val="none"/>
      </font>
      <fill>
        <patternFill patternType="none">
          <fgColor indexed="64"/>
          <bgColor auto="1"/>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family val="2"/>
        <scheme val="none"/>
      </font>
      <fill>
        <patternFill patternType="solid">
          <fgColor indexed="64"/>
          <bgColor rgb="FFFFFF99"/>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auto="1"/>
        <name val="Arial"/>
        <family val="2"/>
        <scheme val="none"/>
      </font>
      <fill>
        <patternFill patternType="none">
          <fgColor indexed="64"/>
          <bgColor auto="1"/>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auto="1"/>
        <name val="Arial"/>
        <family val="2"/>
        <scheme val="none"/>
      </font>
      <fill>
        <patternFill patternType="none">
          <fgColor indexed="64"/>
          <bgColor auto="1"/>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auto="1"/>
        <name val="Arial"/>
        <family val="2"/>
        <scheme val="none"/>
      </font>
      <fill>
        <patternFill patternType="none">
          <fgColor indexed="64"/>
          <bgColor auto="1"/>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auto="1"/>
        <name val="Arial"/>
        <family val="2"/>
        <scheme val="none"/>
      </font>
      <fill>
        <patternFill patternType="none">
          <fgColor indexed="64"/>
          <bgColor auto="1"/>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rgb="FFFFFFFF"/>
        <name val="Arial"/>
        <family val="2"/>
        <scheme val="none"/>
      </font>
      <numFmt numFmtId="0" formatCode="General"/>
      <fill>
        <patternFill patternType="solid">
          <fgColor indexed="64"/>
          <bgColor rgb="FFFFFF99"/>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rgb="FFFFFFFF"/>
        <name val="Arial"/>
        <family val="2"/>
        <scheme val="none"/>
      </font>
      <numFmt numFmtId="0" formatCode="General"/>
      <fill>
        <patternFill patternType="none">
          <fgColor indexed="64"/>
          <bgColor auto="1"/>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border outline="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1"/>
        <color auto="1"/>
        <name val="Arial"/>
        <family val="2"/>
        <scheme val="none"/>
      </font>
      <fill>
        <patternFill patternType="none">
          <fgColor indexed="64"/>
          <bgColor auto="1"/>
        </patternFill>
      </fill>
      <alignment horizontal="left" vertical="center" textRotation="0" wrapText="1" indent="0" justifyLastLine="0" shrinkToFit="0" readingOrder="0"/>
    </dxf>
    <dxf>
      <border outline="0">
        <bottom style="medium">
          <color indexed="64"/>
        </bottom>
      </border>
    </dxf>
    <dxf>
      <font>
        <b/>
        <i val="0"/>
        <strike val="0"/>
        <condense val="0"/>
        <extend val="0"/>
        <outline val="0"/>
        <shadow val="0"/>
        <u val="none"/>
        <vertAlign val="baseline"/>
        <sz val="11"/>
        <color auto="1"/>
        <name val="Arial"/>
        <family val="2"/>
        <scheme val="none"/>
      </font>
      <fill>
        <patternFill patternType="solid">
          <fgColor rgb="FF000000"/>
          <bgColor theme="0" tint="-0.249977111117893"/>
        </patternFill>
      </fill>
      <alignment horizontal="left" vertical="center" textRotation="0" wrapText="1" indent="0" justifyLastLine="0" shrinkToFit="0" readingOrder="0"/>
      <border diagonalUp="0" diagonalDown="0" outline="0">
        <left style="thin">
          <color rgb="FF000000"/>
        </left>
        <right style="thin">
          <color rgb="FF000000"/>
        </right>
        <top/>
        <bottom/>
      </border>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val="0"/>
        <i/>
        <strike val="0"/>
        <condense val="0"/>
        <extend val="0"/>
        <outline val="0"/>
        <shadow val="0"/>
        <u val="none"/>
        <vertAlign val="baseline"/>
        <sz val="11"/>
        <color rgb="FF000000"/>
        <name val="Arial"/>
        <family val="2"/>
        <scheme val="none"/>
      </font>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Arial"/>
        <family val="2"/>
        <scheme val="none"/>
      </font>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Arial"/>
        <family val="2"/>
        <scheme val="none"/>
      </font>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Arial"/>
        <family val="2"/>
        <scheme val="none"/>
      </font>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Arial"/>
        <family val="2"/>
        <scheme val="none"/>
      </font>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Arial"/>
        <family val="2"/>
        <scheme val="none"/>
      </font>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Arial"/>
        <family val="2"/>
        <scheme val="none"/>
      </font>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Arial"/>
        <family val="2"/>
        <scheme val="none"/>
      </font>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Arial"/>
        <family val="2"/>
        <scheme val="none"/>
      </font>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Arial"/>
        <family val="2"/>
        <scheme val="none"/>
      </font>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Arial"/>
        <family val="2"/>
        <scheme val="none"/>
      </font>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Arial"/>
        <family val="2"/>
        <scheme val="none"/>
      </font>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Arial"/>
        <family val="2"/>
        <scheme val="none"/>
      </font>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Arial"/>
        <family val="2"/>
        <scheme val="none"/>
      </font>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Arial"/>
        <family val="2"/>
        <scheme val="none"/>
      </font>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Arial"/>
        <family val="2"/>
        <scheme val="none"/>
      </font>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Arial"/>
        <family val="2"/>
        <scheme val="none"/>
      </font>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Arial"/>
        <family val="2"/>
        <scheme val="none"/>
      </font>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Arial"/>
        <family val="2"/>
        <scheme val="none"/>
      </font>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Arial"/>
        <family val="2"/>
        <scheme val="none"/>
      </font>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Arial"/>
        <family val="2"/>
        <scheme val="none"/>
      </font>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Arial"/>
        <family val="2"/>
        <scheme val="none"/>
      </font>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Arial"/>
        <family val="2"/>
        <scheme val="none"/>
      </font>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strike val="0"/>
        <condense val="0"/>
        <extend val="0"/>
        <outline val="0"/>
        <shadow val="0"/>
        <u val="none"/>
        <vertAlign val="baseline"/>
        <sz val="11"/>
        <color rgb="FF000000"/>
        <name val="Arial"/>
        <family val="2"/>
        <scheme val="none"/>
      </font>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strike val="0"/>
        <condense val="0"/>
        <extend val="0"/>
        <outline val="0"/>
        <shadow val="0"/>
        <u val="none"/>
        <vertAlign val="baseline"/>
        <sz val="11"/>
        <color rgb="FF000000"/>
        <name val="Arial"/>
        <family val="2"/>
        <scheme val="none"/>
      </font>
      <numFmt numFmtId="2" formatCode="0.00"/>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outline="0">
        <left/>
        <right/>
        <top style="thin">
          <color indexed="64"/>
        </top>
        <bottom style="thin">
          <color indexed="64"/>
        </bottom>
      </border>
    </dxf>
    <dxf>
      <font>
        <b val="0"/>
        <i/>
        <strike val="0"/>
        <condense val="0"/>
        <extend val="0"/>
        <outline val="0"/>
        <shadow val="0"/>
        <u val="none"/>
        <vertAlign val="baseline"/>
        <sz val="11"/>
        <color rgb="FF000000"/>
        <name val="Arial"/>
        <family val="2"/>
        <scheme val="none"/>
      </font>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outline="0">
        <left/>
        <right/>
        <top style="thin">
          <color indexed="64"/>
        </top>
        <bottom style="thin">
          <color indexed="64"/>
        </bottom>
      </border>
    </dxf>
    <dxf>
      <font>
        <b val="0"/>
        <i/>
        <strike val="0"/>
        <condense val="0"/>
        <extend val="0"/>
        <outline val="0"/>
        <shadow val="0"/>
        <u val="none"/>
        <vertAlign val="baseline"/>
        <sz val="11"/>
        <color rgb="FF000000"/>
        <name val="Arial"/>
        <family val="2"/>
        <scheme val="none"/>
      </font>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family val="2"/>
        <scheme val="none"/>
      </font>
      <alignment horizontal="left" vertical="center" textRotation="0" wrapText="1" indent="0" justifyLastLine="0" shrinkToFit="0" readingOrder="0"/>
      <border diagonalUp="0" diagonalDown="0" outline="0">
        <left style="thin">
          <color indexed="64"/>
        </left>
        <right/>
        <top style="thin">
          <color indexed="64"/>
        </top>
        <bottom style="thin">
          <color indexed="64"/>
        </bottom>
      </border>
    </dxf>
    <dxf>
      <font>
        <b val="0"/>
        <i/>
        <strike val="0"/>
        <condense val="0"/>
        <extend val="0"/>
        <outline val="0"/>
        <shadow val="0"/>
        <u val="none"/>
        <vertAlign val="baseline"/>
        <sz val="11"/>
        <color rgb="FF000000"/>
        <name val="Arial"/>
        <family val="2"/>
        <scheme val="none"/>
      </font>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outline="0">
        <left style="thin">
          <color indexed="64"/>
        </left>
        <right/>
        <top style="thin">
          <color indexed="64"/>
        </top>
        <bottom style="thin">
          <color indexed="64"/>
        </bottom>
      </border>
    </dxf>
    <dxf>
      <font>
        <b val="0"/>
        <i/>
        <strike val="0"/>
        <condense val="0"/>
        <extend val="0"/>
        <outline val="0"/>
        <shadow val="0"/>
        <u val="none"/>
        <vertAlign val="baseline"/>
        <sz val="11"/>
        <color rgb="FF000000"/>
        <name val="Arial"/>
        <family val="2"/>
        <scheme val="none"/>
      </font>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family val="2"/>
        <scheme val="none"/>
      </font>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Arial"/>
        <family val="2"/>
        <scheme val="none"/>
      </font>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Arial"/>
        <family val="2"/>
        <scheme val="none"/>
      </font>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Arial"/>
        <family val="2"/>
        <scheme val="none"/>
      </font>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Arial"/>
        <family val="2"/>
        <scheme val="none"/>
      </font>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Arial"/>
        <family val="2"/>
        <scheme val="none"/>
      </font>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Arial"/>
        <family val="2"/>
        <scheme val="none"/>
      </font>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Arial"/>
        <family val="2"/>
        <scheme val="none"/>
      </font>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Arial"/>
        <family val="2"/>
        <scheme val="none"/>
      </font>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family val="2"/>
        <scheme val="none"/>
      </font>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family val="2"/>
        <scheme val="none"/>
      </font>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Arial"/>
        <family val="2"/>
        <scheme val="none"/>
      </font>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strike val="0"/>
        <condense val="0"/>
        <extend val="0"/>
        <outline val="0"/>
        <shadow val="0"/>
        <u val="none"/>
        <vertAlign val="baseline"/>
        <sz val="11"/>
        <color rgb="FF000000"/>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family val="2"/>
        <scheme val="none"/>
      </font>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family val="2"/>
        <scheme val="none"/>
      </font>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family val="2"/>
        <scheme val="none"/>
      </font>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family val="2"/>
        <scheme val="none"/>
      </font>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family val="2"/>
        <scheme val="none"/>
      </font>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family val="2"/>
        <scheme val="none"/>
      </font>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family val="2"/>
        <scheme val="none"/>
      </font>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family val="2"/>
        <scheme val="none"/>
      </font>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family val="2"/>
        <scheme val="none"/>
      </font>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family val="2"/>
        <scheme val="none"/>
      </font>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family val="2"/>
        <scheme val="none"/>
      </font>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family val="2"/>
        <scheme val="none"/>
      </font>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family val="2"/>
        <scheme val="none"/>
      </font>
      <fill>
        <patternFill patternType="solid">
          <fgColor indexed="64"/>
          <bgColor rgb="FFFFFF99"/>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family val="2"/>
        <scheme val="none"/>
      </font>
      <fill>
        <patternFill patternType="solid">
          <fgColor indexed="64"/>
          <bgColor rgb="FFFFFF99"/>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family val="2"/>
        <scheme val="none"/>
      </font>
      <fill>
        <patternFill patternType="solid">
          <fgColor indexed="64"/>
          <bgColor rgb="FFFFFF99"/>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family val="2"/>
        <scheme val="none"/>
      </font>
      <numFmt numFmtId="0" formatCode="General"/>
      <fill>
        <patternFill patternType="none">
          <fgColor indexed="64"/>
          <bgColor auto="1"/>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family val="2"/>
        <scheme val="none"/>
      </font>
      <fill>
        <patternFill patternType="solid">
          <fgColor indexed="64"/>
          <bgColor rgb="FFFFFF99"/>
        </patternFill>
      </fill>
      <alignment horizontal="left" vertical="bottom" textRotation="0" wrapText="1" indent="0" justifyLastLine="0" shrinkToFit="0" readingOrder="1"/>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bottom" textRotation="0" wrapText="1" indent="0" justifyLastLine="0" shrinkToFit="0" readingOrder="1"/>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family val="2"/>
        <scheme val="none"/>
      </font>
      <fill>
        <patternFill patternType="solid">
          <fgColor indexed="64"/>
          <bgColor rgb="FFFFFF99"/>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family val="2"/>
        <scheme val="none"/>
      </font>
      <fill>
        <patternFill patternType="solid">
          <fgColor indexed="64"/>
          <bgColor rgb="FFFFFF99"/>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family val="2"/>
        <scheme val="none"/>
      </font>
      <fill>
        <patternFill patternType="none">
          <fgColor indexed="64"/>
          <bgColor indexed="65"/>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family val="2"/>
        <scheme val="none"/>
      </font>
      <fill>
        <patternFill patternType="solid">
          <fgColor indexed="64"/>
          <bgColor rgb="FFFFFF99"/>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rgb="FF000000"/>
        <name val="Arial"/>
        <family val="2"/>
        <scheme val="none"/>
      </font>
      <numFmt numFmtId="0" formatCode="General"/>
      <fill>
        <patternFill patternType="solid">
          <fgColor indexed="64"/>
          <bgColor rgb="FFFFFF99"/>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border outline="0">
        <left style="medium">
          <color indexed="64"/>
        </left>
        <right style="medium">
          <color indexed="64"/>
        </right>
        <top style="medium">
          <color indexed="64"/>
        </top>
        <bottom style="medium">
          <color indexed="64"/>
        </bottom>
      </border>
    </dxf>
    <dxf>
      <font>
        <b val="0"/>
        <i/>
        <strike val="0"/>
        <condense val="0"/>
        <extend val="0"/>
        <outline val="0"/>
        <shadow val="0"/>
        <u val="none"/>
        <vertAlign val="baseline"/>
        <sz val="11"/>
        <color rgb="FF000000"/>
        <name val="Arial"/>
        <family val="2"/>
        <scheme val="none"/>
      </font>
      <fill>
        <patternFill patternType="none">
          <fgColor indexed="64"/>
          <bgColor indexed="65"/>
        </patternFill>
      </fill>
      <alignment horizontal="left" vertical="center" textRotation="0" wrapText="1" indent="0" justifyLastLine="0" shrinkToFit="0" readingOrder="0"/>
    </dxf>
    <dxf>
      <border>
        <bottom style="medium">
          <color indexed="64"/>
        </bottom>
      </border>
    </dxf>
    <dxf>
      <font>
        <b/>
        <i val="0"/>
        <strike val="0"/>
        <condense val="0"/>
        <extend val="0"/>
        <outline val="0"/>
        <shadow val="0"/>
        <u val="none"/>
        <vertAlign val="baseline"/>
        <sz val="11"/>
        <color rgb="FF000000"/>
        <name val="Arial"/>
        <family val="2"/>
        <scheme val="none"/>
      </font>
      <fill>
        <patternFill patternType="solid">
          <fgColor rgb="FF000000"/>
          <bgColor rgb="FFC0C0C0"/>
        </patternFill>
      </fill>
      <alignment horizontal="left" vertical="center" textRotation="0" wrapText="1" indent="0" justifyLastLine="0" shrinkToFit="0" readingOrder="0"/>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color rgb="FF006100"/>
      </font>
      <fill>
        <patternFill>
          <bgColor rgb="FFC6EFCE"/>
        </patternFill>
      </fill>
    </dxf>
    <dxf>
      <font>
        <color rgb="FF006100"/>
      </font>
      <fill>
        <patternFill>
          <bgColor rgb="FFC6EFCE"/>
        </patternFill>
      </fill>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medium">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1" indent="0" justifyLastLine="0" shrinkToFit="0" readingOrder="0"/>
      <border diagonalUp="0" diagonalDown="0" outline="0">
        <left style="thin">
          <color indexed="64"/>
        </left>
        <right style="medium">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right style="thin">
          <color indexed="64"/>
        </right>
        <top style="thin">
          <color indexed="64"/>
        </top>
        <bottom style="medium">
          <color indexed="64"/>
        </bottom>
      </border>
      <protection locked="0" hidden="0"/>
    </dxf>
    <dxf>
      <border outline="0">
        <left style="medium">
          <color indexed="64"/>
        </left>
        <top style="medium">
          <color indexed="64"/>
        </top>
        <bottom style="medium">
          <color indexed="64"/>
        </bottom>
      </border>
    </dxf>
    <dxf>
      <font>
        <b val="0"/>
        <i val="0"/>
        <strike val="0"/>
        <condense val="0"/>
        <extend val="0"/>
        <outline val="0"/>
        <shadow val="0"/>
        <u val="none"/>
        <vertAlign val="baseline"/>
        <sz val="11"/>
        <color auto="1"/>
        <name val="Arial"/>
        <scheme val="none"/>
      </font>
      <numFmt numFmtId="1" formatCode="0"/>
      <fill>
        <patternFill patternType="solid">
          <fgColor indexed="64"/>
          <bgColor rgb="FFFFFF99"/>
        </patternFill>
      </fill>
      <alignment horizontal="left" vertical="center" textRotation="0" wrapText="1" indent="0" justifyLastLine="0" shrinkToFit="0" readingOrder="0"/>
      <protection locked="0" hidden="0"/>
    </dxf>
    <dxf>
      <font>
        <b/>
        <i val="0"/>
        <strike val="0"/>
        <condense val="0"/>
        <extend val="0"/>
        <outline val="0"/>
        <shadow val="0"/>
        <u val="none"/>
        <vertAlign val="baseline"/>
        <sz val="11"/>
        <color auto="1"/>
        <name val="Arial"/>
        <scheme val="none"/>
      </font>
      <numFmt numFmtId="1" formatCode="0"/>
      <fill>
        <patternFill patternType="solid">
          <fgColor indexed="64"/>
          <bgColor theme="4" tint="0.39997558519241921"/>
        </patternFill>
      </fill>
      <alignment horizontal="left" vertical="center"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numFmt numFmtId="1" formatCode="0"/>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left style="thin">
          <color indexed="64"/>
        </left>
        <right style="thin">
          <color indexed="64"/>
        </right>
        <top style="thin">
          <color auto="1"/>
        </top>
        <bottom style="thin">
          <color auto="1"/>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left style="thin">
          <color indexed="64"/>
        </left>
        <right style="thin">
          <color indexed="64"/>
        </right>
        <top style="thin">
          <color auto="1"/>
        </top>
        <bottom style="thin">
          <color auto="1"/>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left style="thin">
          <color indexed="64"/>
        </left>
        <right style="thin">
          <color indexed="64"/>
        </right>
        <top style="thin">
          <color auto="1"/>
        </top>
        <bottom style="thin">
          <color auto="1"/>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left style="thin">
          <color indexed="64"/>
        </left>
        <right style="thin">
          <color indexed="64"/>
        </right>
        <top style="thin">
          <color auto="1"/>
        </top>
        <bottom style="thin">
          <color auto="1"/>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left style="thin">
          <color indexed="64"/>
        </left>
        <right style="thin">
          <color indexed="64"/>
        </right>
        <top style="thin">
          <color auto="1"/>
        </top>
        <bottom style="thin">
          <color auto="1"/>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left style="medium">
          <color indexed="64"/>
        </left>
        <right style="thin">
          <color indexed="64"/>
        </right>
        <top style="thin">
          <color auto="1"/>
        </top>
        <bottom style="thin">
          <color auto="1"/>
        </bottom>
      </border>
      <protection locked="0" hidden="0"/>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1" indent="0" justifyLastLine="0" shrinkToFit="0" readingOrder="0"/>
      <border diagonalUp="0" diagonalDown="0" outline="0">
        <left style="thin">
          <color indexed="64"/>
        </left>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right style="thin">
          <color indexed="64"/>
        </right>
        <top style="thin">
          <color indexed="64"/>
        </top>
        <bottom style="thin">
          <color indexed="64"/>
        </bottom>
      </border>
      <protection locked="0" hidden="0"/>
    </dxf>
    <dxf>
      <border outline="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1"/>
        <color auto="1"/>
        <name val="Arial"/>
        <scheme val="none"/>
      </font>
      <numFmt numFmtId="1" formatCode="0"/>
      <fill>
        <patternFill patternType="none">
          <fgColor indexed="64"/>
          <bgColor indexed="65"/>
        </patternFill>
      </fill>
      <alignment horizontal="left" vertical="center" textRotation="0" wrapText="1" indent="0" justifyLastLine="0" shrinkToFit="0" readingOrder="0"/>
      <protection locked="0" hidden="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4" tint="0.39997558519241921"/>
        </patternFill>
      </fill>
      <alignment horizontal="left" vertical="center" textRotation="0" wrapText="1" indent="0" justifyLastLine="0" shrinkToFit="0" readingOrder="0"/>
      <border diagonalUp="0" diagonalDown="0" outline="0">
        <left style="thin">
          <color indexed="64"/>
        </left>
        <right style="thin">
          <color indexed="64"/>
        </right>
        <top/>
        <bottom/>
      </border>
      <protection locked="0" hidden="0"/>
    </dxf>
    <dxf>
      <numFmt numFmtId="1" formatCode="0"/>
      <alignment horizontal="lef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font>
        <sz val="11"/>
        <color auto="1"/>
      </font>
      <numFmt numFmtId="2" formatCode="0.00"/>
      <fill>
        <patternFill patternType="solid">
          <fgColor indexed="64"/>
          <bgColor indexed="43"/>
        </patternFill>
      </fill>
      <alignment horizontal="right" vertical="center" textRotation="0" wrapText="1" indent="0" justifyLastLine="0" shrinkToFit="0" readingOrder="0"/>
      <border diagonalUp="0" diagonalDown="0">
        <left/>
        <right style="thin">
          <color indexed="64"/>
        </right>
        <top style="thin">
          <color indexed="64"/>
        </top>
        <bottom style="medium">
          <color indexed="64"/>
        </bottom>
        <vertical/>
        <horizontal/>
      </border>
      <protection locked="0" hidden="0"/>
    </dxf>
    <dxf>
      <font>
        <sz val="11"/>
        <color auto="1"/>
      </font>
      <numFmt numFmtId="2" formatCode="0.00"/>
      <fill>
        <patternFill patternType="solid">
          <fgColor indexed="64"/>
          <bgColor indexed="43"/>
        </patternFill>
      </fill>
      <alignment horizontal="right" vertical="center" textRotation="0" wrapText="1" indent="0" justifyLastLine="0" shrinkToFit="0" readingOrder="0"/>
      <border diagonalUp="0" diagonalDown="0">
        <left/>
        <right style="thin">
          <color indexed="64"/>
        </right>
        <top style="thin">
          <color indexed="64"/>
        </top>
        <bottom style="medium">
          <color indexed="64"/>
        </bottom>
        <vertical/>
        <horizontal/>
      </border>
      <protection locked="0" hidden="0"/>
    </dxf>
    <dxf>
      <font>
        <sz val="11"/>
        <color auto="1"/>
      </font>
      <numFmt numFmtId="2" formatCode="0.00"/>
      <fill>
        <patternFill patternType="solid">
          <fgColor indexed="64"/>
          <bgColor indexed="43"/>
        </patternFill>
      </fill>
      <alignment horizontal="right" vertical="center" textRotation="0" wrapText="1" indent="0" justifyLastLine="0" shrinkToFit="0" readingOrder="0"/>
      <border diagonalUp="0" diagonalDown="0">
        <left/>
        <right style="thin">
          <color indexed="64"/>
        </right>
        <top style="thin">
          <color indexed="64"/>
        </top>
        <bottom style="medium">
          <color indexed="64"/>
        </bottom>
        <vertical/>
        <horizontal/>
      </border>
      <protection locked="0" hidden="0"/>
    </dxf>
    <dxf>
      <font>
        <sz val="11"/>
        <color auto="1"/>
      </font>
      <numFmt numFmtId="2" formatCode="0.00"/>
      <fill>
        <patternFill patternType="solid">
          <fgColor indexed="64"/>
          <bgColor indexed="43"/>
        </patternFill>
      </fill>
      <alignment horizontal="right" vertical="center" textRotation="0" wrapText="1" indent="0" justifyLastLine="0" shrinkToFit="0" readingOrder="0"/>
      <border diagonalUp="0" diagonalDown="0">
        <left/>
        <right style="thin">
          <color indexed="64"/>
        </right>
        <top style="thin">
          <color indexed="64"/>
        </top>
        <bottom style="medium">
          <color indexed="64"/>
        </bottom>
        <vertical/>
        <horizontal/>
      </border>
      <protection locked="0" hidden="0"/>
    </dxf>
    <dxf>
      <font>
        <sz val="11"/>
        <color auto="1"/>
      </font>
      <numFmt numFmtId="2" formatCode="0.00"/>
      <fill>
        <patternFill patternType="solid">
          <fgColor indexed="64"/>
          <bgColor indexed="43"/>
        </patternFill>
      </fill>
      <alignment horizontal="right" vertical="center" textRotation="0" wrapText="1" indent="0" justifyLastLine="0" shrinkToFit="0" readingOrder="0"/>
      <border diagonalUp="0" diagonalDown="0">
        <left/>
        <right style="thin">
          <color indexed="64"/>
        </right>
        <top style="thin">
          <color indexed="64"/>
        </top>
        <bottom style="medium">
          <color indexed="64"/>
        </bottom>
        <vertical/>
        <horizontal/>
      </border>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1" indent="0" justifyLastLine="0" shrinkToFit="0" readingOrder="0"/>
      <border diagonalUp="0" diagonalDown="0" outline="0">
        <left style="thin">
          <color indexed="64"/>
        </left>
        <right style="medium">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right style="thin">
          <color indexed="64"/>
        </right>
        <top style="thin">
          <color indexed="64"/>
        </top>
        <bottom style="medium">
          <color indexed="64"/>
        </bottom>
      </border>
      <protection locked="0" hidden="0"/>
    </dxf>
    <dxf>
      <border outline="0">
        <left style="medium">
          <color indexed="64"/>
        </left>
        <top style="medium">
          <color indexed="64"/>
        </top>
        <bottom style="medium">
          <color indexed="64"/>
        </bottom>
      </border>
    </dxf>
    <dxf>
      <numFmt numFmtId="1" formatCode="0"/>
      <alignment horizontal="left" vertical="center" textRotation="0" indent="0" justifyLastLine="0" readingOrder="0"/>
    </dxf>
    <dxf>
      <font>
        <b/>
        <i val="0"/>
        <strike val="0"/>
        <condense val="0"/>
        <extend val="0"/>
        <outline val="0"/>
        <shadow val="0"/>
        <u val="none"/>
        <vertAlign val="baseline"/>
        <sz val="11"/>
        <color auto="1"/>
        <name val="Arial"/>
        <scheme val="none"/>
      </font>
      <numFmt numFmtId="1" formatCode="0"/>
      <fill>
        <patternFill patternType="solid">
          <fgColor indexed="64"/>
          <bgColor theme="8" tint="0.39997558519241921"/>
        </patternFill>
      </fill>
      <alignment horizontal="left" vertical="center"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numFmt numFmtId="1" formatCode="0"/>
      <fill>
        <patternFill patternType="solid">
          <fgColor indexed="64"/>
          <bgColor rgb="FFFFFF99"/>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medium">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1" indent="0" justifyLastLine="0" shrinkToFit="0" readingOrder="0"/>
      <border diagonalUp="0" diagonalDown="0" outline="0">
        <left style="thin">
          <color indexed="64"/>
        </left>
        <right style="medium">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right style="thin">
          <color indexed="64"/>
        </right>
        <top style="thin">
          <color indexed="64"/>
        </top>
        <bottom style="medium">
          <color indexed="64"/>
        </bottom>
      </border>
      <protection locked="0" hidden="0"/>
    </dxf>
    <dxf>
      <border outline="0">
        <left style="medium">
          <color indexed="64"/>
        </left>
        <top style="medium">
          <color indexed="64"/>
        </top>
        <bottom style="medium">
          <color indexed="64"/>
        </bottom>
      </border>
    </dxf>
    <dxf>
      <font>
        <b val="0"/>
        <i val="0"/>
        <strike val="0"/>
        <condense val="0"/>
        <extend val="0"/>
        <outline val="0"/>
        <shadow val="0"/>
        <u val="none"/>
        <vertAlign val="baseline"/>
        <sz val="11"/>
        <color auto="1"/>
        <name val="Arial"/>
        <scheme val="none"/>
      </font>
      <numFmt numFmtId="1" formatCode="0"/>
      <fill>
        <patternFill patternType="solid">
          <fgColor indexed="64"/>
          <bgColor rgb="FFFFFF99"/>
        </patternFill>
      </fill>
      <alignment horizontal="left" vertical="center" textRotation="0" wrapText="1" indent="0" justifyLastLine="0" shrinkToFit="0" readingOrder="0"/>
      <protection locked="0" hidden="0"/>
    </dxf>
    <dxf>
      <font>
        <b/>
        <i val="0"/>
        <strike val="0"/>
        <condense val="0"/>
        <extend val="0"/>
        <outline val="0"/>
        <shadow val="0"/>
        <u val="none"/>
        <vertAlign val="baseline"/>
        <sz val="11"/>
        <color auto="1"/>
        <name val="Arial"/>
        <scheme val="none"/>
      </font>
      <numFmt numFmtId="1" formatCode="0"/>
      <fill>
        <patternFill patternType="solid">
          <fgColor indexed="64"/>
          <bgColor theme="7" tint="0.39997558519241921"/>
        </patternFill>
      </fill>
      <alignment horizontal="left" vertical="center"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family val="2"/>
        <scheme val="none"/>
      </font>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1" formatCode="0"/>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outline="0">
        <left style="medium">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left style="medium">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1" formatCode="0"/>
      <fill>
        <patternFill patternType="solid">
          <fgColor indexed="64"/>
          <bgColor theme="0" tint="-4.9989318521683403E-2"/>
        </patternFill>
      </fill>
      <alignment horizontal="right" vertical="center" textRotation="0" wrapText="1" indent="0" justifyLastLine="0" shrinkToFit="0" readingOrder="0"/>
      <border diagonalUp="0" diagonalDown="0" outline="0">
        <left style="thin">
          <color indexed="64"/>
        </left>
        <right/>
        <top style="thin">
          <color indexed="64"/>
        </top>
        <bottom/>
      </border>
      <protection locked="0" hidden="0"/>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1" indent="0" justifyLastLine="0" shrinkToFit="0" readingOrder="0"/>
      <border diagonalUp="0" diagonalDown="0" outline="0">
        <left style="thin">
          <color indexed="64"/>
        </left>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right style="thin">
          <color indexed="64"/>
        </right>
        <top style="thin">
          <color indexed="64"/>
        </top>
        <bottom style="thin">
          <color indexed="64"/>
        </bottom>
      </border>
      <protection locked="0" hidden="0"/>
    </dxf>
    <dxf>
      <border outline="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1"/>
        <color auto="1"/>
        <name val="Arial"/>
        <scheme val="none"/>
      </font>
      <numFmt numFmtId="1" formatCode="0"/>
      <fill>
        <patternFill patternType="none">
          <fgColor indexed="64"/>
          <bgColor indexed="65"/>
        </patternFill>
      </fill>
      <alignment horizontal="left" vertical="center" textRotation="0" wrapText="1" indent="0" justifyLastLine="0" shrinkToFit="0" readingOrder="0"/>
      <protection locked="0" hidden="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7" tint="0.39997558519241921"/>
        </patternFill>
      </fill>
      <alignment horizontal="left" vertical="center"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family val="2"/>
        <scheme val="none"/>
      </font>
      <alignment horizontal="right" vertical="center" textRotation="0" wrapText="1" indent="0" justifyLastLine="0" shrinkToFit="0" readingOrder="0"/>
      <protection locked="0" hidden="0"/>
    </dxf>
    <dxf>
      <numFmt numFmtId="1" formatCode="0"/>
      <alignment horizontal="lef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167" formatCode="0.000"/>
      <alignment horizontal="right" vertical="center" textRotation="0" wrapText="1" indent="0" justifyLastLine="0" shrinkToFit="0" readingOrder="0"/>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167" formatCode="0.000"/>
      <alignment horizontal="right" vertical="center" textRotation="0" wrapText="1" indent="0" justifyLastLine="0" shrinkToFit="0" readingOrder="0"/>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167" formatCode="0.000"/>
      <alignment horizontal="right" vertical="center" textRotation="0" wrapText="1" indent="0" justifyLastLine="0" shrinkToFit="0" readingOrder="0"/>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167" formatCode="0.000"/>
      <alignment horizontal="right" vertical="center" textRotation="0" wrapText="1" indent="0" justifyLastLine="0" shrinkToFit="0" readingOrder="0"/>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167" formatCode="0.000"/>
      <alignment horizontal="right" vertical="center" textRotation="0" wrapText="1" indent="0" justifyLastLine="0" shrinkToFit="0" readingOrder="0"/>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167" formatCode="0.000"/>
      <alignment horizontal="right" vertical="center" textRotation="0" wrapText="1" indent="0" justifyLastLine="0" shrinkToFit="0" readingOrder="0"/>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167" formatCode="0.000"/>
      <alignment horizontal="right" vertical="center" textRotation="0" wrapText="1" indent="0" justifyLastLine="0" shrinkToFit="0" readingOrder="0"/>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167" formatCode="0.000"/>
      <alignment horizontal="right" vertical="center" textRotation="0" wrapText="1" indent="0" justifyLastLine="0" shrinkToFit="0" readingOrder="0"/>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167" formatCode="0.000"/>
      <alignment horizontal="right" vertical="center" textRotation="0" wrapText="1" indent="0" justifyLastLine="0" shrinkToFit="0" readingOrder="0"/>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167" formatCode="0.000"/>
      <alignment horizontal="right" vertical="center" textRotation="0" wrapText="1" indent="0" justifyLastLine="0" shrinkToFit="0" readingOrder="0"/>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167" formatCode="0.000"/>
      <alignment horizontal="right" vertical="center" textRotation="0" wrapText="1" indent="0" justifyLastLine="0" shrinkToFit="0" readingOrder="0"/>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167" formatCode="0.000"/>
      <alignment horizontal="right" vertical="center" textRotation="0" wrapText="1" indent="0" justifyLastLine="0" shrinkToFit="0" readingOrder="0"/>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167" formatCode="0.000"/>
      <alignment horizontal="right" vertical="center" textRotation="0" wrapText="1" indent="0" justifyLastLine="0" shrinkToFit="0" readingOrder="0"/>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167" formatCode="0.000"/>
      <alignment horizontal="right" vertical="center" textRotation="0" wrapText="1" indent="0" justifyLastLine="0" shrinkToFit="0" readingOrder="0"/>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167" formatCode="0.000"/>
      <alignment horizontal="right" vertical="center" textRotation="0" wrapText="1" indent="0" justifyLastLine="0" shrinkToFit="0" readingOrder="0"/>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167" formatCode="0.000"/>
      <alignment horizontal="right" vertical="center" textRotation="0" wrapText="1" indent="0" justifyLastLine="0" shrinkToFit="0" readingOrder="0"/>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167" formatCode="0.000"/>
      <alignment horizontal="right" vertical="center" textRotation="0" wrapText="1" indent="0" justifyLastLine="0" shrinkToFit="0" readingOrder="0"/>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167" formatCode="0.000"/>
      <alignment horizontal="right" vertical="center" textRotation="0" wrapText="1" indent="0" justifyLastLine="0" shrinkToFit="0" readingOrder="0"/>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167" formatCode="0.000"/>
      <alignment horizontal="right" vertical="center" textRotation="0" wrapText="1" indent="0" justifyLastLine="0" shrinkToFit="0" readingOrder="0"/>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167" formatCode="0.000"/>
      <alignment horizontal="right" vertical="center" textRotation="0" wrapText="1" indent="0" justifyLastLine="0" shrinkToFit="0" readingOrder="0"/>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medium">
          <color indexed="64"/>
        </left>
        <right/>
        <top/>
        <bottom/>
      </border>
      <protection locked="0" hidden="0"/>
    </dxf>
    <dxf>
      <alignment horizontal="right" vertical="center" textRotation="0" indent="0" justifyLastLine="0" readingOrder="0"/>
      <border outline="0">
        <left style="medium">
          <color indexed="64"/>
        </left>
      </border>
    </dxf>
    <dxf>
      <font>
        <b val="0"/>
        <i val="0"/>
        <strike val="0"/>
        <condense val="0"/>
        <extend val="0"/>
        <outline val="0"/>
        <shadow val="0"/>
        <u val="none"/>
        <vertAlign val="baseline"/>
        <sz val="11"/>
        <color auto="1"/>
        <name val="Arial"/>
        <family val="2"/>
        <scheme val="none"/>
      </font>
      <numFmt numFmtId="1" formatCode="0"/>
      <fill>
        <patternFill patternType="solid">
          <fgColor indexed="64"/>
          <bgColor theme="0" tint="-4.9989318521683403E-2"/>
        </patternFill>
      </fill>
      <alignment horizontal="right" vertical="center" textRotation="0" wrapText="1" indent="0" justifyLastLine="0" shrinkToFit="0" readingOrder="0"/>
      <border diagonalUp="0" diagonalDown="0" outline="0">
        <left style="thin">
          <color indexed="64"/>
        </left>
        <right style="medium">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1" indent="0" justifyLastLine="0" shrinkToFit="0" readingOrder="0"/>
      <border diagonalUp="0" diagonalDown="0" outline="0">
        <left style="thin">
          <color indexed="64"/>
        </left>
        <right style="medium">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family val="2"/>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family val="2"/>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family val="2"/>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family val="2"/>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right style="thin">
          <color indexed="64"/>
        </right>
        <top style="thin">
          <color indexed="64"/>
        </top>
        <bottom style="medium">
          <color indexed="64"/>
        </bottom>
      </border>
      <protection locked="0" hidden="0"/>
    </dxf>
    <dxf>
      <border outline="0">
        <left style="medium">
          <color indexed="64"/>
        </left>
        <top style="medium">
          <color indexed="64"/>
        </top>
        <bottom style="medium">
          <color indexed="64"/>
        </bottom>
      </border>
    </dxf>
    <dxf>
      <numFmt numFmtId="1" formatCode="0"/>
      <alignment horizontal="left" vertical="center" textRotation="0" indent="0" justifyLastLine="0" readingOrder="0"/>
    </dxf>
    <dxf>
      <font>
        <b/>
        <i val="0"/>
        <strike val="0"/>
        <condense val="0"/>
        <extend val="0"/>
        <outline val="0"/>
        <shadow val="0"/>
        <u val="none"/>
        <vertAlign val="baseline"/>
        <sz val="11"/>
        <color auto="1"/>
        <name val="Arial"/>
        <scheme val="none"/>
      </font>
      <numFmt numFmtId="1" formatCode="0"/>
      <fill>
        <patternFill patternType="solid">
          <fgColor indexed="64"/>
          <bgColor theme="5" tint="0.39997558519241921"/>
        </patternFill>
      </fill>
      <alignment horizontal="left" vertical="center" textRotation="0" wrapText="1" indent="0" justifyLastLine="0" shrinkToFit="0" readingOrder="0"/>
      <border diagonalUp="0" diagonalDown="0" outline="0">
        <left style="thin">
          <color indexed="64"/>
        </left>
        <right style="thin">
          <color indexed="64"/>
        </right>
        <top/>
        <bottom/>
      </border>
      <protection locked="0" hidden="0"/>
    </dxf>
    <dxf>
      <font>
        <color rgb="FF9C0006"/>
      </font>
      <fill>
        <patternFill>
          <bgColor rgb="FFFFC7CE"/>
        </patternFill>
      </fill>
    </dxf>
    <dxf>
      <font>
        <color rgb="FF9C0006"/>
      </font>
      <fill>
        <patternFill>
          <bgColor rgb="FFFFC7CE"/>
        </patternFill>
      </fill>
    </dxf>
    <dxf>
      <fill>
        <patternFill>
          <bgColor theme="5"/>
        </patternFill>
      </fill>
    </dxf>
    <dxf>
      <fill>
        <patternFill>
          <bgColor theme="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medium">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1" indent="0" justifyLastLine="0" shrinkToFit="0" readingOrder="0"/>
      <border diagonalUp="0" diagonalDown="0" outline="0">
        <left style="thin">
          <color indexed="64"/>
        </left>
        <right style="medium">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right style="thin">
          <color indexed="64"/>
        </right>
        <top style="thin">
          <color indexed="64"/>
        </top>
        <bottom style="medium">
          <color indexed="64"/>
        </bottom>
      </border>
      <protection locked="0" hidden="0"/>
    </dxf>
    <dxf>
      <border outline="0">
        <left style="medium">
          <color indexed="64"/>
        </left>
        <top style="medium">
          <color indexed="64"/>
        </top>
        <bottom style="medium">
          <color indexed="64"/>
        </bottom>
      </border>
    </dxf>
    <dxf>
      <font>
        <b val="0"/>
        <i val="0"/>
        <strike val="0"/>
        <condense val="0"/>
        <extend val="0"/>
        <outline val="0"/>
        <shadow val="0"/>
        <u val="none"/>
        <vertAlign val="baseline"/>
        <sz val="11"/>
        <color auto="1"/>
        <name val="Arial"/>
        <scheme val="none"/>
      </font>
      <numFmt numFmtId="1" formatCode="0"/>
      <fill>
        <patternFill patternType="solid">
          <fgColor indexed="64"/>
          <bgColor rgb="FFFFFF99"/>
        </patternFill>
      </fill>
      <alignment horizontal="left" vertical="center" textRotation="0" wrapText="1" indent="0" justifyLastLine="0" shrinkToFit="0" readingOrder="0"/>
      <protection locked="0" hidden="0"/>
    </dxf>
    <dxf>
      <font>
        <b/>
        <i val="0"/>
        <strike val="0"/>
        <condense val="0"/>
        <extend val="0"/>
        <outline val="0"/>
        <shadow val="0"/>
        <u val="none"/>
        <vertAlign val="baseline"/>
        <sz val="11"/>
        <color auto="1"/>
        <name val="Arial"/>
        <scheme val="none"/>
      </font>
      <numFmt numFmtId="1" formatCode="0"/>
      <fill>
        <patternFill patternType="solid">
          <fgColor indexed="64"/>
          <bgColor theme="4" tint="0.39997558519241921"/>
        </patternFill>
      </fill>
      <alignment horizontal="left" vertical="center"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family val="2"/>
        <scheme val="none"/>
      </font>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1" formatCode="0"/>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left style="thin">
          <color indexed="64"/>
        </left>
        <right style="thin">
          <color indexed="64"/>
        </right>
        <top style="thin">
          <color auto="1"/>
        </top>
        <bottom style="thin">
          <color auto="1"/>
        </bottom>
      </border>
      <protection locked="0" hidden="0"/>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left style="thin">
          <color indexed="64"/>
        </left>
        <right style="thin">
          <color indexed="64"/>
        </right>
        <top style="thin">
          <color auto="1"/>
        </top>
        <bottom style="thin">
          <color auto="1"/>
        </bottom>
      </border>
      <protection locked="0" hidden="0"/>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left style="thin">
          <color indexed="64"/>
        </left>
        <right style="thin">
          <color indexed="64"/>
        </right>
        <top style="thin">
          <color auto="1"/>
        </top>
        <bottom style="thin">
          <color auto="1"/>
        </bottom>
      </border>
      <protection locked="0" hidden="0"/>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left style="thin">
          <color indexed="64"/>
        </left>
        <right style="thin">
          <color indexed="64"/>
        </right>
        <top style="thin">
          <color auto="1"/>
        </top>
        <bottom style="thin">
          <color auto="1"/>
        </bottom>
      </border>
      <protection locked="0" hidden="0"/>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left style="thin">
          <color indexed="64"/>
        </left>
        <right style="thin">
          <color indexed="64"/>
        </right>
        <top style="thin">
          <color auto="1"/>
        </top>
        <bottom style="thin">
          <color auto="1"/>
        </bottom>
      </border>
      <protection locked="0" hidden="0"/>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outline="0">
        <left style="medium">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left style="medium">
          <color indexed="64"/>
        </left>
        <right style="thin">
          <color indexed="64"/>
        </right>
        <top style="thin">
          <color auto="1"/>
        </top>
        <bottom style="thin">
          <color auto="1"/>
        </bottom>
      </border>
      <protection locked="0" hidden="0"/>
    </dxf>
    <dxf>
      <font>
        <b val="0"/>
        <i val="0"/>
        <strike val="0"/>
        <condense val="0"/>
        <extend val="0"/>
        <outline val="0"/>
        <shadow val="0"/>
        <u val="none"/>
        <vertAlign val="baseline"/>
        <sz val="11"/>
        <color auto="1"/>
        <name val="Arial"/>
        <family val="2"/>
        <scheme val="none"/>
      </font>
      <numFmt numFmtId="1" formatCode="0"/>
      <fill>
        <patternFill patternType="solid">
          <fgColor indexed="64"/>
          <bgColor theme="0" tint="-4.9989318521683403E-2"/>
        </patternFill>
      </fill>
      <alignment horizontal="right" vertical="center" textRotation="0" wrapText="1" indent="0" justifyLastLine="0" shrinkToFit="0" readingOrder="0"/>
      <border diagonalUp="0" diagonalDown="0" outline="0">
        <left style="thin">
          <color indexed="64"/>
        </left>
        <right/>
        <top style="thin">
          <color indexed="64"/>
        </top>
        <bottom/>
      </border>
      <protection locked="0" hidden="0"/>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1" indent="0" justifyLastLine="0" shrinkToFit="0" readingOrder="0"/>
      <border diagonalUp="0" diagonalDown="0" outline="0">
        <left style="thin">
          <color indexed="64"/>
        </left>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right style="thin">
          <color indexed="64"/>
        </right>
        <top style="thin">
          <color indexed="64"/>
        </top>
        <bottom style="thin">
          <color indexed="64"/>
        </bottom>
      </border>
      <protection locked="0" hidden="0"/>
    </dxf>
    <dxf>
      <border outline="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1"/>
        <color auto="1"/>
        <name val="Arial"/>
        <scheme val="none"/>
      </font>
      <numFmt numFmtId="1" formatCode="0"/>
      <fill>
        <patternFill patternType="none">
          <fgColor indexed="64"/>
          <bgColor indexed="65"/>
        </patternFill>
      </fill>
      <alignment horizontal="left" vertical="center" textRotation="0" wrapText="1" indent="0" justifyLastLine="0" shrinkToFit="0" readingOrder="0"/>
      <protection locked="0" hidden="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4" tint="0.39997558519241921"/>
        </patternFill>
      </fill>
      <alignment horizontal="left" vertical="center" textRotation="0" wrapText="1" indent="0" justifyLastLine="0" shrinkToFit="0" readingOrder="0"/>
      <border diagonalUp="0" diagonalDown="0" outline="0">
        <left style="thin">
          <color indexed="64"/>
        </left>
        <right style="thin">
          <color indexed="64"/>
        </right>
        <top/>
        <bottom/>
      </border>
      <protection locked="0" hidden="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font>
        <sz val="11"/>
        <color auto="1"/>
      </font>
      <numFmt numFmtId="2" formatCode="0.00"/>
      <fill>
        <patternFill patternType="solid">
          <fgColor indexed="64"/>
          <bgColor indexed="43"/>
        </patternFill>
      </fill>
      <alignment horizontal="right" vertical="center" textRotation="0" wrapText="1" indent="0" justifyLastLine="0" shrinkToFit="0" readingOrder="0"/>
      <border diagonalUp="0" diagonalDown="0">
        <left/>
        <right style="thin">
          <color indexed="64"/>
        </right>
        <top style="thin">
          <color indexed="64"/>
        </top>
        <bottom style="medium">
          <color indexed="64"/>
        </bottom>
        <vertical/>
        <horizontal/>
      </border>
      <protection locked="0" hidden="0"/>
    </dxf>
    <dxf>
      <font>
        <sz val="11"/>
        <color auto="1"/>
      </font>
      <numFmt numFmtId="2" formatCode="0.00"/>
      <fill>
        <patternFill patternType="solid">
          <fgColor indexed="64"/>
          <bgColor indexed="43"/>
        </patternFill>
      </fill>
      <alignment horizontal="right" vertical="center" textRotation="0" wrapText="1" indent="0" justifyLastLine="0" shrinkToFit="0" readingOrder="0"/>
      <border diagonalUp="0" diagonalDown="0">
        <left/>
        <right style="thin">
          <color indexed="64"/>
        </right>
        <top style="thin">
          <color indexed="64"/>
        </top>
        <bottom style="medium">
          <color indexed="64"/>
        </bottom>
        <vertical/>
        <horizontal/>
      </border>
      <protection locked="0" hidden="0"/>
    </dxf>
    <dxf>
      <font>
        <sz val="11"/>
        <color auto="1"/>
      </font>
      <numFmt numFmtId="2" formatCode="0.00"/>
      <fill>
        <patternFill patternType="solid">
          <fgColor indexed="64"/>
          <bgColor indexed="43"/>
        </patternFill>
      </fill>
      <alignment horizontal="right" vertical="center" textRotation="0" wrapText="1" indent="0" justifyLastLine="0" shrinkToFit="0" readingOrder="0"/>
      <border diagonalUp="0" diagonalDown="0">
        <left/>
        <right style="thin">
          <color indexed="64"/>
        </right>
        <top style="thin">
          <color indexed="64"/>
        </top>
        <bottom style="medium">
          <color indexed="64"/>
        </bottom>
        <vertical/>
        <horizontal/>
      </border>
      <protection locked="0" hidden="0"/>
    </dxf>
    <dxf>
      <font>
        <sz val="11"/>
        <color auto="1"/>
      </font>
      <numFmt numFmtId="2" formatCode="0.00"/>
      <fill>
        <patternFill patternType="solid">
          <fgColor indexed="64"/>
          <bgColor indexed="43"/>
        </patternFill>
      </fill>
      <alignment horizontal="right" vertical="center" textRotation="0" wrapText="1" indent="0" justifyLastLine="0" shrinkToFit="0" readingOrder="0"/>
      <border diagonalUp="0" diagonalDown="0">
        <left/>
        <right style="thin">
          <color indexed="64"/>
        </right>
        <top style="thin">
          <color indexed="64"/>
        </top>
        <bottom style="medium">
          <color indexed="64"/>
        </bottom>
        <vertical/>
        <horizontal/>
      </border>
      <protection locked="0" hidden="0"/>
    </dxf>
    <dxf>
      <font>
        <sz val="11"/>
        <color auto="1"/>
      </font>
      <numFmt numFmtId="2" formatCode="0.00"/>
      <fill>
        <patternFill patternType="solid">
          <fgColor indexed="64"/>
          <bgColor indexed="43"/>
        </patternFill>
      </fill>
      <alignment horizontal="right" vertical="center" textRotation="0" wrapText="1" indent="0" justifyLastLine="0" shrinkToFit="0" readingOrder="0"/>
      <border diagonalUp="0" diagonalDown="0">
        <left/>
        <right style="thin">
          <color indexed="64"/>
        </right>
        <top style="thin">
          <color indexed="64"/>
        </top>
        <bottom style="medium">
          <color indexed="64"/>
        </bottom>
        <vertical/>
        <horizontal/>
      </border>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1" indent="0" justifyLastLine="0" shrinkToFit="0" readingOrder="0"/>
      <border diagonalUp="0" diagonalDown="0" outline="0">
        <left style="thin">
          <color indexed="64"/>
        </left>
        <right style="medium">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right style="thin">
          <color indexed="64"/>
        </right>
        <top style="thin">
          <color indexed="64"/>
        </top>
        <bottom style="medium">
          <color indexed="64"/>
        </bottom>
      </border>
      <protection locked="0" hidden="0"/>
    </dxf>
    <dxf>
      <border outline="0">
        <left style="medium">
          <color indexed="64"/>
        </left>
        <top style="medium">
          <color indexed="64"/>
        </top>
        <bottom style="medium">
          <color indexed="64"/>
        </bottom>
      </border>
    </dxf>
    <dxf>
      <numFmt numFmtId="1" formatCode="0"/>
      <alignment horizontal="left" vertical="center" textRotation="0" indent="0" justifyLastLine="0" readingOrder="0"/>
    </dxf>
    <dxf>
      <font>
        <b/>
        <i val="0"/>
        <strike val="0"/>
        <condense val="0"/>
        <extend val="0"/>
        <outline val="0"/>
        <shadow val="0"/>
        <u val="none"/>
        <vertAlign val="baseline"/>
        <sz val="11"/>
        <color auto="1"/>
        <name val="Arial"/>
        <scheme val="none"/>
      </font>
      <numFmt numFmtId="1" formatCode="0"/>
      <fill>
        <patternFill patternType="solid">
          <fgColor indexed="64"/>
          <bgColor theme="8" tint="0.39997558519241921"/>
        </patternFill>
      </fill>
      <alignment horizontal="left" vertical="center"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medium">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1" indent="0" justifyLastLine="0" shrinkToFit="0" readingOrder="0"/>
      <border diagonalUp="0" diagonalDown="0" outline="0">
        <left style="thin">
          <color indexed="64"/>
        </left>
        <right style="medium">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right style="thin">
          <color indexed="64"/>
        </right>
        <top style="thin">
          <color indexed="64"/>
        </top>
        <bottom style="medium">
          <color indexed="64"/>
        </bottom>
      </border>
      <protection locked="0" hidden="0"/>
    </dxf>
    <dxf>
      <border outline="0">
        <left style="medium">
          <color indexed="64"/>
        </left>
        <top style="medium">
          <color indexed="64"/>
        </top>
        <bottom style="medium">
          <color indexed="64"/>
        </bottom>
      </border>
    </dxf>
    <dxf>
      <font>
        <b val="0"/>
        <i val="0"/>
        <strike val="0"/>
        <condense val="0"/>
        <extend val="0"/>
        <outline val="0"/>
        <shadow val="0"/>
        <u val="none"/>
        <vertAlign val="baseline"/>
        <sz val="11"/>
        <color auto="1"/>
        <name val="Arial"/>
        <scheme val="none"/>
      </font>
      <numFmt numFmtId="1" formatCode="0"/>
      <fill>
        <patternFill patternType="solid">
          <fgColor indexed="64"/>
          <bgColor rgb="FFFFFF99"/>
        </patternFill>
      </fill>
      <alignment horizontal="left" vertical="center" textRotation="0" wrapText="1" indent="0" justifyLastLine="0" shrinkToFit="0" readingOrder="0"/>
      <protection locked="0" hidden="0"/>
    </dxf>
    <dxf>
      <font>
        <b/>
        <i val="0"/>
        <strike val="0"/>
        <condense val="0"/>
        <extend val="0"/>
        <outline val="0"/>
        <shadow val="0"/>
        <u val="none"/>
        <vertAlign val="baseline"/>
        <sz val="11"/>
        <color auto="1"/>
        <name val="Arial"/>
        <scheme val="none"/>
      </font>
      <numFmt numFmtId="1" formatCode="0"/>
      <fill>
        <patternFill patternType="solid">
          <fgColor indexed="64"/>
          <bgColor theme="7" tint="0.39997558519241921"/>
        </patternFill>
      </fill>
      <alignment horizontal="left" vertical="center"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outline="0">
        <left style="medium">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left style="medium">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1" formatCode="0"/>
      <fill>
        <patternFill patternType="solid">
          <fgColor indexed="64"/>
          <bgColor theme="0" tint="-4.9989318521683403E-2"/>
        </patternFill>
      </fill>
      <alignment horizontal="right" vertical="center" textRotation="0" wrapText="1" indent="0" justifyLastLine="0" shrinkToFit="0" readingOrder="0"/>
      <border diagonalUp="0" diagonalDown="0" outline="0">
        <left style="thin">
          <color indexed="64"/>
        </left>
        <right/>
        <top style="thin">
          <color indexed="64"/>
        </top>
        <bottom/>
      </border>
      <protection locked="0" hidden="0"/>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1" indent="0" justifyLastLine="0" shrinkToFit="0" readingOrder="0"/>
      <border diagonalUp="0" diagonalDown="0" outline="0">
        <left style="thin">
          <color indexed="64"/>
        </left>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right style="thin">
          <color indexed="64"/>
        </right>
        <top style="thin">
          <color indexed="64"/>
        </top>
        <bottom style="thin">
          <color indexed="64"/>
        </bottom>
      </border>
      <protection locked="0" hidden="0"/>
    </dxf>
    <dxf>
      <border outline="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1"/>
        <color auto="1"/>
        <name val="Arial"/>
        <scheme val="none"/>
      </font>
      <numFmt numFmtId="1" formatCode="0"/>
      <fill>
        <patternFill patternType="none">
          <fgColor indexed="64"/>
          <bgColor indexed="65"/>
        </patternFill>
      </fill>
      <alignment horizontal="left" vertical="center" textRotation="0" wrapText="1" indent="0" justifyLastLine="0" shrinkToFit="0" readingOrder="0"/>
      <protection locked="0" hidden="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7" tint="0.39997558519241921"/>
        </patternFill>
      </fill>
      <alignment horizontal="left" vertical="center" textRotation="0" wrapText="1" indent="0" justifyLastLine="0" shrinkToFit="0" readingOrder="0"/>
      <border diagonalUp="0" diagonalDown="0" outline="0">
        <left style="thin">
          <color indexed="64"/>
        </left>
        <right style="thin">
          <color indexed="64"/>
        </right>
        <top/>
        <bottom/>
      </border>
      <protection locked="0" hidden="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border outline="0">
        <left style="medium">
          <color indexed="64"/>
        </left>
      </border>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1" indent="0" justifyLastLine="0" shrinkToFit="0" readingOrder="0"/>
      <border diagonalUp="0" diagonalDown="0" outline="0">
        <left style="thin">
          <color indexed="64"/>
        </left>
        <right style="medium">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right style="thin">
          <color indexed="64"/>
        </right>
        <top style="thin">
          <color indexed="64"/>
        </top>
        <bottom style="medium">
          <color indexed="64"/>
        </bottom>
      </border>
      <protection locked="0" hidden="0"/>
    </dxf>
    <dxf>
      <border outline="0">
        <left style="medium">
          <color indexed="64"/>
        </left>
        <top style="medium">
          <color indexed="64"/>
        </top>
        <bottom style="medium">
          <color indexed="64"/>
        </bottom>
      </border>
    </dxf>
    <dxf>
      <numFmt numFmtId="1" formatCode="0"/>
      <alignment horizontal="left" vertical="center" textRotation="0" indent="0" justifyLastLine="0" readingOrder="0"/>
    </dxf>
    <dxf>
      <font>
        <b/>
        <i val="0"/>
        <strike val="0"/>
        <condense val="0"/>
        <extend val="0"/>
        <outline val="0"/>
        <shadow val="0"/>
        <u val="none"/>
        <vertAlign val="baseline"/>
        <sz val="11"/>
        <color auto="1"/>
        <name val="Arial"/>
        <scheme val="none"/>
      </font>
      <numFmt numFmtId="1" formatCode="0"/>
      <fill>
        <patternFill patternType="solid">
          <fgColor indexed="64"/>
          <bgColor theme="5" tint="0.39997558519241921"/>
        </patternFill>
      </fill>
      <alignment horizontal="left" vertical="center" textRotation="0" wrapText="1" indent="0" justifyLastLine="0" shrinkToFit="0" readingOrder="0"/>
      <border diagonalUp="0" diagonalDown="0" outline="0">
        <left style="thin">
          <color indexed="64"/>
        </left>
        <right style="thin">
          <color indexed="64"/>
        </right>
        <top/>
        <bottom/>
      </border>
      <protection locked="0" hidden="0"/>
    </dxf>
    <dxf>
      <fill>
        <patternFill>
          <bgColor theme="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medium">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medium">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1" indent="0" justifyLastLine="0" shrinkToFit="0" readingOrder="0"/>
      <border diagonalUp="0" diagonalDown="0" outline="0">
        <left style="thin">
          <color indexed="64"/>
        </left>
        <right style="medium">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1" indent="0" justifyLastLine="0" shrinkToFit="0" readingOrder="0"/>
      <border diagonalUp="0" diagonalDown="0" outline="0">
        <left style="thin">
          <color indexed="64"/>
        </left>
        <right style="medium">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right style="thin">
          <color indexed="64"/>
        </right>
        <top style="thin">
          <color indexed="64"/>
        </top>
        <bottom style="medium">
          <color indexed="64"/>
        </bottom>
      </border>
      <protection locked="0" hidden="0"/>
    </dxf>
    <dxf>
      <border outline="0">
        <left style="medium">
          <color indexed="64"/>
        </left>
        <top style="medium">
          <color indexed="64"/>
        </top>
        <bottom style="medium">
          <color indexed="64"/>
        </bottom>
      </border>
    </dxf>
    <dxf>
      <font>
        <b val="0"/>
        <i val="0"/>
        <strike val="0"/>
        <condense val="0"/>
        <extend val="0"/>
        <outline val="0"/>
        <shadow val="0"/>
        <u val="none"/>
        <vertAlign val="baseline"/>
        <sz val="11"/>
        <color auto="1"/>
        <name val="Arial"/>
        <scheme val="none"/>
      </font>
      <numFmt numFmtId="1" formatCode="0"/>
      <fill>
        <patternFill patternType="solid">
          <fgColor indexed="64"/>
          <bgColor rgb="FFFFFF99"/>
        </patternFill>
      </fill>
      <alignment horizontal="left" vertical="center" textRotation="0" wrapText="1" indent="0" justifyLastLine="0" shrinkToFit="0" readingOrder="0"/>
      <protection locked="0" hidden="0"/>
    </dxf>
    <dxf>
      <font>
        <b/>
        <i val="0"/>
        <strike val="0"/>
        <condense val="0"/>
        <extend val="0"/>
        <outline val="0"/>
        <shadow val="0"/>
        <u val="none"/>
        <vertAlign val="baseline"/>
        <sz val="11"/>
        <color auto="1"/>
        <name val="Arial"/>
        <scheme val="none"/>
      </font>
      <numFmt numFmtId="1" formatCode="0"/>
      <fill>
        <patternFill patternType="solid">
          <fgColor indexed="64"/>
          <bgColor theme="4" tint="0.39997558519241921"/>
        </patternFill>
      </fill>
      <alignment horizontal="left" vertical="center"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left style="thin">
          <color indexed="64"/>
        </left>
        <right style="thin">
          <color indexed="64"/>
        </right>
        <top style="thin">
          <color auto="1"/>
        </top>
        <bottom style="thin">
          <color auto="1"/>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left style="thin">
          <color indexed="64"/>
        </left>
        <right style="thin">
          <color indexed="64"/>
        </right>
        <top style="thin">
          <color auto="1"/>
        </top>
        <bottom style="thin">
          <color auto="1"/>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left style="thin">
          <color indexed="64"/>
        </left>
        <right style="thin">
          <color indexed="64"/>
        </right>
        <top style="thin">
          <color auto="1"/>
        </top>
        <bottom style="thin">
          <color auto="1"/>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left style="thin">
          <color indexed="64"/>
        </left>
        <right style="thin">
          <color indexed="64"/>
        </right>
        <top style="thin">
          <color auto="1"/>
        </top>
        <bottom style="thin">
          <color auto="1"/>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left style="thin">
          <color indexed="64"/>
        </left>
        <right style="thin">
          <color indexed="64"/>
        </right>
        <top style="thin">
          <color auto="1"/>
        </top>
        <bottom style="thin">
          <color auto="1"/>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left style="medium">
          <color indexed="64"/>
        </left>
        <right style="thin">
          <color indexed="64"/>
        </right>
        <top style="thin">
          <color auto="1"/>
        </top>
        <bottom style="thin">
          <color auto="1"/>
        </bottom>
      </border>
      <protection locked="0" hidden="0"/>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1" indent="0" justifyLastLine="0" shrinkToFit="0" readingOrder="0"/>
      <border diagonalUp="0" diagonalDown="0" outline="0">
        <left style="thin">
          <color indexed="64"/>
        </left>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right style="thin">
          <color indexed="64"/>
        </right>
        <top style="thin">
          <color indexed="64"/>
        </top>
        <bottom style="thin">
          <color indexed="64"/>
        </bottom>
      </border>
      <protection locked="0" hidden="0"/>
    </dxf>
    <dxf>
      <border outline="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1"/>
        <color auto="1"/>
        <name val="Arial"/>
        <scheme val="none"/>
      </font>
      <numFmt numFmtId="1" formatCode="0"/>
      <fill>
        <patternFill patternType="none">
          <fgColor indexed="64"/>
          <bgColor indexed="65"/>
        </patternFill>
      </fill>
      <alignment horizontal="left" vertical="center" textRotation="0" wrapText="1" indent="0" justifyLastLine="0" shrinkToFit="0" readingOrder="0"/>
      <protection locked="0" hidden="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4" tint="0.39997558519241921"/>
        </patternFill>
      </fill>
      <alignment horizontal="left" vertical="center" textRotation="0" wrapText="1" indent="0" justifyLastLine="0" shrinkToFit="0" readingOrder="0"/>
      <border diagonalUp="0" diagonalDown="0" outline="0">
        <left style="thin">
          <color indexed="64"/>
        </left>
        <right style="thin">
          <color indexed="64"/>
        </right>
        <top/>
        <bottom/>
      </border>
      <protection locked="0" hidden="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1" indent="0" justifyLastLine="0" shrinkToFit="0" readingOrder="0"/>
      <border diagonalUp="0" diagonalDown="0" outline="0">
        <left style="thin">
          <color indexed="64"/>
        </left>
        <right style="medium">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right style="thin">
          <color indexed="64"/>
        </right>
        <top style="thin">
          <color indexed="64"/>
        </top>
        <bottom style="medium">
          <color indexed="64"/>
        </bottom>
      </border>
      <protection locked="0" hidden="0"/>
    </dxf>
    <dxf>
      <border outline="0">
        <left style="medium">
          <color indexed="64"/>
        </left>
        <top style="medium">
          <color indexed="64"/>
        </top>
        <bottom style="medium">
          <color indexed="64"/>
        </bottom>
      </border>
    </dxf>
    <dxf>
      <numFmt numFmtId="1" formatCode="0"/>
      <alignment horizontal="left" vertical="center" textRotation="0" indent="0" justifyLastLine="0" readingOrder="0"/>
    </dxf>
    <dxf>
      <font>
        <b/>
        <i val="0"/>
        <strike val="0"/>
        <condense val="0"/>
        <extend val="0"/>
        <outline val="0"/>
        <shadow val="0"/>
        <u val="none"/>
        <vertAlign val="baseline"/>
        <sz val="11"/>
        <color auto="1"/>
        <name val="Arial"/>
        <scheme val="none"/>
      </font>
      <numFmt numFmtId="1" formatCode="0"/>
      <fill>
        <patternFill patternType="solid">
          <fgColor indexed="64"/>
          <bgColor theme="8" tint="0.39997558519241921"/>
        </patternFill>
      </fill>
      <alignment horizontal="left" vertical="center"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medium">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medium">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1" indent="0" justifyLastLine="0" shrinkToFit="0" readingOrder="0"/>
      <border diagonalUp="0" diagonalDown="0" outline="0">
        <left style="thin">
          <color indexed="64"/>
        </left>
        <right style="medium">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1" indent="0" justifyLastLine="0" shrinkToFit="0" readingOrder="0"/>
      <border diagonalUp="0" diagonalDown="0" outline="0">
        <left style="thin">
          <color indexed="64"/>
        </left>
        <right style="medium">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right style="thin">
          <color indexed="64"/>
        </right>
        <top style="thin">
          <color indexed="64"/>
        </top>
        <bottom style="medium">
          <color indexed="64"/>
        </bottom>
      </border>
      <protection locked="0" hidden="0"/>
    </dxf>
    <dxf>
      <border outline="0">
        <left style="medium">
          <color indexed="64"/>
        </left>
        <top style="medium">
          <color indexed="64"/>
        </top>
        <bottom style="medium">
          <color indexed="64"/>
        </bottom>
      </border>
    </dxf>
    <dxf>
      <font>
        <b val="0"/>
        <i val="0"/>
        <strike val="0"/>
        <condense val="0"/>
        <extend val="0"/>
        <outline val="0"/>
        <shadow val="0"/>
        <u val="none"/>
        <vertAlign val="baseline"/>
        <sz val="11"/>
        <color auto="1"/>
        <name val="Arial"/>
        <scheme val="none"/>
      </font>
      <numFmt numFmtId="1" formatCode="0"/>
      <fill>
        <patternFill patternType="solid">
          <fgColor indexed="64"/>
          <bgColor rgb="FFFFFF99"/>
        </patternFill>
      </fill>
      <alignment horizontal="left" vertical="center" textRotation="0" wrapText="1" indent="0" justifyLastLine="0" shrinkToFit="0" readingOrder="0"/>
      <protection locked="0" hidden="0"/>
    </dxf>
    <dxf>
      <font>
        <b/>
        <i val="0"/>
        <strike val="0"/>
        <condense val="0"/>
        <extend val="0"/>
        <outline val="0"/>
        <shadow val="0"/>
        <u val="none"/>
        <vertAlign val="baseline"/>
        <sz val="11"/>
        <color auto="1"/>
        <name val="Arial"/>
        <scheme val="none"/>
      </font>
      <numFmt numFmtId="1" formatCode="0"/>
      <fill>
        <patternFill patternType="solid">
          <fgColor indexed="64"/>
          <bgColor theme="7" tint="0.39997558519241921"/>
        </patternFill>
      </fill>
      <alignment horizontal="left" vertical="center"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outline="0">
        <left style="medium">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left style="medium">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1" formatCode="0"/>
      <fill>
        <patternFill patternType="solid">
          <fgColor indexed="64"/>
          <bgColor theme="0" tint="-4.9989318521683403E-2"/>
        </patternFill>
      </fill>
      <alignment horizontal="right" vertical="center" textRotation="0" wrapText="1" indent="0" justifyLastLine="0" shrinkToFit="0" readingOrder="0"/>
      <border diagonalUp="0" diagonalDown="0" outline="0">
        <left style="thin">
          <color indexed="64"/>
        </left>
        <right/>
        <top style="thin">
          <color indexed="64"/>
        </top>
        <bottom/>
      </border>
      <protection locked="0" hidden="0"/>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1" indent="0" justifyLastLine="0" shrinkToFit="0" readingOrder="0"/>
      <border diagonalUp="0" diagonalDown="0" outline="0">
        <left style="thin">
          <color indexed="64"/>
        </left>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right style="thin">
          <color indexed="64"/>
        </right>
        <top style="thin">
          <color indexed="64"/>
        </top>
        <bottom style="thin">
          <color indexed="64"/>
        </bottom>
      </border>
      <protection locked="0" hidden="0"/>
    </dxf>
    <dxf>
      <border outline="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1"/>
        <color auto="1"/>
        <name val="Arial"/>
        <scheme val="none"/>
      </font>
      <numFmt numFmtId="1" formatCode="0"/>
      <fill>
        <patternFill patternType="none">
          <fgColor indexed="64"/>
          <bgColor indexed="65"/>
        </patternFill>
      </fill>
      <alignment horizontal="left" vertical="center" textRotation="0" wrapText="1" indent="0" justifyLastLine="0" shrinkToFit="0" readingOrder="0"/>
      <protection locked="0" hidden="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7" tint="0.39997558519241921"/>
        </patternFill>
      </fill>
      <alignment horizontal="left" vertical="center" textRotation="0" wrapText="1" indent="0" justifyLastLine="0" shrinkToFit="0" readingOrder="0"/>
      <border diagonalUp="0" diagonalDown="0" outline="0">
        <left style="thin">
          <color indexed="64"/>
        </left>
        <right style="thin">
          <color indexed="64"/>
        </right>
        <top/>
        <bottom/>
      </border>
      <protection locked="0" hidden="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border outline="0">
        <left style="medium">
          <color indexed="64"/>
        </left>
      </border>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1" indent="0" justifyLastLine="0" shrinkToFit="0" readingOrder="0"/>
      <border diagonalUp="0" diagonalDown="0" outline="0">
        <left style="thin">
          <color indexed="64"/>
        </left>
        <right style="medium">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right style="thin">
          <color indexed="64"/>
        </right>
        <top style="thin">
          <color indexed="64"/>
        </top>
        <bottom style="medium">
          <color indexed="64"/>
        </bottom>
      </border>
      <protection locked="0" hidden="0"/>
    </dxf>
    <dxf>
      <border outline="0">
        <left style="medium">
          <color indexed="64"/>
        </left>
        <top style="medium">
          <color indexed="64"/>
        </top>
        <bottom style="medium">
          <color indexed="64"/>
        </bottom>
      </border>
    </dxf>
    <dxf>
      <numFmt numFmtId="1" formatCode="0"/>
      <alignment horizontal="left" vertical="center" textRotation="0" indent="0" justifyLastLine="0" readingOrder="0"/>
    </dxf>
    <dxf>
      <font>
        <b/>
        <i val="0"/>
        <strike val="0"/>
        <condense val="0"/>
        <extend val="0"/>
        <outline val="0"/>
        <shadow val="0"/>
        <u val="none"/>
        <vertAlign val="baseline"/>
        <sz val="11"/>
        <color auto="1"/>
        <name val="Arial"/>
        <scheme val="none"/>
      </font>
      <numFmt numFmtId="1" formatCode="0"/>
      <fill>
        <patternFill patternType="solid">
          <fgColor indexed="64"/>
          <bgColor theme="5" tint="0.39997558519241921"/>
        </patternFill>
      </fill>
      <alignment horizontal="left" vertical="center" textRotation="0" wrapText="1" indent="0" justifyLastLine="0" shrinkToFit="0" readingOrder="0"/>
      <border diagonalUp="0" diagonalDown="0" outline="0">
        <left style="thin">
          <color indexed="64"/>
        </left>
        <right style="thin">
          <color indexed="64"/>
        </right>
        <top/>
        <bottom/>
      </border>
      <protection locked="0" hidden="0"/>
    </dxf>
    <dxf>
      <font>
        <color rgb="FF9C0006"/>
      </font>
      <fill>
        <patternFill>
          <bgColor rgb="FFFFC7CE"/>
        </patternFill>
      </fill>
    </dxf>
    <dxf>
      <font>
        <color rgb="FF9C0006"/>
      </font>
      <fill>
        <patternFill>
          <bgColor rgb="FFFFC7CE"/>
        </patternFill>
      </fill>
    </dxf>
    <dxf>
      <fill>
        <patternFill>
          <bgColor theme="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medium">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1" indent="0" justifyLastLine="0" shrinkToFit="0" readingOrder="0"/>
      <border diagonalUp="0" diagonalDown="0" outline="0">
        <left style="thin">
          <color indexed="64"/>
        </left>
        <right style="medium">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right style="thin">
          <color indexed="64"/>
        </right>
        <top style="thin">
          <color indexed="64"/>
        </top>
        <bottom style="medium">
          <color indexed="64"/>
        </bottom>
      </border>
      <protection locked="0" hidden="0"/>
    </dxf>
    <dxf>
      <border outline="0">
        <left style="medium">
          <color indexed="64"/>
        </left>
        <top style="medium">
          <color indexed="64"/>
        </top>
        <bottom style="medium">
          <color indexed="64"/>
        </bottom>
      </border>
    </dxf>
    <dxf>
      <font>
        <b val="0"/>
        <i val="0"/>
        <strike val="0"/>
        <condense val="0"/>
        <extend val="0"/>
        <outline val="0"/>
        <shadow val="0"/>
        <u val="none"/>
        <vertAlign val="baseline"/>
        <sz val="11"/>
        <color auto="1"/>
        <name val="Arial"/>
        <scheme val="none"/>
      </font>
      <numFmt numFmtId="1" formatCode="0"/>
      <fill>
        <patternFill patternType="solid">
          <fgColor indexed="64"/>
          <bgColor rgb="FFFFFF99"/>
        </patternFill>
      </fill>
      <alignment horizontal="left" vertical="center" textRotation="0" wrapText="1" indent="0" justifyLastLine="0" shrinkToFit="0" readingOrder="0"/>
      <protection locked="0" hidden="0"/>
    </dxf>
    <dxf>
      <font>
        <b/>
        <i val="0"/>
        <strike val="0"/>
        <condense val="0"/>
        <extend val="0"/>
        <outline val="0"/>
        <shadow val="0"/>
        <u val="none"/>
        <vertAlign val="baseline"/>
        <sz val="11"/>
        <color auto="1"/>
        <name val="Arial"/>
        <scheme val="none"/>
      </font>
      <numFmt numFmtId="1" formatCode="0"/>
      <fill>
        <patternFill patternType="solid">
          <fgColor indexed="64"/>
          <bgColor theme="4" tint="0.39997558519241921"/>
        </patternFill>
      </fill>
      <alignment horizontal="left" vertical="center"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family val="2"/>
        <scheme val="none"/>
      </font>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1" formatCode="0"/>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left style="thin">
          <color indexed="64"/>
        </left>
        <right style="thin">
          <color indexed="64"/>
        </right>
        <top style="thin">
          <color auto="1"/>
        </top>
        <bottom style="thin">
          <color auto="1"/>
        </bottom>
      </border>
      <protection locked="0" hidden="0"/>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left style="thin">
          <color indexed="64"/>
        </left>
        <right style="thin">
          <color indexed="64"/>
        </right>
        <top style="thin">
          <color auto="1"/>
        </top>
        <bottom style="thin">
          <color auto="1"/>
        </bottom>
      </border>
      <protection locked="0" hidden="0"/>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left style="thin">
          <color indexed="64"/>
        </left>
        <right style="thin">
          <color indexed="64"/>
        </right>
        <top style="thin">
          <color auto="1"/>
        </top>
        <bottom style="thin">
          <color auto="1"/>
        </bottom>
      </border>
      <protection locked="0" hidden="0"/>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left style="thin">
          <color indexed="64"/>
        </left>
        <right style="thin">
          <color indexed="64"/>
        </right>
        <top style="thin">
          <color auto="1"/>
        </top>
        <bottom style="thin">
          <color auto="1"/>
        </bottom>
      </border>
      <protection locked="0" hidden="0"/>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left style="thin">
          <color indexed="64"/>
        </left>
        <right style="thin">
          <color indexed="64"/>
        </right>
        <top style="thin">
          <color auto="1"/>
        </top>
        <bottom style="thin">
          <color auto="1"/>
        </bottom>
      </border>
      <protection locked="0" hidden="0"/>
    </dxf>
    <dxf>
      <font>
        <b val="0"/>
        <i val="0"/>
        <strike val="0"/>
        <condense val="0"/>
        <extend val="0"/>
        <outline val="0"/>
        <shadow val="0"/>
        <u val="none"/>
        <vertAlign val="baseline"/>
        <sz val="11"/>
        <color auto="1"/>
        <name val="Arial"/>
        <family val="2"/>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outline="0">
        <left style="medium">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left style="medium">
          <color indexed="64"/>
        </left>
        <right style="thin">
          <color indexed="64"/>
        </right>
        <top style="thin">
          <color auto="1"/>
        </top>
        <bottom style="thin">
          <color auto="1"/>
        </bottom>
      </border>
      <protection locked="0" hidden="0"/>
    </dxf>
    <dxf>
      <font>
        <b val="0"/>
        <i val="0"/>
        <strike val="0"/>
        <condense val="0"/>
        <extend val="0"/>
        <outline val="0"/>
        <shadow val="0"/>
        <u val="none"/>
        <vertAlign val="baseline"/>
        <sz val="11"/>
        <color auto="1"/>
        <name val="Arial"/>
        <family val="2"/>
        <scheme val="none"/>
      </font>
      <numFmt numFmtId="1" formatCode="0"/>
      <fill>
        <patternFill patternType="solid">
          <fgColor indexed="64"/>
          <bgColor theme="0" tint="-4.9989318521683403E-2"/>
        </patternFill>
      </fill>
      <alignment horizontal="right" vertical="center" textRotation="0" wrapText="1" indent="0" justifyLastLine="0" shrinkToFit="0" readingOrder="0"/>
      <border diagonalUp="0" diagonalDown="0" outline="0">
        <left style="thin">
          <color indexed="64"/>
        </left>
        <right/>
        <top style="thin">
          <color indexed="64"/>
        </top>
        <bottom/>
      </border>
      <protection locked="0" hidden="0"/>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1" indent="0" justifyLastLine="0" shrinkToFit="0" readingOrder="0"/>
      <border diagonalUp="0" diagonalDown="0" outline="0">
        <left style="thin">
          <color indexed="64"/>
        </left>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right style="thin">
          <color indexed="64"/>
        </right>
        <top style="thin">
          <color indexed="64"/>
        </top>
        <bottom style="thin">
          <color indexed="64"/>
        </bottom>
      </border>
      <protection locked="0" hidden="0"/>
    </dxf>
    <dxf>
      <border outline="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1"/>
        <color auto="1"/>
        <name val="Arial"/>
        <scheme val="none"/>
      </font>
      <numFmt numFmtId="1" formatCode="0"/>
      <fill>
        <patternFill patternType="none">
          <fgColor indexed="64"/>
          <bgColor indexed="65"/>
        </patternFill>
      </fill>
      <alignment horizontal="left" vertical="center" textRotation="0" wrapText="1" indent="0" justifyLastLine="0" shrinkToFit="0" readingOrder="0"/>
      <protection locked="0" hidden="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4" tint="0.39997558519241921"/>
        </patternFill>
      </fill>
      <alignment horizontal="left" vertical="center" textRotation="0" wrapText="1" indent="0" justifyLastLine="0" shrinkToFit="0" readingOrder="0"/>
      <border diagonalUp="0" diagonalDown="0" outline="0">
        <left style="thin">
          <color indexed="64"/>
        </left>
        <right style="thin">
          <color indexed="64"/>
        </right>
        <top/>
        <bottom/>
      </border>
      <protection locked="0" hidden="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font>
        <sz val="11"/>
        <color auto="1"/>
      </font>
      <numFmt numFmtId="2" formatCode="0.00"/>
      <fill>
        <patternFill patternType="solid">
          <fgColor indexed="64"/>
          <bgColor indexed="43"/>
        </patternFill>
      </fill>
      <alignment horizontal="right" vertical="center" textRotation="0" wrapText="1" indent="0" justifyLastLine="0" shrinkToFit="0" readingOrder="0"/>
      <border diagonalUp="0" diagonalDown="0">
        <left/>
        <right style="thin">
          <color indexed="64"/>
        </right>
        <top style="thin">
          <color indexed="64"/>
        </top>
        <bottom style="medium">
          <color indexed="64"/>
        </bottom>
        <vertical/>
        <horizontal/>
      </border>
      <protection locked="0" hidden="0"/>
    </dxf>
    <dxf>
      <font>
        <sz val="11"/>
        <color auto="1"/>
      </font>
      <numFmt numFmtId="2" formatCode="0.00"/>
      <fill>
        <patternFill patternType="solid">
          <fgColor indexed="64"/>
          <bgColor indexed="43"/>
        </patternFill>
      </fill>
      <alignment horizontal="right" vertical="center" textRotation="0" wrapText="1" indent="0" justifyLastLine="0" shrinkToFit="0" readingOrder="0"/>
      <border diagonalUp="0" diagonalDown="0">
        <left/>
        <right style="thin">
          <color indexed="64"/>
        </right>
        <top style="thin">
          <color indexed="64"/>
        </top>
        <bottom style="medium">
          <color indexed="64"/>
        </bottom>
        <vertical/>
        <horizontal/>
      </border>
      <protection locked="0" hidden="0"/>
    </dxf>
    <dxf>
      <font>
        <sz val="11"/>
        <color auto="1"/>
      </font>
      <numFmt numFmtId="2" formatCode="0.00"/>
      <fill>
        <patternFill patternType="solid">
          <fgColor indexed="64"/>
          <bgColor indexed="43"/>
        </patternFill>
      </fill>
      <alignment horizontal="right" vertical="center" textRotation="0" wrapText="1" indent="0" justifyLastLine="0" shrinkToFit="0" readingOrder="0"/>
      <border diagonalUp="0" diagonalDown="0">
        <left/>
        <right style="thin">
          <color indexed="64"/>
        </right>
        <top style="thin">
          <color indexed="64"/>
        </top>
        <bottom style="medium">
          <color indexed="64"/>
        </bottom>
        <vertical/>
        <horizontal/>
      </border>
      <protection locked="0" hidden="0"/>
    </dxf>
    <dxf>
      <font>
        <sz val="11"/>
        <color auto="1"/>
      </font>
      <numFmt numFmtId="2" formatCode="0.00"/>
      <fill>
        <patternFill patternType="solid">
          <fgColor indexed="64"/>
          <bgColor indexed="43"/>
        </patternFill>
      </fill>
      <alignment horizontal="right" vertical="center" textRotation="0" wrapText="1" indent="0" justifyLastLine="0" shrinkToFit="0" readingOrder="0"/>
      <border diagonalUp="0" diagonalDown="0">
        <left/>
        <right style="thin">
          <color indexed="64"/>
        </right>
        <top style="thin">
          <color indexed="64"/>
        </top>
        <bottom style="medium">
          <color indexed="64"/>
        </bottom>
        <vertical/>
        <horizontal/>
      </border>
      <protection locked="0" hidden="0"/>
    </dxf>
    <dxf>
      <font>
        <sz val="11"/>
        <color auto="1"/>
      </font>
      <numFmt numFmtId="2" formatCode="0.00"/>
      <fill>
        <patternFill patternType="solid">
          <fgColor indexed="64"/>
          <bgColor indexed="43"/>
        </patternFill>
      </fill>
      <alignment horizontal="right" vertical="center" textRotation="0" wrapText="1" indent="0" justifyLastLine="0" shrinkToFit="0" readingOrder="0"/>
      <border diagonalUp="0" diagonalDown="0">
        <left/>
        <right style="thin">
          <color indexed="64"/>
        </right>
        <top style="thin">
          <color indexed="64"/>
        </top>
        <bottom style="medium">
          <color indexed="64"/>
        </bottom>
        <vertical/>
        <horizontal/>
      </border>
      <protection locked="0" hidden="0"/>
    </dxf>
    <dxf>
      <alignment horizontal="right" vertical="center" textRotation="0" indent="0" justifyLastLine="0" readingOrder="0"/>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1" indent="0" justifyLastLine="0" shrinkToFit="0" readingOrder="0"/>
      <border diagonalUp="0" diagonalDown="0" outline="0">
        <left style="thin">
          <color indexed="64"/>
        </left>
        <right style="medium">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right style="thin">
          <color indexed="64"/>
        </right>
        <top style="thin">
          <color indexed="64"/>
        </top>
        <bottom style="medium">
          <color indexed="64"/>
        </bottom>
      </border>
      <protection locked="0" hidden="0"/>
    </dxf>
    <dxf>
      <border outline="0">
        <left style="medium">
          <color indexed="64"/>
        </left>
        <top style="medium">
          <color indexed="64"/>
        </top>
        <bottom style="medium">
          <color indexed="64"/>
        </bottom>
      </border>
    </dxf>
    <dxf>
      <numFmt numFmtId="1" formatCode="0"/>
      <alignment horizontal="left" vertical="center" textRotation="0" indent="0" justifyLastLine="0" readingOrder="0"/>
    </dxf>
    <dxf>
      <font>
        <b/>
        <i val="0"/>
        <strike val="0"/>
        <condense val="0"/>
        <extend val="0"/>
        <outline val="0"/>
        <shadow val="0"/>
        <u val="none"/>
        <vertAlign val="baseline"/>
        <sz val="11"/>
        <color auto="1"/>
        <name val="Arial"/>
        <scheme val="none"/>
      </font>
      <numFmt numFmtId="1" formatCode="0"/>
      <fill>
        <patternFill patternType="solid">
          <fgColor indexed="64"/>
          <bgColor theme="8" tint="0.39997558519241921"/>
        </patternFill>
      </fill>
      <alignment horizontal="left" vertical="center"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medium">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rgb="FFFFFF99"/>
        </patternFill>
      </fill>
      <alignment horizontal="right" vertical="center" textRotation="0" wrapText="1" indent="0" justifyLastLine="0" shrinkToFit="0" readingOrder="0"/>
      <border diagonalUp="0" diagonalDown="0" outline="0">
        <left/>
        <right style="thin">
          <color indexed="64"/>
        </right>
        <top style="thin">
          <color indexed="64"/>
        </top>
        <bottom/>
      </border>
      <protection locked="0" hidden="0"/>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1" indent="0" justifyLastLine="0" shrinkToFit="0" readingOrder="0"/>
      <border diagonalUp="0" diagonalDown="0" outline="0">
        <left style="thin">
          <color indexed="64"/>
        </left>
        <right style="medium">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right style="thin">
          <color indexed="64"/>
        </right>
        <top style="thin">
          <color indexed="64"/>
        </top>
        <bottom style="medium">
          <color indexed="64"/>
        </bottom>
      </border>
      <protection locked="0" hidden="0"/>
    </dxf>
    <dxf>
      <border outline="0">
        <left style="medium">
          <color indexed="64"/>
        </left>
        <top style="medium">
          <color indexed="64"/>
        </top>
        <bottom style="medium">
          <color indexed="64"/>
        </bottom>
      </border>
    </dxf>
    <dxf>
      <font>
        <b val="0"/>
        <i val="0"/>
        <strike val="0"/>
        <condense val="0"/>
        <extend val="0"/>
        <outline val="0"/>
        <shadow val="0"/>
        <u val="none"/>
        <vertAlign val="baseline"/>
        <sz val="11"/>
        <color auto="1"/>
        <name val="Arial"/>
        <scheme val="none"/>
      </font>
      <numFmt numFmtId="1" formatCode="0"/>
      <fill>
        <patternFill patternType="solid">
          <fgColor indexed="64"/>
          <bgColor rgb="FFFFFF99"/>
        </patternFill>
      </fill>
      <alignment horizontal="left" vertical="center" textRotation="0" wrapText="1" indent="0" justifyLastLine="0" shrinkToFit="0" readingOrder="0"/>
      <protection locked="0" hidden="0"/>
    </dxf>
    <dxf>
      <font>
        <b/>
        <i val="0"/>
        <strike val="0"/>
        <condense val="0"/>
        <extend val="0"/>
        <outline val="0"/>
        <shadow val="0"/>
        <u val="none"/>
        <vertAlign val="baseline"/>
        <sz val="11"/>
        <color auto="1"/>
        <name val="Arial"/>
        <scheme val="none"/>
      </font>
      <numFmt numFmtId="1" formatCode="0"/>
      <fill>
        <patternFill patternType="solid">
          <fgColor indexed="64"/>
          <bgColor theme="7" tint="0.39997558519241921"/>
        </patternFill>
      </fill>
      <alignment horizontal="left" vertical="center"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family val="2"/>
        <scheme val="none"/>
      </font>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scheme val="none"/>
      </font>
      <numFmt numFmtId="1" formatCode="0"/>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scheme val="none"/>
      </font>
      <numFmt numFmtId="2" formatCode="0.00"/>
      <fill>
        <patternFill patternType="solid">
          <fgColor indexed="64"/>
          <bgColor theme="0" tint="-0.249977111117893"/>
        </patternFill>
      </fill>
      <alignment horizontal="right" vertical="center" textRotation="0" wrapText="1" indent="0" justifyLastLine="0" shrinkToFit="0" readingOrder="0"/>
      <border diagonalUp="0" diagonalDown="0">
        <left style="medium">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1" formatCode="0"/>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1" indent="0" justifyLastLine="0" shrinkToFit="0" readingOrder="0"/>
      <border diagonalUp="0" diagonalDown="0" outline="0">
        <left style="thin">
          <color indexed="64"/>
        </left>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left" vertical="center" textRotation="0" wrapText="1" indent="0" justifyLastLine="0" shrinkToFit="0" readingOrder="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left" vertical="center" textRotation="0" wrapText="1" indent="0" justifyLastLine="0" shrinkToFit="0" readingOrder="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left" vertical="center" textRotation="0" wrapText="1" indent="0" justifyLastLine="0" shrinkToFit="0" readingOrder="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left" vertical="center" textRotation="0" wrapText="1" indent="0" justifyLastLine="0" shrinkToFit="0" readingOrder="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family val="2"/>
        <scheme val="none"/>
      </font>
      <numFmt numFmtId="2" formatCode="0.00"/>
      <alignment horizontal="left" vertical="center" textRotation="0" wrapText="1" indent="0" justifyLastLine="0" shrinkToFit="0" readingOrder="0"/>
      <protection locked="0" hidden="0"/>
    </dxf>
    <dxf>
      <border outline="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1"/>
        <color auto="1"/>
        <name val="Arial"/>
        <scheme val="none"/>
      </font>
      <numFmt numFmtId="1" formatCode="0"/>
      <fill>
        <patternFill patternType="none">
          <fgColor indexed="64"/>
          <bgColor indexed="65"/>
        </patternFill>
      </fill>
      <alignment horizontal="left" vertical="center" textRotation="0" wrapText="1" indent="0" justifyLastLine="0" shrinkToFit="0" readingOrder="0"/>
      <protection locked="0" hidden="0"/>
    </dxf>
    <dxf>
      <border outline="0">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7" tint="0.39997558519241921"/>
        </patternFill>
      </fill>
      <alignment horizontal="left" vertical="center" textRotation="0" wrapText="1" indent="0" justifyLastLine="0" shrinkToFit="0" readingOrder="0"/>
      <border diagonalUp="0" diagonalDown="0" outline="0">
        <left style="thin">
          <color indexed="64"/>
        </left>
        <right style="thin">
          <color indexed="64"/>
        </right>
        <top/>
        <bottom/>
      </border>
      <protection locked="0" hidden="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border outline="0">
        <left style="medium">
          <color indexed="64"/>
        </left>
      </border>
    </dxf>
    <dxf>
      <font>
        <b val="0"/>
        <i val="0"/>
        <strike val="0"/>
        <condense val="0"/>
        <extend val="0"/>
        <outline val="0"/>
        <shadow val="0"/>
        <u val="none"/>
        <vertAlign val="baseline"/>
        <sz val="11"/>
        <color auto="1"/>
        <name val="Arial"/>
        <scheme val="none"/>
      </font>
      <numFmt numFmtId="1" formatCode="0"/>
      <fill>
        <patternFill patternType="solid">
          <fgColor indexed="64"/>
          <bgColor theme="0" tint="-4.9989318521683403E-2"/>
        </patternFill>
      </fill>
      <alignment horizontal="right" vertical="center" textRotation="0" wrapText="1" indent="0" justifyLastLine="0" shrinkToFit="0" readingOrder="0"/>
      <border diagonalUp="0" diagonalDown="0" outline="0">
        <left style="thin">
          <color indexed="64"/>
        </left>
        <right style="medium">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numFmt numFmtId="30" formatCode="@"/>
      <fill>
        <patternFill patternType="solid">
          <fgColor indexed="64"/>
          <bgColor theme="0" tint="-4.9989318521683403E-2"/>
        </patternFill>
      </fill>
      <alignment horizontal="left" vertical="center" textRotation="0" wrapText="1" indent="0" justifyLastLine="0" shrinkToFit="1" readingOrder="0"/>
      <border diagonalUp="0" diagonalDown="0" outline="0">
        <left style="thin">
          <color indexed="64"/>
        </left>
        <right style="thin">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medium">
          <color indexed="64"/>
        </bottom>
      </border>
      <protection locked="0" hidden="0"/>
    </dxf>
    <dxf>
      <font>
        <b val="0"/>
        <i val="0"/>
        <strike val="0"/>
        <condense val="0"/>
        <extend val="0"/>
        <outline val="0"/>
        <shadow val="0"/>
        <u val="none"/>
        <vertAlign val="baseline"/>
        <sz val="11"/>
        <color auto="1"/>
        <name val="Arial"/>
        <scheme val="none"/>
      </font>
      <fill>
        <patternFill patternType="solid">
          <fgColor indexed="64"/>
          <bgColor theme="0" tint="-4.9989318521683403E-2"/>
        </patternFill>
      </fill>
      <alignment horizontal="left" vertical="center" textRotation="0" wrapText="1" indent="0" justifyLastLine="0" shrinkToFit="0" readingOrder="0"/>
      <border diagonalUp="0" diagonalDown="0" outline="0">
        <left/>
        <right style="thin">
          <color indexed="64"/>
        </right>
        <top style="thin">
          <color indexed="64"/>
        </top>
        <bottom style="medium">
          <color indexed="64"/>
        </bottom>
      </border>
      <protection locked="0" hidden="0"/>
    </dxf>
    <dxf>
      <border outline="0">
        <left style="medium">
          <color indexed="64"/>
        </left>
        <top style="medium">
          <color indexed="64"/>
        </top>
        <bottom style="medium">
          <color indexed="64"/>
        </bottom>
      </border>
    </dxf>
    <dxf>
      <numFmt numFmtId="1" formatCode="0"/>
      <alignment horizontal="left" vertical="center" textRotation="0" indent="0" justifyLastLine="0" readingOrder="0"/>
    </dxf>
    <dxf>
      <font>
        <b/>
        <i val="0"/>
        <strike val="0"/>
        <condense val="0"/>
        <extend val="0"/>
        <outline val="0"/>
        <shadow val="0"/>
        <u val="none"/>
        <vertAlign val="baseline"/>
        <sz val="11"/>
        <color auto="1"/>
        <name val="Arial"/>
        <scheme val="none"/>
      </font>
      <numFmt numFmtId="1" formatCode="0"/>
      <fill>
        <patternFill patternType="solid">
          <fgColor indexed="64"/>
          <bgColor theme="5" tint="0.39997558519241921"/>
        </patternFill>
      </fill>
      <alignment horizontal="left" vertical="center" textRotation="0" wrapText="1" indent="0" justifyLastLine="0" shrinkToFit="0" readingOrder="0"/>
      <border diagonalUp="0" diagonalDown="0" outline="0">
        <left style="thin">
          <color indexed="64"/>
        </left>
        <right style="thin">
          <color indexed="64"/>
        </right>
        <top/>
        <bottom/>
      </border>
      <protection locked="0" hidden="0"/>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5"/>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65" formatCode="0.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65" formatCode="0.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65" formatCode="0.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65" formatCode="0.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65" formatCode="0.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65" formatCode="0.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65" formatCode="0.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65" formatCode="0.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65" formatCode="0.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65" formatCode="0.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65" formatCode="0.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65" formatCode="0.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65" formatCode="0.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65" formatCode="0.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65" formatCode="0.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65" formatCode="0.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65" formatCode="0.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65" formatCode="0.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65" formatCode="0.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65" formatCode="0.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65" formatCode="0.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65" formatCode="0.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65" formatCode="0.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65" formatCode="0.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65" formatCode="0.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65" formatCode="0.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65" formatCode="0.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65" formatCode="0.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65" formatCode="0.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65" formatCode="0.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65" formatCode="0.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65" formatCode="0.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65" formatCode="0.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65" formatCode="0.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65" formatCode="0.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65" formatCode="0.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65" formatCode="0.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65" formatCode="0.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65" formatCode="0.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65" formatCode="0.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65" formatCode="0.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65" formatCode="0.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65" formatCode="0.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65" formatCode="0.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65" formatCode="0.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65" formatCode="0.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65" formatCode="0.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65" formatCode="0.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65" formatCode="0.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65" formatCode="0.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65" formatCode="0.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65" formatCode="0.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65" formatCode="0.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65" formatCode="0.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65" formatCode="0.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65" formatCode="0.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65" formatCode="0.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65" formatCode="0.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65" formatCode="0.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65" formatCode="0.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65" formatCode="0.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65" formatCode="0.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65" formatCode="0.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65" formatCode="0.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65" formatCode="0.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65" formatCode="0.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65" formatCode="0.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65" formatCode="0.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65" formatCode="0.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65" formatCode="0.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65" formatCode="0.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65" formatCode="0.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65" formatCode="0.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65" formatCode="0.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65" formatCode="0.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65" formatCode="0.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65" formatCode="0.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65" formatCode="0.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65" formatCode="0.0"/>
      <fill>
        <patternFill patternType="solid">
          <fgColor indexed="64"/>
          <bgColor rgb="FFFFFFFF"/>
        </patternFill>
      </fill>
      <alignment horizontal="righ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numFmt numFmtId="2" formatCode="0.00"/>
      <fill>
        <patternFill patternType="solid">
          <fgColor indexed="64"/>
          <bgColor rgb="FFFFFFFF"/>
        </patternFill>
      </fill>
      <alignment horizontal="right" vertical="center" textRotation="0" wrapText="1" indent="0" justifyLastLine="0" shrinkToFit="0" readingOrder="0"/>
      <border diagonalUp="0" diagonalDown="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11"/>
        <color theme="1"/>
        <name val="Arial"/>
        <scheme val="none"/>
      </font>
      <fill>
        <patternFill patternType="solid">
          <fgColor indexed="64"/>
          <bgColor theme="7" tint="0.59999389629810485"/>
        </patternFill>
      </fill>
      <alignment horizontal="right" vertical="center" textRotation="0" wrapText="1" indent="0" justifyLastLine="0" shrinkToFit="0" readingOrder="0"/>
      <border diagonalUp="0" diagonalDown="0" outline="0">
        <left style="thin">
          <color rgb="FF000000"/>
        </left>
        <right style="medium">
          <color indexed="64"/>
        </right>
        <top style="thin">
          <color rgb="FF000000"/>
        </top>
        <bottom style="thin">
          <color rgb="FF000000"/>
        </bottom>
      </border>
    </dxf>
    <dxf>
      <font>
        <b val="0"/>
        <i val="0"/>
        <strike val="0"/>
        <condense val="0"/>
        <extend val="0"/>
        <outline val="0"/>
        <shadow val="0"/>
        <u val="none"/>
        <vertAlign val="baseline"/>
        <sz val="11"/>
        <color theme="1"/>
        <name val="Arial"/>
        <scheme val="none"/>
      </font>
      <fill>
        <patternFill patternType="solid">
          <fgColor indexed="64"/>
          <bgColor theme="7" tint="0.59999389629810485"/>
        </patternFill>
      </fill>
      <alignment horizontal="lef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fill>
        <patternFill patternType="solid">
          <fgColor indexed="64"/>
          <bgColor theme="7" tint="0.59999389629810485"/>
        </patternFill>
      </fill>
      <alignment horizontal="lef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rgb="FF000000"/>
        <name val="Arial"/>
        <scheme val="none"/>
      </font>
      <fill>
        <patternFill patternType="solid">
          <fgColor indexed="64"/>
          <bgColor theme="7" tint="0.59999389629810485"/>
        </patternFill>
      </fill>
      <alignment horizontal="left" vertical="center"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fill>
        <patternFill patternType="solid">
          <fgColor indexed="64"/>
          <bgColor theme="7" tint="0.59999389629810485"/>
        </patternFill>
      </fill>
      <alignment horizontal="left" vertical="center" textRotation="0" wrapText="1" indent="0" justifyLastLine="0" shrinkToFit="0" readingOrder="0"/>
      <border diagonalUp="0" diagonalDown="0" outline="0">
        <left/>
        <right style="thin">
          <color rgb="FF000000"/>
        </right>
        <top style="thin">
          <color rgb="FF000000"/>
        </top>
        <bottom style="thin">
          <color rgb="FF000000"/>
        </bottom>
      </border>
    </dxf>
    <dxf>
      <border outline="0">
        <left style="medium">
          <color rgb="FF000000"/>
        </left>
        <right style="medium">
          <color rgb="FF000000"/>
        </right>
        <top style="medium">
          <color rgb="FF000000"/>
        </top>
        <bottom style="medium">
          <color rgb="FF000000"/>
        </bottom>
      </border>
    </dxf>
    <dxf>
      <font>
        <b val="0"/>
        <i val="0"/>
        <strike val="0"/>
        <condense val="0"/>
        <extend val="0"/>
        <outline val="0"/>
        <shadow val="0"/>
        <u val="none"/>
        <vertAlign val="baseline"/>
        <sz val="11"/>
        <color theme="1"/>
        <name val="Arial"/>
        <scheme val="none"/>
      </font>
      <alignment horizontal="right" vertical="center" textRotation="0" wrapText="1" indent="0" justifyLastLine="0" shrinkToFit="0" readingOrder="0"/>
    </dxf>
    <dxf>
      <border outline="0">
        <bottom style="medium">
          <color rgb="FF000000"/>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7" tint="0.39997558519241921"/>
        </patternFill>
      </fill>
      <alignment horizontal="left" vertical="center" textRotation="0" wrapText="1" indent="0" justifyLastLine="0" shrinkToFit="0" readingOrder="0"/>
      <border diagonalUp="0" diagonalDown="0" outline="0">
        <left style="thin">
          <color rgb="FF000000"/>
        </left>
        <right style="thin">
          <color rgb="FF000000"/>
        </right>
        <top/>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numFmt numFmtId="14" formatCode="0.00%"/>
      <alignment horizontal="right" vertical="center" textRotation="0" wrapText="1" indent="0" justifyLastLine="0" shrinkToFit="0" readingOrder="0"/>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1"/>
        <color theme="1"/>
        <name val="Arial"/>
        <scheme val="none"/>
      </font>
      <fill>
        <patternFill patternType="solid">
          <fgColor indexed="64"/>
          <bgColor theme="7" tint="0.59999389629810485"/>
        </patternFill>
      </fill>
      <alignment horizontal="right" vertical="center" textRotation="0" wrapText="1" indent="0" justifyLastLine="0" shrinkToFit="0" readingOrder="0"/>
      <border diagonalUp="0" diagonalDown="0" outline="0">
        <left style="thin">
          <color auto="1"/>
        </left>
        <right style="medium">
          <color indexed="64"/>
        </right>
        <top style="medium">
          <color auto="1"/>
        </top>
        <bottom style="medium">
          <color auto="1"/>
        </bottom>
      </border>
    </dxf>
    <dxf>
      <font>
        <b val="0"/>
        <i val="0"/>
        <strike val="0"/>
        <condense val="0"/>
        <extend val="0"/>
        <outline val="0"/>
        <shadow val="0"/>
        <u val="none"/>
        <vertAlign val="baseline"/>
        <sz val="11"/>
        <color theme="1"/>
        <name val="Arial"/>
        <scheme val="none"/>
      </font>
      <fill>
        <patternFill patternType="solid">
          <fgColor indexed="64"/>
          <bgColor theme="7" tint="0.59999389629810485"/>
        </patternFill>
      </fill>
      <alignment horizontal="left" vertical="center" textRotation="0" wrapText="1" indent="0" justifyLastLine="0" shrinkToFit="0" readingOrder="0"/>
      <border diagonalUp="0" diagonalDown="0" outline="0">
        <left style="thin">
          <color auto="1"/>
        </left>
        <right style="thin">
          <color auto="1"/>
        </right>
        <top style="medium">
          <color auto="1"/>
        </top>
        <bottom style="medium">
          <color auto="1"/>
        </bottom>
      </border>
    </dxf>
    <dxf>
      <font>
        <b val="0"/>
        <i val="0"/>
        <strike val="0"/>
        <condense val="0"/>
        <extend val="0"/>
        <outline val="0"/>
        <shadow val="0"/>
        <u val="none"/>
        <vertAlign val="baseline"/>
        <sz val="11"/>
        <color theme="1"/>
        <name val="Arial"/>
        <scheme val="none"/>
      </font>
      <fill>
        <patternFill patternType="solid">
          <fgColor indexed="64"/>
          <bgColor theme="7" tint="0.59999389629810485"/>
        </patternFill>
      </fill>
      <alignment horizontal="left" vertical="center" textRotation="0" wrapText="1" indent="0" justifyLastLine="0" shrinkToFit="0" readingOrder="0"/>
      <border diagonalUp="0" diagonalDown="0" outline="0">
        <left style="thin">
          <color auto="1"/>
        </left>
        <right style="thin">
          <color auto="1"/>
        </right>
        <top style="medium">
          <color auto="1"/>
        </top>
        <bottom style="medium">
          <color auto="1"/>
        </bottom>
      </border>
    </dxf>
    <dxf>
      <font>
        <b val="0"/>
        <i val="0"/>
        <strike val="0"/>
        <condense val="0"/>
        <extend val="0"/>
        <outline val="0"/>
        <shadow val="0"/>
        <u val="none"/>
        <vertAlign val="baseline"/>
        <sz val="11"/>
        <color rgb="FF000000"/>
        <name val="Arial"/>
        <scheme val="none"/>
      </font>
      <fill>
        <patternFill patternType="solid">
          <fgColor indexed="64"/>
          <bgColor theme="7" tint="0.59999389629810485"/>
        </patternFill>
      </fill>
      <alignment horizontal="left" vertical="center" textRotation="0" wrapText="1" indent="0" justifyLastLine="0" shrinkToFit="0" readingOrder="0"/>
      <border diagonalUp="0" diagonalDown="0" outline="0">
        <left style="thin">
          <color auto="1"/>
        </left>
        <right style="thin">
          <color auto="1"/>
        </right>
        <top style="medium">
          <color auto="1"/>
        </top>
        <bottom style="medium">
          <color auto="1"/>
        </bottom>
      </border>
    </dxf>
    <dxf>
      <font>
        <b val="0"/>
        <i val="0"/>
        <strike val="0"/>
        <condense val="0"/>
        <extend val="0"/>
        <outline val="0"/>
        <shadow val="0"/>
        <u val="none"/>
        <vertAlign val="baseline"/>
        <sz val="11"/>
        <color theme="1"/>
        <name val="Arial"/>
        <scheme val="none"/>
      </font>
      <fill>
        <patternFill patternType="solid">
          <fgColor indexed="64"/>
          <bgColor theme="7" tint="0.59999389629810485"/>
        </patternFill>
      </fill>
      <alignment horizontal="left" vertical="center" textRotation="0" wrapText="1" indent="0" justifyLastLine="0" shrinkToFit="0" readingOrder="0"/>
      <border diagonalUp="0" diagonalDown="0" outline="0">
        <left style="medium">
          <color indexed="64"/>
        </left>
        <right style="thin">
          <color auto="1"/>
        </right>
        <top style="medium">
          <color auto="1"/>
        </top>
        <bottom style="medium">
          <color auto="1"/>
        </bottom>
      </border>
    </dxf>
    <dxf>
      <border outline="0">
        <left style="medium">
          <color rgb="FF000000"/>
        </left>
        <right style="medium">
          <color rgb="FF000000"/>
        </right>
        <top style="medium">
          <color rgb="FF000000"/>
        </top>
        <bottom style="medium">
          <color rgb="FF000000"/>
        </bottom>
      </border>
    </dxf>
    <dxf>
      <font>
        <b val="0"/>
        <i val="0"/>
        <strike val="0"/>
        <condense val="0"/>
        <extend val="0"/>
        <outline val="0"/>
        <shadow val="0"/>
        <u val="none"/>
        <vertAlign val="baseline"/>
        <sz val="11"/>
        <color theme="1"/>
        <name val="Arial"/>
        <scheme val="none"/>
      </font>
      <alignment horizontal="left" vertical="center" textRotation="0" wrapText="1" indent="0" justifyLastLine="0" shrinkToFit="0" readingOrder="0"/>
    </dxf>
    <dxf>
      <border outline="0">
        <bottom style="medium">
          <color rgb="FF000000"/>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7" tint="0.39997558519241921"/>
        </patternFill>
      </fill>
      <alignment horizontal="left" vertical="center" textRotation="0" wrapText="1" indent="0" justifyLastLine="0" shrinkToFit="0" readingOrder="0"/>
      <border diagonalUp="0" diagonalDown="0" outline="0">
        <left style="thin">
          <color rgb="FF000000"/>
        </left>
        <right style="thin">
          <color rgb="FF000000"/>
        </right>
        <top/>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alignment horizontal="right" vertical="center" textRotation="0" wrapText="1" indent="0" justifyLastLine="0" shrinkToFit="0" readingOrder="0"/>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fill>
        <patternFill patternType="solid">
          <fgColor indexed="64"/>
          <bgColor theme="0" tint="-0.14999847407452621"/>
        </patternFill>
      </fill>
      <alignment horizontal="right" vertical="center" textRotation="0" wrapText="1" indent="0" justifyLastLine="0" shrinkToFit="0" readingOrder="0"/>
      <border diagonalUp="0" diagonalDown="0" outline="0">
        <left style="thin">
          <color indexed="64"/>
        </left>
        <right style="medium">
          <color rgb="FF000000"/>
        </right>
        <top style="thin">
          <color indexed="64"/>
        </top>
        <bottom style="thin">
          <color indexed="64"/>
        </bottom>
      </border>
    </dxf>
    <dxf>
      <font>
        <b val="0"/>
        <i val="0"/>
        <strike val="0"/>
        <condense val="0"/>
        <extend val="0"/>
        <outline val="0"/>
        <shadow val="0"/>
        <u val="none"/>
        <vertAlign val="baseline"/>
        <sz val="11"/>
        <color theme="1"/>
        <name val="Arial"/>
        <scheme val="none"/>
      </font>
      <fill>
        <patternFill patternType="solid">
          <fgColor indexed="64"/>
          <bgColor theme="0" tint="-0.14999847407452621"/>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Arial"/>
        <scheme val="none"/>
      </font>
      <fill>
        <patternFill patternType="solid">
          <fgColor indexed="64"/>
          <bgColor theme="0" tint="-0.14999847407452621"/>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fill>
        <patternFill patternType="solid">
          <fgColor rgb="FF000000"/>
          <bgColor theme="0" tint="-0.14999847407452621"/>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fill>
        <patternFill patternType="solid">
          <fgColor rgb="FF000000"/>
          <bgColor theme="0" tint="-0.14999847407452621"/>
        </patternFill>
      </fill>
      <alignment horizontal="left" vertical="center" textRotation="0" wrapText="1" indent="0" justifyLastLine="0" shrinkToFit="0" readingOrder="0"/>
      <border diagonalUp="0" diagonalDown="0">
        <left style="medium">
          <color rgb="FF000000"/>
        </left>
        <right style="thin">
          <color indexed="64"/>
        </right>
        <top style="thin">
          <color indexed="64"/>
        </top>
        <bottom style="thin">
          <color indexed="64"/>
        </bottom>
        <vertical/>
        <horizontal/>
      </border>
    </dxf>
    <dxf>
      <border outline="0">
        <right style="medium">
          <color indexed="64"/>
        </right>
        <top style="medium">
          <color indexed="64"/>
        </top>
      </border>
    </dxf>
    <dxf>
      <font>
        <b val="0"/>
        <i val="0"/>
        <strike val="0"/>
        <condense val="0"/>
        <extend val="0"/>
        <outline val="0"/>
        <shadow val="0"/>
        <u val="none"/>
        <vertAlign val="baseline"/>
        <sz val="11"/>
        <color theme="1"/>
        <name val="Arial"/>
        <scheme val="none"/>
      </font>
      <alignment horizontal="left" vertical="center" textRotation="0" wrapText="1" indent="0" justifyLastLine="0" shrinkToFit="0" readingOrder="0"/>
    </dxf>
    <dxf>
      <font>
        <b/>
        <i val="0"/>
        <strike val="0"/>
        <condense val="0"/>
        <extend val="0"/>
        <outline val="0"/>
        <shadow val="0"/>
        <u val="none"/>
        <vertAlign val="baseline"/>
        <sz val="11"/>
        <color auto="1"/>
        <name val="Arial"/>
        <scheme val="none"/>
      </font>
      <numFmt numFmtId="1" formatCode="0"/>
      <fill>
        <patternFill patternType="solid">
          <fgColor indexed="64"/>
          <bgColor theme="7" tint="0.39997558519241921"/>
        </patternFill>
      </fill>
      <alignment horizontal="left" vertical="center" textRotation="0" wrapText="1" indent="0" justifyLastLine="0" shrinkToFit="0" readingOrder="0"/>
      <border diagonalUp="0" diagonalDown="0" outline="0">
        <left style="thin">
          <color indexed="64"/>
        </left>
        <right style="thin">
          <color indexed="64"/>
        </right>
        <top/>
        <bottom/>
      </border>
      <protection locked="0" hidden="0"/>
    </dxf>
    <dxf>
      <alignment horizontal="right" vertical="center" textRotation="0" indent="0" justifyLastLine="0" readingOrder="0"/>
      <border diagonalUp="0" diagonalDown="0" outline="0">
        <left style="medium">
          <color indexed="64"/>
        </left>
        <right style="medium">
          <color indexed="64"/>
        </right>
        <top/>
        <bottom/>
      </border>
    </dxf>
    <dxf>
      <alignment horizontal="right" vertical="center" textRotation="0" indent="0" justifyLastLine="0" readingOrder="0"/>
      <border diagonalUp="0" diagonalDown="0" outline="0">
        <left style="medium">
          <color indexed="64"/>
        </left>
        <right style="medium">
          <color indexed="64"/>
        </right>
        <top/>
        <bottom/>
      </border>
    </dxf>
    <dxf>
      <alignment horizontal="right" vertical="center" textRotation="0" indent="0" justifyLastLine="0" readingOrder="0"/>
      <border diagonalUp="0" diagonalDown="0" outline="0">
        <left style="medium">
          <color indexed="64"/>
        </left>
        <right style="medium">
          <color indexed="64"/>
        </right>
        <top/>
        <bottom/>
      </border>
    </dxf>
    <dxf>
      <alignment horizontal="right" vertical="center" textRotation="0" indent="0" justifyLastLine="0" readingOrder="0"/>
      <border diagonalUp="0" diagonalDown="0" outline="0">
        <left style="medium">
          <color indexed="64"/>
        </left>
        <right style="medium">
          <color indexed="64"/>
        </right>
        <top/>
        <bottom/>
      </border>
    </dxf>
    <dxf>
      <alignment horizontal="right" vertical="center" textRotation="0" indent="0" justifyLastLine="0" readingOrder="0"/>
      <border diagonalUp="0" diagonalDown="0" outline="0">
        <left style="medium">
          <color indexed="64"/>
        </left>
        <right style="medium">
          <color indexed="64"/>
        </right>
        <top/>
        <bottom/>
      </border>
    </dxf>
    <dxf>
      <alignment horizontal="right" vertical="center" textRotation="0" indent="0" justifyLastLine="0" readingOrder="0"/>
      <border diagonalUp="0" diagonalDown="0" outline="0">
        <left style="medium">
          <color indexed="64"/>
        </left>
        <right style="medium">
          <color indexed="64"/>
        </right>
        <top/>
        <bottom/>
      </border>
    </dxf>
    <dxf>
      <alignment horizontal="right" vertical="center" textRotation="0" indent="0" justifyLastLine="0" readingOrder="0"/>
      <border diagonalUp="0" diagonalDown="0" outline="0">
        <left style="medium">
          <color indexed="64"/>
        </left>
        <right style="medium">
          <color indexed="64"/>
        </right>
        <top/>
        <bottom/>
      </border>
    </dxf>
    <dxf>
      <alignment horizontal="right" vertical="center" textRotation="0" indent="0" justifyLastLine="0" readingOrder="0"/>
      <border diagonalUp="0" diagonalDown="0" outline="0">
        <left style="medium">
          <color indexed="64"/>
        </left>
        <right style="medium">
          <color indexed="64"/>
        </right>
        <top/>
        <bottom/>
      </border>
    </dxf>
    <dxf>
      <alignment horizontal="right" vertical="center" textRotation="0" indent="0" justifyLastLine="0" readingOrder="0"/>
      <border diagonalUp="0" diagonalDown="0" outline="0">
        <left style="medium">
          <color indexed="64"/>
        </left>
        <right style="medium">
          <color indexed="64"/>
        </right>
        <top/>
        <bottom/>
      </border>
    </dxf>
    <dxf>
      <alignment horizontal="right" vertical="center" textRotation="0" indent="0" justifyLastLine="0" readingOrder="0"/>
      <border diagonalUp="0" diagonalDown="0" outline="0">
        <left style="medium">
          <color indexed="64"/>
        </left>
        <right style="medium">
          <color indexed="64"/>
        </right>
        <top/>
        <bottom/>
      </border>
    </dxf>
    <dxf>
      <alignment horizontal="right" vertical="center" textRotation="0" indent="0" justifyLastLine="0" readingOrder="0"/>
      <border diagonalUp="0" diagonalDown="0" outline="0">
        <left style="medium">
          <color indexed="64"/>
        </left>
        <right style="medium">
          <color indexed="64"/>
        </right>
        <top/>
        <bottom/>
      </border>
    </dxf>
    <dxf>
      <alignment horizontal="right" vertical="center" textRotation="0" indent="0" justifyLastLine="0" readingOrder="0"/>
      <border diagonalUp="0" diagonalDown="0" outline="0">
        <left style="medium">
          <color indexed="64"/>
        </left>
        <right style="medium">
          <color indexed="64"/>
        </right>
        <top/>
        <bottom/>
      </border>
    </dxf>
    <dxf>
      <alignment horizontal="right" vertical="center" textRotation="0" indent="0" justifyLastLine="0" readingOrder="0"/>
      <border diagonalUp="0" diagonalDown="0" outline="0">
        <left style="medium">
          <color indexed="64"/>
        </left>
        <right style="medium">
          <color indexed="64"/>
        </right>
        <top/>
        <bottom/>
      </border>
    </dxf>
    <dxf>
      <alignment horizontal="right" vertical="center" textRotation="0" indent="0" justifyLastLine="0" readingOrder="0"/>
      <border diagonalUp="0" diagonalDown="0" outline="0">
        <left style="medium">
          <color indexed="64"/>
        </left>
        <right style="medium">
          <color indexed="64"/>
        </right>
        <top/>
        <bottom/>
      </border>
    </dxf>
    <dxf>
      <alignment horizontal="right" vertical="center" textRotation="0" indent="0" justifyLastLine="0" readingOrder="0"/>
      <border diagonalUp="0" diagonalDown="0" outline="0">
        <left style="medium">
          <color indexed="64"/>
        </left>
        <right style="medium">
          <color indexed="64"/>
        </right>
        <top/>
        <bottom/>
      </border>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alignment horizontal="right" vertical="center" textRotation="0" indent="0" justifyLastLine="0" readingOrder="0"/>
    </dxf>
    <dxf>
      <font>
        <sz val="11"/>
      </font>
      <numFmt numFmtId="165" formatCode="0.0"/>
      <alignment horizontal="right" vertical="center" textRotation="0" wrapText="1" indent="0" justifyLastLine="0" shrinkToFit="0" readingOrder="0"/>
      <border diagonalUp="0" diagonalDown="0">
        <left style="thin">
          <color indexed="64"/>
        </left>
        <right style="thin">
          <color indexed="64"/>
        </right>
        <top style="thin">
          <color indexed="64"/>
        </top>
        <bottom/>
        <vertical/>
        <horizontal/>
      </border>
    </dxf>
    <dxf>
      <fill>
        <patternFill patternType="solid">
          <fgColor indexed="64"/>
          <bgColor theme="0" tint="-0.249977111117893"/>
        </patternFill>
      </fill>
      <alignment horizontal="right" vertical="center" textRotation="0" indent="0" justifyLastLine="0" readingOrder="0"/>
      <border outline="0">
        <left style="thin">
          <color indexed="64"/>
        </left>
      </border>
    </dxf>
    <dxf>
      <fill>
        <patternFill patternType="solid">
          <fgColor indexed="64"/>
          <bgColor theme="0" tint="-0.249977111117893"/>
        </patternFill>
      </fill>
      <alignment horizontal="right" vertical="center" textRotation="0" indent="0" justifyLastLine="0" readingOrder="0"/>
      <border outline="0">
        <left style="thin">
          <color indexed="64"/>
        </left>
      </border>
    </dxf>
    <dxf>
      <fill>
        <patternFill patternType="solid">
          <fgColor indexed="64"/>
          <bgColor theme="0" tint="-0.249977111117893"/>
        </patternFill>
      </fill>
      <alignment horizontal="right" vertical="center" textRotation="0" indent="0" justifyLastLine="0" readingOrder="0"/>
      <border outline="0">
        <left style="thin">
          <color indexed="64"/>
        </left>
      </border>
    </dxf>
    <dxf>
      <numFmt numFmtId="2" formatCode="0.00"/>
      <fill>
        <patternFill patternType="solid">
          <fgColor indexed="64"/>
          <bgColor theme="0" tint="-0.249977111117893"/>
        </patternFill>
      </fill>
      <alignment horizontal="right" vertical="center" textRotation="0" indent="0" justifyLastLine="0" readingOrder="0"/>
      <border>
        <left style="thin">
          <color indexed="64"/>
        </left>
      </border>
    </dxf>
    <dxf>
      <fill>
        <patternFill patternType="solid">
          <fgColor indexed="64"/>
          <bgColor theme="0" tint="-0.249977111117893"/>
        </patternFill>
      </fill>
      <alignment horizontal="right" vertical="center" textRotation="0" indent="0" justifyLastLine="0" readingOrder="0"/>
    </dxf>
    <dxf>
      <alignment horizontal="right" vertical="center" textRotation="0" indent="0" justifyLastLine="0" readingOrder="0"/>
    </dxf>
    <dxf>
      <border outline="0">
        <left style="medium">
          <color indexed="64"/>
        </left>
        <right style="medium">
          <color indexed="64"/>
        </right>
        <top style="medium">
          <color indexed="64"/>
        </top>
        <bottom style="medium">
          <color indexed="64"/>
        </bottom>
      </border>
    </dxf>
    <dxf>
      <font>
        <b/>
        <i val="0"/>
        <strike val="0"/>
        <condense val="0"/>
        <extend val="0"/>
        <outline val="0"/>
        <shadow val="0"/>
        <u val="none"/>
        <vertAlign val="baseline"/>
        <sz val="11"/>
        <color auto="1"/>
        <name val="Arial"/>
        <scheme val="none"/>
      </font>
      <numFmt numFmtId="1" formatCode="0"/>
      <fill>
        <patternFill patternType="solid">
          <fgColor indexed="64"/>
          <bgColor theme="9" tint="0.39997558519241921"/>
        </patternFill>
      </fill>
      <alignment horizontal="left" vertical="center" textRotation="0" wrapText="1" indent="0" justifyLastLine="0" shrinkToFit="0" readingOrder="0"/>
      <border diagonalUp="0" diagonalDown="0" outline="0">
        <left style="thin">
          <color indexed="64"/>
        </left>
        <right style="thin">
          <color indexed="64"/>
        </right>
        <top/>
        <bottom/>
      </border>
      <protection locked="0" hidden="0"/>
    </dxf>
    <dxf>
      <border outline="0">
        <left style="thin">
          <color indexed="64"/>
        </left>
      </border>
    </dxf>
    <dxf>
      <alignment horizontal="right" vertical="center" textRotation="0" indent="0" justifyLastLine="0" shrinkToFit="0" readingOrder="0"/>
      <border outline="0">
        <left style="thin">
          <color indexed="64"/>
        </left>
      </border>
    </dxf>
    <dxf>
      <alignment horizontal="right" vertical="center" textRotation="0" indent="0" justifyLastLine="0" shrinkToFit="0" readingOrder="0"/>
      <border outline="0">
        <right style="thin">
          <color indexed="64"/>
        </right>
      </border>
    </dxf>
    <dxf>
      <border outline="0">
        <right style="thin">
          <color indexed="64"/>
        </right>
      </border>
    </dxf>
    <dxf>
      <border diagonalUp="0" diagonalDown="0">
        <left style="medium">
          <color indexed="64"/>
        </left>
        <right style="medium">
          <color indexed="64"/>
        </right>
        <top style="medium">
          <color indexed="64"/>
        </top>
        <bottom style="medium">
          <color indexed="64"/>
        </bottom>
      </border>
    </dxf>
    <dxf>
      <font>
        <b/>
        <i val="0"/>
        <strike val="0"/>
        <condense val="0"/>
        <extend val="0"/>
        <outline val="0"/>
        <shadow val="0"/>
        <u val="none"/>
        <vertAlign val="baseline"/>
        <sz val="11"/>
        <color auto="1"/>
        <name val="Arial"/>
        <scheme val="none"/>
      </font>
      <fill>
        <patternFill patternType="solid">
          <fgColor indexed="64"/>
          <bgColor theme="5" tint="0.39997558519241921"/>
        </patternFill>
      </fill>
      <alignment horizontal="left" vertical="center" textRotation="0" wrapText="1" indent="0" justifyLastLine="0" shrinkToFit="0" readingOrder="0"/>
      <border diagonalUp="0" diagonalDown="0" outline="0">
        <left style="thin">
          <color indexed="64"/>
        </left>
        <right style="thin">
          <color indexed="64"/>
        </right>
        <top/>
        <bottom/>
      </border>
      <protection locked="0" hidden="0"/>
    </dxf>
    <dxf>
      <border outline="0">
        <left style="thin">
          <color indexed="64"/>
        </left>
      </border>
    </dxf>
    <dxf>
      <alignment horizontal="right" vertical="center" textRotation="0" indent="0" justifyLastLine="0" shrinkToFit="0" readingOrder="0"/>
      <border outline="0">
        <left style="thin">
          <color indexed="64"/>
        </left>
      </border>
    </dxf>
    <dxf>
      <alignment horizontal="right" vertical="center" textRotation="0" indent="0" justifyLastLine="0" shrinkToFit="0" readingOrder="0"/>
      <border outline="0">
        <right style="thin">
          <color indexed="64"/>
        </right>
      </border>
    </dxf>
    <dxf>
      <border outline="0">
        <right style="thin">
          <color indexed="64"/>
        </right>
      </border>
    </dxf>
    <dxf>
      <border diagonalUp="0" diagonalDown="0">
        <left style="medium">
          <color indexed="64"/>
        </left>
        <right style="medium">
          <color indexed="64"/>
        </right>
        <top style="medium">
          <color indexed="64"/>
        </top>
        <bottom style="medium">
          <color indexed="64"/>
        </bottom>
      </border>
    </dxf>
    <dxf>
      <font>
        <b/>
        <i val="0"/>
        <strike val="0"/>
        <condense val="0"/>
        <extend val="0"/>
        <outline val="0"/>
        <shadow val="0"/>
        <u val="none"/>
        <vertAlign val="baseline"/>
        <sz val="11"/>
        <color auto="1"/>
        <name val="Arial"/>
        <scheme val="none"/>
      </font>
      <fill>
        <patternFill patternType="solid">
          <fgColor indexed="64"/>
          <bgColor theme="0" tint="-0.249977111117893"/>
        </patternFill>
      </fill>
      <alignment horizontal="left" vertical="center" textRotation="0" wrapText="1" indent="0" justifyLastLine="0" shrinkToFit="0" readingOrder="0"/>
      <border diagonalUp="0" diagonalDown="0" outline="0">
        <left style="thin">
          <color indexed="64"/>
        </left>
        <right style="thin">
          <color indexed="64"/>
        </right>
        <top/>
        <bottom/>
      </border>
      <protection locked="0" hidden="0"/>
    </dxf>
    <dxf>
      <border outline="0">
        <left style="thin">
          <color indexed="64"/>
        </left>
      </border>
    </dxf>
    <dxf>
      <alignment horizontal="right" vertical="center" textRotation="0" wrapText="0" indent="0" justifyLastLine="0" shrinkToFit="0" readingOrder="0"/>
      <border>
        <left style="thin">
          <color indexed="64"/>
        </left>
      </border>
    </dxf>
    <dxf>
      <numFmt numFmtId="2" formatCode="0.00"/>
    </dxf>
    <dxf>
      <alignment horizontal="right" vertical="center" textRotation="0" wrapText="0" indent="0" justifyLastLine="0" shrinkToFit="0" readingOrder="0"/>
      <border>
        <right style="thin">
          <color indexed="64"/>
        </right>
      </border>
    </dxf>
    <dxf>
      <border outline="0">
        <right style="thin">
          <color indexed="64"/>
        </right>
      </border>
    </dxf>
    <dxf>
      <border outline="0">
        <top style="thin">
          <color indexed="64"/>
        </top>
      </border>
    </dxf>
    <dxf>
      <border outline="0">
        <left style="medium">
          <color indexed="64"/>
        </left>
        <right style="medium">
          <color indexed="64"/>
        </right>
        <top style="medium">
          <color indexed="64"/>
        </top>
        <bottom style="medium">
          <color indexed="64"/>
        </bottom>
      </border>
    </dxf>
    <dxf>
      <border>
        <bottom style="medium">
          <color indexed="64"/>
        </bottom>
      </border>
    </dxf>
    <dxf>
      <font>
        <b/>
        <i val="0"/>
        <strike val="0"/>
        <condense val="0"/>
        <extend val="0"/>
        <outline val="0"/>
        <shadow val="0"/>
        <u val="none"/>
        <vertAlign val="baseline"/>
        <sz val="11"/>
        <color auto="1"/>
        <name val="Arial"/>
        <scheme val="none"/>
      </font>
      <fill>
        <patternFill patternType="solid">
          <fgColor indexed="64"/>
          <bgColor theme="0" tint="-0.249977111117893"/>
        </patternFill>
      </fill>
      <alignment horizontal="left" vertical="center" textRotation="0" wrapText="1" indent="0" justifyLastLine="0" shrinkToFit="0" readingOrder="0"/>
      <border diagonalUp="0" diagonalDown="0">
        <left style="thin">
          <color indexed="64"/>
        </left>
        <right style="thin">
          <color indexed="64"/>
        </right>
        <top/>
        <bottom/>
        <vertical style="thin">
          <color indexed="64"/>
        </vertical>
        <horizontal/>
      </border>
      <protection locked="0" hidden="0"/>
    </dxf>
    <dxf>
      <border diagonalUp="0" diagonalDown="0">
        <top style="thin">
          <color indexed="64"/>
        </top>
        <bottom style="thin">
          <color indexed="64"/>
        </bottom>
        <horizontal style="thin">
          <color indexed="64"/>
        </horizontal>
      </border>
    </dxf>
    <dxf>
      <border diagonalUp="0" diagonalDown="0" outline="0">
        <left style="thin">
          <color indexed="64"/>
        </left>
        <top style="thin">
          <color indexed="64"/>
        </top>
        <bottom style="thin">
          <color indexed="64"/>
        </bottom>
      </border>
    </dxf>
    <dxf>
      <alignment horizontal="right" vertical="center" textRotation="0" wrapText="0" indent="0" justifyLastLine="0" shrinkToFit="0" readingOrder="0"/>
      <border diagonalUp="0" diagonalDown="0">
        <left style="thin">
          <color indexed="64"/>
        </left>
        <top style="thin">
          <color indexed="64"/>
        </top>
        <bottom style="thin">
          <color indexed="64"/>
        </bottom>
      </border>
    </dxf>
    <dxf>
      <numFmt numFmtId="2" formatCode="0.00"/>
    </dxf>
    <dxf>
      <alignment horizontal="right" vertical="center" textRotation="0" wrapText="0" indent="0" justifyLastLine="0" shrinkToFit="0" readingOrder="0"/>
      <border diagonalUp="0" diagonalDown="0">
        <right style="thin">
          <color indexed="64"/>
        </right>
        <top style="thin">
          <color indexed="64"/>
        </top>
        <bottom style="thin">
          <color indexed="64"/>
        </bottom>
      </border>
    </dxf>
    <dxf>
      <border diagonalUp="0" diagonalDown="0" outline="0">
        <right style="thin">
          <color indexed="64"/>
        </right>
        <top style="thin">
          <color indexed="64"/>
        </top>
        <bottom style="thin">
          <color indexed="64"/>
        </bottom>
      </border>
    </dxf>
    <dxf>
      <border diagonalUp="0" diagonalDown="0">
        <top style="thin">
          <color indexed="64"/>
        </top>
        <bottom style="thin">
          <color indexed="64"/>
        </bottom>
        <horizontal style="thin">
          <color indexed="64"/>
        </horizontal>
      </border>
    </dxf>
    <dxf>
      <border diagonalUp="0" diagonalDown="0">
        <top style="thin">
          <color indexed="64"/>
        </top>
        <bottom style="thin">
          <color indexed="64"/>
        </bottom>
        <horizontal style="thin">
          <color indexed="64"/>
        </horizontal>
      </border>
    </dxf>
    <dxf>
      <border diagonalUp="0" diagonalDown="0">
        <top style="thin">
          <color indexed="64"/>
        </top>
        <bottom style="thin">
          <color indexed="64"/>
        </bottom>
        <horizontal style="thin">
          <color indexed="64"/>
        </horizontal>
      </border>
    </dxf>
    <dxf>
      <border diagonalUp="0" diagonalDown="0">
        <top style="thin">
          <color indexed="64"/>
        </top>
        <bottom style="thin">
          <color indexed="64"/>
        </bottom>
        <horizontal style="thin">
          <color indexed="64"/>
        </horizontal>
      </border>
    </dxf>
    <dxf>
      <border diagonalUp="0" diagonalDown="0">
        <top style="thin">
          <color indexed="64"/>
        </top>
        <bottom style="thin">
          <color indexed="64"/>
        </bottom>
        <horizontal style="thin">
          <color indexed="64"/>
        </horizontal>
      </border>
    </dxf>
    <dxf>
      <border>
        <top style="thin">
          <color indexed="64"/>
        </top>
      </border>
    </dxf>
    <dxf>
      <border diagonalUp="0" diagonalDown="0">
        <left style="medium">
          <color indexed="64"/>
        </left>
        <right style="medium">
          <color indexed="64"/>
        </right>
        <top style="medium">
          <color indexed="64"/>
        </top>
        <bottom style="medium">
          <color indexed="64"/>
        </bottom>
      </border>
    </dxf>
    <dxf>
      <border>
        <bottom style="medium">
          <color indexed="64"/>
        </bottom>
      </border>
    </dxf>
    <dxf>
      <font>
        <b/>
        <i val="0"/>
        <strike val="0"/>
        <condense val="0"/>
        <extend val="0"/>
        <outline val="0"/>
        <shadow val="0"/>
        <u val="none"/>
        <vertAlign val="baseline"/>
        <sz val="11"/>
        <color auto="1"/>
        <name val="Arial"/>
        <scheme val="none"/>
      </font>
      <fill>
        <patternFill patternType="solid">
          <fgColor indexed="64"/>
          <bgColor theme="0" tint="-0.249977111117893"/>
        </patternFill>
      </fill>
      <alignment horizontal="left" vertical="center" textRotation="0" wrapText="1" indent="0" justifyLastLine="0" shrinkToFit="0" readingOrder="0"/>
      <border diagonalUp="0" diagonalDown="0">
        <left style="thin">
          <color indexed="64"/>
        </left>
        <right style="thin">
          <color indexed="64"/>
        </right>
        <top/>
        <bottom/>
        <vertical style="thin">
          <color indexed="64"/>
        </vertical>
        <horizontal/>
      </border>
      <protection locked="0" hidden="0"/>
    </dxf>
    <dxf>
      <border diagonalUp="0" diagonalDown="0">
        <top style="thin">
          <color indexed="64"/>
        </top>
        <bottom style="thin">
          <color indexed="64"/>
        </bottom>
        <horizontal style="thin">
          <color indexed="64"/>
        </horizontal>
      </border>
    </dxf>
    <dxf>
      <border diagonalUp="0" diagonalDown="0" outline="0">
        <left style="thin">
          <color indexed="64"/>
        </left>
        <top style="thin">
          <color indexed="64"/>
        </top>
        <bottom style="thin">
          <color indexed="64"/>
        </bottom>
      </border>
    </dxf>
    <dxf>
      <alignment horizontal="right" vertical="center" textRotation="0" wrapText="0" indent="0" justifyLastLine="0" shrinkToFit="0" readingOrder="0"/>
      <border diagonalUp="0" diagonalDown="0">
        <left style="thin">
          <color indexed="64"/>
        </left>
        <top style="thin">
          <color indexed="64"/>
        </top>
        <bottom style="thin">
          <color indexed="64"/>
        </bottom>
      </border>
    </dxf>
    <dxf>
      <numFmt numFmtId="2" formatCode="0.00"/>
    </dxf>
    <dxf>
      <alignment horizontal="right" vertical="center" textRotation="0" wrapText="0" indent="0" justifyLastLine="0" shrinkToFit="0" readingOrder="0"/>
      <border diagonalUp="0" diagonalDown="0">
        <right style="thin">
          <color indexed="64"/>
        </right>
        <top style="thin">
          <color indexed="64"/>
        </top>
        <bottom style="thin">
          <color indexed="64"/>
        </bottom>
      </border>
    </dxf>
    <dxf>
      <border diagonalUp="0" diagonalDown="0" outline="0">
        <right style="thin">
          <color indexed="64"/>
        </right>
        <top style="thin">
          <color indexed="64"/>
        </top>
        <bottom style="thin">
          <color indexed="64"/>
        </bottom>
      </border>
    </dxf>
    <dxf>
      <border diagonalUp="0" diagonalDown="0">
        <top style="thin">
          <color indexed="64"/>
        </top>
        <bottom style="thin">
          <color indexed="64"/>
        </bottom>
        <horizontal style="thin">
          <color indexed="64"/>
        </horizontal>
      </border>
    </dxf>
    <dxf>
      <border diagonalUp="0" diagonalDown="0">
        <top style="thin">
          <color indexed="64"/>
        </top>
        <bottom style="thin">
          <color indexed="64"/>
        </bottom>
        <horizontal style="thin">
          <color indexed="64"/>
        </horizontal>
      </border>
    </dxf>
    <dxf>
      <border diagonalUp="0" diagonalDown="0">
        <top style="thin">
          <color indexed="64"/>
        </top>
        <bottom style="thin">
          <color indexed="64"/>
        </bottom>
        <horizontal style="thin">
          <color indexed="64"/>
        </horizontal>
      </border>
    </dxf>
    <dxf>
      <border diagonalUp="0" diagonalDown="0">
        <top style="thin">
          <color indexed="64"/>
        </top>
        <bottom style="thin">
          <color indexed="64"/>
        </bottom>
        <horizontal style="thin">
          <color indexed="64"/>
        </horizontal>
      </border>
    </dxf>
    <dxf>
      <border diagonalUp="0" diagonalDown="0">
        <top style="thin">
          <color indexed="64"/>
        </top>
        <bottom style="thin">
          <color indexed="64"/>
        </bottom>
        <horizontal style="thin">
          <color indexed="64"/>
        </horizontal>
      </border>
    </dxf>
    <dxf>
      <border>
        <top style="thin">
          <color indexed="64"/>
        </top>
      </border>
    </dxf>
    <dxf>
      <border diagonalUp="0" diagonalDown="0">
        <left style="medium">
          <color indexed="64"/>
        </left>
        <right style="medium">
          <color indexed="64"/>
        </right>
        <top style="medium">
          <color indexed="64"/>
        </top>
        <bottom style="medium">
          <color indexed="64"/>
        </bottom>
      </border>
    </dxf>
    <dxf>
      <border>
        <bottom style="medium">
          <color indexed="64"/>
        </bottom>
      </border>
    </dxf>
    <dxf>
      <font>
        <b/>
        <i val="0"/>
        <strike val="0"/>
        <condense val="0"/>
        <extend val="0"/>
        <outline val="0"/>
        <shadow val="0"/>
        <u val="none"/>
        <vertAlign val="baseline"/>
        <sz val="11"/>
        <color auto="1"/>
        <name val="Arial"/>
        <scheme val="none"/>
      </font>
      <fill>
        <patternFill patternType="solid">
          <fgColor indexed="64"/>
          <bgColor theme="0" tint="-0.249977111117893"/>
        </patternFill>
      </fill>
      <alignment horizontal="left" vertical="center" textRotation="0" wrapText="1" indent="0" justifyLastLine="0" shrinkToFit="0" readingOrder="0"/>
      <border diagonalUp="0" diagonalDown="0">
        <left style="thin">
          <color indexed="64"/>
        </left>
        <right style="thin">
          <color indexed="64"/>
        </right>
        <top/>
        <bottom/>
        <vertical style="thin">
          <color indexed="64"/>
        </vertical>
        <horizontal/>
      </border>
      <protection locked="0" hidden="0"/>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left" vertical="center" textRotation="0" wrapText="0" indent="0" justifyLastLine="0" shrinkToFit="0" readingOrder="0"/>
      <border diagonalUp="0" diagonalDown="0">
        <left style="thin">
          <color indexed="64"/>
        </left>
        <right/>
        <top style="thin">
          <color indexed="64"/>
        </top>
        <bottom style="thin">
          <color indexed="64"/>
        </bottom>
        <vertical/>
        <horizontal style="thin">
          <color indexed="64"/>
        </horizontal>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numFmt numFmtId="2" formatCode="0.00"/>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numFmt numFmtId="2" formatCode="0.00"/>
      <fill>
        <patternFill patternType="none">
          <fgColor indexed="64"/>
          <bgColor indexed="65"/>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style="thin">
          <color indexed="64"/>
        </horizontal>
      </border>
      <protection locked="0" hidden="0"/>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style="thin">
          <color indexed="64"/>
        </horizontal>
      </border>
      <protection locked="0" hidden="0"/>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style="thin">
          <color indexed="64"/>
        </horizontal>
      </border>
      <protection locked="0" hidden="0"/>
    </dxf>
    <dxf>
      <font>
        <b val="0"/>
        <i val="0"/>
        <strike val="0"/>
        <condense val="0"/>
        <extend val="0"/>
        <outline val="0"/>
        <shadow val="0"/>
        <u val="none"/>
        <vertAlign val="baseline"/>
        <sz val="11"/>
        <color auto="1"/>
        <name val="Arial"/>
        <scheme val="none"/>
      </font>
      <numFmt numFmtId="30" formatCode="@"/>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style="thin">
          <color indexed="64"/>
        </horizontal>
      </border>
      <protection locked="0" hidden="0"/>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left" vertical="center" textRotation="0" wrapText="1" indent="0" justifyLastLine="0" shrinkToFit="0" readingOrder="0"/>
      <border diagonalUp="0" diagonalDown="0">
        <left/>
        <right style="thin">
          <color indexed="64"/>
        </right>
        <top style="thin">
          <color indexed="64"/>
        </top>
        <bottom style="thin">
          <color indexed="64"/>
        </bottom>
        <vertical/>
        <horizontal style="thin">
          <color indexed="64"/>
        </horizontal>
      </border>
      <protection locked="1" hidden="0"/>
    </dxf>
    <dxf>
      <border>
        <top style="thin">
          <color indexed="64"/>
        </top>
      </border>
    </dxf>
    <dxf>
      <border diagonalUp="0" diagonalDown="0">
        <left style="medium">
          <color indexed="64"/>
        </left>
        <right style="medium">
          <color indexed="64"/>
        </right>
        <top style="medium">
          <color indexed="64"/>
        </top>
        <bottom style="medium">
          <color indexed="64"/>
        </bottom>
      </border>
    </dxf>
    <dxf>
      <border>
        <bottom style="medium">
          <color indexed="64"/>
        </bottom>
      </border>
    </dxf>
    <dxf>
      <font>
        <b/>
        <i val="0"/>
        <strike val="0"/>
        <condense val="0"/>
        <extend val="0"/>
        <outline val="0"/>
        <shadow val="0"/>
        <u val="none"/>
        <vertAlign val="baseline"/>
        <sz val="11"/>
        <color auto="1"/>
        <name val="Arial"/>
        <scheme val="none"/>
      </font>
      <fill>
        <patternFill patternType="solid">
          <fgColor indexed="64"/>
          <bgColor theme="0" tint="-0.249977111117893"/>
        </patternFill>
      </fill>
      <alignment horizontal="left" vertical="center" textRotation="0" wrapText="1" indent="0" justifyLastLine="0" shrinkToFit="0" readingOrder="0"/>
      <border diagonalUp="0" diagonalDown="0">
        <left style="thin">
          <color indexed="64"/>
        </left>
        <right style="thin">
          <color indexed="64"/>
        </right>
        <top/>
        <bottom/>
        <vertical style="thin">
          <color indexed="64"/>
        </vertical>
        <horizontal/>
      </border>
      <protection locked="0" hidden="0"/>
    </dxf>
    <dxf>
      <font>
        <b val="0"/>
        <i val="0"/>
        <strike val="0"/>
        <condense val="0"/>
        <extend val="0"/>
        <outline val="0"/>
        <shadow val="0"/>
        <u val="none"/>
        <vertAlign val="baseline"/>
        <sz val="11"/>
        <color theme="1"/>
        <name val="Arial"/>
        <scheme val="none"/>
      </font>
      <fill>
        <patternFill patternType="none">
          <fgColor indexed="64"/>
          <bgColor indexed="65"/>
        </patternFill>
      </fill>
      <alignment horizontal="left" vertical="center" textRotation="0" wrapText="0" indent="0" justifyLastLine="0" shrinkToFit="0" readingOrder="0"/>
      <border diagonalUp="0" diagonalDown="0" outline="0">
        <left/>
        <right/>
        <top style="thin">
          <color indexed="64"/>
        </top>
        <bottom/>
      </border>
    </dxf>
    <dxf>
      <border diagonalUp="0" diagonalDown="0">
        <top style="thin">
          <color indexed="64"/>
        </top>
        <bottom style="thin">
          <color indexed="64"/>
        </bottom>
        <horizontal style="thin">
          <color indexed="64"/>
        </horizontal>
      </border>
    </dxf>
    <dxf>
      <font>
        <b val="0"/>
        <i val="0"/>
        <strike val="0"/>
        <condense val="0"/>
        <extend val="0"/>
        <outline val="0"/>
        <shadow val="0"/>
        <u val="none"/>
        <vertAlign val="baseline"/>
        <sz val="11"/>
        <color theme="1"/>
        <name val="Arial"/>
        <scheme val="none"/>
      </font>
      <fill>
        <patternFill patternType="none">
          <fgColor indexed="64"/>
          <bgColor indexed="65"/>
        </patternFill>
      </fill>
      <alignment horizontal="left" vertical="center" textRotation="0" wrapText="0" indent="0" justifyLastLine="0" shrinkToFit="0" readingOrder="0"/>
      <border diagonalUp="0" diagonalDown="0" outline="0">
        <left/>
        <right/>
        <top style="thin">
          <color indexed="64"/>
        </top>
        <bottom/>
      </border>
    </dxf>
    <dxf>
      <border diagonalUp="0" diagonalDown="0" outline="0">
        <left style="thin">
          <color indexed="64"/>
        </left>
        <top style="thin">
          <color indexed="64"/>
        </top>
        <bottom style="thin">
          <color indexed="64"/>
        </bottom>
      </border>
    </dxf>
    <dxf>
      <font>
        <b val="0"/>
        <i val="0"/>
        <strike val="0"/>
        <condense val="0"/>
        <extend val="0"/>
        <outline val="0"/>
        <shadow val="0"/>
        <u val="none"/>
        <vertAlign val="baseline"/>
        <sz val="11"/>
        <color theme="1"/>
        <name val="Arial"/>
        <scheme val="none"/>
      </font>
      <fill>
        <patternFill patternType="none">
          <fgColor indexed="64"/>
          <bgColor indexed="65"/>
        </patternFill>
      </fill>
      <alignment horizontal="left" vertical="center" textRotation="0" wrapText="0" indent="0" justifyLastLine="0" shrinkToFit="0" readingOrder="0"/>
      <border diagonalUp="0" diagonalDown="0" outline="0">
        <left/>
        <right/>
        <top style="thin">
          <color indexed="64"/>
        </top>
        <bottom/>
      </border>
    </dxf>
    <dxf>
      <alignment horizontal="right" vertical="center" textRotation="0" wrapText="0" indent="0" justifyLastLine="0" shrinkToFit="0" readingOrder="0"/>
      <border diagonalUp="0" diagonalDown="0">
        <left style="thin">
          <color indexed="64"/>
        </left>
        <top style="thin">
          <color indexed="64"/>
        </top>
        <bottom style="thin">
          <color indexed="64"/>
        </bottom>
      </border>
    </dxf>
    <dxf>
      <font>
        <b val="0"/>
        <i val="0"/>
        <strike val="0"/>
        <condense val="0"/>
        <extend val="0"/>
        <outline val="0"/>
        <shadow val="0"/>
        <u val="none"/>
        <vertAlign val="baseline"/>
        <sz val="11"/>
        <color theme="1"/>
        <name val="Arial"/>
        <scheme val="none"/>
      </font>
      <fill>
        <patternFill patternType="none">
          <fgColor indexed="64"/>
          <bgColor indexed="65"/>
        </patternFill>
      </fill>
      <alignment horizontal="left" vertical="center" textRotation="0" wrapText="0" indent="0" justifyLastLine="0" shrinkToFit="0" readingOrder="0"/>
      <border diagonalUp="0" diagonalDown="0" outline="0">
        <left/>
        <right/>
        <top style="thin">
          <color indexed="64"/>
        </top>
        <bottom/>
      </border>
    </dxf>
    <dxf>
      <numFmt numFmtId="2" formatCode="0.00"/>
    </dxf>
    <dxf>
      <alignment horizontal="right" vertical="center" textRotation="0" wrapText="0" indent="0" justifyLastLine="0" shrinkToFit="0" readingOrder="0"/>
      <border diagonalUp="0" diagonalDown="0">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fill>
        <patternFill patternType="none">
          <fgColor indexed="64"/>
          <bgColor indexed="65"/>
        </patternFill>
      </fill>
      <alignment horizontal="left" vertical="center" textRotation="0" wrapText="0" indent="0" justifyLastLine="0" shrinkToFit="0" readingOrder="0"/>
      <border diagonalUp="0" diagonalDown="0" outline="0">
        <left/>
        <right/>
        <top style="thin">
          <color indexed="64"/>
        </top>
        <bottom/>
      </border>
    </dxf>
    <dxf>
      <border diagonalUp="0" diagonalDown="0" outline="0">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fill>
        <patternFill patternType="none">
          <fgColor indexed="64"/>
          <bgColor indexed="65"/>
        </patternFill>
      </fill>
      <alignment horizontal="left" vertical="center" textRotation="0" wrapText="0" indent="0" justifyLastLine="0" shrinkToFit="0" readingOrder="0"/>
      <border diagonalUp="0" diagonalDown="0" outline="0">
        <left/>
        <right/>
        <top style="thin">
          <color indexed="64"/>
        </top>
        <bottom/>
      </border>
    </dxf>
    <dxf>
      <border diagonalUp="0" diagonalDown="0">
        <top style="thin">
          <color indexed="64"/>
        </top>
        <bottom style="thin">
          <color indexed="64"/>
        </bottom>
        <horizontal style="thin">
          <color indexed="64"/>
        </horizontal>
      </border>
    </dxf>
    <dxf>
      <font>
        <b val="0"/>
        <i val="0"/>
        <strike val="0"/>
        <condense val="0"/>
        <extend val="0"/>
        <outline val="0"/>
        <shadow val="0"/>
        <u val="none"/>
        <vertAlign val="baseline"/>
        <sz val="11"/>
        <color theme="1"/>
        <name val="Arial"/>
        <scheme val="none"/>
      </font>
      <fill>
        <patternFill patternType="none">
          <fgColor indexed="64"/>
          <bgColor indexed="65"/>
        </patternFill>
      </fill>
      <alignment horizontal="left" vertical="center" textRotation="0" wrapText="0" indent="0" justifyLastLine="0" shrinkToFit="0" readingOrder="0"/>
      <border diagonalUp="0" diagonalDown="0" outline="0">
        <left/>
        <right/>
        <top style="thin">
          <color indexed="64"/>
        </top>
        <bottom/>
      </border>
    </dxf>
    <dxf>
      <border diagonalUp="0" diagonalDown="0">
        <top style="thin">
          <color indexed="64"/>
        </top>
        <bottom style="thin">
          <color indexed="64"/>
        </bottom>
        <horizontal style="thin">
          <color indexed="64"/>
        </horizontal>
      </border>
    </dxf>
    <dxf>
      <font>
        <b val="0"/>
        <i val="0"/>
        <strike val="0"/>
        <condense val="0"/>
        <extend val="0"/>
        <outline val="0"/>
        <shadow val="0"/>
        <u val="none"/>
        <vertAlign val="baseline"/>
        <sz val="11"/>
        <color theme="1"/>
        <name val="Arial"/>
        <scheme val="none"/>
      </font>
      <fill>
        <patternFill patternType="none">
          <fgColor indexed="64"/>
          <bgColor indexed="65"/>
        </patternFill>
      </fill>
      <alignment horizontal="left" vertical="center" textRotation="0" wrapText="0" indent="0" justifyLastLine="0" shrinkToFit="0" readingOrder="0"/>
      <border diagonalUp="0" diagonalDown="0" outline="0">
        <left/>
        <right/>
        <top style="thin">
          <color indexed="64"/>
        </top>
        <bottom/>
      </border>
    </dxf>
    <dxf>
      <border diagonalUp="0" diagonalDown="0">
        <top style="thin">
          <color indexed="64"/>
        </top>
        <bottom style="thin">
          <color indexed="64"/>
        </bottom>
        <horizontal style="thin">
          <color indexed="64"/>
        </horizontal>
      </border>
    </dxf>
    <dxf>
      <font>
        <b val="0"/>
        <i val="0"/>
        <strike val="0"/>
        <condense val="0"/>
        <extend val="0"/>
        <outline val="0"/>
        <shadow val="0"/>
        <u val="none"/>
        <vertAlign val="baseline"/>
        <sz val="11"/>
        <color theme="1"/>
        <name val="Arial"/>
        <scheme val="none"/>
      </font>
      <fill>
        <patternFill patternType="none">
          <fgColor indexed="64"/>
          <bgColor indexed="65"/>
        </patternFill>
      </fill>
      <alignment horizontal="left" vertical="center" textRotation="0" wrapText="0" indent="0" justifyLastLine="0" shrinkToFit="0" readingOrder="0"/>
      <border diagonalUp="0" diagonalDown="0" outline="0">
        <left/>
        <right/>
        <top style="thin">
          <color indexed="64"/>
        </top>
        <bottom/>
      </border>
    </dxf>
    <dxf>
      <border diagonalUp="0" diagonalDown="0">
        <top style="thin">
          <color indexed="64"/>
        </top>
        <bottom style="thin">
          <color indexed="64"/>
        </bottom>
        <horizontal style="thin">
          <color indexed="64"/>
        </horizontal>
      </border>
    </dxf>
    <dxf>
      <font>
        <b val="0"/>
        <i val="0"/>
        <strike val="0"/>
        <condense val="0"/>
        <extend val="0"/>
        <outline val="0"/>
        <shadow val="0"/>
        <u val="none"/>
        <vertAlign val="baseline"/>
        <sz val="11"/>
        <color theme="1"/>
        <name val="Arial"/>
        <scheme val="none"/>
      </font>
      <fill>
        <patternFill patternType="none">
          <fgColor indexed="64"/>
          <bgColor indexed="65"/>
        </patternFill>
      </fill>
      <alignment horizontal="left" vertical="center" textRotation="0" wrapText="0" indent="0" justifyLastLine="0" shrinkToFit="0" readingOrder="0"/>
      <border diagonalUp="0" diagonalDown="0" outline="0">
        <left/>
        <right/>
        <top style="thin">
          <color indexed="64"/>
        </top>
        <bottom/>
      </border>
    </dxf>
    <dxf>
      <border diagonalUp="0" diagonalDown="0">
        <top style="thin">
          <color indexed="64"/>
        </top>
        <bottom style="thin">
          <color indexed="64"/>
        </bottom>
        <horizontal style="thin">
          <color indexed="64"/>
        </horizontal>
      </border>
    </dxf>
    <dxf>
      <border>
        <top style="thin">
          <color indexed="64"/>
        </top>
      </border>
    </dxf>
    <dxf>
      <border diagonalUp="0" diagonalDown="0">
        <left style="medium">
          <color indexed="64"/>
        </left>
        <right style="medium">
          <color indexed="64"/>
        </right>
        <top style="medium">
          <color indexed="64"/>
        </top>
        <bottom style="medium">
          <color indexed="64"/>
        </bottom>
      </border>
    </dxf>
    <dxf>
      <border>
        <bottom style="medium">
          <color indexed="64"/>
        </bottom>
      </border>
    </dxf>
    <dxf>
      <font>
        <b/>
        <i val="0"/>
        <strike val="0"/>
        <condense val="0"/>
        <extend val="0"/>
        <outline val="0"/>
        <shadow val="0"/>
        <u val="none"/>
        <vertAlign val="baseline"/>
        <sz val="11"/>
        <color auto="1"/>
        <name val="Arial"/>
        <scheme val="none"/>
      </font>
      <fill>
        <patternFill patternType="solid">
          <fgColor indexed="64"/>
          <bgColor theme="9" tint="0.39997558519241921"/>
        </patternFill>
      </fill>
      <alignment horizontal="left" vertical="center" textRotation="0" wrapText="1" indent="0" justifyLastLine="0" shrinkToFit="0" readingOrder="0"/>
      <border diagonalUp="0" diagonalDown="0" outline="0">
        <left style="thin">
          <color indexed="64"/>
        </left>
        <right style="thin">
          <color indexed="64"/>
        </right>
        <top/>
        <bottom/>
      </border>
      <protection locked="0" hidden="0"/>
    </dxf>
    <dxf>
      <fill>
        <patternFill>
          <bgColor rgb="FFFF000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0000"/>
        </patternFill>
      </fill>
    </dxf>
  </dxfs>
  <tableStyles count="0" defaultTableStyle="TableStyleMedium2" defaultPivotStyle="PivotStyleLight16"/>
  <colors>
    <mruColors>
      <color rgb="FFCCA0E0"/>
      <color rgb="FFFFFF00"/>
      <color rgb="FFFFFF99"/>
      <color rgb="FFCCFFCC"/>
      <color rgb="FFC0C0C0"/>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26" Type="http://schemas.openxmlformats.org/officeDocument/2006/relationships/customXml" Target="../customXml/item4.xml"/><Relationship Id="rId3" Type="http://schemas.openxmlformats.org/officeDocument/2006/relationships/worksheet" Target="worksheets/sheet3.xml"/><Relationship Id="rId21"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3.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1.xml"/><Relationship Id="rId28" Type="http://schemas.openxmlformats.org/officeDocument/2006/relationships/customXml" Target="../customXml/item6.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 Id="rId27" Type="http://schemas.openxmlformats.org/officeDocument/2006/relationships/customXml" Target="../customXml/item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75" b="1" i="0" u="none" strike="noStrike" baseline="0">
                <a:solidFill>
                  <a:srgbClr val="000000"/>
                </a:solidFill>
                <a:latin typeface="Arial"/>
                <a:ea typeface="Arial"/>
                <a:cs typeface="Arial"/>
              </a:defRPr>
            </a:pPr>
            <a:r>
              <a:rPr lang="en-GB"/>
              <a:t>DYAA Baseline Water Supply-Demand Balance and Components of Demand</a:t>
            </a:r>
          </a:p>
        </c:rich>
      </c:tx>
      <c:layout>
        <c:manualLayout>
          <c:xMode val="edge"/>
          <c:yMode val="edge"/>
          <c:x val="0.2095809470200265"/>
          <c:y val="2.9013693730272669E-2"/>
        </c:manualLayout>
      </c:layout>
      <c:overlay val="0"/>
      <c:spPr>
        <a:noFill/>
        <a:ln w="25400">
          <a:noFill/>
        </a:ln>
      </c:spPr>
    </c:title>
    <c:autoTitleDeleted val="0"/>
    <c:plotArea>
      <c:layout>
        <c:manualLayout>
          <c:layoutTarget val="inner"/>
          <c:xMode val="edge"/>
          <c:yMode val="edge"/>
          <c:x val="8.5343266856694813E-2"/>
          <c:y val="0.10444884139344435"/>
          <c:w val="0.89146608097046709"/>
          <c:h val="0.55130264550264552"/>
        </c:manualLayout>
      </c:layout>
      <c:areaChart>
        <c:grouping val="stacked"/>
        <c:varyColors val="0"/>
        <c:ser>
          <c:idx val="6"/>
          <c:order val="0"/>
          <c:tx>
            <c:v>Measured household consumption</c:v>
          </c:tx>
          <c:spPr>
            <a:ln w="25400">
              <a:noFill/>
            </a:ln>
          </c:spPr>
          <c:cat>
            <c:strRef>
              <c:f>ESWBLY!$G$23:$CI$23</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ESWBLY!$G$368:$CI$368</c:f>
              <c:numCache>
                <c:formatCode>0.00</c:formatCode>
                <c:ptCount val="81"/>
                <c:pt idx="0">
                  <c:v>0</c:v>
                </c:pt>
                <c:pt idx="1">
                  <c:v>0</c:v>
                </c:pt>
                <c:pt idx="2">
                  <c:v>3.5771081704841108</c:v>
                </c:pt>
                <c:pt idx="3">
                  <c:v>3.5315187334006946</c:v>
                </c:pt>
                <c:pt idx="4">
                  <c:v>3.5004188118572301</c:v>
                </c:pt>
                <c:pt idx="5">
                  <c:v>3.4841080988470394</c:v>
                </c:pt>
                <c:pt idx="6">
                  <c:v>3.5555545046354284</c:v>
                </c:pt>
                <c:pt idx="7">
                  <c:v>3.6969280491792142</c:v>
                </c:pt>
                <c:pt idx="8">
                  <c:v>3.7598644260574021</c:v>
                </c:pt>
                <c:pt idx="9">
                  <c:v>3.7988705566961141</c:v>
                </c:pt>
                <c:pt idx="10">
                  <c:v>3.8203403254251675</c:v>
                </c:pt>
                <c:pt idx="11">
                  <c:v>3.8427478777724238</c:v>
                </c:pt>
                <c:pt idx="12">
                  <c:v>3.8577283502854205</c:v>
                </c:pt>
                <c:pt idx="13">
                  <c:v>3.874648384900778</c:v>
                </c:pt>
                <c:pt idx="14">
                  <c:v>3.8900828795586531</c:v>
                </c:pt>
                <c:pt idx="15">
                  <c:v>3.9059926818618171</c:v>
                </c:pt>
                <c:pt idx="16">
                  <c:v>3.9222198078880859</c:v>
                </c:pt>
                <c:pt idx="17">
                  <c:v>3.939400483983909</c:v>
                </c:pt>
                <c:pt idx="18">
                  <c:v>3.9583369165489395</c:v>
                </c:pt>
                <c:pt idx="19">
                  <c:v>3.9788103833123492</c:v>
                </c:pt>
                <c:pt idx="20">
                  <c:v>3.996466014529013</c:v>
                </c:pt>
                <c:pt idx="21">
                  <c:v>4.0069083139786246</c:v>
                </c:pt>
                <c:pt idx="22">
                  <c:v>4.024167182127889</c:v>
                </c:pt>
                <c:pt idx="23">
                  <c:v>4.0429768434309841</c:v>
                </c:pt>
                <c:pt idx="24">
                  <c:v>4.0625072301022271</c:v>
                </c:pt>
                <c:pt idx="25">
                  <c:v>4.082707577366671</c:v>
                </c:pt>
                <c:pt idx="26">
                  <c:v>4.10261131181921</c:v>
                </c:pt>
                <c:pt idx="27">
                  <c:v>4.1236504126121059</c:v>
                </c:pt>
                <c:pt idx="28">
                  <c:v>4.1452574007930201</c:v>
                </c:pt>
                <c:pt idx="29">
                  <c:v>4.1679165416641899</c:v>
                </c:pt>
                <c:pt idx="30">
                  <c:v>4.1907449916489545</c:v>
                </c:pt>
              </c:numCache>
            </c:numRef>
          </c:val>
          <c:extLst>
            <c:ext xmlns:c16="http://schemas.microsoft.com/office/drawing/2014/chart" uri="{C3380CC4-5D6E-409C-BE32-E72D297353CC}">
              <c16:uniqueId val="{00000000-6EF4-432A-85A6-F9ABE7935777}"/>
            </c:ext>
          </c:extLst>
        </c:ser>
        <c:ser>
          <c:idx val="0"/>
          <c:order val="1"/>
          <c:tx>
            <c:v>Unmeasured household consumption</c:v>
          </c:tx>
          <c:spPr>
            <a:ln w="25400">
              <a:noFill/>
            </a:ln>
          </c:spPr>
          <c:cat>
            <c:strRef>
              <c:f>ESWBLY!$G$23:$CI$23</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ESWBLY!$G$369:$CI$369</c:f>
              <c:numCache>
                <c:formatCode>0.00</c:formatCode>
                <c:ptCount val="81"/>
                <c:pt idx="0">
                  <c:v>0</c:v>
                </c:pt>
                <c:pt idx="1">
                  <c:v>0</c:v>
                </c:pt>
                <c:pt idx="2">
                  <c:v>1.638080723282082</c:v>
                </c:pt>
                <c:pt idx="3">
                  <c:v>1.6646860065327662</c:v>
                </c:pt>
                <c:pt idx="4">
                  <c:v>1.5299959878095435</c:v>
                </c:pt>
                <c:pt idx="5">
                  <c:v>1.4702742309432693</c:v>
                </c:pt>
                <c:pt idx="6">
                  <c:v>1.3299206915414332</c:v>
                </c:pt>
                <c:pt idx="7">
                  <c:v>1.2111824013041261</c:v>
                </c:pt>
                <c:pt idx="8">
                  <c:v>1.1759591247769066</c:v>
                </c:pt>
                <c:pt idx="9">
                  <c:v>1.1407690036940759</c:v>
                </c:pt>
                <c:pt idx="10">
                  <c:v>1.1055062274340812</c:v>
                </c:pt>
                <c:pt idx="11">
                  <c:v>1.0856893246338843</c:v>
                </c:pt>
                <c:pt idx="12">
                  <c:v>1.081567623772234</c:v>
                </c:pt>
                <c:pt idx="13">
                  <c:v>1.0774289248914581</c:v>
                </c:pt>
                <c:pt idx="14">
                  <c:v>1.0731786052724566</c:v>
                </c:pt>
                <c:pt idx="15">
                  <c:v>1.0688935493901652</c:v>
                </c:pt>
                <c:pt idx="16">
                  <c:v>1.0653467607327591</c:v>
                </c:pt>
                <c:pt idx="17">
                  <c:v>1.0617853086012914</c:v>
                </c:pt>
                <c:pt idx="18">
                  <c:v>1.0581019912315253</c:v>
                </c:pt>
                <c:pt idx="19">
                  <c:v>1.0546089435356789</c:v>
                </c:pt>
                <c:pt idx="20">
                  <c:v>1.0510120294126397</c:v>
                </c:pt>
                <c:pt idx="21">
                  <c:v>1.0472710242835721</c:v>
                </c:pt>
                <c:pt idx="22">
                  <c:v>1.0435339962995973</c:v>
                </c:pt>
                <c:pt idx="23">
                  <c:v>1.0402635794685879</c:v>
                </c:pt>
                <c:pt idx="24">
                  <c:v>1.0373982950589817</c:v>
                </c:pt>
                <c:pt idx="25">
                  <c:v>1.0345618533573102</c:v>
                </c:pt>
                <c:pt idx="26">
                  <c:v>1.0316524767510291</c:v>
                </c:pt>
                <c:pt idx="27">
                  <c:v>1.0289818339093213</c:v>
                </c:pt>
                <c:pt idx="28">
                  <c:v>1.0262391272437774</c:v>
                </c:pt>
                <c:pt idx="29">
                  <c:v>1.0235334936771288</c:v>
                </c:pt>
                <c:pt idx="30">
                  <c:v>1.0205577534188304</c:v>
                </c:pt>
              </c:numCache>
            </c:numRef>
          </c:val>
          <c:extLst>
            <c:ext xmlns:c16="http://schemas.microsoft.com/office/drawing/2014/chart" uri="{C3380CC4-5D6E-409C-BE32-E72D297353CC}">
              <c16:uniqueId val="{00000001-6EF4-432A-85A6-F9ABE7935777}"/>
            </c:ext>
          </c:extLst>
        </c:ser>
        <c:ser>
          <c:idx val="1"/>
          <c:order val="2"/>
          <c:tx>
            <c:v>Non-household consumption</c:v>
          </c:tx>
          <c:spPr>
            <a:ln w="25400">
              <a:noFill/>
            </a:ln>
          </c:spPr>
          <c:cat>
            <c:strRef>
              <c:f>ESWBLY!$G$23:$CI$23</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ESWBLY!$G$370:$CI$370</c:f>
              <c:numCache>
                <c:formatCode>0.00</c:formatCode>
                <c:ptCount val="81"/>
                <c:pt idx="0">
                  <c:v>0</c:v>
                </c:pt>
                <c:pt idx="1">
                  <c:v>0</c:v>
                </c:pt>
                <c:pt idx="2">
                  <c:v>3.3693909383156622</c:v>
                </c:pt>
                <c:pt idx="3">
                  <c:v>3.1604117352983154</c:v>
                </c:pt>
                <c:pt idx="4">
                  <c:v>3.3245646750143569</c:v>
                </c:pt>
                <c:pt idx="5">
                  <c:v>3.5047252126054942</c:v>
                </c:pt>
                <c:pt idx="6">
                  <c:v>3.6620665824277401</c:v>
                </c:pt>
                <c:pt idx="7">
                  <c:v>3.712566814444449</c:v>
                </c:pt>
                <c:pt idx="8">
                  <c:v>3.727631021811272</c:v>
                </c:pt>
                <c:pt idx="9">
                  <c:v>3.7420061482578895</c:v>
                </c:pt>
                <c:pt idx="10">
                  <c:v>3.7534833485636758</c:v>
                </c:pt>
                <c:pt idx="11">
                  <c:v>3.7611107266670478</c:v>
                </c:pt>
                <c:pt idx="12">
                  <c:v>3.7679826083639729</c:v>
                </c:pt>
                <c:pt idx="13">
                  <c:v>6.0646447299784567</c:v>
                </c:pt>
                <c:pt idx="14">
                  <c:v>6.0715026797746479</c:v>
                </c:pt>
                <c:pt idx="15">
                  <c:v>6.0785062674661541</c:v>
                </c:pt>
                <c:pt idx="16">
                  <c:v>6.0856348629417534</c:v>
                </c:pt>
                <c:pt idx="17">
                  <c:v>6.0927362365349431</c:v>
                </c:pt>
                <c:pt idx="18">
                  <c:v>6.1000156286618443</c:v>
                </c:pt>
                <c:pt idx="19">
                  <c:v>6.1072899909177769</c:v>
                </c:pt>
                <c:pt idx="20">
                  <c:v>6.1145880380516111</c:v>
                </c:pt>
                <c:pt idx="21">
                  <c:v>6.1218953561506</c:v>
                </c:pt>
                <c:pt idx="22">
                  <c:v>6.129180675762198</c:v>
                </c:pt>
                <c:pt idx="23">
                  <c:v>6.1363342670364789</c:v>
                </c:pt>
                <c:pt idx="24">
                  <c:v>6.1433121147631029</c:v>
                </c:pt>
                <c:pt idx="25">
                  <c:v>6.1502304706108912</c:v>
                </c:pt>
                <c:pt idx="26">
                  <c:v>6.1570215295904624</c:v>
                </c:pt>
                <c:pt idx="27">
                  <c:v>6.1637829812834681</c:v>
                </c:pt>
                <c:pt idx="28">
                  <c:v>6.1704944559836834</c:v>
                </c:pt>
                <c:pt idx="29">
                  <c:v>6.1771214039797968</c:v>
                </c:pt>
                <c:pt idx="30">
                  <c:v>6.1837313337273594</c:v>
                </c:pt>
              </c:numCache>
            </c:numRef>
          </c:val>
          <c:extLst>
            <c:ext xmlns:c16="http://schemas.microsoft.com/office/drawing/2014/chart" uri="{C3380CC4-5D6E-409C-BE32-E72D297353CC}">
              <c16:uniqueId val="{00000002-6EF4-432A-85A6-F9ABE7935777}"/>
            </c:ext>
          </c:extLst>
        </c:ser>
        <c:ser>
          <c:idx val="2"/>
          <c:order val="3"/>
          <c:tx>
            <c:v>Total leakage</c:v>
          </c:tx>
          <c:spPr>
            <a:ln w="25400">
              <a:noFill/>
            </a:ln>
          </c:spPr>
          <c:cat>
            <c:strRef>
              <c:f>ESWBLY!$G$23:$CI$23</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ESWBLY!$G$371:$CI$371</c:f>
              <c:numCache>
                <c:formatCode>0.00</c:formatCode>
                <c:ptCount val="81"/>
                <c:pt idx="0">
                  <c:v>0</c:v>
                </c:pt>
                <c:pt idx="1">
                  <c:v>0</c:v>
                </c:pt>
                <c:pt idx="2">
                  <c:v>1.9305131976000001</c:v>
                </c:pt>
                <c:pt idx="3">
                  <c:v>1.6747597999999997</c:v>
                </c:pt>
                <c:pt idx="4">
                  <c:v>1.6092663999999997</c:v>
                </c:pt>
                <c:pt idx="5">
                  <c:v>1.5437730000000001</c:v>
                </c:pt>
                <c:pt idx="6">
                  <c:v>1.5437730000000001</c:v>
                </c:pt>
                <c:pt idx="7">
                  <c:v>1.5437730000000001</c:v>
                </c:pt>
                <c:pt idx="8">
                  <c:v>1.5437730000000001</c:v>
                </c:pt>
                <c:pt idx="9">
                  <c:v>1.5437730000000001</c:v>
                </c:pt>
                <c:pt idx="10">
                  <c:v>1.5437729999999998</c:v>
                </c:pt>
                <c:pt idx="11">
                  <c:v>1.5437730000000001</c:v>
                </c:pt>
                <c:pt idx="12">
                  <c:v>1.5437730000000001</c:v>
                </c:pt>
                <c:pt idx="13">
                  <c:v>1.5437730000000001</c:v>
                </c:pt>
                <c:pt idx="14">
                  <c:v>1.5437730000000001</c:v>
                </c:pt>
                <c:pt idx="15">
                  <c:v>1.5437730000000003</c:v>
                </c:pt>
                <c:pt idx="16">
                  <c:v>1.5437730000000001</c:v>
                </c:pt>
                <c:pt idx="17">
                  <c:v>1.5437730000000001</c:v>
                </c:pt>
                <c:pt idx="18">
                  <c:v>1.5437730000000001</c:v>
                </c:pt>
                <c:pt idx="19">
                  <c:v>1.5437730000000001</c:v>
                </c:pt>
                <c:pt idx="20">
                  <c:v>1.5437730000000001</c:v>
                </c:pt>
                <c:pt idx="21">
                  <c:v>1.5437730000000001</c:v>
                </c:pt>
                <c:pt idx="22">
                  <c:v>1.5437730000000001</c:v>
                </c:pt>
                <c:pt idx="23">
                  <c:v>1.5437730000000001</c:v>
                </c:pt>
                <c:pt idx="24">
                  <c:v>1.5437730000000003</c:v>
                </c:pt>
                <c:pt idx="25">
                  <c:v>1.5437730000000001</c:v>
                </c:pt>
                <c:pt idx="26">
                  <c:v>1.5437730000000001</c:v>
                </c:pt>
                <c:pt idx="27">
                  <c:v>1.5437729999999998</c:v>
                </c:pt>
                <c:pt idx="28">
                  <c:v>1.5437730000000001</c:v>
                </c:pt>
                <c:pt idx="29">
                  <c:v>1.5437730000000001</c:v>
                </c:pt>
                <c:pt idx="30">
                  <c:v>1.5437730000000003</c:v>
                </c:pt>
              </c:numCache>
            </c:numRef>
          </c:val>
          <c:extLst>
            <c:ext xmlns:c16="http://schemas.microsoft.com/office/drawing/2014/chart" uri="{C3380CC4-5D6E-409C-BE32-E72D297353CC}">
              <c16:uniqueId val="{00000003-6EF4-432A-85A6-F9ABE7935777}"/>
            </c:ext>
          </c:extLst>
        </c:ser>
        <c:ser>
          <c:idx val="3"/>
          <c:order val="4"/>
          <c:tx>
            <c:v>Other components of demand</c:v>
          </c:tx>
          <c:spPr>
            <a:ln w="25400">
              <a:noFill/>
            </a:ln>
          </c:spPr>
          <c:cat>
            <c:strRef>
              <c:f>ESWBLY!$G$23:$CI$23</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ESWBLY!$G$372:$CI$372</c:f>
              <c:numCache>
                <c:formatCode>0.00</c:formatCode>
                <c:ptCount val="81"/>
                <c:pt idx="0">
                  <c:v>0</c:v>
                </c:pt>
                <c:pt idx="1">
                  <c:v>0</c:v>
                </c:pt>
                <c:pt idx="2">
                  <c:v>0.277795537065753</c:v>
                </c:pt>
                <c:pt idx="3">
                  <c:v>0.28679110094586946</c:v>
                </c:pt>
                <c:pt idx="4">
                  <c:v>0.28667830223778168</c:v>
                </c:pt>
                <c:pt idx="5">
                  <c:v>0.28666635882526315</c:v>
                </c:pt>
                <c:pt idx="6">
                  <c:v>0.28681924417601756</c:v>
                </c:pt>
                <c:pt idx="7">
                  <c:v>0.28666817348883455</c:v>
                </c:pt>
                <c:pt idx="8">
                  <c:v>0.28652736636111165</c:v>
                </c:pt>
                <c:pt idx="9">
                  <c:v>0.28642934410590826</c:v>
                </c:pt>
                <c:pt idx="10">
                  <c:v>0.28634444545303772</c:v>
                </c:pt>
                <c:pt idx="11">
                  <c:v>0.28626058878556115</c:v>
                </c:pt>
                <c:pt idx="12">
                  <c:v>0.28617900769864768</c:v>
                </c:pt>
                <c:pt idx="13">
                  <c:v>0.28609807701164769</c:v>
                </c:pt>
                <c:pt idx="14">
                  <c:v>0.28601754960978631</c:v>
                </c:pt>
                <c:pt idx="15">
                  <c:v>0.28593682664429565</c:v>
                </c:pt>
                <c:pt idx="16">
                  <c:v>0.28585654424652063</c:v>
                </c:pt>
                <c:pt idx="17">
                  <c:v>0.28577629448837172</c:v>
                </c:pt>
                <c:pt idx="18">
                  <c:v>0.28569680661217944</c:v>
                </c:pt>
                <c:pt idx="19">
                  <c:v>0.28561914534016353</c:v>
                </c:pt>
                <c:pt idx="20">
                  <c:v>0.28554217982271801</c:v>
                </c:pt>
                <c:pt idx="21">
                  <c:v>0.28546607989330042</c:v>
                </c:pt>
                <c:pt idx="22">
                  <c:v>0.28539138310902601</c:v>
                </c:pt>
                <c:pt idx="23">
                  <c:v>0.28531793812903317</c:v>
                </c:pt>
                <c:pt idx="24">
                  <c:v>0.28524457773786871</c:v>
                </c:pt>
                <c:pt idx="25">
                  <c:v>0.28517184232772408</c:v>
                </c:pt>
                <c:pt idx="26">
                  <c:v>0.28509979113051998</c:v>
                </c:pt>
                <c:pt idx="27">
                  <c:v>0.28502882070259794</c:v>
                </c:pt>
                <c:pt idx="28">
                  <c:v>0.28495939323706132</c:v>
                </c:pt>
                <c:pt idx="29">
                  <c:v>0.28489141228376091</c:v>
                </c:pt>
                <c:pt idx="30">
                  <c:v>0.28482452650324674</c:v>
                </c:pt>
              </c:numCache>
            </c:numRef>
          </c:val>
          <c:extLst>
            <c:ext xmlns:c16="http://schemas.microsoft.com/office/drawing/2014/chart" uri="{C3380CC4-5D6E-409C-BE32-E72D297353CC}">
              <c16:uniqueId val="{00000004-6EF4-432A-85A6-F9ABE7935777}"/>
            </c:ext>
          </c:extLst>
        </c:ser>
        <c:dLbls>
          <c:showLegendKey val="0"/>
          <c:showVal val="0"/>
          <c:showCatName val="0"/>
          <c:showSerName val="0"/>
          <c:showPercent val="0"/>
          <c:showBubbleSize val="0"/>
        </c:dLbls>
        <c:axId val="909034472"/>
        <c:axId val="909034864"/>
      </c:areaChart>
      <c:lineChart>
        <c:grouping val="standard"/>
        <c:varyColors val="0"/>
        <c:ser>
          <c:idx val="4"/>
          <c:order val="5"/>
          <c:tx>
            <c:v>Total water available for use</c:v>
          </c:tx>
          <c:marker>
            <c:symbol val="none"/>
          </c:marker>
          <c:cat>
            <c:strLit>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Lit>
          </c:cat>
          <c:val>
            <c:numRef>
              <c:f>ESWBLY!$G$373:$CI$373</c:f>
              <c:numCache>
                <c:formatCode>0.00</c:formatCode>
                <c:ptCount val="81"/>
                <c:pt idx="0">
                  <c:v>0</c:v>
                </c:pt>
                <c:pt idx="1">
                  <c:v>0</c:v>
                </c:pt>
                <c:pt idx="2">
                  <c:v>12.459999999999999</c:v>
                </c:pt>
                <c:pt idx="3">
                  <c:v>12.459999999999999</c:v>
                </c:pt>
                <c:pt idx="4">
                  <c:v>12.459999999999999</c:v>
                </c:pt>
                <c:pt idx="5">
                  <c:v>12.459999999999999</c:v>
                </c:pt>
                <c:pt idx="6">
                  <c:v>12.459999999999999</c:v>
                </c:pt>
                <c:pt idx="7">
                  <c:v>9.4299999999999979</c:v>
                </c:pt>
                <c:pt idx="8">
                  <c:v>9.4299999999999979</c:v>
                </c:pt>
                <c:pt idx="9">
                  <c:v>9.4299999999999979</c:v>
                </c:pt>
                <c:pt idx="10">
                  <c:v>9.4299999999999979</c:v>
                </c:pt>
                <c:pt idx="11">
                  <c:v>7.72</c:v>
                </c:pt>
                <c:pt idx="12">
                  <c:v>7.72</c:v>
                </c:pt>
                <c:pt idx="13">
                  <c:v>7.72</c:v>
                </c:pt>
                <c:pt idx="14">
                  <c:v>7.72</c:v>
                </c:pt>
                <c:pt idx="15">
                  <c:v>7.72</c:v>
                </c:pt>
                <c:pt idx="16">
                  <c:v>7.72</c:v>
                </c:pt>
                <c:pt idx="17">
                  <c:v>7.72</c:v>
                </c:pt>
                <c:pt idx="18">
                  <c:v>7.72</c:v>
                </c:pt>
                <c:pt idx="19">
                  <c:v>7.72</c:v>
                </c:pt>
                <c:pt idx="20">
                  <c:v>7.72</c:v>
                </c:pt>
                <c:pt idx="21">
                  <c:v>6.81</c:v>
                </c:pt>
                <c:pt idx="22">
                  <c:v>6.81</c:v>
                </c:pt>
                <c:pt idx="23">
                  <c:v>6.81</c:v>
                </c:pt>
                <c:pt idx="24">
                  <c:v>6.81</c:v>
                </c:pt>
                <c:pt idx="25">
                  <c:v>6.81</c:v>
                </c:pt>
                <c:pt idx="26">
                  <c:v>5.9799999999999995</c:v>
                </c:pt>
                <c:pt idx="27">
                  <c:v>5.9799999999999995</c:v>
                </c:pt>
                <c:pt idx="28">
                  <c:v>5.9799999999999995</c:v>
                </c:pt>
                <c:pt idx="29">
                  <c:v>5.9799999999999995</c:v>
                </c:pt>
                <c:pt idx="30">
                  <c:v>5.9799999999999995</c:v>
                </c:pt>
              </c:numCache>
            </c:numRef>
          </c:val>
          <c:smooth val="0"/>
          <c:extLst>
            <c:ext xmlns:c16="http://schemas.microsoft.com/office/drawing/2014/chart" uri="{C3380CC4-5D6E-409C-BE32-E72D297353CC}">
              <c16:uniqueId val="{00000005-6EF4-432A-85A6-F9ABE7935777}"/>
            </c:ext>
          </c:extLst>
        </c:ser>
        <c:ser>
          <c:idx val="5"/>
          <c:order val="6"/>
          <c:tx>
            <c:v>Total demand + target headroom (baseline)</c:v>
          </c:tx>
          <c:marker>
            <c:symbol val="none"/>
          </c:marker>
          <c:cat>
            <c:strLit>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Lit>
          </c:cat>
          <c:val>
            <c:numRef>
              <c:f>ESWBLY!$G$374:$CI$374</c:f>
              <c:numCache>
                <c:formatCode>0.00</c:formatCode>
                <c:ptCount val="81"/>
                <c:pt idx="0">
                  <c:v>0</c:v>
                </c:pt>
                <c:pt idx="1">
                  <c:v>0</c:v>
                </c:pt>
                <c:pt idx="2">
                  <c:v>10.996004728105293</c:v>
                </c:pt>
                <c:pt idx="3">
                  <c:v>10.526038798015611</c:v>
                </c:pt>
                <c:pt idx="4">
                  <c:v>10.522146777848395</c:v>
                </c:pt>
                <c:pt idx="5">
                  <c:v>10.560886691421937</c:v>
                </c:pt>
                <c:pt idx="6">
                  <c:v>10.645313145774685</c:v>
                </c:pt>
                <c:pt idx="7">
                  <c:v>10.70778580100734</c:v>
                </c:pt>
                <c:pt idx="8">
                  <c:v>10.741279209139089</c:v>
                </c:pt>
                <c:pt idx="9">
                  <c:v>10.752629150363006</c:v>
                </c:pt>
                <c:pt idx="10">
                  <c:v>10.750094976516161</c:v>
                </c:pt>
                <c:pt idx="11">
                  <c:v>10.748239336500683</c:v>
                </c:pt>
                <c:pt idx="12">
                  <c:v>10.759982155558566</c:v>
                </c:pt>
                <c:pt idx="13">
                  <c:v>13.094399873560272</c:v>
                </c:pt>
                <c:pt idx="14">
                  <c:v>13.105686580838352</c:v>
                </c:pt>
                <c:pt idx="15">
                  <c:v>13.117613990170092</c:v>
                </c:pt>
                <c:pt idx="16">
                  <c:v>13.134169789760088</c:v>
                </c:pt>
                <c:pt idx="17">
                  <c:v>13.148502615118712</c:v>
                </c:pt>
                <c:pt idx="18">
                  <c:v>13.166481694383307</c:v>
                </c:pt>
                <c:pt idx="19">
                  <c:v>13.187953375717491</c:v>
                </c:pt>
                <c:pt idx="20">
                  <c:v>13.202947341807302</c:v>
                </c:pt>
                <c:pt idx="21">
                  <c:v>13.211530501624356</c:v>
                </c:pt>
                <c:pt idx="22">
                  <c:v>13.229476365102807</c:v>
                </c:pt>
                <c:pt idx="23">
                  <c:v>13.247241346179411</c:v>
                </c:pt>
                <c:pt idx="24">
                  <c:v>13.266720176664599</c:v>
                </c:pt>
                <c:pt idx="25">
                  <c:v>13.287696167939256</c:v>
                </c:pt>
                <c:pt idx="26">
                  <c:v>13.307420138301984</c:v>
                </c:pt>
                <c:pt idx="27">
                  <c:v>13.327531118324131</c:v>
                </c:pt>
                <c:pt idx="28">
                  <c:v>13.345437154737095</c:v>
                </c:pt>
                <c:pt idx="29">
                  <c:v>13.373624527245177</c:v>
                </c:pt>
                <c:pt idx="30">
                  <c:v>13.396975516488785</c:v>
                </c:pt>
              </c:numCache>
            </c:numRef>
          </c:val>
          <c:smooth val="0"/>
          <c:extLst>
            <c:ext xmlns:c16="http://schemas.microsoft.com/office/drawing/2014/chart" uri="{C3380CC4-5D6E-409C-BE32-E72D297353CC}">
              <c16:uniqueId val="{00000006-6EF4-432A-85A6-F9ABE7935777}"/>
            </c:ext>
          </c:extLst>
        </c:ser>
        <c:dLbls>
          <c:showLegendKey val="0"/>
          <c:showVal val="0"/>
          <c:showCatName val="0"/>
          <c:showSerName val="0"/>
          <c:showPercent val="0"/>
          <c:showBubbleSize val="0"/>
        </c:dLbls>
        <c:marker val="1"/>
        <c:smooth val="0"/>
        <c:axId val="909034472"/>
        <c:axId val="909034864"/>
      </c:lineChart>
      <c:catAx>
        <c:axId val="909034472"/>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en-US"/>
          </a:p>
        </c:txPr>
        <c:crossAx val="909034864"/>
        <c:crosses val="autoZero"/>
        <c:auto val="1"/>
        <c:lblAlgn val="ctr"/>
        <c:lblOffset val="100"/>
        <c:tickLblSkip val="2"/>
        <c:tickMarkSkip val="1"/>
        <c:noMultiLvlLbl val="0"/>
      </c:catAx>
      <c:valAx>
        <c:axId val="909034864"/>
        <c:scaling>
          <c:orientation val="minMax"/>
        </c:scaling>
        <c:delete val="0"/>
        <c:axPos val="l"/>
        <c:majorGridlines>
          <c:spPr>
            <a:ln w="3175">
              <a:solidFill>
                <a:srgbClr val="000000"/>
              </a:solidFill>
              <a:prstDash val="solid"/>
            </a:ln>
          </c:spPr>
        </c:majorGridlines>
        <c:title>
          <c:tx>
            <c:rich>
              <a:bodyPr/>
              <a:lstStyle/>
              <a:p>
                <a:pPr>
                  <a:defRPr sz="1175" b="1" i="0" u="none" strike="noStrike" baseline="0">
                    <a:solidFill>
                      <a:srgbClr val="000000"/>
                    </a:solidFill>
                    <a:latin typeface="Arial"/>
                    <a:ea typeface="Arial"/>
                    <a:cs typeface="Arial"/>
                  </a:defRPr>
                </a:pPr>
                <a:r>
                  <a:rPr lang="en-GB"/>
                  <a:t>Ml/d</a:t>
                </a:r>
              </a:p>
            </c:rich>
          </c:tx>
          <c:layout>
            <c:manualLayout>
              <c:xMode val="edge"/>
              <c:yMode val="edge"/>
              <c:x val="2.0359337875782983E-2"/>
              <c:y val="0.39858528733632054"/>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909034472"/>
        <c:crosses val="autoZero"/>
        <c:crossBetween val="midCat"/>
      </c:valAx>
      <c:spPr>
        <a:solidFill>
          <a:schemeClr val="bg1"/>
        </a:solidFill>
        <a:ln w="12700">
          <a:solidFill>
            <a:srgbClr val="808080"/>
          </a:solidFill>
          <a:prstDash val="solid"/>
        </a:ln>
      </c:spPr>
    </c:plotArea>
    <c:legend>
      <c:legendPos val="b"/>
      <c:legendEntry>
        <c:idx val="0"/>
        <c:txPr>
          <a:bodyPr/>
          <a:lstStyle/>
          <a:p>
            <a:pPr>
              <a:defRPr sz="1000" b="0" i="0" u="none" strike="noStrike" baseline="0">
                <a:solidFill>
                  <a:srgbClr val="000000"/>
                </a:solidFill>
                <a:latin typeface="Arial"/>
                <a:ea typeface="Arial"/>
                <a:cs typeface="Arial"/>
              </a:defRPr>
            </a:pPr>
            <a:endParaRPr lang="en-US"/>
          </a:p>
        </c:txPr>
      </c:legendEntry>
      <c:layout>
        <c:manualLayout>
          <c:xMode val="edge"/>
          <c:yMode val="edge"/>
          <c:x val="0.16452269470774322"/>
          <c:y val="0.82158446545736608"/>
          <c:w val="0.7156398695723647"/>
          <c:h val="0.16402912270077008"/>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0"/>
    <c:dispBlanksAs val="zero"/>
    <c:showDLblsOverMax val="0"/>
  </c:chart>
  <c:spPr>
    <a:solidFill>
      <a:schemeClr val="accent2"/>
    </a:solidFill>
    <a:ln w="3175">
      <a:solidFill>
        <a:srgbClr val="000000"/>
      </a:solidFill>
      <a:prstDash val="solid"/>
    </a:ln>
  </c:spPr>
  <c:txPr>
    <a:bodyPr/>
    <a:lstStyle/>
    <a:p>
      <a:pPr>
        <a:defRPr sz="975" b="0" i="0" u="none" strike="noStrike" baseline="0">
          <a:solidFill>
            <a:srgbClr val="000000"/>
          </a:solidFill>
          <a:latin typeface="Arial"/>
          <a:ea typeface="Arial"/>
          <a:cs typeface="Arial"/>
        </a:defRPr>
      </a:pPr>
      <a:endParaRPr lang="en-US"/>
    </a:p>
  </c:txPr>
  <c:printSettings>
    <c:headerFooter alignWithMargins="0"/>
    <c:pageMargins b="1" l="0.75000000000000622" r="0.75000000000000622" t="1" header="0.5" footer="0.5"/>
    <c:pageSetup paperSize="9" orientation="landscape"/>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75" b="1" i="0" u="none" strike="noStrike" baseline="0">
                <a:solidFill>
                  <a:srgbClr val="000000"/>
                </a:solidFill>
                <a:latin typeface="Arial"/>
                <a:ea typeface="Arial"/>
                <a:cs typeface="Arial"/>
              </a:defRPr>
            </a:pPr>
            <a:r>
              <a:rPr lang="en-GB"/>
              <a:t>DYAA Final Plan Water Supply-Demand Balance and Components of Demand</a:t>
            </a:r>
          </a:p>
        </c:rich>
      </c:tx>
      <c:layout>
        <c:manualLayout>
          <c:xMode val="edge"/>
          <c:yMode val="edge"/>
          <c:x val="0.2095809470200265"/>
          <c:y val="2.9013693730272669E-2"/>
        </c:manualLayout>
      </c:layout>
      <c:overlay val="0"/>
      <c:spPr>
        <a:noFill/>
        <a:ln w="25400">
          <a:noFill/>
        </a:ln>
      </c:spPr>
    </c:title>
    <c:autoTitleDeleted val="0"/>
    <c:plotArea>
      <c:layout>
        <c:manualLayout>
          <c:layoutTarget val="inner"/>
          <c:xMode val="edge"/>
          <c:yMode val="edge"/>
          <c:x val="8.5343266856694813E-2"/>
          <c:y val="0.10444884139344435"/>
          <c:w val="0.89146608097046709"/>
          <c:h val="0.55130264550264552"/>
        </c:manualLayout>
      </c:layout>
      <c:areaChart>
        <c:grouping val="stacked"/>
        <c:varyColors val="0"/>
        <c:ser>
          <c:idx val="6"/>
          <c:order val="0"/>
          <c:tx>
            <c:v>Measured household consumption</c:v>
          </c:tx>
          <c:spPr>
            <a:ln w="25400">
              <a:noFill/>
            </a:ln>
          </c:spPr>
          <c:cat>
            <c:strRef>
              <c:f>ESWESX!$G$23:$CI$23</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ESWESX!$G$377:$CI$377</c:f>
              <c:numCache>
                <c:formatCode>0.00</c:formatCode>
                <c:ptCount val="81"/>
                <c:pt idx="0">
                  <c:v>0</c:v>
                </c:pt>
                <c:pt idx="1">
                  <c:v>0</c:v>
                </c:pt>
                <c:pt idx="2">
                  <c:v>150.99392196286217</c:v>
                </c:pt>
                <c:pt idx="3">
                  <c:v>151.76561733431393</c:v>
                </c:pt>
                <c:pt idx="4">
                  <c:v>155.50519630099194</c:v>
                </c:pt>
                <c:pt idx="5">
                  <c:v>159.46790818240859</c:v>
                </c:pt>
                <c:pt idx="6">
                  <c:v>175.39650356079326</c:v>
                </c:pt>
                <c:pt idx="7">
                  <c:v>199.21348076695881</c:v>
                </c:pt>
                <c:pt idx="8">
                  <c:v>212.68047229550575</c:v>
                </c:pt>
                <c:pt idx="9">
                  <c:v>219.77422310440144</c:v>
                </c:pt>
                <c:pt idx="10">
                  <c:v>226.77601270898663</c:v>
                </c:pt>
                <c:pt idx="11">
                  <c:v>232.25858449924289</c:v>
                </c:pt>
                <c:pt idx="12">
                  <c:v>236.91715584919618</c:v>
                </c:pt>
                <c:pt idx="13">
                  <c:v>241.01284508193524</c:v>
                </c:pt>
                <c:pt idx="14">
                  <c:v>244.45059997662074</c:v>
                </c:pt>
                <c:pt idx="15">
                  <c:v>247.78235454874135</c:v>
                </c:pt>
                <c:pt idx="16">
                  <c:v>249.23380704383078</c:v>
                </c:pt>
                <c:pt idx="17">
                  <c:v>247.60894063361837</c:v>
                </c:pt>
                <c:pt idx="18">
                  <c:v>246.00594350161711</c:v>
                </c:pt>
                <c:pt idx="19">
                  <c:v>244.53677906814863</c:v>
                </c:pt>
                <c:pt idx="20">
                  <c:v>243.12338313620282</c:v>
                </c:pt>
                <c:pt idx="21">
                  <c:v>238.66859360419383</c:v>
                </c:pt>
                <c:pt idx="22">
                  <c:v>237.36871306447995</c:v>
                </c:pt>
                <c:pt idx="23">
                  <c:v>236.17926992863221</c:v>
                </c:pt>
                <c:pt idx="24">
                  <c:v>235.83468873501457</c:v>
                </c:pt>
                <c:pt idx="25">
                  <c:v>235.5737129671985</c:v>
                </c:pt>
                <c:pt idx="26">
                  <c:v>236.8077451353571</c:v>
                </c:pt>
                <c:pt idx="27">
                  <c:v>233.87362714147056</c:v>
                </c:pt>
                <c:pt idx="28">
                  <c:v>235.22804971190442</c:v>
                </c:pt>
                <c:pt idx="29">
                  <c:v>234.48933481643598</c:v>
                </c:pt>
                <c:pt idx="30">
                  <c:v>235.91227758761391</c:v>
                </c:pt>
              </c:numCache>
            </c:numRef>
          </c:val>
          <c:extLst>
            <c:ext xmlns:c16="http://schemas.microsoft.com/office/drawing/2014/chart" uri="{C3380CC4-5D6E-409C-BE32-E72D297353CC}">
              <c16:uniqueId val="{00000000-C453-4466-8116-ECCC35E8AF3C}"/>
            </c:ext>
          </c:extLst>
        </c:ser>
        <c:ser>
          <c:idx val="0"/>
          <c:order val="1"/>
          <c:tx>
            <c:v>Unmeasured household consumption</c:v>
          </c:tx>
          <c:spPr>
            <a:ln w="25400">
              <a:noFill/>
            </a:ln>
          </c:spPr>
          <c:cat>
            <c:strRef>
              <c:f>ESWESX!$G$23:$CI$23</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ESWESX!$G$378:$CI$378</c:f>
              <c:numCache>
                <c:formatCode>0.00</c:formatCode>
                <c:ptCount val="81"/>
                <c:pt idx="0">
                  <c:v>0</c:v>
                </c:pt>
                <c:pt idx="1">
                  <c:v>0</c:v>
                </c:pt>
                <c:pt idx="2">
                  <c:v>142.45469610495948</c:v>
                </c:pt>
                <c:pt idx="3">
                  <c:v>136.88205916394443</c:v>
                </c:pt>
                <c:pt idx="4">
                  <c:v>131.3845093671724</c:v>
                </c:pt>
                <c:pt idx="5">
                  <c:v>124.41885192108404</c:v>
                </c:pt>
                <c:pt idx="6">
                  <c:v>105.01879629670337</c:v>
                </c:pt>
                <c:pt idx="7">
                  <c:v>79.155389055102134</c:v>
                </c:pt>
                <c:pt idx="8">
                  <c:v>64.37788909991086</c:v>
                </c:pt>
                <c:pt idx="9">
                  <c:v>55.51636852332463</c:v>
                </c:pt>
                <c:pt idx="10">
                  <c:v>46.135119272367426</c:v>
                </c:pt>
                <c:pt idx="11">
                  <c:v>37.803736458518777</c:v>
                </c:pt>
                <c:pt idx="12">
                  <c:v>30.529732243520829</c:v>
                </c:pt>
                <c:pt idx="13">
                  <c:v>23.436200293606824</c:v>
                </c:pt>
                <c:pt idx="14">
                  <c:v>16.464490946557579</c:v>
                </c:pt>
                <c:pt idx="15">
                  <c:v>9.6680742220213496</c:v>
                </c:pt>
                <c:pt idx="16">
                  <c:v>6.2440995916912705</c:v>
                </c:pt>
                <c:pt idx="17">
                  <c:v>6.1310653361501037</c:v>
                </c:pt>
                <c:pt idx="18">
                  <c:v>6.0192669841088211</c:v>
                </c:pt>
                <c:pt idx="19">
                  <c:v>5.909868815105968</c:v>
                </c:pt>
                <c:pt idx="20">
                  <c:v>5.801118515611777</c:v>
                </c:pt>
                <c:pt idx="21">
                  <c:v>5.6952467424708111</c:v>
                </c:pt>
                <c:pt idx="22">
                  <c:v>5.5904499762128683</c:v>
                </c:pt>
                <c:pt idx="23">
                  <c:v>5.4884067269485568</c:v>
                </c:pt>
                <c:pt idx="24">
                  <c:v>5.4064181527347293</c:v>
                </c:pt>
                <c:pt idx="25">
                  <c:v>5.3256449570801632</c:v>
                </c:pt>
                <c:pt idx="26">
                  <c:v>5.2324368670637185</c:v>
                </c:pt>
                <c:pt idx="27">
                  <c:v>5.1901359864700591</c:v>
                </c:pt>
                <c:pt idx="28">
                  <c:v>5.1478308611754766</c:v>
                </c:pt>
                <c:pt idx="29">
                  <c:v>5.1061029260770292</c:v>
                </c:pt>
                <c:pt idx="30">
                  <c:v>5.0643504683512219</c:v>
                </c:pt>
              </c:numCache>
            </c:numRef>
          </c:val>
          <c:extLst>
            <c:ext xmlns:c16="http://schemas.microsoft.com/office/drawing/2014/chart" uri="{C3380CC4-5D6E-409C-BE32-E72D297353CC}">
              <c16:uniqueId val="{00000001-C453-4466-8116-ECCC35E8AF3C}"/>
            </c:ext>
          </c:extLst>
        </c:ser>
        <c:ser>
          <c:idx val="1"/>
          <c:order val="2"/>
          <c:tx>
            <c:v>Non-household consumption</c:v>
          </c:tx>
          <c:spPr>
            <a:ln w="25400">
              <a:noFill/>
            </a:ln>
          </c:spPr>
          <c:cat>
            <c:strRef>
              <c:f>ESWESX!$G$23:$CI$23</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ESWESX!$G$379:$CI$379</c:f>
              <c:numCache>
                <c:formatCode>0.00</c:formatCode>
                <c:ptCount val="81"/>
                <c:pt idx="0">
                  <c:v>0</c:v>
                </c:pt>
                <c:pt idx="1">
                  <c:v>0</c:v>
                </c:pt>
                <c:pt idx="2">
                  <c:v>50.392417519343113</c:v>
                </c:pt>
                <c:pt idx="3">
                  <c:v>51.337541457845965</c:v>
                </c:pt>
                <c:pt idx="4">
                  <c:v>53.84507517937535</c:v>
                </c:pt>
                <c:pt idx="5">
                  <c:v>56.309954896085912</c:v>
                </c:pt>
                <c:pt idx="6">
                  <c:v>60.497372559346786</c:v>
                </c:pt>
                <c:pt idx="7">
                  <c:v>60.915464964452184</c:v>
                </c:pt>
                <c:pt idx="8">
                  <c:v>59.710698094838321</c:v>
                </c:pt>
                <c:pt idx="9">
                  <c:v>60.712155747773473</c:v>
                </c:pt>
                <c:pt idx="10">
                  <c:v>61.234330638588602</c:v>
                </c:pt>
                <c:pt idx="11">
                  <c:v>61.154390834104582</c:v>
                </c:pt>
                <c:pt idx="12">
                  <c:v>60.65674594408636</c:v>
                </c:pt>
                <c:pt idx="13">
                  <c:v>60.503062739891448</c:v>
                </c:pt>
                <c:pt idx="14">
                  <c:v>60.187379632120127</c:v>
                </c:pt>
                <c:pt idx="15">
                  <c:v>59.553624830733291</c:v>
                </c:pt>
                <c:pt idx="16">
                  <c:v>58.81099845721608</c:v>
                </c:pt>
                <c:pt idx="17">
                  <c:v>57.730494569504231</c:v>
                </c:pt>
                <c:pt idx="18">
                  <c:v>56.694041942278176</c:v>
                </c:pt>
                <c:pt idx="19">
                  <c:v>56.172490910466443</c:v>
                </c:pt>
                <c:pt idx="20">
                  <c:v>56.165532171380015</c:v>
                </c:pt>
                <c:pt idx="21">
                  <c:v>56.15852652111441</c:v>
                </c:pt>
                <c:pt idx="22">
                  <c:v>56.149870624426562</c:v>
                </c:pt>
                <c:pt idx="23">
                  <c:v>56.140355859154134</c:v>
                </c:pt>
                <c:pt idx="24">
                  <c:v>56.131299884398025</c:v>
                </c:pt>
                <c:pt idx="25">
                  <c:v>56.124841853520749</c:v>
                </c:pt>
                <c:pt idx="26">
                  <c:v>56.120060589437877</c:v>
                </c:pt>
                <c:pt idx="27">
                  <c:v>56.115946212579765</c:v>
                </c:pt>
                <c:pt idx="28">
                  <c:v>56.112413335014331</c:v>
                </c:pt>
                <c:pt idx="29">
                  <c:v>56.109812262880133</c:v>
                </c:pt>
                <c:pt idx="30">
                  <c:v>56.107565627299181</c:v>
                </c:pt>
              </c:numCache>
            </c:numRef>
          </c:val>
          <c:extLst>
            <c:ext xmlns:c16="http://schemas.microsoft.com/office/drawing/2014/chart" uri="{C3380CC4-5D6E-409C-BE32-E72D297353CC}">
              <c16:uniqueId val="{00000002-C453-4466-8116-ECCC35E8AF3C}"/>
            </c:ext>
          </c:extLst>
        </c:ser>
        <c:ser>
          <c:idx val="2"/>
          <c:order val="3"/>
          <c:tx>
            <c:v>Total leakage</c:v>
          </c:tx>
          <c:spPr>
            <a:ln w="25400">
              <a:noFill/>
            </a:ln>
          </c:spPr>
          <c:cat>
            <c:strRef>
              <c:f>ESWESX!$G$23:$CI$23</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ESWESX!$G$380:$CI$380</c:f>
              <c:numCache>
                <c:formatCode>0.00</c:formatCode>
                <c:ptCount val="81"/>
                <c:pt idx="0">
                  <c:v>0</c:v>
                </c:pt>
                <c:pt idx="1">
                  <c:v>0</c:v>
                </c:pt>
                <c:pt idx="2">
                  <c:v>53.344869343162344</c:v>
                </c:pt>
                <c:pt idx="3">
                  <c:v>52.857053199999996</c:v>
                </c:pt>
                <c:pt idx="4">
                  <c:v>50.790017599999985</c:v>
                </c:pt>
                <c:pt idx="5">
                  <c:v>48.722981999999995</c:v>
                </c:pt>
                <c:pt idx="6">
                  <c:v>48.228415200000001</c:v>
                </c:pt>
                <c:pt idx="7">
                  <c:v>47.733848399999999</c:v>
                </c:pt>
                <c:pt idx="8">
                  <c:v>47.239281599999998</c:v>
                </c:pt>
                <c:pt idx="9">
                  <c:v>46.744714799999997</c:v>
                </c:pt>
                <c:pt idx="10">
                  <c:v>46.250147999999996</c:v>
                </c:pt>
                <c:pt idx="11">
                  <c:v>45.755581199999995</c:v>
                </c:pt>
                <c:pt idx="12">
                  <c:v>45.261014399999993</c:v>
                </c:pt>
                <c:pt idx="13">
                  <c:v>44.766447599999992</c:v>
                </c:pt>
                <c:pt idx="14">
                  <c:v>44.271880799999991</c:v>
                </c:pt>
                <c:pt idx="15">
                  <c:v>43.77731399999999</c:v>
                </c:pt>
                <c:pt idx="16">
                  <c:v>43.282747199999989</c:v>
                </c:pt>
                <c:pt idx="17">
                  <c:v>42.788180399999987</c:v>
                </c:pt>
                <c:pt idx="18">
                  <c:v>42.293613599999986</c:v>
                </c:pt>
                <c:pt idx="19">
                  <c:v>41.799046799999985</c:v>
                </c:pt>
                <c:pt idx="20">
                  <c:v>41.304479999999984</c:v>
                </c:pt>
                <c:pt idx="21">
                  <c:v>40.809913199999983</c:v>
                </c:pt>
                <c:pt idx="22">
                  <c:v>40.315346399999981</c:v>
                </c:pt>
                <c:pt idx="23">
                  <c:v>39.82077959999998</c:v>
                </c:pt>
                <c:pt idx="24">
                  <c:v>39.326212799999979</c:v>
                </c:pt>
                <c:pt idx="25">
                  <c:v>38.831645999999978</c:v>
                </c:pt>
                <c:pt idx="26">
                  <c:v>38.337079199999977</c:v>
                </c:pt>
                <c:pt idx="27">
                  <c:v>37.842512399999976</c:v>
                </c:pt>
                <c:pt idx="28">
                  <c:v>37.347945599999974</c:v>
                </c:pt>
                <c:pt idx="29">
                  <c:v>36.853378799999973</c:v>
                </c:pt>
                <c:pt idx="30">
                  <c:v>36.358812</c:v>
                </c:pt>
              </c:numCache>
            </c:numRef>
          </c:val>
          <c:extLst>
            <c:ext xmlns:c16="http://schemas.microsoft.com/office/drawing/2014/chart" uri="{C3380CC4-5D6E-409C-BE32-E72D297353CC}">
              <c16:uniqueId val="{00000003-C453-4466-8116-ECCC35E8AF3C}"/>
            </c:ext>
          </c:extLst>
        </c:ser>
        <c:ser>
          <c:idx val="3"/>
          <c:order val="4"/>
          <c:tx>
            <c:v>Other components of demand</c:v>
          </c:tx>
          <c:spPr>
            <a:ln w="25400">
              <a:noFill/>
            </a:ln>
          </c:spPr>
          <c:cat>
            <c:strRef>
              <c:f>ESWESX!$G$23:$CI$23</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ESWESX!$G$381:$CI$381</c:f>
              <c:numCache>
                <c:formatCode>0.00</c:formatCode>
                <c:ptCount val="81"/>
                <c:pt idx="0">
                  <c:v>0</c:v>
                </c:pt>
                <c:pt idx="1">
                  <c:v>0</c:v>
                </c:pt>
                <c:pt idx="2">
                  <c:v>9.7979080421365552</c:v>
                </c:pt>
                <c:pt idx="3">
                  <c:v>9.7984853079883578</c:v>
                </c:pt>
                <c:pt idx="4">
                  <c:v>9.7911104284468138</c:v>
                </c:pt>
                <c:pt idx="5">
                  <c:v>9.7829638246856234</c:v>
                </c:pt>
                <c:pt idx="6">
                  <c:v>9.8109495925564829</c:v>
                </c:pt>
                <c:pt idx="7">
                  <c:v>9.8034625623421334</c:v>
                </c:pt>
                <c:pt idx="8">
                  <c:v>9.7958845121602849</c:v>
                </c:pt>
                <c:pt idx="9">
                  <c:v>9.7888075608949521</c:v>
                </c:pt>
                <c:pt idx="10">
                  <c:v>9.7832807928792818</c:v>
                </c:pt>
                <c:pt idx="11">
                  <c:v>9.7781680115712106</c:v>
                </c:pt>
                <c:pt idx="12">
                  <c:v>9.7733752897818249</c:v>
                </c:pt>
                <c:pt idx="13">
                  <c:v>9.7690376651506767</c:v>
                </c:pt>
                <c:pt idx="14">
                  <c:v>9.7653630459332703</c:v>
                </c:pt>
                <c:pt idx="15">
                  <c:v>9.7611784184433645</c:v>
                </c:pt>
                <c:pt idx="16">
                  <c:v>9.7568378834127429</c:v>
                </c:pt>
                <c:pt idx="17">
                  <c:v>9.7522782600177607</c:v>
                </c:pt>
                <c:pt idx="18">
                  <c:v>9.7476194437705885</c:v>
                </c:pt>
                <c:pt idx="19">
                  <c:v>9.7428706361554873</c:v>
                </c:pt>
                <c:pt idx="20">
                  <c:v>9.7380310512349411</c:v>
                </c:pt>
                <c:pt idx="21">
                  <c:v>9.7331035275950626</c:v>
                </c:pt>
                <c:pt idx="22">
                  <c:v>9.7280812042138223</c:v>
                </c:pt>
                <c:pt idx="23">
                  <c:v>9.7229658844075288</c:v>
                </c:pt>
                <c:pt idx="24">
                  <c:v>9.7177580933531544</c:v>
                </c:pt>
                <c:pt idx="25">
                  <c:v>9.7124571835083771</c:v>
                </c:pt>
                <c:pt idx="26">
                  <c:v>9.7070687971143457</c:v>
                </c:pt>
                <c:pt idx="27">
                  <c:v>9.7015913665413223</c:v>
                </c:pt>
                <c:pt idx="28">
                  <c:v>9.6960256925206068</c:v>
                </c:pt>
                <c:pt idx="29">
                  <c:v>9.690372771821103</c:v>
                </c:pt>
                <c:pt idx="30">
                  <c:v>9.6846342487529569</c:v>
                </c:pt>
              </c:numCache>
            </c:numRef>
          </c:val>
          <c:extLst>
            <c:ext xmlns:c16="http://schemas.microsoft.com/office/drawing/2014/chart" uri="{C3380CC4-5D6E-409C-BE32-E72D297353CC}">
              <c16:uniqueId val="{00000004-C453-4466-8116-ECCC35E8AF3C}"/>
            </c:ext>
          </c:extLst>
        </c:ser>
        <c:dLbls>
          <c:showLegendKey val="0"/>
          <c:showVal val="0"/>
          <c:showCatName val="0"/>
          <c:showSerName val="0"/>
          <c:showPercent val="0"/>
          <c:showBubbleSize val="0"/>
        </c:dLbls>
        <c:axId val="864303240"/>
        <c:axId val="864303632"/>
      </c:areaChart>
      <c:lineChart>
        <c:grouping val="standard"/>
        <c:varyColors val="0"/>
        <c:ser>
          <c:idx val="4"/>
          <c:order val="5"/>
          <c:tx>
            <c:v>Total water available for use</c:v>
          </c:tx>
          <c:marker>
            <c:symbol val="none"/>
          </c:marker>
          <c:cat>
            <c:strLit>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Lit>
          </c:cat>
          <c:val>
            <c:numRef>
              <c:f>ESWESX!$G$382:$CI$382</c:f>
              <c:numCache>
                <c:formatCode>0.00</c:formatCode>
                <c:ptCount val="81"/>
                <c:pt idx="0">
                  <c:v>0</c:v>
                </c:pt>
                <c:pt idx="1">
                  <c:v>0</c:v>
                </c:pt>
                <c:pt idx="2">
                  <c:v>411.07822051013699</c:v>
                </c:pt>
                <c:pt idx="3">
                  <c:v>410.52325237013696</c:v>
                </c:pt>
                <c:pt idx="4">
                  <c:v>409.96509222013697</c:v>
                </c:pt>
                <c:pt idx="5">
                  <c:v>409.06580771469351</c:v>
                </c:pt>
                <c:pt idx="6">
                  <c:v>408.16534502242757</c:v>
                </c:pt>
                <c:pt idx="7">
                  <c:v>407.27772247217126</c:v>
                </c:pt>
                <c:pt idx="8">
                  <c:v>411.04697267943811</c:v>
                </c:pt>
                <c:pt idx="9">
                  <c:v>410.14269042426338</c:v>
                </c:pt>
                <c:pt idx="10">
                  <c:v>413.08702886397185</c:v>
                </c:pt>
                <c:pt idx="11">
                  <c:v>415.17911640197474</c:v>
                </c:pt>
                <c:pt idx="12">
                  <c:v>399.91714900509442</c:v>
                </c:pt>
                <c:pt idx="13">
                  <c:v>402.50466656553897</c:v>
                </c:pt>
                <c:pt idx="14">
                  <c:v>401.5877681828058</c:v>
                </c:pt>
                <c:pt idx="15">
                  <c:v>402.32893518280582</c:v>
                </c:pt>
                <c:pt idx="16">
                  <c:v>421.73996569427777</c:v>
                </c:pt>
                <c:pt idx="17">
                  <c:v>421.14625540427778</c:v>
                </c:pt>
                <c:pt idx="18">
                  <c:v>420.55017182427775</c:v>
                </c:pt>
                <c:pt idx="19">
                  <c:v>419.95175626427778</c:v>
                </c:pt>
                <c:pt idx="20">
                  <c:v>419.35104849427779</c:v>
                </c:pt>
                <c:pt idx="21">
                  <c:v>416.75041130574982</c:v>
                </c:pt>
                <c:pt idx="22">
                  <c:v>416.1452325157498</c:v>
                </c:pt>
                <c:pt idx="23">
                  <c:v>415.53787221574981</c:v>
                </c:pt>
                <c:pt idx="24">
                  <c:v>414.92836472574982</c:v>
                </c:pt>
                <c:pt idx="25">
                  <c:v>414.31674318574983</c:v>
                </c:pt>
                <c:pt idx="26">
                  <c:v>413.7030396257498</c:v>
                </c:pt>
                <c:pt idx="27">
                  <c:v>413.08728500574983</c:v>
                </c:pt>
                <c:pt idx="28">
                  <c:v>412.47183382722181</c:v>
                </c:pt>
                <c:pt idx="29">
                  <c:v>411.85206599722181</c:v>
                </c:pt>
                <c:pt idx="30">
                  <c:v>411.23033416722177</c:v>
                </c:pt>
              </c:numCache>
            </c:numRef>
          </c:val>
          <c:smooth val="0"/>
          <c:extLst>
            <c:ext xmlns:c16="http://schemas.microsoft.com/office/drawing/2014/chart" uri="{C3380CC4-5D6E-409C-BE32-E72D297353CC}">
              <c16:uniqueId val="{00000005-C453-4466-8116-ECCC35E8AF3C}"/>
            </c:ext>
          </c:extLst>
        </c:ser>
        <c:ser>
          <c:idx val="5"/>
          <c:order val="6"/>
          <c:tx>
            <c:v>Total demand + target headroom (final plan)</c:v>
          </c:tx>
          <c:marker>
            <c:symbol val="none"/>
          </c:marker>
          <c:cat>
            <c:strLit>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Lit>
          </c:cat>
          <c:val>
            <c:numRef>
              <c:f>ESWESX!$G$383:$CI$383</c:f>
              <c:numCache>
                <c:formatCode>0.00</c:formatCode>
                <c:ptCount val="81"/>
                <c:pt idx="0">
                  <c:v>0</c:v>
                </c:pt>
                <c:pt idx="1">
                  <c:v>0</c:v>
                </c:pt>
                <c:pt idx="2">
                  <c:v>413.24407080803525</c:v>
                </c:pt>
                <c:pt idx="3">
                  <c:v>409.60592561746967</c:v>
                </c:pt>
                <c:pt idx="4">
                  <c:v>408.43478223403406</c:v>
                </c:pt>
                <c:pt idx="5">
                  <c:v>406.16990375773446</c:v>
                </c:pt>
                <c:pt idx="6">
                  <c:v>406.6294821754222</c:v>
                </c:pt>
                <c:pt idx="7">
                  <c:v>403.87873949543314</c:v>
                </c:pt>
                <c:pt idx="8">
                  <c:v>402.67456608310954</c:v>
                </c:pt>
                <c:pt idx="9">
                  <c:v>400.83856691660526</c:v>
                </c:pt>
                <c:pt idx="10">
                  <c:v>398.01955213981694</c:v>
                </c:pt>
                <c:pt idx="11">
                  <c:v>393.87284362050843</c:v>
                </c:pt>
                <c:pt idx="12">
                  <c:v>389.55183959091806</c:v>
                </c:pt>
                <c:pt idx="13">
                  <c:v>385.49229764137738</c:v>
                </c:pt>
                <c:pt idx="14">
                  <c:v>380.96555820084336</c:v>
                </c:pt>
                <c:pt idx="15">
                  <c:v>375.95308956710437</c:v>
                </c:pt>
                <c:pt idx="16">
                  <c:v>372.44753049587445</c:v>
                </c:pt>
                <c:pt idx="17">
                  <c:v>368.91803560322154</c:v>
                </c:pt>
                <c:pt idx="18">
                  <c:v>365.57291221637774</c:v>
                </c:pt>
                <c:pt idx="19">
                  <c:v>362.75130532395275</c:v>
                </c:pt>
                <c:pt idx="20">
                  <c:v>360.54712444557282</c:v>
                </c:pt>
                <c:pt idx="21">
                  <c:v>357.06864448731886</c:v>
                </c:pt>
                <c:pt idx="22">
                  <c:v>353.52314558677591</c:v>
                </c:pt>
                <c:pt idx="23">
                  <c:v>351.68284391463641</c:v>
                </c:pt>
                <c:pt idx="24">
                  <c:v>350.81534252073607</c:v>
                </c:pt>
                <c:pt idx="25">
                  <c:v>350.04211223533758</c:v>
                </c:pt>
                <c:pt idx="26">
                  <c:v>351.06642079291561</c:v>
                </c:pt>
                <c:pt idx="27">
                  <c:v>350.0875503417322</c:v>
                </c:pt>
                <c:pt idx="28">
                  <c:v>348.03815099956455</c:v>
                </c:pt>
                <c:pt idx="29">
                  <c:v>348.25987152449255</c:v>
                </c:pt>
                <c:pt idx="30">
                  <c:v>347.77799644424209</c:v>
                </c:pt>
              </c:numCache>
            </c:numRef>
          </c:val>
          <c:smooth val="0"/>
          <c:extLst>
            <c:ext xmlns:c16="http://schemas.microsoft.com/office/drawing/2014/chart" uri="{C3380CC4-5D6E-409C-BE32-E72D297353CC}">
              <c16:uniqueId val="{00000006-C453-4466-8116-ECCC35E8AF3C}"/>
            </c:ext>
          </c:extLst>
        </c:ser>
        <c:dLbls>
          <c:showLegendKey val="0"/>
          <c:showVal val="0"/>
          <c:showCatName val="0"/>
          <c:showSerName val="0"/>
          <c:showPercent val="0"/>
          <c:showBubbleSize val="0"/>
        </c:dLbls>
        <c:marker val="1"/>
        <c:smooth val="0"/>
        <c:axId val="864303240"/>
        <c:axId val="864303632"/>
      </c:lineChart>
      <c:catAx>
        <c:axId val="864303240"/>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en-US"/>
          </a:p>
        </c:txPr>
        <c:crossAx val="864303632"/>
        <c:crosses val="autoZero"/>
        <c:auto val="1"/>
        <c:lblAlgn val="ctr"/>
        <c:lblOffset val="100"/>
        <c:tickLblSkip val="2"/>
        <c:tickMarkSkip val="1"/>
        <c:noMultiLvlLbl val="0"/>
      </c:catAx>
      <c:valAx>
        <c:axId val="864303632"/>
        <c:scaling>
          <c:orientation val="minMax"/>
        </c:scaling>
        <c:delete val="0"/>
        <c:axPos val="l"/>
        <c:majorGridlines>
          <c:spPr>
            <a:ln w="3175">
              <a:solidFill>
                <a:srgbClr val="000000"/>
              </a:solidFill>
              <a:prstDash val="solid"/>
            </a:ln>
          </c:spPr>
        </c:majorGridlines>
        <c:title>
          <c:tx>
            <c:rich>
              <a:bodyPr/>
              <a:lstStyle/>
              <a:p>
                <a:pPr>
                  <a:defRPr sz="1175" b="1" i="0" u="none" strike="noStrike" baseline="0">
                    <a:solidFill>
                      <a:srgbClr val="000000"/>
                    </a:solidFill>
                    <a:latin typeface="Arial"/>
                    <a:ea typeface="Arial"/>
                    <a:cs typeface="Arial"/>
                  </a:defRPr>
                </a:pPr>
                <a:r>
                  <a:rPr lang="en-GB"/>
                  <a:t>Ml/d</a:t>
                </a:r>
              </a:p>
            </c:rich>
          </c:tx>
          <c:layout>
            <c:manualLayout>
              <c:xMode val="edge"/>
              <c:yMode val="edge"/>
              <c:x val="2.0359337875782983E-2"/>
              <c:y val="0.39858528733632054"/>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864303240"/>
        <c:crosses val="autoZero"/>
        <c:crossBetween val="midCat"/>
      </c:valAx>
      <c:spPr>
        <a:solidFill>
          <a:schemeClr val="bg1"/>
        </a:solidFill>
        <a:ln w="12700">
          <a:solidFill>
            <a:srgbClr val="808080"/>
          </a:solidFill>
          <a:prstDash val="solid"/>
        </a:ln>
      </c:spPr>
    </c:plotArea>
    <c:legend>
      <c:legendPos val="b"/>
      <c:legendEntry>
        <c:idx val="0"/>
        <c:txPr>
          <a:bodyPr/>
          <a:lstStyle/>
          <a:p>
            <a:pPr>
              <a:defRPr sz="1000" b="0" i="0" u="none" strike="noStrike" baseline="0">
                <a:solidFill>
                  <a:srgbClr val="000000"/>
                </a:solidFill>
                <a:latin typeface="Arial"/>
                <a:ea typeface="Arial"/>
                <a:cs typeface="Arial"/>
              </a:defRPr>
            </a:pPr>
            <a:endParaRPr lang="en-US"/>
          </a:p>
        </c:txPr>
      </c:legendEntry>
      <c:layout>
        <c:manualLayout>
          <c:xMode val="edge"/>
          <c:yMode val="edge"/>
          <c:x val="0.16452269470774322"/>
          <c:y val="0.82158446545736608"/>
          <c:w val="0.7156398695723647"/>
          <c:h val="0.16402912270077008"/>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0"/>
    <c:dispBlanksAs val="zero"/>
    <c:showDLblsOverMax val="0"/>
  </c:chart>
  <c:spPr>
    <a:solidFill>
      <a:schemeClr val="accent4"/>
    </a:solidFill>
    <a:ln w="3175">
      <a:solidFill>
        <a:srgbClr val="000000"/>
      </a:solidFill>
      <a:prstDash val="solid"/>
    </a:ln>
  </c:spPr>
  <c:txPr>
    <a:bodyPr/>
    <a:lstStyle/>
    <a:p>
      <a:pPr>
        <a:defRPr sz="975" b="0" i="0" u="none" strike="noStrike" baseline="0">
          <a:solidFill>
            <a:srgbClr val="000000"/>
          </a:solidFill>
          <a:latin typeface="Arial"/>
          <a:ea typeface="Arial"/>
          <a:cs typeface="Arial"/>
        </a:defRPr>
      </a:pPr>
      <a:endParaRPr lang="en-US"/>
    </a:p>
  </c:txPr>
  <c:printSettings>
    <c:headerFooter alignWithMargins="0"/>
    <c:pageMargins b="1" l="0.75000000000000622" r="0.75000000000000622" t="1" header="0.5" footer="0.5"/>
    <c:pageSetup paperSize="9" orientation="landscape"/>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75" b="1" i="0" u="none" strike="noStrike" baseline="0">
                <a:solidFill>
                  <a:srgbClr val="000000"/>
                </a:solidFill>
                <a:latin typeface="Arial"/>
                <a:ea typeface="Arial"/>
                <a:cs typeface="Arial"/>
              </a:defRPr>
            </a:pPr>
            <a:r>
              <a:rPr lang="en-GB"/>
              <a:t>DYCP Baseline Water Supply-Demand Balance and Components of Demand</a:t>
            </a:r>
          </a:p>
        </c:rich>
      </c:tx>
      <c:layout>
        <c:manualLayout>
          <c:xMode val="edge"/>
          <c:yMode val="edge"/>
          <c:x val="0.2095809470200265"/>
          <c:y val="2.9013693730272669E-2"/>
        </c:manualLayout>
      </c:layout>
      <c:overlay val="0"/>
      <c:spPr>
        <a:noFill/>
        <a:ln w="25400">
          <a:noFill/>
        </a:ln>
      </c:spPr>
    </c:title>
    <c:autoTitleDeleted val="0"/>
    <c:plotArea>
      <c:layout>
        <c:manualLayout>
          <c:layoutTarget val="inner"/>
          <c:xMode val="edge"/>
          <c:yMode val="edge"/>
          <c:x val="8.5343266856694813E-2"/>
          <c:y val="0.10444884139344435"/>
          <c:w val="0.89146608097046709"/>
          <c:h val="0.55130264550264552"/>
        </c:manualLayout>
      </c:layout>
      <c:areaChart>
        <c:grouping val="stacked"/>
        <c:varyColors val="0"/>
        <c:ser>
          <c:idx val="6"/>
          <c:order val="0"/>
          <c:tx>
            <c:v>Measured household consumption</c:v>
          </c:tx>
          <c:spPr>
            <a:ln w="25400">
              <a:noFill/>
            </a:ln>
          </c:spPr>
          <c:cat>
            <c:strRef>
              <c:f>ESWESX!$G$204:$CI$204</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ESWESX!$G$386:$CI$386</c:f>
              <c:numCache>
                <c:formatCode>0.00</c:formatCode>
                <c:ptCount val="81"/>
                <c:pt idx="0">
                  <c:v>0</c:v>
                </c:pt>
                <c:pt idx="1">
                  <c:v>0</c:v>
                </c:pt>
                <c:pt idx="2">
                  <c:v>187.51615008623548</c:v>
                </c:pt>
                <c:pt idx="3">
                  <c:v>188.33554577058254</c:v>
                </c:pt>
                <c:pt idx="4">
                  <c:v>192.98076655817712</c:v>
                </c:pt>
                <c:pt idx="5">
                  <c:v>197.90253884428881</c:v>
                </c:pt>
                <c:pt idx="6">
                  <c:v>210.76619623030174</c:v>
                </c:pt>
                <c:pt idx="7">
                  <c:v>227.11082604000302</c:v>
                </c:pt>
                <c:pt idx="8">
                  <c:v>237.40909785269716</c:v>
                </c:pt>
                <c:pt idx="9">
                  <c:v>242.43040074990324</c:v>
                </c:pt>
                <c:pt idx="10">
                  <c:v>246.68328883692894</c:v>
                </c:pt>
                <c:pt idx="11">
                  <c:v>249.67695107418442</c:v>
                </c:pt>
                <c:pt idx="12">
                  <c:v>252.45879317584809</c:v>
                </c:pt>
                <c:pt idx="13">
                  <c:v>254.63529190986978</c:v>
                </c:pt>
                <c:pt idx="14">
                  <c:v>256.92024993118758</c:v>
                </c:pt>
                <c:pt idx="15">
                  <c:v>259.11549877833875</c:v>
                </c:pt>
                <c:pt idx="16">
                  <c:v>261.28519300203374</c:v>
                </c:pt>
                <c:pt idx="17">
                  <c:v>263.22449869982688</c:v>
                </c:pt>
                <c:pt idx="18">
                  <c:v>265.35440049819977</c:v>
                </c:pt>
                <c:pt idx="19">
                  <c:v>267.63169015526307</c:v>
                </c:pt>
                <c:pt idx="20">
                  <c:v>269.98156146118771</c:v>
                </c:pt>
                <c:pt idx="21">
                  <c:v>271.96391552461267</c:v>
                </c:pt>
                <c:pt idx="22">
                  <c:v>274.3276100323385</c:v>
                </c:pt>
                <c:pt idx="23">
                  <c:v>276.80332291415209</c:v>
                </c:pt>
                <c:pt idx="24">
                  <c:v>279.38356018756093</c:v>
                </c:pt>
                <c:pt idx="25">
                  <c:v>282.07448756026616</c:v>
                </c:pt>
                <c:pt idx="26">
                  <c:v>284.7944552334028</c:v>
                </c:pt>
                <c:pt idx="27">
                  <c:v>287.60037566229983</c:v>
                </c:pt>
                <c:pt idx="28">
                  <c:v>290.48813702937849</c:v>
                </c:pt>
                <c:pt idx="29">
                  <c:v>293.4526484531836</c:v>
                </c:pt>
                <c:pt idx="30">
                  <c:v>296.43771839515995</c:v>
                </c:pt>
              </c:numCache>
            </c:numRef>
          </c:val>
          <c:extLst>
            <c:ext xmlns:c16="http://schemas.microsoft.com/office/drawing/2014/chart" uri="{C3380CC4-5D6E-409C-BE32-E72D297353CC}">
              <c16:uniqueId val="{00000000-50BD-4032-8BC3-834F3576847A}"/>
            </c:ext>
          </c:extLst>
        </c:ser>
        <c:ser>
          <c:idx val="0"/>
          <c:order val="1"/>
          <c:tx>
            <c:v>Unmeasured household consumption</c:v>
          </c:tx>
          <c:spPr>
            <a:ln w="25400">
              <a:noFill/>
            </a:ln>
          </c:spPr>
          <c:cat>
            <c:strRef>
              <c:f>ESWESX!$G$204:$CI$204</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ESWESX!$G$387:$CI$387</c:f>
              <c:numCache>
                <c:formatCode>0.00</c:formatCode>
                <c:ptCount val="81"/>
                <c:pt idx="0">
                  <c:v>0</c:v>
                </c:pt>
                <c:pt idx="1">
                  <c:v>0</c:v>
                </c:pt>
                <c:pt idx="2">
                  <c:v>193.29541803641143</c:v>
                </c:pt>
                <c:pt idx="3">
                  <c:v>185.73396013764904</c:v>
                </c:pt>
                <c:pt idx="4">
                  <c:v>178.27438726853077</c:v>
                </c:pt>
                <c:pt idx="5">
                  <c:v>168.82275313673597</c:v>
                </c:pt>
                <c:pt idx="6">
                  <c:v>153.23275355175829</c:v>
                </c:pt>
                <c:pt idx="7">
                  <c:v>135.03725433127519</c:v>
                </c:pt>
                <c:pt idx="8">
                  <c:v>125.85637365287836</c:v>
                </c:pt>
                <c:pt idx="9">
                  <c:v>122.67745265836859</c:v>
                </c:pt>
                <c:pt idx="10">
                  <c:v>119.50171500259682</c:v>
                </c:pt>
                <c:pt idx="11">
                  <c:v>116.91014227595342</c:v>
                </c:pt>
                <c:pt idx="12">
                  <c:v>114.87845250581485</c:v>
                </c:pt>
                <c:pt idx="13">
                  <c:v>112.87145083597525</c:v>
                </c:pt>
                <c:pt idx="14">
                  <c:v>110.87001783677228</c:v>
                </c:pt>
                <c:pt idx="15">
                  <c:v>108.90256767435245</c:v>
                </c:pt>
                <c:pt idx="16">
                  <c:v>107.38190900537046</c:v>
                </c:pt>
                <c:pt idx="17">
                  <c:v>106.31577556343595</c:v>
                </c:pt>
                <c:pt idx="18">
                  <c:v>105.26063669544966</c:v>
                </c:pt>
                <c:pt idx="19">
                  <c:v>104.23485062369079</c:v>
                </c:pt>
                <c:pt idx="20">
                  <c:v>103.2118950464737</c:v>
                </c:pt>
                <c:pt idx="21">
                  <c:v>102.2081925253689</c:v>
                </c:pt>
                <c:pt idx="22">
                  <c:v>101.21422158652889</c:v>
                </c:pt>
                <c:pt idx="23">
                  <c:v>100.25580105107638</c:v>
                </c:pt>
                <c:pt idx="24">
                  <c:v>99.30618964819547</c:v>
                </c:pt>
                <c:pt idx="25">
                  <c:v>98.374026622558674</c:v>
                </c:pt>
                <c:pt idx="26">
                  <c:v>97.450313446206437</c:v>
                </c:pt>
                <c:pt idx="27">
                  <c:v>96.560980514473727</c:v>
                </c:pt>
                <c:pt idx="28">
                  <c:v>95.679202283991074</c:v>
                </c:pt>
                <c:pt idx="29">
                  <c:v>94.81356758142725</c:v>
                </c:pt>
                <c:pt idx="30">
                  <c:v>93.954972779723249</c:v>
                </c:pt>
              </c:numCache>
            </c:numRef>
          </c:val>
          <c:extLst>
            <c:ext xmlns:c16="http://schemas.microsoft.com/office/drawing/2014/chart" uri="{C3380CC4-5D6E-409C-BE32-E72D297353CC}">
              <c16:uniqueId val="{00000001-50BD-4032-8BC3-834F3576847A}"/>
            </c:ext>
          </c:extLst>
        </c:ser>
        <c:ser>
          <c:idx val="1"/>
          <c:order val="2"/>
          <c:tx>
            <c:v>Non-household consumption</c:v>
          </c:tx>
          <c:spPr>
            <a:ln w="25400">
              <a:noFill/>
            </a:ln>
          </c:spPr>
          <c:cat>
            <c:strRef>
              <c:f>ESWESX!$G$204:$CI$204</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ESWESX!$G$388:$CI$388</c:f>
              <c:numCache>
                <c:formatCode>0.00</c:formatCode>
                <c:ptCount val="81"/>
                <c:pt idx="0">
                  <c:v>0</c:v>
                </c:pt>
                <c:pt idx="1">
                  <c:v>0</c:v>
                </c:pt>
                <c:pt idx="2">
                  <c:v>52.561438366108199</c:v>
                </c:pt>
                <c:pt idx="3">
                  <c:v>51.678562345371311</c:v>
                </c:pt>
                <c:pt idx="4">
                  <c:v>54.173866431900862</c:v>
                </c:pt>
                <c:pt idx="5">
                  <c:v>56.6264264596403</c:v>
                </c:pt>
                <c:pt idx="6">
                  <c:v>61.133204926460763</c:v>
                </c:pt>
                <c:pt idx="7">
                  <c:v>61.943737852479778</c:v>
                </c:pt>
                <c:pt idx="8">
                  <c:v>61.130396865425297</c:v>
                </c:pt>
                <c:pt idx="9">
                  <c:v>62.523197733923126</c:v>
                </c:pt>
                <c:pt idx="10">
                  <c:v>63.392397600620718</c:v>
                </c:pt>
                <c:pt idx="11">
                  <c:v>63.85004743184659</c:v>
                </c:pt>
                <c:pt idx="12">
                  <c:v>63.845740071455424</c:v>
                </c:pt>
                <c:pt idx="13">
                  <c:v>64.185377863488213</c:v>
                </c:pt>
                <c:pt idx="14">
                  <c:v>64.362999218545241</c:v>
                </c:pt>
                <c:pt idx="15">
                  <c:v>64.222532346587457</c:v>
                </c:pt>
                <c:pt idx="16">
                  <c:v>63.945816719446206</c:v>
                </c:pt>
                <c:pt idx="17">
                  <c:v>63.331207914889895</c:v>
                </c:pt>
                <c:pt idx="18">
                  <c:v>62.760634707598939</c:v>
                </c:pt>
                <c:pt idx="19">
                  <c:v>62.234354807668552</c:v>
                </c:pt>
                <c:pt idx="20">
                  <c:v>62.222651537243053</c:v>
                </c:pt>
                <c:pt idx="21">
                  <c:v>62.210885692417939</c:v>
                </c:pt>
                <c:pt idx="22">
                  <c:v>62.197453937950151</c:v>
                </c:pt>
                <c:pt idx="23">
                  <c:v>62.183147651677345</c:v>
                </c:pt>
                <c:pt idx="24">
                  <c:v>62.169284492700449</c:v>
                </c:pt>
                <c:pt idx="25">
                  <c:v>62.15800361438194</c:v>
                </c:pt>
                <c:pt idx="26">
                  <c:v>62.148383839637418</c:v>
                </c:pt>
                <c:pt idx="27">
                  <c:v>62.139415288897219</c:v>
                </c:pt>
                <c:pt idx="28">
                  <c:v>62.131012574229281</c:v>
                </c:pt>
                <c:pt idx="29">
                  <c:v>62.123526001772142</c:v>
                </c:pt>
                <c:pt idx="30">
                  <c:v>62.116378202647809</c:v>
                </c:pt>
              </c:numCache>
            </c:numRef>
          </c:val>
          <c:extLst>
            <c:ext xmlns:c16="http://schemas.microsoft.com/office/drawing/2014/chart" uri="{C3380CC4-5D6E-409C-BE32-E72D297353CC}">
              <c16:uniqueId val="{00000002-50BD-4032-8BC3-834F3576847A}"/>
            </c:ext>
          </c:extLst>
        </c:ser>
        <c:ser>
          <c:idx val="2"/>
          <c:order val="3"/>
          <c:tx>
            <c:v>Total leakage</c:v>
          </c:tx>
          <c:spPr>
            <a:ln w="25400">
              <a:noFill/>
            </a:ln>
          </c:spPr>
          <c:cat>
            <c:strRef>
              <c:f>ESWESX!$G$204:$CI$204</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ESWESX!$G$389:$CI$389</c:f>
              <c:numCache>
                <c:formatCode>0.00</c:formatCode>
                <c:ptCount val="81"/>
                <c:pt idx="0">
                  <c:v>0</c:v>
                </c:pt>
                <c:pt idx="1">
                  <c:v>0</c:v>
                </c:pt>
                <c:pt idx="2">
                  <c:v>53.344869343162344</c:v>
                </c:pt>
                <c:pt idx="3">
                  <c:v>52.857053199999996</c:v>
                </c:pt>
                <c:pt idx="4">
                  <c:v>50.790017599999985</c:v>
                </c:pt>
                <c:pt idx="5">
                  <c:v>48.722981999999995</c:v>
                </c:pt>
                <c:pt idx="6">
                  <c:v>48.722982000000002</c:v>
                </c:pt>
                <c:pt idx="7">
                  <c:v>48.722982000000002</c:v>
                </c:pt>
                <c:pt idx="8">
                  <c:v>48.722982000000002</c:v>
                </c:pt>
                <c:pt idx="9">
                  <c:v>48.722982000000002</c:v>
                </c:pt>
                <c:pt idx="10">
                  <c:v>48.722982000000002</c:v>
                </c:pt>
                <c:pt idx="11">
                  <c:v>48.722982000000002</c:v>
                </c:pt>
                <c:pt idx="12">
                  <c:v>48.722982000000002</c:v>
                </c:pt>
                <c:pt idx="13">
                  <c:v>48.722982000000002</c:v>
                </c:pt>
                <c:pt idx="14">
                  <c:v>48.722982000000002</c:v>
                </c:pt>
                <c:pt idx="15">
                  <c:v>48.722981999999995</c:v>
                </c:pt>
                <c:pt idx="16">
                  <c:v>48.722982000000002</c:v>
                </c:pt>
                <c:pt idx="17">
                  <c:v>48.722982000000002</c:v>
                </c:pt>
                <c:pt idx="18">
                  <c:v>48.722982000000002</c:v>
                </c:pt>
                <c:pt idx="19">
                  <c:v>48.722981999999995</c:v>
                </c:pt>
                <c:pt idx="20">
                  <c:v>48.722982000000002</c:v>
                </c:pt>
                <c:pt idx="21">
                  <c:v>48.722982000000002</c:v>
                </c:pt>
                <c:pt idx="22">
                  <c:v>48.722982000000002</c:v>
                </c:pt>
                <c:pt idx="23">
                  <c:v>48.722982000000002</c:v>
                </c:pt>
                <c:pt idx="24">
                  <c:v>48.722982000000002</c:v>
                </c:pt>
                <c:pt idx="25">
                  <c:v>48.722982000000002</c:v>
                </c:pt>
                <c:pt idx="26">
                  <c:v>48.722982000000002</c:v>
                </c:pt>
                <c:pt idx="27">
                  <c:v>48.722982000000002</c:v>
                </c:pt>
                <c:pt idx="28">
                  <c:v>48.722982000000002</c:v>
                </c:pt>
                <c:pt idx="29">
                  <c:v>48.722982000000002</c:v>
                </c:pt>
                <c:pt idx="30">
                  <c:v>48.722982000000002</c:v>
                </c:pt>
              </c:numCache>
            </c:numRef>
          </c:val>
          <c:extLst>
            <c:ext xmlns:c16="http://schemas.microsoft.com/office/drawing/2014/chart" uri="{C3380CC4-5D6E-409C-BE32-E72D297353CC}">
              <c16:uniqueId val="{00000003-50BD-4032-8BC3-834F3576847A}"/>
            </c:ext>
          </c:extLst>
        </c:ser>
        <c:ser>
          <c:idx val="3"/>
          <c:order val="4"/>
          <c:tx>
            <c:v>Other components of demand</c:v>
          </c:tx>
          <c:spPr>
            <a:ln w="25400">
              <a:noFill/>
            </a:ln>
          </c:spPr>
          <c:cat>
            <c:strRef>
              <c:f>ESWESX!$G$204:$CI$204</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ESWESX!$G$390:$CI$390</c:f>
              <c:numCache>
                <c:formatCode>0.00</c:formatCode>
                <c:ptCount val="81"/>
                <c:pt idx="0">
                  <c:v>0</c:v>
                </c:pt>
                <c:pt idx="1">
                  <c:v>0</c:v>
                </c:pt>
                <c:pt idx="2">
                  <c:v>9.797908042136612</c:v>
                </c:pt>
                <c:pt idx="3">
                  <c:v>9.7984853079884147</c:v>
                </c:pt>
                <c:pt idx="4">
                  <c:v>9.7911104284467569</c:v>
                </c:pt>
                <c:pt idx="5">
                  <c:v>9.7829638246856234</c:v>
                </c:pt>
                <c:pt idx="6">
                  <c:v>9.8103153561885392</c:v>
                </c:pt>
                <c:pt idx="7">
                  <c:v>9.801637268851664</c:v>
                </c:pt>
                <c:pt idx="8">
                  <c:v>9.7929251219247817</c:v>
                </c:pt>
                <c:pt idx="9">
                  <c:v>9.7846731634433013</c:v>
                </c:pt>
                <c:pt idx="10">
                  <c:v>9.7782060136802897</c:v>
                </c:pt>
                <c:pt idx="11">
                  <c:v>9.7726742215031095</c:v>
                </c:pt>
                <c:pt idx="12">
                  <c:v>9.767728779018455</c:v>
                </c:pt>
                <c:pt idx="13">
                  <c:v>9.7632384336921518</c:v>
                </c:pt>
                <c:pt idx="14">
                  <c:v>9.7594110937794198</c:v>
                </c:pt>
                <c:pt idx="15">
                  <c:v>9.7550737455943022</c:v>
                </c:pt>
                <c:pt idx="16">
                  <c:v>9.7506681610083206</c:v>
                </c:pt>
                <c:pt idx="17">
                  <c:v>9.746131159198228</c:v>
                </c:pt>
                <c:pt idx="18">
                  <c:v>9.741494964535832</c:v>
                </c:pt>
                <c:pt idx="19">
                  <c:v>9.73676877850545</c:v>
                </c:pt>
                <c:pt idx="20">
                  <c:v>9.7319518151697366</c:v>
                </c:pt>
                <c:pt idx="21">
                  <c:v>9.7270469131145205</c:v>
                </c:pt>
                <c:pt idx="22">
                  <c:v>9.7220472113182836</c:v>
                </c:pt>
                <c:pt idx="23">
                  <c:v>9.7169545130967094</c:v>
                </c:pt>
                <c:pt idx="24">
                  <c:v>9.7117693436270542</c:v>
                </c:pt>
                <c:pt idx="25">
                  <c:v>9.7064910553670529</c:v>
                </c:pt>
                <c:pt idx="26">
                  <c:v>9.7011252905577976</c:v>
                </c:pt>
                <c:pt idx="27">
                  <c:v>9.6956704815694934</c:v>
                </c:pt>
                <c:pt idx="28">
                  <c:v>9.690127429133554</c:v>
                </c:pt>
                <c:pt idx="29">
                  <c:v>9.68449713001894</c:v>
                </c:pt>
                <c:pt idx="30">
                  <c:v>9.678781228535513</c:v>
                </c:pt>
              </c:numCache>
            </c:numRef>
          </c:val>
          <c:extLst>
            <c:ext xmlns:c16="http://schemas.microsoft.com/office/drawing/2014/chart" uri="{C3380CC4-5D6E-409C-BE32-E72D297353CC}">
              <c16:uniqueId val="{00000004-50BD-4032-8BC3-834F3576847A}"/>
            </c:ext>
          </c:extLst>
        </c:ser>
        <c:dLbls>
          <c:showLegendKey val="0"/>
          <c:showVal val="0"/>
          <c:showCatName val="0"/>
          <c:showSerName val="0"/>
          <c:showPercent val="0"/>
          <c:showBubbleSize val="0"/>
        </c:dLbls>
        <c:axId val="864304416"/>
        <c:axId val="864304808"/>
      </c:areaChart>
      <c:lineChart>
        <c:grouping val="standard"/>
        <c:varyColors val="0"/>
        <c:ser>
          <c:idx val="4"/>
          <c:order val="5"/>
          <c:tx>
            <c:v>Total water available for use</c:v>
          </c:tx>
          <c:marker>
            <c:symbol val="none"/>
          </c:marker>
          <c:cat>
            <c:strLit>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Lit>
          </c:cat>
          <c:val>
            <c:numRef>
              <c:f>ESWESX!$G$391:$CI$391</c:f>
              <c:numCache>
                <c:formatCode>0.00</c:formatCode>
                <c:ptCount val="81"/>
                <c:pt idx="0">
                  <c:v>0</c:v>
                </c:pt>
                <c:pt idx="1">
                  <c:v>0</c:v>
                </c:pt>
                <c:pt idx="2">
                  <c:v>486.31576232105431</c:v>
                </c:pt>
                <c:pt idx="3">
                  <c:v>486.31576232105431</c:v>
                </c:pt>
                <c:pt idx="4">
                  <c:v>486.31576232105431</c:v>
                </c:pt>
                <c:pt idx="5">
                  <c:v>485.97775074561082</c:v>
                </c:pt>
                <c:pt idx="6">
                  <c:v>485.64159880334489</c:v>
                </c:pt>
                <c:pt idx="7">
                  <c:v>483.82125374308856</c:v>
                </c:pt>
                <c:pt idx="8">
                  <c:v>483.49068070035543</c:v>
                </c:pt>
                <c:pt idx="9">
                  <c:v>483.15941029518069</c:v>
                </c:pt>
                <c:pt idx="10">
                  <c:v>482.82953461488921</c:v>
                </c:pt>
                <c:pt idx="11">
                  <c:v>477.50012384289209</c:v>
                </c:pt>
                <c:pt idx="12">
                  <c:v>477.16931834601178</c:v>
                </c:pt>
                <c:pt idx="13">
                  <c:v>476.8406049364562</c:v>
                </c:pt>
                <c:pt idx="14">
                  <c:v>476.51003189372312</c:v>
                </c:pt>
                <c:pt idx="15">
                  <c:v>478.01003189372312</c:v>
                </c:pt>
                <c:pt idx="16">
                  <c:v>498.0123564351951</c:v>
                </c:pt>
                <c:pt idx="17">
                  <c:v>498.0123564351951</c:v>
                </c:pt>
                <c:pt idx="18">
                  <c:v>498.0123564351951</c:v>
                </c:pt>
                <c:pt idx="19">
                  <c:v>498.0123564351951</c:v>
                </c:pt>
                <c:pt idx="20">
                  <c:v>498.0123564351951</c:v>
                </c:pt>
                <c:pt idx="21">
                  <c:v>496.01468097666714</c:v>
                </c:pt>
                <c:pt idx="22">
                  <c:v>496.01468097666714</c:v>
                </c:pt>
                <c:pt idx="23">
                  <c:v>496.01468097666714</c:v>
                </c:pt>
                <c:pt idx="24">
                  <c:v>496.01468097666714</c:v>
                </c:pt>
                <c:pt idx="25">
                  <c:v>496.01468097666714</c:v>
                </c:pt>
                <c:pt idx="26">
                  <c:v>496.01468097666714</c:v>
                </c:pt>
                <c:pt idx="27">
                  <c:v>496.01468097666714</c:v>
                </c:pt>
                <c:pt idx="28">
                  <c:v>496.01700551813911</c:v>
                </c:pt>
                <c:pt idx="29">
                  <c:v>496.01700551813911</c:v>
                </c:pt>
                <c:pt idx="30">
                  <c:v>496.01700551813911</c:v>
                </c:pt>
              </c:numCache>
            </c:numRef>
          </c:val>
          <c:smooth val="0"/>
          <c:extLst>
            <c:ext xmlns:c16="http://schemas.microsoft.com/office/drawing/2014/chart" uri="{C3380CC4-5D6E-409C-BE32-E72D297353CC}">
              <c16:uniqueId val="{00000005-50BD-4032-8BC3-834F3576847A}"/>
            </c:ext>
          </c:extLst>
        </c:ser>
        <c:ser>
          <c:idx val="5"/>
          <c:order val="6"/>
          <c:tx>
            <c:v>Total demand + target headroom (baseline)</c:v>
          </c:tx>
          <c:marker>
            <c:symbol val="none"/>
          </c:marker>
          <c:cat>
            <c:strLit>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Lit>
          </c:cat>
          <c:val>
            <c:numRef>
              <c:f>ESWESX!$G$392:$CI$392</c:f>
              <c:numCache>
                <c:formatCode>0.00</c:formatCode>
                <c:ptCount val="81"/>
                <c:pt idx="0">
                  <c:v>0</c:v>
                </c:pt>
                <c:pt idx="1">
                  <c:v>0</c:v>
                </c:pt>
                <c:pt idx="2">
                  <c:v>503.14983665695337</c:v>
                </c:pt>
                <c:pt idx="3">
                  <c:v>497.59427503920034</c:v>
                </c:pt>
                <c:pt idx="4">
                  <c:v>495.3357952175266</c:v>
                </c:pt>
                <c:pt idx="5">
                  <c:v>491.28255545134982</c:v>
                </c:pt>
                <c:pt idx="6">
                  <c:v>493.46249265712845</c:v>
                </c:pt>
                <c:pt idx="7">
                  <c:v>492.07252161721038</c:v>
                </c:pt>
                <c:pt idx="8">
                  <c:v>492.09679172958425</c:v>
                </c:pt>
                <c:pt idx="9">
                  <c:v>495.075669528189</c:v>
                </c:pt>
                <c:pt idx="10">
                  <c:v>496.81718431021147</c:v>
                </c:pt>
                <c:pt idx="11">
                  <c:v>497.48742009104149</c:v>
                </c:pt>
                <c:pt idx="12">
                  <c:v>497.79160088880178</c:v>
                </c:pt>
                <c:pt idx="13">
                  <c:v>498.18040594064081</c:v>
                </c:pt>
                <c:pt idx="14">
                  <c:v>498.64528031509155</c:v>
                </c:pt>
                <c:pt idx="15">
                  <c:v>498.56396848370673</c:v>
                </c:pt>
                <c:pt idx="16">
                  <c:v>498.92872656501544</c:v>
                </c:pt>
                <c:pt idx="17">
                  <c:v>499.21230368993281</c:v>
                </c:pt>
                <c:pt idx="18">
                  <c:v>499.78653380777513</c:v>
                </c:pt>
                <c:pt idx="19">
                  <c:v>500.56785353451488</c:v>
                </c:pt>
                <c:pt idx="20">
                  <c:v>502.00532803558264</c:v>
                </c:pt>
                <c:pt idx="21">
                  <c:v>503.03473839227826</c:v>
                </c:pt>
                <c:pt idx="22">
                  <c:v>504.58209996346437</c:v>
                </c:pt>
                <c:pt idx="23">
                  <c:v>506.40969115048824</c:v>
                </c:pt>
                <c:pt idx="24">
                  <c:v>508.34372192225732</c:v>
                </c:pt>
                <c:pt idx="25">
                  <c:v>510.29516349952956</c:v>
                </c:pt>
                <c:pt idx="26">
                  <c:v>512.44109664360064</c:v>
                </c:pt>
                <c:pt idx="27">
                  <c:v>514.63475308774343</c:v>
                </c:pt>
                <c:pt idx="28">
                  <c:v>516.89406384170798</c:v>
                </c:pt>
                <c:pt idx="29">
                  <c:v>519.26771009728418</c:v>
                </c:pt>
                <c:pt idx="30">
                  <c:v>521.73496268682823</c:v>
                </c:pt>
              </c:numCache>
            </c:numRef>
          </c:val>
          <c:smooth val="0"/>
          <c:extLst>
            <c:ext xmlns:c16="http://schemas.microsoft.com/office/drawing/2014/chart" uri="{C3380CC4-5D6E-409C-BE32-E72D297353CC}">
              <c16:uniqueId val="{00000006-50BD-4032-8BC3-834F3576847A}"/>
            </c:ext>
          </c:extLst>
        </c:ser>
        <c:dLbls>
          <c:showLegendKey val="0"/>
          <c:showVal val="0"/>
          <c:showCatName val="0"/>
          <c:showSerName val="0"/>
          <c:showPercent val="0"/>
          <c:showBubbleSize val="0"/>
        </c:dLbls>
        <c:marker val="1"/>
        <c:smooth val="0"/>
        <c:axId val="864304416"/>
        <c:axId val="864304808"/>
      </c:lineChart>
      <c:catAx>
        <c:axId val="864304416"/>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en-US"/>
          </a:p>
        </c:txPr>
        <c:crossAx val="864304808"/>
        <c:crosses val="autoZero"/>
        <c:auto val="1"/>
        <c:lblAlgn val="ctr"/>
        <c:lblOffset val="100"/>
        <c:tickLblSkip val="2"/>
        <c:tickMarkSkip val="1"/>
        <c:noMultiLvlLbl val="0"/>
      </c:catAx>
      <c:valAx>
        <c:axId val="864304808"/>
        <c:scaling>
          <c:orientation val="minMax"/>
        </c:scaling>
        <c:delete val="0"/>
        <c:axPos val="l"/>
        <c:majorGridlines>
          <c:spPr>
            <a:ln w="3175">
              <a:solidFill>
                <a:srgbClr val="000000"/>
              </a:solidFill>
              <a:prstDash val="solid"/>
            </a:ln>
          </c:spPr>
        </c:majorGridlines>
        <c:title>
          <c:tx>
            <c:rich>
              <a:bodyPr/>
              <a:lstStyle/>
              <a:p>
                <a:pPr>
                  <a:defRPr sz="1175" b="1" i="0" u="none" strike="noStrike" baseline="0">
                    <a:solidFill>
                      <a:srgbClr val="000000"/>
                    </a:solidFill>
                    <a:latin typeface="Arial"/>
                    <a:ea typeface="Arial"/>
                    <a:cs typeface="Arial"/>
                  </a:defRPr>
                </a:pPr>
                <a:r>
                  <a:rPr lang="en-GB"/>
                  <a:t>Ml/d</a:t>
                </a:r>
              </a:p>
            </c:rich>
          </c:tx>
          <c:layout>
            <c:manualLayout>
              <c:xMode val="edge"/>
              <c:yMode val="edge"/>
              <c:x val="2.0359337875782983E-2"/>
              <c:y val="0.39858528733632054"/>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864304416"/>
        <c:crosses val="autoZero"/>
        <c:crossBetween val="midCat"/>
      </c:valAx>
      <c:spPr>
        <a:solidFill>
          <a:schemeClr val="bg1"/>
        </a:solidFill>
        <a:ln w="12700">
          <a:solidFill>
            <a:srgbClr val="808080"/>
          </a:solidFill>
          <a:prstDash val="solid"/>
        </a:ln>
      </c:spPr>
    </c:plotArea>
    <c:legend>
      <c:legendPos val="b"/>
      <c:legendEntry>
        <c:idx val="0"/>
        <c:txPr>
          <a:bodyPr/>
          <a:lstStyle/>
          <a:p>
            <a:pPr>
              <a:defRPr sz="1000" b="0" i="0" u="none" strike="noStrike" baseline="0">
                <a:solidFill>
                  <a:srgbClr val="000000"/>
                </a:solidFill>
                <a:latin typeface="Arial"/>
                <a:ea typeface="Arial"/>
                <a:cs typeface="Arial"/>
              </a:defRPr>
            </a:pPr>
            <a:endParaRPr lang="en-US"/>
          </a:p>
        </c:txPr>
      </c:legendEntry>
      <c:layout>
        <c:manualLayout>
          <c:xMode val="edge"/>
          <c:yMode val="edge"/>
          <c:x val="0.16452269470774322"/>
          <c:y val="0.82158446545736608"/>
          <c:w val="0.7156398695723647"/>
          <c:h val="0.16402912270077008"/>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0"/>
    <c:dispBlanksAs val="zero"/>
    <c:showDLblsOverMax val="0"/>
  </c:chart>
  <c:spPr>
    <a:solidFill>
      <a:schemeClr val="accent5"/>
    </a:solidFill>
    <a:ln w="3175">
      <a:solidFill>
        <a:srgbClr val="000000"/>
      </a:solidFill>
      <a:prstDash val="solid"/>
    </a:ln>
  </c:spPr>
  <c:txPr>
    <a:bodyPr/>
    <a:lstStyle/>
    <a:p>
      <a:pPr>
        <a:defRPr sz="975" b="0" i="0" u="none" strike="noStrike" baseline="0">
          <a:solidFill>
            <a:srgbClr val="000000"/>
          </a:solidFill>
          <a:latin typeface="Arial"/>
          <a:ea typeface="Arial"/>
          <a:cs typeface="Arial"/>
        </a:defRPr>
      </a:pPr>
      <a:endParaRPr lang="en-US"/>
    </a:p>
  </c:txPr>
  <c:printSettings>
    <c:headerFooter alignWithMargins="0"/>
    <c:pageMargins b="1" l="0.75000000000000622" r="0.75000000000000622" t="1" header="0.5" footer="0.5"/>
    <c:pageSetup paperSize="9" orientation="landscape"/>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75" b="1" i="0" u="none" strike="noStrike" baseline="0">
                <a:solidFill>
                  <a:srgbClr val="000000"/>
                </a:solidFill>
                <a:latin typeface="Arial"/>
                <a:ea typeface="Arial"/>
                <a:cs typeface="Arial"/>
              </a:defRPr>
            </a:pPr>
            <a:r>
              <a:rPr lang="en-GB"/>
              <a:t>DYCP Final Plan Water Supply-Demand Balance and Components of Demand</a:t>
            </a:r>
          </a:p>
        </c:rich>
      </c:tx>
      <c:layout>
        <c:manualLayout>
          <c:xMode val="edge"/>
          <c:yMode val="edge"/>
          <c:x val="0.2095809470200265"/>
          <c:y val="2.9013693730272669E-2"/>
        </c:manualLayout>
      </c:layout>
      <c:overlay val="0"/>
      <c:spPr>
        <a:noFill/>
        <a:ln w="25400">
          <a:noFill/>
        </a:ln>
      </c:spPr>
    </c:title>
    <c:autoTitleDeleted val="0"/>
    <c:plotArea>
      <c:layout>
        <c:manualLayout>
          <c:layoutTarget val="inner"/>
          <c:xMode val="edge"/>
          <c:yMode val="edge"/>
          <c:x val="8.5343266856694813E-2"/>
          <c:y val="0.10444884139344435"/>
          <c:w val="0.89146608097046709"/>
          <c:h val="0.55130264550264552"/>
        </c:manualLayout>
      </c:layout>
      <c:areaChart>
        <c:grouping val="stacked"/>
        <c:varyColors val="0"/>
        <c:ser>
          <c:idx val="6"/>
          <c:order val="0"/>
          <c:tx>
            <c:v>Measured household consumption</c:v>
          </c:tx>
          <c:spPr>
            <a:ln w="25400">
              <a:noFill/>
            </a:ln>
          </c:spPr>
          <c:cat>
            <c:strRef>
              <c:f>ESWESX!$G$204:$CI$204</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ESWESX!$G$395:$CI$395</c:f>
              <c:numCache>
                <c:formatCode>0.00</c:formatCode>
                <c:ptCount val="81"/>
                <c:pt idx="0">
                  <c:v>0</c:v>
                </c:pt>
                <c:pt idx="1">
                  <c:v>0</c:v>
                </c:pt>
                <c:pt idx="2">
                  <c:v>187.51615008623548</c:v>
                </c:pt>
                <c:pt idx="3">
                  <c:v>188.33554577058254</c:v>
                </c:pt>
                <c:pt idx="4">
                  <c:v>192.98076655817712</c:v>
                </c:pt>
                <c:pt idx="5">
                  <c:v>197.90253884428881</c:v>
                </c:pt>
                <c:pt idx="6">
                  <c:v>217.67661479258064</c:v>
                </c:pt>
                <c:pt idx="7">
                  <c:v>247.24718688401458</c:v>
                </c:pt>
                <c:pt idx="8">
                  <c:v>263.96719567502998</c:v>
                </c:pt>
                <c:pt idx="9">
                  <c:v>272.77349493473406</c:v>
                </c:pt>
                <c:pt idx="10">
                  <c:v>281.46640402359407</c:v>
                </c:pt>
                <c:pt idx="11">
                  <c:v>288.27320144584053</c:v>
                </c:pt>
                <c:pt idx="12">
                  <c:v>294.05723631982568</c:v>
                </c:pt>
                <c:pt idx="13">
                  <c:v>299.14245248451857</c:v>
                </c:pt>
                <c:pt idx="14">
                  <c:v>303.41088263509647</c:v>
                </c:pt>
                <c:pt idx="15">
                  <c:v>307.54748960982965</c:v>
                </c:pt>
                <c:pt idx="16">
                  <c:v>309.34971750461591</c:v>
                </c:pt>
                <c:pt idx="17">
                  <c:v>307.33195322123419</c:v>
                </c:pt>
                <c:pt idx="18">
                  <c:v>305.34135301590504</c:v>
                </c:pt>
                <c:pt idx="19">
                  <c:v>303.51699032730676</c:v>
                </c:pt>
                <c:pt idx="20">
                  <c:v>301.76190431663809</c:v>
                </c:pt>
                <c:pt idx="21">
                  <c:v>299.76378863880547</c:v>
                </c:pt>
                <c:pt idx="22">
                  <c:v>298.13045812252113</c:v>
                </c:pt>
                <c:pt idx="23">
                  <c:v>296.635947835872</c:v>
                </c:pt>
                <c:pt idx="24">
                  <c:v>296.20335805056231</c:v>
                </c:pt>
                <c:pt idx="25">
                  <c:v>295.87586642495978</c:v>
                </c:pt>
                <c:pt idx="26">
                  <c:v>297.42746930895697</c:v>
                </c:pt>
                <c:pt idx="27">
                  <c:v>299.09332485142983</c:v>
                </c:pt>
                <c:pt idx="28">
                  <c:v>300.8273219644617</c:v>
                </c:pt>
                <c:pt idx="29">
                  <c:v>302.64022168115793</c:v>
                </c:pt>
                <c:pt idx="30">
                  <c:v>304.47871287159177</c:v>
                </c:pt>
              </c:numCache>
            </c:numRef>
          </c:val>
          <c:extLst>
            <c:ext xmlns:c16="http://schemas.microsoft.com/office/drawing/2014/chart" uri="{C3380CC4-5D6E-409C-BE32-E72D297353CC}">
              <c16:uniqueId val="{00000000-BC39-40BA-943F-84928780C8B8}"/>
            </c:ext>
          </c:extLst>
        </c:ser>
        <c:ser>
          <c:idx val="0"/>
          <c:order val="1"/>
          <c:tx>
            <c:v>Unmeasured household consumption</c:v>
          </c:tx>
          <c:spPr>
            <a:ln w="25400">
              <a:noFill/>
            </a:ln>
          </c:spPr>
          <c:cat>
            <c:strRef>
              <c:f>ESWESX!$G$204:$CI$204</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ESWESX!$G$396:$CI$396</c:f>
              <c:numCache>
                <c:formatCode>0.00</c:formatCode>
                <c:ptCount val="81"/>
                <c:pt idx="0">
                  <c:v>0</c:v>
                </c:pt>
                <c:pt idx="1">
                  <c:v>0</c:v>
                </c:pt>
                <c:pt idx="2">
                  <c:v>193.29541803641143</c:v>
                </c:pt>
                <c:pt idx="3">
                  <c:v>185.73396013764904</c:v>
                </c:pt>
                <c:pt idx="4">
                  <c:v>178.27438726853077</c:v>
                </c:pt>
                <c:pt idx="5">
                  <c:v>168.82275313673597</c:v>
                </c:pt>
                <c:pt idx="6">
                  <c:v>142.49900274888373</c:v>
                </c:pt>
                <c:pt idx="7">
                  <c:v>107.40519221611032</c:v>
                </c:pt>
                <c:pt idx="8">
                  <c:v>87.353743513659978</c:v>
                </c:pt>
                <c:pt idx="9">
                  <c:v>75.329630787832713</c:v>
                </c:pt>
                <c:pt idx="10">
                  <c:v>62.600303182293615</c:v>
                </c:pt>
                <c:pt idx="11">
                  <c:v>51.295529328873542</c:v>
                </c:pt>
                <c:pt idx="12">
                  <c:v>41.425502408169613</c:v>
                </c:pt>
                <c:pt idx="13">
                  <c:v>31.80035658213788</c:v>
                </c:pt>
                <c:pt idx="14">
                  <c:v>22.340510683668231</c:v>
                </c:pt>
                <c:pt idx="15">
                  <c:v>13.118517672283378</c:v>
                </c:pt>
                <c:pt idx="16">
                  <c:v>8.4725591632842772</c:v>
                </c:pt>
                <c:pt idx="17">
                  <c:v>8.3191840603591523</c:v>
                </c:pt>
                <c:pt idx="18">
                  <c:v>8.1674859431017204</c:v>
                </c:pt>
                <c:pt idx="19">
                  <c:v>8.0190446113098677</c:v>
                </c:pt>
                <c:pt idx="20">
                  <c:v>7.8714823674732211</c:v>
                </c:pt>
                <c:pt idx="21">
                  <c:v>7.7278259685823194</c:v>
                </c:pt>
                <c:pt idx="22">
                  <c:v>7.5856282362747169</c:v>
                </c:pt>
                <c:pt idx="23">
                  <c:v>7.4471667249054603</c:v>
                </c:pt>
                <c:pt idx="24">
                  <c:v>7.3359172107778781</c:v>
                </c:pt>
                <c:pt idx="25">
                  <c:v>7.2263168322218458</c:v>
                </c:pt>
                <c:pt idx="26">
                  <c:v>7.1659606945005905</c:v>
                </c:pt>
                <c:pt idx="27">
                  <c:v>7.1080285196118549</c:v>
                </c:pt>
                <c:pt idx="28">
                  <c:v>7.0500905314929536</c:v>
                </c:pt>
                <c:pt idx="29">
                  <c:v>6.992943020615102</c:v>
                </c:pt>
                <c:pt idx="30">
                  <c:v>6.9357619253504339</c:v>
                </c:pt>
              </c:numCache>
            </c:numRef>
          </c:val>
          <c:extLst>
            <c:ext xmlns:c16="http://schemas.microsoft.com/office/drawing/2014/chart" uri="{C3380CC4-5D6E-409C-BE32-E72D297353CC}">
              <c16:uniqueId val="{00000001-BC39-40BA-943F-84928780C8B8}"/>
            </c:ext>
          </c:extLst>
        </c:ser>
        <c:ser>
          <c:idx val="1"/>
          <c:order val="2"/>
          <c:tx>
            <c:v>Non-household consumption</c:v>
          </c:tx>
          <c:spPr>
            <a:ln w="25400">
              <a:noFill/>
            </a:ln>
          </c:spPr>
          <c:cat>
            <c:strRef>
              <c:f>ESWESX!$G$204:$CI$204</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ESWESX!$G$397:$CI$397</c:f>
              <c:numCache>
                <c:formatCode>0.00</c:formatCode>
                <c:ptCount val="81"/>
                <c:pt idx="0">
                  <c:v>0</c:v>
                </c:pt>
                <c:pt idx="1">
                  <c:v>0</c:v>
                </c:pt>
                <c:pt idx="2">
                  <c:v>52.561438366108199</c:v>
                </c:pt>
                <c:pt idx="3">
                  <c:v>51.678562345371311</c:v>
                </c:pt>
                <c:pt idx="4">
                  <c:v>54.173866431900862</c:v>
                </c:pt>
                <c:pt idx="5">
                  <c:v>56.6264264596403</c:v>
                </c:pt>
                <c:pt idx="6">
                  <c:v>60.827632461266973</c:v>
                </c:pt>
                <c:pt idx="7">
                  <c:v>61.247466044269736</c:v>
                </c:pt>
                <c:pt idx="8">
                  <c:v>60.044312815459826</c:v>
                </c:pt>
                <c:pt idx="9">
                  <c:v>61.047278295443142</c:v>
                </c:pt>
                <c:pt idx="10">
                  <c:v>61.569865666515753</c:v>
                </c:pt>
                <c:pt idx="11">
                  <c:v>61.488295787965946</c:v>
                </c:pt>
                <c:pt idx="12">
                  <c:v>60.988010128095894</c:v>
                </c:pt>
                <c:pt idx="13">
                  <c:v>60.831664991297984</c:v>
                </c:pt>
                <c:pt idx="14">
                  <c:v>60.513298788172513</c:v>
                </c:pt>
                <c:pt idx="15">
                  <c:v>59.876839728680373</c:v>
                </c:pt>
                <c:pt idx="16">
                  <c:v>59.131439195107674</c:v>
                </c:pt>
                <c:pt idx="17">
                  <c:v>58.048141098418185</c:v>
                </c:pt>
                <c:pt idx="18">
                  <c:v>57.008874213292344</c:v>
                </c:pt>
                <c:pt idx="19">
                  <c:v>56.48448887465868</c:v>
                </c:pt>
                <c:pt idx="20">
                  <c:v>56.474675779828168</c:v>
                </c:pt>
                <c:pt idx="21">
                  <c:v>56.464795724896327</c:v>
                </c:pt>
                <c:pt idx="22">
                  <c:v>56.453245374620096</c:v>
                </c:pt>
                <c:pt idx="23">
                  <c:v>56.44081610683714</c:v>
                </c:pt>
                <c:pt idx="24">
                  <c:v>56.428825580648351</c:v>
                </c:pt>
                <c:pt idx="25">
                  <c:v>56.419412949416241</c:v>
                </c:pt>
                <c:pt idx="26">
                  <c:v>56.41165703605639</c:v>
                </c:pt>
                <c:pt idx="27">
                  <c:v>56.404547960999146</c:v>
                </c:pt>
                <c:pt idx="28">
                  <c:v>56.398000336312435</c:v>
                </c:pt>
                <c:pt idx="29">
                  <c:v>56.392364468134808</c:v>
                </c:pt>
                <c:pt idx="30">
                  <c:v>56.38706298758828</c:v>
                </c:pt>
              </c:numCache>
            </c:numRef>
          </c:val>
          <c:extLst>
            <c:ext xmlns:c16="http://schemas.microsoft.com/office/drawing/2014/chart" uri="{C3380CC4-5D6E-409C-BE32-E72D297353CC}">
              <c16:uniqueId val="{00000002-BC39-40BA-943F-84928780C8B8}"/>
            </c:ext>
          </c:extLst>
        </c:ser>
        <c:ser>
          <c:idx val="2"/>
          <c:order val="3"/>
          <c:tx>
            <c:v>Total leakage</c:v>
          </c:tx>
          <c:spPr>
            <a:ln w="25400">
              <a:noFill/>
            </a:ln>
          </c:spPr>
          <c:cat>
            <c:strRef>
              <c:f>ESWESX!$G$204:$CI$204</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ESWESX!$G$398:$CI$398</c:f>
              <c:numCache>
                <c:formatCode>0.00</c:formatCode>
                <c:ptCount val="81"/>
                <c:pt idx="0">
                  <c:v>0</c:v>
                </c:pt>
                <c:pt idx="1">
                  <c:v>0</c:v>
                </c:pt>
                <c:pt idx="2">
                  <c:v>53.344869343162344</c:v>
                </c:pt>
                <c:pt idx="3">
                  <c:v>52.857053199999996</c:v>
                </c:pt>
                <c:pt idx="4">
                  <c:v>50.790017599999985</c:v>
                </c:pt>
                <c:pt idx="5">
                  <c:v>48.722981999999995</c:v>
                </c:pt>
                <c:pt idx="6">
                  <c:v>48.228415200000001</c:v>
                </c:pt>
                <c:pt idx="7">
                  <c:v>47.733848399999999</c:v>
                </c:pt>
                <c:pt idx="8">
                  <c:v>47.239281599999998</c:v>
                </c:pt>
                <c:pt idx="9">
                  <c:v>46.744714799999997</c:v>
                </c:pt>
                <c:pt idx="10">
                  <c:v>46.250147999999996</c:v>
                </c:pt>
                <c:pt idx="11">
                  <c:v>45.755581199999995</c:v>
                </c:pt>
                <c:pt idx="12">
                  <c:v>45.261014399999993</c:v>
                </c:pt>
                <c:pt idx="13">
                  <c:v>44.766447599999992</c:v>
                </c:pt>
                <c:pt idx="14">
                  <c:v>44.271880799999991</c:v>
                </c:pt>
                <c:pt idx="15">
                  <c:v>43.77731399999999</c:v>
                </c:pt>
                <c:pt idx="16">
                  <c:v>43.282747199999989</c:v>
                </c:pt>
                <c:pt idx="17">
                  <c:v>42.788180399999987</c:v>
                </c:pt>
                <c:pt idx="18">
                  <c:v>42.293613599999986</c:v>
                </c:pt>
                <c:pt idx="19">
                  <c:v>41.799046799999985</c:v>
                </c:pt>
                <c:pt idx="20">
                  <c:v>41.304479999999984</c:v>
                </c:pt>
                <c:pt idx="21">
                  <c:v>40.809913199999983</c:v>
                </c:pt>
                <c:pt idx="22">
                  <c:v>40.315346399999981</c:v>
                </c:pt>
                <c:pt idx="23">
                  <c:v>39.82077959999998</c:v>
                </c:pt>
                <c:pt idx="24">
                  <c:v>39.326212799999979</c:v>
                </c:pt>
                <c:pt idx="25">
                  <c:v>38.831645999999978</c:v>
                </c:pt>
                <c:pt idx="26">
                  <c:v>38.337079199999977</c:v>
                </c:pt>
                <c:pt idx="27">
                  <c:v>37.842512399999976</c:v>
                </c:pt>
                <c:pt idx="28">
                  <c:v>37.347945599999974</c:v>
                </c:pt>
                <c:pt idx="29">
                  <c:v>36.853378799999973</c:v>
                </c:pt>
                <c:pt idx="30">
                  <c:v>36.358812</c:v>
                </c:pt>
              </c:numCache>
            </c:numRef>
          </c:val>
          <c:extLst>
            <c:ext xmlns:c16="http://schemas.microsoft.com/office/drawing/2014/chart" uri="{C3380CC4-5D6E-409C-BE32-E72D297353CC}">
              <c16:uniqueId val="{00000003-BC39-40BA-943F-84928780C8B8}"/>
            </c:ext>
          </c:extLst>
        </c:ser>
        <c:ser>
          <c:idx val="3"/>
          <c:order val="4"/>
          <c:tx>
            <c:v>Other components of demand</c:v>
          </c:tx>
          <c:spPr>
            <a:ln w="25400">
              <a:noFill/>
            </a:ln>
          </c:spPr>
          <c:cat>
            <c:strRef>
              <c:f>ESWESX!$G$204:$CI$204</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ESWESX!$G$399:$CI$399</c:f>
              <c:numCache>
                <c:formatCode>0.00</c:formatCode>
                <c:ptCount val="81"/>
                <c:pt idx="0">
                  <c:v>0</c:v>
                </c:pt>
                <c:pt idx="1">
                  <c:v>0</c:v>
                </c:pt>
                <c:pt idx="2">
                  <c:v>9.797908042136612</c:v>
                </c:pt>
                <c:pt idx="3">
                  <c:v>9.7984853079884147</c:v>
                </c:pt>
                <c:pt idx="4">
                  <c:v>9.7911104284467569</c:v>
                </c:pt>
                <c:pt idx="5">
                  <c:v>9.7829638246856234</c:v>
                </c:pt>
                <c:pt idx="6">
                  <c:v>9.8109495925564829</c:v>
                </c:pt>
                <c:pt idx="7">
                  <c:v>9.8034625623421334</c:v>
                </c:pt>
                <c:pt idx="8">
                  <c:v>9.7958845121603417</c:v>
                </c:pt>
                <c:pt idx="9">
                  <c:v>9.7888075608948952</c:v>
                </c:pt>
                <c:pt idx="10">
                  <c:v>9.7832807928793386</c:v>
                </c:pt>
                <c:pt idx="11">
                  <c:v>9.7781680115711538</c:v>
                </c:pt>
                <c:pt idx="12">
                  <c:v>9.7733752897817112</c:v>
                </c:pt>
                <c:pt idx="13">
                  <c:v>9.7690376651507336</c:v>
                </c:pt>
                <c:pt idx="14">
                  <c:v>9.7653630459332703</c:v>
                </c:pt>
                <c:pt idx="15">
                  <c:v>9.7611784184434214</c:v>
                </c:pt>
                <c:pt idx="16">
                  <c:v>9.7568378834126293</c:v>
                </c:pt>
                <c:pt idx="17">
                  <c:v>9.7522782600178743</c:v>
                </c:pt>
                <c:pt idx="18">
                  <c:v>9.747619443770418</c:v>
                </c:pt>
                <c:pt idx="19">
                  <c:v>9.7428706361555442</c:v>
                </c:pt>
                <c:pt idx="20">
                  <c:v>9.7380310512349411</c:v>
                </c:pt>
                <c:pt idx="21">
                  <c:v>9.7331035275950626</c:v>
                </c:pt>
                <c:pt idx="22">
                  <c:v>9.7280812042138791</c:v>
                </c:pt>
                <c:pt idx="23">
                  <c:v>9.7229658844075857</c:v>
                </c:pt>
                <c:pt idx="24">
                  <c:v>9.7177580933531544</c:v>
                </c:pt>
                <c:pt idx="25">
                  <c:v>9.7124571835083771</c:v>
                </c:pt>
                <c:pt idx="26">
                  <c:v>9.7070687971143457</c:v>
                </c:pt>
                <c:pt idx="27">
                  <c:v>9.7015913665413223</c:v>
                </c:pt>
                <c:pt idx="28">
                  <c:v>9.6960256925206068</c:v>
                </c:pt>
                <c:pt idx="29">
                  <c:v>9.690372771821103</c:v>
                </c:pt>
                <c:pt idx="30">
                  <c:v>9.6846342487529</c:v>
                </c:pt>
              </c:numCache>
            </c:numRef>
          </c:val>
          <c:extLst>
            <c:ext xmlns:c16="http://schemas.microsoft.com/office/drawing/2014/chart" uri="{C3380CC4-5D6E-409C-BE32-E72D297353CC}">
              <c16:uniqueId val="{00000004-BC39-40BA-943F-84928780C8B8}"/>
            </c:ext>
          </c:extLst>
        </c:ser>
        <c:dLbls>
          <c:showLegendKey val="0"/>
          <c:showVal val="0"/>
          <c:showCatName val="0"/>
          <c:showSerName val="0"/>
          <c:showPercent val="0"/>
          <c:showBubbleSize val="0"/>
        </c:dLbls>
        <c:axId val="814784328"/>
        <c:axId val="814784720"/>
      </c:areaChart>
      <c:lineChart>
        <c:grouping val="standard"/>
        <c:varyColors val="0"/>
        <c:ser>
          <c:idx val="4"/>
          <c:order val="5"/>
          <c:tx>
            <c:v>Total water available for use</c:v>
          </c:tx>
          <c:marker>
            <c:symbol val="none"/>
          </c:marker>
          <c:cat>
            <c:strLit>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Lit>
          </c:cat>
          <c:val>
            <c:numRef>
              <c:f>ESWESX!$G$400:$CI$400</c:f>
              <c:numCache>
                <c:formatCode>0.00</c:formatCode>
                <c:ptCount val="81"/>
                <c:pt idx="0">
                  <c:v>0</c:v>
                </c:pt>
                <c:pt idx="1">
                  <c:v>0</c:v>
                </c:pt>
                <c:pt idx="2">
                  <c:v>502.31576232105431</c:v>
                </c:pt>
                <c:pt idx="3">
                  <c:v>502.31576232105431</c:v>
                </c:pt>
                <c:pt idx="4">
                  <c:v>502.31576232105431</c:v>
                </c:pt>
                <c:pt idx="5">
                  <c:v>501.97775074561082</c:v>
                </c:pt>
                <c:pt idx="6">
                  <c:v>501.64159880334489</c:v>
                </c:pt>
                <c:pt idx="7">
                  <c:v>499.82125374308856</c:v>
                </c:pt>
                <c:pt idx="8">
                  <c:v>505.6606807003555</c:v>
                </c:pt>
                <c:pt idx="9">
                  <c:v>505.32941029518076</c:v>
                </c:pt>
                <c:pt idx="10">
                  <c:v>504.99953461488928</c:v>
                </c:pt>
                <c:pt idx="11">
                  <c:v>499.67012384289217</c:v>
                </c:pt>
                <c:pt idx="12">
                  <c:v>499.33931834601185</c:v>
                </c:pt>
                <c:pt idx="13">
                  <c:v>499.01060493645628</c:v>
                </c:pt>
                <c:pt idx="14">
                  <c:v>498.6800318937232</c:v>
                </c:pt>
                <c:pt idx="15">
                  <c:v>503.51003189372312</c:v>
                </c:pt>
                <c:pt idx="16">
                  <c:v>523.5123564351951</c:v>
                </c:pt>
                <c:pt idx="17">
                  <c:v>523.5123564351951</c:v>
                </c:pt>
                <c:pt idx="18">
                  <c:v>523.5123564351951</c:v>
                </c:pt>
                <c:pt idx="19">
                  <c:v>523.5123564351951</c:v>
                </c:pt>
                <c:pt idx="20">
                  <c:v>523.5123564351951</c:v>
                </c:pt>
                <c:pt idx="21">
                  <c:v>521.51468097666714</c:v>
                </c:pt>
                <c:pt idx="22">
                  <c:v>521.51468097666714</c:v>
                </c:pt>
                <c:pt idx="23">
                  <c:v>521.51468097666714</c:v>
                </c:pt>
                <c:pt idx="24">
                  <c:v>521.51468097666714</c:v>
                </c:pt>
                <c:pt idx="25">
                  <c:v>521.51468097666714</c:v>
                </c:pt>
                <c:pt idx="26">
                  <c:v>521.51468097666714</c:v>
                </c:pt>
                <c:pt idx="27">
                  <c:v>521.51468097666714</c:v>
                </c:pt>
                <c:pt idx="28">
                  <c:v>521.51700551813906</c:v>
                </c:pt>
                <c:pt idx="29">
                  <c:v>521.51700551813906</c:v>
                </c:pt>
                <c:pt idx="30">
                  <c:v>521.51700551813906</c:v>
                </c:pt>
              </c:numCache>
            </c:numRef>
          </c:val>
          <c:smooth val="0"/>
          <c:extLst>
            <c:ext xmlns:c16="http://schemas.microsoft.com/office/drawing/2014/chart" uri="{C3380CC4-5D6E-409C-BE32-E72D297353CC}">
              <c16:uniqueId val="{00000005-BC39-40BA-943F-84928780C8B8}"/>
            </c:ext>
          </c:extLst>
        </c:ser>
        <c:ser>
          <c:idx val="5"/>
          <c:order val="6"/>
          <c:tx>
            <c:v>Total demand + target headroom (final plan)</c:v>
          </c:tx>
          <c:marker>
            <c:symbol val="none"/>
          </c:marker>
          <c:cat>
            <c:strLit>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Lit>
          </c:cat>
          <c:val>
            <c:numRef>
              <c:f>ESWESX!$G$401:$CI$401</c:f>
              <c:numCache>
                <c:formatCode>0.00</c:formatCode>
                <c:ptCount val="81"/>
                <c:pt idx="0">
                  <c:v>0</c:v>
                </c:pt>
                <c:pt idx="1">
                  <c:v>0</c:v>
                </c:pt>
                <c:pt idx="2">
                  <c:v>503.14983665695337</c:v>
                </c:pt>
                <c:pt idx="3">
                  <c:v>497.59427503920034</c:v>
                </c:pt>
                <c:pt idx="4">
                  <c:v>495.3357952175266</c:v>
                </c:pt>
                <c:pt idx="5">
                  <c:v>491.28255545134982</c:v>
                </c:pt>
                <c:pt idx="6">
                  <c:v>488.83965538770684</c:v>
                </c:pt>
                <c:pt idx="7">
                  <c:v>482.89324023133753</c:v>
                </c:pt>
                <c:pt idx="8">
                  <c:v>477.58543435296878</c:v>
                </c:pt>
                <c:pt idx="9">
                  <c:v>474.62088960145559</c:v>
                </c:pt>
                <c:pt idx="10">
                  <c:v>470.4085965216675</c:v>
                </c:pt>
                <c:pt idx="11">
                  <c:v>465.14539886180518</c:v>
                </c:pt>
                <c:pt idx="12">
                  <c:v>459.62304290253786</c:v>
                </c:pt>
                <c:pt idx="13">
                  <c:v>454.31202422072056</c:v>
                </c:pt>
                <c:pt idx="14">
                  <c:v>448.31155618767752</c:v>
                </c:pt>
                <c:pt idx="15">
                  <c:v>441.92665336807056</c:v>
                </c:pt>
                <c:pt idx="16">
                  <c:v>437.83545862357727</c:v>
                </c:pt>
                <c:pt idx="17">
                  <c:v>434.11144539261119</c:v>
                </c:pt>
                <c:pt idx="18">
                  <c:v>430.50533115806053</c:v>
                </c:pt>
                <c:pt idx="19">
                  <c:v>427.56964841881785</c:v>
                </c:pt>
                <c:pt idx="20">
                  <c:v>425.28485969068282</c:v>
                </c:pt>
                <c:pt idx="21">
                  <c:v>422.7011427966433</c:v>
                </c:pt>
                <c:pt idx="22">
                  <c:v>420.61054453295839</c:v>
                </c:pt>
                <c:pt idx="23">
                  <c:v>418.79515917250785</c:v>
                </c:pt>
                <c:pt idx="24">
                  <c:v>418.06200798551509</c:v>
                </c:pt>
                <c:pt idx="25">
                  <c:v>417.32487203706199</c:v>
                </c:pt>
                <c:pt idx="26">
                  <c:v>418.67307187042445</c:v>
                </c:pt>
                <c:pt idx="27">
                  <c:v>420.06533423908525</c:v>
                </c:pt>
                <c:pt idx="28">
                  <c:v>421.5019866497633</c:v>
                </c:pt>
                <c:pt idx="29">
                  <c:v>423.03976967261121</c:v>
                </c:pt>
                <c:pt idx="30">
                  <c:v>424.6691141140451</c:v>
                </c:pt>
              </c:numCache>
            </c:numRef>
          </c:val>
          <c:smooth val="0"/>
          <c:extLst>
            <c:ext xmlns:c16="http://schemas.microsoft.com/office/drawing/2014/chart" uri="{C3380CC4-5D6E-409C-BE32-E72D297353CC}">
              <c16:uniqueId val="{00000006-BC39-40BA-943F-84928780C8B8}"/>
            </c:ext>
          </c:extLst>
        </c:ser>
        <c:dLbls>
          <c:showLegendKey val="0"/>
          <c:showVal val="0"/>
          <c:showCatName val="0"/>
          <c:showSerName val="0"/>
          <c:showPercent val="0"/>
          <c:showBubbleSize val="0"/>
        </c:dLbls>
        <c:marker val="1"/>
        <c:smooth val="0"/>
        <c:axId val="814784328"/>
        <c:axId val="814784720"/>
      </c:lineChart>
      <c:catAx>
        <c:axId val="814784328"/>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en-US"/>
          </a:p>
        </c:txPr>
        <c:crossAx val="814784720"/>
        <c:crosses val="autoZero"/>
        <c:auto val="1"/>
        <c:lblAlgn val="ctr"/>
        <c:lblOffset val="100"/>
        <c:tickLblSkip val="2"/>
        <c:tickMarkSkip val="1"/>
        <c:noMultiLvlLbl val="0"/>
      </c:catAx>
      <c:valAx>
        <c:axId val="814784720"/>
        <c:scaling>
          <c:orientation val="minMax"/>
        </c:scaling>
        <c:delete val="0"/>
        <c:axPos val="l"/>
        <c:majorGridlines>
          <c:spPr>
            <a:ln w="3175">
              <a:solidFill>
                <a:srgbClr val="000000"/>
              </a:solidFill>
              <a:prstDash val="solid"/>
            </a:ln>
          </c:spPr>
        </c:majorGridlines>
        <c:title>
          <c:tx>
            <c:rich>
              <a:bodyPr/>
              <a:lstStyle/>
              <a:p>
                <a:pPr>
                  <a:defRPr sz="1175" b="1" i="0" u="none" strike="noStrike" baseline="0">
                    <a:solidFill>
                      <a:srgbClr val="000000"/>
                    </a:solidFill>
                    <a:latin typeface="Arial"/>
                    <a:ea typeface="Arial"/>
                    <a:cs typeface="Arial"/>
                  </a:defRPr>
                </a:pPr>
                <a:r>
                  <a:rPr lang="en-GB"/>
                  <a:t>Ml/d</a:t>
                </a:r>
              </a:p>
            </c:rich>
          </c:tx>
          <c:layout>
            <c:manualLayout>
              <c:xMode val="edge"/>
              <c:yMode val="edge"/>
              <c:x val="2.0359337875782983E-2"/>
              <c:y val="0.39858528733632054"/>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814784328"/>
        <c:crosses val="autoZero"/>
        <c:crossBetween val="midCat"/>
      </c:valAx>
      <c:spPr>
        <a:solidFill>
          <a:schemeClr val="bg1"/>
        </a:solidFill>
        <a:ln w="12700">
          <a:solidFill>
            <a:srgbClr val="808080"/>
          </a:solidFill>
          <a:prstDash val="solid"/>
        </a:ln>
      </c:spPr>
    </c:plotArea>
    <c:legend>
      <c:legendPos val="b"/>
      <c:legendEntry>
        <c:idx val="0"/>
        <c:txPr>
          <a:bodyPr/>
          <a:lstStyle/>
          <a:p>
            <a:pPr>
              <a:defRPr sz="1000" b="0" i="0" u="none" strike="noStrike" baseline="0">
                <a:solidFill>
                  <a:srgbClr val="000000"/>
                </a:solidFill>
                <a:latin typeface="Arial"/>
                <a:ea typeface="Arial"/>
                <a:cs typeface="Arial"/>
              </a:defRPr>
            </a:pPr>
            <a:endParaRPr lang="en-US"/>
          </a:p>
        </c:txPr>
      </c:legendEntry>
      <c:layout>
        <c:manualLayout>
          <c:xMode val="edge"/>
          <c:yMode val="edge"/>
          <c:x val="0.16452269470774322"/>
          <c:y val="0.82158446545736608"/>
          <c:w val="0.7156398695723647"/>
          <c:h val="0.16402912270077008"/>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0"/>
    <c:dispBlanksAs val="zero"/>
    <c:showDLblsOverMax val="0"/>
  </c:chart>
  <c:spPr>
    <a:solidFill>
      <a:schemeClr val="accent1"/>
    </a:solidFill>
    <a:ln w="3175">
      <a:solidFill>
        <a:srgbClr val="000000"/>
      </a:solidFill>
      <a:prstDash val="solid"/>
    </a:ln>
  </c:spPr>
  <c:txPr>
    <a:bodyPr/>
    <a:lstStyle/>
    <a:p>
      <a:pPr>
        <a:defRPr sz="975" b="0" i="0" u="none" strike="noStrike" baseline="0">
          <a:solidFill>
            <a:srgbClr val="000000"/>
          </a:solidFill>
          <a:latin typeface="Arial"/>
          <a:ea typeface="Arial"/>
          <a:cs typeface="Arial"/>
        </a:defRPr>
      </a:pPr>
      <a:endParaRPr lang="en-US"/>
    </a:p>
  </c:txPr>
  <c:printSettings>
    <c:headerFooter alignWithMargins="0"/>
    <c:pageMargins b="1" l="0.75000000000000622" r="0.75000000000000622" t="1" header="0.5" footer="0.5"/>
    <c:pageSetup paperSize="9" orientation="landscape"/>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75" b="1" i="0" u="none" strike="noStrike" baseline="0">
                <a:solidFill>
                  <a:srgbClr val="000000"/>
                </a:solidFill>
                <a:latin typeface="Arial"/>
                <a:ea typeface="Arial"/>
                <a:cs typeface="Arial"/>
              </a:defRPr>
            </a:pPr>
            <a:r>
              <a:rPr lang="en-GB"/>
              <a:t>DYAA Baseline Water Supply-Demand Balance and Components of Demand</a:t>
            </a:r>
          </a:p>
        </c:rich>
      </c:tx>
      <c:layout>
        <c:manualLayout>
          <c:xMode val="edge"/>
          <c:yMode val="edge"/>
          <c:x val="0.2095809470200265"/>
          <c:y val="2.9013693730272669E-2"/>
        </c:manualLayout>
      </c:layout>
      <c:overlay val="0"/>
      <c:spPr>
        <a:noFill/>
        <a:ln w="25400">
          <a:noFill/>
        </a:ln>
      </c:spPr>
    </c:title>
    <c:autoTitleDeleted val="0"/>
    <c:plotArea>
      <c:layout>
        <c:manualLayout>
          <c:layoutTarget val="inner"/>
          <c:xMode val="edge"/>
          <c:yMode val="edge"/>
          <c:x val="8.5343266856694813E-2"/>
          <c:y val="0.10444884139344435"/>
          <c:w val="0.89146608097046709"/>
          <c:h val="0.55130264550264552"/>
        </c:manualLayout>
      </c:layout>
      <c:areaChart>
        <c:grouping val="stacked"/>
        <c:varyColors val="0"/>
        <c:ser>
          <c:idx val="6"/>
          <c:order val="0"/>
          <c:tx>
            <c:v>Measured household consumption</c:v>
          </c:tx>
          <c:spPr>
            <a:ln w="25400">
              <a:noFill/>
            </a:ln>
          </c:spPr>
          <c:cat>
            <c:multiLvlStrRef>
              <c:f>}</c:f>
            </c:multiLvlStrRef>
          </c:cat>
          <c:val>
            <c:numRef>
              <c:f>ESWESX!$G$368:$AK$368</c:f>
              <c:numCache>
                <c:formatCode>0.00</c:formatCode>
                <c:ptCount val="31"/>
                <c:pt idx="0">
                  <c:v>0</c:v>
                </c:pt>
                <c:pt idx="1">
                  <c:v>0</c:v>
                </c:pt>
                <c:pt idx="2">
                  <c:v>150.99392196286217</c:v>
                </c:pt>
                <c:pt idx="3">
                  <c:v>151.76561733431393</c:v>
                </c:pt>
                <c:pt idx="4">
                  <c:v>155.50519630099194</c:v>
                </c:pt>
                <c:pt idx="5">
                  <c:v>159.46790818240859</c:v>
                </c:pt>
                <c:pt idx="6">
                  <c:v>169.8343130712932</c:v>
                </c:pt>
                <c:pt idx="7">
                  <c:v>183.00541460188063</c:v>
                </c:pt>
                <c:pt idx="8">
                  <c:v>191.30429998132843</c:v>
                </c:pt>
                <c:pt idx="9">
                  <c:v>195.35144390050402</c:v>
                </c:pt>
                <c:pt idx="10">
                  <c:v>198.77914229568051</c:v>
                </c:pt>
                <c:pt idx="11">
                  <c:v>201.19238476483213</c:v>
                </c:pt>
                <c:pt idx="12">
                  <c:v>203.43458124032165</c:v>
                </c:pt>
                <c:pt idx="13">
                  <c:v>205.1892163735304</c:v>
                </c:pt>
                <c:pt idx="14">
                  <c:v>207.03088286401368</c:v>
                </c:pt>
                <c:pt idx="15">
                  <c:v>208.80054684741174</c:v>
                </c:pt>
                <c:pt idx="16">
                  <c:v>210.54947196513643</c:v>
                </c:pt>
                <c:pt idx="17">
                  <c:v>212.11277383598872</c:v>
                </c:pt>
                <c:pt idx="18">
                  <c:v>213.82956804895778</c:v>
                </c:pt>
                <c:pt idx="19">
                  <c:v>215.66506357805093</c:v>
                </c:pt>
                <c:pt idx="20">
                  <c:v>217.55903419218455</c:v>
                </c:pt>
                <c:pt idx="21">
                  <c:v>216.57534299262659</c:v>
                </c:pt>
                <c:pt idx="22">
                  <c:v>218.45808315545432</c:v>
                </c:pt>
                <c:pt idx="23">
                  <c:v>220.42998650177469</c:v>
                </c:pt>
                <c:pt idx="24">
                  <c:v>222.48509052660265</c:v>
                </c:pt>
                <c:pt idx="25">
                  <c:v>224.62830099528881</c:v>
                </c:pt>
                <c:pt idx="26">
                  <c:v>226.79465421059908</c:v>
                </c:pt>
                <c:pt idx="27">
                  <c:v>224.93405321946832</c:v>
                </c:pt>
                <c:pt idx="28">
                  <c:v>227.1928603489479</c:v>
                </c:pt>
                <c:pt idx="29">
                  <c:v>227.42231899721284</c:v>
                </c:pt>
                <c:pt idx="30">
                  <c:v>229.73598168528511</c:v>
                </c:pt>
              </c:numCache>
            </c:numRef>
          </c:val>
          <c:extLst>
            <c:ext xmlns:c16="http://schemas.microsoft.com/office/drawing/2014/chart" uri="{C3380CC4-5D6E-409C-BE32-E72D297353CC}">
              <c16:uniqueId val="{00000000-A122-49FC-A365-B3561443395D}"/>
            </c:ext>
          </c:extLst>
        </c:ser>
        <c:ser>
          <c:idx val="0"/>
          <c:order val="1"/>
          <c:tx>
            <c:v>Unmeasured household consumption</c:v>
          </c:tx>
          <c:spPr>
            <a:ln w="25400">
              <a:noFill/>
            </a:ln>
          </c:spPr>
          <c:cat>
            <c:multiLvlStrRef>
              <c:f>}</c:f>
            </c:multiLvlStrRef>
          </c:cat>
          <c:val>
            <c:numRef>
              <c:f>ESWESX!$G$369:$AK$369</c:f>
              <c:numCache>
                <c:formatCode>0.00</c:formatCode>
                <c:ptCount val="31"/>
                <c:pt idx="0">
                  <c:v>0</c:v>
                </c:pt>
                <c:pt idx="1">
                  <c:v>0</c:v>
                </c:pt>
                <c:pt idx="2">
                  <c:v>142.45469610495948</c:v>
                </c:pt>
                <c:pt idx="3">
                  <c:v>136.88205916394443</c:v>
                </c:pt>
                <c:pt idx="4">
                  <c:v>131.3845093671724</c:v>
                </c:pt>
                <c:pt idx="5">
                  <c:v>124.41885192108404</c:v>
                </c:pt>
                <c:pt idx="6">
                  <c:v>112.92934701861353</c:v>
                </c:pt>
                <c:pt idx="7">
                  <c:v>99.519643166017914</c:v>
                </c:pt>
                <c:pt idx="8">
                  <c:v>92.753525374386911</c:v>
                </c:pt>
                <c:pt idx="9">
                  <c:v>90.410726828953941</c:v>
                </c:pt>
                <c:pt idx="10">
                  <c:v>88.070274337851302</c:v>
                </c:pt>
                <c:pt idx="11">
                  <c:v>86.160339229413566</c:v>
                </c:pt>
                <c:pt idx="12">
                  <c:v>84.663026195691657</c:v>
                </c:pt>
                <c:pt idx="13">
                  <c:v>83.183907777554666</c:v>
                </c:pt>
                <c:pt idx="14">
                  <c:v>81.708893353662887</c:v>
                </c:pt>
                <c:pt idx="15">
                  <c:v>80.258923572504528</c:v>
                </c:pt>
                <c:pt idx="16">
                  <c:v>79.138229813853741</c:v>
                </c:pt>
                <c:pt idx="17">
                  <c:v>78.352511678261394</c:v>
                </c:pt>
                <c:pt idx="18">
                  <c:v>77.574896314615245</c:v>
                </c:pt>
                <c:pt idx="19">
                  <c:v>76.818913350272112</c:v>
                </c:pt>
                <c:pt idx="20">
                  <c:v>76.065016401437632</c:v>
                </c:pt>
                <c:pt idx="21">
                  <c:v>75.325308553852608</c:v>
                </c:pt>
                <c:pt idx="22">
                  <c:v>74.592772679655411</c:v>
                </c:pt>
                <c:pt idx="23">
                  <c:v>73.886436712121366</c:v>
                </c:pt>
                <c:pt idx="24">
                  <c:v>73.186592891769067</c:v>
                </c:pt>
                <c:pt idx="25">
                  <c:v>72.499608161937786</c:v>
                </c:pt>
                <c:pt idx="26">
                  <c:v>71.156211221499419</c:v>
                </c:pt>
                <c:pt idx="27">
                  <c:v>70.50683863665347</c:v>
                </c:pt>
                <c:pt idx="28">
                  <c:v>69.862982339019538</c:v>
                </c:pt>
                <c:pt idx="29">
                  <c:v>69.230913712885325</c:v>
                </c:pt>
                <c:pt idx="30">
                  <c:v>68.60398547732396</c:v>
                </c:pt>
              </c:numCache>
            </c:numRef>
          </c:val>
          <c:extLst>
            <c:ext xmlns:c16="http://schemas.microsoft.com/office/drawing/2014/chart" uri="{C3380CC4-5D6E-409C-BE32-E72D297353CC}">
              <c16:uniqueId val="{00000001-A122-49FC-A365-B3561443395D}"/>
            </c:ext>
          </c:extLst>
        </c:ser>
        <c:ser>
          <c:idx val="1"/>
          <c:order val="2"/>
          <c:tx>
            <c:v>Non-household consumption</c:v>
          </c:tx>
          <c:spPr>
            <a:ln w="25400">
              <a:noFill/>
            </a:ln>
          </c:spPr>
          <c:cat>
            <c:multiLvlStrRef>
              <c:f>}</c:f>
            </c:multiLvlStrRef>
          </c:cat>
          <c:val>
            <c:numRef>
              <c:f>ESWESX!$G$370:$AK$370</c:f>
              <c:numCache>
                <c:formatCode>0.00</c:formatCode>
                <c:ptCount val="31"/>
                <c:pt idx="0">
                  <c:v>0</c:v>
                </c:pt>
                <c:pt idx="1">
                  <c:v>0</c:v>
                </c:pt>
                <c:pt idx="2">
                  <c:v>50.392417519343113</c:v>
                </c:pt>
                <c:pt idx="3">
                  <c:v>51.337541457845965</c:v>
                </c:pt>
                <c:pt idx="4">
                  <c:v>53.84507517937535</c:v>
                </c:pt>
                <c:pt idx="5">
                  <c:v>56.309954896085912</c:v>
                </c:pt>
                <c:pt idx="6">
                  <c:v>60.801632222831827</c:v>
                </c:pt>
                <c:pt idx="7">
                  <c:v>61.61105687062777</c:v>
                </c:pt>
                <c:pt idx="8">
                  <c:v>60.796607605350218</c:v>
                </c:pt>
                <c:pt idx="9">
                  <c:v>62.188300195624976</c:v>
                </c:pt>
                <c:pt idx="10">
                  <c:v>63.056391784099496</c:v>
                </c:pt>
                <c:pt idx="11">
                  <c:v>63.512933337102297</c:v>
                </c:pt>
                <c:pt idx="12">
                  <c:v>63.507517698488066</c:v>
                </c:pt>
                <c:pt idx="13">
                  <c:v>63.846047212297783</c:v>
                </c:pt>
                <c:pt idx="14">
                  <c:v>64.022560289131746</c:v>
                </c:pt>
                <c:pt idx="15">
                  <c:v>63.880985138950869</c:v>
                </c:pt>
                <c:pt idx="16">
                  <c:v>63.603216098845131</c:v>
                </c:pt>
                <c:pt idx="17">
                  <c:v>62.987553881324317</c:v>
                </c:pt>
                <c:pt idx="18">
                  <c:v>62.415927261068859</c:v>
                </c:pt>
                <c:pt idx="19">
                  <c:v>61.88859394817397</c:v>
                </c:pt>
                <c:pt idx="20">
                  <c:v>61.875837264783968</c:v>
                </c:pt>
                <c:pt idx="21">
                  <c:v>61.863018006994352</c:v>
                </c:pt>
                <c:pt idx="22">
                  <c:v>61.848532839562061</c:v>
                </c:pt>
                <c:pt idx="23">
                  <c:v>61.833173140324753</c:v>
                </c:pt>
                <c:pt idx="24">
                  <c:v>61.818256568383354</c:v>
                </c:pt>
                <c:pt idx="25">
                  <c:v>61.805922277100343</c:v>
                </c:pt>
                <c:pt idx="26">
                  <c:v>61.795249089391319</c:v>
                </c:pt>
                <c:pt idx="27">
                  <c:v>61.78522712568661</c:v>
                </c:pt>
                <c:pt idx="28">
                  <c:v>61.77577099805417</c:v>
                </c:pt>
                <c:pt idx="29">
                  <c:v>61.767231012632529</c:v>
                </c:pt>
                <c:pt idx="30">
                  <c:v>61.759029800543694</c:v>
                </c:pt>
              </c:numCache>
            </c:numRef>
          </c:val>
          <c:extLst>
            <c:ext xmlns:c16="http://schemas.microsoft.com/office/drawing/2014/chart" uri="{C3380CC4-5D6E-409C-BE32-E72D297353CC}">
              <c16:uniqueId val="{00000002-A122-49FC-A365-B3561443395D}"/>
            </c:ext>
          </c:extLst>
        </c:ser>
        <c:ser>
          <c:idx val="2"/>
          <c:order val="3"/>
          <c:tx>
            <c:v>Total leakage</c:v>
          </c:tx>
          <c:spPr>
            <a:ln w="25400">
              <a:noFill/>
            </a:ln>
          </c:spPr>
          <c:cat>
            <c:multiLvlStrRef>
              <c:f>}</c:f>
            </c:multiLvlStrRef>
          </c:cat>
          <c:val>
            <c:numRef>
              <c:f>ESWESX!$G$371:$AK$371</c:f>
              <c:numCache>
                <c:formatCode>0.00</c:formatCode>
                <c:ptCount val="31"/>
                <c:pt idx="0">
                  <c:v>0</c:v>
                </c:pt>
                <c:pt idx="1">
                  <c:v>0</c:v>
                </c:pt>
                <c:pt idx="2">
                  <c:v>53.344869343162344</c:v>
                </c:pt>
                <c:pt idx="3">
                  <c:v>52.857053199999996</c:v>
                </c:pt>
                <c:pt idx="4">
                  <c:v>50.790017599999985</c:v>
                </c:pt>
                <c:pt idx="5">
                  <c:v>48.722981999999995</c:v>
                </c:pt>
                <c:pt idx="6">
                  <c:v>48.722982000000002</c:v>
                </c:pt>
                <c:pt idx="7">
                  <c:v>48.722982000000002</c:v>
                </c:pt>
                <c:pt idx="8">
                  <c:v>48.722982000000002</c:v>
                </c:pt>
                <c:pt idx="9">
                  <c:v>48.722982000000002</c:v>
                </c:pt>
                <c:pt idx="10">
                  <c:v>48.722982000000002</c:v>
                </c:pt>
                <c:pt idx="11">
                  <c:v>48.722982000000002</c:v>
                </c:pt>
                <c:pt idx="12">
                  <c:v>48.722982000000002</c:v>
                </c:pt>
                <c:pt idx="13">
                  <c:v>48.722982000000002</c:v>
                </c:pt>
                <c:pt idx="14">
                  <c:v>48.722982000000002</c:v>
                </c:pt>
                <c:pt idx="15">
                  <c:v>48.722981999999995</c:v>
                </c:pt>
                <c:pt idx="16">
                  <c:v>48.722982000000002</c:v>
                </c:pt>
                <c:pt idx="17">
                  <c:v>48.722982000000002</c:v>
                </c:pt>
                <c:pt idx="18">
                  <c:v>48.722982000000002</c:v>
                </c:pt>
                <c:pt idx="19">
                  <c:v>48.722981999999995</c:v>
                </c:pt>
                <c:pt idx="20">
                  <c:v>48.722982000000002</c:v>
                </c:pt>
                <c:pt idx="21">
                  <c:v>48.722982000000002</c:v>
                </c:pt>
                <c:pt idx="22">
                  <c:v>48.722982000000002</c:v>
                </c:pt>
                <c:pt idx="23">
                  <c:v>48.722982000000002</c:v>
                </c:pt>
                <c:pt idx="24">
                  <c:v>48.722982000000002</c:v>
                </c:pt>
                <c:pt idx="25">
                  <c:v>48.722982000000002</c:v>
                </c:pt>
                <c:pt idx="26">
                  <c:v>48.722982000000002</c:v>
                </c:pt>
                <c:pt idx="27">
                  <c:v>48.722982000000002</c:v>
                </c:pt>
                <c:pt idx="28">
                  <c:v>48.722982000000002</c:v>
                </c:pt>
                <c:pt idx="29">
                  <c:v>48.722982000000002</c:v>
                </c:pt>
                <c:pt idx="30">
                  <c:v>48.722982000000002</c:v>
                </c:pt>
              </c:numCache>
            </c:numRef>
          </c:val>
          <c:extLst>
            <c:ext xmlns:c16="http://schemas.microsoft.com/office/drawing/2014/chart" uri="{C3380CC4-5D6E-409C-BE32-E72D297353CC}">
              <c16:uniqueId val="{00000003-A122-49FC-A365-B3561443395D}"/>
            </c:ext>
          </c:extLst>
        </c:ser>
        <c:ser>
          <c:idx val="3"/>
          <c:order val="4"/>
          <c:tx>
            <c:v>Other components of demand</c:v>
          </c:tx>
          <c:spPr>
            <a:ln w="25400">
              <a:noFill/>
            </a:ln>
          </c:spPr>
          <c:cat>
            <c:multiLvlStrRef>
              <c:f>}</c:f>
            </c:multiLvlStrRef>
          </c:cat>
          <c:val>
            <c:numRef>
              <c:f>ESWESX!$G$372:$AK$372</c:f>
              <c:numCache>
                <c:formatCode>0.00</c:formatCode>
                <c:ptCount val="31"/>
                <c:pt idx="0">
                  <c:v>0</c:v>
                </c:pt>
                <c:pt idx="1">
                  <c:v>0</c:v>
                </c:pt>
                <c:pt idx="2">
                  <c:v>9.7979080421365552</c:v>
                </c:pt>
                <c:pt idx="3">
                  <c:v>9.7984853079883578</c:v>
                </c:pt>
                <c:pt idx="4">
                  <c:v>9.7911104284468138</c:v>
                </c:pt>
                <c:pt idx="5">
                  <c:v>9.7829638246856234</c:v>
                </c:pt>
                <c:pt idx="6">
                  <c:v>9.8103153561886529</c:v>
                </c:pt>
                <c:pt idx="7">
                  <c:v>9.801637268851664</c:v>
                </c:pt>
                <c:pt idx="8">
                  <c:v>9.7929251219247817</c:v>
                </c:pt>
                <c:pt idx="9">
                  <c:v>9.7846731634431876</c:v>
                </c:pt>
                <c:pt idx="10">
                  <c:v>9.7782060136802897</c:v>
                </c:pt>
                <c:pt idx="11">
                  <c:v>9.7726742215030526</c:v>
                </c:pt>
                <c:pt idx="12">
                  <c:v>9.767728779018455</c:v>
                </c:pt>
                <c:pt idx="13">
                  <c:v>9.7632384336922087</c:v>
                </c:pt>
                <c:pt idx="14">
                  <c:v>9.7594110937794198</c:v>
                </c:pt>
                <c:pt idx="15">
                  <c:v>9.7550737455943022</c:v>
                </c:pt>
                <c:pt idx="16">
                  <c:v>9.7506681610083206</c:v>
                </c:pt>
                <c:pt idx="17">
                  <c:v>9.7461311591981712</c:v>
                </c:pt>
                <c:pt idx="18">
                  <c:v>9.7414949645357183</c:v>
                </c:pt>
                <c:pt idx="19">
                  <c:v>9.7367687785053931</c:v>
                </c:pt>
                <c:pt idx="20">
                  <c:v>9.7319518151697366</c:v>
                </c:pt>
                <c:pt idx="21">
                  <c:v>9.7270469131145774</c:v>
                </c:pt>
                <c:pt idx="22">
                  <c:v>9.7220472113183973</c:v>
                </c:pt>
                <c:pt idx="23">
                  <c:v>9.7169545130967663</c:v>
                </c:pt>
                <c:pt idx="24">
                  <c:v>9.7117693436270542</c:v>
                </c:pt>
                <c:pt idx="25">
                  <c:v>9.7064910553669961</c:v>
                </c:pt>
                <c:pt idx="26">
                  <c:v>9.7011252905578544</c:v>
                </c:pt>
                <c:pt idx="27">
                  <c:v>9.6956704815695502</c:v>
                </c:pt>
                <c:pt idx="28">
                  <c:v>9.690127429133554</c:v>
                </c:pt>
                <c:pt idx="29">
                  <c:v>9.6844971300188831</c:v>
                </c:pt>
                <c:pt idx="30">
                  <c:v>9.678781228535513</c:v>
                </c:pt>
              </c:numCache>
            </c:numRef>
          </c:val>
          <c:extLst>
            <c:ext xmlns:c16="http://schemas.microsoft.com/office/drawing/2014/chart" uri="{C3380CC4-5D6E-409C-BE32-E72D297353CC}">
              <c16:uniqueId val="{00000004-A122-49FC-A365-B3561443395D}"/>
            </c:ext>
          </c:extLst>
        </c:ser>
        <c:dLbls>
          <c:showLegendKey val="0"/>
          <c:showVal val="0"/>
          <c:showCatName val="0"/>
          <c:showSerName val="0"/>
          <c:showPercent val="0"/>
          <c:showBubbleSize val="0"/>
        </c:dLbls>
        <c:axId val="909034472"/>
        <c:axId val="909034864"/>
      </c:areaChart>
      <c:lineChart>
        <c:grouping val="standard"/>
        <c:varyColors val="0"/>
        <c:ser>
          <c:idx val="4"/>
          <c:order val="5"/>
          <c:tx>
            <c:v>Total water available for use</c:v>
          </c:tx>
          <c:spPr>
            <a:ln w="25400"/>
          </c:spPr>
          <c:marker>
            <c:symbol val="none"/>
          </c:marker>
          <c:cat>
            <c:strRef>
              <c:f>ESWESX!$G$367:$AK$367</c:f>
              <c:strCache>
                <c:ptCount val="3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strCache>
            </c:strRef>
          </c:cat>
          <c:val>
            <c:numRef>
              <c:f>ESWESX!$G$373:$AK$373</c:f>
              <c:numCache>
                <c:formatCode>0.00</c:formatCode>
                <c:ptCount val="31"/>
                <c:pt idx="0">
                  <c:v>0</c:v>
                </c:pt>
                <c:pt idx="1">
                  <c:v>0</c:v>
                </c:pt>
                <c:pt idx="2">
                  <c:v>384.57822051013699</c:v>
                </c:pt>
                <c:pt idx="3">
                  <c:v>384.02325237013696</c:v>
                </c:pt>
                <c:pt idx="4">
                  <c:v>383.46509222013697</c:v>
                </c:pt>
                <c:pt idx="5">
                  <c:v>382.56580771469351</c:v>
                </c:pt>
                <c:pt idx="6">
                  <c:v>381.66534502242757</c:v>
                </c:pt>
                <c:pt idx="7">
                  <c:v>380.77772247217126</c:v>
                </c:pt>
                <c:pt idx="8">
                  <c:v>378.3769726794381</c:v>
                </c:pt>
                <c:pt idx="9">
                  <c:v>377.47269042426336</c:v>
                </c:pt>
                <c:pt idx="10">
                  <c:v>376.56702886397187</c:v>
                </c:pt>
                <c:pt idx="11">
                  <c:v>370.65911640197476</c:v>
                </c:pt>
                <c:pt idx="12">
                  <c:v>369.74714900509446</c:v>
                </c:pt>
                <c:pt idx="13">
                  <c:v>368.8346665655389</c:v>
                </c:pt>
                <c:pt idx="14">
                  <c:v>367.91776818280579</c:v>
                </c:pt>
                <c:pt idx="15">
                  <c:v>368.82893518280582</c:v>
                </c:pt>
                <c:pt idx="16">
                  <c:v>388.23996569427777</c:v>
                </c:pt>
                <c:pt idx="17">
                  <c:v>387.64625540427778</c:v>
                </c:pt>
                <c:pt idx="18">
                  <c:v>387.05017182427775</c:v>
                </c:pt>
                <c:pt idx="19">
                  <c:v>386.45175626427778</c:v>
                </c:pt>
                <c:pt idx="20">
                  <c:v>385.85104849427779</c:v>
                </c:pt>
                <c:pt idx="21">
                  <c:v>383.25041130574982</c:v>
                </c:pt>
                <c:pt idx="22">
                  <c:v>382.6452325157498</c:v>
                </c:pt>
                <c:pt idx="23">
                  <c:v>382.03787221574981</c:v>
                </c:pt>
                <c:pt idx="24">
                  <c:v>381.42836472574982</c:v>
                </c:pt>
                <c:pt idx="25">
                  <c:v>380.81674318574983</c:v>
                </c:pt>
                <c:pt idx="26">
                  <c:v>380.2030396257498</c:v>
                </c:pt>
                <c:pt idx="27">
                  <c:v>379.58728500574983</c:v>
                </c:pt>
                <c:pt idx="28">
                  <c:v>378.97183382722181</c:v>
                </c:pt>
                <c:pt idx="29">
                  <c:v>378.35206599722181</c:v>
                </c:pt>
                <c:pt idx="30">
                  <c:v>377.73033416722177</c:v>
                </c:pt>
              </c:numCache>
            </c:numRef>
          </c:val>
          <c:smooth val="0"/>
          <c:extLst>
            <c:ext xmlns:c16="http://schemas.microsoft.com/office/drawing/2014/chart" uri="{C3380CC4-5D6E-409C-BE32-E72D297353CC}">
              <c16:uniqueId val="{00000005-A122-49FC-A365-B3561443395D}"/>
            </c:ext>
          </c:extLst>
        </c:ser>
        <c:ser>
          <c:idx val="5"/>
          <c:order val="6"/>
          <c:tx>
            <c:v>Total demand + target headroom (baseline)</c:v>
          </c:tx>
          <c:spPr>
            <a:ln w="25400"/>
          </c:spPr>
          <c:marker>
            <c:symbol val="none"/>
          </c:marker>
          <c:cat>
            <c:strRef>
              <c:f>ESWESX!$G$367:$AK$367</c:f>
              <c:strCache>
                <c:ptCount val="3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strCache>
            </c:strRef>
          </c:cat>
          <c:val>
            <c:numRef>
              <c:f>ESWESX!$G$374:$AK$374</c:f>
              <c:numCache>
                <c:formatCode>0.00</c:formatCode>
                <c:ptCount val="31"/>
                <c:pt idx="0">
                  <c:v>0</c:v>
                </c:pt>
                <c:pt idx="1">
                  <c:v>0</c:v>
                </c:pt>
                <c:pt idx="2">
                  <c:v>413.84239029992216</c:v>
                </c:pt>
                <c:pt idx="3">
                  <c:v>409.6202157262112</c:v>
                </c:pt>
                <c:pt idx="4">
                  <c:v>408.58097991476939</c:v>
                </c:pt>
                <c:pt idx="5">
                  <c:v>406.18553553947652</c:v>
                </c:pt>
                <c:pt idx="6">
                  <c:v>409.71953318859477</c:v>
                </c:pt>
                <c:pt idx="7">
                  <c:v>409.74610541379252</c:v>
                </c:pt>
                <c:pt idx="8">
                  <c:v>409.93841237771096</c:v>
                </c:pt>
                <c:pt idx="9">
                  <c:v>412.56765118283761</c:v>
                </c:pt>
                <c:pt idx="10">
                  <c:v>414.00535012595401</c:v>
                </c:pt>
                <c:pt idx="11">
                  <c:v>414.1876033937321</c:v>
                </c:pt>
                <c:pt idx="12">
                  <c:v>414.23996484573394</c:v>
                </c:pt>
                <c:pt idx="13">
                  <c:v>414.47515021192368</c:v>
                </c:pt>
                <c:pt idx="14">
                  <c:v>414.85807798126939</c:v>
                </c:pt>
                <c:pt idx="15">
                  <c:v>414.62996713989935</c:v>
                </c:pt>
                <c:pt idx="16">
                  <c:v>414.72818801978173</c:v>
                </c:pt>
                <c:pt idx="17">
                  <c:v>414.6991281221176</c:v>
                </c:pt>
                <c:pt idx="18">
                  <c:v>414.94378506440438</c:v>
                </c:pt>
                <c:pt idx="19">
                  <c:v>415.20363476956425</c:v>
                </c:pt>
                <c:pt idx="20">
                  <c:v>416.20160142535082</c:v>
                </c:pt>
                <c:pt idx="21">
                  <c:v>415.98985587357282</c:v>
                </c:pt>
                <c:pt idx="22">
                  <c:v>415.47446800491417</c:v>
                </c:pt>
                <c:pt idx="23">
                  <c:v>416.76036036137265</c:v>
                </c:pt>
                <c:pt idx="24">
                  <c:v>418.16260268628429</c:v>
                </c:pt>
                <c:pt idx="25">
                  <c:v>419.55730656354268</c:v>
                </c:pt>
                <c:pt idx="26">
                  <c:v>420.88082238994258</c:v>
                </c:pt>
                <c:pt idx="27">
                  <c:v>420.84508001810588</c:v>
                </c:pt>
                <c:pt idx="28">
                  <c:v>419.48980695624732</c:v>
                </c:pt>
                <c:pt idx="29">
                  <c:v>420.62380485266272</c:v>
                </c:pt>
                <c:pt idx="30">
                  <c:v>420.90147791266725</c:v>
                </c:pt>
              </c:numCache>
            </c:numRef>
          </c:val>
          <c:smooth val="0"/>
          <c:extLst>
            <c:ext xmlns:c16="http://schemas.microsoft.com/office/drawing/2014/chart" uri="{C3380CC4-5D6E-409C-BE32-E72D297353CC}">
              <c16:uniqueId val="{00000006-A122-49FC-A365-B3561443395D}"/>
            </c:ext>
          </c:extLst>
        </c:ser>
        <c:dLbls>
          <c:showLegendKey val="0"/>
          <c:showVal val="0"/>
          <c:showCatName val="0"/>
          <c:showSerName val="0"/>
          <c:showPercent val="0"/>
          <c:showBubbleSize val="0"/>
        </c:dLbls>
        <c:marker val="1"/>
        <c:smooth val="0"/>
        <c:axId val="909034472"/>
        <c:axId val="909034864"/>
      </c:lineChart>
      <c:catAx>
        <c:axId val="909034472"/>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en-US"/>
          </a:p>
        </c:txPr>
        <c:crossAx val="909034864"/>
        <c:crosses val="autoZero"/>
        <c:auto val="1"/>
        <c:lblAlgn val="ctr"/>
        <c:lblOffset val="100"/>
        <c:tickLblSkip val="2"/>
        <c:tickMarkSkip val="1"/>
        <c:noMultiLvlLbl val="0"/>
      </c:catAx>
      <c:valAx>
        <c:axId val="909034864"/>
        <c:scaling>
          <c:orientation val="minMax"/>
        </c:scaling>
        <c:delete val="0"/>
        <c:axPos val="l"/>
        <c:majorGridlines>
          <c:spPr>
            <a:ln w="3175">
              <a:solidFill>
                <a:srgbClr val="000000"/>
              </a:solidFill>
              <a:prstDash val="solid"/>
            </a:ln>
          </c:spPr>
        </c:majorGridlines>
        <c:title>
          <c:tx>
            <c:rich>
              <a:bodyPr/>
              <a:lstStyle/>
              <a:p>
                <a:pPr>
                  <a:defRPr sz="1175" b="1" i="0" u="none" strike="noStrike" baseline="0">
                    <a:solidFill>
                      <a:srgbClr val="000000"/>
                    </a:solidFill>
                    <a:latin typeface="Arial"/>
                    <a:ea typeface="Arial"/>
                    <a:cs typeface="Arial"/>
                  </a:defRPr>
                </a:pPr>
                <a:r>
                  <a:rPr lang="en-GB"/>
                  <a:t>Ml/d</a:t>
                </a:r>
              </a:p>
            </c:rich>
          </c:tx>
          <c:layout>
            <c:manualLayout>
              <c:xMode val="edge"/>
              <c:yMode val="edge"/>
              <c:x val="2.0359337875782983E-2"/>
              <c:y val="0.39858528733632054"/>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909034472"/>
        <c:crosses val="autoZero"/>
        <c:crossBetween val="midCat"/>
      </c:valAx>
      <c:spPr>
        <a:solidFill>
          <a:schemeClr val="bg1"/>
        </a:solidFill>
        <a:ln w="12700">
          <a:solidFill>
            <a:srgbClr val="808080"/>
          </a:solidFill>
          <a:prstDash val="solid"/>
        </a:ln>
      </c:spPr>
    </c:plotArea>
    <c:legend>
      <c:legendPos val="b"/>
      <c:legendEntry>
        <c:idx val="0"/>
        <c:txPr>
          <a:bodyPr/>
          <a:lstStyle/>
          <a:p>
            <a:pPr>
              <a:defRPr sz="1000" b="0" i="0" u="none" strike="noStrike" baseline="0">
                <a:solidFill>
                  <a:srgbClr val="000000"/>
                </a:solidFill>
                <a:latin typeface="Arial"/>
                <a:ea typeface="Arial"/>
                <a:cs typeface="Arial"/>
              </a:defRPr>
            </a:pPr>
            <a:endParaRPr lang="en-US"/>
          </a:p>
        </c:txPr>
      </c:legendEntry>
      <c:layout>
        <c:manualLayout>
          <c:xMode val="edge"/>
          <c:yMode val="edge"/>
          <c:x val="0.16452269470774322"/>
          <c:y val="0.82158446545736608"/>
          <c:w val="0.7156398695723647"/>
          <c:h val="0.16402912270077008"/>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0"/>
    <c:dispBlanksAs val="zero"/>
    <c:showDLblsOverMax val="0"/>
  </c:chart>
  <c:spPr>
    <a:solidFill>
      <a:schemeClr val="accent2"/>
    </a:solidFill>
    <a:ln w="3175">
      <a:solidFill>
        <a:srgbClr val="000000"/>
      </a:solidFill>
      <a:prstDash val="solid"/>
    </a:ln>
  </c:spPr>
  <c:txPr>
    <a:bodyPr/>
    <a:lstStyle/>
    <a:p>
      <a:pPr>
        <a:defRPr sz="975" b="0" i="0" u="none" strike="noStrike" baseline="0">
          <a:solidFill>
            <a:srgbClr val="000000"/>
          </a:solidFill>
          <a:latin typeface="Arial"/>
          <a:ea typeface="Arial"/>
          <a:cs typeface="Arial"/>
        </a:defRPr>
      </a:pPr>
      <a:endParaRPr lang="en-US"/>
    </a:p>
  </c:txPr>
  <c:printSettings>
    <c:headerFooter alignWithMargins="0"/>
    <c:pageMargins b="1" l="0.75000000000000622" r="0.75000000000000622" t="1" header="0.5" footer="0.5"/>
    <c:pageSetup paperSize="9" orientation="landscape"/>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75" b="1" i="0" u="none" strike="noStrike" baseline="0">
                <a:solidFill>
                  <a:srgbClr val="000000"/>
                </a:solidFill>
                <a:latin typeface="Arial"/>
                <a:ea typeface="Arial"/>
                <a:cs typeface="Arial"/>
              </a:defRPr>
            </a:pPr>
            <a:r>
              <a:rPr lang="en-GB"/>
              <a:t>DYAA Final Plan Water Supply-Demand Balance and Components of Demand</a:t>
            </a:r>
          </a:p>
        </c:rich>
      </c:tx>
      <c:layout>
        <c:manualLayout>
          <c:xMode val="edge"/>
          <c:yMode val="edge"/>
          <c:x val="0.2095809470200265"/>
          <c:y val="2.9013693730272669E-2"/>
        </c:manualLayout>
      </c:layout>
      <c:overlay val="0"/>
      <c:spPr>
        <a:noFill/>
        <a:ln w="25400">
          <a:noFill/>
        </a:ln>
      </c:spPr>
    </c:title>
    <c:autoTitleDeleted val="0"/>
    <c:plotArea>
      <c:layout>
        <c:manualLayout>
          <c:layoutTarget val="inner"/>
          <c:xMode val="edge"/>
          <c:yMode val="edge"/>
          <c:x val="8.5343266856694813E-2"/>
          <c:y val="0.10444884139344435"/>
          <c:w val="0.89146608097046709"/>
          <c:h val="0.55130264550264552"/>
        </c:manualLayout>
      </c:layout>
      <c:areaChart>
        <c:grouping val="stacked"/>
        <c:varyColors val="0"/>
        <c:ser>
          <c:idx val="6"/>
          <c:order val="0"/>
          <c:tx>
            <c:v>Measured household consumption</c:v>
          </c:tx>
          <c:spPr>
            <a:ln w="25400">
              <a:noFill/>
            </a:ln>
          </c:spPr>
          <c:cat>
            <c:multiLvlStrRef>
              <c:f>}</c:f>
            </c:multiLvlStrRef>
          </c:cat>
          <c:val>
            <c:numRef>
              <c:f>ESWESX!$G$377:$AK$377</c:f>
              <c:numCache>
                <c:formatCode>0.00</c:formatCode>
                <c:ptCount val="31"/>
                <c:pt idx="0">
                  <c:v>0</c:v>
                </c:pt>
                <c:pt idx="1">
                  <c:v>0</c:v>
                </c:pt>
                <c:pt idx="2">
                  <c:v>150.99392196286217</c:v>
                </c:pt>
                <c:pt idx="3">
                  <c:v>151.76561733431393</c:v>
                </c:pt>
                <c:pt idx="4">
                  <c:v>155.50519630099194</c:v>
                </c:pt>
                <c:pt idx="5">
                  <c:v>159.46790818240859</c:v>
                </c:pt>
                <c:pt idx="6">
                  <c:v>175.39650356079326</c:v>
                </c:pt>
                <c:pt idx="7">
                  <c:v>199.21348076695881</c:v>
                </c:pt>
                <c:pt idx="8">
                  <c:v>212.68047229550575</c:v>
                </c:pt>
                <c:pt idx="9">
                  <c:v>219.77422310440144</c:v>
                </c:pt>
                <c:pt idx="10">
                  <c:v>226.77601270898663</c:v>
                </c:pt>
                <c:pt idx="11">
                  <c:v>232.25858449924289</c:v>
                </c:pt>
                <c:pt idx="12">
                  <c:v>236.91715584919618</c:v>
                </c:pt>
                <c:pt idx="13">
                  <c:v>241.01284508193524</c:v>
                </c:pt>
                <c:pt idx="14">
                  <c:v>244.45059997662074</c:v>
                </c:pt>
                <c:pt idx="15">
                  <c:v>247.78235454874135</c:v>
                </c:pt>
                <c:pt idx="16">
                  <c:v>249.23380704383078</c:v>
                </c:pt>
                <c:pt idx="17">
                  <c:v>247.60894063361837</c:v>
                </c:pt>
                <c:pt idx="18">
                  <c:v>246.00594350161711</c:v>
                </c:pt>
                <c:pt idx="19">
                  <c:v>244.53677906814863</c:v>
                </c:pt>
                <c:pt idx="20">
                  <c:v>243.12338313620282</c:v>
                </c:pt>
                <c:pt idx="21">
                  <c:v>238.66859360419383</c:v>
                </c:pt>
                <c:pt idx="22">
                  <c:v>237.36871306447995</c:v>
                </c:pt>
                <c:pt idx="23">
                  <c:v>236.17926992863221</c:v>
                </c:pt>
                <c:pt idx="24">
                  <c:v>235.83468873501457</c:v>
                </c:pt>
                <c:pt idx="25">
                  <c:v>235.5737129671985</c:v>
                </c:pt>
                <c:pt idx="26">
                  <c:v>236.8077451353571</c:v>
                </c:pt>
                <c:pt idx="27">
                  <c:v>233.87362714147056</c:v>
                </c:pt>
                <c:pt idx="28">
                  <c:v>235.22804971190442</c:v>
                </c:pt>
                <c:pt idx="29">
                  <c:v>234.48933481643598</c:v>
                </c:pt>
                <c:pt idx="30">
                  <c:v>235.91227758761391</c:v>
                </c:pt>
              </c:numCache>
            </c:numRef>
          </c:val>
          <c:extLst>
            <c:ext xmlns:c16="http://schemas.microsoft.com/office/drawing/2014/chart" uri="{C3380CC4-5D6E-409C-BE32-E72D297353CC}">
              <c16:uniqueId val="{00000000-D037-493C-A959-27EF40F24C04}"/>
            </c:ext>
          </c:extLst>
        </c:ser>
        <c:ser>
          <c:idx val="0"/>
          <c:order val="1"/>
          <c:tx>
            <c:v>Unmeasured household consumption</c:v>
          </c:tx>
          <c:spPr>
            <a:ln w="25400">
              <a:noFill/>
            </a:ln>
          </c:spPr>
          <c:cat>
            <c:multiLvlStrRef>
              <c:f>}</c:f>
            </c:multiLvlStrRef>
          </c:cat>
          <c:val>
            <c:numRef>
              <c:f>ESWESX!$G$378:$AK$378</c:f>
              <c:numCache>
                <c:formatCode>0.00</c:formatCode>
                <c:ptCount val="31"/>
                <c:pt idx="0">
                  <c:v>0</c:v>
                </c:pt>
                <c:pt idx="1">
                  <c:v>0</c:v>
                </c:pt>
                <c:pt idx="2">
                  <c:v>142.45469610495948</c:v>
                </c:pt>
                <c:pt idx="3">
                  <c:v>136.88205916394443</c:v>
                </c:pt>
                <c:pt idx="4">
                  <c:v>131.3845093671724</c:v>
                </c:pt>
                <c:pt idx="5">
                  <c:v>124.41885192108404</c:v>
                </c:pt>
                <c:pt idx="6">
                  <c:v>105.01879629670337</c:v>
                </c:pt>
                <c:pt idx="7">
                  <c:v>79.155389055102134</c:v>
                </c:pt>
                <c:pt idx="8">
                  <c:v>64.37788909991086</c:v>
                </c:pt>
                <c:pt idx="9">
                  <c:v>55.51636852332463</c:v>
                </c:pt>
                <c:pt idx="10">
                  <c:v>46.135119272367426</c:v>
                </c:pt>
                <c:pt idx="11">
                  <c:v>37.803736458518777</c:v>
                </c:pt>
                <c:pt idx="12">
                  <c:v>30.529732243520829</c:v>
                </c:pt>
                <c:pt idx="13">
                  <c:v>23.436200293606824</c:v>
                </c:pt>
                <c:pt idx="14">
                  <c:v>16.464490946557579</c:v>
                </c:pt>
                <c:pt idx="15">
                  <c:v>9.6680742220213496</c:v>
                </c:pt>
                <c:pt idx="16">
                  <c:v>6.2440995916912705</c:v>
                </c:pt>
                <c:pt idx="17">
                  <c:v>6.1310653361501037</c:v>
                </c:pt>
                <c:pt idx="18">
                  <c:v>6.0192669841088211</c:v>
                </c:pt>
                <c:pt idx="19">
                  <c:v>5.909868815105968</c:v>
                </c:pt>
                <c:pt idx="20">
                  <c:v>5.801118515611777</c:v>
                </c:pt>
                <c:pt idx="21">
                  <c:v>5.6952467424708111</c:v>
                </c:pt>
                <c:pt idx="22">
                  <c:v>5.5904499762128683</c:v>
                </c:pt>
                <c:pt idx="23">
                  <c:v>5.4884067269485568</c:v>
                </c:pt>
                <c:pt idx="24">
                  <c:v>5.4064181527347293</c:v>
                </c:pt>
                <c:pt idx="25">
                  <c:v>5.3256449570801632</c:v>
                </c:pt>
                <c:pt idx="26">
                  <c:v>5.2324368670637185</c:v>
                </c:pt>
                <c:pt idx="27">
                  <c:v>5.1901359864700591</c:v>
                </c:pt>
                <c:pt idx="28">
                  <c:v>5.1478308611754766</c:v>
                </c:pt>
                <c:pt idx="29">
                  <c:v>5.1061029260770292</c:v>
                </c:pt>
                <c:pt idx="30">
                  <c:v>5.0643504683512219</c:v>
                </c:pt>
              </c:numCache>
            </c:numRef>
          </c:val>
          <c:extLst>
            <c:ext xmlns:c16="http://schemas.microsoft.com/office/drawing/2014/chart" uri="{C3380CC4-5D6E-409C-BE32-E72D297353CC}">
              <c16:uniqueId val="{00000001-D037-493C-A959-27EF40F24C04}"/>
            </c:ext>
          </c:extLst>
        </c:ser>
        <c:ser>
          <c:idx val="1"/>
          <c:order val="2"/>
          <c:tx>
            <c:v>Non-household consumption</c:v>
          </c:tx>
          <c:spPr>
            <a:ln w="25400">
              <a:noFill/>
            </a:ln>
          </c:spPr>
          <c:cat>
            <c:multiLvlStrRef>
              <c:f>}</c:f>
            </c:multiLvlStrRef>
          </c:cat>
          <c:val>
            <c:numRef>
              <c:f>ESWESX!$G$379:$AK$379</c:f>
              <c:numCache>
                <c:formatCode>0.00</c:formatCode>
                <c:ptCount val="31"/>
                <c:pt idx="0">
                  <c:v>0</c:v>
                </c:pt>
                <c:pt idx="1">
                  <c:v>0</c:v>
                </c:pt>
                <c:pt idx="2">
                  <c:v>50.392417519343113</c:v>
                </c:pt>
                <c:pt idx="3">
                  <c:v>51.337541457845965</c:v>
                </c:pt>
                <c:pt idx="4">
                  <c:v>53.84507517937535</c:v>
                </c:pt>
                <c:pt idx="5">
                  <c:v>56.309954896085912</c:v>
                </c:pt>
                <c:pt idx="6">
                  <c:v>60.497372559346786</c:v>
                </c:pt>
                <c:pt idx="7">
                  <c:v>60.915464964452184</c:v>
                </c:pt>
                <c:pt idx="8">
                  <c:v>59.710698094838321</c:v>
                </c:pt>
                <c:pt idx="9">
                  <c:v>60.712155747773473</c:v>
                </c:pt>
                <c:pt idx="10">
                  <c:v>61.234330638588602</c:v>
                </c:pt>
                <c:pt idx="11">
                  <c:v>61.154390834104582</c:v>
                </c:pt>
                <c:pt idx="12">
                  <c:v>60.65674594408636</c:v>
                </c:pt>
                <c:pt idx="13">
                  <c:v>60.503062739891448</c:v>
                </c:pt>
                <c:pt idx="14">
                  <c:v>60.187379632120127</c:v>
                </c:pt>
                <c:pt idx="15">
                  <c:v>59.553624830733291</c:v>
                </c:pt>
                <c:pt idx="16">
                  <c:v>58.81099845721608</c:v>
                </c:pt>
                <c:pt idx="17">
                  <c:v>57.730494569504231</c:v>
                </c:pt>
                <c:pt idx="18">
                  <c:v>56.694041942278176</c:v>
                </c:pt>
                <c:pt idx="19">
                  <c:v>56.172490910466443</c:v>
                </c:pt>
                <c:pt idx="20">
                  <c:v>56.165532171380015</c:v>
                </c:pt>
                <c:pt idx="21">
                  <c:v>56.15852652111441</c:v>
                </c:pt>
                <c:pt idx="22">
                  <c:v>56.149870624426562</c:v>
                </c:pt>
                <c:pt idx="23">
                  <c:v>56.140355859154134</c:v>
                </c:pt>
                <c:pt idx="24">
                  <c:v>56.131299884398025</c:v>
                </c:pt>
                <c:pt idx="25">
                  <c:v>56.124841853520749</c:v>
                </c:pt>
                <c:pt idx="26">
                  <c:v>56.120060589437877</c:v>
                </c:pt>
                <c:pt idx="27">
                  <c:v>56.115946212579765</c:v>
                </c:pt>
                <c:pt idx="28">
                  <c:v>56.112413335014331</c:v>
                </c:pt>
                <c:pt idx="29">
                  <c:v>56.109812262880133</c:v>
                </c:pt>
                <c:pt idx="30">
                  <c:v>56.107565627299181</c:v>
                </c:pt>
              </c:numCache>
            </c:numRef>
          </c:val>
          <c:extLst>
            <c:ext xmlns:c16="http://schemas.microsoft.com/office/drawing/2014/chart" uri="{C3380CC4-5D6E-409C-BE32-E72D297353CC}">
              <c16:uniqueId val="{00000002-D037-493C-A959-27EF40F24C04}"/>
            </c:ext>
          </c:extLst>
        </c:ser>
        <c:ser>
          <c:idx val="2"/>
          <c:order val="3"/>
          <c:tx>
            <c:v>Total leakage</c:v>
          </c:tx>
          <c:spPr>
            <a:ln w="25400">
              <a:noFill/>
            </a:ln>
          </c:spPr>
          <c:cat>
            <c:multiLvlStrRef>
              <c:f>}</c:f>
            </c:multiLvlStrRef>
          </c:cat>
          <c:val>
            <c:numRef>
              <c:f>ESWESX!$G$380:$AK$380</c:f>
              <c:numCache>
                <c:formatCode>0.00</c:formatCode>
                <c:ptCount val="31"/>
                <c:pt idx="0">
                  <c:v>0</c:v>
                </c:pt>
                <c:pt idx="1">
                  <c:v>0</c:v>
                </c:pt>
                <c:pt idx="2">
                  <c:v>53.344869343162344</c:v>
                </c:pt>
                <c:pt idx="3">
                  <c:v>52.857053199999996</c:v>
                </c:pt>
                <c:pt idx="4">
                  <c:v>50.790017599999985</c:v>
                </c:pt>
                <c:pt idx="5">
                  <c:v>48.722981999999995</c:v>
                </c:pt>
                <c:pt idx="6">
                  <c:v>48.228415200000001</c:v>
                </c:pt>
                <c:pt idx="7">
                  <c:v>47.733848399999999</c:v>
                </c:pt>
                <c:pt idx="8">
                  <c:v>47.239281599999998</c:v>
                </c:pt>
                <c:pt idx="9">
                  <c:v>46.744714799999997</c:v>
                </c:pt>
                <c:pt idx="10">
                  <c:v>46.250147999999996</c:v>
                </c:pt>
                <c:pt idx="11">
                  <c:v>45.755581199999995</c:v>
                </c:pt>
                <c:pt idx="12">
                  <c:v>45.261014399999993</c:v>
                </c:pt>
                <c:pt idx="13">
                  <c:v>44.766447599999992</c:v>
                </c:pt>
                <c:pt idx="14">
                  <c:v>44.271880799999991</c:v>
                </c:pt>
                <c:pt idx="15">
                  <c:v>43.77731399999999</c:v>
                </c:pt>
                <c:pt idx="16">
                  <c:v>43.282747199999989</c:v>
                </c:pt>
                <c:pt idx="17">
                  <c:v>42.788180399999987</c:v>
                </c:pt>
                <c:pt idx="18">
                  <c:v>42.293613599999986</c:v>
                </c:pt>
                <c:pt idx="19">
                  <c:v>41.799046799999985</c:v>
                </c:pt>
                <c:pt idx="20">
                  <c:v>41.304479999999984</c:v>
                </c:pt>
                <c:pt idx="21">
                  <c:v>40.809913199999983</c:v>
                </c:pt>
                <c:pt idx="22">
                  <c:v>40.315346399999981</c:v>
                </c:pt>
                <c:pt idx="23">
                  <c:v>39.82077959999998</c:v>
                </c:pt>
                <c:pt idx="24">
                  <c:v>39.326212799999979</c:v>
                </c:pt>
                <c:pt idx="25">
                  <c:v>38.831645999999978</c:v>
                </c:pt>
                <c:pt idx="26">
                  <c:v>38.337079199999977</c:v>
                </c:pt>
                <c:pt idx="27">
                  <c:v>37.842512399999976</c:v>
                </c:pt>
                <c:pt idx="28">
                  <c:v>37.347945599999974</c:v>
                </c:pt>
                <c:pt idx="29">
                  <c:v>36.853378799999973</c:v>
                </c:pt>
                <c:pt idx="30">
                  <c:v>36.358812</c:v>
                </c:pt>
              </c:numCache>
            </c:numRef>
          </c:val>
          <c:extLst>
            <c:ext xmlns:c16="http://schemas.microsoft.com/office/drawing/2014/chart" uri="{C3380CC4-5D6E-409C-BE32-E72D297353CC}">
              <c16:uniqueId val="{00000003-D037-493C-A959-27EF40F24C04}"/>
            </c:ext>
          </c:extLst>
        </c:ser>
        <c:ser>
          <c:idx val="3"/>
          <c:order val="4"/>
          <c:tx>
            <c:v>Other components of demand</c:v>
          </c:tx>
          <c:spPr>
            <a:ln w="25400">
              <a:noFill/>
            </a:ln>
          </c:spPr>
          <c:cat>
            <c:multiLvlStrRef>
              <c:f>}</c:f>
            </c:multiLvlStrRef>
          </c:cat>
          <c:val>
            <c:numRef>
              <c:f>ESWESX!$G$381:$AK$381</c:f>
              <c:numCache>
                <c:formatCode>0.00</c:formatCode>
                <c:ptCount val="31"/>
                <c:pt idx="0">
                  <c:v>0</c:v>
                </c:pt>
                <c:pt idx="1">
                  <c:v>0</c:v>
                </c:pt>
                <c:pt idx="2">
                  <c:v>9.7979080421365552</c:v>
                </c:pt>
                <c:pt idx="3">
                  <c:v>9.7984853079883578</c:v>
                </c:pt>
                <c:pt idx="4">
                  <c:v>9.7911104284468138</c:v>
                </c:pt>
                <c:pt idx="5">
                  <c:v>9.7829638246856234</c:v>
                </c:pt>
                <c:pt idx="6">
                  <c:v>9.8109495925564829</c:v>
                </c:pt>
                <c:pt idx="7">
                  <c:v>9.8034625623421334</c:v>
                </c:pt>
                <c:pt idx="8">
                  <c:v>9.7958845121602849</c:v>
                </c:pt>
                <c:pt idx="9">
                  <c:v>9.7888075608949521</c:v>
                </c:pt>
                <c:pt idx="10">
                  <c:v>9.7832807928792818</c:v>
                </c:pt>
                <c:pt idx="11">
                  <c:v>9.7781680115712106</c:v>
                </c:pt>
                <c:pt idx="12">
                  <c:v>9.7733752897818249</c:v>
                </c:pt>
                <c:pt idx="13">
                  <c:v>9.7690376651506767</c:v>
                </c:pt>
                <c:pt idx="14">
                  <c:v>9.7653630459332703</c:v>
                </c:pt>
                <c:pt idx="15">
                  <c:v>9.7611784184433645</c:v>
                </c:pt>
                <c:pt idx="16">
                  <c:v>9.7568378834127429</c:v>
                </c:pt>
                <c:pt idx="17">
                  <c:v>9.7522782600177607</c:v>
                </c:pt>
                <c:pt idx="18">
                  <c:v>9.7476194437705885</c:v>
                </c:pt>
                <c:pt idx="19">
                  <c:v>9.7428706361554873</c:v>
                </c:pt>
                <c:pt idx="20">
                  <c:v>9.7380310512349411</c:v>
                </c:pt>
                <c:pt idx="21">
                  <c:v>9.7331035275950626</c:v>
                </c:pt>
                <c:pt idx="22">
                  <c:v>9.7280812042138223</c:v>
                </c:pt>
                <c:pt idx="23">
                  <c:v>9.7229658844075288</c:v>
                </c:pt>
                <c:pt idx="24">
                  <c:v>9.7177580933531544</c:v>
                </c:pt>
                <c:pt idx="25">
                  <c:v>9.7124571835083771</c:v>
                </c:pt>
                <c:pt idx="26">
                  <c:v>9.7070687971143457</c:v>
                </c:pt>
                <c:pt idx="27">
                  <c:v>9.7015913665413223</c:v>
                </c:pt>
                <c:pt idx="28">
                  <c:v>9.6960256925206068</c:v>
                </c:pt>
                <c:pt idx="29">
                  <c:v>9.690372771821103</c:v>
                </c:pt>
                <c:pt idx="30">
                  <c:v>9.6846342487529569</c:v>
                </c:pt>
              </c:numCache>
            </c:numRef>
          </c:val>
          <c:extLst>
            <c:ext xmlns:c16="http://schemas.microsoft.com/office/drawing/2014/chart" uri="{C3380CC4-5D6E-409C-BE32-E72D297353CC}">
              <c16:uniqueId val="{00000004-D037-493C-A959-27EF40F24C04}"/>
            </c:ext>
          </c:extLst>
        </c:ser>
        <c:dLbls>
          <c:showLegendKey val="0"/>
          <c:showVal val="0"/>
          <c:showCatName val="0"/>
          <c:showSerName val="0"/>
          <c:showPercent val="0"/>
          <c:showBubbleSize val="0"/>
        </c:dLbls>
        <c:axId val="864303240"/>
        <c:axId val="864303632"/>
      </c:areaChart>
      <c:lineChart>
        <c:grouping val="standard"/>
        <c:varyColors val="0"/>
        <c:ser>
          <c:idx val="4"/>
          <c:order val="5"/>
          <c:tx>
            <c:v>Total water available for use</c:v>
          </c:tx>
          <c:spPr>
            <a:ln w="25400"/>
          </c:spPr>
          <c:marker>
            <c:symbol val="none"/>
          </c:marker>
          <c:cat>
            <c:strRef>
              <c:f>ESWESX!$G$376:$CI$376</c:f>
              <c:strCache>
                <c:ptCount val="3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strCache>
            </c:strRef>
          </c:cat>
          <c:val>
            <c:numRef>
              <c:f>ESWESX!$G$382:$AK$382</c:f>
              <c:numCache>
                <c:formatCode>0.00</c:formatCode>
                <c:ptCount val="31"/>
                <c:pt idx="0">
                  <c:v>0</c:v>
                </c:pt>
                <c:pt idx="1">
                  <c:v>0</c:v>
                </c:pt>
                <c:pt idx="2">
                  <c:v>411.07822051013699</c:v>
                </c:pt>
                <c:pt idx="3">
                  <c:v>410.52325237013696</c:v>
                </c:pt>
                <c:pt idx="4">
                  <c:v>409.96509222013697</c:v>
                </c:pt>
                <c:pt idx="5">
                  <c:v>409.06580771469351</c:v>
                </c:pt>
                <c:pt idx="6">
                  <c:v>408.16534502242757</c:v>
                </c:pt>
                <c:pt idx="7">
                  <c:v>407.27772247217126</c:v>
                </c:pt>
                <c:pt idx="8">
                  <c:v>411.04697267943811</c:v>
                </c:pt>
                <c:pt idx="9">
                  <c:v>410.14269042426338</c:v>
                </c:pt>
                <c:pt idx="10">
                  <c:v>413.08702886397185</c:v>
                </c:pt>
                <c:pt idx="11">
                  <c:v>415.17911640197474</c:v>
                </c:pt>
                <c:pt idx="12">
                  <c:v>399.91714900509442</c:v>
                </c:pt>
                <c:pt idx="13">
                  <c:v>402.50466656553897</c:v>
                </c:pt>
                <c:pt idx="14">
                  <c:v>401.5877681828058</c:v>
                </c:pt>
                <c:pt idx="15">
                  <c:v>402.32893518280582</c:v>
                </c:pt>
                <c:pt idx="16">
                  <c:v>421.73996569427777</c:v>
                </c:pt>
                <c:pt idx="17">
                  <c:v>421.14625540427778</c:v>
                </c:pt>
                <c:pt idx="18">
                  <c:v>420.55017182427775</c:v>
                </c:pt>
                <c:pt idx="19">
                  <c:v>419.95175626427778</c:v>
                </c:pt>
                <c:pt idx="20">
                  <c:v>419.35104849427779</c:v>
                </c:pt>
                <c:pt idx="21">
                  <c:v>416.75041130574982</c:v>
                </c:pt>
                <c:pt idx="22">
                  <c:v>416.1452325157498</c:v>
                </c:pt>
                <c:pt idx="23">
                  <c:v>415.53787221574981</c:v>
                </c:pt>
                <c:pt idx="24">
                  <c:v>414.92836472574982</c:v>
                </c:pt>
                <c:pt idx="25">
                  <c:v>414.31674318574983</c:v>
                </c:pt>
                <c:pt idx="26">
                  <c:v>413.7030396257498</c:v>
                </c:pt>
                <c:pt idx="27">
                  <c:v>413.08728500574983</c:v>
                </c:pt>
                <c:pt idx="28">
                  <c:v>412.47183382722181</c:v>
                </c:pt>
                <c:pt idx="29">
                  <c:v>411.85206599722181</c:v>
                </c:pt>
                <c:pt idx="30">
                  <c:v>411.23033416722177</c:v>
                </c:pt>
              </c:numCache>
            </c:numRef>
          </c:val>
          <c:smooth val="0"/>
          <c:extLst>
            <c:ext xmlns:c16="http://schemas.microsoft.com/office/drawing/2014/chart" uri="{C3380CC4-5D6E-409C-BE32-E72D297353CC}">
              <c16:uniqueId val="{00000005-D037-493C-A959-27EF40F24C04}"/>
            </c:ext>
          </c:extLst>
        </c:ser>
        <c:ser>
          <c:idx val="5"/>
          <c:order val="6"/>
          <c:tx>
            <c:v>Total demand + target headroom (final plan)</c:v>
          </c:tx>
          <c:spPr>
            <a:ln w="25400"/>
          </c:spPr>
          <c:marker>
            <c:symbol val="none"/>
          </c:marker>
          <c:cat>
            <c:strRef>
              <c:f>ESWESX!$G$376:$CI$376</c:f>
              <c:strCache>
                <c:ptCount val="3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strCache>
            </c:strRef>
          </c:cat>
          <c:val>
            <c:numRef>
              <c:f>ESWESX!$G$383:$AK$383</c:f>
              <c:numCache>
                <c:formatCode>0.00</c:formatCode>
                <c:ptCount val="31"/>
                <c:pt idx="0">
                  <c:v>0</c:v>
                </c:pt>
                <c:pt idx="1">
                  <c:v>0</c:v>
                </c:pt>
                <c:pt idx="2">
                  <c:v>413.24407080803525</c:v>
                </c:pt>
                <c:pt idx="3">
                  <c:v>409.60592561746967</c:v>
                </c:pt>
                <c:pt idx="4">
                  <c:v>408.43478223403406</c:v>
                </c:pt>
                <c:pt idx="5">
                  <c:v>406.16990375773446</c:v>
                </c:pt>
                <c:pt idx="6">
                  <c:v>406.6294821754222</c:v>
                </c:pt>
                <c:pt idx="7">
                  <c:v>403.87873949543314</c:v>
                </c:pt>
                <c:pt idx="8">
                  <c:v>402.67456608310954</c:v>
                </c:pt>
                <c:pt idx="9">
                  <c:v>400.83856691660526</c:v>
                </c:pt>
                <c:pt idx="10">
                  <c:v>398.01955213981694</c:v>
                </c:pt>
                <c:pt idx="11">
                  <c:v>393.87284362050843</c:v>
                </c:pt>
                <c:pt idx="12">
                  <c:v>389.55183959091806</c:v>
                </c:pt>
                <c:pt idx="13">
                  <c:v>385.49229764137738</c:v>
                </c:pt>
                <c:pt idx="14">
                  <c:v>380.96555820084336</c:v>
                </c:pt>
                <c:pt idx="15">
                  <c:v>375.95308956710437</c:v>
                </c:pt>
                <c:pt idx="16">
                  <c:v>372.44753049587445</c:v>
                </c:pt>
                <c:pt idx="17">
                  <c:v>368.91803560322154</c:v>
                </c:pt>
                <c:pt idx="18">
                  <c:v>365.57291221637774</c:v>
                </c:pt>
                <c:pt idx="19">
                  <c:v>362.75130532395275</c:v>
                </c:pt>
                <c:pt idx="20">
                  <c:v>360.54712444557282</c:v>
                </c:pt>
                <c:pt idx="21">
                  <c:v>357.06864448731886</c:v>
                </c:pt>
                <c:pt idx="22">
                  <c:v>353.52314558677591</c:v>
                </c:pt>
                <c:pt idx="23">
                  <c:v>351.68284391463641</c:v>
                </c:pt>
                <c:pt idx="24">
                  <c:v>350.81534252073607</c:v>
                </c:pt>
                <c:pt idx="25">
                  <c:v>350.04211223533758</c:v>
                </c:pt>
                <c:pt idx="26">
                  <c:v>351.06642079291561</c:v>
                </c:pt>
                <c:pt idx="27">
                  <c:v>350.0875503417322</c:v>
                </c:pt>
                <c:pt idx="28">
                  <c:v>348.03815099956455</c:v>
                </c:pt>
                <c:pt idx="29">
                  <c:v>348.25987152449255</c:v>
                </c:pt>
                <c:pt idx="30">
                  <c:v>347.77799644424209</c:v>
                </c:pt>
              </c:numCache>
            </c:numRef>
          </c:val>
          <c:smooth val="0"/>
          <c:extLst>
            <c:ext xmlns:c16="http://schemas.microsoft.com/office/drawing/2014/chart" uri="{C3380CC4-5D6E-409C-BE32-E72D297353CC}">
              <c16:uniqueId val="{00000006-D037-493C-A959-27EF40F24C04}"/>
            </c:ext>
          </c:extLst>
        </c:ser>
        <c:dLbls>
          <c:showLegendKey val="0"/>
          <c:showVal val="0"/>
          <c:showCatName val="0"/>
          <c:showSerName val="0"/>
          <c:showPercent val="0"/>
          <c:showBubbleSize val="0"/>
        </c:dLbls>
        <c:marker val="1"/>
        <c:smooth val="0"/>
        <c:axId val="864303240"/>
        <c:axId val="864303632"/>
      </c:lineChart>
      <c:catAx>
        <c:axId val="864303240"/>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en-US"/>
          </a:p>
        </c:txPr>
        <c:crossAx val="864303632"/>
        <c:crosses val="autoZero"/>
        <c:auto val="1"/>
        <c:lblAlgn val="ctr"/>
        <c:lblOffset val="100"/>
        <c:tickLblSkip val="2"/>
        <c:tickMarkSkip val="1"/>
        <c:noMultiLvlLbl val="0"/>
      </c:catAx>
      <c:valAx>
        <c:axId val="864303632"/>
        <c:scaling>
          <c:orientation val="minMax"/>
          <c:max val="600"/>
        </c:scaling>
        <c:delete val="0"/>
        <c:axPos val="l"/>
        <c:majorGridlines>
          <c:spPr>
            <a:ln w="3175">
              <a:solidFill>
                <a:srgbClr val="000000"/>
              </a:solidFill>
              <a:prstDash val="solid"/>
            </a:ln>
          </c:spPr>
        </c:majorGridlines>
        <c:title>
          <c:tx>
            <c:rich>
              <a:bodyPr/>
              <a:lstStyle/>
              <a:p>
                <a:pPr>
                  <a:defRPr sz="1175" b="1" i="0" u="none" strike="noStrike" baseline="0">
                    <a:solidFill>
                      <a:srgbClr val="000000"/>
                    </a:solidFill>
                    <a:latin typeface="Arial"/>
                    <a:ea typeface="Arial"/>
                    <a:cs typeface="Arial"/>
                  </a:defRPr>
                </a:pPr>
                <a:r>
                  <a:rPr lang="en-GB"/>
                  <a:t>Ml/d</a:t>
                </a:r>
              </a:p>
            </c:rich>
          </c:tx>
          <c:layout>
            <c:manualLayout>
              <c:xMode val="edge"/>
              <c:yMode val="edge"/>
              <c:x val="2.0359337875782983E-2"/>
              <c:y val="0.39858528733632054"/>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864303240"/>
        <c:crosses val="autoZero"/>
        <c:crossBetween val="midCat"/>
      </c:valAx>
      <c:spPr>
        <a:solidFill>
          <a:schemeClr val="bg1"/>
        </a:solidFill>
        <a:ln w="12700">
          <a:solidFill>
            <a:srgbClr val="808080"/>
          </a:solidFill>
          <a:prstDash val="solid"/>
        </a:ln>
      </c:spPr>
    </c:plotArea>
    <c:legend>
      <c:legendPos val="b"/>
      <c:legendEntry>
        <c:idx val="0"/>
        <c:txPr>
          <a:bodyPr/>
          <a:lstStyle/>
          <a:p>
            <a:pPr>
              <a:defRPr sz="1000" b="0" i="0" u="none" strike="noStrike" baseline="0">
                <a:solidFill>
                  <a:srgbClr val="000000"/>
                </a:solidFill>
                <a:latin typeface="Arial"/>
                <a:ea typeface="Arial"/>
                <a:cs typeface="Arial"/>
              </a:defRPr>
            </a:pPr>
            <a:endParaRPr lang="en-US"/>
          </a:p>
        </c:txPr>
      </c:legendEntry>
      <c:layout>
        <c:manualLayout>
          <c:xMode val="edge"/>
          <c:yMode val="edge"/>
          <c:x val="0.16452269470774322"/>
          <c:y val="0.82158446545736608"/>
          <c:w val="0.7156398695723647"/>
          <c:h val="0.16402912270077008"/>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0"/>
    <c:dispBlanksAs val="zero"/>
    <c:showDLblsOverMax val="0"/>
  </c:chart>
  <c:spPr>
    <a:solidFill>
      <a:schemeClr val="accent4"/>
    </a:solidFill>
    <a:ln w="3175">
      <a:solidFill>
        <a:srgbClr val="000000"/>
      </a:solidFill>
      <a:prstDash val="solid"/>
    </a:ln>
  </c:spPr>
  <c:txPr>
    <a:bodyPr/>
    <a:lstStyle/>
    <a:p>
      <a:pPr>
        <a:defRPr sz="975" b="0" i="0" u="none" strike="noStrike" baseline="0">
          <a:solidFill>
            <a:srgbClr val="000000"/>
          </a:solidFill>
          <a:latin typeface="Arial"/>
          <a:ea typeface="Arial"/>
          <a:cs typeface="Arial"/>
        </a:defRPr>
      </a:pPr>
      <a:endParaRPr lang="en-US"/>
    </a:p>
  </c:txPr>
  <c:printSettings>
    <c:headerFooter alignWithMargins="0"/>
    <c:pageMargins b="1" l="0.75000000000000622" r="0.75000000000000622" t="1" header="0.5" footer="0.5"/>
    <c:pageSetup paperSize="9" orientation="landscape"/>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75" b="1" i="0" u="none" strike="noStrike" baseline="0">
                <a:solidFill>
                  <a:srgbClr val="000000"/>
                </a:solidFill>
                <a:latin typeface="Arial"/>
                <a:ea typeface="Arial"/>
                <a:cs typeface="Arial"/>
              </a:defRPr>
            </a:pPr>
            <a:r>
              <a:rPr lang="en-GB"/>
              <a:t>DYCP Baseline Water Supply-Demand Balance and Components of Demand</a:t>
            </a:r>
          </a:p>
        </c:rich>
      </c:tx>
      <c:layout>
        <c:manualLayout>
          <c:xMode val="edge"/>
          <c:yMode val="edge"/>
          <c:x val="0.2095809470200265"/>
          <c:y val="2.9013693730272669E-2"/>
        </c:manualLayout>
      </c:layout>
      <c:overlay val="0"/>
      <c:spPr>
        <a:noFill/>
        <a:ln w="25400">
          <a:noFill/>
        </a:ln>
      </c:spPr>
    </c:title>
    <c:autoTitleDeleted val="0"/>
    <c:plotArea>
      <c:layout>
        <c:manualLayout>
          <c:layoutTarget val="inner"/>
          <c:xMode val="edge"/>
          <c:yMode val="edge"/>
          <c:x val="8.5343266856694813E-2"/>
          <c:y val="0.10444884139344435"/>
          <c:w val="0.89146608097046709"/>
          <c:h val="0.55130264550264552"/>
        </c:manualLayout>
      </c:layout>
      <c:areaChart>
        <c:grouping val="stacked"/>
        <c:varyColors val="0"/>
        <c:ser>
          <c:idx val="6"/>
          <c:order val="0"/>
          <c:tx>
            <c:v>Measured household consumption</c:v>
          </c:tx>
          <c:spPr>
            <a:ln w="25400">
              <a:noFill/>
            </a:ln>
          </c:spPr>
          <c:cat>
            <c:multiLvlStrRef>
              <c:f>}</c:f>
            </c:multiLvlStrRef>
          </c:cat>
          <c:val>
            <c:numRef>
              <c:f>ESWESX!$G$386:$AK$386</c:f>
              <c:numCache>
                <c:formatCode>0.00</c:formatCode>
                <c:ptCount val="31"/>
                <c:pt idx="0">
                  <c:v>0</c:v>
                </c:pt>
                <c:pt idx="1">
                  <c:v>0</c:v>
                </c:pt>
                <c:pt idx="2">
                  <c:v>187.51615008623548</c:v>
                </c:pt>
                <c:pt idx="3">
                  <c:v>188.33554577058254</c:v>
                </c:pt>
                <c:pt idx="4">
                  <c:v>192.98076655817712</c:v>
                </c:pt>
                <c:pt idx="5">
                  <c:v>197.90253884428881</c:v>
                </c:pt>
                <c:pt idx="6">
                  <c:v>210.76619623030174</c:v>
                </c:pt>
                <c:pt idx="7">
                  <c:v>227.11082604000302</c:v>
                </c:pt>
                <c:pt idx="8">
                  <c:v>237.40909785269716</c:v>
                </c:pt>
                <c:pt idx="9">
                  <c:v>242.43040074990324</c:v>
                </c:pt>
                <c:pt idx="10">
                  <c:v>246.68328883692894</c:v>
                </c:pt>
                <c:pt idx="11">
                  <c:v>249.67695107418442</c:v>
                </c:pt>
                <c:pt idx="12">
                  <c:v>252.45879317584809</c:v>
                </c:pt>
                <c:pt idx="13">
                  <c:v>254.63529190986978</c:v>
                </c:pt>
                <c:pt idx="14">
                  <c:v>256.92024993118758</c:v>
                </c:pt>
                <c:pt idx="15">
                  <c:v>259.11549877833875</c:v>
                </c:pt>
                <c:pt idx="16">
                  <c:v>261.28519300203374</c:v>
                </c:pt>
                <c:pt idx="17">
                  <c:v>263.22449869982688</c:v>
                </c:pt>
                <c:pt idx="18">
                  <c:v>265.35440049819977</c:v>
                </c:pt>
                <c:pt idx="19">
                  <c:v>267.63169015526307</c:v>
                </c:pt>
                <c:pt idx="20">
                  <c:v>269.98156146118771</c:v>
                </c:pt>
                <c:pt idx="21">
                  <c:v>271.96391552461267</c:v>
                </c:pt>
                <c:pt idx="22">
                  <c:v>274.3276100323385</c:v>
                </c:pt>
                <c:pt idx="23">
                  <c:v>276.80332291415209</c:v>
                </c:pt>
                <c:pt idx="24">
                  <c:v>279.38356018756093</c:v>
                </c:pt>
                <c:pt idx="25">
                  <c:v>282.07448756026616</c:v>
                </c:pt>
                <c:pt idx="26">
                  <c:v>284.7944552334028</c:v>
                </c:pt>
                <c:pt idx="27">
                  <c:v>287.60037566229983</c:v>
                </c:pt>
                <c:pt idx="28">
                  <c:v>290.48813702937849</c:v>
                </c:pt>
                <c:pt idx="29">
                  <c:v>293.4526484531836</c:v>
                </c:pt>
                <c:pt idx="30">
                  <c:v>296.43771839515995</c:v>
                </c:pt>
              </c:numCache>
            </c:numRef>
          </c:val>
          <c:extLst>
            <c:ext xmlns:c16="http://schemas.microsoft.com/office/drawing/2014/chart" uri="{C3380CC4-5D6E-409C-BE32-E72D297353CC}">
              <c16:uniqueId val="{00000000-12E1-4935-9A55-45C0E8B21EF7}"/>
            </c:ext>
          </c:extLst>
        </c:ser>
        <c:ser>
          <c:idx val="0"/>
          <c:order val="1"/>
          <c:tx>
            <c:v>Unmeasured household consumption</c:v>
          </c:tx>
          <c:spPr>
            <a:ln w="25400">
              <a:noFill/>
            </a:ln>
          </c:spPr>
          <c:cat>
            <c:multiLvlStrRef>
              <c:f>}</c:f>
            </c:multiLvlStrRef>
          </c:cat>
          <c:val>
            <c:numRef>
              <c:f>ESWESX!$G$387:$AK$387</c:f>
              <c:numCache>
                <c:formatCode>0.00</c:formatCode>
                <c:ptCount val="31"/>
                <c:pt idx="0">
                  <c:v>0</c:v>
                </c:pt>
                <c:pt idx="1">
                  <c:v>0</c:v>
                </c:pt>
                <c:pt idx="2">
                  <c:v>193.29541803641143</c:v>
                </c:pt>
                <c:pt idx="3">
                  <c:v>185.73396013764904</c:v>
                </c:pt>
                <c:pt idx="4">
                  <c:v>178.27438726853077</c:v>
                </c:pt>
                <c:pt idx="5">
                  <c:v>168.82275313673597</c:v>
                </c:pt>
                <c:pt idx="6">
                  <c:v>153.23275355175829</c:v>
                </c:pt>
                <c:pt idx="7">
                  <c:v>135.03725433127519</c:v>
                </c:pt>
                <c:pt idx="8">
                  <c:v>125.85637365287836</c:v>
                </c:pt>
                <c:pt idx="9">
                  <c:v>122.67745265836859</c:v>
                </c:pt>
                <c:pt idx="10">
                  <c:v>119.50171500259682</c:v>
                </c:pt>
                <c:pt idx="11">
                  <c:v>116.91014227595342</c:v>
                </c:pt>
                <c:pt idx="12">
                  <c:v>114.87845250581485</c:v>
                </c:pt>
                <c:pt idx="13">
                  <c:v>112.87145083597525</c:v>
                </c:pt>
                <c:pt idx="14">
                  <c:v>110.87001783677228</c:v>
                </c:pt>
                <c:pt idx="15">
                  <c:v>108.90256767435245</c:v>
                </c:pt>
                <c:pt idx="16">
                  <c:v>107.38190900537046</c:v>
                </c:pt>
                <c:pt idx="17">
                  <c:v>106.31577556343595</c:v>
                </c:pt>
                <c:pt idx="18">
                  <c:v>105.26063669544966</c:v>
                </c:pt>
                <c:pt idx="19">
                  <c:v>104.23485062369079</c:v>
                </c:pt>
                <c:pt idx="20">
                  <c:v>103.2118950464737</c:v>
                </c:pt>
                <c:pt idx="21">
                  <c:v>102.2081925253689</c:v>
                </c:pt>
                <c:pt idx="22">
                  <c:v>101.21422158652889</c:v>
                </c:pt>
                <c:pt idx="23">
                  <c:v>100.25580105107638</c:v>
                </c:pt>
                <c:pt idx="24">
                  <c:v>99.30618964819547</c:v>
                </c:pt>
                <c:pt idx="25">
                  <c:v>98.374026622558674</c:v>
                </c:pt>
                <c:pt idx="26">
                  <c:v>97.450313446206437</c:v>
                </c:pt>
                <c:pt idx="27">
                  <c:v>96.560980514473727</c:v>
                </c:pt>
                <c:pt idx="28">
                  <c:v>95.679202283991074</c:v>
                </c:pt>
                <c:pt idx="29">
                  <c:v>94.81356758142725</c:v>
                </c:pt>
                <c:pt idx="30">
                  <c:v>93.954972779723249</c:v>
                </c:pt>
              </c:numCache>
            </c:numRef>
          </c:val>
          <c:extLst>
            <c:ext xmlns:c16="http://schemas.microsoft.com/office/drawing/2014/chart" uri="{C3380CC4-5D6E-409C-BE32-E72D297353CC}">
              <c16:uniqueId val="{00000001-12E1-4935-9A55-45C0E8B21EF7}"/>
            </c:ext>
          </c:extLst>
        </c:ser>
        <c:ser>
          <c:idx val="1"/>
          <c:order val="2"/>
          <c:tx>
            <c:v>Non-household consumption</c:v>
          </c:tx>
          <c:spPr>
            <a:ln w="25400">
              <a:noFill/>
            </a:ln>
          </c:spPr>
          <c:cat>
            <c:multiLvlStrRef>
              <c:f>}</c:f>
            </c:multiLvlStrRef>
          </c:cat>
          <c:val>
            <c:numRef>
              <c:f>ESWESX!$G$388:$AK$388</c:f>
              <c:numCache>
                <c:formatCode>0.00</c:formatCode>
                <c:ptCount val="31"/>
                <c:pt idx="0">
                  <c:v>0</c:v>
                </c:pt>
                <c:pt idx="1">
                  <c:v>0</c:v>
                </c:pt>
                <c:pt idx="2">
                  <c:v>52.561438366108199</c:v>
                </c:pt>
                <c:pt idx="3">
                  <c:v>51.678562345371311</c:v>
                </c:pt>
                <c:pt idx="4">
                  <c:v>54.173866431900862</c:v>
                </c:pt>
                <c:pt idx="5">
                  <c:v>56.6264264596403</c:v>
                </c:pt>
                <c:pt idx="6">
                  <c:v>61.133204926460763</c:v>
                </c:pt>
                <c:pt idx="7">
                  <c:v>61.943737852479778</c:v>
                </c:pt>
                <c:pt idx="8">
                  <c:v>61.130396865425297</c:v>
                </c:pt>
                <c:pt idx="9">
                  <c:v>62.523197733923126</c:v>
                </c:pt>
                <c:pt idx="10">
                  <c:v>63.392397600620718</c:v>
                </c:pt>
                <c:pt idx="11">
                  <c:v>63.85004743184659</c:v>
                </c:pt>
                <c:pt idx="12">
                  <c:v>63.845740071455424</c:v>
                </c:pt>
                <c:pt idx="13">
                  <c:v>64.185377863488213</c:v>
                </c:pt>
                <c:pt idx="14">
                  <c:v>64.362999218545241</c:v>
                </c:pt>
                <c:pt idx="15">
                  <c:v>64.222532346587457</c:v>
                </c:pt>
                <c:pt idx="16">
                  <c:v>63.945816719446206</c:v>
                </c:pt>
                <c:pt idx="17">
                  <c:v>63.331207914889895</c:v>
                </c:pt>
                <c:pt idx="18">
                  <c:v>62.760634707598939</c:v>
                </c:pt>
                <c:pt idx="19">
                  <c:v>62.234354807668552</c:v>
                </c:pt>
                <c:pt idx="20">
                  <c:v>62.222651537243053</c:v>
                </c:pt>
                <c:pt idx="21">
                  <c:v>62.210885692417939</c:v>
                </c:pt>
                <c:pt idx="22">
                  <c:v>62.197453937950151</c:v>
                </c:pt>
                <c:pt idx="23">
                  <c:v>62.183147651677345</c:v>
                </c:pt>
                <c:pt idx="24">
                  <c:v>62.169284492700449</c:v>
                </c:pt>
                <c:pt idx="25">
                  <c:v>62.15800361438194</c:v>
                </c:pt>
                <c:pt idx="26">
                  <c:v>62.148383839637418</c:v>
                </c:pt>
                <c:pt idx="27">
                  <c:v>62.139415288897219</c:v>
                </c:pt>
                <c:pt idx="28">
                  <c:v>62.131012574229281</c:v>
                </c:pt>
                <c:pt idx="29">
                  <c:v>62.123526001772142</c:v>
                </c:pt>
                <c:pt idx="30">
                  <c:v>62.116378202647809</c:v>
                </c:pt>
              </c:numCache>
            </c:numRef>
          </c:val>
          <c:extLst>
            <c:ext xmlns:c16="http://schemas.microsoft.com/office/drawing/2014/chart" uri="{C3380CC4-5D6E-409C-BE32-E72D297353CC}">
              <c16:uniqueId val="{00000002-12E1-4935-9A55-45C0E8B21EF7}"/>
            </c:ext>
          </c:extLst>
        </c:ser>
        <c:ser>
          <c:idx val="2"/>
          <c:order val="3"/>
          <c:tx>
            <c:v>Total leakage</c:v>
          </c:tx>
          <c:spPr>
            <a:ln w="25400">
              <a:noFill/>
            </a:ln>
          </c:spPr>
          <c:cat>
            <c:multiLvlStrRef>
              <c:f>}</c:f>
            </c:multiLvlStrRef>
          </c:cat>
          <c:val>
            <c:numRef>
              <c:f>ESWESX!$G$389:$AK$389</c:f>
              <c:numCache>
                <c:formatCode>0.00</c:formatCode>
                <c:ptCount val="31"/>
                <c:pt idx="0">
                  <c:v>0</c:v>
                </c:pt>
                <c:pt idx="1">
                  <c:v>0</c:v>
                </c:pt>
                <c:pt idx="2">
                  <c:v>53.344869343162344</c:v>
                </c:pt>
                <c:pt idx="3">
                  <c:v>52.857053199999996</c:v>
                </c:pt>
                <c:pt idx="4">
                  <c:v>50.790017599999985</c:v>
                </c:pt>
                <c:pt idx="5">
                  <c:v>48.722981999999995</c:v>
                </c:pt>
                <c:pt idx="6">
                  <c:v>48.722982000000002</c:v>
                </c:pt>
                <c:pt idx="7">
                  <c:v>48.722982000000002</c:v>
                </c:pt>
                <c:pt idx="8">
                  <c:v>48.722982000000002</c:v>
                </c:pt>
                <c:pt idx="9">
                  <c:v>48.722982000000002</c:v>
                </c:pt>
                <c:pt idx="10">
                  <c:v>48.722982000000002</c:v>
                </c:pt>
                <c:pt idx="11">
                  <c:v>48.722982000000002</c:v>
                </c:pt>
                <c:pt idx="12">
                  <c:v>48.722982000000002</c:v>
                </c:pt>
                <c:pt idx="13">
                  <c:v>48.722982000000002</c:v>
                </c:pt>
                <c:pt idx="14">
                  <c:v>48.722982000000002</c:v>
                </c:pt>
                <c:pt idx="15">
                  <c:v>48.722981999999995</c:v>
                </c:pt>
                <c:pt idx="16">
                  <c:v>48.722982000000002</c:v>
                </c:pt>
                <c:pt idx="17">
                  <c:v>48.722982000000002</c:v>
                </c:pt>
                <c:pt idx="18">
                  <c:v>48.722982000000002</c:v>
                </c:pt>
                <c:pt idx="19">
                  <c:v>48.722981999999995</c:v>
                </c:pt>
                <c:pt idx="20">
                  <c:v>48.722982000000002</c:v>
                </c:pt>
                <c:pt idx="21">
                  <c:v>48.722982000000002</c:v>
                </c:pt>
                <c:pt idx="22">
                  <c:v>48.722982000000002</c:v>
                </c:pt>
                <c:pt idx="23">
                  <c:v>48.722982000000002</c:v>
                </c:pt>
                <c:pt idx="24">
                  <c:v>48.722982000000002</c:v>
                </c:pt>
                <c:pt idx="25">
                  <c:v>48.722982000000002</c:v>
                </c:pt>
                <c:pt idx="26">
                  <c:v>48.722982000000002</c:v>
                </c:pt>
                <c:pt idx="27">
                  <c:v>48.722982000000002</c:v>
                </c:pt>
                <c:pt idx="28">
                  <c:v>48.722982000000002</c:v>
                </c:pt>
                <c:pt idx="29">
                  <c:v>48.722982000000002</c:v>
                </c:pt>
                <c:pt idx="30">
                  <c:v>48.722982000000002</c:v>
                </c:pt>
              </c:numCache>
            </c:numRef>
          </c:val>
          <c:extLst>
            <c:ext xmlns:c16="http://schemas.microsoft.com/office/drawing/2014/chart" uri="{C3380CC4-5D6E-409C-BE32-E72D297353CC}">
              <c16:uniqueId val="{00000003-12E1-4935-9A55-45C0E8B21EF7}"/>
            </c:ext>
          </c:extLst>
        </c:ser>
        <c:ser>
          <c:idx val="3"/>
          <c:order val="4"/>
          <c:tx>
            <c:v>Other components of demand</c:v>
          </c:tx>
          <c:spPr>
            <a:ln w="25400">
              <a:noFill/>
            </a:ln>
          </c:spPr>
          <c:cat>
            <c:multiLvlStrRef>
              <c:f>}</c:f>
            </c:multiLvlStrRef>
          </c:cat>
          <c:val>
            <c:numRef>
              <c:f>ESWESX!$G$390:$AK$390</c:f>
              <c:numCache>
                <c:formatCode>0.00</c:formatCode>
                <c:ptCount val="31"/>
                <c:pt idx="0">
                  <c:v>0</c:v>
                </c:pt>
                <c:pt idx="1">
                  <c:v>0</c:v>
                </c:pt>
                <c:pt idx="2">
                  <c:v>9.797908042136612</c:v>
                </c:pt>
                <c:pt idx="3">
                  <c:v>9.7984853079884147</c:v>
                </c:pt>
                <c:pt idx="4">
                  <c:v>9.7911104284467569</c:v>
                </c:pt>
                <c:pt idx="5">
                  <c:v>9.7829638246856234</c:v>
                </c:pt>
                <c:pt idx="6">
                  <c:v>9.8103153561885392</c:v>
                </c:pt>
                <c:pt idx="7">
                  <c:v>9.801637268851664</c:v>
                </c:pt>
                <c:pt idx="8">
                  <c:v>9.7929251219247817</c:v>
                </c:pt>
                <c:pt idx="9">
                  <c:v>9.7846731634433013</c:v>
                </c:pt>
                <c:pt idx="10">
                  <c:v>9.7782060136802897</c:v>
                </c:pt>
                <c:pt idx="11">
                  <c:v>9.7726742215031095</c:v>
                </c:pt>
                <c:pt idx="12">
                  <c:v>9.767728779018455</c:v>
                </c:pt>
                <c:pt idx="13">
                  <c:v>9.7632384336921518</c:v>
                </c:pt>
                <c:pt idx="14">
                  <c:v>9.7594110937794198</c:v>
                </c:pt>
                <c:pt idx="15">
                  <c:v>9.7550737455943022</c:v>
                </c:pt>
                <c:pt idx="16">
                  <c:v>9.7506681610083206</c:v>
                </c:pt>
                <c:pt idx="17">
                  <c:v>9.746131159198228</c:v>
                </c:pt>
                <c:pt idx="18">
                  <c:v>9.741494964535832</c:v>
                </c:pt>
                <c:pt idx="19">
                  <c:v>9.73676877850545</c:v>
                </c:pt>
                <c:pt idx="20">
                  <c:v>9.7319518151697366</c:v>
                </c:pt>
                <c:pt idx="21">
                  <c:v>9.7270469131145205</c:v>
                </c:pt>
                <c:pt idx="22">
                  <c:v>9.7220472113182836</c:v>
                </c:pt>
                <c:pt idx="23">
                  <c:v>9.7169545130967094</c:v>
                </c:pt>
                <c:pt idx="24">
                  <c:v>9.7117693436270542</c:v>
                </c:pt>
                <c:pt idx="25">
                  <c:v>9.7064910553670529</c:v>
                </c:pt>
                <c:pt idx="26">
                  <c:v>9.7011252905577976</c:v>
                </c:pt>
                <c:pt idx="27">
                  <c:v>9.6956704815694934</c:v>
                </c:pt>
                <c:pt idx="28">
                  <c:v>9.690127429133554</c:v>
                </c:pt>
                <c:pt idx="29">
                  <c:v>9.68449713001894</c:v>
                </c:pt>
                <c:pt idx="30">
                  <c:v>9.678781228535513</c:v>
                </c:pt>
              </c:numCache>
            </c:numRef>
          </c:val>
          <c:extLst>
            <c:ext xmlns:c16="http://schemas.microsoft.com/office/drawing/2014/chart" uri="{C3380CC4-5D6E-409C-BE32-E72D297353CC}">
              <c16:uniqueId val="{00000004-12E1-4935-9A55-45C0E8B21EF7}"/>
            </c:ext>
          </c:extLst>
        </c:ser>
        <c:dLbls>
          <c:showLegendKey val="0"/>
          <c:showVal val="0"/>
          <c:showCatName val="0"/>
          <c:showSerName val="0"/>
          <c:showPercent val="0"/>
          <c:showBubbleSize val="0"/>
        </c:dLbls>
        <c:axId val="864304416"/>
        <c:axId val="864304808"/>
      </c:areaChart>
      <c:lineChart>
        <c:grouping val="standard"/>
        <c:varyColors val="0"/>
        <c:ser>
          <c:idx val="4"/>
          <c:order val="5"/>
          <c:tx>
            <c:v>Total water available for use</c:v>
          </c:tx>
          <c:spPr>
            <a:ln w="25400"/>
          </c:spPr>
          <c:marker>
            <c:symbol val="none"/>
          </c:marker>
          <c:cat>
            <c:strRef>
              <c:f>ESWESX!$G$385:$CI$385</c:f>
              <c:strCache>
                <c:ptCount val="3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strCache>
            </c:strRef>
          </c:cat>
          <c:val>
            <c:numRef>
              <c:f>ESWESX!$G$391:$AK$391</c:f>
              <c:numCache>
                <c:formatCode>0.00</c:formatCode>
                <c:ptCount val="31"/>
                <c:pt idx="0">
                  <c:v>0</c:v>
                </c:pt>
                <c:pt idx="1">
                  <c:v>0</c:v>
                </c:pt>
                <c:pt idx="2">
                  <c:v>486.31576232105431</c:v>
                </c:pt>
                <c:pt idx="3">
                  <c:v>486.31576232105431</c:v>
                </c:pt>
                <c:pt idx="4">
                  <c:v>486.31576232105431</c:v>
                </c:pt>
                <c:pt idx="5">
                  <c:v>485.97775074561082</c:v>
                </c:pt>
                <c:pt idx="6">
                  <c:v>485.64159880334489</c:v>
                </c:pt>
                <c:pt idx="7">
                  <c:v>483.82125374308856</c:v>
                </c:pt>
                <c:pt idx="8">
                  <c:v>483.49068070035543</c:v>
                </c:pt>
                <c:pt idx="9">
                  <c:v>483.15941029518069</c:v>
                </c:pt>
                <c:pt idx="10">
                  <c:v>482.82953461488921</c:v>
                </c:pt>
                <c:pt idx="11">
                  <c:v>477.50012384289209</c:v>
                </c:pt>
                <c:pt idx="12">
                  <c:v>477.16931834601178</c:v>
                </c:pt>
                <c:pt idx="13">
                  <c:v>476.8406049364562</c:v>
                </c:pt>
                <c:pt idx="14">
                  <c:v>476.51003189372312</c:v>
                </c:pt>
                <c:pt idx="15">
                  <c:v>478.01003189372312</c:v>
                </c:pt>
                <c:pt idx="16">
                  <c:v>498.0123564351951</c:v>
                </c:pt>
                <c:pt idx="17">
                  <c:v>498.0123564351951</c:v>
                </c:pt>
                <c:pt idx="18">
                  <c:v>498.0123564351951</c:v>
                </c:pt>
                <c:pt idx="19">
                  <c:v>498.0123564351951</c:v>
                </c:pt>
                <c:pt idx="20">
                  <c:v>498.0123564351951</c:v>
                </c:pt>
                <c:pt idx="21">
                  <c:v>496.01468097666714</c:v>
                </c:pt>
                <c:pt idx="22">
                  <c:v>496.01468097666714</c:v>
                </c:pt>
                <c:pt idx="23">
                  <c:v>496.01468097666714</c:v>
                </c:pt>
                <c:pt idx="24">
                  <c:v>496.01468097666714</c:v>
                </c:pt>
                <c:pt idx="25">
                  <c:v>496.01468097666714</c:v>
                </c:pt>
                <c:pt idx="26">
                  <c:v>496.01468097666714</c:v>
                </c:pt>
                <c:pt idx="27">
                  <c:v>496.01468097666714</c:v>
                </c:pt>
                <c:pt idx="28">
                  <c:v>496.01700551813911</c:v>
                </c:pt>
                <c:pt idx="29">
                  <c:v>496.01700551813911</c:v>
                </c:pt>
                <c:pt idx="30">
                  <c:v>496.01700551813911</c:v>
                </c:pt>
              </c:numCache>
            </c:numRef>
          </c:val>
          <c:smooth val="0"/>
          <c:extLst>
            <c:ext xmlns:c16="http://schemas.microsoft.com/office/drawing/2014/chart" uri="{C3380CC4-5D6E-409C-BE32-E72D297353CC}">
              <c16:uniqueId val="{00000005-12E1-4935-9A55-45C0E8B21EF7}"/>
            </c:ext>
          </c:extLst>
        </c:ser>
        <c:ser>
          <c:idx val="5"/>
          <c:order val="6"/>
          <c:tx>
            <c:v>Total demand + target headroom (baseline)</c:v>
          </c:tx>
          <c:spPr>
            <a:ln w="25400"/>
          </c:spPr>
          <c:marker>
            <c:symbol val="none"/>
          </c:marker>
          <c:cat>
            <c:strRef>
              <c:f>ESWESX!$G$385:$CI$385</c:f>
              <c:strCache>
                <c:ptCount val="3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strCache>
            </c:strRef>
          </c:cat>
          <c:val>
            <c:numRef>
              <c:f>ESWESX!$G$392:$AK$392</c:f>
              <c:numCache>
                <c:formatCode>0.00</c:formatCode>
                <c:ptCount val="31"/>
                <c:pt idx="0">
                  <c:v>0</c:v>
                </c:pt>
                <c:pt idx="1">
                  <c:v>0</c:v>
                </c:pt>
                <c:pt idx="2">
                  <c:v>503.14983665695337</c:v>
                </c:pt>
                <c:pt idx="3">
                  <c:v>497.59427503920034</c:v>
                </c:pt>
                <c:pt idx="4">
                  <c:v>495.3357952175266</c:v>
                </c:pt>
                <c:pt idx="5">
                  <c:v>491.28255545134982</c:v>
                </c:pt>
                <c:pt idx="6">
                  <c:v>493.46249265712845</c:v>
                </c:pt>
                <c:pt idx="7">
                  <c:v>492.07252161721038</c:v>
                </c:pt>
                <c:pt idx="8">
                  <c:v>492.09679172958425</c:v>
                </c:pt>
                <c:pt idx="9">
                  <c:v>495.075669528189</c:v>
                </c:pt>
                <c:pt idx="10">
                  <c:v>496.81718431021147</c:v>
                </c:pt>
                <c:pt idx="11">
                  <c:v>497.48742009104149</c:v>
                </c:pt>
                <c:pt idx="12">
                  <c:v>497.79160088880178</c:v>
                </c:pt>
                <c:pt idx="13">
                  <c:v>498.18040594064081</c:v>
                </c:pt>
                <c:pt idx="14">
                  <c:v>498.64528031509155</c:v>
                </c:pt>
                <c:pt idx="15">
                  <c:v>498.56396848370673</c:v>
                </c:pt>
                <c:pt idx="16">
                  <c:v>498.92872656501544</c:v>
                </c:pt>
                <c:pt idx="17">
                  <c:v>499.21230368993281</c:v>
                </c:pt>
                <c:pt idx="18">
                  <c:v>499.78653380777513</c:v>
                </c:pt>
                <c:pt idx="19">
                  <c:v>500.56785353451488</c:v>
                </c:pt>
                <c:pt idx="20">
                  <c:v>502.00532803558264</c:v>
                </c:pt>
                <c:pt idx="21">
                  <c:v>503.03473839227826</c:v>
                </c:pt>
                <c:pt idx="22">
                  <c:v>504.58209996346437</c:v>
                </c:pt>
                <c:pt idx="23">
                  <c:v>506.40969115048824</c:v>
                </c:pt>
                <c:pt idx="24">
                  <c:v>508.34372192225732</c:v>
                </c:pt>
                <c:pt idx="25">
                  <c:v>510.29516349952956</c:v>
                </c:pt>
                <c:pt idx="26">
                  <c:v>512.44109664360064</c:v>
                </c:pt>
                <c:pt idx="27">
                  <c:v>514.63475308774343</c:v>
                </c:pt>
                <c:pt idx="28">
                  <c:v>516.89406384170798</c:v>
                </c:pt>
                <c:pt idx="29">
                  <c:v>519.26771009728418</c:v>
                </c:pt>
                <c:pt idx="30">
                  <c:v>521.73496268682823</c:v>
                </c:pt>
              </c:numCache>
            </c:numRef>
          </c:val>
          <c:smooth val="0"/>
          <c:extLst>
            <c:ext xmlns:c16="http://schemas.microsoft.com/office/drawing/2014/chart" uri="{C3380CC4-5D6E-409C-BE32-E72D297353CC}">
              <c16:uniqueId val="{00000006-12E1-4935-9A55-45C0E8B21EF7}"/>
            </c:ext>
          </c:extLst>
        </c:ser>
        <c:dLbls>
          <c:showLegendKey val="0"/>
          <c:showVal val="0"/>
          <c:showCatName val="0"/>
          <c:showSerName val="0"/>
          <c:showPercent val="0"/>
          <c:showBubbleSize val="0"/>
        </c:dLbls>
        <c:marker val="1"/>
        <c:smooth val="0"/>
        <c:axId val="864304416"/>
        <c:axId val="864304808"/>
      </c:lineChart>
      <c:catAx>
        <c:axId val="864304416"/>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en-US"/>
          </a:p>
        </c:txPr>
        <c:crossAx val="864304808"/>
        <c:crosses val="autoZero"/>
        <c:auto val="1"/>
        <c:lblAlgn val="ctr"/>
        <c:lblOffset val="100"/>
        <c:tickLblSkip val="2"/>
        <c:tickMarkSkip val="1"/>
        <c:noMultiLvlLbl val="0"/>
      </c:catAx>
      <c:valAx>
        <c:axId val="864304808"/>
        <c:scaling>
          <c:orientation val="minMax"/>
        </c:scaling>
        <c:delete val="0"/>
        <c:axPos val="l"/>
        <c:majorGridlines>
          <c:spPr>
            <a:ln w="3175">
              <a:solidFill>
                <a:srgbClr val="000000"/>
              </a:solidFill>
              <a:prstDash val="solid"/>
            </a:ln>
          </c:spPr>
        </c:majorGridlines>
        <c:title>
          <c:tx>
            <c:rich>
              <a:bodyPr/>
              <a:lstStyle/>
              <a:p>
                <a:pPr>
                  <a:defRPr sz="1175" b="1" i="0" u="none" strike="noStrike" baseline="0">
                    <a:solidFill>
                      <a:srgbClr val="000000"/>
                    </a:solidFill>
                    <a:latin typeface="Arial"/>
                    <a:ea typeface="Arial"/>
                    <a:cs typeface="Arial"/>
                  </a:defRPr>
                </a:pPr>
                <a:r>
                  <a:rPr lang="en-GB"/>
                  <a:t>Ml/d</a:t>
                </a:r>
              </a:p>
            </c:rich>
          </c:tx>
          <c:layout>
            <c:manualLayout>
              <c:xMode val="edge"/>
              <c:yMode val="edge"/>
              <c:x val="2.0359337875782983E-2"/>
              <c:y val="0.39858528733632054"/>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864304416"/>
        <c:crosses val="autoZero"/>
        <c:crossBetween val="midCat"/>
      </c:valAx>
      <c:spPr>
        <a:solidFill>
          <a:schemeClr val="bg1"/>
        </a:solidFill>
        <a:ln w="12700">
          <a:solidFill>
            <a:srgbClr val="808080"/>
          </a:solidFill>
          <a:prstDash val="solid"/>
        </a:ln>
      </c:spPr>
    </c:plotArea>
    <c:legend>
      <c:legendPos val="b"/>
      <c:legendEntry>
        <c:idx val="0"/>
        <c:txPr>
          <a:bodyPr/>
          <a:lstStyle/>
          <a:p>
            <a:pPr>
              <a:defRPr sz="1000" b="0" i="0" u="none" strike="noStrike" baseline="0">
                <a:solidFill>
                  <a:srgbClr val="000000"/>
                </a:solidFill>
                <a:latin typeface="Arial"/>
                <a:ea typeface="Arial"/>
                <a:cs typeface="Arial"/>
              </a:defRPr>
            </a:pPr>
            <a:endParaRPr lang="en-US"/>
          </a:p>
        </c:txPr>
      </c:legendEntry>
      <c:layout>
        <c:manualLayout>
          <c:xMode val="edge"/>
          <c:yMode val="edge"/>
          <c:x val="0.16452269470774322"/>
          <c:y val="0.82158446545736608"/>
          <c:w val="0.7156398695723647"/>
          <c:h val="0.16402912270077008"/>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0"/>
    <c:dispBlanksAs val="zero"/>
    <c:showDLblsOverMax val="0"/>
  </c:chart>
  <c:spPr>
    <a:solidFill>
      <a:schemeClr val="accent5"/>
    </a:solidFill>
    <a:ln w="3175">
      <a:solidFill>
        <a:srgbClr val="000000"/>
      </a:solidFill>
      <a:prstDash val="solid"/>
    </a:ln>
  </c:spPr>
  <c:txPr>
    <a:bodyPr/>
    <a:lstStyle/>
    <a:p>
      <a:pPr>
        <a:defRPr sz="975" b="0" i="0" u="none" strike="noStrike" baseline="0">
          <a:solidFill>
            <a:srgbClr val="000000"/>
          </a:solidFill>
          <a:latin typeface="Arial"/>
          <a:ea typeface="Arial"/>
          <a:cs typeface="Arial"/>
        </a:defRPr>
      </a:pPr>
      <a:endParaRPr lang="en-US"/>
    </a:p>
  </c:txPr>
  <c:printSettings>
    <c:headerFooter alignWithMargins="0"/>
    <c:pageMargins b="1" l="0.75000000000000622" r="0.75000000000000622" t="1" header="0.5" footer="0.5"/>
    <c:pageSetup paperSize="9" orientation="landscape"/>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75" b="1" i="0" u="none" strike="noStrike" baseline="0">
                <a:solidFill>
                  <a:srgbClr val="000000"/>
                </a:solidFill>
                <a:latin typeface="Arial"/>
                <a:ea typeface="Arial"/>
                <a:cs typeface="Arial"/>
              </a:defRPr>
            </a:pPr>
            <a:r>
              <a:rPr lang="en-GB"/>
              <a:t>DYCP Final Plan Water Supply-Demand Balance and Components of Demand</a:t>
            </a:r>
          </a:p>
        </c:rich>
      </c:tx>
      <c:layout>
        <c:manualLayout>
          <c:xMode val="edge"/>
          <c:yMode val="edge"/>
          <c:x val="0.2095809470200265"/>
          <c:y val="2.9013693730272669E-2"/>
        </c:manualLayout>
      </c:layout>
      <c:overlay val="0"/>
      <c:spPr>
        <a:noFill/>
        <a:ln w="25400">
          <a:noFill/>
        </a:ln>
      </c:spPr>
    </c:title>
    <c:autoTitleDeleted val="0"/>
    <c:plotArea>
      <c:layout>
        <c:manualLayout>
          <c:layoutTarget val="inner"/>
          <c:xMode val="edge"/>
          <c:yMode val="edge"/>
          <c:x val="8.5343266856694813E-2"/>
          <c:y val="0.10444884139344435"/>
          <c:w val="0.89146608097046709"/>
          <c:h val="0.55130264550264552"/>
        </c:manualLayout>
      </c:layout>
      <c:areaChart>
        <c:grouping val="stacked"/>
        <c:varyColors val="0"/>
        <c:ser>
          <c:idx val="6"/>
          <c:order val="0"/>
          <c:tx>
            <c:v>Measured household consumption</c:v>
          </c:tx>
          <c:spPr>
            <a:ln w="25400">
              <a:noFill/>
            </a:ln>
          </c:spPr>
          <c:cat>
            <c:strRef>
              <c:f>ESWESX!$G$394:$AK$394</c:f>
              <c:strCache>
                <c:ptCount val="3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strCache>
            </c:strRef>
          </c:cat>
          <c:val>
            <c:numRef>
              <c:f>ESWESX!$G$395:$AK$395</c:f>
              <c:numCache>
                <c:formatCode>0.00</c:formatCode>
                <c:ptCount val="31"/>
                <c:pt idx="0">
                  <c:v>0</c:v>
                </c:pt>
                <c:pt idx="1">
                  <c:v>0</c:v>
                </c:pt>
                <c:pt idx="2">
                  <c:v>187.51615008623548</c:v>
                </c:pt>
                <c:pt idx="3">
                  <c:v>188.33554577058254</c:v>
                </c:pt>
                <c:pt idx="4">
                  <c:v>192.98076655817712</c:v>
                </c:pt>
                <c:pt idx="5">
                  <c:v>197.90253884428881</c:v>
                </c:pt>
                <c:pt idx="6">
                  <c:v>217.67661479258064</c:v>
                </c:pt>
                <c:pt idx="7">
                  <c:v>247.24718688401458</c:v>
                </c:pt>
                <c:pt idx="8">
                  <c:v>263.96719567502998</c:v>
                </c:pt>
                <c:pt idx="9">
                  <c:v>272.77349493473406</c:v>
                </c:pt>
                <c:pt idx="10">
                  <c:v>281.46640402359407</c:v>
                </c:pt>
                <c:pt idx="11">
                  <c:v>288.27320144584053</c:v>
                </c:pt>
                <c:pt idx="12">
                  <c:v>294.05723631982568</c:v>
                </c:pt>
                <c:pt idx="13">
                  <c:v>299.14245248451857</c:v>
                </c:pt>
                <c:pt idx="14">
                  <c:v>303.41088263509647</c:v>
                </c:pt>
                <c:pt idx="15">
                  <c:v>307.54748960982965</c:v>
                </c:pt>
                <c:pt idx="16">
                  <c:v>309.34971750461591</c:v>
                </c:pt>
                <c:pt idx="17">
                  <c:v>307.33195322123419</c:v>
                </c:pt>
                <c:pt idx="18">
                  <c:v>305.34135301590504</c:v>
                </c:pt>
                <c:pt idx="19">
                  <c:v>303.51699032730676</c:v>
                </c:pt>
                <c:pt idx="20">
                  <c:v>301.76190431663809</c:v>
                </c:pt>
                <c:pt idx="21">
                  <c:v>299.76378863880547</c:v>
                </c:pt>
                <c:pt idx="22">
                  <c:v>298.13045812252113</c:v>
                </c:pt>
                <c:pt idx="23">
                  <c:v>296.635947835872</c:v>
                </c:pt>
                <c:pt idx="24">
                  <c:v>296.20335805056231</c:v>
                </c:pt>
                <c:pt idx="25">
                  <c:v>295.87586642495978</c:v>
                </c:pt>
                <c:pt idx="26">
                  <c:v>297.42746930895697</c:v>
                </c:pt>
                <c:pt idx="27">
                  <c:v>299.09332485142983</c:v>
                </c:pt>
                <c:pt idx="28">
                  <c:v>300.8273219644617</c:v>
                </c:pt>
                <c:pt idx="29">
                  <c:v>302.64022168115793</c:v>
                </c:pt>
                <c:pt idx="30">
                  <c:v>304.47871287159177</c:v>
                </c:pt>
              </c:numCache>
            </c:numRef>
          </c:val>
          <c:extLst>
            <c:ext xmlns:c16="http://schemas.microsoft.com/office/drawing/2014/chart" uri="{C3380CC4-5D6E-409C-BE32-E72D297353CC}">
              <c16:uniqueId val="{00000000-0EA8-474D-B4EA-7591361971DC}"/>
            </c:ext>
          </c:extLst>
        </c:ser>
        <c:ser>
          <c:idx val="0"/>
          <c:order val="1"/>
          <c:tx>
            <c:v>Unmeasured household consumption</c:v>
          </c:tx>
          <c:spPr>
            <a:ln w="25400">
              <a:noFill/>
            </a:ln>
          </c:spPr>
          <c:cat>
            <c:strRef>
              <c:f>ESWESX!$G$394:$AK$394</c:f>
              <c:strCache>
                <c:ptCount val="3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strCache>
            </c:strRef>
          </c:cat>
          <c:val>
            <c:numRef>
              <c:f>ESWESX!$G$396:$AK$396</c:f>
              <c:numCache>
                <c:formatCode>0.00</c:formatCode>
                <c:ptCount val="31"/>
                <c:pt idx="0">
                  <c:v>0</c:v>
                </c:pt>
                <c:pt idx="1">
                  <c:v>0</c:v>
                </c:pt>
                <c:pt idx="2">
                  <c:v>193.29541803641143</c:v>
                </c:pt>
                <c:pt idx="3">
                  <c:v>185.73396013764904</c:v>
                </c:pt>
                <c:pt idx="4">
                  <c:v>178.27438726853077</c:v>
                </c:pt>
                <c:pt idx="5">
                  <c:v>168.82275313673597</c:v>
                </c:pt>
                <c:pt idx="6">
                  <c:v>142.49900274888373</c:v>
                </c:pt>
                <c:pt idx="7">
                  <c:v>107.40519221611032</c:v>
                </c:pt>
                <c:pt idx="8">
                  <c:v>87.353743513659978</c:v>
                </c:pt>
                <c:pt idx="9">
                  <c:v>75.329630787832713</c:v>
                </c:pt>
                <c:pt idx="10">
                  <c:v>62.600303182293615</c:v>
                </c:pt>
                <c:pt idx="11">
                  <c:v>51.295529328873542</c:v>
                </c:pt>
                <c:pt idx="12">
                  <c:v>41.425502408169613</c:v>
                </c:pt>
                <c:pt idx="13">
                  <c:v>31.80035658213788</c:v>
                </c:pt>
                <c:pt idx="14">
                  <c:v>22.340510683668231</c:v>
                </c:pt>
                <c:pt idx="15">
                  <c:v>13.118517672283378</c:v>
                </c:pt>
                <c:pt idx="16">
                  <c:v>8.4725591632842772</c:v>
                </c:pt>
                <c:pt idx="17">
                  <c:v>8.3191840603591523</c:v>
                </c:pt>
                <c:pt idx="18">
                  <c:v>8.1674859431017204</c:v>
                </c:pt>
                <c:pt idx="19">
                  <c:v>8.0190446113098677</c:v>
                </c:pt>
                <c:pt idx="20">
                  <c:v>7.8714823674732211</c:v>
                </c:pt>
                <c:pt idx="21">
                  <c:v>7.7278259685823194</c:v>
                </c:pt>
                <c:pt idx="22">
                  <c:v>7.5856282362747169</c:v>
                </c:pt>
                <c:pt idx="23">
                  <c:v>7.4471667249054603</c:v>
                </c:pt>
                <c:pt idx="24">
                  <c:v>7.3359172107778781</c:v>
                </c:pt>
                <c:pt idx="25">
                  <c:v>7.2263168322218458</c:v>
                </c:pt>
                <c:pt idx="26">
                  <c:v>7.1659606945005905</c:v>
                </c:pt>
                <c:pt idx="27">
                  <c:v>7.1080285196118549</c:v>
                </c:pt>
                <c:pt idx="28">
                  <c:v>7.0500905314929536</c:v>
                </c:pt>
                <c:pt idx="29">
                  <c:v>6.992943020615102</c:v>
                </c:pt>
                <c:pt idx="30">
                  <c:v>6.9357619253504339</c:v>
                </c:pt>
              </c:numCache>
            </c:numRef>
          </c:val>
          <c:extLst>
            <c:ext xmlns:c16="http://schemas.microsoft.com/office/drawing/2014/chart" uri="{C3380CC4-5D6E-409C-BE32-E72D297353CC}">
              <c16:uniqueId val="{00000001-0EA8-474D-B4EA-7591361971DC}"/>
            </c:ext>
          </c:extLst>
        </c:ser>
        <c:ser>
          <c:idx val="1"/>
          <c:order val="2"/>
          <c:tx>
            <c:v>Non-household consumption</c:v>
          </c:tx>
          <c:spPr>
            <a:ln w="25400">
              <a:noFill/>
            </a:ln>
          </c:spPr>
          <c:cat>
            <c:strRef>
              <c:f>ESWESX!$G$394:$AK$394</c:f>
              <c:strCache>
                <c:ptCount val="3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strCache>
            </c:strRef>
          </c:cat>
          <c:val>
            <c:numRef>
              <c:f>ESWESX!$G$397:$AK$397</c:f>
              <c:numCache>
                <c:formatCode>0.00</c:formatCode>
                <c:ptCount val="31"/>
                <c:pt idx="0">
                  <c:v>0</c:v>
                </c:pt>
                <c:pt idx="1">
                  <c:v>0</c:v>
                </c:pt>
                <c:pt idx="2">
                  <c:v>52.561438366108199</c:v>
                </c:pt>
                <c:pt idx="3">
                  <c:v>51.678562345371311</c:v>
                </c:pt>
                <c:pt idx="4">
                  <c:v>54.173866431900862</c:v>
                </c:pt>
                <c:pt idx="5">
                  <c:v>56.6264264596403</c:v>
                </c:pt>
                <c:pt idx="6">
                  <c:v>60.827632461266973</c:v>
                </c:pt>
                <c:pt idx="7">
                  <c:v>61.247466044269736</c:v>
                </c:pt>
                <c:pt idx="8">
                  <c:v>60.044312815459826</c:v>
                </c:pt>
                <c:pt idx="9">
                  <c:v>61.047278295443142</c:v>
                </c:pt>
                <c:pt idx="10">
                  <c:v>61.569865666515753</c:v>
                </c:pt>
                <c:pt idx="11">
                  <c:v>61.488295787965946</c:v>
                </c:pt>
                <c:pt idx="12">
                  <c:v>60.988010128095894</c:v>
                </c:pt>
                <c:pt idx="13">
                  <c:v>60.831664991297984</c:v>
                </c:pt>
                <c:pt idx="14">
                  <c:v>60.513298788172513</c:v>
                </c:pt>
                <c:pt idx="15">
                  <c:v>59.876839728680373</c:v>
                </c:pt>
                <c:pt idx="16">
                  <c:v>59.131439195107674</c:v>
                </c:pt>
                <c:pt idx="17">
                  <c:v>58.048141098418185</c:v>
                </c:pt>
                <c:pt idx="18">
                  <c:v>57.008874213292344</c:v>
                </c:pt>
                <c:pt idx="19">
                  <c:v>56.48448887465868</c:v>
                </c:pt>
                <c:pt idx="20">
                  <c:v>56.474675779828168</c:v>
                </c:pt>
                <c:pt idx="21">
                  <c:v>56.464795724896327</c:v>
                </c:pt>
                <c:pt idx="22">
                  <c:v>56.453245374620096</c:v>
                </c:pt>
                <c:pt idx="23">
                  <c:v>56.44081610683714</c:v>
                </c:pt>
                <c:pt idx="24">
                  <c:v>56.428825580648351</c:v>
                </c:pt>
                <c:pt idx="25">
                  <c:v>56.419412949416241</c:v>
                </c:pt>
                <c:pt idx="26">
                  <c:v>56.41165703605639</c:v>
                </c:pt>
                <c:pt idx="27">
                  <c:v>56.404547960999146</c:v>
                </c:pt>
                <c:pt idx="28">
                  <c:v>56.398000336312435</c:v>
                </c:pt>
                <c:pt idx="29">
                  <c:v>56.392364468134808</c:v>
                </c:pt>
                <c:pt idx="30">
                  <c:v>56.38706298758828</c:v>
                </c:pt>
              </c:numCache>
            </c:numRef>
          </c:val>
          <c:extLst>
            <c:ext xmlns:c16="http://schemas.microsoft.com/office/drawing/2014/chart" uri="{C3380CC4-5D6E-409C-BE32-E72D297353CC}">
              <c16:uniqueId val="{00000002-0EA8-474D-B4EA-7591361971DC}"/>
            </c:ext>
          </c:extLst>
        </c:ser>
        <c:ser>
          <c:idx val="2"/>
          <c:order val="3"/>
          <c:tx>
            <c:v>Total leakage</c:v>
          </c:tx>
          <c:spPr>
            <a:ln w="25400">
              <a:noFill/>
            </a:ln>
          </c:spPr>
          <c:cat>
            <c:strRef>
              <c:f>ESWESX!$G$394:$AK$394</c:f>
              <c:strCache>
                <c:ptCount val="3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strCache>
            </c:strRef>
          </c:cat>
          <c:val>
            <c:numRef>
              <c:f>ESWESX!$G$398:$AK$398</c:f>
              <c:numCache>
                <c:formatCode>0.00</c:formatCode>
                <c:ptCount val="31"/>
                <c:pt idx="0">
                  <c:v>0</c:v>
                </c:pt>
                <c:pt idx="1">
                  <c:v>0</c:v>
                </c:pt>
                <c:pt idx="2">
                  <c:v>53.344869343162344</c:v>
                </c:pt>
                <c:pt idx="3">
                  <c:v>52.857053199999996</c:v>
                </c:pt>
                <c:pt idx="4">
                  <c:v>50.790017599999985</c:v>
                </c:pt>
                <c:pt idx="5">
                  <c:v>48.722981999999995</c:v>
                </c:pt>
                <c:pt idx="6">
                  <c:v>48.228415200000001</c:v>
                </c:pt>
                <c:pt idx="7">
                  <c:v>47.733848399999999</c:v>
                </c:pt>
                <c:pt idx="8">
                  <c:v>47.239281599999998</c:v>
                </c:pt>
                <c:pt idx="9">
                  <c:v>46.744714799999997</c:v>
                </c:pt>
                <c:pt idx="10">
                  <c:v>46.250147999999996</c:v>
                </c:pt>
                <c:pt idx="11">
                  <c:v>45.755581199999995</c:v>
                </c:pt>
                <c:pt idx="12">
                  <c:v>45.261014399999993</c:v>
                </c:pt>
                <c:pt idx="13">
                  <c:v>44.766447599999992</c:v>
                </c:pt>
                <c:pt idx="14">
                  <c:v>44.271880799999991</c:v>
                </c:pt>
                <c:pt idx="15">
                  <c:v>43.77731399999999</c:v>
                </c:pt>
                <c:pt idx="16">
                  <c:v>43.282747199999989</c:v>
                </c:pt>
                <c:pt idx="17">
                  <c:v>42.788180399999987</c:v>
                </c:pt>
                <c:pt idx="18">
                  <c:v>42.293613599999986</c:v>
                </c:pt>
                <c:pt idx="19">
                  <c:v>41.799046799999985</c:v>
                </c:pt>
                <c:pt idx="20">
                  <c:v>41.304479999999984</c:v>
                </c:pt>
                <c:pt idx="21">
                  <c:v>40.809913199999983</c:v>
                </c:pt>
                <c:pt idx="22">
                  <c:v>40.315346399999981</c:v>
                </c:pt>
                <c:pt idx="23">
                  <c:v>39.82077959999998</c:v>
                </c:pt>
                <c:pt idx="24">
                  <c:v>39.326212799999979</c:v>
                </c:pt>
                <c:pt idx="25">
                  <c:v>38.831645999999978</c:v>
                </c:pt>
                <c:pt idx="26">
                  <c:v>38.337079199999977</c:v>
                </c:pt>
                <c:pt idx="27">
                  <c:v>37.842512399999976</c:v>
                </c:pt>
                <c:pt idx="28">
                  <c:v>37.347945599999974</c:v>
                </c:pt>
                <c:pt idx="29">
                  <c:v>36.853378799999973</c:v>
                </c:pt>
                <c:pt idx="30">
                  <c:v>36.358812</c:v>
                </c:pt>
              </c:numCache>
            </c:numRef>
          </c:val>
          <c:extLst>
            <c:ext xmlns:c16="http://schemas.microsoft.com/office/drawing/2014/chart" uri="{C3380CC4-5D6E-409C-BE32-E72D297353CC}">
              <c16:uniqueId val="{00000003-0EA8-474D-B4EA-7591361971DC}"/>
            </c:ext>
          </c:extLst>
        </c:ser>
        <c:ser>
          <c:idx val="3"/>
          <c:order val="4"/>
          <c:tx>
            <c:v>Other components of demand</c:v>
          </c:tx>
          <c:spPr>
            <a:ln w="25400">
              <a:noFill/>
            </a:ln>
          </c:spPr>
          <c:cat>
            <c:strRef>
              <c:f>ESWESX!$G$394:$AK$394</c:f>
              <c:strCache>
                <c:ptCount val="3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strCache>
            </c:strRef>
          </c:cat>
          <c:val>
            <c:numRef>
              <c:f>ESWESX!$G$399:$AK$399</c:f>
              <c:numCache>
                <c:formatCode>0.00</c:formatCode>
                <c:ptCount val="31"/>
                <c:pt idx="0">
                  <c:v>0</c:v>
                </c:pt>
                <c:pt idx="1">
                  <c:v>0</c:v>
                </c:pt>
                <c:pt idx="2">
                  <c:v>9.797908042136612</c:v>
                </c:pt>
                <c:pt idx="3">
                  <c:v>9.7984853079884147</c:v>
                </c:pt>
                <c:pt idx="4">
                  <c:v>9.7911104284467569</c:v>
                </c:pt>
                <c:pt idx="5">
                  <c:v>9.7829638246856234</c:v>
                </c:pt>
                <c:pt idx="6">
                  <c:v>9.8109495925564829</c:v>
                </c:pt>
                <c:pt idx="7">
                  <c:v>9.8034625623421334</c:v>
                </c:pt>
                <c:pt idx="8">
                  <c:v>9.7958845121603417</c:v>
                </c:pt>
                <c:pt idx="9">
                  <c:v>9.7888075608948952</c:v>
                </c:pt>
                <c:pt idx="10">
                  <c:v>9.7832807928793386</c:v>
                </c:pt>
                <c:pt idx="11">
                  <c:v>9.7781680115711538</c:v>
                </c:pt>
                <c:pt idx="12">
                  <c:v>9.7733752897817112</c:v>
                </c:pt>
                <c:pt idx="13">
                  <c:v>9.7690376651507336</c:v>
                </c:pt>
                <c:pt idx="14">
                  <c:v>9.7653630459332703</c:v>
                </c:pt>
                <c:pt idx="15">
                  <c:v>9.7611784184434214</c:v>
                </c:pt>
                <c:pt idx="16">
                  <c:v>9.7568378834126293</c:v>
                </c:pt>
                <c:pt idx="17">
                  <c:v>9.7522782600178743</c:v>
                </c:pt>
                <c:pt idx="18">
                  <c:v>9.747619443770418</c:v>
                </c:pt>
                <c:pt idx="19">
                  <c:v>9.7428706361555442</c:v>
                </c:pt>
                <c:pt idx="20">
                  <c:v>9.7380310512349411</c:v>
                </c:pt>
                <c:pt idx="21">
                  <c:v>9.7331035275950626</c:v>
                </c:pt>
                <c:pt idx="22">
                  <c:v>9.7280812042138791</c:v>
                </c:pt>
                <c:pt idx="23">
                  <c:v>9.7229658844075857</c:v>
                </c:pt>
                <c:pt idx="24">
                  <c:v>9.7177580933531544</c:v>
                </c:pt>
                <c:pt idx="25">
                  <c:v>9.7124571835083771</c:v>
                </c:pt>
                <c:pt idx="26">
                  <c:v>9.7070687971143457</c:v>
                </c:pt>
                <c:pt idx="27">
                  <c:v>9.7015913665413223</c:v>
                </c:pt>
                <c:pt idx="28">
                  <c:v>9.6960256925206068</c:v>
                </c:pt>
                <c:pt idx="29">
                  <c:v>9.690372771821103</c:v>
                </c:pt>
                <c:pt idx="30">
                  <c:v>9.6846342487529</c:v>
                </c:pt>
              </c:numCache>
            </c:numRef>
          </c:val>
          <c:extLst>
            <c:ext xmlns:c16="http://schemas.microsoft.com/office/drawing/2014/chart" uri="{C3380CC4-5D6E-409C-BE32-E72D297353CC}">
              <c16:uniqueId val="{00000004-0EA8-474D-B4EA-7591361971DC}"/>
            </c:ext>
          </c:extLst>
        </c:ser>
        <c:dLbls>
          <c:showLegendKey val="0"/>
          <c:showVal val="0"/>
          <c:showCatName val="0"/>
          <c:showSerName val="0"/>
          <c:showPercent val="0"/>
          <c:showBubbleSize val="0"/>
        </c:dLbls>
        <c:axId val="814784328"/>
        <c:axId val="814784720"/>
      </c:areaChart>
      <c:lineChart>
        <c:grouping val="standard"/>
        <c:varyColors val="0"/>
        <c:ser>
          <c:idx val="4"/>
          <c:order val="5"/>
          <c:tx>
            <c:v>Total water available for use</c:v>
          </c:tx>
          <c:spPr>
            <a:ln w="25400"/>
          </c:spPr>
          <c:marker>
            <c:symbol val="none"/>
          </c:marker>
          <c:cat>
            <c:strLit>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Lit>
          </c:cat>
          <c:val>
            <c:numRef>
              <c:f>ESWESX!$G$400:$AK$400</c:f>
              <c:numCache>
                <c:formatCode>0.00</c:formatCode>
                <c:ptCount val="31"/>
                <c:pt idx="0">
                  <c:v>0</c:v>
                </c:pt>
                <c:pt idx="1">
                  <c:v>0</c:v>
                </c:pt>
                <c:pt idx="2">
                  <c:v>502.31576232105431</c:v>
                </c:pt>
                <c:pt idx="3">
                  <c:v>502.31576232105431</c:v>
                </c:pt>
                <c:pt idx="4">
                  <c:v>502.31576232105431</c:v>
                </c:pt>
                <c:pt idx="5">
                  <c:v>501.97775074561082</c:v>
                </c:pt>
                <c:pt idx="6">
                  <c:v>501.64159880334489</c:v>
                </c:pt>
                <c:pt idx="7">
                  <c:v>499.82125374308856</c:v>
                </c:pt>
                <c:pt idx="8">
                  <c:v>505.6606807003555</c:v>
                </c:pt>
                <c:pt idx="9">
                  <c:v>505.32941029518076</c:v>
                </c:pt>
                <c:pt idx="10">
                  <c:v>504.99953461488928</c:v>
                </c:pt>
                <c:pt idx="11">
                  <c:v>499.67012384289217</c:v>
                </c:pt>
                <c:pt idx="12">
                  <c:v>499.33931834601185</c:v>
                </c:pt>
                <c:pt idx="13">
                  <c:v>499.01060493645628</c:v>
                </c:pt>
                <c:pt idx="14">
                  <c:v>498.6800318937232</c:v>
                </c:pt>
                <c:pt idx="15">
                  <c:v>503.51003189372312</c:v>
                </c:pt>
                <c:pt idx="16">
                  <c:v>523.5123564351951</c:v>
                </c:pt>
                <c:pt idx="17">
                  <c:v>523.5123564351951</c:v>
                </c:pt>
                <c:pt idx="18">
                  <c:v>523.5123564351951</c:v>
                </c:pt>
                <c:pt idx="19">
                  <c:v>523.5123564351951</c:v>
                </c:pt>
                <c:pt idx="20">
                  <c:v>523.5123564351951</c:v>
                </c:pt>
                <c:pt idx="21">
                  <c:v>521.51468097666714</c:v>
                </c:pt>
                <c:pt idx="22">
                  <c:v>521.51468097666714</c:v>
                </c:pt>
                <c:pt idx="23">
                  <c:v>521.51468097666714</c:v>
                </c:pt>
                <c:pt idx="24">
                  <c:v>521.51468097666714</c:v>
                </c:pt>
                <c:pt idx="25">
                  <c:v>521.51468097666714</c:v>
                </c:pt>
                <c:pt idx="26">
                  <c:v>521.51468097666714</c:v>
                </c:pt>
                <c:pt idx="27">
                  <c:v>521.51468097666714</c:v>
                </c:pt>
                <c:pt idx="28">
                  <c:v>521.51700551813906</c:v>
                </c:pt>
                <c:pt idx="29">
                  <c:v>521.51700551813906</c:v>
                </c:pt>
                <c:pt idx="30">
                  <c:v>521.51700551813906</c:v>
                </c:pt>
              </c:numCache>
            </c:numRef>
          </c:val>
          <c:smooth val="0"/>
          <c:extLst>
            <c:ext xmlns:c16="http://schemas.microsoft.com/office/drawing/2014/chart" uri="{C3380CC4-5D6E-409C-BE32-E72D297353CC}">
              <c16:uniqueId val="{00000005-0EA8-474D-B4EA-7591361971DC}"/>
            </c:ext>
          </c:extLst>
        </c:ser>
        <c:ser>
          <c:idx val="5"/>
          <c:order val="6"/>
          <c:tx>
            <c:v>Total demand + target headroom (final plan)</c:v>
          </c:tx>
          <c:spPr>
            <a:ln w="25400"/>
          </c:spPr>
          <c:marker>
            <c:symbol val="none"/>
          </c:marker>
          <c:cat>
            <c:strLit>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Lit>
          </c:cat>
          <c:val>
            <c:numRef>
              <c:f>ESWESX!$G$401:$AK$401</c:f>
              <c:numCache>
                <c:formatCode>0.00</c:formatCode>
                <c:ptCount val="31"/>
                <c:pt idx="0">
                  <c:v>0</c:v>
                </c:pt>
                <c:pt idx="1">
                  <c:v>0</c:v>
                </c:pt>
                <c:pt idx="2">
                  <c:v>503.14983665695337</c:v>
                </c:pt>
                <c:pt idx="3">
                  <c:v>497.59427503920034</c:v>
                </c:pt>
                <c:pt idx="4">
                  <c:v>495.3357952175266</c:v>
                </c:pt>
                <c:pt idx="5">
                  <c:v>491.28255545134982</c:v>
                </c:pt>
                <c:pt idx="6">
                  <c:v>488.83965538770684</c:v>
                </c:pt>
                <c:pt idx="7">
                  <c:v>482.89324023133753</c:v>
                </c:pt>
                <c:pt idx="8">
                  <c:v>477.58543435296878</c:v>
                </c:pt>
                <c:pt idx="9">
                  <c:v>474.62088960145559</c:v>
                </c:pt>
                <c:pt idx="10">
                  <c:v>470.4085965216675</c:v>
                </c:pt>
                <c:pt idx="11">
                  <c:v>465.14539886180518</c:v>
                </c:pt>
                <c:pt idx="12">
                  <c:v>459.62304290253786</c:v>
                </c:pt>
                <c:pt idx="13">
                  <c:v>454.31202422072056</c:v>
                </c:pt>
                <c:pt idx="14">
                  <c:v>448.31155618767752</c:v>
                </c:pt>
                <c:pt idx="15">
                  <c:v>441.92665336807056</c:v>
                </c:pt>
                <c:pt idx="16">
                  <c:v>437.83545862357727</c:v>
                </c:pt>
                <c:pt idx="17">
                  <c:v>434.11144539261119</c:v>
                </c:pt>
                <c:pt idx="18">
                  <c:v>430.50533115806053</c:v>
                </c:pt>
                <c:pt idx="19">
                  <c:v>427.56964841881785</c:v>
                </c:pt>
                <c:pt idx="20">
                  <c:v>425.28485969068282</c:v>
                </c:pt>
                <c:pt idx="21">
                  <c:v>422.7011427966433</c:v>
                </c:pt>
                <c:pt idx="22">
                  <c:v>420.61054453295839</c:v>
                </c:pt>
                <c:pt idx="23">
                  <c:v>418.79515917250785</c:v>
                </c:pt>
                <c:pt idx="24">
                  <c:v>418.06200798551509</c:v>
                </c:pt>
                <c:pt idx="25">
                  <c:v>417.32487203706199</c:v>
                </c:pt>
                <c:pt idx="26">
                  <c:v>418.67307187042445</c:v>
                </c:pt>
                <c:pt idx="27">
                  <c:v>420.06533423908525</c:v>
                </c:pt>
                <c:pt idx="28">
                  <c:v>421.5019866497633</c:v>
                </c:pt>
                <c:pt idx="29">
                  <c:v>423.03976967261121</c:v>
                </c:pt>
                <c:pt idx="30">
                  <c:v>424.6691141140451</c:v>
                </c:pt>
              </c:numCache>
            </c:numRef>
          </c:val>
          <c:smooth val="0"/>
          <c:extLst>
            <c:ext xmlns:c16="http://schemas.microsoft.com/office/drawing/2014/chart" uri="{C3380CC4-5D6E-409C-BE32-E72D297353CC}">
              <c16:uniqueId val="{00000006-0EA8-474D-B4EA-7591361971DC}"/>
            </c:ext>
          </c:extLst>
        </c:ser>
        <c:dLbls>
          <c:showLegendKey val="0"/>
          <c:showVal val="0"/>
          <c:showCatName val="0"/>
          <c:showSerName val="0"/>
          <c:showPercent val="0"/>
          <c:showBubbleSize val="0"/>
        </c:dLbls>
        <c:marker val="1"/>
        <c:smooth val="0"/>
        <c:axId val="814784328"/>
        <c:axId val="814784720"/>
      </c:lineChart>
      <c:catAx>
        <c:axId val="814784328"/>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en-US"/>
          </a:p>
        </c:txPr>
        <c:crossAx val="814784720"/>
        <c:crosses val="autoZero"/>
        <c:auto val="1"/>
        <c:lblAlgn val="ctr"/>
        <c:lblOffset val="100"/>
        <c:tickLblSkip val="2"/>
        <c:tickMarkSkip val="1"/>
        <c:noMultiLvlLbl val="0"/>
      </c:catAx>
      <c:valAx>
        <c:axId val="814784720"/>
        <c:scaling>
          <c:orientation val="minMax"/>
        </c:scaling>
        <c:delete val="0"/>
        <c:axPos val="l"/>
        <c:majorGridlines>
          <c:spPr>
            <a:ln w="3175">
              <a:solidFill>
                <a:srgbClr val="000000"/>
              </a:solidFill>
              <a:prstDash val="solid"/>
            </a:ln>
          </c:spPr>
        </c:majorGridlines>
        <c:title>
          <c:tx>
            <c:rich>
              <a:bodyPr/>
              <a:lstStyle/>
              <a:p>
                <a:pPr>
                  <a:defRPr sz="1175" b="1" i="0" u="none" strike="noStrike" baseline="0">
                    <a:solidFill>
                      <a:srgbClr val="000000"/>
                    </a:solidFill>
                    <a:latin typeface="Arial"/>
                    <a:ea typeface="Arial"/>
                    <a:cs typeface="Arial"/>
                  </a:defRPr>
                </a:pPr>
                <a:r>
                  <a:rPr lang="en-GB"/>
                  <a:t>Ml/d</a:t>
                </a:r>
              </a:p>
            </c:rich>
          </c:tx>
          <c:layout>
            <c:manualLayout>
              <c:xMode val="edge"/>
              <c:yMode val="edge"/>
              <c:x val="2.0359337875782983E-2"/>
              <c:y val="0.39858528733632054"/>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814784328"/>
        <c:crosses val="autoZero"/>
        <c:crossBetween val="midCat"/>
      </c:valAx>
      <c:spPr>
        <a:solidFill>
          <a:schemeClr val="bg1"/>
        </a:solidFill>
        <a:ln w="12700">
          <a:solidFill>
            <a:srgbClr val="808080"/>
          </a:solidFill>
          <a:prstDash val="solid"/>
        </a:ln>
      </c:spPr>
    </c:plotArea>
    <c:legend>
      <c:legendPos val="b"/>
      <c:legendEntry>
        <c:idx val="0"/>
        <c:txPr>
          <a:bodyPr/>
          <a:lstStyle/>
          <a:p>
            <a:pPr>
              <a:defRPr sz="1000" b="0" i="0" u="none" strike="noStrike" baseline="0">
                <a:solidFill>
                  <a:srgbClr val="000000"/>
                </a:solidFill>
                <a:latin typeface="Arial"/>
                <a:ea typeface="Arial"/>
                <a:cs typeface="Arial"/>
              </a:defRPr>
            </a:pPr>
            <a:endParaRPr lang="en-US"/>
          </a:p>
        </c:txPr>
      </c:legendEntry>
      <c:layout>
        <c:manualLayout>
          <c:xMode val="edge"/>
          <c:yMode val="edge"/>
          <c:x val="0.16452269470774322"/>
          <c:y val="0.82158446545736608"/>
          <c:w val="0.7156398695723647"/>
          <c:h val="0.16402912270077008"/>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0"/>
    <c:dispBlanksAs val="zero"/>
    <c:showDLblsOverMax val="0"/>
  </c:chart>
  <c:spPr>
    <a:solidFill>
      <a:schemeClr val="accent1"/>
    </a:solidFill>
    <a:ln w="3175">
      <a:solidFill>
        <a:srgbClr val="000000"/>
      </a:solidFill>
      <a:prstDash val="solid"/>
    </a:ln>
  </c:spPr>
  <c:txPr>
    <a:bodyPr/>
    <a:lstStyle/>
    <a:p>
      <a:pPr>
        <a:defRPr sz="975" b="0" i="0" u="none" strike="noStrike" baseline="0">
          <a:solidFill>
            <a:srgbClr val="000000"/>
          </a:solidFill>
          <a:latin typeface="Arial"/>
          <a:ea typeface="Arial"/>
          <a:cs typeface="Arial"/>
        </a:defRPr>
      </a:pPr>
      <a:endParaRPr lang="en-US"/>
    </a:p>
  </c:txPr>
  <c:printSettings>
    <c:headerFooter alignWithMargins="0"/>
    <c:pageMargins b="1" l="0.75000000000000622" r="0.75000000000000622" t="1" header="0.5" footer="0.5"/>
    <c:pageSetup paperSize="9" orientation="landscape"/>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75" b="1" i="0" u="none" strike="noStrike" baseline="0">
                <a:solidFill>
                  <a:srgbClr val="000000"/>
                </a:solidFill>
                <a:latin typeface="Arial"/>
                <a:ea typeface="Arial"/>
                <a:cs typeface="Arial"/>
              </a:defRPr>
            </a:pPr>
            <a:r>
              <a:rPr lang="en-GB"/>
              <a:t>DYAA Baseline Water Supply-Demand Balance and Components of Demand</a:t>
            </a:r>
          </a:p>
        </c:rich>
      </c:tx>
      <c:layout>
        <c:manualLayout>
          <c:xMode val="edge"/>
          <c:yMode val="edge"/>
          <c:x val="0.2095809470200265"/>
          <c:y val="2.9013693730272669E-2"/>
        </c:manualLayout>
      </c:layout>
      <c:overlay val="0"/>
      <c:spPr>
        <a:noFill/>
        <a:ln w="25400">
          <a:noFill/>
        </a:ln>
      </c:spPr>
    </c:title>
    <c:autoTitleDeleted val="0"/>
    <c:plotArea>
      <c:layout>
        <c:manualLayout>
          <c:layoutTarget val="inner"/>
          <c:xMode val="edge"/>
          <c:yMode val="edge"/>
          <c:x val="8.5343266856694813E-2"/>
          <c:y val="0.10444884139344435"/>
          <c:w val="0.89146608097046709"/>
          <c:h val="0.55130264550264552"/>
        </c:manualLayout>
      </c:layout>
      <c:areaChart>
        <c:grouping val="stacked"/>
        <c:varyColors val="0"/>
        <c:ser>
          <c:idx val="6"/>
          <c:order val="0"/>
          <c:tx>
            <c:v>Measured household consumption</c:v>
          </c:tx>
          <c:spPr>
            <a:ln w="25400">
              <a:noFill/>
            </a:ln>
          </c:spPr>
          <c:cat>
            <c:strRef>
              <c:f>ESWHRT!$G$23:$CI$23</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ESWHRT!$G$368:$CI$368</c:f>
              <c:numCache>
                <c:formatCode>0.00</c:formatCode>
                <c:ptCount val="81"/>
                <c:pt idx="0">
                  <c:v>0</c:v>
                </c:pt>
                <c:pt idx="1">
                  <c:v>0</c:v>
                </c:pt>
                <c:pt idx="2">
                  <c:v>2.424220732377981</c:v>
                </c:pt>
                <c:pt idx="3">
                  <c:v>2.4311707611431728</c:v>
                </c:pt>
                <c:pt idx="4">
                  <c:v>2.3921150283314363</c:v>
                </c:pt>
                <c:pt idx="5">
                  <c:v>2.3724928988692273</c:v>
                </c:pt>
                <c:pt idx="6">
                  <c:v>2.5303507561497365</c:v>
                </c:pt>
                <c:pt idx="7">
                  <c:v>2.6763161180535122</c:v>
                </c:pt>
                <c:pt idx="8">
                  <c:v>2.7514738557745271</c:v>
                </c:pt>
                <c:pt idx="9">
                  <c:v>2.8185447901608844</c:v>
                </c:pt>
                <c:pt idx="10">
                  <c:v>2.8729395326807099</c:v>
                </c:pt>
                <c:pt idx="11">
                  <c:v>2.9126693878698617</c:v>
                </c:pt>
                <c:pt idx="12">
                  <c:v>2.9376867481020787</c:v>
                </c:pt>
                <c:pt idx="13">
                  <c:v>2.960793901707055</c:v>
                </c:pt>
                <c:pt idx="14">
                  <c:v>2.9835896398338289</c:v>
                </c:pt>
                <c:pt idx="15">
                  <c:v>3.0072794835200067</c:v>
                </c:pt>
                <c:pt idx="16">
                  <c:v>3.031066111423486</c:v>
                </c:pt>
                <c:pt idx="17">
                  <c:v>3.0552852238697694</c:v>
                </c:pt>
                <c:pt idx="18">
                  <c:v>3.0803301327221928</c:v>
                </c:pt>
                <c:pt idx="19">
                  <c:v>3.1055659193209908</c:v>
                </c:pt>
                <c:pt idx="20">
                  <c:v>3.1279859505761629</c:v>
                </c:pt>
                <c:pt idx="21">
                  <c:v>3.1451207182113787</c:v>
                </c:pt>
                <c:pt idx="22">
                  <c:v>3.166246783468317</c:v>
                </c:pt>
                <c:pt idx="23">
                  <c:v>3.1884884866135503</c:v>
                </c:pt>
                <c:pt idx="24">
                  <c:v>3.2105622597474697</c:v>
                </c:pt>
                <c:pt idx="25">
                  <c:v>3.2326825538211583</c:v>
                </c:pt>
                <c:pt idx="26">
                  <c:v>3.2540847790442688</c:v>
                </c:pt>
                <c:pt idx="27">
                  <c:v>3.2759408932334764</c:v>
                </c:pt>
                <c:pt idx="28">
                  <c:v>3.2985154469324693</c:v>
                </c:pt>
                <c:pt idx="29">
                  <c:v>3.322107790902824</c:v>
                </c:pt>
                <c:pt idx="30">
                  <c:v>3.3461716069635314</c:v>
                </c:pt>
              </c:numCache>
            </c:numRef>
          </c:val>
          <c:extLst>
            <c:ext xmlns:c16="http://schemas.microsoft.com/office/drawing/2014/chart" uri="{C3380CC4-5D6E-409C-BE32-E72D297353CC}">
              <c16:uniqueId val="{00000000-009C-4EB0-B8EB-70081697B5A7}"/>
            </c:ext>
          </c:extLst>
        </c:ser>
        <c:ser>
          <c:idx val="0"/>
          <c:order val="1"/>
          <c:tx>
            <c:v>Unmeasured household consumption</c:v>
          </c:tx>
          <c:spPr>
            <a:ln w="25400">
              <a:noFill/>
            </a:ln>
          </c:spPr>
          <c:cat>
            <c:strRef>
              <c:f>ESWHRT!$G$23:$CI$23</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ESWHRT!$G$369:$CI$369</c:f>
              <c:numCache>
                <c:formatCode>0.00</c:formatCode>
                <c:ptCount val="81"/>
                <c:pt idx="0">
                  <c:v>0</c:v>
                </c:pt>
                <c:pt idx="1">
                  <c:v>0</c:v>
                </c:pt>
                <c:pt idx="2">
                  <c:v>1.5130070642010627</c:v>
                </c:pt>
                <c:pt idx="3">
                  <c:v>1.5546717243035104</c:v>
                </c:pt>
                <c:pt idx="4">
                  <c:v>1.5136715266902645</c:v>
                </c:pt>
                <c:pt idx="5">
                  <c:v>1.3804227732748786</c:v>
                </c:pt>
                <c:pt idx="6">
                  <c:v>1.1905634173250812</c:v>
                </c:pt>
                <c:pt idx="7">
                  <c:v>1.0986595575808218</c:v>
                </c:pt>
                <c:pt idx="8">
                  <c:v>1.0661075377321501</c:v>
                </c:pt>
                <c:pt idx="9">
                  <c:v>1.03362929194765</c:v>
                </c:pt>
                <c:pt idx="10">
                  <c:v>1.0011303799636984</c:v>
                </c:pt>
                <c:pt idx="11">
                  <c:v>0.98069128093319791</c:v>
                </c:pt>
                <c:pt idx="12">
                  <c:v>0.97261405701554493</c:v>
                </c:pt>
                <c:pt idx="13">
                  <c:v>0.96463990603838889</c:v>
                </c:pt>
                <c:pt idx="14">
                  <c:v>0.95667742037633319</c:v>
                </c:pt>
                <c:pt idx="15">
                  <c:v>0.94880083863042264</c:v>
                </c:pt>
                <c:pt idx="16">
                  <c:v>0.94169168936419123</c:v>
                </c:pt>
                <c:pt idx="17">
                  <c:v>0.93467352021017358</c:v>
                </c:pt>
                <c:pt idx="18">
                  <c:v>0.92765488156767006</c:v>
                </c:pt>
                <c:pt idx="19">
                  <c:v>0.92090805458075442</c:v>
                </c:pt>
                <c:pt idx="20">
                  <c:v>0.91416612429999156</c:v>
                </c:pt>
                <c:pt idx="21">
                  <c:v>0.90739094904594897</c:v>
                </c:pt>
                <c:pt idx="22">
                  <c:v>0.90071028777070783</c:v>
                </c:pt>
                <c:pt idx="23">
                  <c:v>0.89450943025151586</c:v>
                </c:pt>
                <c:pt idx="24">
                  <c:v>0.88872928058622669</c:v>
                </c:pt>
                <c:pt idx="25">
                  <c:v>0.88304312277788644</c:v>
                </c:pt>
                <c:pt idx="26">
                  <c:v>0.87736229495279761</c:v>
                </c:pt>
                <c:pt idx="27">
                  <c:v>0.87194841195992734</c:v>
                </c:pt>
                <c:pt idx="28">
                  <c:v>0.86653447196573696</c:v>
                </c:pt>
                <c:pt idx="29">
                  <c:v>0.86121103469042726</c:v>
                </c:pt>
                <c:pt idx="30">
                  <c:v>0.85571777838127472</c:v>
                </c:pt>
              </c:numCache>
            </c:numRef>
          </c:val>
          <c:extLst>
            <c:ext xmlns:c16="http://schemas.microsoft.com/office/drawing/2014/chart" uri="{C3380CC4-5D6E-409C-BE32-E72D297353CC}">
              <c16:uniqueId val="{00000001-009C-4EB0-B8EB-70081697B5A7}"/>
            </c:ext>
          </c:extLst>
        </c:ser>
        <c:ser>
          <c:idx val="1"/>
          <c:order val="2"/>
          <c:tx>
            <c:v>Non-household consumption</c:v>
          </c:tx>
          <c:spPr>
            <a:ln w="25400">
              <a:noFill/>
            </a:ln>
          </c:spPr>
          <c:cat>
            <c:strRef>
              <c:f>ESWHRT!$G$23:$CI$23</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ESWHRT!$G$370:$CI$370</c:f>
              <c:numCache>
                <c:formatCode>0.00</c:formatCode>
                <c:ptCount val="81"/>
                <c:pt idx="0">
                  <c:v>0</c:v>
                </c:pt>
                <c:pt idx="1">
                  <c:v>0</c:v>
                </c:pt>
                <c:pt idx="2">
                  <c:v>4.4854535911501303</c:v>
                </c:pt>
                <c:pt idx="3">
                  <c:v>8.3910287536053296</c:v>
                </c:pt>
                <c:pt idx="4">
                  <c:v>8.4062203651169423</c:v>
                </c:pt>
                <c:pt idx="5">
                  <c:v>8.5793283661519606</c:v>
                </c:pt>
                <c:pt idx="6">
                  <c:v>8.5891042641428896</c:v>
                </c:pt>
                <c:pt idx="7">
                  <c:v>8.5997477317727142</c:v>
                </c:pt>
                <c:pt idx="8">
                  <c:v>8.6104916991826563</c:v>
                </c:pt>
                <c:pt idx="9">
                  <c:v>8.6212872300050698</c:v>
                </c:pt>
                <c:pt idx="10">
                  <c:v>8.6314576441275932</c:v>
                </c:pt>
                <c:pt idx="11">
                  <c:v>8.641577604230676</c:v>
                </c:pt>
                <c:pt idx="12">
                  <c:v>8.651594186095247</c:v>
                </c:pt>
                <c:pt idx="13">
                  <c:v>8.661471224016756</c:v>
                </c:pt>
                <c:pt idx="14">
                  <c:v>8.6712536797948836</c:v>
                </c:pt>
                <c:pt idx="15">
                  <c:v>8.6809278802115859</c:v>
                </c:pt>
                <c:pt idx="16">
                  <c:v>8.6904238782025054</c:v>
                </c:pt>
                <c:pt idx="17">
                  <c:v>8.6997940795975488</c:v>
                </c:pt>
                <c:pt idx="18">
                  <c:v>8.7090002024415405</c:v>
                </c:pt>
                <c:pt idx="19">
                  <c:v>8.718031206106863</c:v>
                </c:pt>
                <c:pt idx="20">
                  <c:v>8.7269450727778572</c:v>
                </c:pt>
                <c:pt idx="21">
                  <c:v>8.735742657545325</c:v>
                </c:pt>
                <c:pt idx="22">
                  <c:v>8.7444182385835685</c:v>
                </c:pt>
                <c:pt idx="23">
                  <c:v>8.7529615783670263</c:v>
                </c:pt>
                <c:pt idx="24">
                  <c:v>8.7613815355971028</c:v>
                </c:pt>
                <c:pt idx="25">
                  <c:v>8.7696728022570145</c:v>
                </c:pt>
                <c:pt idx="26">
                  <c:v>8.7778470363577394</c:v>
                </c:pt>
                <c:pt idx="27">
                  <c:v>8.7859050133794394</c:v>
                </c:pt>
                <c:pt idx="28">
                  <c:v>8.7938526256278351</c:v>
                </c:pt>
                <c:pt idx="29">
                  <c:v>8.8017080923690774</c:v>
                </c:pt>
                <c:pt idx="30">
                  <c:v>8.8094762982164561</c:v>
                </c:pt>
              </c:numCache>
            </c:numRef>
          </c:val>
          <c:extLst>
            <c:ext xmlns:c16="http://schemas.microsoft.com/office/drawing/2014/chart" uri="{C3380CC4-5D6E-409C-BE32-E72D297353CC}">
              <c16:uniqueId val="{00000002-009C-4EB0-B8EB-70081697B5A7}"/>
            </c:ext>
          </c:extLst>
        </c:ser>
        <c:ser>
          <c:idx val="2"/>
          <c:order val="3"/>
          <c:tx>
            <c:v>Total leakage</c:v>
          </c:tx>
          <c:spPr>
            <a:ln w="25400">
              <a:noFill/>
            </a:ln>
          </c:spPr>
          <c:cat>
            <c:strRef>
              <c:f>ESWHRT!$G$23:$CI$23</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ESWHRT!$G$371:$CI$371</c:f>
              <c:numCache>
                <c:formatCode>0.00</c:formatCode>
                <c:ptCount val="81"/>
                <c:pt idx="0">
                  <c:v>0</c:v>
                </c:pt>
                <c:pt idx="1">
                  <c:v>0</c:v>
                </c:pt>
                <c:pt idx="2">
                  <c:v>1.3210509183999999</c:v>
                </c:pt>
                <c:pt idx="3">
                  <c:v>0.81112059999999986</c:v>
                </c:pt>
                <c:pt idx="4">
                  <c:v>0.77940079999999978</c:v>
                </c:pt>
                <c:pt idx="5">
                  <c:v>0.74768099999999993</c:v>
                </c:pt>
                <c:pt idx="6">
                  <c:v>0.74768099999999993</c:v>
                </c:pt>
                <c:pt idx="7">
                  <c:v>0.74768099999999993</c:v>
                </c:pt>
                <c:pt idx="8">
                  <c:v>0.74768099999999993</c:v>
                </c:pt>
                <c:pt idx="9">
                  <c:v>0.74768099999999993</c:v>
                </c:pt>
                <c:pt idx="10">
                  <c:v>0.74768099999999993</c:v>
                </c:pt>
                <c:pt idx="11">
                  <c:v>0.74768099999999993</c:v>
                </c:pt>
                <c:pt idx="12">
                  <c:v>0.74768099999999993</c:v>
                </c:pt>
                <c:pt idx="13">
                  <c:v>0.74768099999999993</c:v>
                </c:pt>
                <c:pt idx="14">
                  <c:v>0.74768099999999993</c:v>
                </c:pt>
                <c:pt idx="15">
                  <c:v>0.74768099999999993</c:v>
                </c:pt>
                <c:pt idx="16">
                  <c:v>0.74768099999999993</c:v>
                </c:pt>
                <c:pt idx="17">
                  <c:v>0.74768099999999993</c:v>
                </c:pt>
                <c:pt idx="18">
                  <c:v>0.74768099999999993</c:v>
                </c:pt>
                <c:pt idx="19">
                  <c:v>0.74768099999999993</c:v>
                </c:pt>
                <c:pt idx="20">
                  <c:v>0.74768099999999993</c:v>
                </c:pt>
                <c:pt idx="21">
                  <c:v>0.74768099999999993</c:v>
                </c:pt>
                <c:pt idx="22">
                  <c:v>0.74768099999999993</c:v>
                </c:pt>
                <c:pt idx="23">
                  <c:v>0.74768099999999982</c:v>
                </c:pt>
                <c:pt idx="24">
                  <c:v>0.74768099999999993</c:v>
                </c:pt>
                <c:pt idx="25">
                  <c:v>0.74768099999999993</c:v>
                </c:pt>
                <c:pt idx="26">
                  <c:v>0.74768099999999993</c:v>
                </c:pt>
                <c:pt idx="27">
                  <c:v>0.74768099999999993</c:v>
                </c:pt>
                <c:pt idx="28">
                  <c:v>0.74768099999999993</c:v>
                </c:pt>
                <c:pt idx="29">
                  <c:v>0.74768100000000004</c:v>
                </c:pt>
                <c:pt idx="30">
                  <c:v>0.74768099999999993</c:v>
                </c:pt>
              </c:numCache>
            </c:numRef>
          </c:val>
          <c:extLst>
            <c:ext xmlns:c16="http://schemas.microsoft.com/office/drawing/2014/chart" uri="{C3380CC4-5D6E-409C-BE32-E72D297353CC}">
              <c16:uniqueId val="{00000003-009C-4EB0-B8EB-70081697B5A7}"/>
            </c:ext>
          </c:extLst>
        </c:ser>
        <c:ser>
          <c:idx val="3"/>
          <c:order val="4"/>
          <c:tx>
            <c:v>Other components of demand</c:v>
          </c:tx>
          <c:spPr>
            <a:ln w="25400">
              <a:noFill/>
            </a:ln>
          </c:spPr>
          <c:cat>
            <c:strRef>
              <c:f>ESWHRT!$G$23:$CI$23</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ESWHRT!$G$372:$CI$372</c:f>
              <c:numCache>
                <c:formatCode>0.00</c:formatCode>
                <c:ptCount val="81"/>
                <c:pt idx="0">
                  <c:v>0</c:v>
                </c:pt>
                <c:pt idx="1">
                  <c:v>0</c:v>
                </c:pt>
                <c:pt idx="2">
                  <c:v>0.19949174740822428</c:v>
                </c:pt>
                <c:pt idx="3">
                  <c:v>0.19881498267651665</c:v>
                </c:pt>
                <c:pt idx="4">
                  <c:v>0.19878899233229674</c:v>
                </c:pt>
                <c:pt idx="5">
                  <c:v>0.19878728353243602</c:v>
                </c:pt>
                <c:pt idx="6">
                  <c:v>0.19878486804218021</c:v>
                </c:pt>
                <c:pt idx="7">
                  <c:v>0.19860773826280997</c:v>
                </c:pt>
                <c:pt idx="8">
                  <c:v>0.19848626539911507</c:v>
                </c:pt>
                <c:pt idx="9">
                  <c:v>0.19837549282806854</c:v>
                </c:pt>
                <c:pt idx="10">
                  <c:v>0.19828018683123005</c:v>
                </c:pt>
                <c:pt idx="11">
                  <c:v>0.1981990120440269</c:v>
                </c:pt>
                <c:pt idx="12">
                  <c:v>0.19813366857277259</c:v>
                </c:pt>
                <c:pt idx="13">
                  <c:v>0.19807281652719055</c:v>
                </c:pt>
                <c:pt idx="14">
                  <c:v>0.19801307991145123</c:v>
                </c:pt>
                <c:pt idx="15">
                  <c:v>0.1979536609916579</c:v>
                </c:pt>
                <c:pt idx="16">
                  <c:v>0.19789514196487978</c:v>
                </c:pt>
                <c:pt idx="17">
                  <c:v>0.19783834536193723</c:v>
                </c:pt>
                <c:pt idx="18">
                  <c:v>0.19778327252002548</c:v>
                </c:pt>
                <c:pt idx="19">
                  <c:v>0.19772858478411059</c:v>
                </c:pt>
                <c:pt idx="20">
                  <c:v>0.1976745263805384</c:v>
                </c:pt>
                <c:pt idx="21">
                  <c:v>0.19762106368972177</c:v>
                </c:pt>
                <c:pt idx="22">
                  <c:v>0.19756817844323038</c:v>
                </c:pt>
                <c:pt idx="23">
                  <c:v>0.19751622938016133</c:v>
                </c:pt>
                <c:pt idx="24">
                  <c:v>0.19746536763313216</c:v>
                </c:pt>
                <c:pt idx="25">
                  <c:v>0.19741547207621224</c:v>
                </c:pt>
                <c:pt idx="26">
                  <c:v>0.19736616811777452</c:v>
                </c:pt>
                <c:pt idx="27">
                  <c:v>0.1973174734482761</c:v>
                </c:pt>
                <c:pt idx="28">
                  <c:v>0.19726905655690885</c:v>
                </c:pt>
                <c:pt idx="29">
                  <c:v>0.19722068854888875</c:v>
                </c:pt>
                <c:pt idx="30">
                  <c:v>0.1971724426367345</c:v>
                </c:pt>
              </c:numCache>
            </c:numRef>
          </c:val>
          <c:extLst>
            <c:ext xmlns:c16="http://schemas.microsoft.com/office/drawing/2014/chart" uri="{C3380CC4-5D6E-409C-BE32-E72D297353CC}">
              <c16:uniqueId val="{00000004-009C-4EB0-B8EB-70081697B5A7}"/>
            </c:ext>
          </c:extLst>
        </c:ser>
        <c:dLbls>
          <c:showLegendKey val="0"/>
          <c:showVal val="0"/>
          <c:showCatName val="0"/>
          <c:showSerName val="0"/>
          <c:showPercent val="0"/>
          <c:showBubbleSize val="0"/>
        </c:dLbls>
        <c:axId val="909034472"/>
        <c:axId val="909034864"/>
      </c:areaChart>
      <c:lineChart>
        <c:grouping val="standard"/>
        <c:varyColors val="0"/>
        <c:ser>
          <c:idx val="4"/>
          <c:order val="5"/>
          <c:tx>
            <c:v>Total water available for use</c:v>
          </c:tx>
          <c:marker>
            <c:symbol val="none"/>
          </c:marker>
          <c:cat>
            <c:strLit>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Lit>
          </c:cat>
          <c:val>
            <c:numRef>
              <c:f>ESWHRT!$G$373:$CI$373</c:f>
              <c:numCache>
                <c:formatCode>0.00</c:formatCode>
                <c:ptCount val="81"/>
                <c:pt idx="0">
                  <c:v>0</c:v>
                </c:pt>
                <c:pt idx="1">
                  <c:v>0</c:v>
                </c:pt>
                <c:pt idx="2">
                  <c:v>7.8400000000000007</c:v>
                </c:pt>
                <c:pt idx="3">
                  <c:v>7.8400000000000007</c:v>
                </c:pt>
                <c:pt idx="4">
                  <c:v>7.8400000000000007</c:v>
                </c:pt>
                <c:pt idx="5">
                  <c:v>7.8400000000000007</c:v>
                </c:pt>
                <c:pt idx="6">
                  <c:v>7.8400000000000007</c:v>
                </c:pt>
                <c:pt idx="7">
                  <c:v>7.8400000000000007</c:v>
                </c:pt>
                <c:pt idx="8">
                  <c:v>7.8400000000000007</c:v>
                </c:pt>
                <c:pt idx="9">
                  <c:v>7.8400000000000007</c:v>
                </c:pt>
                <c:pt idx="10">
                  <c:v>7.8400000000000007</c:v>
                </c:pt>
                <c:pt idx="11">
                  <c:v>7.3100000000000005</c:v>
                </c:pt>
                <c:pt idx="12">
                  <c:v>7.3100000000000005</c:v>
                </c:pt>
                <c:pt idx="13">
                  <c:v>7.3100000000000005</c:v>
                </c:pt>
                <c:pt idx="14">
                  <c:v>7.3100000000000005</c:v>
                </c:pt>
                <c:pt idx="15">
                  <c:v>7.3100000000000005</c:v>
                </c:pt>
                <c:pt idx="16">
                  <c:v>7.3100000000000005</c:v>
                </c:pt>
                <c:pt idx="17">
                  <c:v>7.3100000000000005</c:v>
                </c:pt>
                <c:pt idx="18">
                  <c:v>7.3100000000000005</c:v>
                </c:pt>
                <c:pt idx="19">
                  <c:v>7.3100000000000005</c:v>
                </c:pt>
                <c:pt idx="20">
                  <c:v>7.3100000000000005</c:v>
                </c:pt>
                <c:pt idx="21">
                  <c:v>6.66</c:v>
                </c:pt>
                <c:pt idx="22">
                  <c:v>6.66</c:v>
                </c:pt>
                <c:pt idx="23">
                  <c:v>6.66</c:v>
                </c:pt>
                <c:pt idx="24">
                  <c:v>6.66</c:v>
                </c:pt>
                <c:pt idx="25">
                  <c:v>6.66</c:v>
                </c:pt>
                <c:pt idx="26">
                  <c:v>6.0200000000000005</c:v>
                </c:pt>
                <c:pt idx="27">
                  <c:v>6.0200000000000005</c:v>
                </c:pt>
                <c:pt idx="28">
                  <c:v>6.0200000000000005</c:v>
                </c:pt>
                <c:pt idx="29">
                  <c:v>6.0200000000000005</c:v>
                </c:pt>
                <c:pt idx="30">
                  <c:v>6.0200000000000005</c:v>
                </c:pt>
              </c:numCache>
            </c:numRef>
          </c:val>
          <c:smooth val="0"/>
          <c:extLst>
            <c:ext xmlns:c16="http://schemas.microsoft.com/office/drawing/2014/chart" uri="{C3380CC4-5D6E-409C-BE32-E72D297353CC}">
              <c16:uniqueId val="{00000005-009C-4EB0-B8EB-70081697B5A7}"/>
            </c:ext>
          </c:extLst>
        </c:ser>
        <c:ser>
          <c:idx val="5"/>
          <c:order val="6"/>
          <c:tx>
            <c:v>Total demand + target headroom (baseline)</c:v>
          </c:tx>
          <c:marker>
            <c:symbol val="none"/>
          </c:marker>
          <c:cat>
            <c:strLit>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Lit>
          </c:cat>
          <c:val>
            <c:numRef>
              <c:f>ESWHRT!$G$374:$CI$374</c:f>
              <c:numCache>
                <c:formatCode>0.00</c:formatCode>
                <c:ptCount val="81"/>
                <c:pt idx="0">
                  <c:v>0</c:v>
                </c:pt>
                <c:pt idx="1">
                  <c:v>0</c:v>
                </c:pt>
                <c:pt idx="2">
                  <c:v>10.993224053537398</c:v>
                </c:pt>
                <c:pt idx="3">
                  <c:v>14.33680682172853</c:v>
                </c:pt>
                <c:pt idx="4">
                  <c:v>14.390196712470939</c:v>
                </c:pt>
                <c:pt idx="5">
                  <c:v>14.188712321828502</c:v>
                </c:pt>
                <c:pt idx="6">
                  <c:v>14.366484305659887</c:v>
                </c:pt>
                <c:pt idx="7">
                  <c:v>14.321012145669858</c:v>
                </c:pt>
                <c:pt idx="8">
                  <c:v>14.354240358088449</c:v>
                </c:pt>
                <c:pt idx="9">
                  <c:v>14.439517804941673</c:v>
                </c:pt>
                <c:pt idx="10">
                  <c:v>14.451488743603232</c:v>
                </c:pt>
                <c:pt idx="11">
                  <c:v>14.170818285077761</c:v>
                </c:pt>
                <c:pt idx="12">
                  <c:v>14.017709659785643</c:v>
                </c:pt>
                <c:pt idx="13">
                  <c:v>13.87265884828939</c:v>
                </c:pt>
                <c:pt idx="14">
                  <c:v>13.897214819916497</c:v>
                </c:pt>
                <c:pt idx="15">
                  <c:v>13.892642863353673</c:v>
                </c:pt>
                <c:pt idx="16">
                  <c:v>13.898757820955062</c:v>
                </c:pt>
                <c:pt idx="17">
                  <c:v>13.935272169039429</c:v>
                </c:pt>
                <c:pt idx="18">
                  <c:v>13.96244948925143</c:v>
                </c:pt>
                <c:pt idx="19">
                  <c:v>13.98991476479272</c:v>
                </c:pt>
                <c:pt idx="20">
                  <c:v>14.014452674034551</c:v>
                </c:pt>
                <c:pt idx="21">
                  <c:v>14.033556388492375</c:v>
                </c:pt>
                <c:pt idx="22">
                  <c:v>14.046624488265824</c:v>
                </c:pt>
                <c:pt idx="23">
                  <c:v>14.051156724612254</c:v>
                </c:pt>
                <c:pt idx="24">
                  <c:v>14.06581944356393</c:v>
                </c:pt>
                <c:pt idx="25">
                  <c:v>14.080494950932271</c:v>
                </c:pt>
                <c:pt idx="26">
                  <c:v>14.094341278472582</c:v>
                </c:pt>
                <c:pt idx="27">
                  <c:v>14.11879279202112</c:v>
                </c:pt>
                <c:pt idx="28">
                  <c:v>14.14385260108295</c:v>
                </c:pt>
                <c:pt idx="29">
                  <c:v>14.179928606511218</c:v>
                </c:pt>
                <c:pt idx="30">
                  <c:v>14.206219126197997</c:v>
                </c:pt>
              </c:numCache>
            </c:numRef>
          </c:val>
          <c:smooth val="0"/>
          <c:extLst>
            <c:ext xmlns:c16="http://schemas.microsoft.com/office/drawing/2014/chart" uri="{C3380CC4-5D6E-409C-BE32-E72D297353CC}">
              <c16:uniqueId val="{00000006-009C-4EB0-B8EB-70081697B5A7}"/>
            </c:ext>
          </c:extLst>
        </c:ser>
        <c:dLbls>
          <c:showLegendKey val="0"/>
          <c:showVal val="0"/>
          <c:showCatName val="0"/>
          <c:showSerName val="0"/>
          <c:showPercent val="0"/>
          <c:showBubbleSize val="0"/>
        </c:dLbls>
        <c:marker val="1"/>
        <c:smooth val="0"/>
        <c:axId val="909034472"/>
        <c:axId val="909034864"/>
      </c:lineChart>
      <c:catAx>
        <c:axId val="909034472"/>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en-US"/>
          </a:p>
        </c:txPr>
        <c:crossAx val="909034864"/>
        <c:crosses val="autoZero"/>
        <c:auto val="1"/>
        <c:lblAlgn val="ctr"/>
        <c:lblOffset val="100"/>
        <c:tickLblSkip val="2"/>
        <c:tickMarkSkip val="1"/>
        <c:noMultiLvlLbl val="0"/>
      </c:catAx>
      <c:valAx>
        <c:axId val="909034864"/>
        <c:scaling>
          <c:orientation val="minMax"/>
        </c:scaling>
        <c:delete val="0"/>
        <c:axPos val="l"/>
        <c:majorGridlines>
          <c:spPr>
            <a:ln w="3175">
              <a:solidFill>
                <a:srgbClr val="000000"/>
              </a:solidFill>
              <a:prstDash val="solid"/>
            </a:ln>
          </c:spPr>
        </c:majorGridlines>
        <c:title>
          <c:tx>
            <c:rich>
              <a:bodyPr/>
              <a:lstStyle/>
              <a:p>
                <a:pPr>
                  <a:defRPr sz="1175" b="1" i="0" u="none" strike="noStrike" baseline="0">
                    <a:solidFill>
                      <a:srgbClr val="000000"/>
                    </a:solidFill>
                    <a:latin typeface="Arial"/>
                    <a:ea typeface="Arial"/>
                    <a:cs typeface="Arial"/>
                  </a:defRPr>
                </a:pPr>
                <a:r>
                  <a:rPr lang="en-GB"/>
                  <a:t>Ml/d</a:t>
                </a:r>
              </a:p>
            </c:rich>
          </c:tx>
          <c:layout>
            <c:manualLayout>
              <c:xMode val="edge"/>
              <c:yMode val="edge"/>
              <c:x val="2.0359337875782983E-2"/>
              <c:y val="0.39858528733632054"/>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909034472"/>
        <c:crosses val="autoZero"/>
        <c:crossBetween val="midCat"/>
      </c:valAx>
      <c:spPr>
        <a:solidFill>
          <a:schemeClr val="bg1"/>
        </a:solidFill>
        <a:ln w="12700">
          <a:solidFill>
            <a:srgbClr val="808080"/>
          </a:solidFill>
          <a:prstDash val="solid"/>
        </a:ln>
      </c:spPr>
    </c:plotArea>
    <c:legend>
      <c:legendPos val="b"/>
      <c:legendEntry>
        <c:idx val="0"/>
        <c:txPr>
          <a:bodyPr/>
          <a:lstStyle/>
          <a:p>
            <a:pPr>
              <a:defRPr sz="1000" b="0" i="0" u="none" strike="noStrike" baseline="0">
                <a:solidFill>
                  <a:srgbClr val="000000"/>
                </a:solidFill>
                <a:latin typeface="Arial"/>
                <a:ea typeface="Arial"/>
                <a:cs typeface="Arial"/>
              </a:defRPr>
            </a:pPr>
            <a:endParaRPr lang="en-US"/>
          </a:p>
        </c:txPr>
      </c:legendEntry>
      <c:layout>
        <c:manualLayout>
          <c:xMode val="edge"/>
          <c:yMode val="edge"/>
          <c:x val="0.16452269470774322"/>
          <c:y val="0.82158446545736608"/>
          <c:w val="0.7156398695723647"/>
          <c:h val="0.16402912270077008"/>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0"/>
    <c:dispBlanksAs val="zero"/>
    <c:showDLblsOverMax val="0"/>
  </c:chart>
  <c:spPr>
    <a:solidFill>
      <a:schemeClr val="accent2"/>
    </a:solidFill>
    <a:ln w="3175">
      <a:solidFill>
        <a:srgbClr val="000000"/>
      </a:solidFill>
      <a:prstDash val="solid"/>
    </a:ln>
  </c:spPr>
  <c:txPr>
    <a:bodyPr/>
    <a:lstStyle/>
    <a:p>
      <a:pPr>
        <a:defRPr sz="975" b="0" i="0" u="none" strike="noStrike" baseline="0">
          <a:solidFill>
            <a:srgbClr val="000000"/>
          </a:solidFill>
          <a:latin typeface="Arial"/>
          <a:ea typeface="Arial"/>
          <a:cs typeface="Arial"/>
        </a:defRPr>
      </a:pPr>
      <a:endParaRPr lang="en-US"/>
    </a:p>
  </c:txPr>
  <c:printSettings>
    <c:headerFooter alignWithMargins="0"/>
    <c:pageMargins b="1" l="0.75000000000000622" r="0.75000000000000622" t="1" header="0.5" footer="0.5"/>
    <c:pageSetup paperSize="9" orientation="landscape"/>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75" b="1" i="0" u="none" strike="noStrike" baseline="0">
                <a:solidFill>
                  <a:srgbClr val="000000"/>
                </a:solidFill>
                <a:latin typeface="Arial"/>
                <a:ea typeface="Arial"/>
                <a:cs typeface="Arial"/>
              </a:defRPr>
            </a:pPr>
            <a:r>
              <a:rPr lang="en-GB"/>
              <a:t>DYAA Final Plan Water Supply-Demand Balance and Components of Demand</a:t>
            </a:r>
          </a:p>
        </c:rich>
      </c:tx>
      <c:layout>
        <c:manualLayout>
          <c:xMode val="edge"/>
          <c:yMode val="edge"/>
          <c:x val="0.2095809470200265"/>
          <c:y val="2.9013693730272669E-2"/>
        </c:manualLayout>
      </c:layout>
      <c:overlay val="0"/>
      <c:spPr>
        <a:noFill/>
        <a:ln w="25400">
          <a:noFill/>
        </a:ln>
      </c:spPr>
    </c:title>
    <c:autoTitleDeleted val="0"/>
    <c:plotArea>
      <c:layout>
        <c:manualLayout>
          <c:layoutTarget val="inner"/>
          <c:xMode val="edge"/>
          <c:yMode val="edge"/>
          <c:x val="8.5343266856694813E-2"/>
          <c:y val="0.10444884139344435"/>
          <c:w val="0.89146608097046709"/>
          <c:h val="0.55130264550264552"/>
        </c:manualLayout>
      </c:layout>
      <c:areaChart>
        <c:grouping val="stacked"/>
        <c:varyColors val="0"/>
        <c:ser>
          <c:idx val="6"/>
          <c:order val="0"/>
          <c:tx>
            <c:v>Measured household consumption</c:v>
          </c:tx>
          <c:spPr>
            <a:ln w="25400">
              <a:noFill/>
            </a:ln>
          </c:spPr>
          <c:cat>
            <c:strRef>
              <c:f>ESWHRT!$G$23:$CI$23</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ESWHRT!$G$377:$CI$377</c:f>
              <c:numCache>
                <c:formatCode>0.00</c:formatCode>
                <c:ptCount val="81"/>
                <c:pt idx="0">
                  <c:v>0</c:v>
                </c:pt>
                <c:pt idx="1">
                  <c:v>0</c:v>
                </c:pt>
                <c:pt idx="2">
                  <c:v>2.424220732377981</c:v>
                </c:pt>
                <c:pt idx="3">
                  <c:v>2.4311707611431728</c:v>
                </c:pt>
                <c:pt idx="4">
                  <c:v>2.3921150283314363</c:v>
                </c:pt>
                <c:pt idx="5">
                  <c:v>2.3724928988692273</c:v>
                </c:pt>
                <c:pt idx="6">
                  <c:v>2.9647219441091397</c:v>
                </c:pt>
                <c:pt idx="7">
                  <c:v>3.565977530315497</c:v>
                </c:pt>
                <c:pt idx="8">
                  <c:v>3.6686587588829593</c:v>
                </c:pt>
                <c:pt idx="9">
                  <c:v>3.6764109297767642</c:v>
                </c:pt>
                <c:pt idx="10">
                  <c:v>3.6694257424762262</c:v>
                </c:pt>
                <c:pt idx="11">
                  <c:v>3.6599492005658041</c:v>
                </c:pt>
                <c:pt idx="12">
                  <c:v>3.6457216419574943</c:v>
                </c:pt>
                <c:pt idx="13">
                  <c:v>3.628237837950119</c:v>
                </c:pt>
                <c:pt idx="14">
                  <c:v>3.6003581471137265</c:v>
                </c:pt>
                <c:pt idx="15">
                  <c:v>3.5733207407677643</c:v>
                </c:pt>
                <c:pt idx="16">
                  <c:v>3.5488798186298345</c:v>
                </c:pt>
                <c:pt idx="17">
                  <c:v>3.5247451695197922</c:v>
                </c:pt>
                <c:pt idx="18">
                  <c:v>3.5011567917997519</c:v>
                </c:pt>
                <c:pt idx="19">
                  <c:v>3.4780557173508755</c:v>
                </c:pt>
                <c:pt idx="20">
                  <c:v>3.4525699286571498</c:v>
                </c:pt>
                <c:pt idx="21">
                  <c:v>3.4238599439271469</c:v>
                </c:pt>
                <c:pt idx="22">
                  <c:v>3.398755991868132</c:v>
                </c:pt>
                <c:pt idx="23">
                  <c:v>3.3754148899869723</c:v>
                </c:pt>
                <c:pt idx="24">
                  <c:v>3.3654294678446668</c:v>
                </c:pt>
                <c:pt idx="25">
                  <c:v>3.3786450167494029</c:v>
                </c:pt>
                <c:pt idx="26">
                  <c:v>3.3912536574544014</c:v>
                </c:pt>
                <c:pt idx="27">
                  <c:v>3.4046632170786451</c:v>
                </c:pt>
                <c:pt idx="28">
                  <c:v>3.418593443307524</c:v>
                </c:pt>
                <c:pt idx="29">
                  <c:v>3.4334733914402111</c:v>
                </c:pt>
                <c:pt idx="30">
                  <c:v>3.4483726320965413</c:v>
                </c:pt>
              </c:numCache>
            </c:numRef>
          </c:val>
          <c:extLst>
            <c:ext xmlns:c16="http://schemas.microsoft.com/office/drawing/2014/chart" uri="{C3380CC4-5D6E-409C-BE32-E72D297353CC}">
              <c16:uniqueId val="{00000000-56CF-4E1A-A12B-96F06CEBE0C7}"/>
            </c:ext>
          </c:extLst>
        </c:ser>
        <c:ser>
          <c:idx val="0"/>
          <c:order val="1"/>
          <c:tx>
            <c:v>Unmeasured household consumption</c:v>
          </c:tx>
          <c:spPr>
            <a:ln w="25400">
              <a:noFill/>
            </a:ln>
          </c:spPr>
          <c:cat>
            <c:strRef>
              <c:f>ESWHRT!$G$23:$CI$23</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ESWHRT!$G$378:$CI$378</c:f>
              <c:numCache>
                <c:formatCode>0.00</c:formatCode>
                <c:ptCount val="81"/>
                <c:pt idx="0">
                  <c:v>0</c:v>
                </c:pt>
                <c:pt idx="1">
                  <c:v>0</c:v>
                </c:pt>
                <c:pt idx="2">
                  <c:v>1.5130070642010627</c:v>
                </c:pt>
                <c:pt idx="3">
                  <c:v>1.5546717243035104</c:v>
                </c:pt>
                <c:pt idx="4">
                  <c:v>1.5136715266902645</c:v>
                </c:pt>
                <c:pt idx="5">
                  <c:v>1.3804227732748786</c:v>
                </c:pt>
                <c:pt idx="6">
                  <c:v>0.70094476633658587</c:v>
                </c:pt>
                <c:pt idx="7">
                  <c:v>9.6493165059508695E-2</c:v>
                </c:pt>
                <c:pt idx="8">
                  <c:v>9.3354564773532517E-2</c:v>
                </c:pt>
                <c:pt idx="9">
                  <c:v>9.0431855948471584E-2</c:v>
                </c:pt>
                <c:pt idx="10">
                  <c:v>8.7558485506619183E-2</c:v>
                </c:pt>
                <c:pt idx="11">
                  <c:v>8.5088752345469157E-2</c:v>
                </c:pt>
                <c:pt idx="12">
                  <c:v>8.3009044943662694E-2</c:v>
                </c:pt>
                <c:pt idx="13">
                  <c:v>8.0976443529063663E-2</c:v>
                </c:pt>
                <c:pt idx="14">
                  <c:v>7.875953228648247E-2</c:v>
                </c:pt>
                <c:pt idx="15">
                  <c:v>7.6592830344005047E-2</c:v>
                </c:pt>
                <c:pt idx="16">
                  <c:v>7.456096415575858E-2</c:v>
                </c:pt>
                <c:pt idx="17">
                  <c:v>7.2574925243796967E-2</c:v>
                </c:pt>
                <c:pt idx="18">
                  <c:v>7.0626823866772159E-2</c:v>
                </c:pt>
                <c:pt idx="19">
                  <c:v>6.8738394895697386E-2</c:v>
                </c:pt>
                <c:pt idx="20">
                  <c:v>6.6885538020983099E-2</c:v>
                </c:pt>
                <c:pt idx="21">
                  <c:v>6.4741013343721454E-2</c:v>
                </c:pt>
                <c:pt idx="22">
                  <c:v>6.2319646078008203E-2</c:v>
                </c:pt>
                <c:pt idx="23">
                  <c:v>5.9996944524430884E-2</c:v>
                </c:pt>
                <c:pt idx="24">
                  <c:v>5.7997918605001419E-2</c:v>
                </c:pt>
                <c:pt idx="25">
                  <c:v>5.645735463773513E-2</c:v>
                </c:pt>
                <c:pt idx="26">
                  <c:v>5.4936382851260485E-2</c:v>
                </c:pt>
                <c:pt idx="27">
                  <c:v>5.3454430504008228E-2</c:v>
                </c:pt>
                <c:pt idx="28">
                  <c:v>5.1990147175288728E-2</c:v>
                </c:pt>
                <c:pt idx="29">
                  <c:v>5.0549503971295706E-2</c:v>
                </c:pt>
                <c:pt idx="30">
                  <c:v>4.9113035050724632E-2</c:v>
                </c:pt>
              </c:numCache>
            </c:numRef>
          </c:val>
          <c:extLst>
            <c:ext xmlns:c16="http://schemas.microsoft.com/office/drawing/2014/chart" uri="{C3380CC4-5D6E-409C-BE32-E72D297353CC}">
              <c16:uniqueId val="{00000001-56CF-4E1A-A12B-96F06CEBE0C7}"/>
            </c:ext>
          </c:extLst>
        </c:ser>
        <c:ser>
          <c:idx val="1"/>
          <c:order val="2"/>
          <c:tx>
            <c:v>Non-household consumption</c:v>
          </c:tx>
          <c:spPr>
            <a:ln w="25400">
              <a:noFill/>
            </a:ln>
          </c:spPr>
          <c:cat>
            <c:strRef>
              <c:f>ESWHRT!$G$23:$CI$23</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ESWHRT!$G$379:$CI$379</c:f>
              <c:numCache>
                <c:formatCode>0.00</c:formatCode>
                <c:ptCount val="81"/>
                <c:pt idx="0">
                  <c:v>0</c:v>
                </c:pt>
                <c:pt idx="1">
                  <c:v>0</c:v>
                </c:pt>
                <c:pt idx="2">
                  <c:v>4.4854535911501303</c:v>
                </c:pt>
                <c:pt idx="3">
                  <c:v>4.1153331450710429</c:v>
                </c:pt>
                <c:pt idx="4">
                  <c:v>4.3063420495157096</c:v>
                </c:pt>
                <c:pt idx="5">
                  <c:v>4.5033788943335527</c:v>
                </c:pt>
                <c:pt idx="6">
                  <c:v>4.6836989189836604</c:v>
                </c:pt>
                <c:pt idx="7">
                  <c:v>4.72239593734189</c:v>
                </c:pt>
                <c:pt idx="8">
                  <c:v>4.7147428474399575</c:v>
                </c:pt>
                <c:pt idx="9">
                  <c:v>4.7070902817835032</c:v>
                </c:pt>
                <c:pt idx="10">
                  <c:v>4.6994382403725226</c:v>
                </c:pt>
                <c:pt idx="11">
                  <c:v>4.6830508296580886</c:v>
                </c:pt>
                <c:pt idx="12">
                  <c:v>4.6666639431891266</c:v>
                </c:pt>
                <c:pt idx="13">
                  <c:v>8.5746204125933012</c:v>
                </c:pt>
                <c:pt idx="14">
                  <c:v>8.5680889425800579</c:v>
                </c:pt>
                <c:pt idx="15">
                  <c:v>8.561449741450863</c:v>
                </c:pt>
                <c:pt idx="16">
                  <c:v>8.5557973334365478</c:v>
                </c:pt>
                <c:pt idx="17">
                  <c:v>8.5500196530718284</c:v>
                </c:pt>
                <c:pt idx="18">
                  <c:v>8.5440784184015381</c:v>
                </c:pt>
                <c:pt idx="19">
                  <c:v>8.5531736106155751</c:v>
                </c:pt>
                <c:pt idx="20">
                  <c:v>8.5621521900807576</c:v>
                </c:pt>
                <c:pt idx="21">
                  <c:v>8.5710150118878925</c:v>
                </c:pt>
                <c:pt idx="22">
                  <c:v>8.5797563542112716</c:v>
                </c:pt>
                <c:pt idx="23">
                  <c:v>8.5883659795253529</c:v>
                </c:pt>
                <c:pt idx="24">
                  <c:v>8.5968527465315177</c:v>
                </c:pt>
                <c:pt idx="25">
                  <c:v>8.6052113472130021</c:v>
                </c:pt>
                <c:pt idx="26">
                  <c:v>8.6134534395807698</c:v>
                </c:pt>
                <c:pt idx="27">
                  <c:v>8.6215797991149916</c:v>
                </c:pt>
                <c:pt idx="28">
                  <c:v>8.6295963181213828</c:v>
                </c:pt>
                <c:pt idx="29">
                  <c:v>8.6375212158660979</c:v>
                </c:pt>
                <c:pt idx="30">
                  <c:v>8.6453593769624284</c:v>
                </c:pt>
              </c:numCache>
            </c:numRef>
          </c:val>
          <c:extLst>
            <c:ext xmlns:c16="http://schemas.microsoft.com/office/drawing/2014/chart" uri="{C3380CC4-5D6E-409C-BE32-E72D297353CC}">
              <c16:uniqueId val="{00000002-56CF-4E1A-A12B-96F06CEBE0C7}"/>
            </c:ext>
          </c:extLst>
        </c:ser>
        <c:ser>
          <c:idx val="2"/>
          <c:order val="3"/>
          <c:tx>
            <c:v>Total leakage</c:v>
          </c:tx>
          <c:spPr>
            <a:ln w="25400">
              <a:noFill/>
            </a:ln>
          </c:spPr>
          <c:cat>
            <c:strRef>
              <c:f>ESWHRT!$G$23:$CI$23</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ESWHRT!$G$380:$CI$380</c:f>
              <c:numCache>
                <c:formatCode>0.00</c:formatCode>
                <c:ptCount val="81"/>
                <c:pt idx="0">
                  <c:v>0</c:v>
                </c:pt>
                <c:pt idx="1">
                  <c:v>0</c:v>
                </c:pt>
                <c:pt idx="2">
                  <c:v>1.3210509183999999</c:v>
                </c:pt>
                <c:pt idx="3">
                  <c:v>0.81112059999999986</c:v>
                </c:pt>
                <c:pt idx="4">
                  <c:v>0.77940079999999978</c:v>
                </c:pt>
                <c:pt idx="5">
                  <c:v>0.74768099999999993</c:v>
                </c:pt>
                <c:pt idx="6">
                  <c:v>0.74009159999999996</c:v>
                </c:pt>
                <c:pt idx="7">
                  <c:v>0.73250219999999999</c:v>
                </c:pt>
                <c:pt idx="8">
                  <c:v>0.72491280000000013</c:v>
                </c:pt>
                <c:pt idx="9">
                  <c:v>0.71732340000000006</c:v>
                </c:pt>
                <c:pt idx="10">
                  <c:v>0.70973400000000009</c:v>
                </c:pt>
                <c:pt idx="11">
                  <c:v>0.70214460000000012</c:v>
                </c:pt>
                <c:pt idx="12">
                  <c:v>0.69455520000000015</c:v>
                </c:pt>
                <c:pt idx="13">
                  <c:v>0.68696580000000018</c:v>
                </c:pt>
                <c:pt idx="14">
                  <c:v>0.67937640000000021</c:v>
                </c:pt>
                <c:pt idx="15">
                  <c:v>0.67178700000000025</c:v>
                </c:pt>
                <c:pt idx="16">
                  <c:v>0.66419760000000028</c:v>
                </c:pt>
                <c:pt idx="17">
                  <c:v>0.65660820000000031</c:v>
                </c:pt>
                <c:pt idx="18">
                  <c:v>0.64901880000000034</c:v>
                </c:pt>
                <c:pt idx="19">
                  <c:v>0.64142940000000037</c:v>
                </c:pt>
                <c:pt idx="20">
                  <c:v>0.6338400000000004</c:v>
                </c:pt>
                <c:pt idx="21">
                  <c:v>0.62625060000000043</c:v>
                </c:pt>
                <c:pt idx="22">
                  <c:v>0.61866120000000047</c:v>
                </c:pt>
                <c:pt idx="23">
                  <c:v>0.6110718000000005</c:v>
                </c:pt>
                <c:pt idx="24">
                  <c:v>0.60348240000000053</c:v>
                </c:pt>
                <c:pt idx="25">
                  <c:v>0.59589300000000056</c:v>
                </c:pt>
                <c:pt idx="26">
                  <c:v>0.58830360000000059</c:v>
                </c:pt>
                <c:pt idx="27">
                  <c:v>0.58071420000000062</c:v>
                </c:pt>
                <c:pt idx="28">
                  <c:v>0.57312480000000066</c:v>
                </c:pt>
                <c:pt idx="29">
                  <c:v>0.56553540000000069</c:v>
                </c:pt>
                <c:pt idx="30">
                  <c:v>0.55794599999999994</c:v>
                </c:pt>
              </c:numCache>
            </c:numRef>
          </c:val>
          <c:extLst>
            <c:ext xmlns:c16="http://schemas.microsoft.com/office/drawing/2014/chart" uri="{C3380CC4-5D6E-409C-BE32-E72D297353CC}">
              <c16:uniqueId val="{00000003-56CF-4E1A-A12B-96F06CEBE0C7}"/>
            </c:ext>
          </c:extLst>
        </c:ser>
        <c:ser>
          <c:idx val="3"/>
          <c:order val="4"/>
          <c:tx>
            <c:v>Other components of demand</c:v>
          </c:tx>
          <c:spPr>
            <a:ln w="25400">
              <a:noFill/>
            </a:ln>
          </c:spPr>
          <c:cat>
            <c:strRef>
              <c:f>ESWHRT!$G$23:$CI$23</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ESWHRT!$G$381:$CI$381</c:f>
              <c:numCache>
                <c:formatCode>0.00</c:formatCode>
                <c:ptCount val="81"/>
                <c:pt idx="0">
                  <c:v>0</c:v>
                </c:pt>
                <c:pt idx="1">
                  <c:v>0</c:v>
                </c:pt>
                <c:pt idx="2">
                  <c:v>0.19949174740822428</c:v>
                </c:pt>
                <c:pt idx="3">
                  <c:v>0.19881498267651487</c:v>
                </c:pt>
                <c:pt idx="4">
                  <c:v>0.19878899233229852</c:v>
                </c:pt>
                <c:pt idx="5">
                  <c:v>0.19878728353243602</c:v>
                </c:pt>
                <c:pt idx="6">
                  <c:v>0.19865087975061613</c:v>
                </c:pt>
                <c:pt idx="7">
                  <c:v>0.19834412458477679</c:v>
                </c:pt>
                <c:pt idx="8">
                  <c:v>0.19823137753128783</c:v>
                </c:pt>
                <c:pt idx="9">
                  <c:v>0.19812933077044192</c:v>
                </c:pt>
                <c:pt idx="10">
                  <c:v>0.1980427505838076</c:v>
                </c:pt>
                <c:pt idx="11">
                  <c:v>0.19796623446418593</c:v>
                </c:pt>
                <c:pt idx="12">
                  <c:v>0.19790148251789041</c:v>
                </c:pt>
                <c:pt idx="13">
                  <c:v>0.19784122199726895</c:v>
                </c:pt>
                <c:pt idx="14">
                  <c:v>0.19778207690649197</c:v>
                </c:pt>
                <c:pt idx="15">
                  <c:v>0.19772324951165743</c:v>
                </c:pt>
                <c:pt idx="16">
                  <c:v>0.19766532200983988</c:v>
                </c:pt>
                <c:pt idx="17">
                  <c:v>0.1976091169318579</c:v>
                </c:pt>
                <c:pt idx="18">
                  <c:v>0.19755463561490672</c:v>
                </c:pt>
                <c:pt idx="19">
                  <c:v>0.1975005394039524</c:v>
                </c:pt>
                <c:pt idx="20">
                  <c:v>0.19744707252534077</c:v>
                </c:pt>
                <c:pt idx="21">
                  <c:v>0.19739414045409731</c:v>
                </c:pt>
                <c:pt idx="22">
                  <c:v>0.19734172492178992</c:v>
                </c:pt>
                <c:pt idx="23">
                  <c:v>0.19729024557290487</c:v>
                </c:pt>
                <c:pt idx="24">
                  <c:v>0.19723985354005791</c:v>
                </c:pt>
                <c:pt idx="25">
                  <c:v>0.19719042769732376</c:v>
                </c:pt>
                <c:pt idx="26">
                  <c:v>0.19714159345307003</c:v>
                </c:pt>
                <c:pt idx="27">
                  <c:v>0.19709336849775028</c:v>
                </c:pt>
                <c:pt idx="28">
                  <c:v>0.19704542132057057</c:v>
                </c:pt>
                <c:pt idx="29">
                  <c:v>0.19699752302673801</c:v>
                </c:pt>
                <c:pt idx="30">
                  <c:v>0.19694974682876598</c:v>
                </c:pt>
              </c:numCache>
            </c:numRef>
          </c:val>
          <c:extLst>
            <c:ext xmlns:c16="http://schemas.microsoft.com/office/drawing/2014/chart" uri="{C3380CC4-5D6E-409C-BE32-E72D297353CC}">
              <c16:uniqueId val="{00000004-56CF-4E1A-A12B-96F06CEBE0C7}"/>
            </c:ext>
          </c:extLst>
        </c:ser>
        <c:dLbls>
          <c:showLegendKey val="0"/>
          <c:showVal val="0"/>
          <c:showCatName val="0"/>
          <c:showSerName val="0"/>
          <c:showPercent val="0"/>
          <c:showBubbleSize val="0"/>
        </c:dLbls>
        <c:axId val="864303240"/>
        <c:axId val="864303632"/>
      </c:areaChart>
      <c:lineChart>
        <c:grouping val="standard"/>
        <c:varyColors val="0"/>
        <c:ser>
          <c:idx val="4"/>
          <c:order val="5"/>
          <c:tx>
            <c:v>Total water available for use</c:v>
          </c:tx>
          <c:marker>
            <c:symbol val="none"/>
          </c:marker>
          <c:cat>
            <c:strLit>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Lit>
          </c:cat>
          <c:val>
            <c:numRef>
              <c:f>ESWHRT!$G$382:$CI$382</c:f>
              <c:numCache>
                <c:formatCode>0.00</c:formatCode>
                <c:ptCount val="81"/>
                <c:pt idx="0">
                  <c:v>0</c:v>
                </c:pt>
                <c:pt idx="1">
                  <c:v>0</c:v>
                </c:pt>
                <c:pt idx="2">
                  <c:v>8.2732826222203375</c:v>
                </c:pt>
                <c:pt idx="3">
                  <c:v>8.2793829945226545</c:v>
                </c:pt>
                <c:pt idx="4">
                  <c:v>8.2702387972878952</c:v>
                </c:pt>
                <c:pt idx="5">
                  <c:v>8.2509830298220397</c:v>
                </c:pt>
                <c:pt idx="6">
                  <c:v>10.490289847933466</c:v>
                </c:pt>
                <c:pt idx="7">
                  <c:v>10.470241600723718</c:v>
                </c:pt>
                <c:pt idx="8">
                  <c:v>10.479844524978555</c:v>
                </c:pt>
                <c:pt idx="9">
                  <c:v>10.229385798279178</c:v>
                </c:pt>
                <c:pt idx="10">
                  <c:v>10.184199218939174</c:v>
                </c:pt>
                <c:pt idx="11">
                  <c:v>9.8381996170335473</c:v>
                </c:pt>
                <c:pt idx="12">
                  <c:v>9.6178513126081739</c:v>
                </c:pt>
                <c:pt idx="13">
                  <c:v>13.32864171606975</c:v>
                </c:pt>
                <c:pt idx="14">
                  <c:v>13.284365098886759</c:v>
                </c:pt>
                <c:pt idx="15">
                  <c:v>13.210873562074289</c:v>
                </c:pt>
                <c:pt idx="16">
                  <c:v>13.15110103823198</c:v>
                </c:pt>
                <c:pt idx="17">
                  <c:v>13.121557064767277</c:v>
                </c:pt>
                <c:pt idx="18">
                  <c:v>13.082435469682968</c:v>
                </c:pt>
                <c:pt idx="19">
                  <c:v>13.0588976622661</c:v>
                </c:pt>
                <c:pt idx="20">
                  <c:v>13.032894729284232</c:v>
                </c:pt>
                <c:pt idx="21">
                  <c:v>13.003260709612858</c:v>
                </c:pt>
                <c:pt idx="22">
                  <c:v>12.966834917079201</c:v>
                </c:pt>
                <c:pt idx="23">
                  <c:v>12.922139859609661</c:v>
                </c:pt>
                <c:pt idx="24">
                  <c:v>12.901002386521242</c:v>
                </c:pt>
                <c:pt idx="25">
                  <c:v>12.903397146297465</c:v>
                </c:pt>
                <c:pt idx="26">
                  <c:v>12.905088673339502</c:v>
                </c:pt>
                <c:pt idx="27">
                  <c:v>12.917505015195397</c:v>
                </c:pt>
                <c:pt idx="28">
                  <c:v>12.930350129924765</c:v>
                </c:pt>
                <c:pt idx="29">
                  <c:v>12.954077034304341</c:v>
                </c:pt>
                <c:pt idx="30">
                  <c:v>12.967740790938461</c:v>
                </c:pt>
              </c:numCache>
            </c:numRef>
          </c:val>
          <c:smooth val="0"/>
          <c:extLst>
            <c:ext xmlns:c16="http://schemas.microsoft.com/office/drawing/2014/chart" uri="{C3380CC4-5D6E-409C-BE32-E72D297353CC}">
              <c16:uniqueId val="{00000005-56CF-4E1A-A12B-96F06CEBE0C7}"/>
            </c:ext>
          </c:extLst>
        </c:ser>
        <c:ser>
          <c:idx val="5"/>
          <c:order val="6"/>
          <c:tx>
            <c:v>Total demand + target headroom (final plan)</c:v>
          </c:tx>
          <c:marker>
            <c:symbol val="none"/>
          </c:marker>
          <c:cat>
            <c:strLit>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Lit>
          </c:cat>
          <c:val>
            <c:numRef>
              <c:f>ESWHRT!$G$383:$CI$383</c:f>
              <c:numCache>
                <c:formatCode>0.00</c:formatCode>
                <c:ptCount val="81"/>
                <c:pt idx="0">
                  <c:v>0</c:v>
                </c:pt>
                <c:pt idx="1">
                  <c:v>0</c:v>
                </c:pt>
                <c:pt idx="2">
                  <c:v>10.993224053537398</c:v>
                </c:pt>
                <c:pt idx="3">
                  <c:v>10.061111213194241</c:v>
                </c:pt>
                <c:pt idx="4">
                  <c:v>10.290318396869708</c:v>
                </c:pt>
                <c:pt idx="5">
                  <c:v>10.112762850010094</c:v>
                </c:pt>
                <c:pt idx="6">
                  <c:v>10.398108109180001</c:v>
                </c:pt>
                <c:pt idx="7">
                  <c:v>10.315712957301674</c:v>
                </c:pt>
                <c:pt idx="8">
                  <c:v>10.379900348627737</c:v>
                </c:pt>
                <c:pt idx="9">
                  <c:v>10.40938579827918</c:v>
                </c:pt>
                <c:pt idx="10">
                  <c:v>10.364199218939175</c:v>
                </c:pt>
                <c:pt idx="11">
                  <c:v>10.018199617033547</c:v>
                </c:pt>
                <c:pt idx="12">
                  <c:v>9.7978513126081737</c:v>
                </c:pt>
                <c:pt idx="13">
                  <c:v>13.508641716069752</c:v>
                </c:pt>
                <c:pt idx="14">
                  <c:v>13.464365098886759</c:v>
                </c:pt>
                <c:pt idx="15">
                  <c:v>13.39087356207429</c:v>
                </c:pt>
                <c:pt idx="16">
                  <c:v>13.33110103823198</c:v>
                </c:pt>
                <c:pt idx="17">
                  <c:v>13.301557064767277</c:v>
                </c:pt>
                <c:pt idx="18">
                  <c:v>13.26243546968297</c:v>
                </c:pt>
                <c:pt idx="19">
                  <c:v>13.238897662266101</c:v>
                </c:pt>
                <c:pt idx="20">
                  <c:v>13.212894729284233</c:v>
                </c:pt>
                <c:pt idx="21">
                  <c:v>13.18326070961286</c:v>
                </c:pt>
                <c:pt idx="22">
                  <c:v>13.1468349170792</c:v>
                </c:pt>
                <c:pt idx="23">
                  <c:v>13.102139859609661</c:v>
                </c:pt>
                <c:pt idx="24">
                  <c:v>13.081002386521243</c:v>
                </c:pt>
                <c:pt idx="25">
                  <c:v>13.083397146297465</c:v>
                </c:pt>
                <c:pt idx="26">
                  <c:v>13.085088673339502</c:v>
                </c:pt>
                <c:pt idx="27">
                  <c:v>13.097505015195397</c:v>
                </c:pt>
                <c:pt idx="28">
                  <c:v>13.110350129924766</c:v>
                </c:pt>
                <c:pt idx="29">
                  <c:v>13.134077034304342</c:v>
                </c:pt>
                <c:pt idx="30">
                  <c:v>13.14774079093846</c:v>
                </c:pt>
              </c:numCache>
            </c:numRef>
          </c:val>
          <c:smooth val="0"/>
          <c:extLst>
            <c:ext xmlns:c16="http://schemas.microsoft.com/office/drawing/2014/chart" uri="{C3380CC4-5D6E-409C-BE32-E72D297353CC}">
              <c16:uniqueId val="{00000006-56CF-4E1A-A12B-96F06CEBE0C7}"/>
            </c:ext>
          </c:extLst>
        </c:ser>
        <c:dLbls>
          <c:showLegendKey val="0"/>
          <c:showVal val="0"/>
          <c:showCatName val="0"/>
          <c:showSerName val="0"/>
          <c:showPercent val="0"/>
          <c:showBubbleSize val="0"/>
        </c:dLbls>
        <c:marker val="1"/>
        <c:smooth val="0"/>
        <c:axId val="864303240"/>
        <c:axId val="864303632"/>
      </c:lineChart>
      <c:catAx>
        <c:axId val="864303240"/>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en-US"/>
          </a:p>
        </c:txPr>
        <c:crossAx val="864303632"/>
        <c:crosses val="autoZero"/>
        <c:auto val="1"/>
        <c:lblAlgn val="ctr"/>
        <c:lblOffset val="100"/>
        <c:tickLblSkip val="2"/>
        <c:tickMarkSkip val="1"/>
        <c:noMultiLvlLbl val="0"/>
      </c:catAx>
      <c:valAx>
        <c:axId val="864303632"/>
        <c:scaling>
          <c:orientation val="minMax"/>
        </c:scaling>
        <c:delete val="0"/>
        <c:axPos val="l"/>
        <c:majorGridlines>
          <c:spPr>
            <a:ln w="3175">
              <a:solidFill>
                <a:srgbClr val="000000"/>
              </a:solidFill>
              <a:prstDash val="solid"/>
            </a:ln>
          </c:spPr>
        </c:majorGridlines>
        <c:title>
          <c:tx>
            <c:rich>
              <a:bodyPr/>
              <a:lstStyle/>
              <a:p>
                <a:pPr>
                  <a:defRPr sz="1175" b="1" i="0" u="none" strike="noStrike" baseline="0">
                    <a:solidFill>
                      <a:srgbClr val="000000"/>
                    </a:solidFill>
                    <a:latin typeface="Arial"/>
                    <a:ea typeface="Arial"/>
                    <a:cs typeface="Arial"/>
                  </a:defRPr>
                </a:pPr>
                <a:r>
                  <a:rPr lang="en-GB"/>
                  <a:t>Ml/d</a:t>
                </a:r>
              </a:p>
            </c:rich>
          </c:tx>
          <c:layout>
            <c:manualLayout>
              <c:xMode val="edge"/>
              <c:yMode val="edge"/>
              <c:x val="2.0359337875782983E-2"/>
              <c:y val="0.39858528733632054"/>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864303240"/>
        <c:crosses val="autoZero"/>
        <c:crossBetween val="midCat"/>
      </c:valAx>
      <c:spPr>
        <a:solidFill>
          <a:schemeClr val="bg1"/>
        </a:solidFill>
        <a:ln w="12700">
          <a:solidFill>
            <a:srgbClr val="808080"/>
          </a:solidFill>
          <a:prstDash val="solid"/>
        </a:ln>
      </c:spPr>
    </c:plotArea>
    <c:legend>
      <c:legendPos val="b"/>
      <c:legendEntry>
        <c:idx val="0"/>
        <c:txPr>
          <a:bodyPr/>
          <a:lstStyle/>
          <a:p>
            <a:pPr>
              <a:defRPr sz="1000" b="0" i="0" u="none" strike="noStrike" baseline="0">
                <a:solidFill>
                  <a:srgbClr val="000000"/>
                </a:solidFill>
                <a:latin typeface="Arial"/>
                <a:ea typeface="Arial"/>
                <a:cs typeface="Arial"/>
              </a:defRPr>
            </a:pPr>
            <a:endParaRPr lang="en-US"/>
          </a:p>
        </c:txPr>
      </c:legendEntry>
      <c:layout>
        <c:manualLayout>
          <c:xMode val="edge"/>
          <c:yMode val="edge"/>
          <c:x val="0.16452269470774322"/>
          <c:y val="0.82158446545736608"/>
          <c:w val="0.7156398695723647"/>
          <c:h val="0.16402912270077008"/>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0"/>
    <c:dispBlanksAs val="zero"/>
    <c:showDLblsOverMax val="0"/>
  </c:chart>
  <c:spPr>
    <a:solidFill>
      <a:schemeClr val="accent4"/>
    </a:solidFill>
    <a:ln w="3175">
      <a:solidFill>
        <a:srgbClr val="000000"/>
      </a:solidFill>
      <a:prstDash val="solid"/>
    </a:ln>
  </c:spPr>
  <c:txPr>
    <a:bodyPr/>
    <a:lstStyle/>
    <a:p>
      <a:pPr>
        <a:defRPr sz="975" b="0" i="0" u="none" strike="noStrike" baseline="0">
          <a:solidFill>
            <a:srgbClr val="000000"/>
          </a:solidFill>
          <a:latin typeface="Arial"/>
          <a:ea typeface="Arial"/>
          <a:cs typeface="Arial"/>
        </a:defRPr>
      </a:pPr>
      <a:endParaRPr lang="en-US"/>
    </a:p>
  </c:txPr>
  <c:printSettings>
    <c:headerFooter alignWithMargins="0"/>
    <c:pageMargins b="1" l="0.75000000000000622" r="0.75000000000000622" t="1" header="0.5" footer="0.5"/>
    <c:pageSetup paperSize="9" orientation="landscape"/>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75" b="1" i="0" u="none" strike="noStrike" baseline="0">
                <a:solidFill>
                  <a:srgbClr val="000000"/>
                </a:solidFill>
                <a:latin typeface="Arial"/>
                <a:ea typeface="Arial"/>
                <a:cs typeface="Arial"/>
              </a:defRPr>
            </a:pPr>
            <a:r>
              <a:rPr lang="en-GB"/>
              <a:t>DYCP Baseline Water Supply-Demand Balance and Components of Demand</a:t>
            </a:r>
          </a:p>
        </c:rich>
      </c:tx>
      <c:layout>
        <c:manualLayout>
          <c:xMode val="edge"/>
          <c:yMode val="edge"/>
          <c:x val="0.2095809470200265"/>
          <c:y val="2.9013693730272669E-2"/>
        </c:manualLayout>
      </c:layout>
      <c:overlay val="0"/>
      <c:spPr>
        <a:noFill/>
        <a:ln w="25400">
          <a:noFill/>
        </a:ln>
      </c:spPr>
    </c:title>
    <c:autoTitleDeleted val="0"/>
    <c:plotArea>
      <c:layout>
        <c:manualLayout>
          <c:layoutTarget val="inner"/>
          <c:xMode val="edge"/>
          <c:yMode val="edge"/>
          <c:x val="8.5343266856694813E-2"/>
          <c:y val="0.10444884139344435"/>
          <c:w val="0.89146608097046709"/>
          <c:h val="0.55130264550264552"/>
        </c:manualLayout>
      </c:layout>
      <c:areaChart>
        <c:grouping val="stacked"/>
        <c:varyColors val="0"/>
        <c:ser>
          <c:idx val="6"/>
          <c:order val="0"/>
          <c:tx>
            <c:v>Measured household consumption</c:v>
          </c:tx>
          <c:spPr>
            <a:ln w="25400">
              <a:noFill/>
            </a:ln>
          </c:spPr>
          <c:cat>
            <c:strRef>
              <c:f>ESWHRT!$G$204:$CI$204</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ESWHRT!$G$386:$CI$386</c:f>
              <c:numCache>
                <c:formatCode>0.00</c:formatCode>
                <c:ptCount val="81"/>
                <c:pt idx="0">
                  <c:v>0</c:v>
                </c:pt>
                <c:pt idx="1">
                  <c:v>0</c:v>
                </c:pt>
                <c:pt idx="2">
                  <c:v>2.4490244538520547</c:v>
                </c:pt>
                <c:pt idx="3">
                  <c:v>2.4530108051284878</c:v>
                </c:pt>
                <c:pt idx="4">
                  <c:v>2.4136278483535962</c:v>
                </c:pt>
                <c:pt idx="5">
                  <c:v>2.3938408890364875</c:v>
                </c:pt>
                <c:pt idx="6">
                  <c:v>2.553122618674319</c:v>
                </c:pt>
                <c:pt idx="7">
                  <c:v>2.7003921633132375</c:v>
                </c:pt>
                <c:pt idx="8">
                  <c:v>2.7762158685545724</c:v>
                </c:pt>
                <c:pt idx="9">
                  <c:v>2.8438797824969511</c:v>
                </c:pt>
                <c:pt idx="10">
                  <c:v>2.8987525156745106</c:v>
                </c:pt>
                <c:pt idx="11">
                  <c:v>2.9388287808286755</c:v>
                </c:pt>
                <c:pt idx="12">
                  <c:v>2.964061239496143</c:v>
                </c:pt>
                <c:pt idx="13">
                  <c:v>2.9873670902941241</c:v>
                </c:pt>
                <c:pt idx="14">
                  <c:v>3.0103590162822251</c:v>
                </c:pt>
                <c:pt idx="15">
                  <c:v>3.0342538724449719</c:v>
                </c:pt>
                <c:pt idx="16">
                  <c:v>3.0582468265261875</c:v>
                </c:pt>
                <c:pt idx="17">
                  <c:v>3.08267715014212</c:v>
                </c:pt>
                <c:pt idx="18">
                  <c:v>3.1079419281045535</c:v>
                </c:pt>
                <c:pt idx="19">
                  <c:v>3.133399579847187</c:v>
                </c:pt>
                <c:pt idx="20">
                  <c:v>3.1560146504253077</c:v>
                </c:pt>
                <c:pt idx="21">
                  <c:v>3.1732940186908172</c:v>
                </c:pt>
                <c:pt idx="22">
                  <c:v>3.1946032146213073</c:v>
                </c:pt>
                <c:pt idx="23">
                  <c:v>3.2170391496839006</c:v>
                </c:pt>
                <c:pt idx="24">
                  <c:v>3.2393060090969112</c:v>
                </c:pt>
                <c:pt idx="25">
                  <c:v>3.2616202489356154</c:v>
                </c:pt>
                <c:pt idx="26">
                  <c:v>3.2832097857494507</c:v>
                </c:pt>
                <c:pt idx="27">
                  <c:v>3.3052578257734102</c:v>
                </c:pt>
                <c:pt idx="28">
                  <c:v>3.3280313153642282</c:v>
                </c:pt>
                <c:pt idx="29">
                  <c:v>3.3518323787319457</c:v>
                </c:pt>
                <c:pt idx="30">
                  <c:v>3.3761094889229621</c:v>
                </c:pt>
              </c:numCache>
            </c:numRef>
          </c:val>
          <c:extLst>
            <c:ext xmlns:c16="http://schemas.microsoft.com/office/drawing/2014/chart" uri="{C3380CC4-5D6E-409C-BE32-E72D297353CC}">
              <c16:uniqueId val="{00000000-FF6D-4DCF-AE89-4A3C8CB34015}"/>
            </c:ext>
          </c:extLst>
        </c:ser>
        <c:ser>
          <c:idx val="0"/>
          <c:order val="1"/>
          <c:tx>
            <c:v>Unmeasured household consumption</c:v>
          </c:tx>
          <c:spPr>
            <a:ln w="25400">
              <a:noFill/>
            </a:ln>
          </c:spPr>
          <c:cat>
            <c:strRef>
              <c:f>ESWHRT!$G$204:$CI$204</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ESWHRT!$G$387:$CI$387</c:f>
              <c:numCache>
                <c:formatCode>0.00</c:formatCode>
                <c:ptCount val="81"/>
                <c:pt idx="0">
                  <c:v>0</c:v>
                </c:pt>
                <c:pt idx="1">
                  <c:v>0</c:v>
                </c:pt>
                <c:pt idx="2">
                  <c:v>2.0197035980870042</c:v>
                </c:pt>
                <c:pt idx="3">
                  <c:v>2.0753214903712163</c:v>
                </c:pt>
                <c:pt idx="4">
                  <c:v>2.020590584877739</c:v>
                </c:pt>
                <c:pt idx="5">
                  <c:v>1.8427176634080884</c:v>
                </c:pt>
                <c:pt idx="6">
                  <c:v>1.5892756052609431</c:v>
                </c:pt>
                <c:pt idx="7">
                  <c:v>1.4665937218808549</c:v>
                </c:pt>
                <c:pt idx="8">
                  <c:v>1.4231402356619536</c:v>
                </c:pt>
                <c:pt idx="9">
                  <c:v>1.3797852299765392</c:v>
                </c:pt>
                <c:pt idx="10">
                  <c:v>1.336402637111674</c:v>
                </c:pt>
                <c:pt idx="11">
                  <c:v>1.309118612581784</c:v>
                </c:pt>
                <c:pt idx="12">
                  <c:v>1.2983363772604621</c:v>
                </c:pt>
                <c:pt idx="13">
                  <c:v>1.2876917333580522</c:v>
                </c:pt>
                <c:pt idx="14">
                  <c:v>1.2770626614112783</c:v>
                </c:pt>
                <c:pt idx="15">
                  <c:v>1.2665482620609736</c:v>
                </c:pt>
                <c:pt idx="16">
                  <c:v>1.257058303492983</c:v>
                </c:pt>
                <c:pt idx="17">
                  <c:v>1.2476897937036135</c:v>
                </c:pt>
                <c:pt idx="18">
                  <c:v>1.2383206571970222</c:v>
                </c:pt>
                <c:pt idx="19">
                  <c:v>1.2293143603570673</c:v>
                </c:pt>
                <c:pt idx="20">
                  <c:v>1.2203146000993059</c:v>
                </c:pt>
                <c:pt idx="21">
                  <c:v>1.2112704613361567</c:v>
                </c:pt>
                <c:pt idx="22">
                  <c:v>1.2023524886878727</c:v>
                </c:pt>
                <c:pt idx="23">
                  <c:v>1.1940750030507847</c:v>
                </c:pt>
                <c:pt idx="24">
                  <c:v>1.1863591176774204</c:v>
                </c:pt>
                <c:pt idx="25">
                  <c:v>1.1787687014417505</c:v>
                </c:pt>
                <c:pt idx="26">
                  <c:v>1.1711854001671438</c:v>
                </c:pt>
                <c:pt idx="27">
                  <c:v>1.1639584418673186</c:v>
                </c:pt>
                <c:pt idx="28">
                  <c:v>1.15673140747679</c:v>
                </c:pt>
                <c:pt idx="29">
                  <c:v>1.1496251845955303</c:v>
                </c:pt>
                <c:pt idx="30">
                  <c:v>1.1422922713558501</c:v>
                </c:pt>
              </c:numCache>
            </c:numRef>
          </c:val>
          <c:extLst>
            <c:ext xmlns:c16="http://schemas.microsoft.com/office/drawing/2014/chart" uri="{C3380CC4-5D6E-409C-BE32-E72D297353CC}">
              <c16:uniqueId val="{00000001-FF6D-4DCF-AE89-4A3C8CB34015}"/>
            </c:ext>
          </c:extLst>
        </c:ser>
        <c:ser>
          <c:idx val="1"/>
          <c:order val="2"/>
          <c:tx>
            <c:v>Non-household consumption</c:v>
          </c:tx>
          <c:spPr>
            <a:ln w="25400">
              <a:noFill/>
            </a:ln>
          </c:spPr>
          <c:cat>
            <c:strRef>
              <c:f>ESWHRT!$G$204:$CI$204</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ESWHRT!$G$388:$CI$388</c:f>
              <c:numCache>
                <c:formatCode>0.00</c:formatCode>
                <c:ptCount val="81"/>
                <c:pt idx="0">
                  <c:v>0</c:v>
                </c:pt>
                <c:pt idx="1">
                  <c:v>0</c:v>
                </c:pt>
                <c:pt idx="2">
                  <c:v>4.5354665878922384</c:v>
                </c:pt>
                <c:pt idx="3">
                  <c:v>9.4590744509776972</c:v>
                </c:pt>
                <c:pt idx="4">
                  <c:v>9.4740407793367591</c:v>
                </c:pt>
                <c:pt idx="5">
                  <c:v>9.646999345377667</c:v>
                </c:pt>
                <c:pt idx="6">
                  <c:v>9.6569013903787599</c:v>
                </c:pt>
                <c:pt idx="7">
                  <c:v>9.6675735219941217</c:v>
                </c:pt>
                <c:pt idx="8">
                  <c:v>9.6783461533895991</c:v>
                </c:pt>
                <c:pt idx="9">
                  <c:v>9.6891703481975497</c:v>
                </c:pt>
                <c:pt idx="10">
                  <c:v>9.6993694263056103</c:v>
                </c:pt>
                <c:pt idx="11">
                  <c:v>9.7095180503942302</c:v>
                </c:pt>
                <c:pt idx="12">
                  <c:v>9.7195632962443383</c:v>
                </c:pt>
                <c:pt idx="13">
                  <c:v>9.7294689981513844</c:v>
                </c:pt>
                <c:pt idx="14">
                  <c:v>9.7392801179150474</c:v>
                </c:pt>
                <c:pt idx="15">
                  <c:v>9.7489829823172869</c:v>
                </c:pt>
                <c:pt idx="16">
                  <c:v>9.7585076442937453</c:v>
                </c:pt>
                <c:pt idx="17">
                  <c:v>9.7679065096743223</c:v>
                </c:pt>
                <c:pt idx="18">
                  <c:v>9.7771412965038529</c:v>
                </c:pt>
                <c:pt idx="19">
                  <c:v>9.7862009641547107</c:v>
                </c:pt>
                <c:pt idx="20">
                  <c:v>9.7951434948112439</c:v>
                </c:pt>
                <c:pt idx="21">
                  <c:v>9.8039697435642488</c:v>
                </c:pt>
                <c:pt idx="22">
                  <c:v>9.8126739885880259</c:v>
                </c:pt>
                <c:pt idx="23">
                  <c:v>9.8212459923570226</c:v>
                </c:pt>
                <c:pt idx="24">
                  <c:v>9.8296946135726344</c:v>
                </c:pt>
                <c:pt idx="25">
                  <c:v>9.8380145442180833</c:v>
                </c:pt>
                <c:pt idx="26">
                  <c:v>9.8462174423043454</c:v>
                </c:pt>
                <c:pt idx="27">
                  <c:v>9.8543040833115825</c:v>
                </c:pt>
                <c:pt idx="28">
                  <c:v>9.8622803595455153</c:v>
                </c:pt>
                <c:pt idx="29">
                  <c:v>9.8701644902722929</c:v>
                </c:pt>
                <c:pt idx="30">
                  <c:v>9.8779613601052088</c:v>
                </c:pt>
              </c:numCache>
            </c:numRef>
          </c:val>
          <c:extLst>
            <c:ext xmlns:c16="http://schemas.microsoft.com/office/drawing/2014/chart" uri="{C3380CC4-5D6E-409C-BE32-E72D297353CC}">
              <c16:uniqueId val="{00000002-FF6D-4DCF-AE89-4A3C8CB34015}"/>
            </c:ext>
          </c:extLst>
        </c:ser>
        <c:ser>
          <c:idx val="2"/>
          <c:order val="3"/>
          <c:tx>
            <c:v>Total leakage</c:v>
          </c:tx>
          <c:spPr>
            <a:ln w="25400">
              <a:noFill/>
            </a:ln>
          </c:spPr>
          <c:cat>
            <c:strRef>
              <c:f>ESWHRT!$G$204:$CI$204</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ESWHRT!$G$389:$CI$389</c:f>
              <c:numCache>
                <c:formatCode>0.00</c:formatCode>
                <c:ptCount val="81"/>
                <c:pt idx="0">
                  <c:v>0</c:v>
                </c:pt>
                <c:pt idx="1">
                  <c:v>0</c:v>
                </c:pt>
                <c:pt idx="2">
                  <c:v>1.3210509183999999</c:v>
                </c:pt>
                <c:pt idx="3">
                  <c:v>0.81112059999999986</c:v>
                </c:pt>
                <c:pt idx="4">
                  <c:v>0.77940079999999978</c:v>
                </c:pt>
                <c:pt idx="5">
                  <c:v>0.74768099999999993</c:v>
                </c:pt>
                <c:pt idx="6">
                  <c:v>0.74768099999999993</c:v>
                </c:pt>
                <c:pt idx="7">
                  <c:v>0.74768099999999993</c:v>
                </c:pt>
                <c:pt idx="8">
                  <c:v>0.74768099999999993</c:v>
                </c:pt>
                <c:pt idx="9">
                  <c:v>0.74768099999999993</c:v>
                </c:pt>
                <c:pt idx="10">
                  <c:v>0.74768099999999993</c:v>
                </c:pt>
                <c:pt idx="11">
                  <c:v>0.74768099999999993</c:v>
                </c:pt>
                <c:pt idx="12">
                  <c:v>0.74768099999999993</c:v>
                </c:pt>
                <c:pt idx="13">
                  <c:v>0.74768099999999993</c:v>
                </c:pt>
                <c:pt idx="14">
                  <c:v>0.74768099999999993</c:v>
                </c:pt>
                <c:pt idx="15">
                  <c:v>0.74768099999999993</c:v>
                </c:pt>
                <c:pt idx="16">
                  <c:v>0.74768099999999993</c:v>
                </c:pt>
                <c:pt idx="17">
                  <c:v>0.74768099999999993</c:v>
                </c:pt>
                <c:pt idx="18">
                  <c:v>0.74768099999999993</c:v>
                </c:pt>
                <c:pt idx="19">
                  <c:v>0.74768099999999993</c:v>
                </c:pt>
                <c:pt idx="20">
                  <c:v>0.74768099999999993</c:v>
                </c:pt>
                <c:pt idx="21">
                  <c:v>0.74768099999999993</c:v>
                </c:pt>
                <c:pt idx="22">
                  <c:v>0.74768099999999993</c:v>
                </c:pt>
                <c:pt idx="23">
                  <c:v>0.74768099999999982</c:v>
                </c:pt>
                <c:pt idx="24">
                  <c:v>0.74768099999999993</c:v>
                </c:pt>
                <c:pt idx="25">
                  <c:v>0.74768099999999993</c:v>
                </c:pt>
                <c:pt idx="26">
                  <c:v>0.74768099999999993</c:v>
                </c:pt>
                <c:pt idx="27">
                  <c:v>0.74768099999999993</c:v>
                </c:pt>
                <c:pt idx="28">
                  <c:v>0.74768099999999993</c:v>
                </c:pt>
                <c:pt idx="29">
                  <c:v>0.74768100000000004</c:v>
                </c:pt>
                <c:pt idx="30">
                  <c:v>0.74768099999999993</c:v>
                </c:pt>
              </c:numCache>
            </c:numRef>
          </c:val>
          <c:extLst>
            <c:ext xmlns:c16="http://schemas.microsoft.com/office/drawing/2014/chart" uri="{C3380CC4-5D6E-409C-BE32-E72D297353CC}">
              <c16:uniqueId val="{00000003-FF6D-4DCF-AE89-4A3C8CB34015}"/>
            </c:ext>
          </c:extLst>
        </c:ser>
        <c:ser>
          <c:idx val="3"/>
          <c:order val="4"/>
          <c:tx>
            <c:v>Other components of demand</c:v>
          </c:tx>
          <c:spPr>
            <a:ln w="25400">
              <a:noFill/>
            </a:ln>
          </c:spPr>
          <c:cat>
            <c:strRef>
              <c:f>ESWHRT!$G$204:$CI$204</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ESWHRT!$G$390:$CI$390</c:f>
              <c:numCache>
                <c:formatCode>0.00</c:formatCode>
                <c:ptCount val="81"/>
                <c:pt idx="0">
                  <c:v>0</c:v>
                </c:pt>
                <c:pt idx="1">
                  <c:v>0</c:v>
                </c:pt>
                <c:pt idx="2">
                  <c:v>0.19949174740822428</c:v>
                </c:pt>
                <c:pt idx="3">
                  <c:v>0.19881498267651487</c:v>
                </c:pt>
                <c:pt idx="4">
                  <c:v>0.19878899233229674</c:v>
                </c:pt>
                <c:pt idx="5">
                  <c:v>0.19878728353243424</c:v>
                </c:pt>
                <c:pt idx="6">
                  <c:v>0.19878486804217665</c:v>
                </c:pt>
                <c:pt idx="7">
                  <c:v>0.19860773826280997</c:v>
                </c:pt>
                <c:pt idx="8">
                  <c:v>0.19848626539911329</c:v>
                </c:pt>
                <c:pt idx="9">
                  <c:v>0.19837549282806677</c:v>
                </c:pt>
                <c:pt idx="10">
                  <c:v>0.19828018683123183</c:v>
                </c:pt>
                <c:pt idx="11">
                  <c:v>0.1981990120440269</c:v>
                </c:pt>
                <c:pt idx="12">
                  <c:v>0.19813366857277259</c:v>
                </c:pt>
                <c:pt idx="13">
                  <c:v>0.19807281652719055</c:v>
                </c:pt>
                <c:pt idx="14">
                  <c:v>0.19801307991145123</c:v>
                </c:pt>
                <c:pt idx="15">
                  <c:v>0.19795366099165967</c:v>
                </c:pt>
                <c:pt idx="16">
                  <c:v>0.19789514196488156</c:v>
                </c:pt>
                <c:pt idx="17">
                  <c:v>0.19783834536193545</c:v>
                </c:pt>
                <c:pt idx="18">
                  <c:v>0.19778327252002548</c:v>
                </c:pt>
                <c:pt idx="19">
                  <c:v>0.19772858478411415</c:v>
                </c:pt>
                <c:pt idx="20">
                  <c:v>0.1976745263805384</c:v>
                </c:pt>
                <c:pt idx="21">
                  <c:v>0.19762106368972354</c:v>
                </c:pt>
                <c:pt idx="22">
                  <c:v>0.19756817844323038</c:v>
                </c:pt>
                <c:pt idx="23">
                  <c:v>0.19751622938016133</c:v>
                </c:pt>
                <c:pt idx="24">
                  <c:v>0.19746536763313038</c:v>
                </c:pt>
                <c:pt idx="25">
                  <c:v>0.19741547207621402</c:v>
                </c:pt>
                <c:pt idx="26">
                  <c:v>0.19736616811777452</c:v>
                </c:pt>
                <c:pt idx="27">
                  <c:v>0.1973174734482761</c:v>
                </c:pt>
                <c:pt idx="28">
                  <c:v>0.19726905655690885</c:v>
                </c:pt>
                <c:pt idx="29">
                  <c:v>0.1972206885488923</c:v>
                </c:pt>
                <c:pt idx="30">
                  <c:v>0.1971724426367345</c:v>
                </c:pt>
              </c:numCache>
            </c:numRef>
          </c:val>
          <c:extLst>
            <c:ext xmlns:c16="http://schemas.microsoft.com/office/drawing/2014/chart" uri="{C3380CC4-5D6E-409C-BE32-E72D297353CC}">
              <c16:uniqueId val="{00000004-FF6D-4DCF-AE89-4A3C8CB34015}"/>
            </c:ext>
          </c:extLst>
        </c:ser>
        <c:dLbls>
          <c:showLegendKey val="0"/>
          <c:showVal val="0"/>
          <c:showCatName val="0"/>
          <c:showSerName val="0"/>
          <c:showPercent val="0"/>
          <c:showBubbleSize val="0"/>
        </c:dLbls>
        <c:axId val="864304416"/>
        <c:axId val="864304808"/>
      </c:areaChart>
      <c:lineChart>
        <c:grouping val="standard"/>
        <c:varyColors val="0"/>
        <c:ser>
          <c:idx val="4"/>
          <c:order val="5"/>
          <c:tx>
            <c:v>Total water available for use</c:v>
          </c:tx>
          <c:marker>
            <c:symbol val="none"/>
          </c:marker>
          <c:cat>
            <c:strLit>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Lit>
          </c:cat>
          <c:val>
            <c:numRef>
              <c:f>ESWHRT!$G$391:$CI$391</c:f>
              <c:numCache>
                <c:formatCode>0.00</c:formatCode>
                <c:ptCount val="81"/>
                <c:pt idx="0">
                  <c:v>0</c:v>
                </c:pt>
                <c:pt idx="1">
                  <c:v>0</c:v>
                </c:pt>
                <c:pt idx="2">
                  <c:v>14.809709999999999</c:v>
                </c:pt>
                <c:pt idx="3">
                  <c:v>14.809709999999999</c:v>
                </c:pt>
                <c:pt idx="4">
                  <c:v>14.809709999999999</c:v>
                </c:pt>
                <c:pt idx="5">
                  <c:v>14.809709999999999</c:v>
                </c:pt>
                <c:pt idx="6">
                  <c:v>14.809709999999999</c:v>
                </c:pt>
                <c:pt idx="7">
                  <c:v>14.809709999999999</c:v>
                </c:pt>
                <c:pt idx="8">
                  <c:v>14.809709999999999</c:v>
                </c:pt>
                <c:pt idx="9">
                  <c:v>14.809709999999999</c:v>
                </c:pt>
                <c:pt idx="10">
                  <c:v>14.809709999999999</c:v>
                </c:pt>
                <c:pt idx="11">
                  <c:v>14.809709999999999</c:v>
                </c:pt>
                <c:pt idx="12">
                  <c:v>14.809709999999999</c:v>
                </c:pt>
                <c:pt idx="13">
                  <c:v>14.809709999999999</c:v>
                </c:pt>
                <c:pt idx="14">
                  <c:v>14.809709999999999</c:v>
                </c:pt>
                <c:pt idx="15">
                  <c:v>14.809709999999999</c:v>
                </c:pt>
                <c:pt idx="16">
                  <c:v>14.809709999999999</c:v>
                </c:pt>
                <c:pt idx="17">
                  <c:v>14.809709999999999</c:v>
                </c:pt>
                <c:pt idx="18">
                  <c:v>14.809709999999999</c:v>
                </c:pt>
                <c:pt idx="19">
                  <c:v>14.809709999999999</c:v>
                </c:pt>
                <c:pt idx="20">
                  <c:v>14.809709999999999</c:v>
                </c:pt>
                <c:pt idx="21">
                  <c:v>14.809709999999999</c:v>
                </c:pt>
                <c:pt idx="22">
                  <c:v>14.809709999999999</c:v>
                </c:pt>
                <c:pt idx="23">
                  <c:v>14.809709999999999</c:v>
                </c:pt>
                <c:pt idx="24">
                  <c:v>14.809709999999999</c:v>
                </c:pt>
                <c:pt idx="25">
                  <c:v>14.809709999999999</c:v>
                </c:pt>
                <c:pt idx="26">
                  <c:v>14.809709999999999</c:v>
                </c:pt>
                <c:pt idx="27">
                  <c:v>14.809709999999999</c:v>
                </c:pt>
                <c:pt idx="28">
                  <c:v>14.809709999999999</c:v>
                </c:pt>
                <c:pt idx="29">
                  <c:v>14.809709999999999</c:v>
                </c:pt>
                <c:pt idx="30">
                  <c:v>14.809709999999999</c:v>
                </c:pt>
              </c:numCache>
            </c:numRef>
          </c:val>
          <c:smooth val="0"/>
          <c:extLst>
            <c:ext xmlns:c16="http://schemas.microsoft.com/office/drawing/2014/chart" uri="{C3380CC4-5D6E-409C-BE32-E72D297353CC}">
              <c16:uniqueId val="{00000005-FF6D-4DCF-AE89-4A3C8CB34015}"/>
            </c:ext>
          </c:extLst>
        </c:ser>
        <c:ser>
          <c:idx val="5"/>
          <c:order val="6"/>
          <c:tx>
            <c:v>Total demand + target headroom (baseline)</c:v>
          </c:tx>
          <c:marker>
            <c:symbol val="none"/>
          </c:marker>
          <c:cat>
            <c:strLit>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Lit>
          </c:cat>
          <c:val>
            <c:numRef>
              <c:f>ESWHRT!$G$392:$CI$392</c:f>
              <c:numCache>
                <c:formatCode>0.00</c:formatCode>
                <c:ptCount val="81"/>
                <c:pt idx="0">
                  <c:v>0</c:v>
                </c:pt>
                <c:pt idx="1">
                  <c:v>0</c:v>
                </c:pt>
                <c:pt idx="2">
                  <c:v>11.723666139480322</c:v>
                </c:pt>
                <c:pt idx="3">
                  <c:v>16.265774573344977</c:v>
                </c:pt>
                <c:pt idx="4">
                  <c:v>16.198902261797343</c:v>
                </c:pt>
                <c:pt idx="5">
                  <c:v>16.109877770083784</c:v>
                </c:pt>
                <c:pt idx="6">
                  <c:v>16.051236007898474</c:v>
                </c:pt>
                <c:pt idx="7">
                  <c:v>16.071365345732787</c:v>
                </c:pt>
                <c:pt idx="8">
                  <c:v>16.070768461038938</c:v>
                </c:pt>
                <c:pt idx="9">
                  <c:v>16.124650437330303</c:v>
                </c:pt>
                <c:pt idx="10">
                  <c:v>16.1515615524943</c:v>
                </c:pt>
                <c:pt idx="11">
                  <c:v>16.182871598499325</c:v>
                </c:pt>
                <c:pt idx="12">
                  <c:v>16.036993527834966</c:v>
                </c:pt>
                <c:pt idx="13">
                  <c:v>15.391793833305583</c:v>
                </c:pt>
                <c:pt idx="14">
                  <c:v>15.395503373283731</c:v>
                </c:pt>
                <c:pt idx="15">
                  <c:v>15.377446927712557</c:v>
                </c:pt>
                <c:pt idx="16">
                  <c:v>15.37958584244125</c:v>
                </c:pt>
                <c:pt idx="17">
                  <c:v>15.409004172275047</c:v>
                </c:pt>
                <c:pt idx="18">
                  <c:v>15.432052900659571</c:v>
                </c:pt>
                <c:pt idx="19">
                  <c:v>15.465152318063753</c:v>
                </c:pt>
                <c:pt idx="20">
                  <c:v>15.493015642708853</c:v>
                </c:pt>
                <c:pt idx="21">
                  <c:v>15.51208979558416</c:v>
                </c:pt>
                <c:pt idx="22">
                  <c:v>15.516141891568255</c:v>
                </c:pt>
                <c:pt idx="23">
                  <c:v>15.529173886837617</c:v>
                </c:pt>
                <c:pt idx="24">
                  <c:v>15.537976670612482</c:v>
                </c:pt>
                <c:pt idx="25">
                  <c:v>15.554093668904796</c:v>
                </c:pt>
                <c:pt idx="26">
                  <c:v>15.568367163228492</c:v>
                </c:pt>
                <c:pt idx="27">
                  <c:v>15.595833701536428</c:v>
                </c:pt>
                <c:pt idx="28">
                  <c:v>15.623113153209632</c:v>
                </c:pt>
                <c:pt idx="29">
                  <c:v>15.652570333426175</c:v>
                </c:pt>
                <c:pt idx="30">
                  <c:v>15.678873986935507</c:v>
                </c:pt>
              </c:numCache>
            </c:numRef>
          </c:val>
          <c:smooth val="0"/>
          <c:extLst>
            <c:ext xmlns:c16="http://schemas.microsoft.com/office/drawing/2014/chart" uri="{C3380CC4-5D6E-409C-BE32-E72D297353CC}">
              <c16:uniqueId val="{00000006-FF6D-4DCF-AE89-4A3C8CB34015}"/>
            </c:ext>
          </c:extLst>
        </c:ser>
        <c:dLbls>
          <c:showLegendKey val="0"/>
          <c:showVal val="0"/>
          <c:showCatName val="0"/>
          <c:showSerName val="0"/>
          <c:showPercent val="0"/>
          <c:showBubbleSize val="0"/>
        </c:dLbls>
        <c:marker val="1"/>
        <c:smooth val="0"/>
        <c:axId val="864304416"/>
        <c:axId val="864304808"/>
      </c:lineChart>
      <c:catAx>
        <c:axId val="864304416"/>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en-US"/>
          </a:p>
        </c:txPr>
        <c:crossAx val="864304808"/>
        <c:crosses val="autoZero"/>
        <c:auto val="1"/>
        <c:lblAlgn val="ctr"/>
        <c:lblOffset val="100"/>
        <c:tickLblSkip val="2"/>
        <c:tickMarkSkip val="1"/>
        <c:noMultiLvlLbl val="0"/>
      </c:catAx>
      <c:valAx>
        <c:axId val="864304808"/>
        <c:scaling>
          <c:orientation val="minMax"/>
        </c:scaling>
        <c:delete val="0"/>
        <c:axPos val="l"/>
        <c:majorGridlines>
          <c:spPr>
            <a:ln w="3175">
              <a:solidFill>
                <a:srgbClr val="000000"/>
              </a:solidFill>
              <a:prstDash val="solid"/>
            </a:ln>
          </c:spPr>
        </c:majorGridlines>
        <c:title>
          <c:tx>
            <c:rich>
              <a:bodyPr/>
              <a:lstStyle/>
              <a:p>
                <a:pPr>
                  <a:defRPr sz="1175" b="1" i="0" u="none" strike="noStrike" baseline="0">
                    <a:solidFill>
                      <a:srgbClr val="000000"/>
                    </a:solidFill>
                    <a:latin typeface="Arial"/>
                    <a:ea typeface="Arial"/>
                    <a:cs typeface="Arial"/>
                  </a:defRPr>
                </a:pPr>
                <a:r>
                  <a:rPr lang="en-GB"/>
                  <a:t>Ml/d</a:t>
                </a:r>
              </a:p>
            </c:rich>
          </c:tx>
          <c:layout>
            <c:manualLayout>
              <c:xMode val="edge"/>
              <c:yMode val="edge"/>
              <c:x val="2.0359337875782983E-2"/>
              <c:y val="0.39858528733632054"/>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864304416"/>
        <c:crosses val="autoZero"/>
        <c:crossBetween val="midCat"/>
      </c:valAx>
      <c:spPr>
        <a:solidFill>
          <a:schemeClr val="bg1"/>
        </a:solidFill>
        <a:ln w="12700">
          <a:solidFill>
            <a:srgbClr val="808080"/>
          </a:solidFill>
          <a:prstDash val="solid"/>
        </a:ln>
      </c:spPr>
    </c:plotArea>
    <c:legend>
      <c:legendPos val="b"/>
      <c:legendEntry>
        <c:idx val="0"/>
        <c:txPr>
          <a:bodyPr/>
          <a:lstStyle/>
          <a:p>
            <a:pPr>
              <a:defRPr sz="1000" b="0" i="0" u="none" strike="noStrike" baseline="0">
                <a:solidFill>
                  <a:srgbClr val="000000"/>
                </a:solidFill>
                <a:latin typeface="Arial"/>
                <a:ea typeface="Arial"/>
                <a:cs typeface="Arial"/>
              </a:defRPr>
            </a:pPr>
            <a:endParaRPr lang="en-US"/>
          </a:p>
        </c:txPr>
      </c:legendEntry>
      <c:layout>
        <c:manualLayout>
          <c:xMode val="edge"/>
          <c:yMode val="edge"/>
          <c:x val="0.16452269470774322"/>
          <c:y val="0.82158446545736608"/>
          <c:w val="0.7156398695723647"/>
          <c:h val="0.16402912270077008"/>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0"/>
    <c:dispBlanksAs val="zero"/>
    <c:showDLblsOverMax val="0"/>
  </c:chart>
  <c:spPr>
    <a:solidFill>
      <a:schemeClr val="accent5"/>
    </a:solidFill>
    <a:ln w="3175">
      <a:solidFill>
        <a:srgbClr val="000000"/>
      </a:solidFill>
      <a:prstDash val="solid"/>
    </a:ln>
  </c:spPr>
  <c:txPr>
    <a:bodyPr/>
    <a:lstStyle/>
    <a:p>
      <a:pPr>
        <a:defRPr sz="975" b="0" i="0" u="none" strike="noStrike" baseline="0">
          <a:solidFill>
            <a:srgbClr val="000000"/>
          </a:solidFill>
          <a:latin typeface="Arial"/>
          <a:ea typeface="Arial"/>
          <a:cs typeface="Arial"/>
        </a:defRPr>
      </a:pPr>
      <a:endParaRPr lang="en-US"/>
    </a:p>
  </c:txPr>
  <c:printSettings>
    <c:headerFooter alignWithMargins="0"/>
    <c:pageMargins b="1" l="0.75000000000000622" r="0.75000000000000622" t="1" header="0.5" footer="0.5"/>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75" b="1" i="0" u="none" strike="noStrike" baseline="0">
                <a:solidFill>
                  <a:srgbClr val="000000"/>
                </a:solidFill>
                <a:latin typeface="Arial"/>
                <a:ea typeface="Arial"/>
                <a:cs typeface="Arial"/>
              </a:defRPr>
            </a:pPr>
            <a:r>
              <a:rPr lang="en-GB"/>
              <a:t>DYAA Final Plan Water Supply-Demand Balance and Components of Demand</a:t>
            </a:r>
          </a:p>
        </c:rich>
      </c:tx>
      <c:layout>
        <c:manualLayout>
          <c:xMode val="edge"/>
          <c:yMode val="edge"/>
          <c:x val="0.2095809470200265"/>
          <c:y val="2.9013693730272669E-2"/>
        </c:manualLayout>
      </c:layout>
      <c:overlay val="0"/>
      <c:spPr>
        <a:noFill/>
        <a:ln w="25400">
          <a:noFill/>
        </a:ln>
      </c:spPr>
    </c:title>
    <c:autoTitleDeleted val="0"/>
    <c:plotArea>
      <c:layout>
        <c:manualLayout>
          <c:layoutTarget val="inner"/>
          <c:xMode val="edge"/>
          <c:yMode val="edge"/>
          <c:x val="8.5343266856694813E-2"/>
          <c:y val="0.10444884139344435"/>
          <c:w val="0.89146608097046709"/>
          <c:h val="0.55130264550264552"/>
        </c:manualLayout>
      </c:layout>
      <c:areaChart>
        <c:grouping val="stacked"/>
        <c:varyColors val="0"/>
        <c:ser>
          <c:idx val="6"/>
          <c:order val="0"/>
          <c:tx>
            <c:v>Measured household consumption</c:v>
          </c:tx>
          <c:spPr>
            <a:ln w="25400">
              <a:noFill/>
            </a:ln>
          </c:spPr>
          <c:cat>
            <c:strRef>
              <c:f>ESWBLY!$G$23:$CI$23</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ESWBLY!$G$377:$CI$377</c:f>
              <c:numCache>
                <c:formatCode>0.00</c:formatCode>
                <c:ptCount val="81"/>
                <c:pt idx="0">
                  <c:v>0</c:v>
                </c:pt>
                <c:pt idx="1">
                  <c:v>0</c:v>
                </c:pt>
                <c:pt idx="2">
                  <c:v>3.5771081704841108</c:v>
                </c:pt>
                <c:pt idx="3">
                  <c:v>3.5315187334006946</c:v>
                </c:pt>
                <c:pt idx="4">
                  <c:v>3.5004188118572301</c:v>
                </c:pt>
                <c:pt idx="5">
                  <c:v>3.4841080988470394</c:v>
                </c:pt>
                <c:pt idx="6">
                  <c:v>3.441993131747719</c:v>
                </c:pt>
                <c:pt idx="7">
                  <c:v>3.4461809223146092</c:v>
                </c:pt>
                <c:pt idx="8">
                  <c:v>3.4576901217800158</c:v>
                </c:pt>
                <c:pt idx="9">
                  <c:v>3.4154089757691786</c:v>
                </c:pt>
                <c:pt idx="10">
                  <c:v>3.6356167536518704</c:v>
                </c:pt>
                <c:pt idx="11">
                  <c:v>4.0632989416697152</c:v>
                </c:pt>
                <c:pt idx="12">
                  <c:v>4.1999793456506112</c:v>
                </c:pt>
                <c:pt idx="13">
                  <c:v>4.1438901019174299</c:v>
                </c:pt>
                <c:pt idx="14">
                  <c:v>4.075699049873557</c:v>
                </c:pt>
                <c:pt idx="15">
                  <c:v>4.0091103137736441</c:v>
                </c:pt>
                <c:pt idx="16">
                  <c:v>3.992958384043475</c:v>
                </c:pt>
                <c:pt idx="17">
                  <c:v>3.9779427745550389</c:v>
                </c:pt>
                <c:pt idx="18">
                  <c:v>3.9643933051713351</c:v>
                </c:pt>
                <c:pt idx="19">
                  <c:v>3.9524185275714592</c:v>
                </c:pt>
                <c:pt idx="20">
                  <c:v>3.9381452810393371</c:v>
                </c:pt>
                <c:pt idx="21">
                  <c:v>3.9173819026348089</c:v>
                </c:pt>
                <c:pt idx="22">
                  <c:v>3.9031891507099155</c:v>
                </c:pt>
                <c:pt idx="23">
                  <c:v>3.8908346985839688</c:v>
                </c:pt>
                <c:pt idx="24">
                  <c:v>3.8945147673516112</c:v>
                </c:pt>
                <c:pt idx="25">
                  <c:v>3.8987382621839792</c:v>
                </c:pt>
                <c:pt idx="26">
                  <c:v>3.902902628949223</c:v>
                </c:pt>
                <c:pt idx="27">
                  <c:v>3.9082638067330828</c:v>
                </c:pt>
                <c:pt idx="28">
                  <c:v>3.9138197949386426</c:v>
                </c:pt>
                <c:pt idx="29">
                  <c:v>3.9201803183577475</c:v>
                </c:pt>
                <c:pt idx="30">
                  <c:v>3.9263584845414816</c:v>
                </c:pt>
              </c:numCache>
            </c:numRef>
          </c:val>
          <c:extLst>
            <c:ext xmlns:c16="http://schemas.microsoft.com/office/drawing/2014/chart" uri="{C3380CC4-5D6E-409C-BE32-E72D297353CC}">
              <c16:uniqueId val="{00000000-F298-4C08-ACD6-BE210FDA7DA7}"/>
            </c:ext>
          </c:extLst>
        </c:ser>
        <c:ser>
          <c:idx val="0"/>
          <c:order val="1"/>
          <c:tx>
            <c:v>Unmeasured household consumption</c:v>
          </c:tx>
          <c:spPr>
            <a:ln w="25400">
              <a:noFill/>
            </a:ln>
          </c:spPr>
          <c:cat>
            <c:strRef>
              <c:f>ESWBLY!$G$23:$CI$23</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ESWBLY!$G$378:$CI$378</c:f>
              <c:numCache>
                <c:formatCode>0.00</c:formatCode>
                <c:ptCount val="81"/>
                <c:pt idx="0">
                  <c:v>0</c:v>
                </c:pt>
                <c:pt idx="1">
                  <c:v>0</c:v>
                </c:pt>
                <c:pt idx="2">
                  <c:v>1.638080723282082</c:v>
                </c:pt>
                <c:pt idx="3">
                  <c:v>1.6646860065327662</c:v>
                </c:pt>
                <c:pt idx="4">
                  <c:v>1.5299959878095435</c:v>
                </c:pt>
                <c:pt idx="5">
                  <c:v>1.4702742309432693</c:v>
                </c:pt>
                <c:pt idx="6">
                  <c:v>1.4069200943639664</c:v>
                </c:pt>
                <c:pt idx="7">
                  <c:v>1.377731552627721</c:v>
                </c:pt>
                <c:pt idx="8">
                  <c:v>1.3453039952734656</c:v>
                </c:pt>
                <c:pt idx="9">
                  <c:v>1.3074907359546022</c:v>
                </c:pt>
                <c:pt idx="10">
                  <c:v>0.95816202595392819</c:v>
                </c:pt>
                <c:pt idx="11">
                  <c:v>0.4206560737008303</c:v>
                </c:pt>
                <c:pt idx="12">
                  <c:v>0.21085952153411883</c:v>
                </c:pt>
                <c:pt idx="13">
                  <c:v>0.20778913078804362</c:v>
                </c:pt>
                <c:pt idx="14">
                  <c:v>0.20405472445109704</c:v>
                </c:pt>
                <c:pt idx="15">
                  <c:v>0.2002976439825119</c:v>
                </c:pt>
                <c:pt idx="16">
                  <c:v>0.19760804613002109</c:v>
                </c:pt>
                <c:pt idx="17">
                  <c:v>0.19490041823696275</c:v>
                </c:pt>
                <c:pt idx="18">
                  <c:v>0.19215522761494647</c:v>
                </c:pt>
                <c:pt idx="19">
                  <c:v>0.18944259167529137</c:v>
                </c:pt>
                <c:pt idx="20">
                  <c:v>0.18669700878569578</c:v>
                </c:pt>
                <c:pt idx="21">
                  <c:v>0.18373862685046613</c:v>
                </c:pt>
                <c:pt idx="22">
                  <c:v>0.18056468958170754</c:v>
                </c:pt>
                <c:pt idx="23">
                  <c:v>0.17750550293627276</c:v>
                </c:pt>
                <c:pt idx="24">
                  <c:v>0.17532554728622929</c:v>
                </c:pt>
                <c:pt idx="25">
                  <c:v>0.17315576265797133</c:v>
                </c:pt>
                <c:pt idx="26">
                  <c:v>0.17102657971223217</c:v>
                </c:pt>
                <c:pt idx="27">
                  <c:v>0.16895730223401442</c:v>
                </c:pt>
                <c:pt idx="28">
                  <c:v>0.16687712223910428</c:v>
                </c:pt>
                <c:pt idx="29">
                  <c:v>0.1648109842959237</c:v>
                </c:pt>
                <c:pt idx="30">
                  <c:v>0.16268839141161279</c:v>
                </c:pt>
              </c:numCache>
            </c:numRef>
          </c:val>
          <c:extLst>
            <c:ext xmlns:c16="http://schemas.microsoft.com/office/drawing/2014/chart" uri="{C3380CC4-5D6E-409C-BE32-E72D297353CC}">
              <c16:uniqueId val="{00000001-F298-4C08-ACD6-BE210FDA7DA7}"/>
            </c:ext>
          </c:extLst>
        </c:ser>
        <c:ser>
          <c:idx val="1"/>
          <c:order val="2"/>
          <c:tx>
            <c:v>Non-household consumption</c:v>
          </c:tx>
          <c:spPr>
            <a:ln w="25400">
              <a:noFill/>
            </a:ln>
          </c:spPr>
          <c:cat>
            <c:strRef>
              <c:f>ESWBLY!$G$23:$CI$23</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ESWBLY!$G$379:$CI$379</c:f>
              <c:numCache>
                <c:formatCode>0.00</c:formatCode>
                <c:ptCount val="81"/>
                <c:pt idx="0">
                  <c:v>0</c:v>
                </c:pt>
                <c:pt idx="1">
                  <c:v>0</c:v>
                </c:pt>
                <c:pt idx="2">
                  <c:v>3.3693909383156622</c:v>
                </c:pt>
                <c:pt idx="3">
                  <c:v>3.1604117352983154</c:v>
                </c:pt>
                <c:pt idx="4">
                  <c:v>3.3245646750143569</c:v>
                </c:pt>
                <c:pt idx="5">
                  <c:v>3.5047252126054942</c:v>
                </c:pt>
                <c:pt idx="6">
                  <c:v>3.6520113216914183</c:v>
                </c:pt>
                <c:pt idx="7">
                  <c:v>3.6924571484963109</c:v>
                </c:pt>
                <c:pt idx="8">
                  <c:v>3.6974678061758235</c:v>
                </c:pt>
                <c:pt idx="9">
                  <c:v>3.7017902384596364</c:v>
                </c:pt>
                <c:pt idx="10">
                  <c:v>3.7032156001271237</c:v>
                </c:pt>
                <c:pt idx="11">
                  <c:v>3.6891916713526549</c:v>
                </c:pt>
                <c:pt idx="12">
                  <c:v>3.6744131016962442</c:v>
                </c:pt>
                <c:pt idx="13">
                  <c:v>5.9494256274818991</c:v>
                </c:pt>
                <c:pt idx="14">
                  <c:v>5.9346348369737667</c:v>
                </c:pt>
                <c:pt idx="15">
                  <c:v>5.9199905398854531</c:v>
                </c:pt>
                <c:pt idx="16">
                  <c:v>5.9070183983038351</c:v>
                </c:pt>
                <c:pt idx="17">
                  <c:v>5.8940198903643122</c:v>
                </c:pt>
                <c:pt idx="18">
                  <c:v>5.8812002564830053</c:v>
                </c:pt>
                <c:pt idx="19">
                  <c:v>5.8885750434964521</c:v>
                </c:pt>
                <c:pt idx="20">
                  <c:v>5.895974370912306</c:v>
                </c:pt>
                <c:pt idx="21">
                  <c:v>5.9033838248178201</c:v>
                </c:pt>
                <c:pt idx="22">
                  <c:v>5.9107721357604479</c:v>
                </c:pt>
                <c:pt idx="23">
                  <c:v>5.9180295738902675</c:v>
                </c:pt>
                <c:pt idx="24">
                  <c:v>5.9251121239969331</c:v>
                </c:pt>
                <c:pt idx="25">
                  <c:v>5.9321360377492685</c:v>
                </c:pt>
                <c:pt idx="26">
                  <c:v>5.939033510157893</c:v>
                </c:pt>
                <c:pt idx="27">
                  <c:v>5.9459022308044576</c:v>
                </c:pt>
                <c:pt idx="28">
                  <c:v>5.952721829982738</c:v>
                </c:pt>
                <c:pt idx="29">
                  <c:v>5.9594577579814221</c:v>
                </c:pt>
                <c:pt idx="30">
                  <c:v>5.9661775232560617</c:v>
                </c:pt>
              </c:numCache>
            </c:numRef>
          </c:val>
          <c:extLst>
            <c:ext xmlns:c16="http://schemas.microsoft.com/office/drawing/2014/chart" uri="{C3380CC4-5D6E-409C-BE32-E72D297353CC}">
              <c16:uniqueId val="{00000002-F298-4C08-ACD6-BE210FDA7DA7}"/>
            </c:ext>
          </c:extLst>
        </c:ser>
        <c:ser>
          <c:idx val="2"/>
          <c:order val="3"/>
          <c:tx>
            <c:v>Total leakage</c:v>
          </c:tx>
          <c:spPr>
            <a:ln w="25400">
              <a:noFill/>
            </a:ln>
          </c:spPr>
          <c:cat>
            <c:strRef>
              <c:f>ESWBLY!$G$23:$CI$23</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ESWBLY!$G$380:$CI$380</c:f>
              <c:numCache>
                <c:formatCode>0.00</c:formatCode>
                <c:ptCount val="81"/>
                <c:pt idx="0">
                  <c:v>0</c:v>
                </c:pt>
                <c:pt idx="1">
                  <c:v>0</c:v>
                </c:pt>
                <c:pt idx="2">
                  <c:v>1.9305131976000001</c:v>
                </c:pt>
                <c:pt idx="3">
                  <c:v>1.6747597999999997</c:v>
                </c:pt>
                <c:pt idx="4">
                  <c:v>1.6092663999999997</c:v>
                </c:pt>
                <c:pt idx="5">
                  <c:v>1.5437730000000001</c:v>
                </c:pt>
                <c:pt idx="6">
                  <c:v>1.5281028000000001</c:v>
                </c:pt>
                <c:pt idx="7">
                  <c:v>1.5124326000000001</c:v>
                </c:pt>
                <c:pt idx="8">
                  <c:v>1.4967624000000002</c:v>
                </c:pt>
                <c:pt idx="9">
                  <c:v>1.4810922000000002</c:v>
                </c:pt>
                <c:pt idx="10">
                  <c:v>1.4654220000000002</c:v>
                </c:pt>
                <c:pt idx="11">
                  <c:v>1.4497518000000003</c:v>
                </c:pt>
                <c:pt idx="12">
                  <c:v>1.4340816000000003</c:v>
                </c:pt>
                <c:pt idx="13">
                  <c:v>1.4184114000000003</c:v>
                </c:pt>
                <c:pt idx="14">
                  <c:v>1.4027412000000004</c:v>
                </c:pt>
                <c:pt idx="15">
                  <c:v>1.3870710000000004</c:v>
                </c:pt>
                <c:pt idx="16">
                  <c:v>1.3714008000000004</c:v>
                </c:pt>
                <c:pt idx="17">
                  <c:v>1.3557306000000005</c:v>
                </c:pt>
                <c:pt idx="18">
                  <c:v>1.3400604000000005</c:v>
                </c:pt>
                <c:pt idx="19">
                  <c:v>1.3243902000000005</c:v>
                </c:pt>
                <c:pt idx="20">
                  <c:v>1.3087200000000005</c:v>
                </c:pt>
                <c:pt idx="21">
                  <c:v>1.2930498000000006</c:v>
                </c:pt>
                <c:pt idx="22">
                  <c:v>1.2773796000000006</c:v>
                </c:pt>
                <c:pt idx="23">
                  <c:v>1.2617094000000004</c:v>
                </c:pt>
                <c:pt idx="24">
                  <c:v>1.2460392000000007</c:v>
                </c:pt>
                <c:pt idx="25">
                  <c:v>1.2303690000000007</c:v>
                </c:pt>
                <c:pt idx="26">
                  <c:v>1.2146988000000007</c:v>
                </c:pt>
                <c:pt idx="27">
                  <c:v>1.1990286000000008</c:v>
                </c:pt>
                <c:pt idx="28">
                  <c:v>1.1833584000000008</c:v>
                </c:pt>
                <c:pt idx="29">
                  <c:v>1.1676882000000011</c:v>
                </c:pt>
                <c:pt idx="30">
                  <c:v>1.152018</c:v>
                </c:pt>
              </c:numCache>
            </c:numRef>
          </c:val>
          <c:extLst>
            <c:ext xmlns:c16="http://schemas.microsoft.com/office/drawing/2014/chart" uri="{C3380CC4-5D6E-409C-BE32-E72D297353CC}">
              <c16:uniqueId val="{00000003-F298-4C08-ACD6-BE210FDA7DA7}"/>
            </c:ext>
          </c:extLst>
        </c:ser>
        <c:ser>
          <c:idx val="3"/>
          <c:order val="4"/>
          <c:tx>
            <c:v>Other components of demand</c:v>
          </c:tx>
          <c:spPr>
            <a:ln w="25400">
              <a:noFill/>
            </a:ln>
          </c:spPr>
          <c:cat>
            <c:strRef>
              <c:f>ESWBLY!$G$23:$CI$23</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ESWBLY!$G$381:$CI$381</c:f>
              <c:numCache>
                <c:formatCode>0.00</c:formatCode>
                <c:ptCount val="81"/>
                <c:pt idx="0">
                  <c:v>0</c:v>
                </c:pt>
                <c:pt idx="1">
                  <c:v>0</c:v>
                </c:pt>
                <c:pt idx="2">
                  <c:v>0.277795537065753</c:v>
                </c:pt>
                <c:pt idx="3">
                  <c:v>0.28679110094586946</c:v>
                </c:pt>
                <c:pt idx="4">
                  <c:v>0.28667830223778168</c:v>
                </c:pt>
                <c:pt idx="5">
                  <c:v>0.28666635882526315</c:v>
                </c:pt>
                <c:pt idx="6">
                  <c:v>0.28681847685005479</c:v>
                </c:pt>
                <c:pt idx="7">
                  <c:v>0.2866665207354071</c:v>
                </c:pt>
                <c:pt idx="8">
                  <c:v>0.28652547740467149</c:v>
                </c:pt>
                <c:pt idx="9">
                  <c:v>0.28642721894646428</c:v>
                </c:pt>
                <c:pt idx="10">
                  <c:v>0.28634461313646931</c:v>
                </c:pt>
                <c:pt idx="11">
                  <c:v>0.28626487528605793</c:v>
                </c:pt>
                <c:pt idx="12">
                  <c:v>0.28618499380624129</c:v>
                </c:pt>
                <c:pt idx="13">
                  <c:v>0.28610404658806488</c:v>
                </c:pt>
                <c:pt idx="14">
                  <c:v>0.28602350265502352</c:v>
                </c:pt>
                <c:pt idx="15">
                  <c:v>0.28594276315835288</c:v>
                </c:pt>
                <c:pt idx="16">
                  <c:v>0.28586246422940143</c:v>
                </c:pt>
                <c:pt idx="17">
                  <c:v>0.28578219794007609</c:v>
                </c:pt>
                <c:pt idx="18">
                  <c:v>0.28570269353270028</c:v>
                </c:pt>
                <c:pt idx="19">
                  <c:v>0.28562501572950438</c:v>
                </c:pt>
                <c:pt idx="20">
                  <c:v>0.28554803368088244</c:v>
                </c:pt>
                <c:pt idx="21">
                  <c:v>0.28547191934553773</c:v>
                </c:pt>
                <c:pt idx="22">
                  <c:v>0.28539721028058196</c:v>
                </c:pt>
                <c:pt idx="23">
                  <c:v>0.28532375301990953</c:v>
                </c:pt>
                <c:pt idx="24">
                  <c:v>0.28525038034806016</c:v>
                </c:pt>
                <c:pt idx="25">
                  <c:v>0.28517763265723239</c:v>
                </c:pt>
                <c:pt idx="26">
                  <c:v>0.28510556917935403</c:v>
                </c:pt>
                <c:pt idx="27">
                  <c:v>0.28503458647074886</c:v>
                </c:pt>
                <c:pt idx="28">
                  <c:v>0.28496514672452733</c:v>
                </c:pt>
                <c:pt idx="29">
                  <c:v>0.28489715349054912</c:v>
                </c:pt>
                <c:pt idx="30">
                  <c:v>0.28483025542935536</c:v>
                </c:pt>
              </c:numCache>
            </c:numRef>
          </c:val>
          <c:extLst>
            <c:ext xmlns:c16="http://schemas.microsoft.com/office/drawing/2014/chart" uri="{C3380CC4-5D6E-409C-BE32-E72D297353CC}">
              <c16:uniqueId val="{00000004-F298-4C08-ACD6-BE210FDA7DA7}"/>
            </c:ext>
          </c:extLst>
        </c:ser>
        <c:dLbls>
          <c:showLegendKey val="0"/>
          <c:showVal val="0"/>
          <c:showCatName val="0"/>
          <c:showSerName val="0"/>
          <c:showPercent val="0"/>
          <c:showBubbleSize val="0"/>
        </c:dLbls>
        <c:axId val="864303240"/>
        <c:axId val="864303632"/>
      </c:areaChart>
      <c:lineChart>
        <c:grouping val="standard"/>
        <c:varyColors val="0"/>
        <c:ser>
          <c:idx val="4"/>
          <c:order val="5"/>
          <c:tx>
            <c:v>Total water available for use</c:v>
          </c:tx>
          <c:marker>
            <c:symbol val="none"/>
          </c:marker>
          <c:cat>
            <c:strLit>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Lit>
          </c:cat>
          <c:val>
            <c:numRef>
              <c:f>ESWBLY!$G$382:$CI$382</c:f>
              <c:numCache>
                <c:formatCode>0.00</c:formatCode>
                <c:ptCount val="81"/>
                <c:pt idx="0">
                  <c:v>0</c:v>
                </c:pt>
                <c:pt idx="1">
                  <c:v>0</c:v>
                </c:pt>
                <c:pt idx="2">
                  <c:v>13.021967751291383</c:v>
                </c:pt>
                <c:pt idx="3">
                  <c:v>13.020985515613111</c:v>
                </c:pt>
                <c:pt idx="4">
                  <c:v>13.000423079661331</c:v>
                </c:pt>
                <c:pt idx="5">
                  <c:v>12.991059870935837</c:v>
                </c:pt>
                <c:pt idx="6">
                  <c:v>12.978707985459138</c:v>
                </c:pt>
                <c:pt idx="7">
                  <c:v>10.602136106764764</c:v>
                </c:pt>
                <c:pt idx="8">
                  <c:v>10.561274070766373</c:v>
                </c:pt>
                <c:pt idx="9">
                  <c:v>10.462990466738901</c:v>
                </c:pt>
                <c:pt idx="10">
                  <c:v>10.31940862250959</c:v>
                </c:pt>
                <c:pt idx="11">
                  <c:v>10.167821180651023</c:v>
                </c:pt>
                <c:pt idx="12">
                  <c:v>10.058270128125507</c:v>
                </c:pt>
                <c:pt idx="13">
                  <c:v>12.283427063553368</c:v>
                </c:pt>
                <c:pt idx="14">
                  <c:v>12.174285180576256</c:v>
                </c:pt>
                <c:pt idx="15">
                  <c:v>12.066923925607624</c:v>
                </c:pt>
                <c:pt idx="16">
                  <c:v>12.016186906657701</c:v>
                </c:pt>
                <c:pt idx="17">
                  <c:v>11.963407172606587</c:v>
                </c:pt>
                <c:pt idx="18">
                  <c:v>11.914069234130809</c:v>
                </c:pt>
                <c:pt idx="19">
                  <c:v>11.888303291084233</c:v>
                </c:pt>
                <c:pt idx="20">
                  <c:v>11.856650774409543</c:v>
                </c:pt>
                <c:pt idx="21">
                  <c:v>11.819242800966892</c:v>
                </c:pt>
                <c:pt idx="22">
                  <c:v>11.790732914136751</c:v>
                </c:pt>
                <c:pt idx="23">
                  <c:v>11.761978646544748</c:v>
                </c:pt>
                <c:pt idx="24">
                  <c:v>11.750726977985254</c:v>
                </c:pt>
                <c:pt idx="25">
                  <c:v>11.740828119525114</c:v>
                </c:pt>
                <c:pt idx="26">
                  <c:v>11.730029117009467</c:v>
                </c:pt>
                <c:pt idx="27">
                  <c:v>11.719500596058939</c:v>
                </c:pt>
                <c:pt idx="28">
                  <c:v>11.706456071364567</c:v>
                </c:pt>
                <c:pt idx="29">
                  <c:v>11.703423089765945</c:v>
                </c:pt>
                <c:pt idx="30">
                  <c:v>11.695416565828904</c:v>
                </c:pt>
              </c:numCache>
            </c:numRef>
          </c:val>
          <c:smooth val="0"/>
          <c:extLst>
            <c:ext xmlns:c16="http://schemas.microsoft.com/office/drawing/2014/chart" uri="{C3380CC4-5D6E-409C-BE32-E72D297353CC}">
              <c16:uniqueId val="{00000005-F298-4C08-ACD6-BE210FDA7DA7}"/>
            </c:ext>
          </c:extLst>
        </c:ser>
        <c:ser>
          <c:idx val="5"/>
          <c:order val="6"/>
          <c:tx>
            <c:v>Total demand + target headroom (final plan)</c:v>
          </c:tx>
          <c:marker>
            <c:symbol val="none"/>
          </c:marker>
          <c:cat>
            <c:strLit>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Lit>
          </c:cat>
          <c:val>
            <c:numRef>
              <c:f>ESWBLY!$G$383:$CI$383</c:f>
              <c:numCache>
                <c:formatCode>0.00</c:formatCode>
                <c:ptCount val="81"/>
                <c:pt idx="0">
                  <c:v>0</c:v>
                </c:pt>
                <c:pt idx="1">
                  <c:v>0</c:v>
                </c:pt>
                <c:pt idx="2">
                  <c:v>10.996004728105293</c:v>
                </c:pt>
                <c:pt idx="3">
                  <c:v>10.526038798015611</c:v>
                </c:pt>
                <c:pt idx="4">
                  <c:v>10.522146777848395</c:v>
                </c:pt>
                <c:pt idx="5">
                  <c:v>10.560886691421937</c:v>
                </c:pt>
                <c:pt idx="6">
                  <c:v>10.583024947647225</c:v>
                </c:pt>
                <c:pt idx="7">
                  <c:v>10.572136106764765</c:v>
                </c:pt>
                <c:pt idx="8">
                  <c:v>10.531274070766374</c:v>
                </c:pt>
                <c:pt idx="9">
                  <c:v>10.4329904667389</c:v>
                </c:pt>
                <c:pt idx="10">
                  <c:v>10.28940862250959</c:v>
                </c:pt>
                <c:pt idx="11">
                  <c:v>10.137821180651024</c:v>
                </c:pt>
                <c:pt idx="12">
                  <c:v>10.028270128125508</c:v>
                </c:pt>
                <c:pt idx="13">
                  <c:v>12.253427063553369</c:v>
                </c:pt>
                <c:pt idx="14">
                  <c:v>12.144285180576254</c:v>
                </c:pt>
                <c:pt idx="15">
                  <c:v>12.036923925607624</c:v>
                </c:pt>
                <c:pt idx="16">
                  <c:v>11.986186906657702</c:v>
                </c:pt>
                <c:pt idx="17">
                  <c:v>11.933407172606588</c:v>
                </c:pt>
                <c:pt idx="18">
                  <c:v>11.884069234130807</c:v>
                </c:pt>
                <c:pt idx="19">
                  <c:v>11.858303291084232</c:v>
                </c:pt>
                <c:pt idx="20">
                  <c:v>11.826650774409543</c:v>
                </c:pt>
                <c:pt idx="21">
                  <c:v>11.789242800966891</c:v>
                </c:pt>
                <c:pt idx="22">
                  <c:v>11.760732914136749</c:v>
                </c:pt>
                <c:pt idx="23">
                  <c:v>11.731978646544746</c:v>
                </c:pt>
                <c:pt idx="24">
                  <c:v>11.720726977985253</c:v>
                </c:pt>
                <c:pt idx="25">
                  <c:v>11.710828119525113</c:v>
                </c:pt>
                <c:pt idx="26">
                  <c:v>11.700029117009466</c:v>
                </c:pt>
                <c:pt idx="27">
                  <c:v>11.689500596058942</c:v>
                </c:pt>
                <c:pt idx="28">
                  <c:v>11.676456071364568</c:v>
                </c:pt>
                <c:pt idx="29">
                  <c:v>11.673423089765944</c:v>
                </c:pt>
                <c:pt idx="30">
                  <c:v>11.665416565828904</c:v>
                </c:pt>
              </c:numCache>
            </c:numRef>
          </c:val>
          <c:smooth val="0"/>
          <c:extLst>
            <c:ext xmlns:c16="http://schemas.microsoft.com/office/drawing/2014/chart" uri="{C3380CC4-5D6E-409C-BE32-E72D297353CC}">
              <c16:uniqueId val="{00000006-F298-4C08-ACD6-BE210FDA7DA7}"/>
            </c:ext>
          </c:extLst>
        </c:ser>
        <c:dLbls>
          <c:showLegendKey val="0"/>
          <c:showVal val="0"/>
          <c:showCatName val="0"/>
          <c:showSerName val="0"/>
          <c:showPercent val="0"/>
          <c:showBubbleSize val="0"/>
        </c:dLbls>
        <c:marker val="1"/>
        <c:smooth val="0"/>
        <c:axId val="864303240"/>
        <c:axId val="864303632"/>
      </c:lineChart>
      <c:catAx>
        <c:axId val="864303240"/>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en-US"/>
          </a:p>
        </c:txPr>
        <c:crossAx val="864303632"/>
        <c:crosses val="autoZero"/>
        <c:auto val="1"/>
        <c:lblAlgn val="ctr"/>
        <c:lblOffset val="100"/>
        <c:tickLblSkip val="2"/>
        <c:tickMarkSkip val="1"/>
        <c:noMultiLvlLbl val="0"/>
      </c:catAx>
      <c:valAx>
        <c:axId val="864303632"/>
        <c:scaling>
          <c:orientation val="minMax"/>
        </c:scaling>
        <c:delete val="0"/>
        <c:axPos val="l"/>
        <c:majorGridlines>
          <c:spPr>
            <a:ln w="3175">
              <a:solidFill>
                <a:srgbClr val="000000"/>
              </a:solidFill>
              <a:prstDash val="solid"/>
            </a:ln>
          </c:spPr>
        </c:majorGridlines>
        <c:title>
          <c:tx>
            <c:rich>
              <a:bodyPr/>
              <a:lstStyle/>
              <a:p>
                <a:pPr>
                  <a:defRPr sz="1175" b="1" i="0" u="none" strike="noStrike" baseline="0">
                    <a:solidFill>
                      <a:srgbClr val="000000"/>
                    </a:solidFill>
                    <a:latin typeface="Arial"/>
                    <a:ea typeface="Arial"/>
                    <a:cs typeface="Arial"/>
                  </a:defRPr>
                </a:pPr>
                <a:r>
                  <a:rPr lang="en-GB"/>
                  <a:t>Ml/d</a:t>
                </a:r>
              </a:p>
            </c:rich>
          </c:tx>
          <c:layout>
            <c:manualLayout>
              <c:xMode val="edge"/>
              <c:yMode val="edge"/>
              <c:x val="2.0359337875782983E-2"/>
              <c:y val="0.39858528733632054"/>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864303240"/>
        <c:crosses val="autoZero"/>
        <c:crossBetween val="midCat"/>
      </c:valAx>
      <c:spPr>
        <a:solidFill>
          <a:schemeClr val="bg1"/>
        </a:solidFill>
        <a:ln w="12700">
          <a:solidFill>
            <a:srgbClr val="808080"/>
          </a:solidFill>
          <a:prstDash val="solid"/>
        </a:ln>
      </c:spPr>
    </c:plotArea>
    <c:legend>
      <c:legendPos val="b"/>
      <c:legendEntry>
        <c:idx val="0"/>
        <c:txPr>
          <a:bodyPr/>
          <a:lstStyle/>
          <a:p>
            <a:pPr>
              <a:defRPr sz="1000" b="0" i="0" u="none" strike="noStrike" baseline="0">
                <a:solidFill>
                  <a:srgbClr val="000000"/>
                </a:solidFill>
                <a:latin typeface="Arial"/>
                <a:ea typeface="Arial"/>
                <a:cs typeface="Arial"/>
              </a:defRPr>
            </a:pPr>
            <a:endParaRPr lang="en-US"/>
          </a:p>
        </c:txPr>
      </c:legendEntry>
      <c:layout>
        <c:manualLayout>
          <c:xMode val="edge"/>
          <c:yMode val="edge"/>
          <c:x val="0.16452269470774322"/>
          <c:y val="0.82158446545736608"/>
          <c:w val="0.7156398695723647"/>
          <c:h val="0.16402912270077008"/>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0"/>
    <c:dispBlanksAs val="zero"/>
    <c:showDLblsOverMax val="0"/>
  </c:chart>
  <c:spPr>
    <a:solidFill>
      <a:schemeClr val="accent4"/>
    </a:solidFill>
    <a:ln w="3175">
      <a:solidFill>
        <a:srgbClr val="000000"/>
      </a:solidFill>
      <a:prstDash val="solid"/>
    </a:ln>
  </c:spPr>
  <c:txPr>
    <a:bodyPr/>
    <a:lstStyle/>
    <a:p>
      <a:pPr>
        <a:defRPr sz="975" b="0" i="0" u="none" strike="noStrike" baseline="0">
          <a:solidFill>
            <a:srgbClr val="000000"/>
          </a:solidFill>
          <a:latin typeface="Arial"/>
          <a:ea typeface="Arial"/>
          <a:cs typeface="Arial"/>
        </a:defRPr>
      </a:pPr>
      <a:endParaRPr lang="en-US"/>
    </a:p>
  </c:txPr>
  <c:printSettings>
    <c:headerFooter alignWithMargins="0"/>
    <c:pageMargins b="1" l="0.75000000000000622" r="0.75000000000000622" t="1" header="0.5" footer="0.5"/>
    <c:pageSetup paperSize="9" orientation="landscape"/>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75" b="1" i="0" u="none" strike="noStrike" baseline="0">
                <a:solidFill>
                  <a:srgbClr val="000000"/>
                </a:solidFill>
                <a:latin typeface="Arial"/>
                <a:ea typeface="Arial"/>
                <a:cs typeface="Arial"/>
              </a:defRPr>
            </a:pPr>
            <a:r>
              <a:rPr lang="en-GB"/>
              <a:t>DYCP Final Plan Water Supply-Demand Balance and Components of Demand</a:t>
            </a:r>
          </a:p>
        </c:rich>
      </c:tx>
      <c:layout>
        <c:manualLayout>
          <c:xMode val="edge"/>
          <c:yMode val="edge"/>
          <c:x val="0.2095809470200265"/>
          <c:y val="2.9013693730272669E-2"/>
        </c:manualLayout>
      </c:layout>
      <c:overlay val="0"/>
      <c:spPr>
        <a:noFill/>
        <a:ln w="25400">
          <a:noFill/>
        </a:ln>
      </c:spPr>
    </c:title>
    <c:autoTitleDeleted val="0"/>
    <c:plotArea>
      <c:layout>
        <c:manualLayout>
          <c:layoutTarget val="inner"/>
          <c:xMode val="edge"/>
          <c:yMode val="edge"/>
          <c:x val="8.5343266856694813E-2"/>
          <c:y val="0.10444884139344435"/>
          <c:w val="0.89146608097046709"/>
          <c:h val="0.55130264550264552"/>
        </c:manualLayout>
      </c:layout>
      <c:areaChart>
        <c:grouping val="stacked"/>
        <c:varyColors val="0"/>
        <c:ser>
          <c:idx val="6"/>
          <c:order val="0"/>
          <c:tx>
            <c:v>Measured household consumption</c:v>
          </c:tx>
          <c:spPr>
            <a:ln w="25400">
              <a:noFill/>
            </a:ln>
          </c:spPr>
          <c:cat>
            <c:strRef>
              <c:f>ESWHRT!$G$204:$CI$204</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ESWHRT!$G$395:$CI$395</c:f>
              <c:numCache>
                <c:formatCode>0.00</c:formatCode>
                <c:ptCount val="81"/>
                <c:pt idx="0">
                  <c:v>0</c:v>
                </c:pt>
                <c:pt idx="1">
                  <c:v>0</c:v>
                </c:pt>
                <c:pt idx="2">
                  <c:v>2.4490244538520547</c:v>
                </c:pt>
                <c:pt idx="3">
                  <c:v>2.4530108051284878</c:v>
                </c:pt>
                <c:pt idx="4">
                  <c:v>2.4136278483535962</c:v>
                </c:pt>
                <c:pt idx="5">
                  <c:v>2.3938408890364875</c:v>
                </c:pt>
                <c:pt idx="6">
                  <c:v>2.9915598593787314</c:v>
                </c:pt>
                <c:pt idx="7">
                  <c:v>3.5983953503794246</c:v>
                </c:pt>
                <c:pt idx="8">
                  <c:v>3.7020363615058574</c:v>
                </c:pt>
                <c:pt idx="9">
                  <c:v>3.7098431115248389</c:v>
                </c:pt>
                <c:pt idx="10">
                  <c:v>3.7027782416916915</c:v>
                </c:pt>
                <c:pt idx="11">
                  <c:v>3.6932029513909903</c:v>
                </c:pt>
                <c:pt idx="12">
                  <c:v>3.6788364457106777</c:v>
                </c:pt>
                <c:pt idx="13">
                  <c:v>3.6611847214601991</c:v>
                </c:pt>
                <c:pt idx="14">
                  <c:v>3.6330382850323613</c:v>
                </c:pt>
                <c:pt idx="15">
                  <c:v>3.6057428786375882</c:v>
                </c:pt>
                <c:pt idx="16">
                  <c:v>3.5810696414580589</c:v>
                </c:pt>
                <c:pt idx="17">
                  <c:v>3.5567066929797253</c:v>
                </c:pt>
                <c:pt idx="18">
                  <c:v>3.532896311440898</c:v>
                </c:pt>
                <c:pt idx="19">
                  <c:v>3.5095784490656263</c:v>
                </c:pt>
                <c:pt idx="20">
                  <c:v>3.4838535502512928</c:v>
                </c:pt>
                <c:pt idx="21">
                  <c:v>3.45487409275316</c:v>
                </c:pt>
                <c:pt idx="22">
                  <c:v>3.4295358050711302</c:v>
                </c:pt>
                <c:pt idx="23">
                  <c:v>3.4059779886870616</c:v>
                </c:pt>
                <c:pt idx="24">
                  <c:v>3.3959047062652834</c:v>
                </c:pt>
                <c:pt idx="25">
                  <c:v>3.4092556251523183</c:v>
                </c:pt>
                <c:pt idx="26">
                  <c:v>3.4219943729481614</c:v>
                </c:pt>
                <c:pt idx="27">
                  <c:v>3.4355422781386324</c:v>
                </c:pt>
                <c:pt idx="28">
                  <c:v>3.449616283659227</c:v>
                </c:pt>
                <c:pt idx="29">
                  <c:v>3.4646494823960547</c:v>
                </c:pt>
                <c:pt idx="30">
                  <c:v>3.4797025434234889</c:v>
                </c:pt>
              </c:numCache>
            </c:numRef>
          </c:val>
          <c:extLst>
            <c:ext xmlns:c16="http://schemas.microsoft.com/office/drawing/2014/chart" uri="{C3380CC4-5D6E-409C-BE32-E72D297353CC}">
              <c16:uniqueId val="{00000000-FCEE-4565-9DE0-487CE8191835}"/>
            </c:ext>
          </c:extLst>
        </c:ser>
        <c:ser>
          <c:idx val="0"/>
          <c:order val="1"/>
          <c:tx>
            <c:v>Unmeasured household consumption</c:v>
          </c:tx>
          <c:spPr>
            <a:ln w="25400">
              <a:noFill/>
            </a:ln>
          </c:spPr>
          <c:cat>
            <c:strRef>
              <c:f>ESWHRT!$G$204:$CI$204</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ESWHRT!$G$396:$CI$396</c:f>
              <c:numCache>
                <c:formatCode>0.00</c:formatCode>
                <c:ptCount val="81"/>
                <c:pt idx="0">
                  <c:v>0</c:v>
                </c:pt>
                <c:pt idx="1">
                  <c:v>0</c:v>
                </c:pt>
                <c:pt idx="2">
                  <c:v>2.0197035980870042</c:v>
                </c:pt>
                <c:pt idx="3">
                  <c:v>2.0753214903712163</c:v>
                </c:pt>
                <c:pt idx="4">
                  <c:v>2.020590584877739</c:v>
                </c:pt>
                <c:pt idx="5">
                  <c:v>1.8427176634080884</c:v>
                </c:pt>
                <c:pt idx="6">
                  <c:v>0.93568675264435219</c:v>
                </c:pt>
                <c:pt idx="7">
                  <c:v>0.12880811813288043</c:v>
                </c:pt>
                <c:pt idx="8">
                  <c:v>0.1246184203842515</c:v>
                </c:pt>
                <c:pt idx="9">
                  <c:v>0.12071691478668611</c:v>
                </c:pt>
                <c:pt idx="10">
                  <c:v>0.11688127068603518</c:v>
                </c:pt>
                <c:pt idx="11">
                  <c:v>0.11358443944848669</c:v>
                </c:pt>
                <c:pt idx="12">
                  <c:v>0.11080825113993122</c:v>
                </c:pt>
                <c:pt idx="13">
                  <c:v>0.10809494431693237</c:v>
                </c:pt>
                <c:pt idx="14">
                  <c:v>0.10513560346570827</c:v>
                </c:pt>
                <c:pt idx="15">
                  <c:v>0.10224328669287513</c:v>
                </c:pt>
                <c:pt idx="16">
                  <c:v>9.95309613189021E-2</c:v>
                </c:pt>
                <c:pt idx="17">
                  <c:v>9.6879810487331103E-2</c:v>
                </c:pt>
                <c:pt idx="18">
                  <c:v>9.427930223214126E-2</c:v>
                </c:pt>
                <c:pt idx="19">
                  <c:v>9.175845029571944E-2</c:v>
                </c:pt>
                <c:pt idx="20">
                  <c:v>8.9285083326625242E-2</c:v>
                </c:pt>
                <c:pt idx="21">
                  <c:v>8.6422370845412433E-2</c:v>
                </c:pt>
                <c:pt idx="22">
                  <c:v>8.3190102936978247E-2</c:v>
                </c:pt>
                <c:pt idx="23">
                  <c:v>8.0089543266082475E-2</c:v>
                </c:pt>
                <c:pt idx="24">
                  <c:v>7.7421056160060286E-2</c:v>
                </c:pt>
                <c:pt idx="25">
                  <c:v>7.5364567025679702E-2</c:v>
                </c:pt>
                <c:pt idx="26">
                  <c:v>7.333423137000708E-2</c:v>
                </c:pt>
                <c:pt idx="27">
                  <c:v>7.1355982517930849E-2</c:v>
                </c:pt>
                <c:pt idx="28">
                  <c:v>6.9401319927379759E-2</c:v>
                </c:pt>
                <c:pt idx="29">
                  <c:v>6.7478214390393532E-2</c:v>
                </c:pt>
                <c:pt idx="30">
                  <c:v>6.5560681078049368E-2</c:v>
                </c:pt>
              </c:numCache>
            </c:numRef>
          </c:val>
          <c:extLst>
            <c:ext xmlns:c16="http://schemas.microsoft.com/office/drawing/2014/chart" uri="{C3380CC4-5D6E-409C-BE32-E72D297353CC}">
              <c16:uniqueId val="{00000001-FCEE-4565-9DE0-487CE8191835}"/>
            </c:ext>
          </c:extLst>
        </c:ser>
        <c:ser>
          <c:idx val="1"/>
          <c:order val="2"/>
          <c:tx>
            <c:v>Non-household consumption</c:v>
          </c:tx>
          <c:spPr>
            <a:ln w="25400">
              <a:noFill/>
            </a:ln>
          </c:spPr>
          <c:cat>
            <c:strRef>
              <c:f>ESWHRT!$G$204:$CI$204</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ESWHRT!$G$397:$CI$397</c:f>
              <c:numCache>
                <c:formatCode>0.00</c:formatCode>
                <c:ptCount val="81"/>
                <c:pt idx="0">
                  <c:v>0</c:v>
                </c:pt>
                <c:pt idx="1">
                  <c:v>0</c:v>
                </c:pt>
                <c:pt idx="2">
                  <c:v>4.5354665878922384</c:v>
                </c:pt>
                <c:pt idx="3">
                  <c:v>5.1833788424434104</c:v>
                </c:pt>
                <c:pt idx="4">
                  <c:v>5.3741624637355283</c:v>
                </c:pt>
                <c:pt idx="5">
                  <c:v>5.5710498735592591</c:v>
                </c:pt>
                <c:pt idx="6">
                  <c:v>5.7514323607926761</c:v>
                </c:pt>
                <c:pt idx="7">
                  <c:v>5.7900937767971099</c:v>
                </c:pt>
                <c:pt idx="8">
                  <c:v>5.7824045026289035</c:v>
                </c:pt>
                <c:pt idx="9">
                  <c:v>5.774715170793697</c:v>
                </c:pt>
                <c:pt idx="10">
                  <c:v>5.767025781291486</c:v>
                </c:pt>
                <c:pt idx="11">
                  <c:v>5.7506004405733426</c:v>
                </c:pt>
                <c:pt idx="12">
                  <c:v>5.7341750421881938</c:v>
                </c:pt>
                <c:pt idx="13">
                  <c:v>9.6420924177637026</c:v>
                </c:pt>
                <c:pt idx="14">
                  <c:v>9.6355212720093171</c:v>
                </c:pt>
                <c:pt idx="15">
                  <c:v>9.628841813226499</c:v>
                </c:pt>
                <c:pt idx="16">
                  <c:v>9.6231485656460851</c:v>
                </c:pt>
                <c:pt idx="17">
                  <c:v>9.617329463802788</c:v>
                </c:pt>
                <c:pt idx="18">
                  <c:v>9.6113462257414408</c:v>
                </c:pt>
                <c:pt idx="19">
                  <c:v>9.6203988326519401</c:v>
                </c:pt>
                <c:pt idx="20">
                  <c:v>9.629334244901111</c:v>
                </c:pt>
                <c:pt idx="21">
                  <c:v>9.6381533175797554</c:v>
                </c:pt>
                <c:pt idx="22">
                  <c:v>9.646850328862163</c:v>
                </c:pt>
                <c:pt idx="23">
                  <c:v>9.6554150412227955</c:v>
                </c:pt>
                <c:pt idx="24">
                  <c:v>9.6638563133630342</c:v>
                </c:pt>
                <c:pt idx="25">
                  <c:v>9.6721688372661134</c:v>
                </c:pt>
                <c:pt idx="26">
                  <c:v>9.6803642709429987</c:v>
                </c:pt>
                <c:pt idx="27">
                  <c:v>9.6884433898738589</c:v>
                </c:pt>
                <c:pt idx="28">
                  <c:v>9.696412086364413</c:v>
                </c:pt>
                <c:pt idx="29">
                  <c:v>9.70428857968081</c:v>
                </c:pt>
                <c:pt idx="30">
                  <c:v>9.7120777544363452</c:v>
                </c:pt>
              </c:numCache>
            </c:numRef>
          </c:val>
          <c:extLst>
            <c:ext xmlns:c16="http://schemas.microsoft.com/office/drawing/2014/chart" uri="{C3380CC4-5D6E-409C-BE32-E72D297353CC}">
              <c16:uniqueId val="{00000002-FCEE-4565-9DE0-487CE8191835}"/>
            </c:ext>
          </c:extLst>
        </c:ser>
        <c:ser>
          <c:idx val="2"/>
          <c:order val="3"/>
          <c:tx>
            <c:v>Total leakage</c:v>
          </c:tx>
          <c:spPr>
            <a:ln w="25400">
              <a:noFill/>
            </a:ln>
          </c:spPr>
          <c:cat>
            <c:strRef>
              <c:f>ESWHRT!$G$204:$CI$204</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ESWHRT!$G$398:$CI$398</c:f>
              <c:numCache>
                <c:formatCode>0.00</c:formatCode>
                <c:ptCount val="81"/>
                <c:pt idx="0">
                  <c:v>0</c:v>
                </c:pt>
                <c:pt idx="1">
                  <c:v>0</c:v>
                </c:pt>
                <c:pt idx="2">
                  <c:v>1.3210509183999999</c:v>
                </c:pt>
                <c:pt idx="3">
                  <c:v>0.81112059999999986</c:v>
                </c:pt>
                <c:pt idx="4">
                  <c:v>0.77940079999999978</c:v>
                </c:pt>
                <c:pt idx="5">
                  <c:v>0.74768099999999993</c:v>
                </c:pt>
                <c:pt idx="6">
                  <c:v>0.74009159999999996</c:v>
                </c:pt>
                <c:pt idx="7">
                  <c:v>0.73250219999999999</c:v>
                </c:pt>
                <c:pt idx="8">
                  <c:v>0.72491280000000013</c:v>
                </c:pt>
                <c:pt idx="9">
                  <c:v>0.71732340000000006</c:v>
                </c:pt>
                <c:pt idx="10">
                  <c:v>0.70973400000000009</c:v>
                </c:pt>
                <c:pt idx="11">
                  <c:v>0.70214460000000012</c:v>
                </c:pt>
                <c:pt idx="12">
                  <c:v>0.69455520000000015</c:v>
                </c:pt>
                <c:pt idx="13">
                  <c:v>0.68696580000000018</c:v>
                </c:pt>
                <c:pt idx="14">
                  <c:v>0.67937640000000021</c:v>
                </c:pt>
                <c:pt idx="15">
                  <c:v>0.67178700000000025</c:v>
                </c:pt>
                <c:pt idx="16">
                  <c:v>0.66419760000000028</c:v>
                </c:pt>
                <c:pt idx="17">
                  <c:v>0.65660820000000031</c:v>
                </c:pt>
                <c:pt idx="18">
                  <c:v>0.64901880000000034</c:v>
                </c:pt>
                <c:pt idx="19">
                  <c:v>0.64142940000000037</c:v>
                </c:pt>
                <c:pt idx="20">
                  <c:v>0.6338400000000004</c:v>
                </c:pt>
                <c:pt idx="21">
                  <c:v>0.62625060000000043</c:v>
                </c:pt>
                <c:pt idx="22">
                  <c:v>0.61866120000000047</c:v>
                </c:pt>
                <c:pt idx="23">
                  <c:v>0.6110718000000005</c:v>
                </c:pt>
                <c:pt idx="24">
                  <c:v>0.60348240000000053</c:v>
                </c:pt>
                <c:pt idx="25">
                  <c:v>0.59589300000000056</c:v>
                </c:pt>
                <c:pt idx="26">
                  <c:v>0.58830360000000059</c:v>
                </c:pt>
                <c:pt idx="27">
                  <c:v>0.58071420000000062</c:v>
                </c:pt>
                <c:pt idx="28">
                  <c:v>0.57312480000000066</c:v>
                </c:pt>
                <c:pt idx="29">
                  <c:v>0.56553540000000069</c:v>
                </c:pt>
                <c:pt idx="30">
                  <c:v>0.55794599999999994</c:v>
                </c:pt>
              </c:numCache>
            </c:numRef>
          </c:val>
          <c:extLst>
            <c:ext xmlns:c16="http://schemas.microsoft.com/office/drawing/2014/chart" uri="{C3380CC4-5D6E-409C-BE32-E72D297353CC}">
              <c16:uniqueId val="{00000003-FCEE-4565-9DE0-487CE8191835}"/>
            </c:ext>
          </c:extLst>
        </c:ser>
        <c:ser>
          <c:idx val="3"/>
          <c:order val="4"/>
          <c:tx>
            <c:v>Other components of demand</c:v>
          </c:tx>
          <c:spPr>
            <a:ln w="25400">
              <a:noFill/>
            </a:ln>
          </c:spPr>
          <c:cat>
            <c:strRef>
              <c:f>ESWHRT!$G$204:$CI$204</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ESWHRT!$G$399:$CI$399</c:f>
              <c:numCache>
                <c:formatCode>0.00</c:formatCode>
                <c:ptCount val="81"/>
                <c:pt idx="0">
                  <c:v>0</c:v>
                </c:pt>
                <c:pt idx="1">
                  <c:v>0</c:v>
                </c:pt>
                <c:pt idx="2">
                  <c:v>0.19949174740822428</c:v>
                </c:pt>
                <c:pt idx="3">
                  <c:v>0.19881498267651665</c:v>
                </c:pt>
                <c:pt idx="4">
                  <c:v>0.19878899233229674</c:v>
                </c:pt>
                <c:pt idx="5">
                  <c:v>0.19878728353243424</c:v>
                </c:pt>
                <c:pt idx="6">
                  <c:v>0.19865087975061613</c:v>
                </c:pt>
                <c:pt idx="7">
                  <c:v>0.19834412458478035</c:v>
                </c:pt>
                <c:pt idx="8">
                  <c:v>0.19823137753128606</c:v>
                </c:pt>
                <c:pt idx="9">
                  <c:v>0.19812933077044192</c:v>
                </c:pt>
                <c:pt idx="10">
                  <c:v>0.1980427505838076</c:v>
                </c:pt>
                <c:pt idx="11">
                  <c:v>0.19796623446418415</c:v>
                </c:pt>
                <c:pt idx="12">
                  <c:v>0.19790148251789041</c:v>
                </c:pt>
                <c:pt idx="13">
                  <c:v>0.19784122199726539</c:v>
                </c:pt>
                <c:pt idx="14">
                  <c:v>0.19778207690649197</c:v>
                </c:pt>
                <c:pt idx="15">
                  <c:v>0.1977232495116592</c:v>
                </c:pt>
                <c:pt idx="16">
                  <c:v>0.19766532200983988</c:v>
                </c:pt>
                <c:pt idx="17">
                  <c:v>0.1976091169318579</c:v>
                </c:pt>
                <c:pt idx="18">
                  <c:v>0.19755463561490494</c:v>
                </c:pt>
                <c:pt idx="19">
                  <c:v>0.19750053940395063</c:v>
                </c:pt>
                <c:pt idx="20">
                  <c:v>0.19744707252534077</c:v>
                </c:pt>
                <c:pt idx="21">
                  <c:v>0.19739414045409553</c:v>
                </c:pt>
                <c:pt idx="22">
                  <c:v>0.19734172492178992</c:v>
                </c:pt>
                <c:pt idx="23">
                  <c:v>0.19729024557290487</c:v>
                </c:pt>
                <c:pt idx="24">
                  <c:v>0.19723985354005791</c:v>
                </c:pt>
                <c:pt idx="25">
                  <c:v>0.19719042769732376</c:v>
                </c:pt>
                <c:pt idx="26">
                  <c:v>0.19714159345307358</c:v>
                </c:pt>
                <c:pt idx="27">
                  <c:v>0.1970933684977485</c:v>
                </c:pt>
                <c:pt idx="28">
                  <c:v>0.19704542132056879</c:v>
                </c:pt>
                <c:pt idx="29">
                  <c:v>0.19699752302673623</c:v>
                </c:pt>
                <c:pt idx="30">
                  <c:v>0.19694974682876598</c:v>
                </c:pt>
              </c:numCache>
            </c:numRef>
          </c:val>
          <c:extLst>
            <c:ext xmlns:c16="http://schemas.microsoft.com/office/drawing/2014/chart" uri="{C3380CC4-5D6E-409C-BE32-E72D297353CC}">
              <c16:uniqueId val="{00000004-FCEE-4565-9DE0-487CE8191835}"/>
            </c:ext>
          </c:extLst>
        </c:ser>
        <c:dLbls>
          <c:showLegendKey val="0"/>
          <c:showVal val="0"/>
          <c:showCatName val="0"/>
          <c:showSerName val="0"/>
          <c:showPercent val="0"/>
          <c:showBubbleSize val="0"/>
        </c:dLbls>
        <c:axId val="814784328"/>
        <c:axId val="814784720"/>
      </c:areaChart>
      <c:lineChart>
        <c:grouping val="standard"/>
        <c:varyColors val="0"/>
        <c:ser>
          <c:idx val="4"/>
          <c:order val="5"/>
          <c:tx>
            <c:v>Total water available for use</c:v>
          </c:tx>
          <c:marker>
            <c:symbol val="none"/>
          </c:marker>
          <c:cat>
            <c:strLit>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Lit>
          </c:cat>
          <c:val>
            <c:numRef>
              <c:f>ESWHRT!$G$400:$CI$400</c:f>
              <c:numCache>
                <c:formatCode>0.00</c:formatCode>
                <c:ptCount val="81"/>
                <c:pt idx="0">
                  <c:v>0</c:v>
                </c:pt>
                <c:pt idx="1">
                  <c:v>0</c:v>
                </c:pt>
                <c:pt idx="2">
                  <c:v>15.253403156604637</c:v>
                </c:pt>
                <c:pt idx="3">
                  <c:v>15.259226643868082</c:v>
                </c:pt>
                <c:pt idx="4">
                  <c:v>15.249919751437155</c:v>
                </c:pt>
                <c:pt idx="5">
                  <c:v>15.230582241931307</c:v>
                </c:pt>
                <c:pt idx="6">
                  <c:v>15.2023583008793</c:v>
                </c:pt>
                <c:pt idx="7">
                  <c:v>15.184816955825591</c:v>
                </c:pt>
                <c:pt idx="8">
                  <c:v>15.194848032154752</c:v>
                </c:pt>
                <c:pt idx="9">
                  <c:v>15.195255722538359</c:v>
                </c:pt>
                <c:pt idx="10">
                  <c:v>15.194171505745718</c:v>
                </c:pt>
                <c:pt idx="11">
                  <c:v>15.192886545317981</c:v>
                </c:pt>
                <c:pt idx="12">
                  <c:v>15.191169330425872</c:v>
                </c:pt>
                <c:pt idx="13">
                  <c:v>15.39769130051293</c:v>
                </c:pt>
                <c:pt idx="14">
                  <c:v>15.333961135177606</c:v>
                </c:pt>
                <c:pt idx="15">
                  <c:v>15.248365377966286</c:v>
                </c:pt>
                <c:pt idx="16">
                  <c:v>15.185809016596336</c:v>
                </c:pt>
                <c:pt idx="17">
                  <c:v>15.177511570361126</c:v>
                </c:pt>
                <c:pt idx="18">
                  <c:v>15.174859790752096</c:v>
                </c:pt>
                <c:pt idx="19">
                  <c:v>15.172265324352297</c:v>
                </c:pt>
                <c:pt idx="20">
                  <c:v>15.169433034373604</c:v>
                </c:pt>
                <c:pt idx="21">
                  <c:v>15.166234979164795</c:v>
                </c:pt>
                <c:pt idx="22">
                  <c:v>15.163367522548235</c:v>
                </c:pt>
                <c:pt idx="23">
                  <c:v>15.160692140694065</c:v>
                </c:pt>
                <c:pt idx="24">
                  <c:v>15.159416770737961</c:v>
                </c:pt>
                <c:pt idx="25">
                  <c:v>15.16055993313589</c:v>
                </c:pt>
                <c:pt idx="26">
                  <c:v>15.161643943004428</c:v>
                </c:pt>
                <c:pt idx="27">
                  <c:v>15.16281446364647</c:v>
                </c:pt>
                <c:pt idx="28">
                  <c:v>15.164040222319555</c:v>
                </c:pt>
                <c:pt idx="29">
                  <c:v>15.165365618220495</c:v>
                </c:pt>
                <c:pt idx="30">
                  <c:v>15.166693520487636</c:v>
                </c:pt>
              </c:numCache>
            </c:numRef>
          </c:val>
          <c:smooth val="0"/>
          <c:extLst>
            <c:ext xmlns:c16="http://schemas.microsoft.com/office/drawing/2014/chart" uri="{C3380CC4-5D6E-409C-BE32-E72D297353CC}">
              <c16:uniqueId val="{00000005-FCEE-4565-9DE0-487CE8191835}"/>
            </c:ext>
          </c:extLst>
        </c:ser>
        <c:ser>
          <c:idx val="5"/>
          <c:order val="6"/>
          <c:tx>
            <c:v>Total demand + target headroom (final plan)</c:v>
          </c:tx>
          <c:marker>
            <c:symbol val="none"/>
          </c:marker>
          <c:cat>
            <c:strLit>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Lit>
          </c:cat>
          <c:val>
            <c:numRef>
              <c:f>ESWHRT!$G$401:$CI$401</c:f>
              <c:numCache>
                <c:formatCode>0.00</c:formatCode>
                <c:ptCount val="81"/>
                <c:pt idx="0">
                  <c:v>0</c:v>
                </c:pt>
                <c:pt idx="1">
                  <c:v>0</c:v>
                </c:pt>
                <c:pt idx="2">
                  <c:v>11.723666139480322</c:v>
                </c:pt>
                <c:pt idx="3">
                  <c:v>11.990078964810692</c:v>
                </c:pt>
                <c:pt idx="4">
                  <c:v>12.099023946196112</c:v>
                </c:pt>
                <c:pt idx="5">
                  <c:v>12.033928298265376</c:v>
                </c:pt>
                <c:pt idx="6">
                  <c:v>11.92289197810865</c:v>
                </c:pt>
                <c:pt idx="7">
                  <c:v>11.738660770175958</c:v>
                </c:pt>
                <c:pt idx="8">
                  <c:v>11.779102400084001</c:v>
                </c:pt>
                <c:pt idx="9">
                  <c:v>11.78648651170686</c:v>
                </c:pt>
                <c:pt idx="10">
                  <c:v>11.765537830824295</c:v>
                </c:pt>
                <c:pt idx="11">
                  <c:v>11.737024808527615</c:v>
                </c:pt>
                <c:pt idx="12">
                  <c:v>11.525494367817945</c:v>
                </c:pt>
                <c:pt idx="13">
                  <c:v>14.737691300512932</c:v>
                </c:pt>
                <c:pt idx="14">
                  <c:v>14.673961135177608</c:v>
                </c:pt>
                <c:pt idx="15">
                  <c:v>14.588365377966287</c:v>
                </c:pt>
                <c:pt idx="16">
                  <c:v>14.525809016596337</c:v>
                </c:pt>
                <c:pt idx="17">
                  <c:v>14.490344657594758</c:v>
                </c:pt>
                <c:pt idx="18">
                  <c:v>14.448280021363502</c:v>
                </c:pt>
                <c:pt idx="19">
                  <c:v>14.431493500337911</c:v>
                </c:pt>
                <c:pt idx="20">
                  <c:v>14.409947321996826</c:v>
                </c:pt>
                <c:pt idx="21">
                  <c:v>14.381348029935637</c:v>
                </c:pt>
                <c:pt idx="22">
                  <c:v>14.336842183019881</c:v>
                </c:pt>
                <c:pt idx="23">
                  <c:v>14.301461131114593</c:v>
                </c:pt>
                <c:pt idx="24">
                  <c:v>14.275374891960821</c:v>
                </c:pt>
                <c:pt idx="25">
                  <c:v>14.280466159374569</c:v>
                </c:pt>
                <c:pt idx="26">
                  <c:v>14.283845435604018</c:v>
                </c:pt>
                <c:pt idx="27">
                  <c:v>14.300464096164013</c:v>
                </c:pt>
                <c:pt idx="28">
                  <c:v>14.316719925537777</c:v>
                </c:pt>
                <c:pt idx="29">
                  <c:v>14.334995790771508</c:v>
                </c:pt>
                <c:pt idx="30">
                  <c:v>14.349894149681401</c:v>
                </c:pt>
              </c:numCache>
            </c:numRef>
          </c:val>
          <c:smooth val="0"/>
          <c:extLst>
            <c:ext xmlns:c16="http://schemas.microsoft.com/office/drawing/2014/chart" uri="{C3380CC4-5D6E-409C-BE32-E72D297353CC}">
              <c16:uniqueId val="{00000006-FCEE-4565-9DE0-487CE8191835}"/>
            </c:ext>
          </c:extLst>
        </c:ser>
        <c:dLbls>
          <c:showLegendKey val="0"/>
          <c:showVal val="0"/>
          <c:showCatName val="0"/>
          <c:showSerName val="0"/>
          <c:showPercent val="0"/>
          <c:showBubbleSize val="0"/>
        </c:dLbls>
        <c:marker val="1"/>
        <c:smooth val="0"/>
        <c:axId val="814784328"/>
        <c:axId val="814784720"/>
      </c:lineChart>
      <c:catAx>
        <c:axId val="814784328"/>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en-US"/>
          </a:p>
        </c:txPr>
        <c:crossAx val="814784720"/>
        <c:crosses val="autoZero"/>
        <c:auto val="1"/>
        <c:lblAlgn val="ctr"/>
        <c:lblOffset val="100"/>
        <c:tickLblSkip val="2"/>
        <c:tickMarkSkip val="1"/>
        <c:noMultiLvlLbl val="0"/>
      </c:catAx>
      <c:valAx>
        <c:axId val="814784720"/>
        <c:scaling>
          <c:orientation val="minMax"/>
        </c:scaling>
        <c:delete val="0"/>
        <c:axPos val="l"/>
        <c:majorGridlines>
          <c:spPr>
            <a:ln w="3175">
              <a:solidFill>
                <a:srgbClr val="000000"/>
              </a:solidFill>
              <a:prstDash val="solid"/>
            </a:ln>
          </c:spPr>
        </c:majorGridlines>
        <c:title>
          <c:tx>
            <c:rich>
              <a:bodyPr/>
              <a:lstStyle/>
              <a:p>
                <a:pPr>
                  <a:defRPr sz="1175" b="1" i="0" u="none" strike="noStrike" baseline="0">
                    <a:solidFill>
                      <a:srgbClr val="000000"/>
                    </a:solidFill>
                    <a:latin typeface="Arial"/>
                    <a:ea typeface="Arial"/>
                    <a:cs typeface="Arial"/>
                  </a:defRPr>
                </a:pPr>
                <a:r>
                  <a:rPr lang="en-GB"/>
                  <a:t>Ml/d</a:t>
                </a:r>
              </a:p>
            </c:rich>
          </c:tx>
          <c:layout>
            <c:manualLayout>
              <c:xMode val="edge"/>
              <c:yMode val="edge"/>
              <c:x val="2.0359337875782983E-2"/>
              <c:y val="0.39858528733632054"/>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814784328"/>
        <c:crosses val="autoZero"/>
        <c:crossBetween val="midCat"/>
      </c:valAx>
      <c:spPr>
        <a:solidFill>
          <a:schemeClr val="bg1"/>
        </a:solidFill>
        <a:ln w="12700">
          <a:solidFill>
            <a:srgbClr val="808080"/>
          </a:solidFill>
          <a:prstDash val="solid"/>
        </a:ln>
      </c:spPr>
    </c:plotArea>
    <c:legend>
      <c:legendPos val="b"/>
      <c:legendEntry>
        <c:idx val="0"/>
        <c:txPr>
          <a:bodyPr/>
          <a:lstStyle/>
          <a:p>
            <a:pPr>
              <a:defRPr sz="1000" b="0" i="0" u="none" strike="noStrike" baseline="0">
                <a:solidFill>
                  <a:srgbClr val="000000"/>
                </a:solidFill>
                <a:latin typeface="Arial"/>
                <a:ea typeface="Arial"/>
                <a:cs typeface="Arial"/>
              </a:defRPr>
            </a:pPr>
            <a:endParaRPr lang="en-US"/>
          </a:p>
        </c:txPr>
      </c:legendEntry>
      <c:layout>
        <c:manualLayout>
          <c:xMode val="edge"/>
          <c:yMode val="edge"/>
          <c:x val="0.16452269470774322"/>
          <c:y val="0.82158446545736608"/>
          <c:w val="0.7156398695723647"/>
          <c:h val="0.16402912270077008"/>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0"/>
    <c:dispBlanksAs val="zero"/>
    <c:showDLblsOverMax val="0"/>
  </c:chart>
  <c:spPr>
    <a:solidFill>
      <a:schemeClr val="accent1"/>
    </a:solidFill>
    <a:ln w="3175">
      <a:solidFill>
        <a:srgbClr val="000000"/>
      </a:solidFill>
      <a:prstDash val="solid"/>
    </a:ln>
  </c:spPr>
  <c:txPr>
    <a:bodyPr/>
    <a:lstStyle/>
    <a:p>
      <a:pPr>
        <a:defRPr sz="975" b="0" i="0" u="none" strike="noStrike" baseline="0">
          <a:solidFill>
            <a:srgbClr val="000000"/>
          </a:solidFill>
          <a:latin typeface="Arial"/>
          <a:ea typeface="Arial"/>
          <a:cs typeface="Arial"/>
        </a:defRPr>
      </a:pPr>
      <a:endParaRPr lang="en-US"/>
    </a:p>
  </c:txPr>
  <c:printSettings>
    <c:headerFooter alignWithMargins="0"/>
    <c:pageMargins b="1" l="0.75000000000000622" r="0.75000000000000622" t="1" header="0.5" footer="0.5"/>
    <c:pageSetup paperSize="9" orientation="landscape"/>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75" b="1" i="0" u="none" strike="noStrike" baseline="0">
                <a:solidFill>
                  <a:srgbClr val="000000"/>
                </a:solidFill>
                <a:latin typeface="Arial"/>
                <a:ea typeface="Arial"/>
                <a:cs typeface="Arial"/>
              </a:defRPr>
            </a:pPr>
            <a:r>
              <a:rPr lang="en-GB"/>
              <a:t>DYAA Baseline Water Supply-Demand Balance and Components of Demand</a:t>
            </a:r>
          </a:p>
        </c:rich>
      </c:tx>
      <c:layout>
        <c:manualLayout>
          <c:xMode val="edge"/>
          <c:yMode val="edge"/>
          <c:x val="0.2095809470200265"/>
          <c:y val="2.9013693730272669E-2"/>
        </c:manualLayout>
      </c:layout>
      <c:overlay val="0"/>
      <c:spPr>
        <a:noFill/>
        <a:ln w="25400">
          <a:noFill/>
        </a:ln>
      </c:spPr>
    </c:title>
    <c:autoTitleDeleted val="0"/>
    <c:plotArea>
      <c:layout>
        <c:manualLayout>
          <c:layoutTarget val="inner"/>
          <c:xMode val="edge"/>
          <c:yMode val="edge"/>
          <c:x val="8.5343266856694813E-2"/>
          <c:y val="0.10444884139344435"/>
          <c:w val="0.89146608097046709"/>
          <c:h val="0.55130264550264552"/>
        </c:manualLayout>
      </c:layout>
      <c:areaChart>
        <c:grouping val="stacked"/>
        <c:varyColors val="0"/>
        <c:ser>
          <c:idx val="6"/>
          <c:order val="0"/>
          <c:tx>
            <c:v>Measured household consumption</c:v>
          </c:tx>
          <c:spPr>
            <a:ln w="25400">
              <a:noFill/>
            </a:ln>
          </c:spPr>
          <c:cat>
            <c:multiLvlStrRef>
              <c:f>}</c:f>
            </c:multiLvlStrRef>
          </c:cat>
          <c:val>
            <c:numRef>
              <c:f>ESWHRT!$G$368:$AK$368</c:f>
              <c:numCache>
                <c:formatCode>0.00</c:formatCode>
                <c:ptCount val="31"/>
                <c:pt idx="0">
                  <c:v>0</c:v>
                </c:pt>
                <c:pt idx="1">
                  <c:v>0</c:v>
                </c:pt>
                <c:pt idx="2">
                  <c:v>2.424220732377981</c:v>
                </c:pt>
                <c:pt idx="3">
                  <c:v>2.4311707611431728</c:v>
                </c:pt>
                <c:pt idx="4">
                  <c:v>2.3921150283314363</c:v>
                </c:pt>
                <c:pt idx="5">
                  <c:v>2.3724928988692273</c:v>
                </c:pt>
                <c:pt idx="6">
                  <c:v>2.5303507561497365</c:v>
                </c:pt>
                <c:pt idx="7">
                  <c:v>2.6763161180535122</c:v>
                </c:pt>
                <c:pt idx="8">
                  <c:v>2.7514738557745271</c:v>
                </c:pt>
                <c:pt idx="9">
                  <c:v>2.8185447901608844</c:v>
                </c:pt>
                <c:pt idx="10">
                  <c:v>2.8729395326807099</c:v>
                </c:pt>
                <c:pt idx="11">
                  <c:v>2.9126693878698617</c:v>
                </c:pt>
                <c:pt idx="12">
                  <c:v>2.9376867481020787</c:v>
                </c:pt>
                <c:pt idx="13">
                  <c:v>2.960793901707055</c:v>
                </c:pt>
                <c:pt idx="14">
                  <c:v>2.9835896398338289</c:v>
                </c:pt>
                <c:pt idx="15">
                  <c:v>3.0072794835200067</c:v>
                </c:pt>
                <c:pt idx="16">
                  <c:v>3.031066111423486</c:v>
                </c:pt>
                <c:pt idx="17">
                  <c:v>3.0552852238697694</c:v>
                </c:pt>
                <c:pt idx="18">
                  <c:v>3.0803301327221928</c:v>
                </c:pt>
                <c:pt idx="19">
                  <c:v>3.1055659193209908</c:v>
                </c:pt>
                <c:pt idx="20">
                  <c:v>3.1279859505761629</c:v>
                </c:pt>
                <c:pt idx="21">
                  <c:v>3.1451207182113787</c:v>
                </c:pt>
                <c:pt idx="22">
                  <c:v>3.166246783468317</c:v>
                </c:pt>
                <c:pt idx="23">
                  <c:v>3.1884884866135503</c:v>
                </c:pt>
                <c:pt idx="24">
                  <c:v>3.2105622597474697</c:v>
                </c:pt>
                <c:pt idx="25">
                  <c:v>3.2326825538211583</c:v>
                </c:pt>
                <c:pt idx="26">
                  <c:v>3.2540847790442688</c:v>
                </c:pt>
                <c:pt idx="27">
                  <c:v>3.2759408932334764</c:v>
                </c:pt>
                <c:pt idx="28">
                  <c:v>3.2985154469324693</c:v>
                </c:pt>
                <c:pt idx="29">
                  <c:v>3.322107790902824</c:v>
                </c:pt>
                <c:pt idx="30">
                  <c:v>3.3461716069635314</c:v>
                </c:pt>
              </c:numCache>
            </c:numRef>
          </c:val>
          <c:extLst>
            <c:ext xmlns:c16="http://schemas.microsoft.com/office/drawing/2014/chart" uri="{C3380CC4-5D6E-409C-BE32-E72D297353CC}">
              <c16:uniqueId val="{00000000-B172-4536-8C1F-17FC93CF50F9}"/>
            </c:ext>
          </c:extLst>
        </c:ser>
        <c:ser>
          <c:idx val="0"/>
          <c:order val="1"/>
          <c:tx>
            <c:v>Unmeasured household consumption</c:v>
          </c:tx>
          <c:spPr>
            <a:ln w="25400">
              <a:noFill/>
            </a:ln>
          </c:spPr>
          <c:cat>
            <c:multiLvlStrRef>
              <c:f>}</c:f>
            </c:multiLvlStrRef>
          </c:cat>
          <c:val>
            <c:numRef>
              <c:f>ESWHRT!$G$369:$AK$369</c:f>
              <c:numCache>
                <c:formatCode>0.00</c:formatCode>
                <c:ptCount val="31"/>
                <c:pt idx="0">
                  <c:v>0</c:v>
                </c:pt>
                <c:pt idx="1">
                  <c:v>0</c:v>
                </c:pt>
                <c:pt idx="2">
                  <c:v>1.5130070642010627</c:v>
                </c:pt>
                <c:pt idx="3">
                  <c:v>1.5546717243035104</c:v>
                </c:pt>
                <c:pt idx="4">
                  <c:v>1.5136715266902645</c:v>
                </c:pt>
                <c:pt idx="5">
                  <c:v>1.3804227732748786</c:v>
                </c:pt>
                <c:pt idx="6">
                  <c:v>1.1905634173250812</c:v>
                </c:pt>
                <c:pt idx="7">
                  <c:v>1.0986595575808218</c:v>
                </c:pt>
                <c:pt idx="8">
                  <c:v>1.0661075377321501</c:v>
                </c:pt>
                <c:pt idx="9">
                  <c:v>1.03362929194765</c:v>
                </c:pt>
                <c:pt idx="10">
                  <c:v>1.0011303799636984</c:v>
                </c:pt>
                <c:pt idx="11">
                  <c:v>0.98069128093319791</c:v>
                </c:pt>
                <c:pt idx="12">
                  <c:v>0.97261405701554493</c:v>
                </c:pt>
                <c:pt idx="13">
                  <c:v>0.96463990603838889</c:v>
                </c:pt>
                <c:pt idx="14">
                  <c:v>0.95667742037633319</c:v>
                </c:pt>
                <c:pt idx="15">
                  <c:v>0.94880083863042264</c:v>
                </c:pt>
                <c:pt idx="16">
                  <c:v>0.94169168936419123</c:v>
                </c:pt>
                <c:pt idx="17">
                  <c:v>0.93467352021017358</c:v>
                </c:pt>
                <c:pt idx="18">
                  <c:v>0.92765488156767006</c:v>
                </c:pt>
                <c:pt idx="19">
                  <c:v>0.92090805458075442</c:v>
                </c:pt>
                <c:pt idx="20">
                  <c:v>0.91416612429999156</c:v>
                </c:pt>
                <c:pt idx="21">
                  <c:v>0.90739094904594897</c:v>
                </c:pt>
                <c:pt idx="22">
                  <c:v>0.90071028777070783</c:v>
                </c:pt>
                <c:pt idx="23">
                  <c:v>0.89450943025151586</c:v>
                </c:pt>
                <c:pt idx="24">
                  <c:v>0.88872928058622669</c:v>
                </c:pt>
                <c:pt idx="25">
                  <c:v>0.88304312277788644</c:v>
                </c:pt>
                <c:pt idx="26">
                  <c:v>0.87736229495279761</c:v>
                </c:pt>
                <c:pt idx="27">
                  <c:v>0.87194841195992734</c:v>
                </c:pt>
                <c:pt idx="28">
                  <c:v>0.86653447196573696</c:v>
                </c:pt>
                <c:pt idx="29">
                  <c:v>0.86121103469042726</c:v>
                </c:pt>
                <c:pt idx="30">
                  <c:v>0.85571777838127472</c:v>
                </c:pt>
              </c:numCache>
            </c:numRef>
          </c:val>
          <c:extLst>
            <c:ext xmlns:c16="http://schemas.microsoft.com/office/drawing/2014/chart" uri="{C3380CC4-5D6E-409C-BE32-E72D297353CC}">
              <c16:uniqueId val="{00000001-B172-4536-8C1F-17FC93CF50F9}"/>
            </c:ext>
          </c:extLst>
        </c:ser>
        <c:ser>
          <c:idx val="1"/>
          <c:order val="2"/>
          <c:tx>
            <c:v>Non-household consumption</c:v>
          </c:tx>
          <c:spPr>
            <a:ln w="25400">
              <a:noFill/>
            </a:ln>
          </c:spPr>
          <c:cat>
            <c:multiLvlStrRef>
              <c:f>}</c:f>
            </c:multiLvlStrRef>
          </c:cat>
          <c:val>
            <c:numRef>
              <c:f>ESWHRT!$G$370:$AK$370</c:f>
              <c:numCache>
                <c:formatCode>0.00</c:formatCode>
                <c:ptCount val="31"/>
                <c:pt idx="0">
                  <c:v>0</c:v>
                </c:pt>
                <c:pt idx="1">
                  <c:v>0</c:v>
                </c:pt>
                <c:pt idx="2">
                  <c:v>4.4854535911501303</c:v>
                </c:pt>
                <c:pt idx="3">
                  <c:v>8.3910287536053296</c:v>
                </c:pt>
                <c:pt idx="4">
                  <c:v>8.4062203651169423</c:v>
                </c:pt>
                <c:pt idx="5">
                  <c:v>8.5793283661519606</c:v>
                </c:pt>
                <c:pt idx="6">
                  <c:v>8.5891042641428896</c:v>
                </c:pt>
                <c:pt idx="7">
                  <c:v>8.5997477317727142</c:v>
                </c:pt>
                <c:pt idx="8">
                  <c:v>8.6104916991826563</c:v>
                </c:pt>
                <c:pt idx="9">
                  <c:v>8.6212872300050698</c:v>
                </c:pt>
                <c:pt idx="10">
                  <c:v>8.6314576441275932</c:v>
                </c:pt>
                <c:pt idx="11">
                  <c:v>8.641577604230676</c:v>
                </c:pt>
                <c:pt idx="12">
                  <c:v>8.651594186095247</c:v>
                </c:pt>
                <c:pt idx="13">
                  <c:v>8.661471224016756</c:v>
                </c:pt>
                <c:pt idx="14">
                  <c:v>8.6712536797948836</c:v>
                </c:pt>
                <c:pt idx="15">
                  <c:v>8.6809278802115859</c:v>
                </c:pt>
                <c:pt idx="16">
                  <c:v>8.6904238782025054</c:v>
                </c:pt>
                <c:pt idx="17">
                  <c:v>8.6997940795975488</c:v>
                </c:pt>
                <c:pt idx="18">
                  <c:v>8.7090002024415405</c:v>
                </c:pt>
                <c:pt idx="19">
                  <c:v>8.718031206106863</c:v>
                </c:pt>
                <c:pt idx="20">
                  <c:v>8.7269450727778572</c:v>
                </c:pt>
                <c:pt idx="21">
                  <c:v>8.735742657545325</c:v>
                </c:pt>
                <c:pt idx="22">
                  <c:v>8.7444182385835685</c:v>
                </c:pt>
                <c:pt idx="23">
                  <c:v>8.7529615783670263</c:v>
                </c:pt>
                <c:pt idx="24">
                  <c:v>8.7613815355971028</c:v>
                </c:pt>
                <c:pt idx="25">
                  <c:v>8.7696728022570145</c:v>
                </c:pt>
                <c:pt idx="26">
                  <c:v>8.7778470363577394</c:v>
                </c:pt>
                <c:pt idx="27">
                  <c:v>8.7859050133794394</c:v>
                </c:pt>
                <c:pt idx="28">
                  <c:v>8.7938526256278351</c:v>
                </c:pt>
                <c:pt idx="29">
                  <c:v>8.8017080923690774</c:v>
                </c:pt>
                <c:pt idx="30">
                  <c:v>8.8094762982164561</c:v>
                </c:pt>
              </c:numCache>
            </c:numRef>
          </c:val>
          <c:extLst>
            <c:ext xmlns:c16="http://schemas.microsoft.com/office/drawing/2014/chart" uri="{C3380CC4-5D6E-409C-BE32-E72D297353CC}">
              <c16:uniqueId val="{00000002-B172-4536-8C1F-17FC93CF50F9}"/>
            </c:ext>
          </c:extLst>
        </c:ser>
        <c:ser>
          <c:idx val="2"/>
          <c:order val="3"/>
          <c:tx>
            <c:v>Total leakage</c:v>
          </c:tx>
          <c:spPr>
            <a:ln w="25400">
              <a:noFill/>
            </a:ln>
          </c:spPr>
          <c:cat>
            <c:multiLvlStrRef>
              <c:f>}</c:f>
            </c:multiLvlStrRef>
          </c:cat>
          <c:val>
            <c:numRef>
              <c:f>ESWHRT!$G$371:$AK$371</c:f>
              <c:numCache>
                <c:formatCode>0.00</c:formatCode>
                <c:ptCount val="31"/>
                <c:pt idx="0">
                  <c:v>0</c:v>
                </c:pt>
                <c:pt idx="1">
                  <c:v>0</c:v>
                </c:pt>
                <c:pt idx="2">
                  <c:v>1.3210509183999999</c:v>
                </c:pt>
                <c:pt idx="3">
                  <c:v>0.81112059999999986</c:v>
                </c:pt>
                <c:pt idx="4">
                  <c:v>0.77940079999999978</c:v>
                </c:pt>
                <c:pt idx="5">
                  <c:v>0.74768099999999993</c:v>
                </c:pt>
                <c:pt idx="6">
                  <c:v>0.74768099999999993</c:v>
                </c:pt>
                <c:pt idx="7">
                  <c:v>0.74768099999999993</c:v>
                </c:pt>
                <c:pt idx="8">
                  <c:v>0.74768099999999993</c:v>
                </c:pt>
                <c:pt idx="9">
                  <c:v>0.74768099999999993</c:v>
                </c:pt>
                <c:pt idx="10">
                  <c:v>0.74768099999999993</c:v>
                </c:pt>
                <c:pt idx="11">
                  <c:v>0.74768099999999993</c:v>
                </c:pt>
                <c:pt idx="12">
                  <c:v>0.74768099999999993</c:v>
                </c:pt>
                <c:pt idx="13">
                  <c:v>0.74768099999999993</c:v>
                </c:pt>
                <c:pt idx="14">
                  <c:v>0.74768099999999993</c:v>
                </c:pt>
                <c:pt idx="15">
                  <c:v>0.74768099999999993</c:v>
                </c:pt>
                <c:pt idx="16">
                  <c:v>0.74768099999999993</c:v>
                </c:pt>
                <c:pt idx="17">
                  <c:v>0.74768099999999993</c:v>
                </c:pt>
                <c:pt idx="18">
                  <c:v>0.74768099999999993</c:v>
                </c:pt>
                <c:pt idx="19">
                  <c:v>0.74768099999999993</c:v>
                </c:pt>
                <c:pt idx="20">
                  <c:v>0.74768099999999993</c:v>
                </c:pt>
                <c:pt idx="21">
                  <c:v>0.74768099999999993</c:v>
                </c:pt>
                <c:pt idx="22">
                  <c:v>0.74768099999999993</c:v>
                </c:pt>
                <c:pt idx="23">
                  <c:v>0.74768099999999982</c:v>
                </c:pt>
                <c:pt idx="24">
                  <c:v>0.74768099999999993</c:v>
                </c:pt>
                <c:pt idx="25">
                  <c:v>0.74768099999999993</c:v>
                </c:pt>
                <c:pt idx="26">
                  <c:v>0.74768099999999993</c:v>
                </c:pt>
                <c:pt idx="27">
                  <c:v>0.74768099999999993</c:v>
                </c:pt>
                <c:pt idx="28">
                  <c:v>0.74768099999999993</c:v>
                </c:pt>
                <c:pt idx="29">
                  <c:v>0.74768100000000004</c:v>
                </c:pt>
                <c:pt idx="30">
                  <c:v>0.74768099999999993</c:v>
                </c:pt>
              </c:numCache>
            </c:numRef>
          </c:val>
          <c:extLst>
            <c:ext xmlns:c16="http://schemas.microsoft.com/office/drawing/2014/chart" uri="{C3380CC4-5D6E-409C-BE32-E72D297353CC}">
              <c16:uniqueId val="{00000003-B172-4536-8C1F-17FC93CF50F9}"/>
            </c:ext>
          </c:extLst>
        </c:ser>
        <c:ser>
          <c:idx val="3"/>
          <c:order val="4"/>
          <c:tx>
            <c:v>Other components of demand</c:v>
          </c:tx>
          <c:spPr>
            <a:ln w="25400">
              <a:noFill/>
            </a:ln>
          </c:spPr>
          <c:cat>
            <c:multiLvlStrRef>
              <c:f>}</c:f>
            </c:multiLvlStrRef>
          </c:cat>
          <c:val>
            <c:numRef>
              <c:f>ESWHRT!$G$372:$AK$372</c:f>
              <c:numCache>
                <c:formatCode>0.00</c:formatCode>
                <c:ptCount val="31"/>
                <c:pt idx="0">
                  <c:v>0</c:v>
                </c:pt>
                <c:pt idx="1">
                  <c:v>0</c:v>
                </c:pt>
                <c:pt idx="2">
                  <c:v>0.19949174740822428</c:v>
                </c:pt>
                <c:pt idx="3">
                  <c:v>0.19881498267651665</c:v>
                </c:pt>
                <c:pt idx="4">
                  <c:v>0.19878899233229674</c:v>
                </c:pt>
                <c:pt idx="5">
                  <c:v>0.19878728353243602</c:v>
                </c:pt>
                <c:pt idx="6">
                  <c:v>0.19878486804218021</c:v>
                </c:pt>
                <c:pt idx="7">
                  <c:v>0.19860773826280997</c:v>
                </c:pt>
                <c:pt idx="8">
                  <c:v>0.19848626539911507</c:v>
                </c:pt>
                <c:pt idx="9">
                  <c:v>0.19837549282806854</c:v>
                </c:pt>
                <c:pt idx="10">
                  <c:v>0.19828018683123005</c:v>
                </c:pt>
                <c:pt idx="11">
                  <c:v>0.1981990120440269</c:v>
                </c:pt>
                <c:pt idx="12">
                  <c:v>0.19813366857277259</c:v>
                </c:pt>
                <c:pt idx="13">
                  <c:v>0.19807281652719055</c:v>
                </c:pt>
                <c:pt idx="14">
                  <c:v>0.19801307991145123</c:v>
                </c:pt>
                <c:pt idx="15">
                  <c:v>0.1979536609916579</c:v>
                </c:pt>
                <c:pt idx="16">
                  <c:v>0.19789514196487978</c:v>
                </c:pt>
                <c:pt idx="17">
                  <c:v>0.19783834536193723</c:v>
                </c:pt>
                <c:pt idx="18">
                  <c:v>0.19778327252002548</c:v>
                </c:pt>
                <c:pt idx="19">
                  <c:v>0.19772858478411059</c:v>
                </c:pt>
                <c:pt idx="20">
                  <c:v>0.1976745263805384</c:v>
                </c:pt>
                <c:pt idx="21">
                  <c:v>0.19762106368972177</c:v>
                </c:pt>
                <c:pt idx="22">
                  <c:v>0.19756817844323038</c:v>
                </c:pt>
                <c:pt idx="23">
                  <c:v>0.19751622938016133</c:v>
                </c:pt>
                <c:pt idx="24">
                  <c:v>0.19746536763313216</c:v>
                </c:pt>
                <c:pt idx="25">
                  <c:v>0.19741547207621224</c:v>
                </c:pt>
                <c:pt idx="26">
                  <c:v>0.19736616811777452</c:v>
                </c:pt>
                <c:pt idx="27">
                  <c:v>0.1973174734482761</c:v>
                </c:pt>
                <c:pt idx="28">
                  <c:v>0.19726905655690885</c:v>
                </c:pt>
                <c:pt idx="29">
                  <c:v>0.19722068854888875</c:v>
                </c:pt>
                <c:pt idx="30">
                  <c:v>0.1971724426367345</c:v>
                </c:pt>
              </c:numCache>
            </c:numRef>
          </c:val>
          <c:extLst>
            <c:ext xmlns:c16="http://schemas.microsoft.com/office/drawing/2014/chart" uri="{C3380CC4-5D6E-409C-BE32-E72D297353CC}">
              <c16:uniqueId val="{00000004-B172-4536-8C1F-17FC93CF50F9}"/>
            </c:ext>
          </c:extLst>
        </c:ser>
        <c:dLbls>
          <c:showLegendKey val="0"/>
          <c:showVal val="0"/>
          <c:showCatName val="0"/>
          <c:showSerName val="0"/>
          <c:showPercent val="0"/>
          <c:showBubbleSize val="0"/>
        </c:dLbls>
        <c:axId val="909034472"/>
        <c:axId val="909034864"/>
      </c:areaChart>
      <c:lineChart>
        <c:grouping val="standard"/>
        <c:varyColors val="0"/>
        <c:ser>
          <c:idx val="4"/>
          <c:order val="5"/>
          <c:tx>
            <c:v>Total water available for use</c:v>
          </c:tx>
          <c:spPr>
            <a:ln w="25400"/>
          </c:spPr>
          <c:marker>
            <c:symbol val="none"/>
          </c:marker>
          <c:cat>
            <c:strRef>
              <c:f>ESWHRT!$G$367:$CI$367</c:f>
              <c:strCache>
                <c:ptCount val="3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strCache>
            </c:strRef>
          </c:cat>
          <c:val>
            <c:numRef>
              <c:f>ESWHRT!$G$373:$AK$373</c:f>
              <c:numCache>
                <c:formatCode>0.00</c:formatCode>
                <c:ptCount val="31"/>
                <c:pt idx="0">
                  <c:v>0</c:v>
                </c:pt>
                <c:pt idx="1">
                  <c:v>0</c:v>
                </c:pt>
                <c:pt idx="2">
                  <c:v>7.8400000000000007</c:v>
                </c:pt>
                <c:pt idx="3">
                  <c:v>7.8400000000000007</c:v>
                </c:pt>
                <c:pt idx="4">
                  <c:v>7.8400000000000007</c:v>
                </c:pt>
                <c:pt idx="5">
                  <c:v>7.8400000000000007</c:v>
                </c:pt>
                <c:pt idx="6">
                  <c:v>7.8400000000000007</c:v>
                </c:pt>
                <c:pt idx="7">
                  <c:v>7.8400000000000007</c:v>
                </c:pt>
                <c:pt idx="8">
                  <c:v>7.8400000000000007</c:v>
                </c:pt>
                <c:pt idx="9">
                  <c:v>7.8400000000000007</c:v>
                </c:pt>
                <c:pt idx="10">
                  <c:v>7.8400000000000007</c:v>
                </c:pt>
                <c:pt idx="11">
                  <c:v>7.3100000000000005</c:v>
                </c:pt>
                <c:pt idx="12">
                  <c:v>7.3100000000000005</c:v>
                </c:pt>
                <c:pt idx="13">
                  <c:v>7.3100000000000005</c:v>
                </c:pt>
                <c:pt idx="14">
                  <c:v>7.3100000000000005</c:v>
                </c:pt>
                <c:pt idx="15">
                  <c:v>7.3100000000000005</c:v>
                </c:pt>
                <c:pt idx="16">
                  <c:v>7.3100000000000005</c:v>
                </c:pt>
                <c:pt idx="17">
                  <c:v>7.3100000000000005</c:v>
                </c:pt>
                <c:pt idx="18">
                  <c:v>7.3100000000000005</c:v>
                </c:pt>
                <c:pt idx="19">
                  <c:v>7.3100000000000005</c:v>
                </c:pt>
                <c:pt idx="20">
                  <c:v>7.3100000000000005</c:v>
                </c:pt>
                <c:pt idx="21">
                  <c:v>6.66</c:v>
                </c:pt>
                <c:pt idx="22">
                  <c:v>6.66</c:v>
                </c:pt>
                <c:pt idx="23">
                  <c:v>6.66</c:v>
                </c:pt>
                <c:pt idx="24">
                  <c:v>6.66</c:v>
                </c:pt>
                <c:pt idx="25">
                  <c:v>6.66</c:v>
                </c:pt>
                <c:pt idx="26">
                  <c:v>6.0200000000000005</c:v>
                </c:pt>
                <c:pt idx="27">
                  <c:v>6.0200000000000005</c:v>
                </c:pt>
                <c:pt idx="28">
                  <c:v>6.0200000000000005</c:v>
                </c:pt>
                <c:pt idx="29">
                  <c:v>6.0200000000000005</c:v>
                </c:pt>
                <c:pt idx="30">
                  <c:v>6.0200000000000005</c:v>
                </c:pt>
              </c:numCache>
            </c:numRef>
          </c:val>
          <c:smooth val="0"/>
          <c:extLst>
            <c:ext xmlns:c16="http://schemas.microsoft.com/office/drawing/2014/chart" uri="{C3380CC4-5D6E-409C-BE32-E72D297353CC}">
              <c16:uniqueId val="{00000005-B172-4536-8C1F-17FC93CF50F9}"/>
            </c:ext>
          </c:extLst>
        </c:ser>
        <c:ser>
          <c:idx val="5"/>
          <c:order val="6"/>
          <c:tx>
            <c:v>Total demand + target headroom (baseline)</c:v>
          </c:tx>
          <c:spPr>
            <a:ln w="25400"/>
          </c:spPr>
          <c:marker>
            <c:symbol val="none"/>
          </c:marker>
          <c:cat>
            <c:strRef>
              <c:f>ESWHRT!$G$367:$CI$367</c:f>
              <c:strCache>
                <c:ptCount val="3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strCache>
            </c:strRef>
          </c:cat>
          <c:val>
            <c:numRef>
              <c:f>ESWHRT!$G$374:$AK$374</c:f>
              <c:numCache>
                <c:formatCode>0.00</c:formatCode>
                <c:ptCount val="31"/>
                <c:pt idx="0">
                  <c:v>0</c:v>
                </c:pt>
                <c:pt idx="1">
                  <c:v>0</c:v>
                </c:pt>
                <c:pt idx="2">
                  <c:v>10.993224053537398</c:v>
                </c:pt>
                <c:pt idx="3">
                  <c:v>14.33680682172853</c:v>
                </c:pt>
                <c:pt idx="4">
                  <c:v>14.390196712470939</c:v>
                </c:pt>
                <c:pt idx="5">
                  <c:v>14.188712321828502</c:v>
                </c:pt>
                <c:pt idx="6">
                  <c:v>14.366484305659887</c:v>
                </c:pt>
                <c:pt idx="7">
                  <c:v>14.321012145669858</c:v>
                </c:pt>
                <c:pt idx="8">
                  <c:v>14.354240358088449</c:v>
                </c:pt>
                <c:pt idx="9">
                  <c:v>14.439517804941673</c:v>
                </c:pt>
                <c:pt idx="10">
                  <c:v>14.451488743603232</c:v>
                </c:pt>
                <c:pt idx="11">
                  <c:v>14.170818285077761</c:v>
                </c:pt>
                <c:pt idx="12">
                  <c:v>14.017709659785643</c:v>
                </c:pt>
                <c:pt idx="13">
                  <c:v>13.87265884828939</c:v>
                </c:pt>
                <c:pt idx="14">
                  <c:v>13.897214819916497</c:v>
                </c:pt>
                <c:pt idx="15">
                  <c:v>13.892642863353673</c:v>
                </c:pt>
                <c:pt idx="16">
                  <c:v>13.898757820955062</c:v>
                </c:pt>
                <c:pt idx="17">
                  <c:v>13.935272169039429</c:v>
                </c:pt>
                <c:pt idx="18">
                  <c:v>13.96244948925143</c:v>
                </c:pt>
                <c:pt idx="19">
                  <c:v>13.98991476479272</c:v>
                </c:pt>
                <c:pt idx="20">
                  <c:v>14.014452674034551</c:v>
                </c:pt>
                <c:pt idx="21">
                  <c:v>14.033556388492375</c:v>
                </c:pt>
                <c:pt idx="22">
                  <c:v>14.046624488265824</c:v>
                </c:pt>
                <c:pt idx="23">
                  <c:v>14.051156724612254</c:v>
                </c:pt>
                <c:pt idx="24">
                  <c:v>14.06581944356393</c:v>
                </c:pt>
                <c:pt idx="25">
                  <c:v>14.080494950932271</c:v>
                </c:pt>
                <c:pt idx="26">
                  <c:v>14.094341278472582</c:v>
                </c:pt>
                <c:pt idx="27">
                  <c:v>14.11879279202112</c:v>
                </c:pt>
                <c:pt idx="28">
                  <c:v>14.14385260108295</c:v>
                </c:pt>
                <c:pt idx="29">
                  <c:v>14.179928606511218</c:v>
                </c:pt>
                <c:pt idx="30">
                  <c:v>14.206219126197997</c:v>
                </c:pt>
              </c:numCache>
            </c:numRef>
          </c:val>
          <c:smooth val="0"/>
          <c:extLst>
            <c:ext xmlns:c16="http://schemas.microsoft.com/office/drawing/2014/chart" uri="{C3380CC4-5D6E-409C-BE32-E72D297353CC}">
              <c16:uniqueId val="{00000006-B172-4536-8C1F-17FC93CF50F9}"/>
            </c:ext>
          </c:extLst>
        </c:ser>
        <c:dLbls>
          <c:showLegendKey val="0"/>
          <c:showVal val="0"/>
          <c:showCatName val="0"/>
          <c:showSerName val="0"/>
          <c:showPercent val="0"/>
          <c:showBubbleSize val="0"/>
        </c:dLbls>
        <c:marker val="1"/>
        <c:smooth val="0"/>
        <c:axId val="909034472"/>
        <c:axId val="909034864"/>
      </c:lineChart>
      <c:catAx>
        <c:axId val="909034472"/>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en-US"/>
          </a:p>
        </c:txPr>
        <c:crossAx val="909034864"/>
        <c:crosses val="autoZero"/>
        <c:auto val="1"/>
        <c:lblAlgn val="ctr"/>
        <c:lblOffset val="100"/>
        <c:tickLblSkip val="2"/>
        <c:tickMarkSkip val="1"/>
        <c:noMultiLvlLbl val="0"/>
      </c:catAx>
      <c:valAx>
        <c:axId val="909034864"/>
        <c:scaling>
          <c:orientation val="minMax"/>
        </c:scaling>
        <c:delete val="0"/>
        <c:axPos val="l"/>
        <c:majorGridlines>
          <c:spPr>
            <a:ln w="3175">
              <a:solidFill>
                <a:srgbClr val="000000"/>
              </a:solidFill>
              <a:prstDash val="solid"/>
            </a:ln>
          </c:spPr>
        </c:majorGridlines>
        <c:title>
          <c:tx>
            <c:rich>
              <a:bodyPr/>
              <a:lstStyle/>
              <a:p>
                <a:pPr>
                  <a:defRPr sz="1175" b="1" i="0" u="none" strike="noStrike" baseline="0">
                    <a:solidFill>
                      <a:srgbClr val="000000"/>
                    </a:solidFill>
                    <a:latin typeface="Arial"/>
                    <a:ea typeface="Arial"/>
                    <a:cs typeface="Arial"/>
                  </a:defRPr>
                </a:pPr>
                <a:r>
                  <a:rPr lang="en-GB"/>
                  <a:t>Ml/d</a:t>
                </a:r>
              </a:p>
            </c:rich>
          </c:tx>
          <c:layout>
            <c:manualLayout>
              <c:xMode val="edge"/>
              <c:yMode val="edge"/>
              <c:x val="2.0359337875782983E-2"/>
              <c:y val="0.39858528733632054"/>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909034472"/>
        <c:crosses val="autoZero"/>
        <c:crossBetween val="midCat"/>
      </c:valAx>
      <c:spPr>
        <a:solidFill>
          <a:schemeClr val="bg1"/>
        </a:solidFill>
        <a:ln w="12700">
          <a:solidFill>
            <a:srgbClr val="808080"/>
          </a:solidFill>
          <a:prstDash val="solid"/>
        </a:ln>
      </c:spPr>
    </c:plotArea>
    <c:legend>
      <c:legendPos val="b"/>
      <c:legendEntry>
        <c:idx val="0"/>
        <c:txPr>
          <a:bodyPr/>
          <a:lstStyle/>
          <a:p>
            <a:pPr>
              <a:defRPr sz="1000" b="0" i="0" u="none" strike="noStrike" baseline="0">
                <a:solidFill>
                  <a:srgbClr val="000000"/>
                </a:solidFill>
                <a:latin typeface="Arial"/>
                <a:ea typeface="Arial"/>
                <a:cs typeface="Arial"/>
              </a:defRPr>
            </a:pPr>
            <a:endParaRPr lang="en-US"/>
          </a:p>
        </c:txPr>
      </c:legendEntry>
      <c:layout>
        <c:manualLayout>
          <c:xMode val="edge"/>
          <c:yMode val="edge"/>
          <c:x val="0.16452269470774322"/>
          <c:y val="0.82158446545736608"/>
          <c:w val="0.7156398695723647"/>
          <c:h val="0.16402912270077008"/>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0"/>
    <c:dispBlanksAs val="zero"/>
    <c:showDLblsOverMax val="0"/>
  </c:chart>
  <c:spPr>
    <a:solidFill>
      <a:schemeClr val="accent2"/>
    </a:solidFill>
    <a:ln w="3175">
      <a:solidFill>
        <a:srgbClr val="000000"/>
      </a:solidFill>
      <a:prstDash val="solid"/>
    </a:ln>
  </c:spPr>
  <c:txPr>
    <a:bodyPr/>
    <a:lstStyle/>
    <a:p>
      <a:pPr>
        <a:defRPr sz="975" b="0" i="0" u="none" strike="noStrike" baseline="0">
          <a:solidFill>
            <a:srgbClr val="000000"/>
          </a:solidFill>
          <a:latin typeface="Arial"/>
          <a:ea typeface="Arial"/>
          <a:cs typeface="Arial"/>
        </a:defRPr>
      </a:pPr>
      <a:endParaRPr lang="en-US"/>
    </a:p>
  </c:txPr>
  <c:printSettings>
    <c:headerFooter alignWithMargins="0"/>
    <c:pageMargins b="1" l="0.75000000000000622" r="0.75000000000000622" t="1" header="0.5" footer="0.5"/>
    <c:pageSetup paperSize="9" orientation="landscape"/>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75" b="1" i="0" u="none" strike="noStrike" baseline="0">
                <a:solidFill>
                  <a:srgbClr val="000000"/>
                </a:solidFill>
                <a:latin typeface="Arial"/>
                <a:ea typeface="Arial"/>
                <a:cs typeface="Arial"/>
              </a:defRPr>
            </a:pPr>
            <a:r>
              <a:rPr lang="en-GB"/>
              <a:t>DYAA Final Plan Water Supply-Demand Balance and Components of Demand</a:t>
            </a:r>
          </a:p>
        </c:rich>
      </c:tx>
      <c:layout>
        <c:manualLayout>
          <c:xMode val="edge"/>
          <c:yMode val="edge"/>
          <c:x val="0.2095809470200265"/>
          <c:y val="2.9013693730272669E-2"/>
        </c:manualLayout>
      </c:layout>
      <c:overlay val="0"/>
      <c:spPr>
        <a:noFill/>
        <a:ln w="25400">
          <a:noFill/>
        </a:ln>
      </c:spPr>
    </c:title>
    <c:autoTitleDeleted val="0"/>
    <c:plotArea>
      <c:layout>
        <c:manualLayout>
          <c:layoutTarget val="inner"/>
          <c:xMode val="edge"/>
          <c:yMode val="edge"/>
          <c:x val="8.5343266856694813E-2"/>
          <c:y val="0.10444884139344435"/>
          <c:w val="0.89146608097046709"/>
          <c:h val="0.55130264550264552"/>
        </c:manualLayout>
      </c:layout>
      <c:areaChart>
        <c:grouping val="stacked"/>
        <c:varyColors val="0"/>
        <c:ser>
          <c:idx val="6"/>
          <c:order val="0"/>
          <c:tx>
            <c:v>Measured household consumption</c:v>
          </c:tx>
          <c:spPr>
            <a:ln w="25400">
              <a:noFill/>
            </a:ln>
          </c:spPr>
          <c:cat>
            <c:multiLvlStrRef>
              <c:f>}</c:f>
            </c:multiLvlStrRef>
          </c:cat>
          <c:val>
            <c:numRef>
              <c:f>ESWHRT!$G$377:$AK$377</c:f>
              <c:numCache>
                <c:formatCode>0.00</c:formatCode>
                <c:ptCount val="31"/>
                <c:pt idx="0">
                  <c:v>0</c:v>
                </c:pt>
                <c:pt idx="1">
                  <c:v>0</c:v>
                </c:pt>
                <c:pt idx="2">
                  <c:v>2.424220732377981</c:v>
                </c:pt>
                <c:pt idx="3">
                  <c:v>2.4311707611431728</c:v>
                </c:pt>
                <c:pt idx="4">
                  <c:v>2.3921150283314363</c:v>
                </c:pt>
                <c:pt idx="5">
                  <c:v>2.3724928988692273</c:v>
                </c:pt>
                <c:pt idx="6">
                  <c:v>2.9647219441091397</c:v>
                </c:pt>
                <c:pt idx="7">
                  <c:v>3.565977530315497</c:v>
                </c:pt>
                <c:pt idx="8">
                  <c:v>3.6686587588829593</c:v>
                </c:pt>
                <c:pt idx="9">
                  <c:v>3.6764109297767642</c:v>
                </c:pt>
                <c:pt idx="10">
                  <c:v>3.6694257424762262</c:v>
                </c:pt>
                <c:pt idx="11">
                  <c:v>3.6599492005658041</c:v>
                </c:pt>
                <c:pt idx="12">
                  <c:v>3.6457216419574943</c:v>
                </c:pt>
                <c:pt idx="13">
                  <c:v>3.628237837950119</c:v>
                </c:pt>
                <c:pt idx="14">
                  <c:v>3.6003581471137265</c:v>
                </c:pt>
                <c:pt idx="15">
                  <c:v>3.5733207407677643</c:v>
                </c:pt>
                <c:pt idx="16">
                  <c:v>3.5488798186298345</c:v>
                </c:pt>
                <c:pt idx="17">
                  <c:v>3.5247451695197922</c:v>
                </c:pt>
                <c:pt idx="18">
                  <c:v>3.5011567917997519</c:v>
                </c:pt>
                <c:pt idx="19">
                  <c:v>3.4780557173508755</c:v>
                </c:pt>
                <c:pt idx="20">
                  <c:v>3.4525699286571498</c:v>
                </c:pt>
                <c:pt idx="21">
                  <c:v>3.4238599439271469</c:v>
                </c:pt>
                <c:pt idx="22">
                  <c:v>3.398755991868132</c:v>
                </c:pt>
                <c:pt idx="23">
                  <c:v>3.3754148899869723</c:v>
                </c:pt>
                <c:pt idx="24">
                  <c:v>3.3654294678446668</c:v>
                </c:pt>
                <c:pt idx="25">
                  <c:v>3.3786450167494029</c:v>
                </c:pt>
                <c:pt idx="26">
                  <c:v>3.3912536574544014</c:v>
                </c:pt>
                <c:pt idx="27">
                  <c:v>3.4046632170786451</c:v>
                </c:pt>
                <c:pt idx="28">
                  <c:v>3.418593443307524</c:v>
                </c:pt>
                <c:pt idx="29">
                  <c:v>3.4334733914402111</c:v>
                </c:pt>
                <c:pt idx="30">
                  <c:v>3.4483726320965413</c:v>
                </c:pt>
              </c:numCache>
            </c:numRef>
          </c:val>
          <c:extLst>
            <c:ext xmlns:c16="http://schemas.microsoft.com/office/drawing/2014/chart" uri="{C3380CC4-5D6E-409C-BE32-E72D297353CC}">
              <c16:uniqueId val="{00000000-2C07-4A22-A784-534FF129726C}"/>
            </c:ext>
          </c:extLst>
        </c:ser>
        <c:ser>
          <c:idx val="0"/>
          <c:order val="1"/>
          <c:tx>
            <c:v>Unmeasured household consumption</c:v>
          </c:tx>
          <c:spPr>
            <a:ln w="25400">
              <a:noFill/>
            </a:ln>
          </c:spPr>
          <c:cat>
            <c:multiLvlStrRef>
              <c:f>}</c:f>
            </c:multiLvlStrRef>
          </c:cat>
          <c:val>
            <c:numRef>
              <c:f>ESWHRT!$G$378:$AK$378</c:f>
              <c:numCache>
                <c:formatCode>0.00</c:formatCode>
                <c:ptCount val="31"/>
                <c:pt idx="0">
                  <c:v>0</c:v>
                </c:pt>
                <c:pt idx="1">
                  <c:v>0</c:v>
                </c:pt>
                <c:pt idx="2">
                  <c:v>1.5130070642010627</c:v>
                </c:pt>
                <c:pt idx="3">
                  <c:v>1.5546717243035104</c:v>
                </c:pt>
                <c:pt idx="4">
                  <c:v>1.5136715266902645</c:v>
                </c:pt>
                <c:pt idx="5">
                  <c:v>1.3804227732748786</c:v>
                </c:pt>
                <c:pt idx="6">
                  <c:v>0.70094476633658587</c:v>
                </c:pt>
                <c:pt idx="7">
                  <c:v>9.6493165059508695E-2</c:v>
                </c:pt>
                <c:pt idx="8">
                  <c:v>9.3354564773532517E-2</c:v>
                </c:pt>
                <c:pt idx="9">
                  <c:v>9.0431855948471584E-2</c:v>
                </c:pt>
                <c:pt idx="10">
                  <c:v>8.7558485506619183E-2</c:v>
                </c:pt>
                <c:pt idx="11">
                  <c:v>8.5088752345469157E-2</c:v>
                </c:pt>
                <c:pt idx="12">
                  <c:v>8.3009044943662694E-2</c:v>
                </c:pt>
                <c:pt idx="13">
                  <c:v>8.0976443529063663E-2</c:v>
                </c:pt>
                <c:pt idx="14">
                  <c:v>7.875953228648247E-2</c:v>
                </c:pt>
                <c:pt idx="15">
                  <c:v>7.6592830344005047E-2</c:v>
                </c:pt>
                <c:pt idx="16">
                  <c:v>7.456096415575858E-2</c:v>
                </c:pt>
                <c:pt idx="17">
                  <c:v>7.2574925243796967E-2</c:v>
                </c:pt>
                <c:pt idx="18">
                  <c:v>7.0626823866772159E-2</c:v>
                </c:pt>
                <c:pt idx="19">
                  <c:v>6.8738394895697386E-2</c:v>
                </c:pt>
                <c:pt idx="20">
                  <c:v>6.6885538020983099E-2</c:v>
                </c:pt>
                <c:pt idx="21">
                  <c:v>6.4741013343721454E-2</c:v>
                </c:pt>
                <c:pt idx="22">
                  <c:v>6.2319646078008203E-2</c:v>
                </c:pt>
                <c:pt idx="23">
                  <c:v>5.9996944524430884E-2</c:v>
                </c:pt>
                <c:pt idx="24">
                  <c:v>5.7997918605001419E-2</c:v>
                </c:pt>
                <c:pt idx="25">
                  <c:v>5.645735463773513E-2</c:v>
                </c:pt>
                <c:pt idx="26">
                  <c:v>5.4936382851260485E-2</c:v>
                </c:pt>
                <c:pt idx="27">
                  <c:v>5.3454430504008228E-2</c:v>
                </c:pt>
                <c:pt idx="28">
                  <c:v>5.1990147175288728E-2</c:v>
                </c:pt>
                <c:pt idx="29">
                  <c:v>5.0549503971295706E-2</c:v>
                </c:pt>
                <c:pt idx="30">
                  <c:v>4.9113035050724632E-2</c:v>
                </c:pt>
              </c:numCache>
            </c:numRef>
          </c:val>
          <c:extLst>
            <c:ext xmlns:c16="http://schemas.microsoft.com/office/drawing/2014/chart" uri="{C3380CC4-5D6E-409C-BE32-E72D297353CC}">
              <c16:uniqueId val="{00000001-2C07-4A22-A784-534FF129726C}"/>
            </c:ext>
          </c:extLst>
        </c:ser>
        <c:ser>
          <c:idx val="1"/>
          <c:order val="2"/>
          <c:tx>
            <c:v>Non-household consumption</c:v>
          </c:tx>
          <c:spPr>
            <a:ln w="25400">
              <a:noFill/>
            </a:ln>
          </c:spPr>
          <c:cat>
            <c:multiLvlStrRef>
              <c:f>}</c:f>
            </c:multiLvlStrRef>
          </c:cat>
          <c:val>
            <c:numRef>
              <c:f>ESWHRT!$G$379:$AK$379</c:f>
              <c:numCache>
                <c:formatCode>0.00</c:formatCode>
                <c:ptCount val="31"/>
                <c:pt idx="0">
                  <c:v>0</c:v>
                </c:pt>
                <c:pt idx="1">
                  <c:v>0</c:v>
                </c:pt>
                <c:pt idx="2">
                  <c:v>4.4854535911501303</c:v>
                </c:pt>
                <c:pt idx="3">
                  <c:v>4.1153331450710429</c:v>
                </c:pt>
                <c:pt idx="4">
                  <c:v>4.3063420495157096</c:v>
                </c:pt>
                <c:pt idx="5">
                  <c:v>4.5033788943335527</c:v>
                </c:pt>
                <c:pt idx="6">
                  <c:v>4.6836989189836604</c:v>
                </c:pt>
                <c:pt idx="7">
                  <c:v>4.72239593734189</c:v>
                </c:pt>
                <c:pt idx="8">
                  <c:v>4.7147428474399575</c:v>
                </c:pt>
                <c:pt idx="9">
                  <c:v>4.7070902817835032</c:v>
                </c:pt>
                <c:pt idx="10">
                  <c:v>4.6994382403725226</c:v>
                </c:pt>
                <c:pt idx="11">
                  <c:v>4.6830508296580886</c:v>
                </c:pt>
                <c:pt idx="12">
                  <c:v>4.6666639431891266</c:v>
                </c:pt>
                <c:pt idx="13">
                  <c:v>8.5746204125933012</c:v>
                </c:pt>
                <c:pt idx="14">
                  <c:v>8.5680889425800579</c:v>
                </c:pt>
                <c:pt idx="15">
                  <c:v>8.561449741450863</c:v>
                </c:pt>
                <c:pt idx="16">
                  <c:v>8.5557973334365478</c:v>
                </c:pt>
                <c:pt idx="17">
                  <c:v>8.5500196530718284</c:v>
                </c:pt>
                <c:pt idx="18">
                  <c:v>8.5440784184015381</c:v>
                </c:pt>
                <c:pt idx="19">
                  <c:v>8.5531736106155751</c:v>
                </c:pt>
                <c:pt idx="20">
                  <c:v>8.5621521900807576</c:v>
                </c:pt>
                <c:pt idx="21">
                  <c:v>8.5710150118878925</c:v>
                </c:pt>
                <c:pt idx="22">
                  <c:v>8.5797563542112716</c:v>
                </c:pt>
                <c:pt idx="23">
                  <c:v>8.5883659795253529</c:v>
                </c:pt>
                <c:pt idx="24">
                  <c:v>8.5968527465315177</c:v>
                </c:pt>
                <c:pt idx="25">
                  <c:v>8.6052113472130021</c:v>
                </c:pt>
                <c:pt idx="26">
                  <c:v>8.6134534395807698</c:v>
                </c:pt>
                <c:pt idx="27">
                  <c:v>8.6215797991149916</c:v>
                </c:pt>
                <c:pt idx="28">
                  <c:v>8.6295963181213828</c:v>
                </c:pt>
                <c:pt idx="29">
                  <c:v>8.6375212158660979</c:v>
                </c:pt>
                <c:pt idx="30">
                  <c:v>8.6453593769624284</c:v>
                </c:pt>
              </c:numCache>
            </c:numRef>
          </c:val>
          <c:extLst>
            <c:ext xmlns:c16="http://schemas.microsoft.com/office/drawing/2014/chart" uri="{C3380CC4-5D6E-409C-BE32-E72D297353CC}">
              <c16:uniqueId val="{00000002-2C07-4A22-A784-534FF129726C}"/>
            </c:ext>
          </c:extLst>
        </c:ser>
        <c:ser>
          <c:idx val="2"/>
          <c:order val="3"/>
          <c:tx>
            <c:v>Total leakage</c:v>
          </c:tx>
          <c:spPr>
            <a:ln w="25400">
              <a:noFill/>
            </a:ln>
          </c:spPr>
          <c:cat>
            <c:multiLvlStrRef>
              <c:f>}</c:f>
            </c:multiLvlStrRef>
          </c:cat>
          <c:val>
            <c:numRef>
              <c:f>ESWHRT!$G$380:$AK$380</c:f>
              <c:numCache>
                <c:formatCode>0.00</c:formatCode>
                <c:ptCount val="31"/>
                <c:pt idx="0">
                  <c:v>0</c:v>
                </c:pt>
                <c:pt idx="1">
                  <c:v>0</c:v>
                </c:pt>
                <c:pt idx="2">
                  <c:v>1.3210509183999999</c:v>
                </c:pt>
                <c:pt idx="3">
                  <c:v>0.81112059999999986</c:v>
                </c:pt>
                <c:pt idx="4">
                  <c:v>0.77940079999999978</c:v>
                </c:pt>
                <c:pt idx="5">
                  <c:v>0.74768099999999993</c:v>
                </c:pt>
                <c:pt idx="6">
                  <c:v>0.74009159999999996</c:v>
                </c:pt>
                <c:pt idx="7">
                  <c:v>0.73250219999999999</c:v>
                </c:pt>
                <c:pt idx="8">
                  <c:v>0.72491280000000013</c:v>
                </c:pt>
                <c:pt idx="9">
                  <c:v>0.71732340000000006</c:v>
                </c:pt>
                <c:pt idx="10">
                  <c:v>0.70973400000000009</c:v>
                </c:pt>
                <c:pt idx="11">
                  <c:v>0.70214460000000012</c:v>
                </c:pt>
                <c:pt idx="12">
                  <c:v>0.69455520000000015</c:v>
                </c:pt>
                <c:pt idx="13">
                  <c:v>0.68696580000000018</c:v>
                </c:pt>
                <c:pt idx="14">
                  <c:v>0.67937640000000021</c:v>
                </c:pt>
                <c:pt idx="15">
                  <c:v>0.67178700000000025</c:v>
                </c:pt>
                <c:pt idx="16">
                  <c:v>0.66419760000000028</c:v>
                </c:pt>
                <c:pt idx="17">
                  <c:v>0.65660820000000031</c:v>
                </c:pt>
                <c:pt idx="18">
                  <c:v>0.64901880000000034</c:v>
                </c:pt>
                <c:pt idx="19">
                  <c:v>0.64142940000000037</c:v>
                </c:pt>
                <c:pt idx="20">
                  <c:v>0.6338400000000004</c:v>
                </c:pt>
                <c:pt idx="21">
                  <c:v>0.62625060000000043</c:v>
                </c:pt>
                <c:pt idx="22">
                  <c:v>0.61866120000000047</c:v>
                </c:pt>
                <c:pt idx="23">
                  <c:v>0.6110718000000005</c:v>
                </c:pt>
                <c:pt idx="24">
                  <c:v>0.60348240000000053</c:v>
                </c:pt>
                <c:pt idx="25">
                  <c:v>0.59589300000000056</c:v>
                </c:pt>
                <c:pt idx="26">
                  <c:v>0.58830360000000059</c:v>
                </c:pt>
                <c:pt idx="27">
                  <c:v>0.58071420000000062</c:v>
                </c:pt>
                <c:pt idx="28">
                  <c:v>0.57312480000000066</c:v>
                </c:pt>
                <c:pt idx="29">
                  <c:v>0.56553540000000069</c:v>
                </c:pt>
                <c:pt idx="30">
                  <c:v>0.55794599999999994</c:v>
                </c:pt>
              </c:numCache>
            </c:numRef>
          </c:val>
          <c:extLst>
            <c:ext xmlns:c16="http://schemas.microsoft.com/office/drawing/2014/chart" uri="{C3380CC4-5D6E-409C-BE32-E72D297353CC}">
              <c16:uniqueId val="{00000003-2C07-4A22-A784-534FF129726C}"/>
            </c:ext>
          </c:extLst>
        </c:ser>
        <c:ser>
          <c:idx val="3"/>
          <c:order val="4"/>
          <c:tx>
            <c:v>Other components of demand</c:v>
          </c:tx>
          <c:spPr>
            <a:ln w="25400">
              <a:noFill/>
            </a:ln>
          </c:spPr>
          <c:cat>
            <c:multiLvlStrRef>
              <c:f>}</c:f>
            </c:multiLvlStrRef>
          </c:cat>
          <c:val>
            <c:numRef>
              <c:f>ESWHRT!$G$381:$AK$381</c:f>
              <c:numCache>
                <c:formatCode>0.00</c:formatCode>
                <c:ptCount val="31"/>
                <c:pt idx="0">
                  <c:v>0</c:v>
                </c:pt>
                <c:pt idx="1">
                  <c:v>0</c:v>
                </c:pt>
                <c:pt idx="2">
                  <c:v>0.19949174740822428</c:v>
                </c:pt>
                <c:pt idx="3">
                  <c:v>0.19881498267651487</c:v>
                </c:pt>
                <c:pt idx="4">
                  <c:v>0.19878899233229852</c:v>
                </c:pt>
                <c:pt idx="5">
                  <c:v>0.19878728353243602</c:v>
                </c:pt>
                <c:pt idx="6">
                  <c:v>0.19865087975061613</c:v>
                </c:pt>
                <c:pt idx="7">
                  <c:v>0.19834412458477679</c:v>
                </c:pt>
                <c:pt idx="8">
                  <c:v>0.19823137753128783</c:v>
                </c:pt>
                <c:pt idx="9">
                  <c:v>0.19812933077044192</c:v>
                </c:pt>
                <c:pt idx="10">
                  <c:v>0.1980427505838076</c:v>
                </c:pt>
                <c:pt idx="11">
                  <c:v>0.19796623446418593</c:v>
                </c:pt>
                <c:pt idx="12">
                  <c:v>0.19790148251789041</c:v>
                </c:pt>
                <c:pt idx="13">
                  <c:v>0.19784122199726895</c:v>
                </c:pt>
                <c:pt idx="14">
                  <c:v>0.19778207690649197</c:v>
                </c:pt>
                <c:pt idx="15">
                  <c:v>0.19772324951165743</c:v>
                </c:pt>
                <c:pt idx="16">
                  <c:v>0.19766532200983988</c:v>
                </c:pt>
                <c:pt idx="17">
                  <c:v>0.1976091169318579</c:v>
                </c:pt>
                <c:pt idx="18">
                  <c:v>0.19755463561490672</c:v>
                </c:pt>
                <c:pt idx="19">
                  <c:v>0.1975005394039524</c:v>
                </c:pt>
                <c:pt idx="20">
                  <c:v>0.19744707252534077</c:v>
                </c:pt>
                <c:pt idx="21">
                  <c:v>0.19739414045409731</c:v>
                </c:pt>
                <c:pt idx="22">
                  <c:v>0.19734172492178992</c:v>
                </c:pt>
                <c:pt idx="23">
                  <c:v>0.19729024557290487</c:v>
                </c:pt>
                <c:pt idx="24">
                  <c:v>0.19723985354005791</c:v>
                </c:pt>
                <c:pt idx="25">
                  <c:v>0.19719042769732376</c:v>
                </c:pt>
                <c:pt idx="26">
                  <c:v>0.19714159345307003</c:v>
                </c:pt>
                <c:pt idx="27">
                  <c:v>0.19709336849775028</c:v>
                </c:pt>
                <c:pt idx="28">
                  <c:v>0.19704542132057057</c:v>
                </c:pt>
                <c:pt idx="29">
                  <c:v>0.19699752302673801</c:v>
                </c:pt>
                <c:pt idx="30">
                  <c:v>0.19694974682876598</c:v>
                </c:pt>
              </c:numCache>
            </c:numRef>
          </c:val>
          <c:extLst>
            <c:ext xmlns:c16="http://schemas.microsoft.com/office/drawing/2014/chart" uri="{C3380CC4-5D6E-409C-BE32-E72D297353CC}">
              <c16:uniqueId val="{00000004-2C07-4A22-A784-534FF129726C}"/>
            </c:ext>
          </c:extLst>
        </c:ser>
        <c:dLbls>
          <c:showLegendKey val="0"/>
          <c:showVal val="0"/>
          <c:showCatName val="0"/>
          <c:showSerName val="0"/>
          <c:showPercent val="0"/>
          <c:showBubbleSize val="0"/>
        </c:dLbls>
        <c:axId val="864303240"/>
        <c:axId val="864303632"/>
      </c:areaChart>
      <c:lineChart>
        <c:grouping val="standard"/>
        <c:varyColors val="0"/>
        <c:ser>
          <c:idx val="4"/>
          <c:order val="5"/>
          <c:tx>
            <c:v>Total water available for use</c:v>
          </c:tx>
          <c:spPr>
            <a:ln w="25400"/>
          </c:spPr>
          <c:marker>
            <c:symbol val="none"/>
          </c:marker>
          <c:cat>
            <c:strRef>
              <c:f>ESWHRT!$G$376:$CI$376</c:f>
              <c:strCache>
                <c:ptCount val="3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strCache>
            </c:strRef>
          </c:cat>
          <c:val>
            <c:numRef>
              <c:f>ESWHRT!$G$382:$AK$382</c:f>
              <c:numCache>
                <c:formatCode>0.00</c:formatCode>
                <c:ptCount val="31"/>
                <c:pt idx="0">
                  <c:v>0</c:v>
                </c:pt>
                <c:pt idx="1">
                  <c:v>0</c:v>
                </c:pt>
                <c:pt idx="2">
                  <c:v>8.2732826222203375</c:v>
                </c:pt>
                <c:pt idx="3">
                  <c:v>8.2793829945226545</c:v>
                </c:pt>
                <c:pt idx="4">
                  <c:v>8.2702387972878952</c:v>
                </c:pt>
                <c:pt idx="5">
                  <c:v>8.2509830298220397</c:v>
                </c:pt>
                <c:pt idx="6">
                  <c:v>10.490289847933466</c:v>
                </c:pt>
                <c:pt idx="7">
                  <c:v>10.470241600723718</c:v>
                </c:pt>
                <c:pt idx="8">
                  <c:v>10.479844524978555</c:v>
                </c:pt>
                <c:pt idx="9">
                  <c:v>10.229385798279178</c:v>
                </c:pt>
                <c:pt idx="10">
                  <c:v>10.184199218939174</c:v>
                </c:pt>
                <c:pt idx="11">
                  <c:v>9.8381996170335473</c:v>
                </c:pt>
                <c:pt idx="12">
                  <c:v>9.6178513126081739</c:v>
                </c:pt>
                <c:pt idx="13">
                  <c:v>13.32864171606975</c:v>
                </c:pt>
                <c:pt idx="14">
                  <c:v>13.284365098886759</c:v>
                </c:pt>
                <c:pt idx="15">
                  <c:v>13.210873562074289</c:v>
                </c:pt>
                <c:pt idx="16">
                  <c:v>13.15110103823198</c:v>
                </c:pt>
                <c:pt idx="17">
                  <c:v>13.121557064767277</c:v>
                </c:pt>
                <c:pt idx="18">
                  <c:v>13.082435469682968</c:v>
                </c:pt>
                <c:pt idx="19">
                  <c:v>13.0588976622661</c:v>
                </c:pt>
                <c:pt idx="20">
                  <c:v>13.032894729284232</c:v>
                </c:pt>
                <c:pt idx="21">
                  <c:v>13.003260709612858</c:v>
                </c:pt>
                <c:pt idx="22">
                  <c:v>12.966834917079201</c:v>
                </c:pt>
                <c:pt idx="23">
                  <c:v>12.922139859609661</c:v>
                </c:pt>
                <c:pt idx="24">
                  <c:v>12.901002386521242</c:v>
                </c:pt>
                <c:pt idx="25">
                  <c:v>12.903397146297465</c:v>
                </c:pt>
                <c:pt idx="26">
                  <c:v>12.905088673339502</c:v>
                </c:pt>
                <c:pt idx="27">
                  <c:v>12.917505015195397</c:v>
                </c:pt>
                <c:pt idx="28">
                  <c:v>12.930350129924765</c:v>
                </c:pt>
                <c:pt idx="29">
                  <c:v>12.954077034304341</c:v>
                </c:pt>
                <c:pt idx="30">
                  <c:v>12.967740790938461</c:v>
                </c:pt>
              </c:numCache>
            </c:numRef>
          </c:val>
          <c:smooth val="0"/>
          <c:extLst>
            <c:ext xmlns:c16="http://schemas.microsoft.com/office/drawing/2014/chart" uri="{C3380CC4-5D6E-409C-BE32-E72D297353CC}">
              <c16:uniqueId val="{00000005-2C07-4A22-A784-534FF129726C}"/>
            </c:ext>
          </c:extLst>
        </c:ser>
        <c:ser>
          <c:idx val="5"/>
          <c:order val="6"/>
          <c:tx>
            <c:v>Total demand + target headroom (final plan)</c:v>
          </c:tx>
          <c:spPr>
            <a:ln w="25400"/>
          </c:spPr>
          <c:marker>
            <c:symbol val="none"/>
          </c:marker>
          <c:cat>
            <c:strRef>
              <c:f>ESWHRT!$G$376:$CI$376</c:f>
              <c:strCache>
                <c:ptCount val="3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strCache>
            </c:strRef>
          </c:cat>
          <c:val>
            <c:numRef>
              <c:f>ESWHRT!$G$383:$AK$383</c:f>
              <c:numCache>
                <c:formatCode>0.00</c:formatCode>
                <c:ptCount val="31"/>
                <c:pt idx="0">
                  <c:v>0</c:v>
                </c:pt>
                <c:pt idx="1">
                  <c:v>0</c:v>
                </c:pt>
                <c:pt idx="2">
                  <c:v>10.993224053537398</c:v>
                </c:pt>
                <c:pt idx="3">
                  <c:v>10.061111213194241</c:v>
                </c:pt>
                <c:pt idx="4">
                  <c:v>10.290318396869708</c:v>
                </c:pt>
                <c:pt idx="5">
                  <c:v>10.112762850010094</c:v>
                </c:pt>
                <c:pt idx="6">
                  <c:v>10.398108109180001</c:v>
                </c:pt>
                <c:pt idx="7">
                  <c:v>10.315712957301674</c:v>
                </c:pt>
                <c:pt idx="8">
                  <c:v>10.379900348627737</c:v>
                </c:pt>
                <c:pt idx="9">
                  <c:v>10.40938579827918</c:v>
                </c:pt>
                <c:pt idx="10">
                  <c:v>10.364199218939175</c:v>
                </c:pt>
                <c:pt idx="11">
                  <c:v>10.018199617033547</c:v>
                </c:pt>
                <c:pt idx="12">
                  <c:v>9.7978513126081737</c:v>
                </c:pt>
                <c:pt idx="13">
                  <c:v>13.508641716069752</c:v>
                </c:pt>
                <c:pt idx="14">
                  <c:v>13.464365098886759</c:v>
                </c:pt>
                <c:pt idx="15">
                  <c:v>13.39087356207429</c:v>
                </c:pt>
                <c:pt idx="16">
                  <c:v>13.33110103823198</c:v>
                </c:pt>
                <c:pt idx="17">
                  <c:v>13.301557064767277</c:v>
                </c:pt>
                <c:pt idx="18">
                  <c:v>13.26243546968297</c:v>
                </c:pt>
                <c:pt idx="19">
                  <c:v>13.238897662266101</c:v>
                </c:pt>
                <c:pt idx="20">
                  <c:v>13.212894729284233</c:v>
                </c:pt>
                <c:pt idx="21">
                  <c:v>13.18326070961286</c:v>
                </c:pt>
                <c:pt idx="22">
                  <c:v>13.1468349170792</c:v>
                </c:pt>
                <c:pt idx="23">
                  <c:v>13.102139859609661</c:v>
                </c:pt>
                <c:pt idx="24">
                  <c:v>13.081002386521243</c:v>
                </c:pt>
                <c:pt idx="25">
                  <c:v>13.083397146297465</c:v>
                </c:pt>
                <c:pt idx="26">
                  <c:v>13.085088673339502</c:v>
                </c:pt>
                <c:pt idx="27">
                  <c:v>13.097505015195397</c:v>
                </c:pt>
                <c:pt idx="28">
                  <c:v>13.110350129924766</c:v>
                </c:pt>
                <c:pt idx="29">
                  <c:v>13.134077034304342</c:v>
                </c:pt>
                <c:pt idx="30">
                  <c:v>13.14774079093846</c:v>
                </c:pt>
              </c:numCache>
            </c:numRef>
          </c:val>
          <c:smooth val="0"/>
          <c:extLst>
            <c:ext xmlns:c16="http://schemas.microsoft.com/office/drawing/2014/chart" uri="{C3380CC4-5D6E-409C-BE32-E72D297353CC}">
              <c16:uniqueId val="{00000006-2C07-4A22-A784-534FF129726C}"/>
            </c:ext>
          </c:extLst>
        </c:ser>
        <c:dLbls>
          <c:showLegendKey val="0"/>
          <c:showVal val="0"/>
          <c:showCatName val="0"/>
          <c:showSerName val="0"/>
          <c:showPercent val="0"/>
          <c:showBubbleSize val="0"/>
        </c:dLbls>
        <c:marker val="1"/>
        <c:smooth val="0"/>
        <c:axId val="864303240"/>
        <c:axId val="864303632"/>
      </c:lineChart>
      <c:catAx>
        <c:axId val="864303240"/>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en-US"/>
          </a:p>
        </c:txPr>
        <c:crossAx val="864303632"/>
        <c:crosses val="autoZero"/>
        <c:auto val="1"/>
        <c:lblAlgn val="ctr"/>
        <c:lblOffset val="100"/>
        <c:tickLblSkip val="2"/>
        <c:tickMarkSkip val="1"/>
        <c:noMultiLvlLbl val="0"/>
      </c:catAx>
      <c:valAx>
        <c:axId val="864303632"/>
        <c:scaling>
          <c:orientation val="minMax"/>
          <c:max val="16"/>
        </c:scaling>
        <c:delete val="0"/>
        <c:axPos val="l"/>
        <c:majorGridlines>
          <c:spPr>
            <a:ln w="3175">
              <a:solidFill>
                <a:srgbClr val="000000"/>
              </a:solidFill>
              <a:prstDash val="solid"/>
            </a:ln>
          </c:spPr>
        </c:majorGridlines>
        <c:title>
          <c:tx>
            <c:rich>
              <a:bodyPr/>
              <a:lstStyle/>
              <a:p>
                <a:pPr>
                  <a:defRPr sz="1175" b="1" i="0" u="none" strike="noStrike" baseline="0">
                    <a:solidFill>
                      <a:srgbClr val="000000"/>
                    </a:solidFill>
                    <a:latin typeface="Arial"/>
                    <a:ea typeface="Arial"/>
                    <a:cs typeface="Arial"/>
                  </a:defRPr>
                </a:pPr>
                <a:r>
                  <a:rPr lang="en-GB"/>
                  <a:t>Ml/d</a:t>
                </a:r>
              </a:p>
            </c:rich>
          </c:tx>
          <c:layout>
            <c:manualLayout>
              <c:xMode val="edge"/>
              <c:yMode val="edge"/>
              <c:x val="2.0359337875782983E-2"/>
              <c:y val="0.39858528733632054"/>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864303240"/>
        <c:crosses val="autoZero"/>
        <c:crossBetween val="midCat"/>
      </c:valAx>
      <c:spPr>
        <a:solidFill>
          <a:schemeClr val="bg1"/>
        </a:solidFill>
        <a:ln w="12700">
          <a:solidFill>
            <a:srgbClr val="808080"/>
          </a:solidFill>
          <a:prstDash val="solid"/>
        </a:ln>
      </c:spPr>
    </c:plotArea>
    <c:legend>
      <c:legendPos val="b"/>
      <c:legendEntry>
        <c:idx val="0"/>
        <c:txPr>
          <a:bodyPr/>
          <a:lstStyle/>
          <a:p>
            <a:pPr>
              <a:defRPr sz="1000" b="0" i="0" u="none" strike="noStrike" baseline="0">
                <a:solidFill>
                  <a:srgbClr val="000000"/>
                </a:solidFill>
                <a:latin typeface="Arial"/>
                <a:ea typeface="Arial"/>
                <a:cs typeface="Arial"/>
              </a:defRPr>
            </a:pPr>
            <a:endParaRPr lang="en-US"/>
          </a:p>
        </c:txPr>
      </c:legendEntry>
      <c:layout>
        <c:manualLayout>
          <c:xMode val="edge"/>
          <c:yMode val="edge"/>
          <c:x val="0.16452269470774322"/>
          <c:y val="0.82158446545736608"/>
          <c:w val="0.7156398695723647"/>
          <c:h val="0.16402912270077008"/>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0"/>
    <c:dispBlanksAs val="zero"/>
    <c:showDLblsOverMax val="0"/>
  </c:chart>
  <c:spPr>
    <a:solidFill>
      <a:schemeClr val="accent4"/>
    </a:solidFill>
    <a:ln w="3175">
      <a:solidFill>
        <a:srgbClr val="000000"/>
      </a:solidFill>
      <a:prstDash val="solid"/>
    </a:ln>
  </c:spPr>
  <c:txPr>
    <a:bodyPr/>
    <a:lstStyle/>
    <a:p>
      <a:pPr>
        <a:defRPr sz="975" b="0" i="0" u="none" strike="noStrike" baseline="0">
          <a:solidFill>
            <a:srgbClr val="000000"/>
          </a:solidFill>
          <a:latin typeface="Arial"/>
          <a:ea typeface="Arial"/>
          <a:cs typeface="Arial"/>
        </a:defRPr>
      </a:pPr>
      <a:endParaRPr lang="en-US"/>
    </a:p>
  </c:txPr>
  <c:printSettings>
    <c:headerFooter alignWithMargins="0"/>
    <c:pageMargins b="1" l="0.75000000000000622" r="0.75000000000000622" t="1" header="0.5" footer="0.5"/>
    <c:pageSetup paperSize="9" orientation="landscape"/>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75" b="1" i="0" u="none" strike="noStrike" baseline="0">
                <a:solidFill>
                  <a:srgbClr val="000000"/>
                </a:solidFill>
                <a:latin typeface="Arial"/>
                <a:ea typeface="Arial"/>
                <a:cs typeface="Arial"/>
              </a:defRPr>
            </a:pPr>
            <a:r>
              <a:rPr lang="en-GB"/>
              <a:t>DYCP Baseline Water Supply-Demand Balance and Components of Demand</a:t>
            </a:r>
          </a:p>
        </c:rich>
      </c:tx>
      <c:layout>
        <c:manualLayout>
          <c:xMode val="edge"/>
          <c:yMode val="edge"/>
          <c:x val="0.2095809470200265"/>
          <c:y val="2.9013693730272669E-2"/>
        </c:manualLayout>
      </c:layout>
      <c:overlay val="0"/>
      <c:spPr>
        <a:noFill/>
        <a:ln w="25400">
          <a:noFill/>
        </a:ln>
      </c:spPr>
    </c:title>
    <c:autoTitleDeleted val="0"/>
    <c:plotArea>
      <c:layout>
        <c:manualLayout>
          <c:layoutTarget val="inner"/>
          <c:xMode val="edge"/>
          <c:yMode val="edge"/>
          <c:x val="8.5343266856694813E-2"/>
          <c:y val="0.10444884139344435"/>
          <c:w val="0.89146608097046709"/>
          <c:h val="0.55130264550264552"/>
        </c:manualLayout>
      </c:layout>
      <c:areaChart>
        <c:grouping val="stacked"/>
        <c:varyColors val="0"/>
        <c:ser>
          <c:idx val="6"/>
          <c:order val="0"/>
          <c:tx>
            <c:v>Measured household consumption</c:v>
          </c:tx>
          <c:spPr>
            <a:ln w="25400">
              <a:noFill/>
            </a:ln>
          </c:spPr>
          <c:cat>
            <c:multiLvlStrRef>
              <c:f>}</c:f>
            </c:multiLvlStrRef>
          </c:cat>
          <c:val>
            <c:numRef>
              <c:f>ESWHRT!$G$386:$AK$386</c:f>
              <c:numCache>
                <c:formatCode>0.00</c:formatCode>
                <c:ptCount val="31"/>
                <c:pt idx="0">
                  <c:v>0</c:v>
                </c:pt>
                <c:pt idx="1">
                  <c:v>0</c:v>
                </c:pt>
                <c:pt idx="2">
                  <c:v>2.4490244538520547</c:v>
                </c:pt>
                <c:pt idx="3">
                  <c:v>2.4530108051284878</c:v>
                </c:pt>
                <c:pt idx="4">
                  <c:v>2.4136278483535962</c:v>
                </c:pt>
                <c:pt idx="5">
                  <c:v>2.3938408890364875</c:v>
                </c:pt>
                <c:pt idx="6">
                  <c:v>2.553122618674319</c:v>
                </c:pt>
                <c:pt idx="7">
                  <c:v>2.7003921633132375</c:v>
                </c:pt>
                <c:pt idx="8">
                  <c:v>2.7762158685545724</c:v>
                </c:pt>
                <c:pt idx="9">
                  <c:v>2.8438797824969511</c:v>
                </c:pt>
                <c:pt idx="10">
                  <c:v>2.8987525156745106</c:v>
                </c:pt>
                <c:pt idx="11">
                  <c:v>2.9388287808286755</c:v>
                </c:pt>
                <c:pt idx="12">
                  <c:v>2.964061239496143</c:v>
                </c:pt>
                <c:pt idx="13">
                  <c:v>2.9873670902941241</c:v>
                </c:pt>
                <c:pt idx="14">
                  <c:v>3.0103590162822251</c:v>
                </c:pt>
                <c:pt idx="15">
                  <c:v>3.0342538724449719</c:v>
                </c:pt>
                <c:pt idx="16">
                  <c:v>3.0582468265261875</c:v>
                </c:pt>
                <c:pt idx="17">
                  <c:v>3.08267715014212</c:v>
                </c:pt>
                <c:pt idx="18">
                  <c:v>3.1079419281045535</c:v>
                </c:pt>
                <c:pt idx="19">
                  <c:v>3.133399579847187</c:v>
                </c:pt>
                <c:pt idx="20">
                  <c:v>3.1560146504253077</c:v>
                </c:pt>
                <c:pt idx="21">
                  <c:v>3.1732940186908172</c:v>
                </c:pt>
                <c:pt idx="22">
                  <c:v>3.1946032146213073</c:v>
                </c:pt>
                <c:pt idx="23">
                  <c:v>3.2170391496839006</c:v>
                </c:pt>
                <c:pt idx="24">
                  <c:v>3.2393060090969112</c:v>
                </c:pt>
                <c:pt idx="25">
                  <c:v>3.2616202489356154</c:v>
                </c:pt>
                <c:pt idx="26">
                  <c:v>3.2832097857494507</c:v>
                </c:pt>
                <c:pt idx="27">
                  <c:v>3.3052578257734102</c:v>
                </c:pt>
                <c:pt idx="28">
                  <c:v>3.3280313153642282</c:v>
                </c:pt>
                <c:pt idx="29">
                  <c:v>3.3518323787319457</c:v>
                </c:pt>
                <c:pt idx="30">
                  <c:v>3.3761094889229621</c:v>
                </c:pt>
              </c:numCache>
            </c:numRef>
          </c:val>
          <c:extLst>
            <c:ext xmlns:c16="http://schemas.microsoft.com/office/drawing/2014/chart" uri="{C3380CC4-5D6E-409C-BE32-E72D297353CC}">
              <c16:uniqueId val="{00000000-936B-430E-8B2E-ED160E7FB59F}"/>
            </c:ext>
          </c:extLst>
        </c:ser>
        <c:ser>
          <c:idx val="0"/>
          <c:order val="1"/>
          <c:tx>
            <c:v>Unmeasured household consumption</c:v>
          </c:tx>
          <c:spPr>
            <a:ln w="25400">
              <a:noFill/>
            </a:ln>
          </c:spPr>
          <c:cat>
            <c:multiLvlStrRef>
              <c:f>}</c:f>
            </c:multiLvlStrRef>
          </c:cat>
          <c:val>
            <c:numRef>
              <c:f>ESWHRT!$G$387:$AK$387</c:f>
              <c:numCache>
                <c:formatCode>0.00</c:formatCode>
                <c:ptCount val="31"/>
                <c:pt idx="0">
                  <c:v>0</c:v>
                </c:pt>
                <c:pt idx="1">
                  <c:v>0</c:v>
                </c:pt>
                <c:pt idx="2">
                  <c:v>2.0197035980870042</c:v>
                </c:pt>
                <c:pt idx="3">
                  <c:v>2.0753214903712163</c:v>
                </c:pt>
                <c:pt idx="4">
                  <c:v>2.020590584877739</c:v>
                </c:pt>
                <c:pt idx="5">
                  <c:v>1.8427176634080884</c:v>
                </c:pt>
                <c:pt idx="6">
                  <c:v>1.5892756052609431</c:v>
                </c:pt>
                <c:pt idx="7">
                  <c:v>1.4665937218808549</c:v>
                </c:pt>
                <c:pt idx="8">
                  <c:v>1.4231402356619536</c:v>
                </c:pt>
                <c:pt idx="9">
                  <c:v>1.3797852299765392</c:v>
                </c:pt>
                <c:pt idx="10">
                  <c:v>1.336402637111674</c:v>
                </c:pt>
                <c:pt idx="11">
                  <c:v>1.309118612581784</c:v>
                </c:pt>
                <c:pt idx="12">
                  <c:v>1.2983363772604621</c:v>
                </c:pt>
                <c:pt idx="13">
                  <c:v>1.2876917333580522</c:v>
                </c:pt>
                <c:pt idx="14">
                  <c:v>1.2770626614112783</c:v>
                </c:pt>
                <c:pt idx="15">
                  <c:v>1.2665482620609736</c:v>
                </c:pt>
                <c:pt idx="16">
                  <c:v>1.257058303492983</c:v>
                </c:pt>
                <c:pt idx="17">
                  <c:v>1.2476897937036135</c:v>
                </c:pt>
                <c:pt idx="18">
                  <c:v>1.2383206571970222</c:v>
                </c:pt>
                <c:pt idx="19">
                  <c:v>1.2293143603570673</c:v>
                </c:pt>
                <c:pt idx="20">
                  <c:v>1.2203146000993059</c:v>
                </c:pt>
                <c:pt idx="21">
                  <c:v>1.2112704613361567</c:v>
                </c:pt>
                <c:pt idx="22">
                  <c:v>1.2023524886878727</c:v>
                </c:pt>
                <c:pt idx="23">
                  <c:v>1.1940750030507847</c:v>
                </c:pt>
                <c:pt idx="24">
                  <c:v>1.1863591176774204</c:v>
                </c:pt>
                <c:pt idx="25">
                  <c:v>1.1787687014417505</c:v>
                </c:pt>
                <c:pt idx="26">
                  <c:v>1.1711854001671438</c:v>
                </c:pt>
                <c:pt idx="27">
                  <c:v>1.1639584418673186</c:v>
                </c:pt>
                <c:pt idx="28">
                  <c:v>1.15673140747679</c:v>
                </c:pt>
                <c:pt idx="29">
                  <c:v>1.1496251845955303</c:v>
                </c:pt>
                <c:pt idx="30">
                  <c:v>1.1422922713558501</c:v>
                </c:pt>
              </c:numCache>
            </c:numRef>
          </c:val>
          <c:extLst>
            <c:ext xmlns:c16="http://schemas.microsoft.com/office/drawing/2014/chart" uri="{C3380CC4-5D6E-409C-BE32-E72D297353CC}">
              <c16:uniqueId val="{00000001-936B-430E-8B2E-ED160E7FB59F}"/>
            </c:ext>
          </c:extLst>
        </c:ser>
        <c:ser>
          <c:idx val="1"/>
          <c:order val="2"/>
          <c:tx>
            <c:v>Non-household consumption</c:v>
          </c:tx>
          <c:spPr>
            <a:ln w="25400">
              <a:noFill/>
            </a:ln>
          </c:spPr>
          <c:cat>
            <c:multiLvlStrRef>
              <c:f>}</c:f>
            </c:multiLvlStrRef>
          </c:cat>
          <c:val>
            <c:numRef>
              <c:f>ESWHRT!$G$388:$AK$388</c:f>
              <c:numCache>
                <c:formatCode>0.00</c:formatCode>
                <c:ptCount val="31"/>
                <c:pt idx="0">
                  <c:v>0</c:v>
                </c:pt>
                <c:pt idx="1">
                  <c:v>0</c:v>
                </c:pt>
                <c:pt idx="2">
                  <c:v>4.5354665878922384</c:v>
                </c:pt>
                <c:pt idx="3">
                  <c:v>9.4590744509776972</c:v>
                </c:pt>
                <c:pt idx="4">
                  <c:v>9.4740407793367591</c:v>
                </c:pt>
                <c:pt idx="5">
                  <c:v>9.646999345377667</c:v>
                </c:pt>
                <c:pt idx="6">
                  <c:v>9.6569013903787599</c:v>
                </c:pt>
                <c:pt idx="7">
                  <c:v>9.6675735219941217</c:v>
                </c:pt>
                <c:pt idx="8">
                  <c:v>9.6783461533895991</c:v>
                </c:pt>
                <c:pt idx="9">
                  <c:v>9.6891703481975497</c:v>
                </c:pt>
                <c:pt idx="10">
                  <c:v>9.6993694263056103</c:v>
                </c:pt>
                <c:pt idx="11">
                  <c:v>9.7095180503942302</c:v>
                </c:pt>
                <c:pt idx="12">
                  <c:v>9.7195632962443383</c:v>
                </c:pt>
                <c:pt idx="13">
                  <c:v>9.7294689981513844</c:v>
                </c:pt>
                <c:pt idx="14">
                  <c:v>9.7392801179150474</c:v>
                </c:pt>
                <c:pt idx="15">
                  <c:v>9.7489829823172869</c:v>
                </c:pt>
                <c:pt idx="16">
                  <c:v>9.7585076442937453</c:v>
                </c:pt>
                <c:pt idx="17">
                  <c:v>9.7679065096743223</c:v>
                </c:pt>
                <c:pt idx="18">
                  <c:v>9.7771412965038529</c:v>
                </c:pt>
                <c:pt idx="19">
                  <c:v>9.7862009641547107</c:v>
                </c:pt>
                <c:pt idx="20">
                  <c:v>9.7951434948112439</c:v>
                </c:pt>
                <c:pt idx="21">
                  <c:v>9.8039697435642488</c:v>
                </c:pt>
                <c:pt idx="22">
                  <c:v>9.8126739885880259</c:v>
                </c:pt>
                <c:pt idx="23">
                  <c:v>9.8212459923570226</c:v>
                </c:pt>
                <c:pt idx="24">
                  <c:v>9.8296946135726344</c:v>
                </c:pt>
                <c:pt idx="25">
                  <c:v>9.8380145442180833</c:v>
                </c:pt>
                <c:pt idx="26">
                  <c:v>9.8462174423043454</c:v>
                </c:pt>
                <c:pt idx="27">
                  <c:v>9.8543040833115825</c:v>
                </c:pt>
                <c:pt idx="28">
                  <c:v>9.8622803595455153</c:v>
                </c:pt>
                <c:pt idx="29">
                  <c:v>9.8701644902722929</c:v>
                </c:pt>
                <c:pt idx="30">
                  <c:v>9.8779613601052088</c:v>
                </c:pt>
              </c:numCache>
            </c:numRef>
          </c:val>
          <c:extLst>
            <c:ext xmlns:c16="http://schemas.microsoft.com/office/drawing/2014/chart" uri="{C3380CC4-5D6E-409C-BE32-E72D297353CC}">
              <c16:uniqueId val="{00000002-936B-430E-8B2E-ED160E7FB59F}"/>
            </c:ext>
          </c:extLst>
        </c:ser>
        <c:ser>
          <c:idx val="2"/>
          <c:order val="3"/>
          <c:tx>
            <c:v>Total leakage</c:v>
          </c:tx>
          <c:spPr>
            <a:ln w="25400">
              <a:noFill/>
            </a:ln>
          </c:spPr>
          <c:cat>
            <c:multiLvlStrRef>
              <c:f>}</c:f>
            </c:multiLvlStrRef>
          </c:cat>
          <c:val>
            <c:numRef>
              <c:f>ESWHRT!$G$389:$AK$389</c:f>
              <c:numCache>
                <c:formatCode>0.00</c:formatCode>
                <c:ptCount val="31"/>
                <c:pt idx="0">
                  <c:v>0</c:v>
                </c:pt>
                <c:pt idx="1">
                  <c:v>0</c:v>
                </c:pt>
                <c:pt idx="2">
                  <c:v>1.3210509183999999</c:v>
                </c:pt>
                <c:pt idx="3">
                  <c:v>0.81112059999999986</c:v>
                </c:pt>
                <c:pt idx="4">
                  <c:v>0.77940079999999978</c:v>
                </c:pt>
                <c:pt idx="5">
                  <c:v>0.74768099999999993</c:v>
                </c:pt>
                <c:pt idx="6">
                  <c:v>0.74768099999999993</c:v>
                </c:pt>
                <c:pt idx="7">
                  <c:v>0.74768099999999993</c:v>
                </c:pt>
                <c:pt idx="8">
                  <c:v>0.74768099999999993</c:v>
                </c:pt>
                <c:pt idx="9">
                  <c:v>0.74768099999999993</c:v>
                </c:pt>
                <c:pt idx="10">
                  <c:v>0.74768099999999993</c:v>
                </c:pt>
                <c:pt idx="11">
                  <c:v>0.74768099999999993</c:v>
                </c:pt>
                <c:pt idx="12">
                  <c:v>0.74768099999999993</c:v>
                </c:pt>
                <c:pt idx="13">
                  <c:v>0.74768099999999993</c:v>
                </c:pt>
                <c:pt idx="14">
                  <c:v>0.74768099999999993</c:v>
                </c:pt>
                <c:pt idx="15">
                  <c:v>0.74768099999999993</c:v>
                </c:pt>
                <c:pt idx="16">
                  <c:v>0.74768099999999993</c:v>
                </c:pt>
                <c:pt idx="17">
                  <c:v>0.74768099999999993</c:v>
                </c:pt>
                <c:pt idx="18">
                  <c:v>0.74768099999999993</c:v>
                </c:pt>
                <c:pt idx="19">
                  <c:v>0.74768099999999993</c:v>
                </c:pt>
                <c:pt idx="20">
                  <c:v>0.74768099999999993</c:v>
                </c:pt>
                <c:pt idx="21">
                  <c:v>0.74768099999999993</c:v>
                </c:pt>
                <c:pt idx="22">
                  <c:v>0.74768099999999993</c:v>
                </c:pt>
                <c:pt idx="23">
                  <c:v>0.74768099999999982</c:v>
                </c:pt>
                <c:pt idx="24">
                  <c:v>0.74768099999999993</c:v>
                </c:pt>
                <c:pt idx="25">
                  <c:v>0.74768099999999993</c:v>
                </c:pt>
                <c:pt idx="26">
                  <c:v>0.74768099999999993</c:v>
                </c:pt>
                <c:pt idx="27">
                  <c:v>0.74768099999999993</c:v>
                </c:pt>
                <c:pt idx="28">
                  <c:v>0.74768099999999993</c:v>
                </c:pt>
                <c:pt idx="29">
                  <c:v>0.74768100000000004</c:v>
                </c:pt>
                <c:pt idx="30">
                  <c:v>0.74768099999999993</c:v>
                </c:pt>
              </c:numCache>
            </c:numRef>
          </c:val>
          <c:extLst>
            <c:ext xmlns:c16="http://schemas.microsoft.com/office/drawing/2014/chart" uri="{C3380CC4-5D6E-409C-BE32-E72D297353CC}">
              <c16:uniqueId val="{00000003-936B-430E-8B2E-ED160E7FB59F}"/>
            </c:ext>
          </c:extLst>
        </c:ser>
        <c:ser>
          <c:idx val="3"/>
          <c:order val="4"/>
          <c:tx>
            <c:v>Other components of demand</c:v>
          </c:tx>
          <c:spPr>
            <a:ln w="25400">
              <a:noFill/>
            </a:ln>
          </c:spPr>
          <c:cat>
            <c:multiLvlStrRef>
              <c:f>}</c:f>
            </c:multiLvlStrRef>
          </c:cat>
          <c:val>
            <c:numRef>
              <c:f>ESWHRT!$G$390:$AK$390</c:f>
              <c:numCache>
                <c:formatCode>0.00</c:formatCode>
                <c:ptCount val="31"/>
                <c:pt idx="0">
                  <c:v>0</c:v>
                </c:pt>
                <c:pt idx="1">
                  <c:v>0</c:v>
                </c:pt>
                <c:pt idx="2">
                  <c:v>0.19949174740822428</c:v>
                </c:pt>
                <c:pt idx="3">
                  <c:v>0.19881498267651487</c:v>
                </c:pt>
                <c:pt idx="4">
                  <c:v>0.19878899233229674</c:v>
                </c:pt>
                <c:pt idx="5">
                  <c:v>0.19878728353243424</c:v>
                </c:pt>
                <c:pt idx="6">
                  <c:v>0.19878486804217665</c:v>
                </c:pt>
                <c:pt idx="7">
                  <c:v>0.19860773826280997</c:v>
                </c:pt>
                <c:pt idx="8">
                  <c:v>0.19848626539911329</c:v>
                </c:pt>
                <c:pt idx="9">
                  <c:v>0.19837549282806677</c:v>
                </c:pt>
                <c:pt idx="10">
                  <c:v>0.19828018683123183</c:v>
                </c:pt>
                <c:pt idx="11">
                  <c:v>0.1981990120440269</c:v>
                </c:pt>
                <c:pt idx="12">
                  <c:v>0.19813366857277259</c:v>
                </c:pt>
                <c:pt idx="13">
                  <c:v>0.19807281652719055</c:v>
                </c:pt>
                <c:pt idx="14">
                  <c:v>0.19801307991145123</c:v>
                </c:pt>
                <c:pt idx="15">
                  <c:v>0.19795366099165967</c:v>
                </c:pt>
                <c:pt idx="16">
                  <c:v>0.19789514196488156</c:v>
                </c:pt>
                <c:pt idx="17">
                  <c:v>0.19783834536193545</c:v>
                </c:pt>
                <c:pt idx="18">
                  <c:v>0.19778327252002548</c:v>
                </c:pt>
                <c:pt idx="19">
                  <c:v>0.19772858478411415</c:v>
                </c:pt>
                <c:pt idx="20">
                  <c:v>0.1976745263805384</c:v>
                </c:pt>
                <c:pt idx="21">
                  <c:v>0.19762106368972354</c:v>
                </c:pt>
                <c:pt idx="22">
                  <c:v>0.19756817844323038</c:v>
                </c:pt>
                <c:pt idx="23">
                  <c:v>0.19751622938016133</c:v>
                </c:pt>
                <c:pt idx="24">
                  <c:v>0.19746536763313038</c:v>
                </c:pt>
                <c:pt idx="25">
                  <c:v>0.19741547207621402</c:v>
                </c:pt>
                <c:pt idx="26">
                  <c:v>0.19736616811777452</c:v>
                </c:pt>
                <c:pt idx="27">
                  <c:v>0.1973174734482761</c:v>
                </c:pt>
                <c:pt idx="28">
                  <c:v>0.19726905655690885</c:v>
                </c:pt>
                <c:pt idx="29">
                  <c:v>0.1972206885488923</c:v>
                </c:pt>
                <c:pt idx="30">
                  <c:v>0.1971724426367345</c:v>
                </c:pt>
              </c:numCache>
            </c:numRef>
          </c:val>
          <c:extLst>
            <c:ext xmlns:c16="http://schemas.microsoft.com/office/drawing/2014/chart" uri="{C3380CC4-5D6E-409C-BE32-E72D297353CC}">
              <c16:uniqueId val="{00000004-936B-430E-8B2E-ED160E7FB59F}"/>
            </c:ext>
          </c:extLst>
        </c:ser>
        <c:dLbls>
          <c:showLegendKey val="0"/>
          <c:showVal val="0"/>
          <c:showCatName val="0"/>
          <c:showSerName val="0"/>
          <c:showPercent val="0"/>
          <c:showBubbleSize val="0"/>
        </c:dLbls>
        <c:axId val="864304416"/>
        <c:axId val="864304808"/>
      </c:areaChart>
      <c:lineChart>
        <c:grouping val="standard"/>
        <c:varyColors val="0"/>
        <c:ser>
          <c:idx val="4"/>
          <c:order val="5"/>
          <c:tx>
            <c:v>Total water available for use</c:v>
          </c:tx>
          <c:spPr>
            <a:ln w="31750">
              <a:solidFill>
                <a:schemeClr val="accent5"/>
              </a:solidFill>
            </a:ln>
          </c:spPr>
          <c:marker>
            <c:symbol val="none"/>
          </c:marker>
          <c:cat>
            <c:strRef>
              <c:f>ESWHRT!$G$385:$CI$385</c:f>
              <c:strCache>
                <c:ptCount val="3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strCache>
            </c:strRef>
          </c:cat>
          <c:val>
            <c:numRef>
              <c:f>ESWHRT!$G$391:$AK$391</c:f>
              <c:numCache>
                <c:formatCode>0.00</c:formatCode>
                <c:ptCount val="31"/>
                <c:pt idx="0">
                  <c:v>0</c:v>
                </c:pt>
                <c:pt idx="1">
                  <c:v>0</c:v>
                </c:pt>
                <c:pt idx="2">
                  <c:v>14.809709999999999</c:v>
                </c:pt>
                <c:pt idx="3">
                  <c:v>14.809709999999999</c:v>
                </c:pt>
                <c:pt idx="4">
                  <c:v>14.809709999999999</c:v>
                </c:pt>
                <c:pt idx="5">
                  <c:v>14.809709999999999</c:v>
                </c:pt>
                <c:pt idx="6">
                  <c:v>14.809709999999999</c:v>
                </c:pt>
                <c:pt idx="7">
                  <c:v>14.809709999999999</c:v>
                </c:pt>
                <c:pt idx="8">
                  <c:v>14.809709999999999</c:v>
                </c:pt>
                <c:pt idx="9">
                  <c:v>14.809709999999999</c:v>
                </c:pt>
                <c:pt idx="10">
                  <c:v>14.809709999999999</c:v>
                </c:pt>
                <c:pt idx="11">
                  <c:v>14.809709999999999</c:v>
                </c:pt>
                <c:pt idx="12">
                  <c:v>14.809709999999999</c:v>
                </c:pt>
                <c:pt idx="13">
                  <c:v>14.809709999999999</c:v>
                </c:pt>
                <c:pt idx="14">
                  <c:v>14.809709999999999</c:v>
                </c:pt>
                <c:pt idx="15">
                  <c:v>14.809709999999999</c:v>
                </c:pt>
                <c:pt idx="16">
                  <c:v>14.809709999999999</c:v>
                </c:pt>
                <c:pt idx="17">
                  <c:v>14.809709999999999</c:v>
                </c:pt>
                <c:pt idx="18">
                  <c:v>14.809709999999999</c:v>
                </c:pt>
                <c:pt idx="19">
                  <c:v>14.809709999999999</c:v>
                </c:pt>
                <c:pt idx="20">
                  <c:v>14.809709999999999</c:v>
                </c:pt>
                <c:pt idx="21">
                  <c:v>14.809709999999999</c:v>
                </c:pt>
                <c:pt idx="22">
                  <c:v>14.809709999999999</c:v>
                </c:pt>
                <c:pt idx="23">
                  <c:v>14.809709999999999</c:v>
                </c:pt>
                <c:pt idx="24">
                  <c:v>14.809709999999999</c:v>
                </c:pt>
                <c:pt idx="25">
                  <c:v>14.809709999999999</c:v>
                </c:pt>
                <c:pt idx="26">
                  <c:v>14.809709999999999</c:v>
                </c:pt>
                <c:pt idx="27">
                  <c:v>14.809709999999999</c:v>
                </c:pt>
                <c:pt idx="28">
                  <c:v>14.809709999999999</c:v>
                </c:pt>
                <c:pt idx="29">
                  <c:v>14.809709999999999</c:v>
                </c:pt>
                <c:pt idx="30">
                  <c:v>14.809709999999999</c:v>
                </c:pt>
              </c:numCache>
            </c:numRef>
          </c:val>
          <c:smooth val="0"/>
          <c:extLst>
            <c:ext xmlns:c16="http://schemas.microsoft.com/office/drawing/2014/chart" uri="{C3380CC4-5D6E-409C-BE32-E72D297353CC}">
              <c16:uniqueId val="{00000005-936B-430E-8B2E-ED160E7FB59F}"/>
            </c:ext>
          </c:extLst>
        </c:ser>
        <c:ser>
          <c:idx val="5"/>
          <c:order val="6"/>
          <c:tx>
            <c:v>Total demand + target headroom (baseline)</c:v>
          </c:tx>
          <c:spPr>
            <a:ln w="25400"/>
          </c:spPr>
          <c:marker>
            <c:symbol val="none"/>
          </c:marker>
          <c:cat>
            <c:strRef>
              <c:f>ESWHRT!$G$385:$CI$385</c:f>
              <c:strCache>
                <c:ptCount val="3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strCache>
            </c:strRef>
          </c:cat>
          <c:val>
            <c:numRef>
              <c:f>ESWHRT!$G$392:$AK$392</c:f>
              <c:numCache>
                <c:formatCode>0.00</c:formatCode>
                <c:ptCount val="31"/>
                <c:pt idx="0">
                  <c:v>0</c:v>
                </c:pt>
                <c:pt idx="1">
                  <c:v>0</c:v>
                </c:pt>
                <c:pt idx="2">
                  <c:v>11.723666139480322</c:v>
                </c:pt>
                <c:pt idx="3">
                  <c:v>16.265774573344977</c:v>
                </c:pt>
                <c:pt idx="4">
                  <c:v>16.198902261797343</c:v>
                </c:pt>
                <c:pt idx="5">
                  <c:v>16.109877770083784</c:v>
                </c:pt>
                <c:pt idx="6">
                  <c:v>16.051236007898474</c:v>
                </c:pt>
                <c:pt idx="7">
                  <c:v>16.071365345732787</c:v>
                </c:pt>
                <c:pt idx="8">
                  <c:v>16.070768461038938</c:v>
                </c:pt>
                <c:pt idx="9">
                  <c:v>16.124650437330303</c:v>
                </c:pt>
                <c:pt idx="10">
                  <c:v>16.1515615524943</c:v>
                </c:pt>
                <c:pt idx="11">
                  <c:v>16.182871598499325</c:v>
                </c:pt>
                <c:pt idx="12">
                  <c:v>16.036993527834966</c:v>
                </c:pt>
                <c:pt idx="13">
                  <c:v>15.391793833305583</c:v>
                </c:pt>
                <c:pt idx="14">
                  <c:v>15.395503373283731</c:v>
                </c:pt>
                <c:pt idx="15">
                  <c:v>15.377446927712557</c:v>
                </c:pt>
                <c:pt idx="16">
                  <c:v>15.37958584244125</c:v>
                </c:pt>
                <c:pt idx="17">
                  <c:v>15.409004172275047</c:v>
                </c:pt>
                <c:pt idx="18">
                  <c:v>15.432052900659571</c:v>
                </c:pt>
                <c:pt idx="19">
                  <c:v>15.465152318063753</c:v>
                </c:pt>
                <c:pt idx="20">
                  <c:v>15.493015642708853</c:v>
                </c:pt>
                <c:pt idx="21">
                  <c:v>15.51208979558416</c:v>
                </c:pt>
                <c:pt idx="22">
                  <c:v>15.516141891568255</c:v>
                </c:pt>
                <c:pt idx="23">
                  <c:v>15.529173886837617</c:v>
                </c:pt>
                <c:pt idx="24">
                  <c:v>15.537976670612482</c:v>
                </c:pt>
                <c:pt idx="25">
                  <c:v>15.554093668904796</c:v>
                </c:pt>
                <c:pt idx="26">
                  <c:v>15.568367163228492</c:v>
                </c:pt>
                <c:pt idx="27">
                  <c:v>15.595833701536428</c:v>
                </c:pt>
                <c:pt idx="28">
                  <c:v>15.623113153209632</c:v>
                </c:pt>
                <c:pt idx="29">
                  <c:v>15.652570333426175</c:v>
                </c:pt>
                <c:pt idx="30">
                  <c:v>15.678873986935507</c:v>
                </c:pt>
              </c:numCache>
            </c:numRef>
          </c:val>
          <c:smooth val="0"/>
          <c:extLst>
            <c:ext xmlns:c16="http://schemas.microsoft.com/office/drawing/2014/chart" uri="{C3380CC4-5D6E-409C-BE32-E72D297353CC}">
              <c16:uniqueId val="{00000006-936B-430E-8B2E-ED160E7FB59F}"/>
            </c:ext>
          </c:extLst>
        </c:ser>
        <c:dLbls>
          <c:showLegendKey val="0"/>
          <c:showVal val="0"/>
          <c:showCatName val="0"/>
          <c:showSerName val="0"/>
          <c:showPercent val="0"/>
          <c:showBubbleSize val="0"/>
        </c:dLbls>
        <c:marker val="1"/>
        <c:smooth val="0"/>
        <c:axId val="864304416"/>
        <c:axId val="864304808"/>
      </c:lineChart>
      <c:catAx>
        <c:axId val="864304416"/>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en-US"/>
          </a:p>
        </c:txPr>
        <c:crossAx val="864304808"/>
        <c:crosses val="autoZero"/>
        <c:auto val="1"/>
        <c:lblAlgn val="ctr"/>
        <c:lblOffset val="100"/>
        <c:tickLblSkip val="2"/>
        <c:tickMarkSkip val="1"/>
        <c:noMultiLvlLbl val="0"/>
      </c:catAx>
      <c:valAx>
        <c:axId val="864304808"/>
        <c:scaling>
          <c:orientation val="minMax"/>
        </c:scaling>
        <c:delete val="0"/>
        <c:axPos val="l"/>
        <c:majorGridlines>
          <c:spPr>
            <a:ln w="3175">
              <a:solidFill>
                <a:srgbClr val="000000"/>
              </a:solidFill>
              <a:prstDash val="solid"/>
            </a:ln>
          </c:spPr>
        </c:majorGridlines>
        <c:title>
          <c:tx>
            <c:rich>
              <a:bodyPr/>
              <a:lstStyle/>
              <a:p>
                <a:pPr>
                  <a:defRPr sz="1175" b="1" i="0" u="none" strike="noStrike" baseline="0">
                    <a:solidFill>
                      <a:srgbClr val="000000"/>
                    </a:solidFill>
                    <a:latin typeface="Arial"/>
                    <a:ea typeface="Arial"/>
                    <a:cs typeface="Arial"/>
                  </a:defRPr>
                </a:pPr>
                <a:r>
                  <a:rPr lang="en-GB"/>
                  <a:t>Ml/d</a:t>
                </a:r>
              </a:p>
            </c:rich>
          </c:tx>
          <c:layout>
            <c:manualLayout>
              <c:xMode val="edge"/>
              <c:yMode val="edge"/>
              <c:x val="2.0359337875782983E-2"/>
              <c:y val="0.39858528733632054"/>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864304416"/>
        <c:crosses val="autoZero"/>
        <c:crossBetween val="midCat"/>
      </c:valAx>
      <c:spPr>
        <a:solidFill>
          <a:schemeClr val="bg1"/>
        </a:solidFill>
        <a:ln w="12700">
          <a:solidFill>
            <a:srgbClr val="808080"/>
          </a:solidFill>
          <a:prstDash val="solid"/>
        </a:ln>
      </c:spPr>
    </c:plotArea>
    <c:legend>
      <c:legendPos val="b"/>
      <c:legendEntry>
        <c:idx val="0"/>
        <c:txPr>
          <a:bodyPr/>
          <a:lstStyle/>
          <a:p>
            <a:pPr>
              <a:defRPr sz="1000" b="0" i="0" u="none" strike="noStrike" baseline="0">
                <a:solidFill>
                  <a:srgbClr val="000000"/>
                </a:solidFill>
                <a:latin typeface="Arial"/>
                <a:ea typeface="Arial"/>
                <a:cs typeface="Arial"/>
              </a:defRPr>
            </a:pPr>
            <a:endParaRPr lang="en-US"/>
          </a:p>
        </c:txPr>
      </c:legendEntry>
      <c:layout>
        <c:manualLayout>
          <c:xMode val="edge"/>
          <c:yMode val="edge"/>
          <c:x val="0.16452269470774322"/>
          <c:y val="0.82158446545736608"/>
          <c:w val="0.7156398695723647"/>
          <c:h val="0.16402912270077008"/>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0"/>
    <c:dispBlanksAs val="zero"/>
    <c:showDLblsOverMax val="0"/>
  </c:chart>
  <c:spPr>
    <a:solidFill>
      <a:schemeClr val="accent5"/>
    </a:solidFill>
    <a:ln w="3175">
      <a:solidFill>
        <a:srgbClr val="000000"/>
      </a:solidFill>
      <a:prstDash val="solid"/>
    </a:ln>
  </c:spPr>
  <c:txPr>
    <a:bodyPr/>
    <a:lstStyle/>
    <a:p>
      <a:pPr>
        <a:defRPr sz="975" b="0" i="0" u="none" strike="noStrike" baseline="0">
          <a:solidFill>
            <a:srgbClr val="000000"/>
          </a:solidFill>
          <a:latin typeface="Arial"/>
          <a:ea typeface="Arial"/>
          <a:cs typeface="Arial"/>
        </a:defRPr>
      </a:pPr>
      <a:endParaRPr lang="en-US"/>
    </a:p>
  </c:txPr>
  <c:printSettings>
    <c:headerFooter alignWithMargins="0"/>
    <c:pageMargins b="1" l="0.75000000000000622" r="0.75000000000000622" t="1" header="0.5" footer="0.5"/>
    <c:pageSetup paperSize="9" orientation="landscape"/>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75" b="1" i="0" u="none" strike="noStrike" baseline="0">
                <a:solidFill>
                  <a:srgbClr val="000000"/>
                </a:solidFill>
                <a:latin typeface="Arial"/>
                <a:ea typeface="Arial"/>
                <a:cs typeface="Arial"/>
              </a:defRPr>
            </a:pPr>
            <a:r>
              <a:rPr lang="en-GB"/>
              <a:t>DYCP Final Plan Water Supply-Demand Balance and Components of Demand</a:t>
            </a:r>
          </a:p>
        </c:rich>
      </c:tx>
      <c:layout>
        <c:manualLayout>
          <c:xMode val="edge"/>
          <c:yMode val="edge"/>
          <c:x val="0.2095809470200265"/>
          <c:y val="2.9013693730272669E-2"/>
        </c:manualLayout>
      </c:layout>
      <c:overlay val="0"/>
      <c:spPr>
        <a:noFill/>
        <a:ln w="25400">
          <a:noFill/>
        </a:ln>
      </c:spPr>
    </c:title>
    <c:autoTitleDeleted val="0"/>
    <c:plotArea>
      <c:layout>
        <c:manualLayout>
          <c:layoutTarget val="inner"/>
          <c:xMode val="edge"/>
          <c:yMode val="edge"/>
          <c:x val="8.5343266856694813E-2"/>
          <c:y val="0.10444884139344435"/>
          <c:w val="0.89146608097046709"/>
          <c:h val="0.55130264550264552"/>
        </c:manualLayout>
      </c:layout>
      <c:areaChart>
        <c:grouping val="stacked"/>
        <c:varyColors val="0"/>
        <c:ser>
          <c:idx val="6"/>
          <c:order val="0"/>
          <c:tx>
            <c:v>Measured household consumption</c:v>
          </c:tx>
          <c:spPr>
            <a:ln w="25400">
              <a:noFill/>
            </a:ln>
          </c:spPr>
          <c:cat>
            <c:multiLvlStrRef>
              <c:f>}</c:f>
            </c:multiLvlStrRef>
          </c:cat>
          <c:val>
            <c:numRef>
              <c:f>ESWHRT!$G$395:$AK$395</c:f>
              <c:numCache>
                <c:formatCode>0.00</c:formatCode>
                <c:ptCount val="31"/>
                <c:pt idx="0">
                  <c:v>0</c:v>
                </c:pt>
                <c:pt idx="1">
                  <c:v>0</c:v>
                </c:pt>
                <c:pt idx="2">
                  <c:v>2.4490244538520547</c:v>
                </c:pt>
                <c:pt idx="3">
                  <c:v>2.4530108051284878</c:v>
                </c:pt>
                <c:pt idx="4">
                  <c:v>2.4136278483535962</c:v>
                </c:pt>
                <c:pt idx="5">
                  <c:v>2.3938408890364875</c:v>
                </c:pt>
                <c:pt idx="6">
                  <c:v>2.9915598593787314</c:v>
                </c:pt>
                <c:pt idx="7">
                  <c:v>3.5983953503794246</c:v>
                </c:pt>
                <c:pt idx="8">
                  <c:v>3.7020363615058574</c:v>
                </c:pt>
                <c:pt idx="9">
                  <c:v>3.7098431115248389</c:v>
                </c:pt>
                <c:pt idx="10">
                  <c:v>3.7027782416916915</c:v>
                </c:pt>
                <c:pt idx="11">
                  <c:v>3.6932029513909903</c:v>
                </c:pt>
                <c:pt idx="12">
                  <c:v>3.6788364457106777</c:v>
                </c:pt>
                <c:pt idx="13">
                  <c:v>3.6611847214601991</c:v>
                </c:pt>
                <c:pt idx="14">
                  <c:v>3.6330382850323613</c:v>
                </c:pt>
                <c:pt idx="15">
                  <c:v>3.6057428786375882</c:v>
                </c:pt>
                <c:pt idx="16">
                  <c:v>3.5810696414580589</c:v>
                </c:pt>
                <c:pt idx="17">
                  <c:v>3.5567066929797253</c:v>
                </c:pt>
                <c:pt idx="18">
                  <c:v>3.532896311440898</c:v>
                </c:pt>
                <c:pt idx="19">
                  <c:v>3.5095784490656263</c:v>
                </c:pt>
                <c:pt idx="20">
                  <c:v>3.4838535502512928</c:v>
                </c:pt>
                <c:pt idx="21">
                  <c:v>3.45487409275316</c:v>
                </c:pt>
                <c:pt idx="22">
                  <c:v>3.4295358050711302</c:v>
                </c:pt>
                <c:pt idx="23">
                  <c:v>3.4059779886870616</c:v>
                </c:pt>
                <c:pt idx="24">
                  <c:v>3.3959047062652834</c:v>
                </c:pt>
                <c:pt idx="25">
                  <c:v>3.4092556251523183</c:v>
                </c:pt>
                <c:pt idx="26">
                  <c:v>3.4219943729481614</c:v>
                </c:pt>
                <c:pt idx="27">
                  <c:v>3.4355422781386324</c:v>
                </c:pt>
                <c:pt idx="28">
                  <c:v>3.449616283659227</c:v>
                </c:pt>
                <c:pt idx="29">
                  <c:v>3.4646494823960547</c:v>
                </c:pt>
                <c:pt idx="30">
                  <c:v>3.4797025434234889</c:v>
                </c:pt>
              </c:numCache>
            </c:numRef>
          </c:val>
          <c:extLst>
            <c:ext xmlns:c16="http://schemas.microsoft.com/office/drawing/2014/chart" uri="{C3380CC4-5D6E-409C-BE32-E72D297353CC}">
              <c16:uniqueId val="{00000000-2F22-464A-884D-731CE91F7442}"/>
            </c:ext>
          </c:extLst>
        </c:ser>
        <c:ser>
          <c:idx val="0"/>
          <c:order val="1"/>
          <c:tx>
            <c:v>Unmeasured household consumption</c:v>
          </c:tx>
          <c:spPr>
            <a:ln w="25400">
              <a:noFill/>
            </a:ln>
          </c:spPr>
          <c:cat>
            <c:multiLvlStrRef>
              <c:f>}</c:f>
            </c:multiLvlStrRef>
          </c:cat>
          <c:val>
            <c:numRef>
              <c:f>ESWHRT!$G$396:$AK$396</c:f>
              <c:numCache>
                <c:formatCode>0.00</c:formatCode>
                <c:ptCount val="31"/>
                <c:pt idx="0">
                  <c:v>0</c:v>
                </c:pt>
                <c:pt idx="1">
                  <c:v>0</c:v>
                </c:pt>
                <c:pt idx="2">
                  <c:v>2.0197035980870042</c:v>
                </c:pt>
                <c:pt idx="3">
                  <c:v>2.0753214903712163</c:v>
                </c:pt>
                <c:pt idx="4">
                  <c:v>2.020590584877739</c:v>
                </c:pt>
                <c:pt idx="5">
                  <c:v>1.8427176634080884</c:v>
                </c:pt>
                <c:pt idx="6">
                  <c:v>0.93568675264435219</c:v>
                </c:pt>
                <c:pt idx="7">
                  <c:v>0.12880811813288043</c:v>
                </c:pt>
                <c:pt idx="8">
                  <c:v>0.1246184203842515</c:v>
                </c:pt>
                <c:pt idx="9">
                  <c:v>0.12071691478668611</c:v>
                </c:pt>
                <c:pt idx="10">
                  <c:v>0.11688127068603518</c:v>
                </c:pt>
                <c:pt idx="11">
                  <c:v>0.11358443944848669</c:v>
                </c:pt>
                <c:pt idx="12">
                  <c:v>0.11080825113993122</c:v>
                </c:pt>
                <c:pt idx="13">
                  <c:v>0.10809494431693237</c:v>
                </c:pt>
                <c:pt idx="14">
                  <c:v>0.10513560346570827</c:v>
                </c:pt>
                <c:pt idx="15">
                  <c:v>0.10224328669287513</c:v>
                </c:pt>
                <c:pt idx="16">
                  <c:v>9.95309613189021E-2</c:v>
                </c:pt>
                <c:pt idx="17">
                  <c:v>9.6879810487331103E-2</c:v>
                </c:pt>
                <c:pt idx="18">
                  <c:v>9.427930223214126E-2</c:v>
                </c:pt>
                <c:pt idx="19">
                  <c:v>9.175845029571944E-2</c:v>
                </c:pt>
                <c:pt idx="20">
                  <c:v>8.9285083326625242E-2</c:v>
                </c:pt>
                <c:pt idx="21">
                  <c:v>8.6422370845412433E-2</c:v>
                </c:pt>
                <c:pt idx="22">
                  <c:v>8.3190102936978247E-2</c:v>
                </c:pt>
                <c:pt idx="23">
                  <c:v>8.0089543266082475E-2</c:v>
                </c:pt>
                <c:pt idx="24">
                  <c:v>7.7421056160060286E-2</c:v>
                </c:pt>
                <c:pt idx="25">
                  <c:v>7.5364567025679702E-2</c:v>
                </c:pt>
                <c:pt idx="26">
                  <c:v>7.333423137000708E-2</c:v>
                </c:pt>
                <c:pt idx="27">
                  <c:v>7.1355982517930849E-2</c:v>
                </c:pt>
                <c:pt idx="28">
                  <c:v>6.9401319927379759E-2</c:v>
                </c:pt>
                <c:pt idx="29">
                  <c:v>6.7478214390393532E-2</c:v>
                </c:pt>
                <c:pt idx="30">
                  <c:v>6.5560681078049368E-2</c:v>
                </c:pt>
              </c:numCache>
            </c:numRef>
          </c:val>
          <c:extLst>
            <c:ext xmlns:c16="http://schemas.microsoft.com/office/drawing/2014/chart" uri="{C3380CC4-5D6E-409C-BE32-E72D297353CC}">
              <c16:uniqueId val="{00000001-2F22-464A-884D-731CE91F7442}"/>
            </c:ext>
          </c:extLst>
        </c:ser>
        <c:ser>
          <c:idx val="1"/>
          <c:order val="2"/>
          <c:tx>
            <c:v>Non-household consumption</c:v>
          </c:tx>
          <c:spPr>
            <a:ln w="25400">
              <a:noFill/>
            </a:ln>
          </c:spPr>
          <c:cat>
            <c:multiLvlStrRef>
              <c:f>}</c:f>
            </c:multiLvlStrRef>
          </c:cat>
          <c:val>
            <c:numRef>
              <c:f>ESWHRT!$G$397:$AK$397</c:f>
              <c:numCache>
                <c:formatCode>0.00</c:formatCode>
                <c:ptCount val="31"/>
                <c:pt idx="0">
                  <c:v>0</c:v>
                </c:pt>
                <c:pt idx="1">
                  <c:v>0</c:v>
                </c:pt>
                <c:pt idx="2">
                  <c:v>4.5354665878922384</c:v>
                </c:pt>
                <c:pt idx="3">
                  <c:v>5.1833788424434104</c:v>
                </c:pt>
                <c:pt idx="4">
                  <c:v>5.3741624637355283</c:v>
                </c:pt>
                <c:pt idx="5">
                  <c:v>5.5710498735592591</c:v>
                </c:pt>
                <c:pt idx="6">
                  <c:v>5.7514323607926761</c:v>
                </c:pt>
                <c:pt idx="7">
                  <c:v>5.7900937767971099</c:v>
                </c:pt>
                <c:pt idx="8">
                  <c:v>5.7824045026289035</c:v>
                </c:pt>
                <c:pt idx="9">
                  <c:v>5.774715170793697</c:v>
                </c:pt>
                <c:pt idx="10">
                  <c:v>5.767025781291486</c:v>
                </c:pt>
                <c:pt idx="11">
                  <c:v>5.7506004405733426</c:v>
                </c:pt>
                <c:pt idx="12">
                  <c:v>5.7341750421881938</c:v>
                </c:pt>
                <c:pt idx="13">
                  <c:v>9.6420924177637026</c:v>
                </c:pt>
                <c:pt idx="14">
                  <c:v>9.6355212720093171</c:v>
                </c:pt>
                <c:pt idx="15">
                  <c:v>9.628841813226499</c:v>
                </c:pt>
                <c:pt idx="16">
                  <c:v>9.6231485656460851</c:v>
                </c:pt>
                <c:pt idx="17">
                  <c:v>9.617329463802788</c:v>
                </c:pt>
                <c:pt idx="18">
                  <c:v>9.6113462257414408</c:v>
                </c:pt>
                <c:pt idx="19">
                  <c:v>9.6203988326519401</c:v>
                </c:pt>
                <c:pt idx="20">
                  <c:v>9.629334244901111</c:v>
                </c:pt>
                <c:pt idx="21">
                  <c:v>9.6381533175797554</c:v>
                </c:pt>
                <c:pt idx="22">
                  <c:v>9.646850328862163</c:v>
                </c:pt>
                <c:pt idx="23">
                  <c:v>9.6554150412227955</c:v>
                </c:pt>
                <c:pt idx="24">
                  <c:v>9.6638563133630342</c:v>
                </c:pt>
                <c:pt idx="25">
                  <c:v>9.6721688372661134</c:v>
                </c:pt>
                <c:pt idx="26">
                  <c:v>9.6803642709429987</c:v>
                </c:pt>
                <c:pt idx="27">
                  <c:v>9.6884433898738589</c:v>
                </c:pt>
                <c:pt idx="28">
                  <c:v>9.696412086364413</c:v>
                </c:pt>
                <c:pt idx="29">
                  <c:v>9.70428857968081</c:v>
                </c:pt>
                <c:pt idx="30">
                  <c:v>9.7120777544363452</c:v>
                </c:pt>
              </c:numCache>
            </c:numRef>
          </c:val>
          <c:extLst>
            <c:ext xmlns:c16="http://schemas.microsoft.com/office/drawing/2014/chart" uri="{C3380CC4-5D6E-409C-BE32-E72D297353CC}">
              <c16:uniqueId val="{00000002-2F22-464A-884D-731CE91F7442}"/>
            </c:ext>
          </c:extLst>
        </c:ser>
        <c:ser>
          <c:idx val="2"/>
          <c:order val="3"/>
          <c:tx>
            <c:v>Total leakage</c:v>
          </c:tx>
          <c:spPr>
            <a:ln w="25400">
              <a:noFill/>
            </a:ln>
          </c:spPr>
          <c:cat>
            <c:multiLvlStrRef>
              <c:f>}</c:f>
            </c:multiLvlStrRef>
          </c:cat>
          <c:val>
            <c:numRef>
              <c:f>ESWHRT!$G$398:$AK$398</c:f>
              <c:numCache>
                <c:formatCode>0.00</c:formatCode>
                <c:ptCount val="31"/>
                <c:pt idx="0">
                  <c:v>0</c:v>
                </c:pt>
                <c:pt idx="1">
                  <c:v>0</c:v>
                </c:pt>
                <c:pt idx="2">
                  <c:v>1.3210509183999999</c:v>
                </c:pt>
                <c:pt idx="3">
                  <c:v>0.81112059999999986</c:v>
                </c:pt>
                <c:pt idx="4">
                  <c:v>0.77940079999999978</c:v>
                </c:pt>
                <c:pt idx="5">
                  <c:v>0.74768099999999993</c:v>
                </c:pt>
                <c:pt idx="6">
                  <c:v>0.74009159999999996</c:v>
                </c:pt>
                <c:pt idx="7">
                  <c:v>0.73250219999999999</c:v>
                </c:pt>
                <c:pt idx="8">
                  <c:v>0.72491280000000013</c:v>
                </c:pt>
                <c:pt idx="9">
                  <c:v>0.71732340000000006</c:v>
                </c:pt>
                <c:pt idx="10">
                  <c:v>0.70973400000000009</c:v>
                </c:pt>
                <c:pt idx="11">
                  <c:v>0.70214460000000012</c:v>
                </c:pt>
                <c:pt idx="12">
                  <c:v>0.69455520000000015</c:v>
                </c:pt>
                <c:pt idx="13">
                  <c:v>0.68696580000000018</c:v>
                </c:pt>
                <c:pt idx="14">
                  <c:v>0.67937640000000021</c:v>
                </c:pt>
                <c:pt idx="15">
                  <c:v>0.67178700000000025</c:v>
                </c:pt>
                <c:pt idx="16">
                  <c:v>0.66419760000000028</c:v>
                </c:pt>
                <c:pt idx="17">
                  <c:v>0.65660820000000031</c:v>
                </c:pt>
                <c:pt idx="18">
                  <c:v>0.64901880000000034</c:v>
                </c:pt>
                <c:pt idx="19">
                  <c:v>0.64142940000000037</c:v>
                </c:pt>
                <c:pt idx="20">
                  <c:v>0.6338400000000004</c:v>
                </c:pt>
                <c:pt idx="21">
                  <c:v>0.62625060000000043</c:v>
                </c:pt>
                <c:pt idx="22">
                  <c:v>0.61866120000000047</c:v>
                </c:pt>
                <c:pt idx="23">
                  <c:v>0.6110718000000005</c:v>
                </c:pt>
                <c:pt idx="24">
                  <c:v>0.60348240000000053</c:v>
                </c:pt>
                <c:pt idx="25">
                  <c:v>0.59589300000000056</c:v>
                </c:pt>
                <c:pt idx="26">
                  <c:v>0.58830360000000059</c:v>
                </c:pt>
                <c:pt idx="27">
                  <c:v>0.58071420000000062</c:v>
                </c:pt>
                <c:pt idx="28">
                  <c:v>0.57312480000000066</c:v>
                </c:pt>
                <c:pt idx="29">
                  <c:v>0.56553540000000069</c:v>
                </c:pt>
                <c:pt idx="30">
                  <c:v>0.55794599999999994</c:v>
                </c:pt>
              </c:numCache>
            </c:numRef>
          </c:val>
          <c:extLst>
            <c:ext xmlns:c16="http://schemas.microsoft.com/office/drawing/2014/chart" uri="{C3380CC4-5D6E-409C-BE32-E72D297353CC}">
              <c16:uniqueId val="{00000003-2F22-464A-884D-731CE91F7442}"/>
            </c:ext>
          </c:extLst>
        </c:ser>
        <c:ser>
          <c:idx val="3"/>
          <c:order val="4"/>
          <c:tx>
            <c:v>Other components of demand</c:v>
          </c:tx>
          <c:spPr>
            <a:ln w="25400">
              <a:noFill/>
            </a:ln>
          </c:spPr>
          <c:cat>
            <c:multiLvlStrRef>
              <c:f>}</c:f>
            </c:multiLvlStrRef>
          </c:cat>
          <c:val>
            <c:numRef>
              <c:f>ESWHRT!$G$399:$AK$399</c:f>
              <c:numCache>
                <c:formatCode>0.00</c:formatCode>
                <c:ptCount val="31"/>
                <c:pt idx="0">
                  <c:v>0</c:v>
                </c:pt>
                <c:pt idx="1">
                  <c:v>0</c:v>
                </c:pt>
                <c:pt idx="2">
                  <c:v>0.19949174740822428</c:v>
                </c:pt>
                <c:pt idx="3">
                  <c:v>0.19881498267651665</c:v>
                </c:pt>
                <c:pt idx="4">
                  <c:v>0.19878899233229674</c:v>
                </c:pt>
                <c:pt idx="5">
                  <c:v>0.19878728353243424</c:v>
                </c:pt>
                <c:pt idx="6">
                  <c:v>0.19865087975061613</c:v>
                </c:pt>
                <c:pt idx="7">
                  <c:v>0.19834412458478035</c:v>
                </c:pt>
                <c:pt idx="8">
                  <c:v>0.19823137753128606</c:v>
                </c:pt>
                <c:pt idx="9">
                  <c:v>0.19812933077044192</c:v>
                </c:pt>
                <c:pt idx="10">
                  <c:v>0.1980427505838076</c:v>
                </c:pt>
                <c:pt idx="11">
                  <c:v>0.19796623446418415</c:v>
                </c:pt>
                <c:pt idx="12">
                  <c:v>0.19790148251789041</c:v>
                </c:pt>
                <c:pt idx="13">
                  <c:v>0.19784122199726539</c:v>
                </c:pt>
                <c:pt idx="14">
                  <c:v>0.19778207690649197</c:v>
                </c:pt>
                <c:pt idx="15">
                  <c:v>0.1977232495116592</c:v>
                </c:pt>
                <c:pt idx="16">
                  <c:v>0.19766532200983988</c:v>
                </c:pt>
                <c:pt idx="17">
                  <c:v>0.1976091169318579</c:v>
                </c:pt>
                <c:pt idx="18">
                  <c:v>0.19755463561490494</c:v>
                </c:pt>
                <c:pt idx="19">
                  <c:v>0.19750053940395063</c:v>
                </c:pt>
                <c:pt idx="20">
                  <c:v>0.19744707252534077</c:v>
                </c:pt>
                <c:pt idx="21">
                  <c:v>0.19739414045409553</c:v>
                </c:pt>
                <c:pt idx="22">
                  <c:v>0.19734172492178992</c:v>
                </c:pt>
                <c:pt idx="23">
                  <c:v>0.19729024557290487</c:v>
                </c:pt>
                <c:pt idx="24">
                  <c:v>0.19723985354005791</c:v>
                </c:pt>
                <c:pt idx="25">
                  <c:v>0.19719042769732376</c:v>
                </c:pt>
                <c:pt idx="26">
                  <c:v>0.19714159345307358</c:v>
                </c:pt>
                <c:pt idx="27">
                  <c:v>0.1970933684977485</c:v>
                </c:pt>
                <c:pt idx="28">
                  <c:v>0.19704542132056879</c:v>
                </c:pt>
                <c:pt idx="29">
                  <c:v>0.19699752302673623</c:v>
                </c:pt>
                <c:pt idx="30">
                  <c:v>0.19694974682876598</c:v>
                </c:pt>
              </c:numCache>
            </c:numRef>
          </c:val>
          <c:extLst>
            <c:ext xmlns:c16="http://schemas.microsoft.com/office/drawing/2014/chart" uri="{C3380CC4-5D6E-409C-BE32-E72D297353CC}">
              <c16:uniqueId val="{00000004-2F22-464A-884D-731CE91F7442}"/>
            </c:ext>
          </c:extLst>
        </c:ser>
        <c:dLbls>
          <c:showLegendKey val="0"/>
          <c:showVal val="0"/>
          <c:showCatName val="0"/>
          <c:showSerName val="0"/>
          <c:showPercent val="0"/>
          <c:showBubbleSize val="0"/>
        </c:dLbls>
        <c:axId val="814784328"/>
        <c:axId val="814784720"/>
      </c:areaChart>
      <c:lineChart>
        <c:grouping val="standard"/>
        <c:varyColors val="0"/>
        <c:ser>
          <c:idx val="4"/>
          <c:order val="5"/>
          <c:tx>
            <c:v>Total water available for use</c:v>
          </c:tx>
          <c:spPr>
            <a:ln w="25400"/>
          </c:spPr>
          <c:marker>
            <c:symbol val="none"/>
          </c:marker>
          <c:cat>
            <c:strRef>
              <c:f>ESWHRT!$G$394:$CI$394</c:f>
              <c:strCache>
                <c:ptCount val="3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strCache>
            </c:strRef>
          </c:cat>
          <c:val>
            <c:numRef>
              <c:f>ESWHRT!$G$400:$AK$400</c:f>
              <c:numCache>
                <c:formatCode>0.00</c:formatCode>
                <c:ptCount val="31"/>
                <c:pt idx="0">
                  <c:v>0</c:v>
                </c:pt>
                <c:pt idx="1">
                  <c:v>0</c:v>
                </c:pt>
                <c:pt idx="2">
                  <c:v>15.253403156604637</c:v>
                </c:pt>
                <c:pt idx="3">
                  <c:v>15.259226643868082</c:v>
                </c:pt>
                <c:pt idx="4">
                  <c:v>15.249919751437155</c:v>
                </c:pt>
                <c:pt idx="5">
                  <c:v>15.230582241931307</c:v>
                </c:pt>
                <c:pt idx="6">
                  <c:v>15.2023583008793</c:v>
                </c:pt>
                <c:pt idx="7">
                  <c:v>15.184816955825591</c:v>
                </c:pt>
                <c:pt idx="8">
                  <c:v>15.194848032154752</c:v>
                </c:pt>
                <c:pt idx="9">
                  <c:v>15.195255722538359</c:v>
                </c:pt>
                <c:pt idx="10">
                  <c:v>15.194171505745718</c:v>
                </c:pt>
                <c:pt idx="11">
                  <c:v>15.192886545317981</c:v>
                </c:pt>
                <c:pt idx="12">
                  <c:v>15.191169330425872</c:v>
                </c:pt>
                <c:pt idx="13">
                  <c:v>15.39769130051293</c:v>
                </c:pt>
                <c:pt idx="14">
                  <c:v>15.333961135177606</c:v>
                </c:pt>
                <c:pt idx="15">
                  <c:v>15.248365377966286</c:v>
                </c:pt>
                <c:pt idx="16">
                  <c:v>15.185809016596336</c:v>
                </c:pt>
                <c:pt idx="17">
                  <c:v>15.177511570361126</c:v>
                </c:pt>
                <c:pt idx="18">
                  <c:v>15.174859790752096</c:v>
                </c:pt>
                <c:pt idx="19">
                  <c:v>15.172265324352297</c:v>
                </c:pt>
                <c:pt idx="20">
                  <c:v>15.169433034373604</c:v>
                </c:pt>
                <c:pt idx="21">
                  <c:v>15.166234979164795</c:v>
                </c:pt>
                <c:pt idx="22">
                  <c:v>15.163367522548235</c:v>
                </c:pt>
                <c:pt idx="23">
                  <c:v>15.160692140694065</c:v>
                </c:pt>
                <c:pt idx="24">
                  <c:v>15.159416770737961</c:v>
                </c:pt>
                <c:pt idx="25">
                  <c:v>15.16055993313589</c:v>
                </c:pt>
                <c:pt idx="26">
                  <c:v>15.161643943004428</c:v>
                </c:pt>
                <c:pt idx="27">
                  <c:v>15.16281446364647</c:v>
                </c:pt>
                <c:pt idx="28">
                  <c:v>15.164040222319555</c:v>
                </c:pt>
                <c:pt idx="29">
                  <c:v>15.165365618220495</c:v>
                </c:pt>
                <c:pt idx="30">
                  <c:v>15.166693520487636</c:v>
                </c:pt>
              </c:numCache>
            </c:numRef>
          </c:val>
          <c:smooth val="0"/>
          <c:extLst>
            <c:ext xmlns:c16="http://schemas.microsoft.com/office/drawing/2014/chart" uri="{C3380CC4-5D6E-409C-BE32-E72D297353CC}">
              <c16:uniqueId val="{00000005-2F22-464A-884D-731CE91F7442}"/>
            </c:ext>
          </c:extLst>
        </c:ser>
        <c:ser>
          <c:idx val="5"/>
          <c:order val="6"/>
          <c:tx>
            <c:v>Total demand + target headroom (final plan)</c:v>
          </c:tx>
          <c:spPr>
            <a:ln w="25400"/>
          </c:spPr>
          <c:marker>
            <c:symbol val="none"/>
          </c:marker>
          <c:cat>
            <c:strRef>
              <c:f>ESWHRT!$G$394:$CI$394</c:f>
              <c:strCache>
                <c:ptCount val="3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strCache>
            </c:strRef>
          </c:cat>
          <c:val>
            <c:numRef>
              <c:f>ESWHRT!$G$401:$AK$401</c:f>
              <c:numCache>
                <c:formatCode>0.00</c:formatCode>
                <c:ptCount val="31"/>
                <c:pt idx="0">
                  <c:v>0</c:v>
                </c:pt>
                <c:pt idx="1">
                  <c:v>0</c:v>
                </c:pt>
                <c:pt idx="2">
                  <c:v>11.723666139480322</c:v>
                </c:pt>
                <c:pt idx="3">
                  <c:v>11.990078964810692</c:v>
                </c:pt>
                <c:pt idx="4">
                  <c:v>12.099023946196112</c:v>
                </c:pt>
                <c:pt idx="5">
                  <c:v>12.033928298265376</c:v>
                </c:pt>
                <c:pt idx="6">
                  <c:v>11.92289197810865</c:v>
                </c:pt>
                <c:pt idx="7">
                  <c:v>11.738660770175958</c:v>
                </c:pt>
                <c:pt idx="8">
                  <c:v>11.779102400084001</c:v>
                </c:pt>
                <c:pt idx="9">
                  <c:v>11.78648651170686</c:v>
                </c:pt>
                <c:pt idx="10">
                  <c:v>11.765537830824295</c:v>
                </c:pt>
                <c:pt idx="11">
                  <c:v>11.737024808527615</c:v>
                </c:pt>
                <c:pt idx="12">
                  <c:v>11.525494367817945</c:v>
                </c:pt>
                <c:pt idx="13">
                  <c:v>14.737691300512932</c:v>
                </c:pt>
                <c:pt idx="14">
                  <c:v>14.673961135177608</c:v>
                </c:pt>
                <c:pt idx="15">
                  <c:v>14.588365377966287</c:v>
                </c:pt>
                <c:pt idx="16">
                  <c:v>14.525809016596337</c:v>
                </c:pt>
                <c:pt idx="17">
                  <c:v>14.490344657594758</c:v>
                </c:pt>
                <c:pt idx="18">
                  <c:v>14.448280021363502</c:v>
                </c:pt>
                <c:pt idx="19">
                  <c:v>14.431493500337911</c:v>
                </c:pt>
                <c:pt idx="20">
                  <c:v>14.409947321996826</c:v>
                </c:pt>
                <c:pt idx="21">
                  <c:v>14.381348029935637</c:v>
                </c:pt>
                <c:pt idx="22">
                  <c:v>14.336842183019881</c:v>
                </c:pt>
                <c:pt idx="23">
                  <c:v>14.301461131114593</c:v>
                </c:pt>
                <c:pt idx="24">
                  <c:v>14.275374891960821</c:v>
                </c:pt>
                <c:pt idx="25">
                  <c:v>14.280466159374569</c:v>
                </c:pt>
                <c:pt idx="26">
                  <c:v>14.283845435604018</c:v>
                </c:pt>
                <c:pt idx="27">
                  <c:v>14.300464096164013</c:v>
                </c:pt>
                <c:pt idx="28">
                  <c:v>14.316719925537777</c:v>
                </c:pt>
                <c:pt idx="29">
                  <c:v>14.334995790771508</c:v>
                </c:pt>
                <c:pt idx="30">
                  <c:v>14.349894149681401</c:v>
                </c:pt>
              </c:numCache>
            </c:numRef>
          </c:val>
          <c:smooth val="0"/>
          <c:extLst>
            <c:ext xmlns:c16="http://schemas.microsoft.com/office/drawing/2014/chart" uri="{C3380CC4-5D6E-409C-BE32-E72D297353CC}">
              <c16:uniqueId val="{00000006-2F22-464A-884D-731CE91F7442}"/>
            </c:ext>
          </c:extLst>
        </c:ser>
        <c:dLbls>
          <c:showLegendKey val="0"/>
          <c:showVal val="0"/>
          <c:showCatName val="0"/>
          <c:showSerName val="0"/>
          <c:showPercent val="0"/>
          <c:showBubbleSize val="0"/>
        </c:dLbls>
        <c:marker val="1"/>
        <c:smooth val="0"/>
        <c:axId val="814784328"/>
        <c:axId val="814784720"/>
      </c:lineChart>
      <c:catAx>
        <c:axId val="814784328"/>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en-US"/>
          </a:p>
        </c:txPr>
        <c:crossAx val="814784720"/>
        <c:crosses val="autoZero"/>
        <c:auto val="1"/>
        <c:lblAlgn val="ctr"/>
        <c:lblOffset val="100"/>
        <c:tickLblSkip val="2"/>
        <c:tickMarkSkip val="1"/>
        <c:noMultiLvlLbl val="0"/>
      </c:catAx>
      <c:valAx>
        <c:axId val="814784720"/>
        <c:scaling>
          <c:orientation val="minMax"/>
          <c:max val="18"/>
        </c:scaling>
        <c:delete val="0"/>
        <c:axPos val="l"/>
        <c:majorGridlines>
          <c:spPr>
            <a:ln w="3175">
              <a:solidFill>
                <a:srgbClr val="000000"/>
              </a:solidFill>
              <a:prstDash val="solid"/>
            </a:ln>
          </c:spPr>
        </c:majorGridlines>
        <c:title>
          <c:tx>
            <c:rich>
              <a:bodyPr/>
              <a:lstStyle/>
              <a:p>
                <a:pPr>
                  <a:defRPr sz="1175" b="1" i="0" u="none" strike="noStrike" baseline="0">
                    <a:solidFill>
                      <a:srgbClr val="000000"/>
                    </a:solidFill>
                    <a:latin typeface="Arial"/>
                    <a:ea typeface="Arial"/>
                    <a:cs typeface="Arial"/>
                  </a:defRPr>
                </a:pPr>
                <a:r>
                  <a:rPr lang="en-GB"/>
                  <a:t>Ml/d</a:t>
                </a:r>
              </a:p>
            </c:rich>
          </c:tx>
          <c:layout>
            <c:manualLayout>
              <c:xMode val="edge"/>
              <c:yMode val="edge"/>
              <c:x val="2.0359337875782983E-2"/>
              <c:y val="0.39858528733632054"/>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814784328"/>
        <c:crosses val="autoZero"/>
        <c:crossBetween val="midCat"/>
      </c:valAx>
      <c:spPr>
        <a:solidFill>
          <a:schemeClr val="bg1"/>
        </a:solidFill>
        <a:ln w="12700">
          <a:solidFill>
            <a:srgbClr val="808080"/>
          </a:solidFill>
          <a:prstDash val="solid"/>
        </a:ln>
      </c:spPr>
    </c:plotArea>
    <c:legend>
      <c:legendPos val="b"/>
      <c:legendEntry>
        <c:idx val="0"/>
        <c:txPr>
          <a:bodyPr/>
          <a:lstStyle/>
          <a:p>
            <a:pPr>
              <a:defRPr sz="1000" b="0" i="0" u="none" strike="noStrike" baseline="0">
                <a:solidFill>
                  <a:srgbClr val="000000"/>
                </a:solidFill>
                <a:latin typeface="Arial"/>
                <a:ea typeface="Arial"/>
                <a:cs typeface="Arial"/>
              </a:defRPr>
            </a:pPr>
            <a:endParaRPr lang="en-US"/>
          </a:p>
        </c:txPr>
      </c:legendEntry>
      <c:layout>
        <c:manualLayout>
          <c:xMode val="edge"/>
          <c:yMode val="edge"/>
          <c:x val="0.16452269470774322"/>
          <c:y val="0.82158446545736608"/>
          <c:w val="0.7156398695723647"/>
          <c:h val="0.16402912270077008"/>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0"/>
    <c:dispBlanksAs val="zero"/>
    <c:showDLblsOverMax val="0"/>
  </c:chart>
  <c:spPr>
    <a:solidFill>
      <a:schemeClr val="accent1"/>
    </a:solidFill>
    <a:ln w="3175">
      <a:solidFill>
        <a:srgbClr val="000000"/>
      </a:solidFill>
      <a:prstDash val="solid"/>
    </a:ln>
  </c:spPr>
  <c:txPr>
    <a:bodyPr/>
    <a:lstStyle/>
    <a:p>
      <a:pPr>
        <a:defRPr sz="975" b="0" i="0" u="none" strike="noStrike" baseline="0">
          <a:solidFill>
            <a:srgbClr val="000000"/>
          </a:solidFill>
          <a:latin typeface="Arial"/>
          <a:ea typeface="Arial"/>
          <a:cs typeface="Arial"/>
        </a:defRPr>
      </a:pPr>
      <a:endParaRPr lang="en-US"/>
    </a:p>
  </c:txPr>
  <c:printSettings>
    <c:headerFooter alignWithMargins="0"/>
    <c:pageMargins b="1" l="0.75000000000000622" r="0.75000000000000622" t="1" header="0.5" footer="0.5"/>
    <c:pageSetup paperSize="9" orientation="landscape"/>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75" b="1" i="0" u="none" strike="noStrike" baseline="0">
                <a:solidFill>
                  <a:srgbClr val="000000"/>
                </a:solidFill>
                <a:latin typeface="Arial"/>
                <a:ea typeface="Arial"/>
                <a:cs typeface="Arial"/>
              </a:defRPr>
            </a:pPr>
            <a:r>
              <a:rPr lang="en-GB"/>
              <a:t>DYAA Baseline Water Supply-Demand Balance and Components of Demand</a:t>
            </a:r>
          </a:p>
        </c:rich>
      </c:tx>
      <c:layout>
        <c:manualLayout>
          <c:xMode val="edge"/>
          <c:yMode val="edge"/>
          <c:x val="0.2095809470200265"/>
          <c:y val="2.9013693730272669E-2"/>
        </c:manualLayout>
      </c:layout>
      <c:overlay val="0"/>
      <c:spPr>
        <a:noFill/>
        <a:ln w="25400">
          <a:noFill/>
        </a:ln>
      </c:spPr>
    </c:title>
    <c:autoTitleDeleted val="0"/>
    <c:plotArea>
      <c:layout>
        <c:manualLayout>
          <c:layoutTarget val="inner"/>
          <c:xMode val="edge"/>
          <c:yMode val="edge"/>
          <c:x val="8.5343266856694813E-2"/>
          <c:y val="0.10444884139344435"/>
          <c:w val="0.89146608097046709"/>
          <c:h val="0.55130264550264552"/>
        </c:manualLayout>
      </c:layout>
      <c:areaChart>
        <c:grouping val="stacked"/>
        <c:varyColors val="0"/>
        <c:ser>
          <c:idx val="6"/>
          <c:order val="0"/>
          <c:tx>
            <c:v>Measured household consumption</c:v>
          </c:tx>
          <c:spPr>
            <a:ln w="25400">
              <a:noFill/>
            </a:ln>
          </c:spPr>
          <c:cat>
            <c:strRef>
              <c:f>ESWNCT!$G$23:$CI$23</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ESWNCT!$G$368:$CI$368</c:f>
              <c:numCache>
                <c:formatCode>0.00</c:formatCode>
                <c:ptCount val="81"/>
                <c:pt idx="0">
                  <c:v>0</c:v>
                </c:pt>
                <c:pt idx="1">
                  <c:v>0</c:v>
                </c:pt>
                <c:pt idx="2">
                  <c:v>17.398467649188941</c:v>
                </c:pt>
                <c:pt idx="3">
                  <c:v>17.112564349480355</c:v>
                </c:pt>
                <c:pt idx="4">
                  <c:v>17.10333836520001</c:v>
                </c:pt>
                <c:pt idx="5">
                  <c:v>17.369327390850341</c:v>
                </c:pt>
                <c:pt idx="6">
                  <c:v>18.10071145804876</c:v>
                </c:pt>
                <c:pt idx="7">
                  <c:v>18.808845796654822</c:v>
                </c:pt>
                <c:pt idx="8">
                  <c:v>19.119334215946814</c:v>
                </c:pt>
                <c:pt idx="9">
                  <c:v>19.413468656497624</c:v>
                </c:pt>
                <c:pt idx="10">
                  <c:v>19.678347460203188</c:v>
                </c:pt>
                <c:pt idx="11">
                  <c:v>19.882287586652851</c:v>
                </c:pt>
                <c:pt idx="12">
                  <c:v>20.032024245019254</c:v>
                </c:pt>
                <c:pt idx="13">
                  <c:v>20.181983166984828</c:v>
                </c:pt>
                <c:pt idx="14">
                  <c:v>20.330949699259573</c:v>
                </c:pt>
                <c:pt idx="15">
                  <c:v>20.492887216821135</c:v>
                </c:pt>
                <c:pt idx="16">
                  <c:v>20.644781602781148</c:v>
                </c:pt>
                <c:pt idx="17">
                  <c:v>20.800778071241197</c:v>
                </c:pt>
                <c:pt idx="18">
                  <c:v>20.956303900998286</c:v>
                </c:pt>
                <c:pt idx="19">
                  <c:v>21.121719040440958</c:v>
                </c:pt>
                <c:pt idx="20">
                  <c:v>21.29497621014664</c:v>
                </c:pt>
                <c:pt idx="21">
                  <c:v>21.43682901466282</c:v>
                </c:pt>
                <c:pt idx="22">
                  <c:v>21.606195568961567</c:v>
                </c:pt>
                <c:pt idx="23">
                  <c:v>21.780056940743439</c:v>
                </c:pt>
                <c:pt idx="24">
                  <c:v>21.952105916105829</c:v>
                </c:pt>
                <c:pt idx="25">
                  <c:v>22.122506263196804</c:v>
                </c:pt>
                <c:pt idx="26">
                  <c:v>22.286468243573314</c:v>
                </c:pt>
                <c:pt idx="27">
                  <c:v>22.4519821667106</c:v>
                </c:pt>
                <c:pt idx="28">
                  <c:v>22.614880340308165</c:v>
                </c:pt>
                <c:pt idx="29">
                  <c:v>22.778149291612952</c:v>
                </c:pt>
                <c:pt idx="30">
                  <c:v>22.936735130169005</c:v>
                </c:pt>
              </c:numCache>
            </c:numRef>
          </c:val>
          <c:extLst>
            <c:ext xmlns:c16="http://schemas.microsoft.com/office/drawing/2014/chart" uri="{C3380CC4-5D6E-409C-BE32-E72D297353CC}">
              <c16:uniqueId val="{00000000-E061-48FE-821D-346A6F7A988D}"/>
            </c:ext>
          </c:extLst>
        </c:ser>
        <c:ser>
          <c:idx val="0"/>
          <c:order val="1"/>
          <c:tx>
            <c:v>Unmeasured household consumption</c:v>
          </c:tx>
          <c:spPr>
            <a:ln w="25400">
              <a:noFill/>
            </a:ln>
          </c:spPr>
          <c:cat>
            <c:strRef>
              <c:f>ESWNCT!$G$23:$CI$23</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ESWNCT!$G$369:$CI$369</c:f>
              <c:numCache>
                <c:formatCode>0.00</c:formatCode>
                <c:ptCount val="81"/>
                <c:pt idx="0">
                  <c:v>0</c:v>
                </c:pt>
                <c:pt idx="1">
                  <c:v>0</c:v>
                </c:pt>
                <c:pt idx="2">
                  <c:v>13.861692014340996</c:v>
                </c:pt>
                <c:pt idx="3">
                  <c:v>13.107647381913853</c:v>
                </c:pt>
                <c:pt idx="4">
                  <c:v>12.997183846151753</c:v>
                </c:pt>
                <c:pt idx="5">
                  <c:v>12.430353977244778</c:v>
                </c:pt>
                <c:pt idx="6">
                  <c:v>11.469028314301802</c:v>
                </c:pt>
                <c:pt idx="7">
                  <c:v>10.722810779268956</c:v>
                </c:pt>
                <c:pt idx="8">
                  <c:v>10.435342965655972</c:v>
                </c:pt>
                <c:pt idx="9">
                  <c:v>10.149789789279204</c:v>
                </c:pt>
                <c:pt idx="10">
                  <c:v>9.8652708229143453</c:v>
                </c:pt>
                <c:pt idx="11">
                  <c:v>9.6711973286982875</c:v>
                </c:pt>
                <c:pt idx="12">
                  <c:v>9.5701572070515653</c:v>
                </c:pt>
                <c:pt idx="13">
                  <c:v>9.4709940182746166</c:v>
                </c:pt>
                <c:pt idx="14">
                  <c:v>9.372758993824327</c:v>
                </c:pt>
                <c:pt idx="15">
                  <c:v>9.2761498868058041</c:v>
                </c:pt>
                <c:pt idx="16">
                  <c:v>9.1878306410998167</c:v>
                </c:pt>
                <c:pt idx="17">
                  <c:v>9.101077789390434</c:v>
                </c:pt>
                <c:pt idx="18">
                  <c:v>9.0149521916153326</c:v>
                </c:pt>
                <c:pt idx="19">
                  <c:v>8.9320109465243096</c:v>
                </c:pt>
                <c:pt idx="20">
                  <c:v>8.8496894933983494</c:v>
                </c:pt>
                <c:pt idx="21">
                  <c:v>8.7677758176957621</c:v>
                </c:pt>
                <c:pt idx="22">
                  <c:v>8.6875349066469436</c:v>
                </c:pt>
                <c:pt idx="23">
                  <c:v>8.6126297310390392</c:v>
                </c:pt>
                <c:pt idx="24">
                  <c:v>8.5424178448291688</c:v>
                </c:pt>
                <c:pt idx="25">
                  <c:v>8.4737075225465617</c:v>
                </c:pt>
                <c:pt idx="26">
                  <c:v>8.4056073299648482</c:v>
                </c:pt>
                <c:pt idx="27">
                  <c:v>8.3406029469054257</c:v>
                </c:pt>
                <c:pt idx="28">
                  <c:v>8.2761047802509271</c:v>
                </c:pt>
                <c:pt idx="29">
                  <c:v>8.2129288193269936</c:v>
                </c:pt>
                <c:pt idx="30">
                  <c:v>8.1485528159597305</c:v>
                </c:pt>
              </c:numCache>
            </c:numRef>
          </c:val>
          <c:extLst>
            <c:ext xmlns:c16="http://schemas.microsoft.com/office/drawing/2014/chart" uri="{C3380CC4-5D6E-409C-BE32-E72D297353CC}">
              <c16:uniqueId val="{00000001-E061-48FE-821D-346A6F7A988D}"/>
            </c:ext>
          </c:extLst>
        </c:ser>
        <c:ser>
          <c:idx val="1"/>
          <c:order val="2"/>
          <c:tx>
            <c:v>Non-household consumption</c:v>
          </c:tx>
          <c:spPr>
            <a:ln w="25400">
              <a:noFill/>
            </a:ln>
          </c:spPr>
          <c:cat>
            <c:strRef>
              <c:f>ESWNCT!$G$23:$CI$23</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ESWNCT!$G$370:$CI$370</c:f>
              <c:numCache>
                <c:formatCode>0.00</c:formatCode>
                <c:ptCount val="81"/>
                <c:pt idx="0">
                  <c:v>0</c:v>
                </c:pt>
                <c:pt idx="1">
                  <c:v>0</c:v>
                </c:pt>
                <c:pt idx="2">
                  <c:v>10.68025832804982</c:v>
                </c:pt>
                <c:pt idx="3">
                  <c:v>11.89615012042419</c:v>
                </c:pt>
                <c:pt idx="4">
                  <c:v>13.265936841019769</c:v>
                </c:pt>
                <c:pt idx="5">
                  <c:v>13.993383085544702</c:v>
                </c:pt>
                <c:pt idx="6">
                  <c:v>14.646228442408788</c:v>
                </c:pt>
                <c:pt idx="7">
                  <c:v>14.858330752194938</c:v>
                </c:pt>
                <c:pt idx="8">
                  <c:v>16.991619492705574</c:v>
                </c:pt>
                <c:pt idx="9">
                  <c:v>17.040984727731733</c:v>
                </c:pt>
                <c:pt idx="10">
                  <c:v>17.085899932140091</c:v>
                </c:pt>
                <c:pt idx="11">
                  <c:v>17.141723026768073</c:v>
                </c:pt>
                <c:pt idx="12">
                  <c:v>17.192772637854222</c:v>
                </c:pt>
                <c:pt idx="13">
                  <c:v>17.243544809518937</c:v>
                </c:pt>
                <c:pt idx="14">
                  <c:v>17.293923369545357</c:v>
                </c:pt>
                <c:pt idx="15">
                  <c:v>17.34416564024702</c:v>
                </c:pt>
                <c:pt idx="16">
                  <c:v>17.391516935609697</c:v>
                </c:pt>
                <c:pt idx="17">
                  <c:v>17.437191997608569</c:v>
                </c:pt>
                <c:pt idx="18">
                  <c:v>17.482150611799522</c:v>
                </c:pt>
                <c:pt idx="19">
                  <c:v>17.526421561325176</c:v>
                </c:pt>
                <c:pt idx="20">
                  <c:v>17.570341709499822</c:v>
                </c:pt>
                <c:pt idx="21">
                  <c:v>17.61412192650468</c:v>
                </c:pt>
                <c:pt idx="22">
                  <c:v>17.656767984354001</c:v>
                </c:pt>
                <c:pt idx="23">
                  <c:v>17.698606108336886</c:v>
                </c:pt>
                <c:pt idx="24">
                  <c:v>17.739592972958885</c:v>
                </c:pt>
                <c:pt idx="25">
                  <c:v>17.779701125802873</c:v>
                </c:pt>
                <c:pt idx="26">
                  <c:v>17.818911706652443</c:v>
                </c:pt>
                <c:pt idx="27">
                  <c:v>17.857381752423603</c:v>
                </c:pt>
                <c:pt idx="28">
                  <c:v>17.895205976463476</c:v>
                </c:pt>
                <c:pt idx="29">
                  <c:v>17.932397589694862</c:v>
                </c:pt>
                <c:pt idx="30">
                  <c:v>17.968948433188185</c:v>
                </c:pt>
              </c:numCache>
            </c:numRef>
          </c:val>
          <c:extLst>
            <c:ext xmlns:c16="http://schemas.microsoft.com/office/drawing/2014/chart" uri="{C3380CC4-5D6E-409C-BE32-E72D297353CC}">
              <c16:uniqueId val="{00000002-E061-48FE-821D-346A6F7A988D}"/>
            </c:ext>
          </c:extLst>
        </c:ser>
        <c:ser>
          <c:idx val="2"/>
          <c:order val="3"/>
          <c:tx>
            <c:v>Total leakage</c:v>
          </c:tx>
          <c:spPr>
            <a:ln w="25400">
              <a:noFill/>
            </a:ln>
          </c:spPr>
          <c:cat>
            <c:strRef>
              <c:f>ESWNCT!$G$23:$CI$23</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ESWNCT!$G$371:$CI$371</c:f>
              <c:numCache>
                <c:formatCode>0.00</c:formatCode>
                <c:ptCount val="81"/>
                <c:pt idx="0">
                  <c:v>0</c:v>
                </c:pt>
                <c:pt idx="1">
                  <c:v>0</c:v>
                </c:pt>
                <c:pt idx="2">
                  <c:v>2.7140564682276551</c:v>
                </c:pt>
                <c:pt idx="3">
                  <c:v>3.0110663999999998</c:v>
                </c:pt>
                <c:pt idx="4">
                  <c:v>2.8933151999999995</c:v>
                </c:pt>
                <c:pt idx="5">
                  <c:v>2.7755640000000001</c:v>
                </c:pt>
                <c:pt idx="6">
                  <c:v>2.7755640000000001</c:v>
                </c:pt>
                <c:pt idx="7">
                  <c:v>2.7755640000000001</c:v>
                </c:pt>
                <c:pt idx="8">
                  <c:v>2.7755640000000001</c:v>
                </c:pt>
                <c:pt idx="9">
                  <c:v>2.7755640000000001</c:v>
                </c:pt>
                <c:pt idx="10">
                  <c:v>2.7755640000000001</c:v>
                </c:pt>
                <c:pt idx="11">
                  <c:v>2.7755640000000001</c:v>
                </c:pt>
                <c:pt idx="12">
                  <c:v>2.7755640000000001</c:v>
                </c:pt>
                <c:pt idx="13">
                  <c:v>2.7755640000000001</c:v>
                </c:pt>
                <c:pt idx="14">
                  <c:v>2.7755640000000001</c:v>
                </c:pt>
                <c:pt idx="15">
                  <c:v>2.7755640000000001</c:v>
                </c:pt>
                <c:pt idx="16">
                  <c:v>2.7755640000000001</c:v>
                </c:pt>
                <c:pt idx="17">
                  <c:v>2.7755640000000001</c:v>
                </c:pt>
                <c:pt idx="18">
                  <c:v>2.7755640000000001</c:v>
                </c:pt>
                <c:pt idx="19">
                  <c:v>2.7755640000000001</c:v>
                </c:pt>
                <c:pt idx="20">
                  <c:v>2.7755640000000001</c:v>
                </c:pt>
                <c:pt idx="21">
                  <c:v>2.7755640000000001</c:v>
                </c:pt>
                <c:pt idx="22">
                  <c:v>2.7755640000000001</c:v>
                </c:pt>
                <c:pt idx="23">
                  <c:v>2.7755640000000001</c:v>
                </c:pt>
                <c:pt idx="24">
                  <c:v>2.7755640000000001</c:v>
                </c:pt>
                <c:pt idx="25">
                  <c:v>2.7755640000000001</c:v>
                </c:pt>
                <c:pt idx="26">
                  <c:v>2.7755640000000001</c:v>
                </c:pt>
                <c:pt idx="27">
                  <c:v>2.7755640000000001</c:v>
                </c:pt>
                <c:pt idx="28">
                  <c:v>2.7755640000000001</c:v>
                </c:pt>
                <c:pt idx="29">
                  <c:v>2.7755640000000001</c:v>
                </c:pt>
                <c:pt idx="30">
                  <c:v>2.7755640000000001</c:v>
                </c:pt>
              </c:numCache>
            </c:numRef>
          </c:val>
          <c:extLst>
            <c:ext xmlns:c16="http://schemas.microsoft.com/office/drawing/2014/chart" uri="{C3380CC4-5D6E-409C-BE32-E72D297353CC}">
              <c16:uniqueId val="{00000003-E061-48FE-821D-346A6F7A988D}"/>
            </c:ext>
          </c:extLst>
        </c:ser>
        <c:ser>
          <c:idx val="3"/>
          <c:order val="4"/>
          <c:tx>
            <c:v>Other components of demand</c:v>
          </c:tx>
          <c:spPr>
            <a:ln w="25400">
              <a:noFill/>
            </a:ln>
          </c:spPr>
          <c:cat>
            <c:strRef>
              <c:f>ESWNCT!$G$23:$CI$23</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ESWNCT!$G$372:$CI$372</c:f>
              <c:numCache>
                <c:formatCode>0.00</c:formatCode>
                <c:ptCount val="81"/>
                <c:pt idx="0">
                  <c:v>0</c:v>
                </c:pt>
                <c:pt idx="1">
                  <c:v>0</c:v>
                </c:pt>
                <c:pt idx="2">
                  <c:v>1.8115870309918378</c:v>
                </c:pt>
                <c:pt idx="3">
                  <c:v>1.803237358100823</c:v>
                </c:pt>
                <c:pt idx="4">
                  <c:v>1.8026674142220429</c:v>
                </c:pt>
                <c:pt idx="5">
                  <c:v>1.8025335791050949</c:v>
                </c:pt>
                <c:pt idx="6">
                  <c:v>1.8034288607064681</c:v>
                </c:pt>
                <c:pt idx="7">
                  <c:v>1.8030145805468862</c:v>
                </c:pt>
                <c:pt idx="8">
                  <c:v>1.8026039152750428</c:v>
                </c:pt>
                <c:pt idx="9">
                  <c:v>1.8022316137007763</c:v>
                </c:pt>
                <c:pt idx="10">
                  <c:v>1.8018982265235266</c:v>
                </c:pt>
                <c:pt idx="11">
                  <c:v>1.8015659466929392</c:v>
                </c:pt>
                <c:pt idx="12">
                  <c:v>1.801224946508647</c:v>
                </c:pt>
                <c:pt idx="13">
                  <c:v>1.8008864767214021</c:v>
                </c:pt>
                <c:pt idx="14">
                  <c:v>1.8005504265799672</c:v>
                </c:pt>
                <c:pt idx="15">
                  <c:v>1.800214353685945</c:v>
                </c:pt>
                <c:pt idx="16">
                  <c:v>1.7998803979336557</c:v>
                </c:pt>
                <c:pt idx="17">
                  <c:v>1.7995494133550594</c:v>
                </c:pt>
                <c:pt idx="18">
                  <c:v>1.7992211505270177</c:v>
                </c:pt>
                <c:pt idx="19">
                  <c:v>1.7988958604272725</c:v>
                </c:pt>
                <c:pt idx="20">
                  <c:v>1.7985763935972017</c:v>
                </c:pt>
                <c:pt idx="21">
                  <c:v>1.7982599944802047</c:v>
                </c:pt>
                <c:pt idx="22">
                  <c:v>1.7979468226658568</c:v>
                </c:pt>
                <c:pt idx="23">
                  <c:v>1.7976364136816372</c:v>
                </c:pt>
                <c:pt idx="24">
                  <c:v>1.7973287099520832</c:v>
                </c:pt>
                <c:pt idx="25">
                  <c:v>1.7970238674534755</c:v>
                </c:pt>
                <c:pt idx="26">
                  <c:v>1.7967218953785107</c:v>
                </c:pt>
                <c:pt idx="27">
                  <c:v>1.7964227311522549</c:v>
                </c:pt>
                <c:pt idx="28">
                  <c:v>1.7961264283852856</c:v>
                </c:pt>
                <c:pt idx="29">
                  <c:v>1.7958332947864335</c:v>
                </c:pt>
                <c:pt idx="30">
                  <c:v>1.7955432701320646</c:v>
                </c:pt>
              </c:numCache>
            </c:numRef>
          </c:val>
          <c:extLst>
            <c:ext xmlns:c16="http://schemas.microsoft.com/office/drawing/2014/chart" uri="{C3380CC4-5D6E-409C-BE32-E72D297353CC}">
              <c16:uniqueId val="{00000004-E061-48FE-821D-346A6F7A988D}"/>
            </c:ext>
          </c:extLst>
        </c:ser>
        <c:dLbls>
          <c:showLegendKey val="0"/>
          <c:showVal val="0"/>
          <c:showCatName val="0"/>
          <c:showSerName val="0"/>
          <c:showPercent val="0"/>
          <c:showBubbleSize val="0"/>
        </c:dLbls>
        <c:axId val="909034472"/>
        <c:axId val="909034864"/>
      </c:areaChart>
      <c:lineChart>
        <c:grouping val="standard"/>
        <c:varyColors val="0"/>
        <c:ser>
          <c:idx val="4"/>
          <c:order val="5"/>
          <c:tx>
            <c:v>Total water available for use</c:v>
          </c:tx>
          <c:marker>
            <c:symbol val="none"/>
          </c:marker>
          <c:cat>
            <c:strLit>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Lit>
          </c:cat>
          <c:val>
            <c:numRef>
              <c:f>ESWNCT!$G$373:$CI$373</c:f>
              <c:numCache>
                <c:formatCode>0.00</c:formatCode>
                <c:ptCount val="81"/>
                <c:pt idx="0">
                  <c:v>0</c:v>
                </c:pt>
                <c:pt idx="1">
                  <c:v>0</c:v>
                </c:pt>
                <c:pt idx="2">
                  <c:v>56.410000000000004</c:v>
                </c:pt>
                <c:pt idx="3">
                  <c:v>56.410000000000004</c:v>
                </c:pt>
                <c:pt idx="4">
                  <c:v>56.410000000000004</c:v>
                </c:pt>
                <c:pt idx="5">
                  <c:v>56.410000000000004</c:v>
                </c:pt>
                <c:pt idx="6">
                  <c:v>56.410000000000004</c:v>
                </c:pt>
                <c:pt idx="7">
                  <c:v>56.52</c:v>
                </c:pt>
                <c:pt idx="8">
                  <c:v>56.52</c:v>
                </c:pt>
                <c:pt idx="9">
                  <c:v>56.52</c:v>
                </c:pt>
                <c:pt idx="10">
                  <c:v>56.52</c:v>
                </c:pt>
                <c:pt idx="11">
                  <c:v>53.280000000000008</c:v>
                </c:pt>
                <c:pt idx="12">
                  <c:v>53.280000000000008</c:v>
                </c:pt>
                <c:pt idx="13">
                  <c:v>51.430000000000007</c:v>
                </c:pt>
                <c:pt idx="14">
                  <c:v>51.430000000000007</c:v>
                </c:pt>
                <c:pt idx="15">
                  <c:v>51.430000000000007</c:v>
                </c:pt>
                <c:pt idx="16">
                  <c:v>51.430000000000007</c:v>
                </c:pt>
                <c:pt idx="17">
                  <c:v>51.430000000000007</c:v>
                </c:pt>
                <c:pt idx="18">
                  <c:v>51.430000000000007</c:v>
                </c:pt>
                <c:pt idx="19">
                  <c:v>51.430000000000007</c:v>
                </c:pt>
                <c:pt idx="20">
                  <c:v>51.430000000000007</c:v>
                </c:pt>
                <c:pt idx="21">
                  <c:v>36.929999999999993</c:v>
                </c:pt>
                <c:pt idx="22">
                  <c:v>36.929999999999993</c:v>
                </c:pt>
                <c:pt idx="23">
                  <c:v>36.929999999999993</c:v>
                </c:pt>
                <c:pt idx="24">
                  <c:v>36.929999999999993</c:v>
                </c:pt>
                <c:pt idx="25">
                  <c:v>36.929999999999993</c:v>
                </c:pt>
                <c:pt idx="26">
                  <c:v>21.619999999999997</c:v>
                </c:pt>
                <c:pt idx="27">
                  <c:v>21.619999999999997</c:v>
                </c:pt>
                <c:pt idx="28">
                  <c:v>21.619999999999997</c:v>
                </c:pt>
                <c:pt idx="29">
                  <c:v>21.619999999999997</c:v>
                </c:pt>
                <c:pt idx="30">
                  <c:v>21.619999999999997</c:v>
                </c:pt>
              </c:numCache>
            </c:numRef>
          </c:val>
          <c:smooth val="0"/>
          <c:extLst>
            <c:ext xmlns:c16="http://schemas.microsoft.com/office/drawing/2014/chart" uri="{C3380CC4-5D6E-409C-BE32-E72D297353CC}">
              <c16:uniqueId val="{00000005-E061-48FE-821D-346A6F7A988D}"/>
            </c:ext>
          </c:extLst>
        </c:ser>
        <c:ser>
          <c:idx val="5"/>
          <c:order val="6"/>
          <c:tx>
            <c:v>Total demand + target headroom (baseline)</c:v>
          </c:tx>
          <c:marker>
            <c:symbol val="none"/>
          </c:marker>
          <c:cat>
            <c:strLit>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Lit>
          </c:cat>
          <c:val>
            <c:numRef>
              <c:f>ESWNCT!$G$374:$CI$374</c:f>
              <c:numCache>
                <c:formatCode>0.00</c:formatCode>
                <c:ptCount val="81"/>
                <c:pt idx="0">
                  <c:v>0</c:v>
                </c:pt>
                <c:pt idx="1">
                  <c:v>0</c:v>
                </c:pt>
                <c:pt idx="2">
                  <c:v>48.468025651991695</c:v>
                </c:pt>
                <c:pt idx="3">
                  <c:v>49.160892908083994</c:v>
                </c:pt>
                <c:pt idx="4">
                  <c:v>50.170548192593998</c:v>
                </c:pt>
                <c:pt idx="5">
                  <c:v>50.46295488369875</c:v>
                </c:pt>
                <c:pt idx="6">
                  <c:v>50.842449350677725</c:v>
                </c:pt>
                <c:pt idx="7">
                  <c:v>50.752223751212483</c:v>
                </c:pt>
                <c:pt idx="8">
                  <c:v>52.612019985990713</c:v>
                </c:pt>
                <c:pt idx="9">
                  <c:v>52.569679840112748</c:v>
                </c:pt>
                <c:pt idx="10">
                  <c:v>52.496887618001217</c:v>
                </c:pt>
                <c:pt idx="11">
                  <c:v>52.442371668325386</c:v>
                </c:pt>
                <c:pt idx="12">
                  <c:v>52.477291461680515</c:v>
                </c:pt>
                <c:pt idx="13">
                  <c:v>52.549276077608496</c:v>
                </c:pt>
                <c:pt idx="14">
                  <c:v>52.597566168713392</c:v>
                </c:pt>
                <c:pt idx="15">
                  <c:v>52.69190419091349</c:v>
                </c:pt>
                <c:pt idx="16">
                  <c:v>52.761205549773585</c:v>
                </c:pt>
                <c:pt idx="17">
                  <c:v>52.854050469317819</c:v>
                </c:pt>
                <c:pt idx="18">
                  <c:v>52.936008947335885</c:v>
                </c:pt>
                <c:pt idx="19">
                  <c:v>53.039321353624864</c:v>
                </c:pt>
                <c:pt idx="20">
                  <c:v>53.154501124321158</c:v>
                </c:pt>
                <c:pt idx="21">
                  <c:v>53.238169198682947</c:v>
                </c:pt>
                <c:pt idx="22">
                  <c:v>53.344901311297136</c:v>
                </c:pt>
                <c:pt idx="23">
                  <c:v>53.467222452465876</c:v>
                </c:pt>
                <c:pt idx="24">
                  <c:v>53.589899278817441</c:v>
                </c:pt>
                <c:pt idx="25">
                  <c:v>53.714366662690473</c:v>
                </c:pt>
                <c:pt idx="26">
                  <c:v>53.829226230757968</c:v>
                </c:pt>
                <c:pt idx="27">
                  <c:v>53.957123936841512</c:v>
                </c:pt>
                <c:pt idx="28">
                  <c:v>54.050076255204615</c:v>
                </c:pt>
                <c:pt idx="29">
                  <c:v>54.19098704002522</c:v>
                </c:pt>
                <c:pt idx="30">
                  <c:v>54.312615365358695</c:v>
                </c:pt>
              </c:numCache>
            </c:numRef>
          </c:val>
          <c:smooth val="0"/>
          <c:extLst>
            <c:ext xmlns:c16="http://schemas.microsoft.com/office/drawing/2014/chart" uri="{C3380CC4-5D6E-409C-BE32-E72D297353CC}">
              <c16:uniqueId val="{00000006-E061-48FE-821D-346A6F7A988D}"/>
            </c:ext>
          </c:extLst>
        </c:ser>
        <c:dLbls>
          <c:showLegendKey val="0"/>
          <c:showVal val="0"/>
          <c:showCatName val="0"/>
          <c:showSerName val="0"/>
          <c:showPercent val="0"/>
          <c:showBubbleSize val="0"/>
        </c:dLbls>
        <c:marker val="1"/>
        <c:smooth val="0"/>
        <c:axId val="909034472"/>
        <c:axId val="909034864"/>
      </c:lineChart>
      <c:catAx>
        <c:axId val="909034472"/>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en-US"/>
          </a:p>
        </c:txPr>
        <c:crossAx val="909034864"/>
        <c:crosses val="autoZero"/>
        <c:auto val="1"/>
        <c:lblAlgn val="ctr"/>
        <c:lblOffset val="100"/>
        <c:tickLblSkip val="2"/>
        <c:tickMarkSkip val="1"/>
        <c:noMultiLvlLbl val="0"/>
      </c:catAx>
      <c:valAx>
        <c:axId val="909034864"/>
        <c:scaling>
          <c:orientation val="minMax"/>
        </c:scaling>
        <c:delete val="0"/>
        <c:axPos val="l"/>
        <c:majorGridlines>
          <c:spPr>
            <a:ln w="3175">
              <a:solidFill>
                <a:srgbClr val="000000"/>
              </a:solidFill>
              <a:prstDash val="solid"/>
            </a:ln>
          </c:spPr>
        </c:majorGridlines>
        <c:title>
          <c:tx>
            <c:rich>
              <a:bodyPr/>
              <a:lstStyle/>
              <a:p>
                <a:pPr>
                  <a:defRPr sz="1175" b="1" i="0" u="none" strike="noStrike" baseline="0">
                    <a:solidFill>
                      <a:srgbClr val="000000"/>
                    </a:solidFill>
                    <a:latin typeface="Arial"/>
                    <a:ea typeface="Arial"/>
                    <a:cs typeface="Arial"/>
                  </a:defRPr>
                </a:pPr>
                <a:r>
                  <a:rPr lang="en-GB"/>
                  <a:t>Ml/d</a:t>
                </a:r>
              </a:p>
            </c:rich>
          </c:tx>
          <c:layout>
            <c:manualLayout>
              <c:xMode val="edge"/>
              <c:yMode val="edge"/>
              <c:x val="2.0359337875782983E-2"/>
              <c:y val="0.39858528733632054"/>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909034472"/>
        <c:crosses val="autoZero"/>
        <c:crossBetween val="midCat"/>
      </c:valAx>
      <c:spPr>
        <a:solidFill>
          <a:schemeClr val="bg1"/>
        </a:solidFill>
        <a:ln w="12700">
          <a:solidFill>
            <a:srgbClr val="808080"/>
          </a:solidFill>
          <a:prstDash val="solid"/>
        </a:ln>
      </c:spPr>
    </c:plotArea>
    <c:legend>
      <c:legendPos val="b"/>
      <c:legendEntry>
        <c:idx val="0"/>
        <c:txPr>
          <a:bodyPr/>
          <a:lstStyle/>
          <a:p>
            <a:pPr>
              <a:defRPr sz="1000" b="0" i="0" u="none" strike="noStrike" baseline="0">
                <a:solidFill>
                  <a:srgbClr val="000000"/>
                </a:solidFill>
                <a:latin typeface="Arial"/>
                <a:ea typeface="Arial"/>
                <a:cs typeface="Arial"/>
              </a:defRPr>
            </a:pPr>
            <a:endParaRPr lang="en-US"/>
          </a:p>
        </c:txPr>
      </c:legendEntry>
      <c:layout>
        <c:manualLayout>
          <c:xMode val="edge"/>
          <c:yMode val="edge"/>
          <c:x val="0.16452269470774322"/>
          <c:y val="0.82158446545736608"/>
          <c:w val="0.7156398695723647"/>
          <c:h val="0.16402912270077008"/>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0"/>
    <c:dispBlanksAs val="zero"/>
    <c:showDLblsOverMax val="0"/>
  </c:chart>
  <c:spPr>
    <a:solidFill>
      <a:schemeClr val="accent2"/>
    </a:solidFill>
    <a:ln w="3175">
      <a:solidFill>
        <a:srgbClr val="000000"/>
      </a:solidFill>
      <a:prstDash val="solid"/>
    </a:ln>
  </c:spPr>
  <c:txPr>
    <a:bodyPr/>
    <a:lstStyle/>
    <a:p>
      <a:pPr>
        <a:defRPr sz="975" b="0" i="0" u="none" strike="noStrike" baseline="0">
          <a:solidFill>
            <a:srgbClr val="000000"/>
          </a:solidFill>
          <a:latin typeface="Arial"/>
          <a:ea typeface="Arial"/>
          <a:cs typeface="Arial"/>
        </a:defRPr>
      </a:pPr>
      <a:endParaRPr lang="en-US"/>
    </a:p>
  </c:txPr>
  <c:printSettings>
    <c:headerFooter alignWithMargins="0"/>
    <c:pageMargins b="1" l="0.75000000000000622" r="0.75000000000000622" t="1" header="0.5" footer="0.5"/>
    <c:pageSetup paperSize="9" orientation="landscape"/>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75" b="1" i="0" u="none" strike="noStrike" baseline="0">
                <a:solidFill>
                  <a:srgbClr val="000000"/>
                </a:solidFill>
                <a:latin typeface="Arial"/>
                <a:ea typeface="Arial"/>
                <a:cs typeface="Arial"/>
              </a:defRPr>
            </a:pPr>
            <a:r>
              <a:rPr lang="en-GB"/>
              <a:t>DYAA Final Plan Water Supply-Demand Balance and Components of Demand</a:t>
            </a:r>
          </a:p>
        </c:rich>
      </c:tx>
      <c:layout>
        <c:manualLayout>
          <c:xMode val="edge"/>
          <c:yMode val="edge"/>
          <c:x val="0.2095809470200265"/>
          <c:y val="2.9013693730272669E-2"/>
        </c:manualLayout>
      </c:layout>
      <c:overlay val="0"/>
      <c:spPr>
        <a:noFill/>
        <a:ln w="25400">
          <a:noFill/>
        </a:ln>
      </c:spPr>
    </c:title>
    <c:autoTitleDeleted val="0"/>
    <c:plotArea>
      <c:layout>
        <c:manualLayout>
          <c:layoutTarget val="inner"/>
          <c:xMode val="edge"/>
          <c:yMode val="edge"/>
          <c:x val="8.5343266856694813E-2"/>
          <c:y val="0.10444884139344435"/>
          <c:w val="0.89146608097046709"/>
          <c:h val="0.55130264550264552"/>
        </c:manualLayout>
      </c:layout>
      <c:areaChart>
        <c:grouping val="stacked"/>
        <c:varyColors val="0"/>
        <c:ser>
          <c:idx val="6"/>
          <c:order val="0"/>
          <c:tx>
            <c:v>Measured household consumption</c:v>
          </c:tx>
          <c:spPr>
            <a:ln w="25400">
              <a:noFill/>
            </a:ln>
          </c:spPr>
          <c:cat>
            <c:strRef>
              <c:f>ESWNCT!$G$23:$CI$23</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ESWNCT!$G$377:$CI$377</c:f>
              <c:numCache>
                <c:formatCode>0.00</c:formatCode>
                <c:ptCount val="81"/>
                <c:pt idx="0">
                  <c:v>0</c:v>
                </c:pt>
                <c:pt idx="1">
                  <c:v>0</c:v>
                </c:pt>
                <c:pt idx="2">
                  <c:v>17.398467649188941</c:v>
                </c:pt>
                <c:pt idx="3">
                  <c:v>17.112564349480355</c:v>
                </c:pt>
                <c:pt idx="4">
                  <c:v>17.10333836520001</c:v>
                </c:pt>
                <c:pt idx="5">
                  <c:v>17.369327390850341</c:v>
                </c:pt>
                <c:pt idx="6">
                  <c:v>17.844914002387576</c:v>
                </c:pt>
                <c:pt idx="7">
                  <c:v>19.010056397003403</c:v>
                </c:pt>
                <c:pt idx="8">
                  <c:v>20.674352475081925</c:v>
                </c:pt>
                <c:pt idx="9">
                  <c:v>23.233064912866425</c:v>
                </c:pt>
                <c:pt idx="10">
                  <c:v>25.041640327661788</c:v>
                </c:pt>
                <c:pt idx="11">
                  <c:v>25.520284121279865</c:v>
                </c:pt>
                <c:pt idx="12">
                  <c:v>25.370557218143805</c:v>
                </c:pt>
                <c:pt idx="13">
                  <c:v>25.108004035023011</c:v>
                </c:pt>
                <c:pt idx="14">
                  <c:v>24.783021295675571</c:v>
                </c:pt>
                <c:pt idx="15">
                  <c:v>24.582953046727358</c:v>
                </c:pt>
                <c:pt idx="16">
                  <c:v>24.438656056959534</c:v>
                </c:pt>
                <c:pt idx="17">
                  <c:v>24.301660459262454</c:v>
                </c:pt>
                <c:pt idx="18">
                  <c:v>24.166101159352515</c:v>
                </c:pt>
                <c:pt idx="19">
                  <c:v>24.04287732172989</c:v>
                </c:pt>
                <c:pt idx="20">
                  <c:v>23.926546481020466</c:v>
                </c:pt>
                <c:pt idx="21">
                  <c:v>23.784724940733867</c:v>
                </c:pt>
                <c:pt idx="22">
                  <c:v>23.66909717495037</c:v>
                </c:pt>
                <c:pt idx="23">
                  <c:v>23.56465925705367</c:v>
                </c:pt>
                <c:pt idx="24">
                  <c:v>23.560355017304204</c:v>
                </c:pt>
                <c:pt idx="25">
                  <c:v>23.556221960850078</c:v>
                </c:pt>
                <c:pt idx="26">
                  <c:v>23.550206199480222</c:v>
                </c:pt>
                <c:pt idx="27">
                  <c:v>23.54953519508074</c:v>
                </c:pt>
                <c:pt idx="28">
                  <c:v>23.546865873589859</c:v>
                </c:pt>
                <c:pt idx="29">
                  <c:v>23.545689284396257</c:v>
                </c:pt>
                <c:pt idx="30">
                  <c:v>23.538776111658272</c:v>
                </c:pt>
              </c:numCache>
            </c:numRef>
          </c:val>
          <c:extLst>
            <c:ext xmlns:c16="http://schemas.microsoft.com/office/drawing/2014/chart" uri="{C3380CC4-5D6E-409C-BE32-E72D297353CC}">
              <c16:uniqueId val="{00000000-C6D8-4D82-AD4A-897110CDA5E2}"/>
            </c:ext>
          </c:extLst>
        </c:ser>
        <c:ser>
          <c:idx val="0"/>
          <c:order val="1"/>
          <c:tx>
            <c:v>Unmeasured household consumption</c:v>
          </c:tx>
          <c:spPr>
            <a:ln w="25400">
              <a:noFill/>
            </a:ln>
          </c:spPr>
          <c:cat>
            <c:strRef>
              <c:f>ESWNCT!$G$23:$CI$23</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ESWNCT!$G$378:$CI$378</c:f>
              <c:numCache>
                <c:formatCode>0.00</c:formatCode>
                <c:ptCount val="81"/>
                <c:pt idx="0">
                  <c:v>0</c:v>
                </c:pt>
                <c:pt idx="1">
                  <c:v>0</c:v>
                </c:pt>
                <c:pt idx="2">
                  <c:v>13.861692014340996</c:v>
                </c:pt>
                <c:pt idx="3">
                  <c:v>13.107647381913853</c:v>
                </c:pt>
                <c:pt idx="4">
                  <c:v>12.997183846151753</c:v>
                </c:pt>
                <c:pt idx="5">
                  <c:v>12.430353977244778</c:v>
                </c:pt>
                <c:pt idx="6">
                  <c:v>11.277097434244963</c:v>
                </c:pt>
                <c:pt idx="7">
                  <c:v>9.5642484961314249</c:v>
                </c:pt>
                <c:pt idx="8">
                  <c:v>6.8404245030056519</c:v>
                </c:pt>
                <c:pt idx="9">
                  <c:v>3.4704692283708485</c:v>
                </c:pt>
                <c:pt idx="10">
                  <c:v>1.1320680654735877</c:v>
                </c:pt>
                <c:pt idx="11">
                  <c:v>0.41825131485779987</c:v>
                </c:pt>
                <c:pt idx="12">
                  <c:v>0.40764556355967407</c:v>
                </c:pt>
                <c:pt idx="13">
                  <c:v>0.39723056474220703</c:v>
                </c:pt>
                <c:pt idx="14">
                  <c:v>0.38579448813416239</c:v>
                </c:pt>
                <c:pt idx="15">
                  <c:v>0.37457806368114033</c:v>
                </c:pt>
                <c:pt idx="16">
                  <c:v>0.36318462683440461</c:v>
                </c:pt>
                <c:pt idx="17">
                  <c:v>0.34970822141960345</c:v>
                </c:pt>
                <c:pt idx="18">
                  <c:v>0.33657230371192892</c:v>
                </c:pt>
                <c:pt idx="19">
                  <c:v>0.32388429724588808</c:v>
                </c:pt>
                <c:pt idx="20">
                  <c:v>0.31151614824913398</c:v>
                </c:pt>
                <c:pt idx="21">
                  <c:v>0.29953768122506352</c:v>
                </c:pt>
                <c:pt idx="22">
                  <c:v>0.28791779155041042</c:v>
                </c:pt>
                <c:pt idx="23">
                  <c:v>0.27679219127417021</c:v>
                </c:pt>
                <c:pt idx="24">
                  <c:v>0.26730458740713142</c:v>
                </c:pt>
                <c:pt idx="25">
                  <c:v>0.25806050604956454</c:v>
                </c:pt>
                <c:pt idx="26">
                  <c:v>0.24909600086014488</c:v>
                </c:pt>
                <c:pt idx="27">
                  <c:v>0.24042807454042142</c:v>
                </c:pt>
                <c:pt idx="28">
                  <c:v>0.23194604794120638</c:v>
                </c:pt>
                <c:pt idx="29">
                  <c:v>0.22367813455791338</c:v>
                </c:pt>
                <c:pt idx="30">
                  <c:v>0.21552338420091438</c:v>
                </c:pt>
              </c:numCache>
            </c:numRef>
          </c:val>
          <c:extLst>
            <c:ext xmlns:c16="http://schemas.microsoft.com/office/drawing/2014/chart" uri="{C3380CC4-5D6E-409C-BE32-E72D297353CC}">
              <c16:uniqueId val="{00000001-C6D8-4D82-AD4A-897110CDA5E2}"/>
            </c:ext>
          </c:extLst>
        </c:ser>
        <c:ser>
          <c:idx val="1"/>
          <c:order val="2"/>
          <c:tx>
            <c:v>Non-household consumption</c:v>
          </c:tx>
          <c:spPr>
            <a:ln w="25400">
              <a:noFill/>
            </a:ln>
          </c:spPr>
          <c:cat>
            <c:strRef>
              <c:f>ESWNCT!$G$23:$CI$23</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ESWNCT!$G$379:$CI$379</c:f>
              <c:numCache>
                <c:formatCode>0.00</c:formatCode>
                <c:ptCount val="81"/>
                <c:pt idx="0">
                  <c:v>0</c:v>
                </c:pt>
                <c:pt idx="1">
                  <c:v>0</c:v>
                </c:pt>
                <c:pt idx="2">
                  <c:v>10.68025832804982</c:v>
                </c:pt>
                <c:pt idx="3">
                  <c:v>11.89615012042419</c:v>
                </c:pt>
                <c:pt idx="4">
                  <c:v>13.265936841019769</c:v>
                </c:pt>
                <c:pt idx="5">
                  <c:v>13.993383085544702</c:v>
                </c:pt>
                <c:pt idx="6">
                  <c:v>14.583167791258509</c:v>
                </c:pt>
                <c:pt idx="7">
                  <c:v>14.732212650683987</c:v>
                </c:pt>
                <c:pt idx="8">
                  <c:v>16.802447141623556</c:v>
                </c:pt>
                <c:pt idx="9">
                  <c:v>16.788761327868251</c:v>
                </c:pt>
                <c:pt idx="10">
                  <c:v>16.770628684284745</c:v>
                </c:pt>
                <c:pt idx="11">
                  <c:v>16.690887236250958</c:v>
                </c:pt>
                <c:pt idx="12">
                  <c:v>16.606375505464939</c:v>
                </c:pt>
                <c:pt idx="13">
                  <c:v>16.521589536047085</c:v>
                </c:pt>
                <c:pt idx="14">
                  <c:v>16.436413155780546</c:v>
                </c:pt>
                <c:pt idx="15">
                  <c:v>16.351103686978856</c:v>
                </c:pt>
                <c:pt idx="16">
                  <c:v>16.272573152147004</c:v>
                </c:pt>
                <c:pt idx="17">
                  <c:v>16.192369584740945</c:v>
                </c:pt>
                <c:pt idx="18">
                  <c:v>16.111452770316582</c:v>
                </c:pt>
                <c:pt idx="19">
                  <c:v>16.156123831057787</c:v>
                </c:pt>
                <c:pt idx="20">
                  <c:v>16.20044729123758</c:v>
                </c:pt>
                <c:pt idx="21">
                  <c:v>16.244634021037204</c:v>
                </c:pt>
                <c:pt idx="22">
                  <c:v>16.287689792470886</c:v>
                </c:pt>
                <c:pt idx="23">
                  <c:v>16.329940830827734</c:v>
                </c:pt>
                <c:pt idx="24">
                  <c:v>16.371343810613308</c:v>
                </c:pt>
                <c:pt idx="25">
                  <c:v>16.411871279410473</c:v>
                </c:pt>
                <c:pt idx="26">
                  <c:v>16.451504377002827</c:v>
                </c:pt>
                <c:pt idx="27">
                  <c:v>16.49040014030637</c:v>
                </c:pt>
                <c:pt idx="28">
                  <c:v>16.528653282668238</c:v>
                </c:pt>
                <c:pt idx="29">
                  <c:v>16.56627701501122</c:v>
                </c:pt>
                <c:pt idx="30">
                  <c:v>16.603263178405744</c:v>
                </c:pt>
              </c:numCache>
            </c:numRef>
          </c:val>
          <c:extLst>
            <c:ext xmlns:c16="http://schemas.microsoft.com/office/drawing/2014/chart" uri="{C3380CC4-5D6E-409C-BE32-E72D297353CC}">
              <c16:uniqueId val="{00000002-C6D8-4D82-AD4A-897110CDA5E2}"/>
            </c:ext>
          </c:extLst>
        </c:ser>
        <c:ser>
          <c:idx val="2"/>
          <c:order val="3"/>
          <c:tx>
            <c:v>Total leakage</c:v>
          </c:tx>
          <c:spPr>
            <a:ln w="25400">
              <a:noFill/>
            </a:ln>
          </c:spPr>
          <c:cat>
            <c:strRef>
              <c:f>ESWNCT!$G$23:$CI$23</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ESWNCT!$G$380:$CI$380</c:f>
              <c:numCache>
                <c:formatCode>0.00</c:formatCode>
                <c:ptCount val="81"/>
                <c:pt idx="0">
                  <c:v>0</c:v>
                </c:pt>
                <c:pt idx="1">
                  <c:v>0</c:v>
                </c:pt>
                <c:pt idx="2">
                  <c:v>2.7140564682276551</c:v>
                </c:pt>
                <c:pt idx="3">
                  <c:v>3.0110663999999998</c:v>
                </c:pt>
                <c:pt idx="4">
                  <c:v>2.8933151999999995</c:v>
                </c:pt>
                <c:pt idx="5">
                  <c:v>2.7755640000000001</c:v>
                </c:pt>
                <c:pt idx="6">
                  <c:v>2.7473904000000005</c:v>
                </c:pt>
                <c:pt idx="7">
                  <c:v>2.7192167999999999</c:v>
                </c:pt>
                <c:pt idx="8">
                  <c:v>2.6910431999999997</c:v>
                </c:pt>
                <c:pt idx="9">
                  <c:v>2.6628695999999996</c:v>
                </c:pt>
                <c:pt idx="10">
                  <c:v>2.6346959999999999</c:v>
                </c:pt>
                <c:pt idx="11">
                  <c:v>2.6065223999999994</c:v>
                </c:pt>
                <c:pt idx="12">
                  <c:v>2.5783487999999988</c:v>
                </c:pt>
                <c:pt idx="13">
                  <c:v>2.5501751999999991</c:v>
                </c:pt>
                <c:pt idx="14">
                  <c:v>2.522001599999999</c:v>
                </c:pt>
                <c:pt idx="15">
                  <c:v>2.4938279999999988</c:v>
                </c:pt>
                <c:pt idx="16">
                  <c:v>2.4656543999999987</c:v>
                </c:pt>
                <c:pt idx="17">
                  <c:v>2.4374807999999986</c:v>
                </c:pt>
                <c:pt idx="18">
                  <c:v>2.4093071999999984</c:v>
                </c:pt>
                <c:pt idx="19">
                  <c:v>2.3811335999999983</c:v>
                </c:pt>
                <c:pt idx="20">
                  <c:v>2.3529599999999982</c:v>
                </c:pt>
                <c:pt idx="21">
                  <c:v>2.324786399999998</c:v>
                </c:pt>
                <c:pt idx="22">
                  <c:v>2.2966127999999979</c:v>
                </c:pt>
                <c:pt idx="23">
                  <c:v>2.2684391999999978</c:v>
                </c:pt>
                <c:pt idx="24">
                  <c:v>2.2402655999999976</c:v>
                </c:pt>
                <c:pt idx="25">
                  <c:v>2.2120919999999975</c:v>
                </c:pt>
                <c:pt idx="26">
                  <c:v>2.1839183999999974</c:v>
                </c:pt>
                <c:pt idx="27">
                  <c:v>2.1557447999999972</c:v>
                </c:pt>
                <c:pt idx="28">
                  <c:v>2.1275711999999971</c:v>
                </c:pt>
                <c:pt idx="29">
                  <c:v>2.099397599999997</c:v>
                </c:pt>
                <c:pt idx="30">
                  <c:v>2.071224</c:v>
                </c:pt>
              </c:numCache>
            </c:numRef>
          </c:val>
          <c:extLst>
            <c:ext xmlns:c16="http://schemas.microsoft.com/office/drawing/2014/chart" uri="{C3380CC4-5D6E-409C-BE32-E72D297353CC}">
              <c16:uniqueId val="{00000003-C6D8-4D82-AD4A-897110CDA5E2}"/>
            </c:ext>
          </c:extLst>
        </c:ser>
        <c:ser>
          <c:idx val="3"/>
          <c:order val="4"/>
          <c:tx>
            <c:v>Other components of demand</c:v>
          </c:tx>
          <c:spPr>
            <a:ln w="25400">
              <a:noFill/>
            </a:ln>
          </c:spPr>
          <c:cat>
            <c:strRef>
              <c:f>ESWNCT!$G$23:$CI$23</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ESWNCT!$G$381:$CI$381</c:f>
              <c:numCache>
                <c:formatCode>0.00</c:formatCode>
                <c:ptCount val="81"/>
                <c:pt idx="0">
                  <c:v>0</c:v>
                </c:pt>
                <c:pt idx="1">
                  <c:v>0</c:v>
                </c:pt>
                <c:pt idx="2">
                  <c:v>1.8115870309918378</c:v>
                </c:pt>
                <c:pt idx="3">
                  <c:v>1.803237358100823</c:v>
                </c:pt>
                <c:pt idx="4">
                  <c:v>1.8026674142220429</c:v>
                </c:pt>
                <c:pt idx="5">
                  <c:v>1.8025335791050949</c:v>
                </c:pt>
                <c:pt idx="6">
                  <c:v>1.8035672538441574</c:v>
                </c:pt>
                <c:pt idx="7">
                  <c:v>1.8033168071078549</c:v>
                </c:pt>
                <c:pt idx="8">
                  <c:v>1.8029890106497746</c:v>
                </c:pt>
                <c:pt idx="9">
                  <c:v>1.8027315661319108</c:v>
                </c:pt>
                <c:pt idx="10">
                  <c:v>1.8024915882045462</c:v>
                </c:pt>
                <c:pt idx="11">
                  <c:v>1.8022075156587007</c:v>
                </c:pt>
                <c:pt idx="12">
                  <c:v>1.8018779244496841</c:v>
                </c:pt>
                <c:pt idx="13">
                  <c:v>1.8015378194869101</c:v>
                </c:pt>
                <c:pt idx="14">
                  <c:v>1.801200134169946</c:v>
                </c:pt>
                <c:pt idx="15">
                  <c:v>1.8008624261003732</c:v>
                </c:pt>
                <c:pt idx="16">
                  <c:v>1.800526935707019</c:v>
                </c:pt>
                <c:pt idx="17">
                  <c:v>1.8001945170218434</c:v>
                </c:pt>
                <c:pt idx="18">
                  <c:v>1.7998648200872083</c:v>
                </c:pt>
                <c:pt idx="19">
                  <c:v>1.7995380958808909</c:v>
                </c:pt>
                <c:pt idx="20">
                  <c:v>1.7992171949442479</c:v>
                </c:pt>
                <c:pt idx="21">
                  <c:v>1.7988994479192897</c:v>
                </c:pt>
                <c:pt idx="22">
                  <c:v>1.7985850143956341</c:v>
                </c:pt>
                <c:pt idx="23">
                  <c:v>1.7982733437020855</c:v>
                </c:pt>
                <c:pt idx="24">
                  <c:v>1.7979643782632166</c:v>
                </c:pt>
                <c:pt idx="25">
                  <c:v>1.7976582740552871</c:v>
                </c:pt>
                <c:pt idx="26">
                  <c:v>1.7973550402710075</c:v>
                </c:pt>
                <c:pt idx="27">
                  <c:v>1.797054614335444</c:v>
                </c:pt>
                <c:pt idx="28">
                  <c:v>1.7967570498591385</c:v>
                </c:pt>
                <c:pt idx="29">
                  <c:v>1.7964626545509788</c:v>
                </c:pt>
                <c:pt idx="30">
                  <c:v>1.7961713681872808</c:v>
                </c:pt>
              </c:numCache>
            </c:numRef>
          </c:val>
          <c:extLst>
            <c:ext xmlns:c16="http://schemas.microsoft.com/office/drawing/2014/chart" uri="{C3380CC4-5D6E-409C-BE32-E72D297353CC}">
              <c16:uniqueId val="{00000004-C6D8-4D82-AD4A-897110CDA5E2}"/>
            </c:ext>
          </c:extLst>
        </c:ser>
        <c:dLbls>
          <c:showLegendKey val="0"/>
          <c:showVal val="0"/>
          <c:showCatName val="0"/>
          <c:showSerName val="0"/>
          <c:showPercent val="0"/>
          <c:showBubbleSize val="0"/>
        </c:dLbls>
        <c:axId val="864303240"/>
        <c:axId val="864303632"/>
      </c:areaChart>
      <c:lineChart>
        <c:grouping val="standard"/>
        <c:varyColors val="0"/>
        <c:ser>
          <c:idx val="4"/>
          <c:order val="5"/>
          <c:tx>
            <c:v>Total water available for use</c:v>
          </c:tx>
          <c:marker>
            <c:symbol val="none"/>
          </c:marker>
          <c:cat>
            <c:strLit>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Lit>
          </c:cat>
          <c:val>
            <c:numRef>
              <c:f>ESWNCT!$G$382:$CI$382</c:f>
              <c:numCache>
                <c:formatCode>0.00</c:formatCode>
                <c:ptCount val="81"/>
                <c:pt idx="0">
                  <c:v>0</c:v>
                </c:pt>
                <c:pt idx="1">
                  <c:v>0</c:v>
                </c:pt>
                <c:pt idx="2">
                  <c:v>59.910479416597489</c:v>
                </c:pt>
                <c:pt idx="3">
                  <c:v>59.784463325513251</c:v>
                </c:pt>
                <c:pt idx="4">
                  <c:v>59.769186726943765</c:v>
                </c:pt>
                <c:pt idx="5">
                  <c:v>59.721346538898466</c:v>
                </c:pt>
                <c:pt idx="6">
                  <c:v>59.617617431382065</c:v>
                </c:pt>
                <c:pt idx="7">
                  <c:v>58.961469104569453</c:v>
                </c:pt>
                <c:pt idx="8">
                  <c:v>58.806990129163907</c:v>
                </c:pt>
                <c:pt idx="9">
                  <c:v>56.687931597862871</c:v>
                </c:pt>
                <c:pt idx="10">
                  <c:v>58.873637568374832</c:v>
                </c:pt>
                <c:pt idx="11">
                  <c:v>54.815483669173368</c:v>
                </c:pt>
                <c:pt idx="12">
                  <c:v>55.113767296611641</c:v>
                </c:pt>
                <c:pt idx="13">
                  <c:v>58.293027950544854</c:v>
                </c:pt>
                <c:pt idx="14">
                  <c:v>58.403130729699072</c:v>
                </c:pt>
                <c:pt idx="15">
                  <c:v>58.553117483788668</c:v>
                </c:pt>
                <c:pt idx="16">
                  <c:v>58.643502878253457</c:v>
                </c:pt>
                <c:pt idx="17">
                  <c:v>58.706287491074292</c:v>
                </c:pt>
                <c:pt idx="18">
                  <c:v>58.775588543078442</c:v>
                </c:pt>
                <c:pt idx="19">
                  <c:v>58.807207864234073</c:v>
                </c:pt>
                <c:pt idx="20">
                  <c:v>58.847436313223263</c:v>
                </c:pt>
                <c:pt idx="21">
                  <c:v>62.733603875993353</c:v>
                </c:pt>
                <c:pt idx="22">
                  <c:v>62.781193825261113</c:v>
                </c:pt>
                <c:pt idx="23">
                  <c:v>62.838831651931073</c:v>
                </c:pt>
                <c:pt idx="24">
                  <c:v>62.868407622966394</c:v>
                </c:pt>
                <c:pt idx="25">
                  <c:v>62.875523008684553</c:v>
                </c:pt>
                <c:pt idx="26">
                  <c:v>46.104037490722362</c:v>
                </c:pt>
                <c:pt idx="27">
                  <c:v>46.102324044515946</c:v>
                </c:pt>
                <c:pt idx="28">
                  <c:v>46.102597828193893</c:v>
                </c:pt>
                <c:pt idx="29">
                  <c:v>46.082327632301897</c:v>
                </c:pt>
                <c:pt idx="30">
                  <c:v>46.076526834759115</c:v>
                </c:pt>
              </c:numCache>
            </c:numRef>
          </c:val>
          <c:smooth val="0"/>
          <c:extLst>
            <c:ext xmlns:c16="http://schemas.microsoft.com/office/drawing/2014/chart" uri="{C3380CC4-5D6E-409C-BE32-E72D297353CC}">
              <c16:uniqueId val="{00000005-C6D8-4D82-AD4A-897110CDA5E2}"/>
            </c:ext>
          </c:extLst>
        </c:ser>
        <c:ser>
          <c:idx val="5"/>
          <c:order val="6"/>
          <c:tx>
            <c:v>Total demand + target headroom (final plan)</c:v>
          </c:tx>
          <c:marker>
            <c:symbol val="none"/>
          </c:marker>
          <c:cat>
            <c:strLit>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Lit>
          </c:cat>
          <c:val>
            <c:numRef>
              <c:f>ESWNCT!$G$383:$CI$383</c:f>
              <c:numCache>
                <c:formatCode>0.00</c:formatCode>
                <c:ptCount val="81"/>
                <c:pt idx="0">
                  <c:v>0</c:v>
                </c:pt>
                <c:pt idx="1">
                  <c:v>0</c:v>
                </c:pt>
                <c:pt idx="2">
                  <c:v>48.46255083475247</c:v>
                </c:pt>
                <c:pt idx="3">
                  <c:v>49.153822010129922</c:v>
                </c:pt>
                <c:pt idx="4">
                  <c:v>50.153571882270924</c:v>
                </c:pt>
                <c:pt idx="5">
                  <c:v>50.396720685598922</c:v>
                </c:pt>
                <c:pt idx="6">
                  <c:v>50.311404258474397</c:v>
                </c:pt>
                <c:pt idx="7">
                  <c:v>49.569469707408793</c:v>
                </c:pt>
                <c:pt idx="8">
                  <c:v>50.353739208327298</c:v>
                </c:pt>
                <c:pt idx="9">
                  <c:v>49.33752445960824</c:v>
                </c:pt>
                <c:pt idx="10">
                  <c:v>48.673372386622951</c:v>
                </c:pt>
                <c:pt idx="11">
                  <c:v>48.207598464713044</c:v>
                </c:pt>
                <c:pt idx="12">
                  <c:v>47.873061141903754</c:v>
                </c:pt>
                <c:pt idx="13">
                  <c:v>47.442228240412724</c:v>
                </c:pt>
                <c:pt idx="14">
                  <c:v>46.95893960922438</c:v>
                </c:pt>
                <c:pt idx="15">
                  <c:v>46.60112461301398</c:v>
                </c:pt>
                <c:pt idx="16">
                  <c:v>46.310156181354486</c:v>
                </c:pt>
                <c:pt idx="17">
                  <c:v>46.019000548879781</c:v>
                </c:pt>
                <c:pt idx="18">
                  <c:v>45.737053945970722</c:v>
                </c:pt>
                <c:pt idx="19">
                  <c:v>45.588076848040785</c:v>
                </c:pt>
                <c:pt idx="20">
                  <c:v>45.454553468077201</c:v>
                </c:pt>
                <c:pt idx="21">
                  <c:v>45.289568020162747</c:v>
                </c:pt>
                <c:pt idx="22">
                  <c:v>45.161823030370094</c:v>
                </c:pt>
                <c:pt idx="23">
                  <c:v>45.043892644743977</c:v>
                </c:pt>
                <c:pt idx="24">
                  <c:v>45.027290033133127</c:v>
                </c:pt>
                <c:pt idx="25">
                  <c:v>45.003327728691261</c:v>
                </c:pt>
                <c:pt idx="26">
                  <c:v>45.036401250454361</c:v>
                </c:pt>
                <c:pt idx="27">
                  <c:v>45.020882776234671</c:v>
                </c:pt>
                <c:pt idx="28">
                  <c:v>44.977671120704997</c:v>
                </c:pt>
                <c:pt idx="29">
                  <c:v>44.980654520024871</c:v>
                </c:pt>
                <c:pt idx="30">
                  <c:v>44.9653846359288</c:v>
                </c:pt>
              </c:numCache>
            </c:numRef>
          </c:val>
          <c:smooth val="0"/>
          <c:extLst>
            <c:ext xmlns:c16="http://schemas.microsoft.com/office/drawing/2014/chart" uri="{C3380CC4-5D6E-409C-BE32-E72D297353CC}">
              <c16:uniqueId val="{00000006-C6D8-4D82-AD4A-897110CDA5E2}"/>
            </c:ext>
          </c:extLst>
        </c:ser>
        <c:dLbls>
          <c:showLegendKey val="0"/>
          <c:showVal val="0"/>
          <c:showCatName val="0"/>
          <c:showSerName val="0"/>
          <c:showPercent val="0"/>
          <c:showBubbleSize val="0"/>
        </c:dLbls>
        <c:marker val="1"/>
        <c:smooth val="0"/>
        <c:axId val="864303240"/>
        <c:axId val="864303632"/>
      </c:lineChart>
      <c:catAx>
        <c:axId val="864303240"/>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en-US"/>
          </a:p>
        </c:txPr>
        <c:crossAx val="864303632"/>
        <c:crosses val="autoZero"/>
        <c:auto val="1"/>
        <c:lblAlgn val="ctr"/>
        <c:lblOffset val="100"/>
        <c:tickLblSkip val="2"/>
        <c:tickMarkSkip val="1"/>
        <c:noMultiLvlLbl val="0"/>
      </c:catAx>
      <c:valAx>
        <c:axId val="864303632"/>
        <c:scaling>
          <c:orientation val="minMax"/>
        </c:scaling>
        <c:delete val="0"/>
        <c:axPos val="l"/>
        <c:majorGridlines>
          <c:spPr>
            <a:ln w="3175">
              <a:solidFill>
                <a:srgbClr val="000000"/>
              </a:solidFill>
              <a:prstDash val="solid"/>
            </a:ln>
          </c:spPr>
        </c:majorGridlines>
        <c:title>
          <c:tx>
            <c:rich>
              <a:bodyPr/>
              <a:lstStyle/>
              <a:p>
                <a:pPr>
                  <a:defRPr sz="1175" b="1" i="0" u="none" strike="noStrike" baseline="0">
                    <a:solidFill>
                      <a:srgbClr val="000000"/>
                    </a:solidFill>
                    <a:latin typeface="Arial"/>
                    <a:ea typeface="Arial"/>
                    <a:cs typeface="Arial"/>
                  </a:defRPr>
                </a:pPr>
                <a:r>
                  <a:rPr lang="en-GB"/>
                  <a:t>Ml/d</a:t>
                </a:r>
              </a:p>
            </c:rich>
          </c:tx>
          <c:layout>
            <c:manualLayout>
              <c:xMode val="edge"/>
              <c:yMode val="edge"/>
              <c:x val="2.0359337875782983E-2"/>
              <c:y val="0.39858528733632054"/>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864303240"/>
        <c:crosses val="autoZero"/>
        <c:crossBetween val="midCat"/>
      </c:valAx>
      <c:spPr>
        <a:solidFill>
          <a:schemeClr val="bg1"/>
        </a:solidFill>
        <a:ln w="12700">
          <a:solidFill>
            <a:srgbClr val="808080"/>
          </a:solidFill>
          <a:prstDash val="solid"/>
        </a:ln>
      </c:spPr>
    </c:plotArea>
    <c:legend>
      <c:legendPos val="b"/>
      <c:legendEntry>
        <c:idx val="0"/>
        <c:txPr>
          <a:bodyPr/>
          <a:lstStyle/>
          <a:p>
            <a:pPr>
              <a:defRPr sz="1000" b="0" i="0" u="none" strike="noStrike" baseline="0">
                <a:solidFill>
                  <a:srgbClr val="000000"/>
                </a:solidFill>
                <a:latin typeface="Arial"/>
                <a:ea typeface="Arial"/>
                <a:cs typeface="Arial"/>
              </a:defRPr>
            </a:pPr>
            <a:endParaRPr lang="en-US"/>
          </a:p>
        </c:txPr>
      </c:legendEntry>
      <c:layout>
        <c:manualLayout>
          <c:xMode val="edge"/>
          <c:yMode val="edge"/>
          <c:x val="0.16452269470774322"/>
          <c:y val="0.82158446545736608"/>
          <c:w val="0.7156398695723647"/>
          <c:h val="0.16402912270077008"/>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0"/>
    <c:dispBlanksAs val="zero"/>
    <c:showDLblsOverMax val="0"/>
  </c:chart>
  <c:spPr>
    <a:solidFill>
      <a:schemeClr val="accent4"/>
    </a:solidFill>
    <a:ln w="3175">
      <a:solidFill>
        <a:srgbClr val="000000"/>
      </a:solidFill>
      <a:prstDash val="solid"/>
    </a:ln>
  </c:spPr>
  <c:txPr>
    <a:bodyPr/>
    <a:lstStyle/>
    <a:p>
      <a:pPr>
        <a:defRPr sz="975" b="0" i="0" u="none" strike="noStrike" baseline="0">
          <a:solidFill>
            <a:srgbClr val="000000"/>
          </a:solidFill>
          <a:latin typeface="Arial"/>
          <a:ea typeface="Arial"/>
          <a:cs typeface="Arial"/>
        </a:defRPr>
      </a:pPr>
      <a:endParaRPr lang="en-US"/>
    </a:p>
  </c:txPr>
  <c:printSettings>
    <c:headerFooter alignWithMargins="0"/>
    <c:pageMargins b="1" l="0.75000000000000622" r="0.75000000000000622" t="1" header="0.5" footer="0.5"/>
    <c:pageSetup paperSize="9" orientation="landscape"/>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75" b="1" i="0" u="none" strike="noStrike" baseline="0">
                <a:solidFill>
                  <a:srgbClr val="000000"/>
                </a:solidFill>
                <a:latin typeface="Arial"/>
                <a:ea typeface="Arial"/>
                <a:cs typeface="Arial"/>
              </a:defRPr>
            </a:pPr>
            <a:r>
              <a:rPr lang="en-GB"/>
              <a:t>DYCP Baseline Water Supply-Demand Balance and Components of Demand</a:t>
            </a:r>
          </a:p>
        </c:rich>
      </c:tx>
      <c:layout>
        <c:manualLayout>
          <c:xMode val="edge"/>
          <c:yMode val="edge"/>
          <c:x val="0.2095809470200265"/>
          <c:y val="2.9013693730272669E-2"/>
        </c:manualLayout>
      </c:layout>
      <c:overlay val="0"/>
      <c:spPr>
        <a:noFill/>
        <a:ln w="25400">
          <a:noFill/>
        </a:ln>
      </c:spPr>
    </c:title>
    <c:autoTitleDeleted val="0"/>
    <c:plotArea>
      <c:layout>
        <c:manualLayout>
          <c:layoutTarget val="inner"/>
          <c:xMode val="edge"/>
          <c:yMode val="edge"/>
          <c:x val="8.5343266856694813E-2"/>
          <c:y val="0.10444884139344435"/>
          <c:w val="0.89146608097046709"/>
          <c:h val="0.55130264550264552"/>
        </c:manualLayout>
      </c:layout>
      <c:areaChart>
        <c:grouping val="stacked"/>
        <c:varyColors val="0"/>
        <c:ser>
          <c:idx val="6"/>
          <c:order val="0"/>
          <c:tx>
            <c:v>Measured household consumption</c:v>
          </c:tx>
          <c:spPr>
            <a:ln w="25400">
              <a:noFill/>
            </a:ln>
          </c:spPr>
          <c:cat>
            <c:strRef>
              <c:f>ESWNCT!$G$204:$CI$204</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ESWNCT!$G$386:$CI$386</c:f>
              <c:numCache>
                <c:formatCode>0.00</c:formatCode>
                <c:ptCount val="81"/>
                <c:pt idx="0">
                  <c:v>0</c:v>
                </c:pt>
                <c:pt idx="1">
                  <c:v>0</c:v>
                </c:pt>
                <c:pt idx="2">
                  <c:v>17.516097802986845</c:v>
                </c:pt>
                <c:pt idx="3">
                  <c:v>17.264025797381894</c:v>
                </c:pt>
                <c:pt idx="4">
                  <c:v>17.254925402260845</c:v>
                </c:pt>
                <c:pt idx="5">
                  <c:v>17.523662073925081</c:v>
                </c:pt>
                <c:pt idx="6">
                  <c:v>18.261496903224383</c:v>
                </c:pt>
                <c:pt idx="7">
                  <c:v>18.975899859168791</c:v>
                </c:pt>
                <c:pt idx="8">
                  <c:v>19.289108640622125</c:v>
                </c:pt>
                <c:pt idx="9">
                  <c:v>19.585824719053878</c:v>
                </c:pt>
                <c:pt idx="10">
                  <c:v>19.853022000353047</c:v>
                </c:pt>
                <c:pt idx="11">
                  <c:v>20.058742426322294</c:v>
                </c:pt>
                <c:pt idx="12">
                  <c:v>20.20978157953197</c:v>
                </c:pt>
                <c:pt idx="13">
                  <c:v>20.361046485752496</c:v>
                </c:pt>
                <c:pt idx="14">
                  <c:v>20.5113107609968</c:v>
                </c:pt>
                <c:pt idx="15">
                  <c:v>20.674671634735724</c:v>
                </c:pt>
                <c:pt idx="16">
                  <c:v>20.827894192520017</c:v>
                </c:pt>
                <c:pt idx="17">
                  <c:v>20.98525948727799</c:v>
                </c:pt>
                <c:pt idx="18">
                  <c:v>21.142150849669459</c:v>
                </c:pt>
                <c:pt idx="19">
                  <c:v>21.309027724055341</c:v>
                </c:pt>
                <c:pt idx="20">
                  <c:v>21.483823839378896</c:v>
                </c:pt>
                <c:pt idx="21">
                  <c:v>21.626915737999457</c:v>
                </c:pt>
                <c:pt idx="22">
                  <c:v>21.797786540128072</c:v>
                </c:pt>
                <c:pt idx="23">
                  <c:v>21.97319651722805</c:v>
                </c:pt>
                <c:pt idx="24">
                  <c:v>22.146777903546216</c:v>
                </c:pt>
                <c:pt idx="25">
                  <c:v>22.318696119559192</c:v>
                </c:pt>
                <c:pt idx="26">
                  <c:v>22.484115488505513</c:v>
                </c:pt>
                <c:pt idx="27">
                  <c:v>22.651102942942561</c:v>
                </c:pt>
                <c:pt idx="28">
                  <c:v>22.815450849286272</c:v>
                </c:pt>
                <c:pt idx="29">
                  <c:v>22.980174509484637</c:v>
                </c:pt>
                <c:pt idx="30">
                  <c:v>23.140171523107817</c:v>
                </c:pt>
              </c:numCache>
            </c:numRef>
          </c:val>
          <c:extLst>
            <c:ext xmlns:c16="http://schemas.microsoft.com/office/drawing/2014/chart" uri="{C3380CC4-5D6E-409C-BE32-E72D297353CC}">
              <c16:uniqueId val="{00000000-5A40-4696-98F4-F640DCFA06B4}"/>
            </c:ext>
          </c:extLst>
        </c:ser>
        <c:ser>
          <c:idx val="0"/>
          <c:order val="1"/>
          <c:tx>
            <c:v>Unmeasured household consumption</c:v>
          </c:tx>
          <c:spPr>
            <a:ln w="25400">
              <a:noFill/>
            </a:ln>
          </c:spPr>
          <c:cat>
            <c:strRef>
              <c:f>ESWNCT!$G$204:$CI$204</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ESWNCT!$G$387:$CI$387</c:f>
              <c:numCache>
                <c:formatCode>0.00</c:formatCode>
                <c:ptCount val="81"/>
                <c:pt idx="0">
                  <c:v>0</c:v>
                </c:pt>
                <c:pt idx="1">
                  <c:v>0</c:v>
                </c:pt>
                <c:pt idx="2">
                  <c:v>18.503885341554472</c:v>
                </c:pt>
                <c:pt idx="3">
                  <c:v>17.497315912193955</c:v>
                </c:pt>
                <c:pt idx="4">
                  <c:v>17.349858834223248</c:v>
                </c:pt>
                <c:pt idx="5">
                  <c:v>16.593201213236444</c:v>
                </c:pt>
                <c:pt idx="6">
                  <c:v>15.309933642106794</c:v>
                </c:pt>
                <c:pt idx="7">
                  <c:v>14.313812555747361</c:v>
                </c:pt>
                <c:pt idx="8">
                  <c:v>13.930073582397007</c:v>
                </c:pt>
                <c:pt idx="9">
                  <c:v>13.548890446231105</c:v>
                </c:pt>
                <c:pt idx="10">
                  <c:v>13.169087870494591</c:v>
                </c:pt>
                <c:pt idx="11">
                  <c:v>12.910020385724806</c:v>
                </c:pt>
                <c:pt idx="12">
                  <c:v>12.775142563889389</c:v>
                </c:pt>
                <c:pt idx="13">
                  <c:v>12.642770247917195</c:v>
                </c:pt>
                <c:pt idx="14">
                  <c:v>12.511636932657247</c:v>
                </c:pt>
                <c:pt idx="15">
                  <c:v>12.382674044333706</c:v>
                </c:pt>
                <c:pt idx="16">
                  <c:v>12.264777239650313</c:v>
                </c:pt>
                <c:pt idx="17">
                  <c:v>12.14897140444473</c:v>
                </c:pt>
                <c:pt idx="18">
                  <c:v>12.034002886564332</c:v>
                </c:pt>
                <c:pt idx="19">
                  <c:v>11.923285141020553</c:v>
                </c:pt>
                <c:pt idx="20">
                  <c:v>11.813394751866255</c:v>
                </c:pt>
                <c:pt idx="21">
                  <c:v>11.704048702225432</c:v>
                </c:pt>
                <c:pt idx="22">
                  <c:v>11.59693561558254</c:v>
                </c:pt>
                <c:pt idx="23">
                  <c:v>11.496945168564697</c:v>
                </c:pt>
                <c:pt idx="24">
                  <c:v>11.403219763996651</c:v>
                </c:pt>
                <c:pt idx="25">
                  <c:v>11.311498787655289</c:v>
                </c:pt>
                <c:pt idx="26">
                  <c:v>11.220592269607844</c:v>
                </c:pt>
                <c:pt idx="27">
                  <c:v>11.133818328188168</c:v>
                </c:pt>
                <c:pt idx="28">
                  <c:v>11.047720131858268</c:v>
                </c:pt>
                <c:pt idx="29">
                  <c:v>10.963386939628231</c:v>
                </c:pt>
                <c:pt idx="30">
                  <c:v>10.877451818300836</c:v>
                </c:pt>
              </c:numCache>
            </c:numRef>
          </c:val>
          <c:extLst>
            <c:ext xmlns:c16="http://schemas.microsoft.com/office/drawing/2014/chart" uri="{C3380CC4-5D6E-409C-BE32-E72D297353CC}">
              <c16:uniqueId val="{00000001-5A40-4696-98F4-F640DCFA06B4}"/>
            </c:ext>
          </c:extLst>
        </c:ser>
        <c:ser>
          <c:idx val="1"/>
          <c:order val="2"/>
          <c:tx>
            <c:v>Non-household consumption</c:v>
          </c:tx>
          <c:spPr>
            <a:ln w="25400">
              <a:noFill/>
            </a:ln>
          </c:spPr>
          <c:cat>
            <c:strRef>
              <c:f>ESWNCT!$G$204:$CI$204</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ESWNCT!$G$388:$CI$388</c:f>
              <c:numCache>
                <c:formatCode>0.00</c:formatCode>
                <c:ptCount val="81"/>
                <c:pt idx="0">
                  <c:v>0</c:v>
                </c:pt>
                <c:pt idx="1">
                  <c:v>0</c:v>
                </c:pt>
                <c:pt idx="2">
                  <c:v>11.618189303441417</c:v>
                </c:pt>
                <c:pt idx="3">
                  <c:v>14.667601302753956</c:v>
                </c:pt>
                <c:pt idx="4">
                  <c:v>16.036005959679485</c:v>
                </c:pt>
                <c:pt idx="5">
                  <c:v>16.762673659923163</c:v>
                </c:pt>
                <c:pt idx="6">
                  <c:v>17.416631046262953</c:v>
                </c:pt>
                <c:pt idx="7">
                  <c:v>17.62890836449678</c:v>
                </c:pt>
                <c:pt idx="8">
                  <c:v>19.76237211345509</c:v>
                </c:pt>
                <c:pt idx="9">
                  <c:v>19.811912356928921</c:v>
                </c:pt>
                <c:pt idx="10">
                  <c:v>19.857002569784949</c:v>
                </c:pt>
                <c:pt idx="11">
                  <c:v>19.913000672860608</c:v>
                </c:pt>
                <c:pt idx="12">
                  <c:v>19.964225292394435</c:v>
                </c:pt>
                <c:pt idx="13">
                  <c:v>20.015172472506823</c:v>
                </c:pt>
                <c:pt idx="14">
                  <c:v>20.065726040980913</c:v>
                </c:pt>
                <c:pt idx="15">
                  <c:v>20.116143320130249</c:v>
                </c:pt>
                <c:pt idx="16">
                  <c:v>20.163669623940603</c:v>
                </c:pt>
                <c:pt idx="17">
                  <c:v>20.209519694387144</c:v>
                </c:pt>
                <c:pt idx="18">
                  <c:v>20.25465331702577</c:v>
                </c:pt>
                <c:pt idx="19">
                  <c:v>20.299099274999101</c:v>
                </c:pt>
                <c:pt idx="20">
                  <c:v>20.34319443162142</c:v>
                </c:pt>
                <c:pt idx="21">
                  <c:v>20.387149657073952</c:v>
                </c:pt>
                <c:pt idx="22">
                  <c:v>20.429970723370946</c:v>
                </c:pt>
                <c:pt idx="23">
                  <c:v>20.471983855801508</c:v>
                </c:pt>
                <c:pt idx="24">
                  <c:v>20.51314572887118</c:v>
                </c:pt>
                <c:pt idx="25">
                  <c:v>20.553428890162841</c:v>
                </c:pt>
                <c:pt idx="26">
                  <c:v>20.592814479460085</c:v>
                </c:pt>
                <c:pt idx="27">
                  <c:v>20.631459533678917</c:v>
                </c:pt>
                <c:pt idx="28">
                  <c:v>20.669458766166461</c:v>
                </c:pt>
                <c:pt idx="29">
                  <c:v>20.70682538784552</c:v>
                </c:pt>
                <c:pt idx="30">
                  <c:v>20.74355123978652</c:v>
                </c:pt>
              </c:numCache>
            </c:numRef>
          </c:val>
          <c:extLst>
            <c:ext xmlns:c16="http://schemas.microsoft.com/office/drawing/2014/chart" uri="{C3380CC4-5D6E-409C-BE32-E72D297353CC}">
              <c16:uniqueId val="{00000002-5A40-4696-98F4-F640DCFA06B4}"/>
            </c:ext>
          </c:extLst>
        </c:ser>
        <c:ser>
          <c:idx val="2"/>
          <c:order val="3"/>
          <c:tx>
            <c:v>Total leakage</c:v>
          </c:tx>
          <c:spPr>
            <a:ln w="25400">
              <a:noFill/>
            </a:ln>
          </c:spPr>
          <c:cat>
            <c:strRef>
              <c:f>ESWNCT!$G$204:$CI$204</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ESWNCT!$G$389:$CI$389</c:f>
              <c:numCache>
                <c:formatCode>0.00</c:formatCode>
                <c:ptCount val="81"/>
                <c:pt idx="0">
                  <c:v>0</c:v>
                </c:pt>
                <c:pt idx="1">
                  <c:v>0</c:v>
                </c:pt>
                <c:pt idx="2">
                  <c:v>2.7140564682276551</c:v>
                </c:pt>
                <c:pt idx="3">
                  <c:v>3.0110663999999998</c:v>
                </c:pt>
                <c:pt idx="4">
                  <c:v>2.8933151999999995</c:v>
                </c:pt>
                <c:pt idx="5">
                  <c:v>2.7755640000000001</c:v>
                </c:pt>
                <c:pt idx="6">
                  <c:v>2.7755640000000001</c:v>
                </c:pt>
                <c:pt idx="7">
                  <c:v>2.7755640000000001</c:v>
                </c:pt>
                <c:pt idx="8">
                  <c:v>2.7755640000000001</c:v>
                </c:pt>
                <c:pt idx="9">
                  <c:v>2.7755640000000001</c:v>
                </c:pt>
                <c:pt idx="10">
                  <c:v>2.7755640000000001</c:v>
                </c:pt>
                <c:pt idx="11">
                  <c:v>2.7755640000000001</c:v>
                </c:pt>
                <c:pt idx="12">
                  <c:v>2.7755640000000001</c:v>
                </c:pt>
                <c:pt idx="13">
                  <c:v>2.7755640000000001</c:v>
                </c:pt>
                <c:pt idx="14">
                  <c:v>2.7755640000000001</c:v>
                </c:pt>
                <c:pt idx="15">
                  <c:v>2.7755640000000001</c:v>
                </c:pt>
                <c:pt idx="16">
                  <c:v>2.7755640000000001</c:v>
                </c:pt>
                <c:pt idx="17">
                  <c:v>2.7755640000000001</c:v>
                </c:pt>
                <c:pt idx="18">
                  <c:v>2.7755640000000001</c:v>
                </c:pt>
                <c:pt idx="19">
                  <c:v>2.7755640000000001</c:v>
                </c:pt>
                <c:pt idx="20">
                  <c:v>2.7755640000000001</c:v>
                </c:pt>
                <c:pt idx="21">
                  <c:v>2.7755640000000001</c:v>
                </c:pt>
                <c:pt idx="22">
                  <c:v>2.7755640000000001</c:v>
                </c:pt>
                <c:pt idx="23">
                  <c:v>2.7755640000000001</c:v>
                </c:pt>
                <c:pt idx="24">
                  <c:v>2.7755640000000001</c:v>
                </c:pt>
                <c:pt idx="25">
                  <c:v>2.7755640000000001</c:v>
                </c:pt>
                <c:pt idx="26">
                  <c:v>2.7755640000000001</c:v>
                </c:pt>
                <c:pt idx="27">
                  <c:v>2.7755640000000001</c:v>
                </c:pt>
                <c:pt idx="28">
                  <c:v>2.7755640000000001</c:v>
                </c:pt>
                <c:pt idx="29">
                  <c:v>2.7755640000000001</c:v>
                </c:pt>
                <c:pt idx="30">
                  <c:v>2.7755640000000001</c:v>
                </c:pt>
              </c:numCache>
            </c:numRef>
          </c:val>
          <c:extLst>
            <c:ext xmlns:c16="http://schemas.microsoft.com/office/drawing/2014/chart" uri="{C3380CC4-5D6E-409C-BE32-E72D297353CC}">
              <c16:uniqueId val="{00000003-5A40-4696-98F4-F640DCFA06B4}"/>
            </c:ext>
          </c:extLst>
        </c:ser>
        <c:ser>
          <c:idx val="3"/>
          <c:order val="4"/>
          <c:tx>
            <c:v>Other components of demand</c:v>
          </c:tx>
          <c:spPr>
            <a:ln w="25400">
              <a:noFill/>
            </a:ln>
          </c:spPr>
          <c:cat>
            <c:strRef>
              <c:f>ESWNCT!$G$204:$CI$204</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ESWNCT!$G$390:$CI$390</c:f>
              <c:numCache>
                <c:formatCode>0.00</c:formatCode>
                <c:ptCount val="81"/>
                <c:pt idx="0">
                  <c:v>0</c:v>
                </c:pt>
                <c:pt idx="1">
                  <c:v>0</c:v>
                </c:pt>
                <c:pt idx="2">
                  <c:v>1.8115870309918307</c:v>
                </c:pt>
                <c:pt idx="3">
                  <c:v>1.8032373581008159</c:v>
                </c:pt>
                <c:pt idx="4">
                  <c:v>1.80266741422205</c:v>
                </c:pt>
                <c:pt idx="5">
                  <c:v>1.8025335791050949</c:v>
                </c:pt>
                <c:pt idx="6">
                  <c:v>1.803428860706461</c:v>
                </c:pt>
                <c:pt idx="7">
                  <c:v>1.8030145805468862</c:v>
                </c:pt>
                <c:pt idx="8">
                  <c:v>1.8026039152750428</c:v>
                </c:pt>
                <c:pt idx="9">
                  <c:v>1.8022316137007763</c:v>
                </c:pt>
                <c:pt idx="10">
                  <c:v>1.8018982265235266</c:v>
                </c:pt>
                <c:pt idx="11">
                  <c:v>1.8015659466929392</c:v>
                </c:pt>
                <c:pt idx="12">
                  <c:v>1.8012249465086398</c:v>
                </c:pt>
                <c:pt idx="13">
                  <c:v>1.8008864767214021</c:v>
                </c:pt>
                <c:pt idx="14">
                  <c:v>1.8005504265799743</c:v>
                </c:pt>
                <c:pt idx="15">
                  <c:v>1.800214353685945</c:v>
                </c:pt>
                <c:pt idx="16">
                  <c:v>1.7998803979336557</c:v>
                </c:pt>
                <c:pt idx="17">
                  <c:v>1.7995494133550523</c:v>
                </c:pt>
                <c:pt idx="18">
                  <c:v>1.7992211505270106</c:v>
                </c:pt>
                <c:pt idx="19">
                  <c:v>1.7988958604272796</c:v>
                </c:pt>
                <c:pt idx="20">
                  <c:v>1.7985763935972017</c:v>
                </c:pt>
                <c:pt idx="21">
                  <c:v>1.7982599944802189</c:v>
                </c:pt>
                <c:pt idx="22">
                  <c:v>1.7979468226658639</c:v>
                </c:pt>
                <c:pt idx="23">
                  <c:v>1.7976364136816372</c:v>
                </c:pt>
                <c:pt idx="24">
                  <c:v>1.7973287099520832</c:v>
                </c:pt>
                <c:pt idx="25">
                  <c:v>1.7970238674534826</c:v>
                </c:pt>
                <c:pt idx="26">
                  <c:v>1.7967218953785107</c:v>
                </c:pt>
                <c:pt idx="27">
                  <c:v>1.796422731152262</c:v>
                </c:pt>
                <c:pt idx="28">
                  <c:v>1.7961264283852714</c:v>
                </c:pt>
                <c:pt idx="29">
                  <c:v>1.7958332947864335</c:v>
                </c:pt>
                <c:pt idx="30">
                  <c:v>1.7955432701320575</c:v>
                </c:pt>
              </c:numCache>
            </c:numRef>
          </c:val>
          <c:extLst>
            <c:ext xmlns:c16="http://schemas.microsoft.com/office/drawing/2014/chart" uri="{C3380CC4-5D6E-409C-BE32-E72D297353CC}">
              <c16:uniqueId val="{00000004-5A40-4696-98F4-F640DCFA06B4}"/>
            </c:ext>
          </c:extLst>
        </c:ser>
        <c:dLbls>
          <c:showLegendKey val="0"/>
          <c:showVal val="0"/>
          <c:showCatName val="0"/>
          <c:showSerName val="0"/>
          <c:showPercent val="0"/>
          <c:showBubbleSize val="0"/>
        </c:dLbls>
        <c:axId val="864304416"/>
        <c:axId val="864304808"/>
      </c:areaChart>
      <c:lineChart>
        <c:grouping val="standard"/>
        <c:varyColors val="0"/>
        <c:ser>
          <c:idx val="4"/>
          <c:order val="5"/>
          <c:tx>
            <c:v>Total water available for use</c:v>
          </c:tx>
          <c:marker>
            <c:symbol val="none"/>
          </c:marker>
          <c:cat>
            <c:strLit>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Lit>
          </c:cat>
          <c:val>
            <c:numRef>
              <c:f>ESWNCT!$G$391:$CI$391</c:f>
              <c:numCache>
                <c:formatCode>0.00</c:formatCode>
                <c:ptCount val="81"/>
                <c:pt idx="0">
                  <c:v>0</c:v>
                </c:pt>
                <c:pt idx="1">
                  <c:v>0</c:v>
                </c:pt>
                <c:pt idx="2">
                  <c:v>75.33</c:v>
                </c:pt>
                <c:pt idx="3">
                  <c:v>75.33</c:v>
                </c:pt>
                <c:pt idx="4">
                  <c:v>75.33</c:v>
                </c:pt>
                <c:pt idx="5">
                  <c:v>75.33</c:v>
                </c:pt>
                <c:pt idx="6">
                  <c:v>75.33</c:v>
                </c:pt>
                <c:pt idx="7">
                  <c:v>75.33</c:v>
                </c:pt>
                <c:pt idx="8">
                  <c:v>75.33</c:v>
                </c:pt>
                <c:pt idx="9">
                  <c:v>75.33</c:v>
                </c:pt>
                <c:pt idx="10">
                  <c:v>75.33</c:v>
                </c:pt>
                <c:pt idx="11">
                  <c:v>72.83</c:v>
                </c:pt>
                <c:pt idx="12">
                  <c:v>72.83</c:v>
                </c:pt>
                <c:pt idx="13">
                  <c:v>70.83</c:v>
                </c:pt>
                <c:pt idx="14">
                  <c:v>70.83</c:v>
                </c:pt>
                <c:pt idx="15">
                  <c:v>70.83</c:v>
                </c:pt>
                <c:pt idx="16">
                  <c:v>70.83</c:v>
                </c:pt>
                <c:pt idx="17">
                  <c:v>70.83</c:v>
                </c:pt>
                <c:pt idx="18">
                  <c:v>70.83</c:v>
                </c:pt>
                <c:pt idx="19">
                  <c:v>70.83</c:v>
                </c:pt>
                <c:pt idx="20">
                  <c:v>70.83</c:v>
                </c:pt>
                <c:pt idx="21">
                  <c:v>70.83</c:v>
                </c:pt>
                <c:pt idx="22">
                  <c:v>70.83</c:v>
                </c:pt>
                <c:pt idx="23">
                  <c:v>70.83</c:v>
                </c:pt>
                <c:pt idx="24">
                  <c:v>70.83</c:v>
                </c:pt>
                <c:pt idx="25">
                  <c:v>70.83</c:v>
                </c:pt>
                <c:pt idx="26">
                  <c:v>70.83</c:v>
                </c:pt>
                <c:pt idx="27">
                  <c:v>70.83</c:v>
                </c:pt>
                <c:pt idx="28">
                  <c:v>70.83</c:v>
                </c:pt>
                <c:pt idx="29">
                  <c:v>70.83</c:v>
                </c:pt>
                <c:pt idx="30">
                  <c:v>70.83</c:v>
                </c:pt>
              </c:numCache>
            </c:numRef>
          </c:val>
          <c:smooth val="0"/>
          <c:extLst>
            <c:ext xmlns:c16="http://schemas.microsoft.com/office/drawing/2014/chart" uri="{C3380CC4-5D6E-409C-BE32-E72D297353CC}">
              <c16:uniqueId val="{00000005-5A40-4696-98F4-F640DCFA06B4}"/>
            </c:ext>
          </c:extLst>
        </c:ser>
        <c:ser>
          <c:idx val="5"/>
          <c:order val="6"/>
          <c:tx>
            <c:v>Total demand + target headroom (baseline)</c:v>
          </c:tx>
          <c:marker>
            <c:symbol val="none"/>
          </c:marker>
          <c:cat>
            <c:strLit>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Lit>
          </c:cat>
          <c:val>
            <c:numRef>
              <c:f>ESWNCT!$G$392:$CI$392</c:f>
              <c:numCache>
                <c:formatCode>0.00</c:formatCode>
                <c:ptCount val="81"/>
                <c:pt idx="0">
                  <c:v>0</c:v>
                </c:pt>
                <c:pt idx="1">
                  <c:v>0</c:v>
                </c:pt>
                <c:pt idx="2">
                  <c:v>54.469592620878089</c:v>
                </c:pt>
                <c:pt idx="3">
                  <c:v>56.948609170692308</c:v>
                </c:pt>
                <c:pt idx="4">
                  <c:v>57.88699216898263</c:v>
                </c:pt>
                <c:pt idx="5">
                  <c:v>57.970569479510338</c:v>
                </c:pt>
                <c:pt idx="6">
                  <c:v>58.089739283479318</c:v>
                </c:pt>
                <c:pt idx="7">
                  <c:v>57.736779572175713</c:v>
                </c:pt>
                <c:pt idx="8">
                  <c:v>59.522889311942741</c:v>
                </c:pt>
                <c:pt idx="9">
                  <c:v>59.346237676675088</c:v>
                </c:pt>
                <c:pt idx="10">
                  <c:v>59.181479680006412</c:v>
                </c:pt>
                <c:pt idx="11">
                  <c:v>59.098600184857538</c:v>
                </c:pt>
                <c:pt idx="12">
                  <c:v>59.118355990186899</c:v>
                </c:pt>
                <c:pt idx="13">
                  <c:v>59.151240042102174</c:v>
                </c:pt>
                <c:pt idx="14">
                  <c:v>59.166642899701415</c:v>
                </c:pt>
                <c:pt idx="15">
                  <c:v>59.23522493224003</c:v>
                </c:pt>
                <c:pt idx="16">
                  <c:v>59.293994421245436</c:v>
                </c:pt>
                <c:pt idx="17">
                  <c:v>59.363206882206796</c:v>
                </c:pt>
                <c:pt idx="18">
                  <c:v>59.443719257110104</c:v>
                </c:pt>
                <c:pt idx="19">
                  <c:v>59.512656682673942</c:v>
                </c:pt>
                <c:pt idx="20">
                  <c:v>59.620276239300161</c:v>
                </c:pt>
                <c:pt idx="21">
                  <c:v>59.682390467557624</c:v>
                </c:pt>
                <c:pt idx="22">
                  <c:v>59.786907650571514</c:v>
                </c:pt>
                <c:pt idx="23">
                  <c:v>59.890283899008892</c:v>
                </c:pt>
                <c:pt idx="24">
                  <c:v>60.008222788409391</c:v>
                </c:pt>
                <c:pt idx="25">
                  <c:v>60.128332512343199</c:v>
                </c:pt>
                <c:pt idx="26">
                  <c:v>60.231064598200071</c:v>
                </c:pt>
                <c:pt idx="27">
                  <c:v>60.355786572275051</c:v>
                </c:pt>
                <c:pt idx="28">
                  <c:v>60.441328983065013</c:v>
                </c:pt>
                <c:pt idx="29">
                  <c:v>60.576985833453655</c:v>
                </c:pt>
                <c:pt idx="30">
                  <c:v>60.696756070971404</c:v>
                </c:pt>
              </c:numCache>
            </c:numRef>
          </c:val>
          <c:smooth val="0"/>
          <c:extLst>
            <c:ext xmlns:c16="http://schemas.microsoft.com/office/drawing/2014/chart" uri="{C3380CC4-5D6E-409C-BE32-E72D297353CC}">
              <c16:uniqueId val="{00000006-5A40-4696-98F4-F640DCFA06B4}"/>
            </c:ext>
          </c:extLst>
        </c:ser>
        <c:dLbls>
          <c:showLegendKey val="0"/>
          <c:showVal val="0"/>
          <c:showCatName val="0"/>
          <c:showSerName val="0"/>
          <c:showPercent val="0"/>
          <c:showBubbleSize val="0"/>
        </c:dLbls>
        <c:marker val="1"/>
        <c:smooth val="0"/>
        <c:axId val="864304416"/>
        <c:axId val="864304808"/>
      </c:lineChart>
      <c:catAx>
        <c:axId val="864304416"/>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en-US"/>
          </a:p>
        </c:txPr>
        <c:crossAx val="864304808"/>
        <c:crosses val="autoZero"/>
        <c:auto val="1"/>
        <c:lblAlgn val="ctr"/>
        <c:lblOffset val="100"/>
        <c:tickLblSkip val="2"/>
        <c:tickMarkSkip val="1"/>
        <c:noMultiLvlLbl val="0"/>
      </c:catAx>
      <c:valAx>
        <c:axId val="864304808"/>
        <c:scaling>
          <c:orientation val="minMax"/>
        </c:scaling>
        <c:delete val="0"/>
        <c:axPos val="l"/>
        <c:majorGridlines>
          <c:spPr>
            <a:ln w="3175">
              <a:solidFill>
                <a:srgbClr val="000000"/>
              </a:solidFill>
              <a:prstDash val="solid"/>
            </a:ln>
          </c:spPr>
        </c:majorGridlines>
        <c:title>
          <c:tx>
            <c:rich>
              <a:bodyPr/>
              <a:lstStyle/>
              <a:p>
                <a:pPr>
                  <a:defRPr sz="1175" b="1" i="0" u="none" strike="noStrike" baseline="0">
                    <a:solidFill>
                      <a:srgbClr val="000000"/>
                    </a:solidFill>
                    <a:latin typeface="Arial"/>
                    <a:ea typeface="Arial"/>
                    <a:cs typeface="Arial"/>
                  </a:defRPr>
                </a:pPr>
                <a:r>
                  <a:rPr lang="en-GB"/>
                  <a:t>Ml/d</a:t>
                </a:r>
              </a:p>
            </c:rich>
          </c:tx>
          <c:layout>
            <c:manualLayout>
              <c:xMode val="edge"/>
              <c:yMode val="edge"/>
              <c:x val="2.0359337875782983E-2"/>
              <c:y val="0.39858528733632054"/>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864304416"/>
        <c:crosses val="autoZero"/>
        <c:crossBetween val="midCat"/>
      </c:valAx>
      <c:spPr>
        <a:solidFill>
          <a:schemeClr val="bg1"/>
        </a:solidFill>
        <a:ln w="12700">
          <a:solidFill>
            <a:srgbClr val="808080"/>
          </a:solidFill>
          <a:prstDash val="solid"/>
        </a:ln>
      </c:spPr>
    </c:plotArea>
    <c:legend>
      <c:legendPos val="b"/>
      <c:legendEntry>
        <c:idx val="0"/>
        <c:txPr>
          <a:bodyPr/>
          <a:lstStyle/>
          <a:p>
            <a:pPr>
              <a:defRPr sz="1000" b="0" i="0" u="none" strike="noStrike" baseline="0">
                <a:solidFill>
                  <a:srgbClr val="000000"/>
                </a:solidFill>
                <a:latin typeface="Arial"/>
                <a:ea typeface="Arial"/>
                <a:cs typeface="Arial"/>
              </a:defRPr>
            </a:pPr>
            <a:endParaRPr lang="en-US"/>
          </a:p>
        </c:txPr>
      </c:legendEntry>
      <c:layout>
        <c:manualLayout>
          <c:xMode val="edge"/>
          <c:yMode val="edge"/>
          <c:x val="0.16452269470774322"/>
          <c:y val="0.82158446545736608"/>
          <c:w val="0.7156398695723647"/>
          <c:h val="0.16402912270077008"/>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0"/>
    <c:dispBlanksAs val="zero"/>
    <c:showDLblsOverMax val="0"/>
  </c:chart>
  <c:spPr>
    <a:solidFill>
      <a:schemeClr val="accent5"/>
    </a:solidFill>
    <a:ln w="3175">
      <a:solidFill>
        <a:srgbClr val="000000"/>
      </a:solidFill>
      <a:prstDash val="solid"/>
    </a:ln>
  </c:spPr>
  <c:txPr>
    <a:bodyPr/>
    <a:lstStyle/>
    <a:p>
      <a:pPr>
        <a:defRPr sz="975" b="0" i="0" u="none" strike="noStrike" baseline="0">
          <a:solidFill>
            <a:srgbClr val="000000"/>
          </a:solidFill>
          <a:latin typeface="Arial"/>
          <a:ea typeface="Arial"/>
          <a:cs typeface="Arial"/>
        </a:defRPr>
      </a:pPr>
      <a:endParaRPr lang="en-US"/>
    </a:p>
  </c:txPr>
  <c:printSettings>
    <c:headerFooter alignWithMargins="0"/>
    <c:pageMargins b="1" l="0.75000000000000622" r="0.75000000000000622" t="1" header="0.5" footer="0.5"/>
    <c:pageSetup paperSize="9" orientation="landscape"/>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75" b="1" i="0" u="none" strike="noStrike" baseline="0">
                <a:solidFill>
                  <a:srgbClr val="000000"/>
                </a:solidFill>
                <a:latin typeface="Arial"/>
                <a:ea typeface="Arial"/>
                <a:cs typeface="Arial"/>
              </a:defRPr>
            </a:pPr>
            <a:r>
              <a:rPr lang="en-GB"/>
              <a:t>DYCP Final Plan Water Supply-Demand Balance and Components of Demand</a:t>
            </a:r>
          </a:p>
        </c:rich>
      </c:tx>
      <c:layout>
        <c:manualLayout>
          <c:xMode val="edge"/>
          <c:yMode val="edge"/>
          <c:x val="0.2095809470200265"/>
          <c:y val="2.9013693730272669E-2"/>
        </c:manualLayout>
      </c:layout>
      <c:overlay val="0"/>
      <c:spPr>
        <a:noFill/>
        <a:ln w="25400">
          <a:noFill/>
        </a:ln>
      </c:spPr>
    </c:title>
    <c:autoTitleDeleted val="0"/>
    <c:plotArea>
      <c:layout>
        <c:manualLayout>
          <c:layoutTarget val="inner"/>
          <c:xMode val="edge"/>
          <c:yMode val="edge"/>
          <c:x val="8.5343266856694813E-2"/>
          <c:y val="0.10444884139344435"/>
          <c:w val="0.89146608097046709"/>
          <c:h val="0.55130264550264552"/>
        </c:manualLayout>
      </c:layout>
      <c:areaChart>
        <c:grouping val="stacked"/>
        <c:varyColors val="0"/>
        <c:ser>
          <c:idx val="6"/>
          <c:order val="0"/>
          <c:tx>
            <c:v>Measured household consumption</c:v>
          </c:tx>
          <c:spPr>
            <a:ln w="25400">
              <a:noFill/>
            </a:ln>
          </c:spPr>
          <c:cat>
            <c:strRef>
              <c:f>ESWNCT!$G$204:$CI$204</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ESWNCT!$G$395:$CI$395</c:f>
              <c:numCache>
                <c:formatCode>0.00</c:formatCode>
                <c:ptCount val="81"/>
                <c:pt idx="0">
                  <c:v>0</c:v>
                </c:pt>
                <c:pt idx="1">
                  <c:v>0</c:v>
                </c:pt>
                <c:pt idx="2">
                  <c:v>17.516097802986845</c:v>
                </c:pt>
                <c:pt idx="3">
                  <c:v>17.264025797381894</c:v>
                </c:pt>
                <c:pt idx="4">
                  <c:v>17.254925402260845</c:v>
                </c:pt>
                <c:pt idx="5">
                  <c:v>17.523662073925081</c:v>
                </c:pt>
                <c:pt idx="6">
                  <c:v>18.003484046811206</c:v>
                </c:pt>
                <c:pt idx="7">
                  <c:v>19.179355932649152</c:v>
                </c:pt>
                <c:pt idx="8">
                  <c:v>20.858984837071716</c:v>
                </c:pt>
                <c:pt idx="9">
                  <c:v>23.441462940480605</c:v>
                </c:pt>
                <c:pt idx="10">
                  <c:v>25.266868978652944</c:v>
                </c:pt>
                <c:pt idx="11">
                  <c:v>25.749985583036242</c:v>
                </c:pt>
                <c:pt idx="12">
                  <c:v>25.598866743736419</c:v>
                </c:pt>
                <c:pt idx="13">
                  <c:v>25.33384352567597</c:v>
                </c:pt>
                <c:pt idx="14">
                  <c:v>25.005795682475487</c:v>
                </c:pt>
                <c:pt idx="15">
                  <c:v>24.80386407264999</c:v>
                </c:pt>
                <c:pt idx="16">
                  <c:v>24.658241666662466</c:v>
                </c:pt>
                <c:pt idx="17">
                  <c:v>24.519993823955911</c:v>
                </c:pt>
                <c:pt idx="18">
                  <c:v>24.383199604457428</c:v>
                </c:pt>
                <c:pt idx="19">
                  <c:v>24.258862785163419</c:v>
                </c:pt>
                <c:pt idx="20">
                  <c:v>24.141489206865991</c:v>
                </c:pt>
                <c:pt idx="21">
                  <c:v>23.998383973333219</c:v>
                </c:pt>
                <c:pt idx="22">
                  <c:v>23.881727159341644</c:v>
                </c:pt>
                <c:pt idx="23">
                  <c:v>23.776370882059322</c:v>
                </c:pt>
                <c:pt idx="24">
                  <c:v>23.772111997446974</c:v>
                </c:pt>
                <c:pt idx="25">
                  <c:v>23.768029244435066</c:v>
                </c:pt>
                <c:pt idx="26">
                  <c:v>23.76204899811297</c:v>
                </c:pt>
                <c:pt idx="27">
                  <c:v>23.761467991304329</c:v>
                </c:pt>
                <c:pt idx="28">
                  <c:v>23.758872705687569</c:v>
                </c:pt>
                <c:pt idx="29">
                  <c:v>23.75778773375092</c:v>
                </c:pt>
                <c:pt idx="30">
                  <c:v>23.750914349551156</c:v>
                </c:pt>
              </c:numCache>
            </c:numRef>
          </c:val>
          <c:extLst>
            <c:ext xmlns:c16="http://schemas.microsoft.com/office/drawing/2014/chart" uri="{C3380CC4-5D6E-409C-BE32-E72D297353CC}">
              <c16:uniqueId val="{00000000-5196-42B4-824F-D4AB3F726A7A}"/>
            </c:ext>
          </c:extLst>
        </c:ser>
        <c:ser>
          <c:idx val="0"/>
          <c:order val="1"/>
          <c:tx>
            <c:v>Unmeasured household consumption</c:v>
          </c:tx>
          <c:spPr>
            <a:ln w="25400">
              <a:noFill/>
            </a:ln>
          </c:spPr>
          <c:cat>
            <c:strRef>
              <c:f>ESWNCT!$G$204:$CI$204</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ESWNCT!$G$396:$CI$396</c:f>
              <c:numCache>
                <c:formatCode>0.00</c:formatCode>
                <c:ptCount val="81"/>
                <c:pt idx="0">
                  <c:v>0</c:v>
                </c:pt>
                <c:pt idx="1">
                  <c:v>0</c:v>
                </c:pt>
                <c:pt idx="2">
                  <c:v>18.503885341554472</c:v>
                </c:pt>
                <c:pt idx="3">
                  <c:v>17.497315912193955</c:v>
                </c:pt>
                <c:pt idx="4">
                  <c:v>17.349858834223248</c:v>
                </c:pt>
                <c:pt idx="5">
                  <c:v>16.593201213236444</c:v>
                </c:pt>
                <c:pt idx="6">
                  <c:v>15.053726319479718</c:v>
                </c:pt>
                <c:pt idx="7">
                  <c:v>12.767255062906861</c:v>
                </c:pt>
                <c:pt idx="8">
                  <c:v>9.1312395745212935</c:v>
                </c:pt>
                <c:pt idx="9">
                  <c:v>4.6327075090637972</c:v>
                </c:pt>
                <c:pt idx="10">
                  <c:v>1.5111905285939606</c:v>
                </c:pt>
                <c:pt idx="11">
                  <c:v>0.55832104522855086</c:v>
                </c:pt>
                <c:pt idx="12">
                  <c:v>0.54416349463670954</c:v>
                </c:pt>
                <c:pt idx="13">
                  <c:v>0.53026057832956197</c:v>
                </c:pt>
                <c:pt idx="14">
                  <c:v>0.51499463171254267</c:v>
                </c:pt>
                <c:pt idx="15">
                  <c:v>0.5000218973734597</c:v>
                </c:pt>
                <c:pt idx="16">
                  <c:v>0.48481287030518178</c:v>
                </c:pt>
                <c:pt idx="17">
                  <c:v>0.46682330161805408</c:v>
                </c:pt>
                <c:pt idx="18">
                  <c:v>0.44928824782610566</c:v>
                </c:pt>
                <c:pt idx="19">
                  <c:v>0.43235110792878129</c:v>
                </c:pt>
                <c:pt idx="20">
                  <c:v>0.41584094375211134</c:v>
                </c:pt>
                <c:pt idx="21">
                  <c:v>0.39985096358578665</c:v>
                </c:pt>
                <c:pt idx="22">
                  <c:v>0.3843396460641727</c:v>
                </c:pt>
                <c:pt idx="23">
                  <c:v>0.36948815234648258</c:v>
                </c:pt>
                <c:pt idx="24">
                  <c:v>0.3568232097160931</c:v>
                </c:pt>
                <c:pt idx="25">
                  <c:v>0.34448334374940714</c:v>
                </c:pt>
                <c:pt idx="26">
                  <c:v>0.33251668224825909</c:v>
                </c:pt>
                <c:pt idx="27">
                  <c:v>0.32094592201182864</c:v>
                </c:pt>
                <c:pt idx="28">
                  <c:v>0.30962331814113769</c:v>
                </c:pt>
                <c:pt idx="29">
                  <c:v>0.29858653265347235</c:v>
                </c:pt>
                <c:pt idx="30">
                  <c:v>0.28770080777668433</c:v>
                </c:pt>
              </c:numCache>
            </c:numRef>
          </c:val>
          <c:extLst>
            <c:ext xmlns:c16="http://schemas.microsoft.com/office/drawing/2014/chart" uri="{C3380CC4-5D6E-409C-BE32-E72D297353CC}">
              <c16:uniqueId val="{00000001-5196-42B4-824F-D4AB3F726A7A}"/>
            </c:ext>
          </c:extLst>
        </c:ser>
        <c:ser>
          <c:idx val="1"/>
          <c:order val="2"/>
          <c:tx>
            <c:v>Non-household consumption</c:v>
          </c:tx>
          <c:spPr>
            <a:ln w="25400">
              <a:noFill/>
            </a:ln>
          </c:spPr>
          <c:cat>
            <c:strRef>
              <c:f>ESWNCT!$G$204:$CI$204</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ESWNCT!$G$397:$CI$397</c:f>
              <c:numCache>
                <c:formatCode>0.00</c:formatCode>
                <c:ptCount val="81"/>
                <c:pt idx="0">
                  <c:v>0</c:v>
                </c:pt>
                <c:pt idx="1">
                  <c:v>0</c:v>
                </c:pt>
                <c:pt idx="2">
                  <c:v>11.618189303441417</c:v>
                </c:pt>
                <c:pt idx="3">
                  <c:v>14.667601302753956</c:v>
                </c:pt>
                <c:pt idx="4">
                  <c:v>16.036005959679485</c:v>
                </c:pt>
                <c:pt idx="5">
                  <c:v>16.762673659923163</c:v>
                </c:pt>
                <c:pt idx="6">
                  <c:v>17.353172459057415</c:v>
                </c:pt>
                <c:pt idx="7">
                  <c:v>17.50199083799885</c:v>
                </c:pt>
                <c:pt idx="8">
                  <c:v>19.571995295577906</c:v>
                </c:pt>
                <c:pt idx="9">
                  <c:v>19.558075895585631</c:v>
                </c:pt>
                <c:pt idx="10">
                  <c:v>19.539706112888691</c:v>
                </c:pt>
                <c:pt idx="11">
                  <c:v>19.459723972865014</c:v>
                </c:pt>
                <c:pt idx="12">
                  <c:v>19.374967997212639</c:v>
                </c:pt>
                <c:pt idx="13">
                  <c:v>19.289934230051966</c:v>
                </c:pt>
                <c:pt idx="14">
                  <c:v>19.20450649916615</c:v>
                </c:pt>
                <c:pt idx="15">
                  <c:v>19.118942126868721</c:v>
                </c:pt>
                <c:pt idx="16">
                  <c:v>19.040153135664667</c:v>
                </c:pt>
                <c:pt idx="17">
                  <c:v>18.959687559009947</c:v>
                </c:pt>
                <c:pt idx="18">
                  <c:v>18.878505182460465</c:v>
                </c:pt>
                <c:pt idx="19">
                  <c:v>18.92290712820008</c:v>
                </c:pt>
                <c:pt idx="20">
                  <c:v>18.966957920501827</c:v>
                </c:pt>
                <c:pt idx="21">
                  <c:v>19.010868429546946</c:v>
                </c:pt>
                <c:pt idx="22">
                  <c:v>19.05364442734966</c:v>
                </c:pt>
                <c:pt idx="23">
                  <c:v>19.095612139199073</c:v>
                </c:pt>
                <c:pt idx="24">
                  <c:v>19.136728239600757</c:v>
                </c:pt>
                <c:pt idx="25">
                  <c:v>19.176965276137569</c:v>
                </c:pt>
                <c:pt idx="26">
                  <c:v>19.216304388593105</c:v>
                </c:pt>
                <c:pt idx="27">
                  <c:v>19.254902613883374</c:v>
                </c:pt>
                <c:pt idx="28">
                  <c:v>19.292854665355506</c:v>
                </c:pt>
                <c:pt idx="29">
                  <c:v>19.330173753932289</c:v>
                </c:pt>
                <c:pt idx="30">
                  <c:v>19.366851720684149</c:v>
                </c:pt>
              </c:numCache>
            </c:numRef>
          </c:val>
          <c:extLst>
            <c:ext xmlns:c16="http://schemas.microsoft.com/office/drawing/2014/chart" uri="{C3380CC4-5D6E-409C-BE32-E72D297353CC}">
              <c16:uniqueId val="{00000002-5196-42B4-824F-D4AB3F726A7A}"/>
            </c:ext>
          </c:extLst>
        </c:ser>
        <c:ser>
          <c:idx val="2"/>
          <c:order val="3"/>
          <c:tx>
            <c:v>Total leakage</c:v>
          </c:tx>
          <c:spPr>
            <a:ln w="25400">
              <a:noFill/>
            </a:ln>
          </c:spPr>
          <c:cat>
            <c:strRef>
              <c:f>ESWNCT!$G$204:$CI$204</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ESWNCT!$G$398:$CI$398</c:f>
              <c:numCache>
                <c:formatCode>0.00</c:formatCode>
                <c:ptCount val="81"/>
                <c:pt idx="0">
                  <c:v>0</c:v>
                </c:pt>
                <c:pt idx="1">
                  <c:v>0</c:v>
                </c:pt>
                <c:pt idx="2">
                  <c:v>2.7140564682276551</c:v>
                </c:pt>
                <c:pt idx="3">
                  <c:v>3.0110663999999998</c:v>
                </c:pt>
                <c:pt idx="4">
                  <c:v>2.8933151999999995</c:v>
                </c:pt>
                <c:pt idx="5">
                  <c:v>2.7755640000000001</c:v>
                </c:pt>
                <c:pt idx="6">
                  <c:v>2.7473904000000005</c:v>
                </c:pt>
                <c:pt idx="7">
                  <c:v>2.7192167999999999</c:v>
                </c:pt>
                <c:pt idx="8">
                  <c:v>2.6910431999999997</c:v>
                </c:pt>
                <c:pt idx="9">
                  <c:v>2.6628695999999996</c:v>
                </c:pt>
                <c:pt idx="10">
                  <c:v>2.6346959999999999</c:v>
                </c:pt>
                <c:pt idx="11">
                  <c:v>2.6065223999999994</c:v>
                </c:pt>
                <c:pt idx="12">
                  <c:v>2.5783487999999988</c:v>
                </c:pt>
                <c:pt idx="13">
                  <c:v>2.5501751999999991</c:v>
                </c:pt>
                <c:pt idx="14">
                  <c:v>2.522001599999999</c:v>
                </c:pt>
                <c:pt idx="15">
                  <c:v>2.4938279999999988</c:v>
                </c:pt>
                <c:pt idx="16">
                  <c:v>2.4656543999999987</c:v>
                </c:pt>
                <c:pt idx="17">
                  <c:v>2.4374807999999986</c:v>
                </c:pt>
                <c:pt idx="18">
                  <c:v>2.4093071999999984</c:v>
                </c:pt>
                <c:pt idx="19">
                  <c:v>2.3811335999999983</c:v>
                </c:pt>
                <c:pt idx="20">
                  <c:v>2.3529599999999982</c:v>
                </c:pt>
                <c:pt idx="21">
                  <c:v>2.324786399999998</c:v>
                </c:pt>
                <c:pt idx="22">
                  <c:v>2.2966127999999979</c:v>
                </c:pt>
                <c:pt idx="23">
                  <c:v>2.2684391999999978</c:v>
                </c:pt>
                <c:pt idx="24">
                  <c:v>2.2402655999999976</c:v>
                </c:pt>
                <c:pt idx="25">
                  <c:v>2.2120919999999975</c:v>
                </c:pt>
                <c:pt idx="26">
                  <c:v>2.1839183999999974</c:v>
                </c:pt>
                <c:pt idx="27">
                  <c:v>2.1557447999999972</c:v>
                </c:pt>
                <c:pt idx="28">
                  <c:v>2.1275711999999971</c:v>
                </c:pt>
                <c:pt idx="29">
                  <c:v>2.099397599999997</c:v>
                </c:pt>
                <c:pt idx="30">
                  <c:v>2.071224</c:v>
                </c:pt>
              </c:numCache>
            </c:numRef>
          </c:val>
          <c:extLst>
            <c:ext xmlns:c16="http://schemas.microsoft.com/office/drawing/2014/chart" uri="{C3380CC4-5D6E-409C-BE32-E72D297353CC}">
              <c16:uniqueId val="{00000003-5196-42B4-824F-D4AB3F726A7A}"/>
            </c:ext>
          </c:extLst>
        </c:ser>
        <c:ser>
          <c:idx val="3"/>
          <c:order val="4"/>
          <c:tx>
            <c:v>Other components of demand</c:v>
          </c:tx>
          <c:spPr>
            <a:ln w="25400">
              <a:noFill/>
            </a:ln>
          </c:spPr>
          <c:cat>
            <c:strRef>
              <c:f>ESWNCT!$G$204:$CI$204</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ESWNCT!$G$399:$CI$399</c:f>
              <c:numCache>
                <c:formatCode>0.00</c:formatCode>
                <c:ptCount val="81"/>
                <c:pt idx="0">
                  <c:v>0</c:v>
                </c:pt>
                <c:pt idx="1">
                  <c:v>0</c:v>
                </c:pt>
                <c:pt idx="2">
                  <c:v>1.8115870309918307</c:v>
                </c:pt>
                <c:pt idx="3">
                  <c:v>1.8032373581008159</c:v>
                </c:pt>
                <c:pt idx="4">
                  <c:v>1.80266741422205</c:v>
                </c:pt>
                <c:pt idx="5">
                  <c:v>1.8025335791050949</c:v>
                </c:pt>
                <c:pt idx="6">
                  <c:v>1.8035672538441645</c:v>
                </c:pt>
                <c:pt idx="7">
                  <c:v>1.8033168071078549</c:v>
                </c:pt>
                <c:pt idx="8">
                  <c:v>1.8029890106497675</c:v>
                </c:pt>
                <c:pt idx="9">
                  <c:v>1.8027315661319179</c:v>
                </c:pt>
                <c:pt idx="10">
                  <c:v>1.8024915882045462</c:v>
                </c:pt>
                <c:pt idx="11">
                  <c:v>1.8022075156587007</c:v>
                </c:pt>
                <c:pt idx="12">
                  <c:v>1.8018779244496912</c:v>
                </c:pt>
                <c:pt idx="13">
                  <c:v>1.8015378194869101</c:v>
                </c:pt>
                <c:pt idx="14">
                  <c:v>1.801200134169946</c:v>
                </c:pt>
                <c:pt idx="15">
                  <c:v>1.8008624261003661</c:v>
                </c:pt>
                <c:pt idx="16">
                  <c:v>1.800526935707019</c:v>
                </c:pt>
                <c:pt idx="17">
                  <c:v>1.8001945170218434</c:v>
                </c:pt>
                <c:pt idx="18">
                  <c:v>1.7998648200872154</c:v>
                </c:pt>
                <c:pt idx="19">
                  <c:v>1.7995380958809051</c:v>
                </c:pt>
                <c:pt idx="20">
                  <c:v>1.7992171949442479</c:v>
                </c:pt>
                <c:pt idx="21">
                  <c:v>1.7988994479192826</c:v>
                </c:pt>
                <c:pt idx="22">
                  <c:v>1.798585014395627</c:v>
                </c:pt>
                <c:pt idx="23">
                  <c:v>1.7982733437020855</c:v>
                </c:pt>
                <c:pt idx="24">
                  <c:v>1.7979643782632166</c:v>
                </c:pt>
                <c:pt idx="25">
                  <c:v>1.7976582740552942</c:v>
                </c:pt>
                <c:pt idx="26">
                  <c:v>1.7973550402710146</c:v>
                </c:pt>
                <c:pt idx="27">
                  <c:v>1.797054614335444</c:v>
                </c:pt>
                <c:pt idx="28">
                  <c:v>1.7967570498591314</c:v>
                </c:pt>
                <c:pt idx="29">
                  <c:v>1.7964626545509788</c:v>
                </c:pt>
                <c:pt idx="30">
                  <c:v>1.7961713681872808</c:v>
                </c:pt>
              </c:numCache>
            </c:numRef>
          </c:val>
          <c:extLst>
            <c:ext xmlns:c16="http://schemas.microsoft.com/office/drawing/2014/chart" uri="{C3380CC4-5D6E-409C-BE32-E72D297353CC}">
              <c16:uniqueId val="{00000004-5196-42B4-824F-D4AB3F726A7A}"/>
            </c:ext>
          </c:extLst>
        </c:ser>
        <c:dLbls>
          <c:showLegendKey val="0"/>
          <c:showVal val="0"/>
          <c:showCatName val="0"/>
          <c:showSerName val="0"/>
          <c:showPercent val="0"/>
          <c:showBubbleSize val="0"/>
        </c:dLbls>
        <c:axId val="814784328"/>
        <c:axId val="814784720"/>
      </c:areaChart>
      <c:lineChart>
        <c:grouping val="standard"/>
        <c:varyColors val="0"/>
        <c:ser>
          <c:idx val="4"/>
          <c:order val="5"/>
          <c:tx>
            <c:v>Total water available for use</c:v>
          </c:tx>
          <c:marker>
            <c:symbol val="none"/>
          </c:marker>
          <c:cat>
            <c:strLit>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Lit>
          </c:cat>
          <c:val>
            <c:numRef>
              <c:f>ESWNCT!$G$400:$CI$400</c:f>
              <c:numCache>
                <c:formatCode>0.00</c:formatCode>
                <c:ptCount val="81"/>
                <c:pt idx="0">
                  <c:v>0</c:v>
                </c:pt>
                <c:pt idx="1">
                  <c:v>0</c:v>
                </c:pt>
                <c:pt idx="2">
                  <c:v>78.899123120019667</c:v>
                </c:pt>
                <c:pt idx="3">
                  <c:v>78.775782857965098</c:v>
                </c:pt>
                <c:pt idx="4">
                  <c:v>78.760468664692468</c:v>
                </c:pt>
                <c:pt idx="5">
                  <c:v>78.713738656509065</c:v>
                </c:pt>
                <c:pt idx="6">
                  <c:v>78.61199174475442</c:v>
                </c:pt>
                <c:pt idx="7">
                  <c:v>78.50751983292669</c:v>
                </c:pt>
                <c:pt idx="8">
                  <c:v>78.322215916623975</c:v>
                </c:pt>
                <c:pt idx="9">
                  <c:v>78.143751995493218</c:v>
                </c:pt>
                <c:pt idx="10">
                  <c:v>78.023281139934525</c:v>
                </c:pt>
                <c:pt idx="11">
                  <c:v>75.479039941420126</c:v>
                </c:pt>
                <c:pt idx="12">
                  <c:v>75.462436919133779</c:v>
                </c:pt>
                <c:pt idx="13">
                  <c:v>73.225823500701523</c:v>
                </c:pt>
                <c:pt idx="14">
                  <c:v>73.251901136994604</c:v>
                </c:pt>
                <c:pt idx="15">
                  <c:v>73.31266528907129</c:v>
                </c:pt>
                <c:pt idx="16">
                  <c:v>73.35631886269671</c:v>
                </c:pt>
                <c:pt idx="17">
                  <c:v>73.346221877187972</c:v>
                </c:pt>
                <c:pt idx="18">
                  <c:v>73.330730066186845</c:v>
                </c:pt>
                <c:pt idx="19">
                  <c:v>73.316550722212767</c:v>
                </c:pt>
                <c:pt idx="20">
                  <c:v>73.303113841461951</c:v>
                </c:pt>
                <c:pt idx="21">
                  <c:v>73.28713603523029</c:v>
                </c:pt>
                <c:pt idx="22">
                  <c:v>73.273868052863449</c:v>
                </c:pt>
                <c:pt idx="23">
                  <c:v>73.261802097209227</c:v>
                </c:pt>
                <c:pt idx="24">
                  <c:v>73.260130008020482</c:v>
                </c:pt>
                <c:pt idx="25">
                  <c:v>73.258507031796171</c:v>
                </c:pt>
                <c:pt idx="26">
                  <c:v>73.256729040530658</c:v>
                </c:pt>
                <c:pt idx="27">
                  <c:v>73.255533068277543</c:v>
                </c:pt>
                <c:pt idx="28">
                  <c:v>73.25415813415303</c:v>
                </c:pt>
                <c:pt idx="29">
                  <c:v>73.25296284798678</c:v>
                </c:pt>
                <c:pt idx="30">
                  <c:v>73.251199060785893</c:v>
                </c:pt>
              </c:numCache>
            </c:numRef>
          </c:val>
          <c:smooth val="0"/>
          <c:extLst>
            <c:ext xmlns:c16="http://schemas.microsoft.com/office/drawing/2014/chart" uri="{C3380CC4-5D6E-409C-BE32-E72D297353CC}">
              <c16:uniqueId val="{00000005-5196-42B4-824F-D4AB3F726A7A}"/>
            </c:ext>
          </c:extLst>
        </c:ser>
        <c:ser>
          <c:idx val="5"/>
          <c:order val="6"/>
          <c:tx>
            <c:v>Total demand + target headroom (final plan)</c:v>
          </c:tx>
          <c:marker>
            <c:symbol val="none"/>
          </c:marker>
          <c:cat>
            <c:strLit>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Lit>
          </c:cat>
          <c:val>
            <c:numRef>
              <c:f>ESWNCT!$G$401:$CI$401</c:f>
              <c:numCache>
                <c:formatCode>0.00</c:formatCode>
                <c:ptCount val="81"/>
                <c:pt idx="0">
                  <c:v>0</c:v>
                </c:pt>
                <c:pt idx="1">
                  <c:v>0</c:v>
                </c:pt>
                <c:pt idx="2">
                  <c:v>54.469592620878089</c:v>
                </c:pt>
                <c:pt idx="3">
                  <c:v>56.948609170692308</c:v>
                </c:pt>
                <c:pt idx="4">
                  <c:v>57.88699216898263</c:v>
                </c:pt>
                <c:pt idx="5">
                  <c:v>57.970569479510338</c:v>
                </c:pt>
                <c:pt idx="6">
                  <c:v>57.484025310371223</c:v>
                </c:pt>
                <c:pt idx="7">
                  <c:v>56.210715652878605</c:v>
                </c:pt>
                <c:pt idx="8">
                  <c:v>56.019418978014166</c:v>
                </c:pt>
                <c:pt idx="9">
                  <c:v>53.919662052022353</c:v>
                </c:pt>
                <c:pt idx="10">
                  <c:v>52.47985822119044</c:v>
                </c:pt>
                <c:pt idx="11">
                  <c:v>51.816467270045401</c:v>
                </c:pt>
                <c:pt idx="12">
                  <c:v>51.490642567897915</c:v>
                </c:pt>
                <c:pt idx="13">
                  <c:v>51.06155171274866</c:v>
                </c:pt>
                <c:pt idx="14">
                  <c:v>50.550353286010598</c:v>
                </c:pt>
                <c:pt idx="15">
                  <c:v>50.203476102346947</c:v>
                </c:pt>
                <c:pt idx="16">
                  <c:v>49.911597975540182</c:v>
                </c:pt>
                <c:pt idx="17">
                  <c:v>49.628522884347632</c:v>
                </c:pt>
                <c:pt idx="18">
                  <c:v>49.358292108154743</c:v>
                </c:pt>
                <c:pt idx="19">
                  <c:v>49.201577399344842</c:v>
                </c:pt>
                <c:pt idx="20">
                  <c:v>49.082188088900551</c:v>
                </c:pt>
                <c:pt idx="21">
                  <c:v>48.923241590163805</c:v>
                </c:pt>
                <c:pt idx="22">
                  <c:v>48.8036129959752</c:v>
                </c:pt>
                <c:pt idx="23">
                  <c:v>48.683141661039961</c:v>
                </c:pt>
                <c:pt idx="24">
                  <c:v>48.676080107070298</c:v>
                </c:pt>
                <c:pt idx="25">
                  <c:v>48.671348985889722</c:v>
                </c:pt>
                <c:pt idx="26">
                  <c:v>48.653399974473452</c:v>
                </c:pt>
                <c:pt idx="27">
                  <c:v>48.657534977848108</c:v>
                </c:pt>
                <c:pt idx="28">
                  <c:v>48.622687746412076</c:v>
                </c:pt>
                <c:pt idx="29">
                  <c:v>48.637609976596487</c:v>
                </c:pt>
                <c:pt idx="30">
                  <c:v>48.637336465843447</c:v>
                </c:pt>
              </c:numCache>
            </c:numRef>
          </c:val>
          <c:smooth val="0"/>
          <c:extLst>
            <c:ext xmlns:c16="http://schemas.microsoft.com/office/drawing/2014/chart" uri="{C3380CC4-5D6E-409C-BE32-E72D297353CC}">
              <c16:uniqueId val="{00000006-5196-42B4-824F-D4AB3F726A7A}"/>
            </c:ext>
          </c:extLst>
        </c:ser>
        <c:dLbls>
          <c:showLegendKey val="0"/>
          <c:showVal val="0"/>
          <c:showCatName val="0"/>
          <c:showSerName val="0"/>
          <c:showPercent val="0"/>
          <c:showBubbleSize val="0"/>
        </c:dLbls>
        <c:marker val="1"/>
        <c:smooth val="0"/>
        <c:axId val="814784328"/>
        <c:axId val="814784720"/>
      </c:lineChart>
      <c:catAx>
        <c:axId val="814784328"/>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en-US"/>
          </a:p>
        </c:txPr>
        <c:crossAx val="814784720"/>
        <c:crosses val="autoZero"/>
        <c:auto val="1"/>
        <c:lblAlgn val="ctr"/>
        <c:lblOffset val="100"/>
        <c:tickLblSkip val="2"/>
        <c:tickMarkSkip val="1"/>
        <c:noMultiLvlLbl val="0"/>
      </c:catAx>
      <c:valAx>
        <c:axId val="814784720"/>
        <c:scaling>
          <c:orientation val="minMax"/>
        </c:scaling>
        <c:delete val="0"/>
        <c:axPos val="l"/>
        <c:majorGridlines>
          <c:spPr>
            <a:ln w="3175">
              <a:solidFill>
                <a:srgbClr val="000000"/>
              </a:solidFill>
              <a:prstDash val="solid"/>
            </a:ln>
          </c:spPr>
        </c:majorGridlines>
        <c:title>
          <c:tx>
            <c:rich>
              <a:bodyPr/>
              <a:lstStyle/>
              <a:p>
                <a:pPr>
                  <a:defRPr sz="1175" b="1" i="0" u="none" strike="noStrike" baseline="0">
                    <a:solidFill>
                      <a:srgbClr val="000000"/>
                    </a:solidFill>
                    <a:latin typeface="Arial"/>
                    <a:ea typeface="Arial"/>
                    <a:cs typeface="Arial"/>
                  </a:defRPr>
                </a:pPr>
                <a:r>
                  <a:rPr lang="en-GB"/>
                  <a:t>Ml/d</a:t>
                </a:r>
              </a:p>
            </c:rich>
          </c:tx>
          <c:layout>
            <c:manualLayout>
              <c:xMode val="edge"/>
              <c:yMode val="edge"/>
              <c:x val="2.0359337875782983E-2"/>
              <c:y val="0.39858528733632054"/>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814784328"/>
        <c:crosses val="autoZero"/>
        <c:crossBetween val="midCat"/>
      </c:valAx>
      <c:spPr>
        <a:solidFill>
          <a:schemeClr val="bg1"/>
        </a:solidFill>
        <a:ln w="12700">
          <a:solidFill>
            <a:srgbClr val="808080"/>
          </a:solidFill>
          <a:prstDash val="solid"/>
        </a:ln>
      </c:spPr>
    </c:plotArea>
    <c:legend>
      <c:legendPos val="b"/>
      <c:legendEntry>
        <c:idx val="0"/>
        <c:txPr>
          <a:bodyPr/>
          <a:lstStyle/>
          <a:p>
            <a:pPr>
              <a:defRPr sz="1000" b="0" i="0" u="none" strike="noStrike" baseline="0">
                <a:solidFill>
                  <a:srgbClr val="000000"/>
                </a:solidFill>
                <a:latin typeface="Arial"/>
                <a:ea typeface="Arial"/>
                <a:cs typeface="Arial"/>
              </a:defRPr>
            </a:pPr>
            <a:endParaRPr lang="en-US"/>
          </a:p>
        </c:txPr>
      </c:legendEntry>
      <c:layout>
        <c:manualLayout>
          <c:xMode val="edge"/>
          <c:yMode val="edge"/>
          <c:x val="0.16452269470774322"/>
          <c:y val="0.82158446545736608"/>
          <c:w val="0.7156398695723647"/>
          <c:h val="0.16402912270077008"/>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0"/>
    <c:dispBlanksAs val="zero"/>
    <c:showDLblsOverMax val="0"/>
  </c:chart>
  <c:spPr>
    <a:solidFill>
      <a:schemeClr val="accent1"/>
    </a:solidFill>
    <a:ln w="3175">
      <a:solidFill>
        <a:srgbClr val="000000"/>
      </a:solidFill>
      <a:prstDash val="solid"/>
    </a:ln>
  </c:spPr>
  <c:txPr>
    <a:bodyPr/>
    <a:lstStyle/>
    <a:p>
      <a:pPr>
        <a:defRPr sz="975" b="0" i="0" u="none" strike="noStrike" baseline="0">
          <a:solidFill>
            <a:srgbClr val="000000"/>
          </a:solidFill>
          <a:latin typeface="Arial"/>
          <a:ea typeface="Arial"/>
          <a:cs typeface="Arial"/>
        </a:defRPr>
      </a:pPr>
      <a:endParaRPr lang="en-US"/>
    </a:p>
  </c:txPr>
  <c:printSettings>
    <c:headerFooter alignWithMargins="0"/>
    <c:pageMargins b="1" l="0.75000000000000622" r="0.75000000000000622" t="1" header="0.5" footer="0.5"/>
    <c:pageSetup paperSize="9" orientation="landscape"/>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75" b="1" i="0" u="none" strike="noStrike" baseline="0">
                <a:solidFill>
                  <a:srgbClr val="000000"/>
                </a:solidFill>
                <a:latin typeface="Arial"/>
                <a:ea typeface="Arial"/>
                <a:cs typeface="Arial"/>
              </a:defRPr>
            </a:pPr>
            <a:r>
              <a:rPr lang="en-GB"/>
              <a:t>DYAA Baseline Water Supply-Demand Balance and Components of Demand</a:t>
            </a:r>
          </a:p>
        </c:rich>
      </c:tx>
      <c:layout>
        <c:manualLayout>
          <c:xMode val="edge"/>
          <c:yMode val="edge"/>
          <c:x val="0.2095809470200265"/>
          <c:y val="2.9013693730272669E-2"/>
        </c:manualLayout>
      </c:layout>
      <c:overlay val="0"/>
      <c:spPr>
        <a:noFill/>
        <a:ln w="25400">
          <a:noFill/>
        </a:ln>
      </c:spPr>
    </c:title>
    <c:autoTitleDeleted val="0"/>
    <c:plotArea>
      <c:layout>
        <c:manualLayout>
          <c:layoutTarget val="inner"/>
          <c:xMode val="edge"/>
          <c:yMode val="edge"/>
          <c:x val="8.5343266856694813E-2"/>
          <c:y val="0.10444884139344435"/>
          <c:w val="0.89146608097046709"/>
          <c:h val="0.55130264550264552"/>
        </c:manualLayout>
      </c:layout>
      <c:areaChart>
        <c:grouping val="stacked"/>
        <c:varyColors val="0"/>
        <c:ser>
          <c:idx val="6"/>
          <c:order val="0"/>
          <c:tx>
            <c:v>Measured household consumption</c:v>
          </c:tx>
          <c:spPr>
            <a:ln w="25400">
              <a:noFill/>
            </a:ln>
          </c:spPr>
          <c:cat>
            <c:multiLvlStrRef>
              <c:f>}</c:f>
            </c:multiLvlStrRef>
          </c:cat>
          <c:val>
            <c:numRef>
              <c:f>ESWNCT!$G$368:$AK$368</c:f>
              <c:numCache>
                <c:formatCode>0.00</c:formatCode>
                <c:ptCount val="31"/>
                <c:pt idx="0">
                  <c:v>0</c:v>
                </c:pt>
                <c:pt idx="1">
                  <c:v>0</c:v>
                </c:pt>
                <c:pt idx="2">
                  <c:v>17.398467649188941</c:v>
                </c:pt>
                <c:pt idx="3">
                  <c:v>17.112564349480355</c:v>
                </c:pt>
                <c:pt idx="4">
                  <c:v>17.10333836520001</c:v>
                </c:pt>
                <c:pt idx="5">
                  <c:v>17.369327390850341</c:v>
                </c:pt>
                <c:pt idx="6">
                  <c:v>18.10071145804876</c:v>
                </c:pt>
                <c:pt idx="7">
                  <c:v>18.808845796654822</c:v>
                </c:pt>
                <c:pt idx="8">
                  <c:v>19.119334215946814</c:v>
                </c:pt>
                <c:pt idx="9">
                  <c:v>19.413468656497624</c:v>
                </c:pt>
                <c:pt idx="10">
                  <c:v>19.678347460203188</c:v>
                </c:pt>
                <c:pt idx="11">
                  <c:v>19.882287586652851</c:v>
                </c:pt>
                <c:pt idx="12">
                  <c:v>20.032024245019254</c:v>
                </c:pt>
                <c:pt idx="13">
                  <c:v>20.181983166984828</c:v>
                </c:pt>
                <c:pt idx="14">
                  <c:v>20.330949699259573</c:v>
                </c:pt>
                <c:pt idx="15">
                  <c:v>20.492887216821135</c:v>
                </c:pt>
                <c:pt idx="16">
                  <c:v>20.644781602781148</c:v>
                </c:pt>
                <c:pt idx="17">
                  <c:v>20.800778071241197</c:v>
                </c:pt>
                <c:pt idx="18">
                  <c:v>20.956303900998286</c:v>
                </c:pt>
                <c:pt idx="19">
                  <c:v>21.121719040440958</c:v>
                </c:pt>
                <c:pt idx="20">
                  <c:v>21.29497621014664</c:v>
                </c:pt>
                <c:pt idx="21">
                  <c:v>21.43682901466282</c:v>
                </c:pt>
                <c:pt idx="22">
                  <c:v>21.606195568961567</c:v>
                </c:pt>
                <c:pt idx="23">
                  <c:v>21.780056940743439</c:v>
                </c:pt>
                <c:pt idx="24">
                  <c:v>21.952105916105829</c:v>
                </c:pt>
                <c:pt idx="25">
                  <c:v>22.122506263196804</c:v>
                </c:pt>
                <c:pt idx="26">
                  <c:v>22.286468243573314</c:v>
                </c:pt>
                <c:pt idx="27">
                  <c:v>22.4519821667106</c:v>
                </c:pt>
                <c:pt idx="28">
                  <c:v>22.614880340308165</c:v>
                </c:pt>
                <c:pt idx="29">
                  <c:v>22.778149291612952</c:v>
                </c:pt>
                <c:pt idx="30">
                  <c:v>22.936735130169005</c:v>
                </c:pt>
              </c:numCache>
            </c:numRef>
          </c:val>
          <c:extLst>
            <c:ext xmlns:c16="http://schemas.microsoft.com/office/drawing/2014/chart" uri="{C3380CC4-5D6E-409C-BE32-E72D297353CC}">
              <c16:uniqueId val="{00000000-E060-4944-BFDA-34FC4E03189C}"/>
            </c:ext>
          </c:extLst>
        </c:ser>
        <c:ser>
          <c:idx val="0"/>
          <c:order val="1"/>
          <c:tx>
            <c:v>Unmeasured household consumption</c:v>
          </c:tx>
          <c:spPr>
            <a:ln w="25400">
              <a:noFill/>
            </a:ln>
          </c:spPr>
          <c:cat>
            <c:multiLvlStrRef>
              <c:f>}</c:f>
            </c:multiLvlStrRef>
          </c:cat>
          <c:val>
            <c:numRef>
              <c:f>ESWNCT!$G$369:$AK$369</c:f>
              <c:numCache>
                <c:formatCode>0.00</c:formatCode>
                <c:ptCount val="31"/>
                <c:pt idx="0">
                  <c:v>0</c:v>
                </c:pt>
                <c:pt idx="1">
                  <c:v>0</c:v>
                </c:pt>
                <c:pt idx="2">
                  <c:v>13.861692014340996</c:v>
                </c:pt>
                <c:pt idx="3">
                  <c:v>13.107647381913853</c:v>
                </c:pt>
                <c:pt idx="4">
                  <c:v>12.997183846151753</c:v>
                </c:pt>
                <c:pt idx="5">
                  <c:v>12.430353977244778</c:v>
                </c:pt>
                <c:pt idx="6">
                  <c:v>11.469028314301802</c:v>
                </c:pt>
                <c:pt idx="7">
                  <c:v>10.722810779268956</c:v>
                </c:pt>
                <c:pt idx="8">
                  <c:v>10.435342965655972</c:v>
                </c:pt>
                <c:pt idx="9">
                  <c:v>10.149789789279204</c:v>
                </c:pt>
                <c:pt idx="10">
                  <c:v>9.8652708229143453</c:v>
                </c:pt>
                <c:pt idx="11">
                  <c:v>9.6711973286982875</c:v>
                </c:pt>
                <c:pt idx="12">
                  <c:v>9.5701572070515653</c:v>
                </c:pt>
                <c:pt idx="13">
                  <c:v>9.4709940182746166</c:v>
                </c:pt>
                <c:pt idx="14">
                  <c:v>9.372758993824327</c:v>
                </c:pt>
                <c:pt idx="15">
                  <c:v>9.2761498868058041</c:v>
                </c:pt>
                <c:pt idx="16">
                  <c:v>9.1878306410998167</c:v>
                </c:pt>
                <c:pt idx="17">
                  <c:v>9.101077789390434</c:v>
                </c:pt>
                <c:pt idx="18">
                  <c:v>9.0149521916153326</c:v>
                </c:pt>
                <c:pt idx="19">
                  <c:v>8.9320109465243096</c:v>
                </c:pt>
                <c:pt idx="20">
                  <c:v>8.8496894933983494</c:v>
                </c:pt>
                <c:pt idx="21">
                  <c:v>8.7677758176957621</c:v>
                </c:pt>
                <c:pt idx="22">
                  <c:v>8.6875349066469436</c:v>
                </c:pt>
                <c:pt idx="23">
                  <c:v>8.6126297310390392</c:v>
                </c:pt>
                <c:pt idx="24">
                  <c:v>8.5424178448291688</c:v>
                </c:pt>
                <c:pt idx="25">
                  <c:v>8.4737075225465617</c:v>
                </c:pt>
                <c:pt idx="26">
                  <c:v>8.4056073299648482</c:v>
                </c:pt>
                <c:pt idx="27">
                  <c:v>8.3406029469054257</c:v>
                </c:pt>
                <c:pt idx="28">
                  <c:v>8.2761047802509271</c:v>
                </c:pt>
                <c:pt idx="29">
                  <c:v>8.2129288193269936</c:v>
                </c:pt>
                <c:pt idx="30">
                  <c:v>8.1485528159597305</c:v>
                </c:pt>
              </c:numCache>
            </c:numRef>
          </c:val>
          <c:extLst>
            <c:ext xmlns:c16="http://schemas.microsoft.com/office/drawing/2014/chart" uri="{C3380CC4-5D6E-409C-BE32-E72D297353CC}">
              <c16:uniqueId val="{00000001-E060-4944-BFDA-34FC4E03189C}"/>
            </c:ext>
          </c:extLst>
        </c:ser>
        <c:ser>
          <c:idx val="1"/>
          <c:order val="2"/>
          <c:tx>
            <c:v>Non-household consumption</c:v>
          </c:tx>
          <c:spPr>
            <a:ln w="25400">
              <a:noFill/>
            </a:ln>
          </c:spPr>
          <c:cat>
            <c:multiLvlStrRef>
              <c:f>}</c:f>
            </c:multiLvlStrRef>
          </c:cat>
          <c:val>
            <c:numRef>
              <c:f>ESWNCT!$G$370:$AK$370</c:f>
              <c:numCache>
                <c:formatCode>0.00</c:formatCode>
                <c:ptCount val="31"/>
                <c:pt idx="0">
                  <c:v>0</c:v>
                </c:pt>
                <c:pt idx="1">
                  <c:v>0</c:v>
                </c:pt>
                <c:pt idx="2">
                  <c:v>10.68025832804982</c:v>
                </c:pt>
                <c:pt idx="3">
                  <c:v>11.89615012042419</c:v>
                </c:pt>
                <c:pt idx="4">
                  <c:v>13.265936841019769</c:v>
                </c:pt>
                <c:pt idx="5">
                  <c:v>13.993383085544702</c:v>
                </c:pt>
                <c:pt idx="6">
                  <c:v>14.646228442408788</c:v>
                </c:pt>
                <c:pt idx="7">
                  <c:v>14.858330752194938</c:v>
                </c:pt>
                <c:pt idx="8">
                  <c:v>16.991619492705574</c:v>
                </c:pt>
                <c:pt idx="9">
                  <c:v>17.040984727731733</c:v>
                </c:pt>
                <c:pt idx="10">
                  <c:v>17.085899932140091</c:v>
                </c:pt>
                <c:pt idx="11">
                  <c:v>17.141723026768073</c:v>
                </c:pt>
                <c:pt idx="12">
                  <c:v>17.192772637854222</c:v>
                </c:pt>
                <c:pt idx="13">
                  <c:v>17.243544809518937</c:v>
                </c:pt>
                <c:pt idx="14">
                  <c:v>17.293923369545357</c:v>
                </c:pt>
                <c:pt idx="15">
                  <c:v>17.34416564024702</c:v>
                </c:pt>
                <c:pt idx="16">
                  <c:v>17.391516935609697</c:v>
                </c:pt>
                <c:pt idx="17">
                  <c:v>17.437191997608569</c:v>
                </c:pt>
                <c:pt idx="18">
                  <c:v>17.482150611799522</c:v>
                </c:pt>
                <c:pt idx="19">
                  <c:v>17.526421561325176</c:v>
                </c:pt>
                <c:pt idx="20">
                  <c:v>17.570341709499822</c:v>
                </c:pt>
                <c:pt idx="21">
                  <c:v>17.61412192650468</c:v>
                </c:pt>
                <c:pt idx="22">
                  <c:v>17.656767984354001</c:v>
                </c:pt>
                <c:pt idx="23">
                  <c:v>17.698606108336886</c:v>
                </c:pt>
                <c:pt idx="24">
                  <c:v>17.739592972958885</c:v>
                </c:pt>
                <c:pt idx="25">
                  <c:v>17.779701125802873</c:v>
                </c:pt>
                <c:pt idx="26">
                  <c:v>17.818911706652443</c:v>
                </c:pt>
                <c:pt idx="27">
                  <c:v>17.857381752423603</c:v>
                </c:pt>
                <c:pt idx="28">
                  <c:v>17.895205976463476</c:v>
                </c:pt>
                <c:pt idx="29">
                  <c:v>17.932397589694862</c:v>
                </c:pt>
                <c:pt idx="30">
                  <c:v>17.968948433188185</c:v>
                </c:pt>
              </c:numCache>
            </c:numRef>
          </c:val>
          <c:extLst>
            <c:ext xmlns:c16="http://schemas.microsoft.com/office/drawing/2014/chart" uri="{C3380CC4-5D6E-409C-BE32-E72D297353CC}">
              <c16:uniqueId val="{00000002-E060-4944-BFDA-34FC4E03189C}"/>
            </c:ext>
          </c:extLst>
        </c:ser>
        <c:ser>
          <c:idx val="2"/>
          <c:order val="3"/>
          <c:tx>
            <c:v>Total leakage</c:v>
          </c:tx>
          <c:spPr>
            <a:ln w="25400">
              <a:noFill/>
            </a:ln>
          </c:spPr>
          <c:cat>
            <c:multiLvlStrRef>
              <c:f>}</c:f>
            </c:multiLvlStrRef>
          </c:cat>
          <c:val>
            <c:numRef>
              <c:f>ESWNCT!$G$371:$AK$371</c:f>
              <c:numCache>
                <c:formatCode>0.00</c:formatCode>
                <c:ptCount val="31"/>
                <c:pt idx="0">
                  <c:v>0</c:v>
                </c:pt>
                <c:pt idx="1">
                  <c:v>0</c:v>
                </c:pt>
                <c:pt idx="2">
                  <c:v>2.7140564682276551</c:v>
                </c:pt>
                <c:pt idx="3">
                  <c:v>3.0110663999999998</c:v>
                </c:pt>
                <c:pt idx="4">
                  <c:v>2.8933151999999995</c:v>
                </c:pt>
                <c:pt idx="5">
                  <c:v>2.7755640000000001</c:v>
                </c:pt>
                <c:pt idx="6">
                  <c:v>2.7755640000000001</c:v>
                </c:pt>
                <c:pt idx="7">
                  <c:v>2.7755640000000001</c:v>
                </c:pt>
                <c:pt idx="8">
                  <c:v>2.7755640000000001</c:v>
                </c:pt>
                <c:pt idx="9">
                  <c:v>2.7755640000000001</c:v>
                </c:pt>
                <c:pt idx="10">
                  <c:v>2.7755640000000001</c:v>
                </c:pt>
                <c:pt idx="11">
                  <c:v>2.7755640000000001</c:v>
                </c:pt>
                <c:pt idx="12">
                  <c:v>2.7755640000000001</c:v>
                </c:pt>
                <c:pt idx="13">
                  <c:v>2.7755640000000001</c:v>
                </c:pt>
                <c:pt idx="14">
                  <c:v>2.7755640000000001</c:v>
                </c:pt>
                <c:pt idx="15">
                  <c:v>2.7755640000000001</c:v>
                </c:pt>
                <c:pt idx="16">
                  <c:v>2.7755640000000001</c:v>
                </c:pt>
                <c:pt idx="17">
                  <c:v>2.7755640000000001</c:v>
                </c:pt>
                <c:pt idx="18">
                  <c:v>2.7755640000000001</c:v>
                </c:pt>
                <c:pt idx="19">
                  <c:v>2.7755640000000001</c:v>
                </c:pt>
                <c:pt idx="20">
                  <c:v>2.7755640000000001</c:v>
                </c:pt>
                <c:pt idx="21">
                  <c:v>2.7755640000000001</c:v>
                </c:pt>
                <c:pt idx="22">
                  <c:v>2.7755640000000001</c:v>
                </c:pt>
                <c:pt idx="23">
                  <c:v>2.7755640000000001</c:v>
                </c:pt>
                <c:pt idx="24">
                  <c:v>2.7755640000000001</c:v>
                </c:pt>
                <c:pt idx="25">
                  <c:v>2.7755640000000001</c:v>
                </c:pt>
                <c:pt idx="26">
                  <c:v>2.7755640000000001</c:v>
                </c:pt>
                <c:pt idx="27">
                  <c:v>2.7755640000000001</c:v>
                </c:pt>
                <c:pt idx="28">
                  <c:v>2.7755640000000001</c:v>
                </c:pt>
                <c:pt idx="29">
                  <c:v>2.7755640000000001</c:v>
                </c:pt>
                <c:pt idx="30">
                  <c:v>2.7755640000000001</c:v>
                </c:pt>
              </c:numCache>
            </c:numRef>
          </c:val>
          <c:extLst>
            <c:ext xmlns:c16="http://schemas.microsoft.com/office/drawing/2014/chart" uri="{C3380CC4-5D6E-409C-BE32-E72D297353CC}">
              <c16:uniqueId val="{00000003-E060-4944-BFDA-34FC4E03189C}"/>
            </c:ext>
          </c:extLst>
        </c:ser>
        <c:ser>
          <c:idx val="3"/>
          <c:order val="4"/>
          <c:tx>
            <c:v>Other components of demand</c:v>
          </c:tx>
          <c:spPr>
            <a:ln w="25400">
              <a:noFill/>
            </a:ln>
          </c:spPr>
          <c:cat>
            <c:multiLvlStrRef>
              <c:f>}</c:f>
            </c:multiLvlStrRef>
          </c:cat>
          <c:val>
            <c:numRef>
              <c:f>ESWNCT!$G$372:$AK$372</c:f>
              <c:numCache>
                <c:formatCode>0.00</c:formatCode>
                <c:ptCount val="31"/>
                <c:pt idx="0">
                  <c:v>0</c:v>
                </c:pt>
                <c:pt idx="1">
                  <c:v>0</c:v>
                </c:pt>
                <c:pt idx="2">
                  <c:v>1.8115870309918378</c:v>
                </c:pt>
                <c:pt idx="3">
                  <c:v>1.803237358100823</c:v>
                </c:pt>
                <c:pt idx="4">
                  <c:v>1.8026674142220429</c:v>
                </c:pt>
                <c:pt idx="5">
                  <c:v>1.8025335791050949</c:v>
                </c:pt>
                <c:pt idx="6">
                  <c:v>1.8034288607064681</c:v>
                </c:pt>
                <c:pt idx="7">
                  <c:v>1.8030145805468862</c:v>
                </c:pt>
                <c:pt idx="8">
                  <c:v>1.8026039152750428</c:v>
                </c:pt>
                <c:pt idx="9">
                  <c:v>1.8022316137007763</c:v>
                </c:pt>
                <c:pt idx="10">
                  <c:v>1.8018982265235266</c:v>
                </c:pt>
                <c:pt idx="11">
                  <c:v>1.8015659466929392</c:v>
                </c:pt>
                <c:pt idx="12">
                  <c:v>1.801224946508647</c:v>
                </c:pt>
                <c:pt idx="13">
                  <c:v>1.8008864767214021</c:v>
                </c:pt>
                <c:pt idx="14">
                  <c:v>1.8005504265799672</c:v>
                </c:pt>
                <c:pt idx="15">
                  <c:v>1.800214353685945</c:v>
                </c:pt>
                <c:pt idx="16">
                  <c:v>1.7998803979336557</c:v>
                </c:pt>
                <c:pt idx="17">
                  <c:v>1.7995494133550594</c:v>
                </c:pt>
                <c:pt idx="18">
                  <c:v>1.7992211505270177</c:v>
                </c:pt>
                <c:pt idx="19">
                  <c:v>1.7988958604272725</c:v>
                </c:pt>
                <c:pt idx="20">
                  <c:v>1.7985763935972017</c:v>
                </c:pt>
                <c:pt idx="21">
                  <c:v>1.7982599944802047</c:v>
                </c:pt>
                <c:pt idx="22">
                  <c:v>1.7979468226658568</c:v>
                </c:pt>
                <c:pt idx="23">
                  <c:v>1.7976364136816372</c:v>
                </c:pt>
                <c:pt idx="24">
                  <c:v>1.7973287099520832</c:v>
                </c:pt>
                <c:pt idx="25">
                  <c:v>1.7970238674534755</c:v>
                </c:pt>
                <c:pt idx="26">
                  <c:v>1.7967218953785107</c:v>
                </c:pt>
                <c:pt idx="27">
                  <c:v>1.7964227311522549</c:v>
                </c:pt>
                <c:pt idx="28">
                  <c:v>1.7961264283852856</c:v>
                </c:pt>
                <c:pt idx="29">
                  <c:v>1.7958332947864335</c:v>
                </c:pt>
                <c:pt idx="30">
                  <c:v>1.7955432701320646</c:v>
                </c:pt>
              </c:numCache>
            </c:numRef>
          </c:val>
          <c:extLst>
            <c:ext xmlns:c16="http://schemas.microsoft.com/office/drawing/2014/chart" uri="{C3380CC4-5D6E-409C-BE32-E72D297353CC}">
              <c16:uniqueId val="{00000004-E060-4944-BFDA-34FC4E03189C}"/>
            </c:ext>
          </c:extLst>
        </c:ser>
        <c:dLbls>
          <c:showLegendKey val="0"/>
          <c:showVal val="0"/>
          <c:showCatName val="0"/>
          <c:showSerName val="0"/>
          <c:showPercent val="0"/>
          <c:showBubbleSize val="0"/>
        </c:dLbls>
        <c:axId val="909034472"/>
        <c:axId val="909034864"/>
      </c:areaChart>
      <c:lineChart>
        <c:grouping val="standard"/>
        <c:varyColors val="0"/>
        <c:ser>
          <c:idx val="4"/>
          <c:order val="5"/>
          <c:tx>
            <c:v>Total water available for use</c:v>
          </c:tx>
          <c:spPr>
            <a:ln w="25400"/>
          </c:spPr>
          <c:marker>
            <c:symbol val="none"/>
          </c:marker>
          <c:cat>
            <c:strRef>
              <c:f>ESWNCT!$G$367:$CI$367</c:f>
              <c:strCache>
                <c:ptCount val="3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strCache>
            </c:strRef>
          </c:cat>
          <c:val>
            <c:numRef>
              <c:f>ESWNCT!$G$373:$AK$373</c:f>
              <c:numCache>
                <c:formatCode>0.00</c:formatCode>
                <c:ptCount val="31"/>
                <c:pt idx="0">
                  <c:v>0</c:v>
                </c:pt>
                <c:pt idx="1">
                  <c:v>0</c:v>
                </c:pt>
                <c:pt idx="2">
                  <c:v>56.410000000000004</c:v>
                </c:pt>
                <c:pt idx="3">
                  <c:v>56.410000000000004</c:v>
                </c:pt>
                <c:pt idx="4">
                  <c:v>56.410000000000004</c:v>
                </c:pt>
                <c:pt idx="5">
                  <c:v>56.410000000000004</c:v>
                </c:pt>
                <c:pt idx="6">
                  <c:v>56.410000000000004</c:v>
                </c:pt>
                <c:pt idx="7">
                  <c:v>56.52</c:v>
                </c:pt>
                <c:pt idx="8">
                  <c:v>56.52</c:v>
                </c:pt>
                <c:pt idx="9">
                  <c:v>56.52</c:v>
                </c:pt>
                <c:pt idx="10">
                  <c:v>56.52</c:v>
                </c:pt>
                <c:pt idx="11">
                  <c:v>53.280000000000008</c:v>
                </c:pt>
                <c:pt idx="12">
                  <c:v>53.280000000000008</c:v>
                </c:pt>
                <c:pt idx="13">
                  <c:v>51.430000000000007</c:v>
                </c:pt>
                <c:pt idx="14">
                  <c:v>51.430000000000007</c:v>
                </c:pt>
                <c:pt idx="15">
                  <c:v>51.430000000000007</c:v>
                </c:pt>
                <c:pt idx="16">
                  <c:v>51.430000000000007</c:v>
                </c:pt>
                <c:pt idx="17">
                  <c:v>51.430000000000007</c:v>
                </c:pt>
                <c:pt idx="18">
                  <c:v>51.430000000000007</c:v>
                </c:pt>
                <c:pt idx="19">
                  <c:v>51.430000000000007</c:v>
                </c:pt>
                <c:pt idx="20">
                  <c:v>51.430000000000007</c:v>
                </c:pt>
                <c:pt idx="21">
                  <c:v>36.929999999999993</c:v>
                </c:pt>
                <c:pt idx="22">
                  <c:v>36.929999999999993</c:v>
                </c:pt>
                <c:pt idx="23">
                  <c:v>36.929999999999993</c:v>
                </c:pt>
                <c:pt idx="24">
                  <c:v>36.929999999999993</c:v>
                </c:pt>
                <c:pt idx="25">
                  <c:v>36.929999999999993</c:v>
                </c:pt>
                <c:pt idx="26">
                  <c:v>21.619999999999997</c:v>
                </c:pt>
                <c:pt idx="27">
                  <c:v>21.619999999999997</c:v>
                </c:pt>
                <c:pt idx="28">
                  <c:v>21.619999999999997</c:v>
                </c:pt>
                <c:pt idx="29">
                  <c:v>21.619999999999997</c:v>
                </c:pt>
                <c:pt idx="30">
                  <c:v>21.619999999999997</c:v>
                </c:pt>
              </c:numCache>
            </c:numRef>
          </c:val>
          <c:smooth val="0"/>
          <c:extLst>
            <c:ext xmlns:c16="http://schemas.microsoft.com/office/drawing/2014/chart" uri="{C3380CC4-5D6E-409C-BE32-E72D297353CC}">
              <c16:uniqueId val="{00000005-E060-4944-BFDA-34FC4E03189C}"/>
            </c:ext>
          </c:extLst>
        </c:ser>
        <c:ser>
          <c:idx val="5"/>
          <c:order val="6"/>
          <c:tx>
            <c:v>Total demand + target headroom (baseline)</c:v>
          </c:tx>
          <c:spPr>
            <a:ln w="25400"/>
          </c:spPr>
          <c:marker>
            <c:symbol val="none"/>
          </c:marker>
          <c:cat>
            <c:strRef>
              <c:f>ESWNCT!$G$367:$CI$367</c:f>
              <c:strCache>
                <c:ptCount val="3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strCache>
            </c:strRef>
          </c:cat>
          <c:val>
            <c:numRef>
              <c:f>ESWNCT!$G$374:$AK$374</c:f>
              <c:numCache>
                <c:formatCode>0.00</c:formatCode>
                <c:ptCount val="31"/>
                <c:pt idx="0">
                  <c:v>0</c:v>
                </c:pt>
                <c:pt idx="1">
                  <c:v>0</c:v>
                </c:pt>
                <c:pt idx="2">
                  <c:v>48.468025651991695</c:v>
                </c:pt>
                <c:pt idx="3">
                  <c:v>49.160892908083994</c:v>
                </c:pt>
                <c:pt idx="4">
                  <c:v>50.170548192593998</c:v>
                </c:pt>
                <c:pt idx="5">
                  <c:v>50.46295488369875</c:v>
                </c:pt>
                <c:pt idx="6">
                  <c:v>50.842449350677725</c:v>
                </c:pt>
                <c:pt idx="7">
                  <c:v>50.752223751212483</c:v>
                </c:pt>
                <c:pt idx="8">
                  <c:v>52.612019985990713</c:v>
                </c:pt>
                <c:pt idx="9">
                  <c:v>52.569679840112748</c:v>
                </c:pt>
                <c:pt idx="10">
                  <c:v>52.496887618001217</c:v>
                </c:pt>
                <c:pt idx="11">
                  <c:v>52.442371668325386</c:v>
                </c:pt>
                <c:pt idx="12">
                  <c:v>52.477291461680515</c:v>
                </c:pt>
                <c:pt idx="13">
                  <c:v>52.549276077608496</c:v>
                </c:pt>
                <c:pt idx="14">
                  <c:v>52.597566168713392</c:v>
                </c:pt>
                <c:pt idx="15">
                  <c:v>52.69190419091349</c:v>
                </c:pt>
                <c:pt idx="16">
                  <c:v>52.761205549773585</c:v>
                </c:pt>
                <c:pt idx="17">
                  <c:v>52.854050469317819</c:v>
                </c:pt>
                <c:pt idx="18">
                  <c:v>52.936008947335885</c:v>
                </c:pt>
                <c:pt idx="19">
                  <c:v>53.039321353624864</c:v>
                </c:pt>
                <c:pt idx="20">
                  <c:v>53.154501124321158</c:v>
                </c:pt>
                <c:pt idx="21">
                  <c:v>53.238169198682947</c:v>
                </c:pt>
                <c:pt idx="22">
                  <c:v>53.344901311297136</c:v>
                </c:pt>
                <c:pt idx="23">
                  <c:v>53.467222452465876</c:v>
                </c:pt>
                <c:pt idx="24">
                  <c:v>53.589899278817441</c:v>
                </c:pt>
                <c:pt idx="25">
                  <c:v>53.714366662690473</c:v>
                </c:pt>
                <c:pt idx="26">
                  <c:v>53.829226230757968</c:v>
                </c:pt>
                <c:pt idx="27">
                  <c:v>53.957123936841512</c:v>
                </c:pt>
                <c:pt idx="28">
                  <c:v>54.050076255204615</c:v>
                </c:pt>
                <c:pt idx="29">
                  <c:v>54.19098704002522</c:v>
                </c:pt>
                <c:pt idx="30">
                  <c:v>54.312615365358695</c:v>
                </c:pt>
              </c:numCache>
            </c:numRef>
          </c:val>
          <c:smooth val="0"/>
          <c:extLst>
            <c:ext xmlns:c16="http://schemas.microsoft.com/office/drawing/2014/chart" uri="{C3380CC4-5D6E-409C-BE32-E72D297353CC}">
              <c16:uniqueId val="{00000006-E060-4944-BFDA-34FC4E03189C}"/>
            </c:ext>
          </c:extLst>
        </c:ser>
        <c:dLbls>
          <c:showLegendKey val="0"/>
          <c:showVal val="0"/>
          <c:showCatName val="0"/>
          <c:showSerName val="0"/>
          <c:showPercent val="0"/>
          <c:showBubbleSize val="0"/>
        </c:dLbls>
        <c:marker val="1"/>
        <c:smooth val="0"/>
        <c:axId val="909034472"/>
        <c:axId val="909034864"/>
      </c:lineChart>
      <c:catAx>
        <c:axId val="909034472"/>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en-US"/>
          </a:p>
        </c:txPr>
        <c:crossAx val="909034864"/>
        <c:crosses val="autoZero"/>
        <c:auto val="1"/>
        <c:lblAlgn val="ctr"/>
        <c:lblOffset val="100"/>
        <c:tickLblSkip val="2"/>
        <c:tickMarkSkip val="1"/>
        <c:noMultiLvlLbl val="0"/>
      </c:catAx>
      <c:valAx>
        <c:axId val="909034864"/>
        <c:scaling>
          <c:orientation val="minMax"/>
        </c:scaling>
        <c:delete val="0"/>
        <c:axPos val="l"/>
        <c:majorGridlines>
          <c:spPr>
            <a:ln w="3175">
              <a:solidFill>
                <a:srgbClr val="000000"/>
              </a:solidFill>
              <a:prstDash val="solid"/>
            </a:ln>
          </c:spPr>
        </c:majorGridlines>
        <c:title>
          <c:tx>
            <c:rich>
              <a:bodyPr/>
              <a:lstStyle/>
              <a:p>
                <a:pPr>
                  <a:defRPr sz="1175" b="1" i="0" u="none" strike="noStrike" baseline="0">
                    <a:solidFill>
                      <a:srgbClr val="000000"/>
                    </a:solidFill>
                    <a:latin typeface="Arial"/>
                    <a:ea typeface="Arial"/>
                    <a:cs typeface="Arial"/>
                  </a:defRPr>
                </a:pPr>
                <a:r>
                  <a:rPr lang="en-GB"/>
                  <a:t>Ml/d</a:t>
                </a:r>
              </a:p>
            </c:rich>
          </c:tx>
          <c:layout>
            <c:manualLayout>
              <c:xMode val="edge"/>
              <c:yMode val="edge"/>
              <c:x val="2.0359337875782983E-2"/>
              <c:y val="0.39858528733632054"/>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909034472"/>
        <c:crosses val="autoZero"/>
        <c:crossBetween val="midCat"/>
      </c:valAx>
      <c:spPr>
        <a:solidFill>
          <a:schemeClr val="bg1"/>
        </a:solidFill>
        <a:ln w="12700">
          <a:solidFill>
            <a:srgbClr val="808080"/>
          </a:solidFill>
          <a:prstDash val="solid"/>
        </a:ln>
      </c:spPr>
    </c:plotArea>
    <c:legend>
      <c:legendPos val="b"/>
      <c:legendEntry>
        <c:idx val="0"/>
        <c:txPr>
          <a:bodyPr/>
          <a:lstStyle/>
          <a:p>
            <a:pPr>
              <a:defRPr sz="1000" b="0" i="0" u="none" strike="noStrike" baseline="0">
                <a:solidFill>
                  <a:srgbClr val="000000"/>
                </a:solidFill>
                <a:latin typeface="Arial"/>
                <a:ea typeface="Arial"/>
                <a:cs typeface="Arial"/>
              </a:defRPr>
            </a:pPr>
            <a:endParaRPr lang="en-US"/>
          </a:p>
        </c:txPr>
      </c:legendEntry>
      <c:layout>
        <c:manualLayout>
          <c:xMode val="edge"/>
          <c:yMode val="edge"/>
          <c:x val="0.16452269470774322"/>
          <c:y val="0.82158446545736608"/>
          <c:w val="0.7156398695723647"/>
          <c:h val="0.16402912270077008"/>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0"/>
    <c:dispBlanksAs val="zero"/>
    <c:showDLblsOverMax val="0"/>
  </c:chart>
  <c:spPr>
    <a:solidFill>
      <a:schemeClr val="accent2"/>
    </a:solidFill>
    <a:ln w="3175">
      <a:solidFill>
        <a:srgbClr val="000000"/>
      </a:solidFill>
      <a:prstDash val="solid"/>
    </a:ln>
  </c:spPr>
  <c:txPr>
    <a:bodyPr/>
    <a:lstStyle/>
    <a:p>
      <a:pPr>
        <a:defRPr sz="975" b="0" i="0" u="none" strike="noStrike" baseline="0">
          <a:solidFill>
            <a:srgbClr val="000000"/>
          </a:solidFill>
          <a:latin typeface="Arial"/>
          <a:ea typeface="Arial"/>
          <a:cs typeface="Arial"/>
        </a:defRPr>
      </a:pPr>
      <a:endParaRPr lang="en-US"/>
    </a:p>
  </c:txPr>
  <c:printSettings>
    <c:headerFooter alignWithMargins="0"/>
    <c:pageMargins b="1" l="0.75000000000000622" r="0.75000000000000622" t="1" header="0.5" footer="0.5"/>
    <c:pageSetup paperSize="9" orientation="landscape"/>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75" b="1" i="0" u="none" strike="noStrike" baseline="0">
                <a:solidFill>
                  <a:srgbClr val="000000"/>
                </a:solidFill>
                <a:latin typeface="Arial"/>
                <a:ea typeface="Arial"/>
                <a:cs typeface="Arial"/>
              </a:defRPr>
            </a:pPr>
            <a:r>
              <a:rPr lang="en-GB"/>
              <a:t>DYCP Baseline Water Supply-Demand Balance and Components of Demand</a:t>
            </a:r>
          </a:p>
        </c:rich>
      </c:tx>
      <c:layout>
        <c:manualLayout>
          <c:xMode val="edge"/>
          <c:yMode val="edge"/>
          <c:x val="0.2095809470200265"/>
          <c:y val="2.9013693730272669E-2"/>
        </c:manualLayout>
      </c:layout>
      <c:overlay val="0"/>
      <c:spPr>
        <a:noFill/>
        <a:ln w="25400">
          <a:noFill/>
        </a:ln>
      </c:spPr>
    </c:title>
    <c:autoTitleDeleted val="0"/>
    <c:plotArea>
      <c:layout>
        <c:manualLayout>
          <c:layoutTarget val="inner"/>
          <c:xMode val="edge"/>
          <c:yMode val="edge"/>
          <c:x val="8.5343266856694813E-2"/>
          <c:y val="0.10444884139344435"/>
          <c:w val="0.89146608097046709"/>
          <c:h val="0.55130264550264552"/>
        </c:manualLayout>
      </c:layout>
      <c:areaChart>
        <c:grouping val="stacked"/>
        <c:varyColors val="0"/>
        <c:ser>
          <c:idx val="6"/>
          <c:order val="0"/>
          <c:tx>
            <c:v>Measured household consumption</c:v>
          </c:tx>
          <c:spPr>
            <a:ln w="25400">
              <a:noFill/>
            </a:ln>
          </c:spPr>
          <c:cat>
            <c:strRef>
              <c:f>ESWBLY!$G$204:$CI$204</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ESWBLY!$G$386:$CI$386</c:f>
              <c:numCache>
                <c:formatCode>0.00</c:formatCode>
                <c:ptCount val="81"/>
                <c:pt idx="0">
                  <c:v>0</c:v>
                </c:pt>
                <c:pt idx="1">
                  <c:v>0</c:v>
                </c:pt>
                <c:pt idx="2">
                  <c:v>3.610113469569864</c:v>
                </c:pt>
                <c:pt idx="3">
                  <c:v>3.5630537606971457</c:v>
                </c:pt>
                <c:pt idx="4">
                  <c:v>3.5316955942590504</c:v>
                </c:pt>
                <c:pt idx="5">
                  <c:v>3.5152733242257606</c:v>
                </c:pt>
                <c:pt idx="6">
                  <c:v>3.5873150210449944</c:v>
                </c:pt>
                <c:pt idx="7">
                  <c:v>3.7299299692009487</c:v>
                </c:pt>
                <c:pt idx="8">
                  <c:v>3.7934031771945951</c:v>
                </c:pt>
                <c:pt idx="9">
                  <c:v>3.8327340515058621</c:v>
                </c:pt>
                <c:pt idx="10">
                  <c:v>3.8543656847729286</c:v>
                </c:pt>
                <c:pt idx="11">
                  <c:v>3.8769520357400884</c:v>
                </c:pt>
                <c:pt idx="12">
                  <c:v>3.8920485114630501</c:v>
                </c:pt>
                <c:pt idx="13">
                  <c:v>3.9091034188407687</c:v>
                </c:pt>
                <c:pt idx="14">
                  <c:v>3.924658703032784</c:v>
                </c:pt>
                <c:pt idx="15">
                  <c:v>3.9406939463747666</c:v>
                </c:pt>
                <c:pt idx="16">
                  <c:v>3.9570497375888514</c:v>
                </c:pt>
                <c:pt idx="17">
                  <c:v>3.9743682391621658</c:v>
                </c:pt>
                <c:pt idx="18">
                  <c:v>3.9934596490110033</c:v>
                </c:pt>
                <c:pt idx="19">
                  <c:v>4.0141035807450338</c:v>
                </c:pt>
                <c:pt idx="20">
                  <c:v>4.0319027930368367</c:v>
                </c:pt>
                <c:pt idx="21">
                  <c:v>4.0424198400579119</c:v>
                </c:pt>
                <c:pt idx="22">
                  <c:v>4.0598196041161749</c:v>
                </c:pt>
                <c:pt idx="23">
                  <c:v>4.0787855465685885</c:v>
                </c:pt>
                <c:pt idx="24">
                  <c:v>4.0984791624379513</c:v>
                </c:pt>
                <c:pt idx="25">
                  <c:v>4.118849420162535</c:v>
                </c:pt>
                <c:pt idx="26">
                  <c:v>4.1389204994999238</c:v>
                </c:pt>
                <c:pt idx="27">
                  <c:v>4.1601382760019465</c:v>
                </c:pt>
                <c:pt idx="28">
                  <c:v>4.1819300159395389</c:v>
                </c:pt>
                <c:pt idx="29">
                  <c:v>4.2047845901256728</c:v>
                </c:pt>
                <c:pt idx="30">
                  <c:v>4.2278105439904365</c:v>
                </c:pt>
              </c:numCache>
            </c:numRef>
          </c:val>
          <c:extLst>
            <c:ext xmlns:c16="http://schemas.microsoft.com/office/drawing/2014/chart" uri="{C3380CC4-5D6E-409C-BE32-E72D297353CC}">
              <c16:uniqueId val="{00000000-9CDB-42AE-99C0-406877681A8F}"/>
            </c:ext>
          </c:extLst>
        </c:ser>
        <c:ser>
          <c:idx val="0"/>
          <c:order val="1"/>
          <c:tx>
            <c:v>Unmeasured household consumption</c:v>
          </c:tx>
          <c:spPr>
            <a:ln w="25400">
              <a:noFill/>
            </a:ln>
          </c:spPr>
          <c:cat>
            <c:strRef>
              <c:f>ESWBLY!$G$204:$CI$204</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ESWBLY!$G$387:$CI$387</c:f>
              <c:numCache>
                <c:formatCode>0.00</c:formatCode>
                <c:ptCount val="81"/>
                <c:pt idx="0">
                  <c:v>0</c:v>
                </c:pt>
                <c:pt idx="1">
                  <c:v>0</c:v>
                </c:pt>
                <c:pt idx="2">
                  <c:v>2.1866636376326452</c:v>
                </c:pt>
                <c:pt idx="3">
                  <c:v>2.2221788626312171</c:v>
                </c:pt>
                <c:pt idx="4">
                  <c:v>2.0423820051820782</c:v>
                </c:pt>
                <c:pt idx="5">
                  <c:v>1.9626598081871922</c:v>
                </c:pt>
                <c:pt idx="6">
                  <c:v>1.775302752664242</c:v>
                </c:pt>
                <c:pt idx="7">
                  <c:v>1.6167997570753732</c:v>
                </c:pt>
                <c:pt idx="8">
                  <c:v>1.569780427145143</c:v>
                </c:pt>
                <c:pt idx="9">
                  <c:v>1.5228053562087482</c:v>
                </c:pt>
                <c:pt idx="10">
                  <c:v>1.4757332983340843</c:v>
                </c:pt>
                <c:pt idx="11">
                  <c:v>1.4492798396322029</c:v>
                </c:pt>
                <c:pt idx="12">
                  <c:v>1.4437778071186211</c:v>
                </c:pt>
                <c:pt idx="13">
                  <c:v>1.4382530840563956</c:v>
                </c:pt>
                <c:pt idx="14">
                  <c:v>1.4325793591739211</c:v>
                </c:pt>
                <c:pt idx="15">
                  <c:v>1.4268592650724186</c:v>
                </c:pt>
                <c:pt idx="16">
                  <c:v>1.4221246792383462</c:v>
                </c:pt>
                <c:pt idx="17">
                  <c:v>1.4173705192251294</c:v>
                </c:pt>
                <c:pt idx="18">
                  <c:v>1.412453682073056</c:v>
                </c:pt>
                <c:pt idx="19">
                  <c:v>1.407790834710003</c:v>
                </c:pt>
                <c:pt idx="20">
                  <c:v>1.4029893367076467</c:v>
                </c:pt>
                <c:pt idx="21">
                  <c:v>1.397995492529114</c:v>
                </c:pt>
                <c:pt idx="22">
                  <c:v>1.3930069574165094</c:v>
                </c:pt>
                <c:pt idx="23">
                  <c:v>1.3886412985923573</c:v>
                </c:pt>
                <c:pt idx="24">
                  <c:v>1.3848164484852099</c:v>
                </c:pt>
                <c:pt idx="25">
                  <c:v>1.3810301003271757</c:v>
                </c:pt>
                <c:pt idx="26">
                  <c:v>1.3771463918244666</c:v>
                </c:pt>
                <c:pt idx="27">
                  <c:v>1.373581367520069</c:v>
                </c:pt>
                <c:pt idx="28">
                  <c:v>1.3699201456712327</c:v>
                </c:pt>
                <c:pt idx="29">
                  <c:v>1.3663084124685525</c:v>
                </c:pt>
                <c:pt idx="30">
                  <c:v>1.3623361155448555</c:v>
                </c:pt>
              </c:numCache>
            </c:numRef>
          </c:val>
          <c:extLst>
            <c:ext xmlns:c16="http://schemas.microsoft.com/office/drawing/2014/chart" uri="{C3380CC4-5D6E-409C-BE32-E72D297353CC}">
              <c16:uniqueId val="{00000001-9CDB-42AE-99C0-406877681A8F}"/>
            </c:ext>
          </c:extLst>
        </c:ser>
        <c:ser>
          <c:idx val="1"/>
          <c:order val="2"/>
          <c:tx>
            <c:v>Non-household consumption</c:v>
          </c:tx>
          <c:spPr>
            <a:ln w="25400">
              <a:noFill/>
            </a:ln>
          </c:spPr>
          <c:cat>
            <c:strRef>
              <c:f>ESWBLY!$G$204:$CI$204</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ESWBLY!$G$388:$CI$388</c:f>
              <c:numCache>
                <c:formatCode>0.00</c:formatCode>
                <c:ptCount val="81"/>
                <c:pt idx="0">
                  <c:v>0</c:v>
                </c:pt>
                <c:pt idx="1">
                  <c:v>0</c:v>
                </c:pt>
                <c:pt idx="2">
                  <c:v>3.4165914597957534</c:v>
                </c:pt>
                <c:pt idx="3">
                  <c:v>3.969405642934285</c:v>
                </c:pt>
                <c:pt idx="4">
                  <c:v>4.133222604030875</c:v>
                </c:pt>
                <c:pt idx="5">
                  <c:v>4.3132373437964135</c:v>
                </c:pt>
                <c:pt idx="6">
                  <c:v>4.470851166491582</c:v>
                </c:pt>
                <c:pt idx="7">
                  <c:v>4.5213981757208401</c:v>
                </c:pt>
                <c:pt idx="8">
                  <c:v>4.5365091603002128</c:v>
                </c:pt>
                <c:pt idx="9">
                  <c:v>4.5509310639593785</c:v>
                </c:pt>
                <c:pt idx="10">
                  <c:v>4.5624550414777172</c:v>
                </c:pt>
                <c:pt idx="11">
                  <c:v>4.570129196793637</c:v>
                </c:pt>
                <c:pt idx="12">
                  <c:v>4.5770478557031122</c:v>
                </c:pt>
                <c:pt idx="13">
                  <c:v>6.8737567545301452</c:v>
                </c:pt>
                <c:pt idx="14">
                  <c:v>6.880661481538886</c:v>
                </c:pt>
                <c:pt idx="15">
                  <c:v>6.887711846442941</c:v>
                </c:pt>
                <c:pt idx="16">
                  <c:v>6.8948872191310899</c:v>
                </c:pt>
                <c:pt idx="17">
                  <c:v>6.9020353699368293</c:v>
                </c:pt>
                <c:pt idx="18">
                  <c:v>6.9093615392762802</c:v>
                </c:pt>
                <c:pt idx="19">
                  <c:v>6.9166826787447624</c:v>
                </c:pt>
                <c:pt idx="20">
                  <c:v>6.9240275030911453</c:v>
                </c:pt>
                <c:pt idx="21">
                  <c:v>6.9313815984026839</c:v>
                </c:pt>
                <c:pt idx="22">
                  <c:v>6.9387136952268316</c:v>
                </c:pt>
                <c:pt idx="23">
                  <c:v>6.945914063713662</c:v>
                </c:pt>
                <c:pt idx="24">
                  <c:v>6.9529386886528357</c:v>
                </c:pt>
                <c:pt idx="25">
                  <c:v>6.9599038217131737</c:v>
                </c:pt>
                <c:pt idx="26">
                  <c:v>6.9667416579052936</c:v>
                </c:pt>
                <c:pt idx="27">
                  <c:v>6.973549886810849</c:v>
                </c:pt>
                <c:pt idx="28">
                  <c:v>6.9803081387236139</c:v>
                </c:pt>
                <c:pt idx="29">
                  <c:v>6.9869818639322769</c:v>
                </c:pt>
                <c:pt idx="30">
                  <c:v>6.9936385708923892</c:v>
                </c:pt>
              </c:numCache>
            </c:numRef>
          </c:val>
          <c:extLst>
            <c:ext xmlns:c16="http://schemas.microsoft.com/office/drawing/2014/chart" uri="{C3380CC4-5D6E-409C-BE32-E72D297353CC}">
              <c16:uniqueId val="{00000002-9CDB-42AE-99C0-406877681A8F}"/>
            </c:ext>
          </c:extLst>
        </c:ser>
        <c:ser>
          <c:idx val="2"/>
          <c:order val="3"/>
          <c:tx>
            <c:v>Total leakage</c:v>
          </c:tx>
          <c:spPr>
            <a:ln w="25400">
              <a:noFill/>
            </a:ln>
          </c:spPr>
          <c:cat>
            <c:strRef>
              <c:f>ESWBLY!$G$204:$CI$204</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ESWBLY!$G$389:$CI$389</c:f>
              <c:numCache>
                <c:formatCode>0.00</c:formatCode>
                <c:ptCount val="81"/>
                <c:pt idx="0">
                  <c:v>0</c:v>
                </c:pt>
                <c:pt idx="1">
                  <c:v>0</c:v>
                </c:pt>
                <c:pt idx="2">
                  <c:v>1.9305131976000001</c:v>
                </c:pt>
                <c:pt idx="3">
                  <c:v>1.6747597999999997</c:v>
                </c:pt>
                <c:pt idx="4">
                  <c:v>1.6092663999999997</c:v>
                </c:pt>
                <c:pt idx="5">
                  <c:v>1.5437730000000001</c:v>
                </c:pt>
                <c:pt idx="6">
                  <c:v>1.5437730000000001</c:v>
                </c:pt>
                <c:pt idx="7">
                  <c:v>1.5437730000000001</c:v>
                </c:pt>
                <c:pt idx="8">
                  <c:v>1.5437730000000001</c:v>
                </c:pt>
                <c:pt idx="9">
                  <c:v>1.5437730000000001</c:v>
                </c:pt>
                <c:pt idx="10">
                  <c:v>1.5437729999999998</c:v>
                </c:pt>
                <c:pt idx="11">
                  <c:v>1.5437730000000001</c:v>
                </c:pt>
                <c:pt idx="12">
                  <c:v>1.5437730000000001</c:v>
                </c:pt>
                <c:pt idx="13">
                  <c:v>1.5437730000000001</c:v>
                </c:pt>
                <c:pt idx="14">
                  <c:v>1.5437730000000001</c:v>
                </c:pt>
                <c:pt idx="15">
                  <c:v>1.5437730000000003</c:v>
                </c:pt>
                <c:pt idx="16">
                  <c:v>1.5437730000000001</c:v>
                </c:pt>
                <c:pt idx="17">
                  <c:v>1.5437730000000001</c:v>
                </c:pt>
                <c:pt idx="18">
                  <c:v>1.5437730000000001</c:v>
                </c:pt>
                <c:pt idx="19">
                  <c:v>1.5437730000000001</c:v>
                </c:pt>
                <c:pt idx="20">
                  <c:v>1.5437730000000001</c:v>
                </c:pt>
                <c:pt idx="21">
                  <c:v>1.5437730000000001</c:v>
                </c:pt>
                <c:pt idx="22">
                  <c:v>1.5437730000000001</c:v>
                </c:pt>
                <c:pt idx="23">
                  <c:v>1.5437730000000001</c:v>
                </c:pt>
                <c:pt idx="24">
                  <c:v>1.5437730000000003</c:v>
                </c:pt>
                <c:pt idx="25">
                  <c:v>1.5437730000000001</c:v>
                </c:pt>
                <c:pt idx="26">
                  <c:v>1.5437730000000001</c:v>
                </c:pt>
                <c:pt idx="27">
                  <c:v>1.5437729999999998</c:v>
                </c:pt>
                <c:pt idx="28">
                  <c:v>1.5437730000000001</c:v>
                </c:pt>
                <c:pt idx="29">
                  <c:v>1.5437730000000001</c:v>
                </c:pt>
                <c:pt idx="30">
                  <c:v>1.5437730000000003</c:v>
                </c:pt>
              </c:numCache>
            </c:numRef>
          </c:val>
          <c:extLst>
            <c:ext xmlns:c16="http://schemas.microsoft.com/office/drawing/2014/chart" uri="{C3380CC4-5D6E-409C-BE32-E72D297353CC}">
              <c16:uniqueId val="{00000003-9CDB-42AE-99C0-406877681A8F}"/>
            </c:ext>
          </c:extLst>
        </c:ser>
        <c:ser>
          <c:idx val="3"/>
          <c:order val="4"/>
          <c:tx>
            <c:v>Other components of demand</c:v>
          </c:tx>
          <c:spPr>
            <a:ln w="25400">
              <a:noFill/>
            </a:ln>
          </c:spPr>
          <c:cat>
            <c:strRef>
              <c:f>ESWBLY!$G$204:$CI$204</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ESWBLY!$G$390:$CI$390</c:f>
              <c:numCache>
                <c:formatCode>0.00</c:formatCode>
                <c:ptCount val="81"/>
                <c:pt idx="0">
                  <c:v>0</c:v>
                </c:pt>
                <c:pt idx="1">
                  <c:v>0</c:v>
                </c:pt>
                <c:pt idx="2">
                  <c:v>0.277795537065753</c:v>
                </c:pt>
                <c:pt idx="3">
                  <c:v>0.28679110094586946</c:v>
                </c:pt>
                <c:pt idx="4">
                  <c:v>0.28667830223778346</c:v>
                </c:pt>
                <c:pt idx="5">
                  <c:v>0.28666635882526315</c:v>
                </c:pt>
                <c:pt idx="6">
                  <c:v>0.28681924417601934</c:v>
                </c:pt>
                <c:pt idx="7">
                  <c:v>0.28666817348883455</c:v>
                </c:pt>
                <c:pt idx="8">
                  <c:v>0.28652736636110987</c:v>
                </c:pt>
                <c:pt idx="9">
                  <c:v>0.28642934410590826</c:v>
                </c:pt>
                <c:pt idx="10">
                  <c:v>0.28634444545303772</c:v>
                </c:pt>
                <c:pt idx="11">
                  <c:v>0.28626058878556293</c:v>
                </c:pt>
                <c:pt idx="12">
                  <c:v>0.28617900769864946</c:v>
                </c:pt>
                <c:pt idx="13">
                  <c:v>0.28609807701164769</c:v>
                </c:pt>
                <c:pt idx="14">
                  <c:v>0.28601754960978631</c:v>
                </c:pt>
                <c:pt idx="15">
                  <c:v>0.28593682664429387</c:v>
                </c:pt>
                <c:pt idx="16">
                  <c:v>0.2858565442465224</c:v>
                </c:pt>
                <c:pt idx="17">
                  <c:v>0.28577629448837527</c:v>
                </c:pt>
                <c:pt idx="18">
                  <c:v>0.28569680661217589</c:v>
                </c:pt>
                <c:pt idx="19">
                  <c:v>0.28561914534016353</c:v>
                </c:pt>
                <c:pt idx="20">
                  <c:v>0.28554217982271801</c:v>
                </c:pt>
                <c:pt idx="21">
                  <c:v>0.28546607989330042</c:v>
                </c:pt>
                <c:pt idx="22">
                  <c:v>0.28539138310902423</c:v>
                </c:pt>
                <c:pt idx="23">
                  <c:v>0.28531793812903494</c:v>
                </c:pt>
                <c:pt idx="24">
                  <c:v>0.28524457773786693</c:v>
                </c:pt>
                <c:pt idx="25">
                  <c:v>0.28517184232772586</c:v>
                </c:pt>
                <c:pt idx="26">
                  <c:v>0.28509979113052175</c:v>
                </c:pt>
                <c:pt idx="27">
                  <c:v>0.28502882070259616</c:v>
                </c:pt>
                <c:pt idx="28">
                  <c:v>0.28495939323705954</c:v>
                </c:pt>
                <c:pt idx="29">
                  <c:v>0.28489141228376091</c:v>
                </c:pt>
                <c:pt idx="30">
                  <c:v>0.28482452650324852</c:v>
                </c:pt>
              </c:numCache>
            </c:numRef>
          </c:val>
          <c:extLst>
            <c:ext xmlns:c16="http://schemas.microsoft.com/office/drawing/2014/chart" uri="{C3380CC4-5D6E-409C-BE32-E72D297353CC}">
              <c16:uniqueId val="{00000004-9CDB-42AE-99C0-406877681A8F}"/>
            </c:ext>
          </c:extLst>
        </c:ser>
        <c:dLbls>
          <c:showLegendKey val="0"/>
          <c:showVal val="0"/>
          <c:showCatName val="0"/>
          <c:showSerName val="0"/>
          <c:showPercent val="0"/>
          <c:showBubbleSize val="0"/>
        </c:dLbls>
        <c:axId val="864304416"/>
        <c:axId val="864304808"/>
      </c:areaChart>
      <c:lineChart>
        <c:grouping val="standard"/>
        <c:varyColors val="0"/>
        <c:ser>
          <c:idx val="4"/>
          <c:order val="5"/>
          <c:tx>
            <c:v>Total water available for use</c:v>
          </c:tx>
          <c:marker>
            <c:symbol val="none"/>
          </c:marker>
          <c:cat>
            <c:strLit>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Lit>
          </c:cat>
          <c:val>
            <c:numRef>
              <c:f>ESWBLY!$G$391:$CI$391</c:f>
              <c:numCache>
                <c:formatCode>0.00</c:formatCode>
                <c:ptCount val="81"/>
                <c:pt idx="0">
                  <c:v>0</c:v>
                </c:pt>
                <c:pt idx="1">
                  <c:v>0</c:v>
                </c:pt>
                <c:pt idx="2">
                  <c:v>21.01135</c:v>
                </c:pt>
                <c:pt idx="3">
                  <c:v>21.01135</c:v>
                </c:pt>
                <c:pt idx="4">
                  <c:v>21.01135</c:v>
                </c:pt>
                <c:pt idx="5">
                  <c:v>21.01135</c:v>
                </c:pt>
                <c:pt idx="6">
                  <c:v>21.01135</c:v>
                </c:pt>
                <c:pt idx="7">
                  <c:v>21.01135</c:v>
                </c:pt>
                <c:pt idx="8">
                  <c:v>21.01135</c:v>
                </c:pt>
                <c:pt idx="9">
                  <c:v>21.01135</c:v>
                </c:pt>
                <c:pt idx="10">
                  <c:v>21.01135</c:v>
                </c:pt>
                <c:pt idx="11">
                  <c:v>21.01135</c:v>
                </c:pt>
                <c:pt idx="12">
                  <c:v>21.01135</c:v>
                </c:pt>
                <c:pt idx="13">
                  <c:v>21.01135</c:v>
                </c:pt>
                <c:pt idx="14">
                  <c:v>21.01135</c:v>
                </c:pt>
                <c:pt idx="15">
                  <c:v>21.01135</c:v>
                </c:pt>
                <c:pt idx="16">
                  <c:v>21.01135</c:v>
                </c:pt>
                <c:pt idx="17">
                  <c:v>21.01135</c:v>
                </c:pt>
                <c:pt idx="18">
                  <c:v>21.01135</c:v>
                </c:pt>
                <c:pt idx="19">
                  <c:v>21.01135</c:v>
                </c:pt>
                <c:pt idx="20">
                  <c:v>21.01135</c:v>
                </c:pt>
                <c:pt idx="21">
                  <c:v>21.01135</c:v>
                </c:pt>
                <c:pt idx="22">
                  <c:v>21.01135</c:v>
                </c:pt>
                <c:pt idx="23">
                  <c:v>21.01135</c:v>
                </c:pt>
                <c:pt idx="24">
                  <c:v>21.01135</c:v>
                </c:pt>
                <c:pt idx="25">
                  <c:v>21.01135</c:v>
                </c:pt>
                <c:pt idx="26">
                  <c:v>21.01135</c:v>
                </c:pt>
                <c:pt idx="27">
                  <c:v>21.01135</c:v>
                </c:pt>
                <c:pt idx="28">
                  <c:v>21.01135</c:v>
                </c:pt>
                <c:pt idx="29">
                  <c:v>21.01135</c:v>
                </c:pt>
                <c:pt idx="30">
                  <c:v>21.01135</c:v>
                </c:pt>
              </c:numCache>
            </c:numRef>
          </c:val>
          <c:smooth val="0"/>
          <c:extLst>
            <c:ext xmlns:c16="http://schemas.microsoft.com/office/drawing/2014/chart" uri="{C3380CC4-5D6E-409C-BE32-E72D297353CC}">
              <c16:uniqueId val="{00000005-9CDB-42AE-99C0-406877681A8F}"/>
            </c:ext>
          </c:extLst>
        </c:ser>
        <c:ser>
          <c:idx val="5"/>
          <c:order val="6"/>
          <c:tx>
            <c:v>Total demand + target headroom (baseline)</c:v>
          </c:tx>
          <c:marker>
            <c:symbol val="none"/>
          </c:marker>
          <c:cat>
            <c:strLit>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Lit>
          </c:cat>
          <c:val>
            <c:numRef>
              <c:f>ESWBLY!$G$392:$CI$392</c:f>
              <c:numCache>
                <c:formatCode>0.00</c:formatCode>
                <c:ptCount val="81"/>
                <c:pt idx="0">
                  <c:v>0</c:v>
                </c:pt>
                <c:pt idx="1">
                  <c:v>0</c:v>
                </c:pt>
                <c:pt idx="2">
                  <c:v>11.633289293414379</c:v>
                </c:pt>
                <c:pt idx="3">
                  <c:v>11.961108406272139</c:v>
                </c:pt>
                <c:pt idx="4">
                  <c:v>11.938753916225965</c:v>
                </c:pt>
                <c:pt idx="5">
                  <c:v>11.956608012083725</c:v>
                </c:pt>
                <c:pt idx="6">
                  <c:v>11.995927975785678</c:v>
                </c:pt>
                <c:pt idx="7">
                  <c:v>12.017686567372007</c:v>
                </c:pt>
                <c:pt idx="8">
                  <c:v>12.044179628303445</c:v>
                </c:pt>
                <c:pt idx="9">
                  <c:v>12.044618072679148</c:v>
                </c:pt>
                <c:pt idx="10">
                  <c:v>12.033376094240877</c:v>
                </c:pt>
                <c:pt idx="11">
                  <c:v>12.031938039602274</c:v>
                </c:pt>
                <c:pt idx="12">
                  <c:v>12.043994998269886</c:v>
                </c:pt>
                <c:pt idx="13">
                  <c:v>14.378675000250539</c:v>
                </c:pt>
                <c:pt idx="14">
                  <c:v>14.389038577490222</c:v>
                </c:pt>
                <c:pt idx="15">
                  <c:v>14.40473653862604</c:v>
                </c:pt>
                <c:pt idx="16">
                  <c:v>14.418432008272127</c:v>
                </c:pt>
                <c:pt idx="17">
                  <c:v>14.437705132852939</c:v>
                </c:pt>
                <c:pt idx="18">
                  <c:v>14.45428387965711</c:v>
                </c:pt>
                <c:pt idx="19">
                  <c:v>14.475318878962668</c:v>
                </c:pt>
                <c:pt idx="20">
                  <c:v>14.494600634200948</c:v>
                </c:pt>
                <c:pt idx="21">
                  <c:v>14.506361899488502</c:v>
                </c:pt>
                <c:pt idx="22">
                  <c:v>14.522267667337022</c:v>
                </c:pt>
                <c:pt idx="23">
                  <c:v>14.544122721824492</c:v>
                </c:pt>
                <c:pt idx="24">
                  <c:v>14.563890935324949</c:v>
                </c:pt>
                <c:pt idx="25">
                  <c:v>14.586764053983304</c:v>
                </c:pt>
                <c:pt idx="26">
                  <c:v>14.609001656711484</c:v>
                </c:pt>
                <c:pt idx="27">
                  <c:v>14.632313520562148</c:v>
                </c:pt>
                <c:pt idx="28">
                  <c:v>14.651146390708247</c:v>
                </c:pt>
                <c:pt idx="29">
                  <c:v>14.679169649360423</c:v>
                </c:pt>
                <c:pt idx="30">
                  <c:v>14.705866629508707</c:v>
                </c:pt>
              </c:numCache>
            </c:numRef>
          </c:val>
          <c:smooth val="0"/>
          <c:extLst>
            <c:ext xmlns:c16="http://schemas.microsoft.com/office/drawing/2014/chart" uri="{C3380CC4-5D6E-409C-BE32-E72D297353CC}">
              <c16:uniqueId val="{00000006-9CDB-42AE-99C0-406877681A8F}"/>
            </c:ext>
          </c:extLst>
        </c:ser>
        <c:dLbls>
          <c:showLegendKey val="0"/>
          <c:showVal val="0"/>
          <c:showCatName val="0"/>
          <c:showSerName val="0"/>
          <c:showPercent val="0"/>
          <c:showBubbleSize val="0"/>
        </c:dLbls>
        <c:marker val="1"/>
        <c:smooth val="0"/>
        <c:axId val="864304416"/>
        <c:axId val="864304808"/>
      </c:lineChart>
      <c:catAx>
        <c:axId val="864304416"/>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en-US"/>
          </a:p>
        </c:txPr>
        <c:crossAx val="864304808"/>
        <c:crosses val="autoZero"/>
        <c:auto val="1"/>
        <c:lblAlgn val="ctr"/>
        <c:lblOffset val="100"/>
        <c:tickLblSkip val="2"/>
        <c:tickMarkSkip val="1"/>
        <c:noMultiLvlLbl val="0"/>
      </c:catAx>
      <c:valAx>
        <c:axId val="864304808"/>
        <c:scaling>
          <c:orientation val="minMax"/>
        </c:scaling>
        <c:delete val="0"/>
        <c:axPos val="l"/>
        <c:majorGridlines>
          <c:spPr>
            <a:ln w="3175">
              <a:solidFill>
                <a:srgbClr val="000000"/>
              </a:solidFill>
              <a:prstDash val="solid"/>
            </a:ln>
          </c:spPr>
        </c:majorGridlines>
        <c:title>
          <c:tx>
            <c:rich>
              <a:bodyPr/>
              <a:lstStyle/>
              <a:p>
                <a:pPr>
                  <a:defRPr sz="1175" b="1" i="0" u="none" strike="noStrike" baseline="0">
                    <a:solidFill>
                      <a:srgbClr val="000000"/>
                    </a:solidFill>
                    <a:latin typeface="Arial"/>
                    <a:ea typeface="Arial"/>
                    <a:cs typeface="Arial"/>
                  </a:defRPr>
                </a:pPr>
                <a:r>
                  <a:rPr lang="en-GB"/>
                  <a:t>Ml/d</a:t>
                </a:r>
              </a:p>
            </c:rich>
          </c:tx>
          <c:layout>
            <c:manualLayout>
              <c:xMode val="edge"/>
              <c:yMode val="edge"/>
              <c:x val="2.0359337875782983E-2"/>
              <c:y val="0.39858528733632054"/>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864304416"/>
        <c:crosses val="autoZero"/>
        <c:crossBetween val="midCat"/>
      </c:valAx>
      <c:spPr>
        <a:solidFill>
          <a:schemeClr val="bg1"/>
        </a:solidFill>
        <a:ln w="12700">
          <a:solidFill>
            <a:srgbClr val="808080"/>
          </a:solidFill>
          <a:prstDash val="solid"/>
        </a:ln>
      </c:spPr>
    </c:plotArea>
    <c:legend>
      <c:legendPos val="b"/>
      <c:legendEntry>
        <c:idx val="0"/>
        <c:txPr>
          <a:bodyPr/>
          <a:lstStyle/>
          <a:p>
            <a:pPr>
              <a:defRPr sz="1000" b="0" i="0" u="none" strike="noStrike" baseline="0">
                <a:solidFill>
                  <a:srgbClr val="000000"/>
                </a:solidFill>
                <a:latin typeface="Arial"/>
                <a:ea typeface="Arial"/>
                <a:cs typeface="Arial"/>
              </a:defRPr>
            </a:pPr>
            <a:endParaRPr lang="en-US"/>
          </a:p>
        </c:txPr>
      </c:legendEntry>
      <c:layout>
        <c:manualLayout>
          <c:xMode val="edge"/>
          <c:yMode val="edge"/>
          <c:x val="0.16452269470774322"/>
          <c:y val="0.82158446545736608"/>
          <c:w val="0.7156398695723647"/>
          <c:h val="0.16402912270077008"/>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0"/>
    <c:dispBlanksAs val="zero"/>
    <c:showDLblsOverMax val="0"/>
  </c:chart>
  <c:spPr>
    <a:solidFill>
      <a:schemeClr val="accent5"/>
    </a:solidFill>
    <a:ln w="3175">
      <a:solidFill>
        <a:srgbClr val="000000"/>
      </a:solidFill>
      <a:prstDash val="solid"/>
    </a:ln>
  </c:spPr>
  <c:txPr>
    <a:bodyPr/>
    <a:lstStyle/>
    <a:p>
      <a:pPr>
        <a:defRPr sz="975" b="0" i="0" u="none" strike="noStrike" baseline="0">
          <a:solidFill>
            <a:srgbClr val="000000"/>
          </a:solidFill>
          <a:latin typeface="Arial"/>
          <a:ea typeface="Arial"/>
          <a:cs typeface="Arial"/>
        </a:defRPr>
      </a:pPr>
      <a:endParaRPr lang="en-US"/>
    </a:p>
  </c:txPr>
  <c:printSettings>
    <c:headerFooter alignWithMargins="0"/>
    <c:pageMargins b="1" l="0.75000000000000622" r="0.75000000000000622" t="1" header="0.5" footer="0.5"/>
    <c:pageSetup paperSize="9" orientation="landscape"/>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75" b="1" i="0" u="none" strike="noStrike" baseline="0">
                <a:solidFill>
                  <a:srgbClr val="000000"/>
                </a:solidFill>
                <a:latin typeface="Arial"/>
                <a:ea typeface="Arial"/>
                <a:cs typeface="Arial"/>
              </a:defRPr>
            </a:pPr>
            <a:r>
              <a:rPr lang="en-GB"/>
              <a:t>DYAA Final Plan Water Supply-Demand Balance and Components of Demand</a:t>
            </a:r>
          </a:p>
        </c:rich>
      </c:tx>
      <c:layout>
        <c:manualLayout>
          <c:xMode val="edge"/>
          <c:yMode val="edge"/>
          <c:x val="0.2095809470200265"/>
          <c:y val="2.9013693730272669E-2"/>
        </c:manualLayout>
      </c:layout>
      <c:overlay val="0"/>
      <c:spPr>
        <a:noFill/>
        <a:ln w="25400">
          <a:noFill/>
        </a:ln>
      </c:spPr>
    </c:title>
    <c:autoTitleDeleted val="0"/>
    <c:plotArea>
      <c:layout>
        <c:manualLayout>
          <c:layoutTarget val="inner"/>
          <c:xMode val="edge"/>
          <c:yMode val="edge"/>
          <c:x val="8.5343266856694813E-2"/>
          <c:y val="0.10444884139344435"/>
          <c:w val="0.89146608097046709"/>
          <c:h val="0.55130264550264552"/>
        </c:manualLayout>
      </c:layout>
      <c:areaChart>
        <c:grouping val="stacked"/>
        <c:varyColors val="0"/>
        <c:ser>
          <c:idx val="6"/>
          <c:order val="0"/>
          <c:tx>
            <c:v>Measured household consumption</c:v>
          </c:tx>
          <c:spPr>
            <a:ln w="25400">
              <a:noFill/>
            </a:ln>
          </c:spPr>
          <c:cat>
            <c:multiLvlStrRef>
              <c:f>}</c:f>
            </c:multiLvlStrRef>
          </c:cat>
          <c:val>
            <c:numRef>
              <c:f>ESWNCT!$G$377:$AK$377</c:f>
              <c:numCache>
                <c:formatCode>0.00</c:formatCode>
                <c:ptCount val="31"/>
                <c:pt idx="0">
                  <c:v>0</c:v>
                </c:pt>
                <c:pt idx="1">
                  <c:v>0</c:v>
                </c:pt>
                <c:pt idx="2">
                  <c:v>17.398467649188941</c:v>
                </c:pt>
                <c:pt idx="3">
                  <c:v>17.112564349480355</c:v>
                </c:pt>
                <c:pt idx="4">
                  <c:v>17.10333836520001</c:v>
                </c:pt>
                <c:pt idx="5">
                  <c:v>17.369327390850341</c:v>
                </c:pt>
                <c:pt idx="6">
                  <c:v>17.844914002387576</c:v>
                </c:pt>
                <c:pt idx="7">
                  <c:v>19.010056397003403</c:v>
                </c:pt>
                <c:pt idx="8">
                  <c:v>20.674352475081925</c:v>
                </c:pt>
                <c:pt idx="9">
                  <c:v>23.233064912866425</c:v>
                </c:pt>
                <c:pt idx="10">
                  <c:v>25.041640327661788</c:v>
                </c:pt>
                <c:pt idx="11">
                  <c:v>25.520284121279865</c:v>
                </c:pt>
                <c:pt idx="12">
                  <c:v>25.370557218143805</c:v>
                </c:pt>
                <c:pt idx="13">
                  <c:v>25.108004035023011</c:v>
                </c:pt>
                <c:pt idx="14">
                  <c:v>24.783021295675571</c:v>
                </c:pt>
                <c:pt idx="15">
                  <c:v>24.582953046727358</c:v>
                </c:pt>
                <c:pt idx="16">
                  <c:v>24.438656056959534</c:v>
                </c:pt>
                <c:pt idx="17">
                  <c:v>24.301660459262454</c:v>
                </c:pt>
                <c:pt idx="18">
                  <c:v>24.166101159352515</c:v>
                </c:pt>
                <c:pt idx="19">
                  <c:v>24.04287732172989</c:v>
                </c:pt>
                <c:pt idx="20">
                  <c:v>23.926546481020466</c:v>
                </c:pt>
                <c:pt idx="21">
                  <c:v>23.784724940733867</c:v>
                </c:pt>
                <c:pt idx="22">
                  <c:v>23.66909717495037</c:v>
                </c:pt>
                <c:pt idx="23">
                  <c:v>23.56465925705367</c:v>
                </c:pt>
                <c:pt idx="24">
                  <c:v>23.560355017304204</c:v>
                </c:pt>
                <c:pt idx="25">
                  <c:v>23.556221960850078</c:v>
                </c:pt>
                <c:pt idx="26">
                  <c:v>23.550206199480222</c:v>
                </c:pt>
                <c:pt idx="27">
                  <c:v>23.54953519508074</c:v>
                </c:pt>
                <c:pt idx="28">
                  <c:v>23.546865873589859</c:v>
                </c:pt>
                <c:pt idx="29">
                  <c:v>23.545689284396257</c:v>
                </c:pt>
                <c:pt idx="30">
                  <c:v>23.538776111658272</c:v>
                </c:pt>
              </c:numCache>
            </c:numRef>
          </c:val>
          <c:extLst>
            <c:ext xmlns:c16="http://schemas.microsoft.com/office/drawing/2014/chart" uri="{C3380CC4-5D6E-409C-BE32-E72D297353CC}">
              <c16:uniqueId val="{00000000-3AB8-4BD2-8419-6C0CBC451EBF}"/>
            </c:ext>
          </c:extLst>
        </c:ser>
        <c:ser>
          <c:idx val="0"/>
          <c:order val="1"/>
          <c:tx>
            <c:v>Unmeasured household consumption</c:v>
          </c:tx>
          <c:spPr>
            <a:ln w="25400">
              <a:noFill/>
            </a:ln>
          </c:spPr>
          <c:cat>
            <c:multiLvlStrRef>
              <c:f>}</c:f>
            </c:multiLvlStrRef>
          </c:cat>
          <c:val>
            <c:numRef>
              <c:f>ESWNCT!$G$378:$AK$378</c:f>
              <c:numCache>
                <c:formatCode>0.00</c:formatCode>
                <c:ptCount val="31"/>
                <c:pt idx="0">
                  <c:v>0</c:v>
                </c:pt>
                <c:pt idx="1">
                  <c:v>0</c:v>
                </c:pt>
                <c:pt idx="2">
                  <c:v>13.861692014340996</c:v>
                </c:pt>
                <c:pt idx="3">
                  <c:v>13.107647381913853</c:v>
                </c:pt>
                <c:pt idx="4">
                  <c:v>12.997183846151753</c:v>
                </c:pt>
                <c:pt idx="5">
                  <c:v>12.430353977244778</c:v>
                </c:pt>
                <c:pt idx="6">
                  <c:v>11.277097434244963</c:v>
                </c:pt>
                <c:pt idx="7">
                  <c:v>9.5642484961314249</c:v>
                </c:pt>
                <c:pt idx="8">
                  <c:v>6.8404245030056519</c:v>
                </c:pt>
                <c:pt idx="9">
                  <c:v>3.4704692283708485</c:v>
                </c:pt>
                <c:pt idx="10">
                  <c:v>1.1320680654735877</c:v>
                </c:pt>
                <c:pt idx="11">
                  <c:v>0.41825131485779987</c:v>
                </c:pt>
                <c:pt idx="12">
                  <c:v>0.40764556355967407</c:v>
                </c:pt>
                <c:pt idx="13">
                  <c:v>0.39723056474220703</c:v>
                </c:pt>
                <c:pt idx="14">
                  <c:v>0.38579448813416239</c:v>
                </c:pt>
                <c:pt idx="15">
                  <c:v>0.37457806368114033</c:v>
                </c:pt>
                <c:pt idx="16">
                  <c:v>0.36318462683440461</c:v>
                </c:pt>
                <c:pt idx="17">
                  <c:v>0.34970822141960345</c:v>
                </c:pt>
                <c:pt idx="18">
                  <c:v>0.33657230371192892</c:v>
                </c:pt>
                <c:pt idx="19">
                  <c:v>0.32388429724588808</c:v>
                </c:pt>
                <c:pt idx="20">
                  <c:v>0.31151614824913398</c:v>
                </c:pt>
                <c:pt idx="21">
                  <c:v>0.29953768122506352</c:v>
                </c:pt>
                <c:pt idx="22">
                  <c:v>0.28791779155041042</c:v>
                </c:pt>
                <c:pt idx="23">
                  <c:v>0.27679219127417021</c:v>
                </c:pt>
                <c:pt idx="24">
                  <c:v>0.26730458740713142</c:v>
                </c:pt>
                <c:pt idx="25">
                  <c:v>0.25806050604956454</c:v>
                </c:pt>
                <c:pt idx="26">
                  <c:v>0.24909600086014488</c:v>
                </c:pt>
                <c:pt idx="27">
                  <c:v>0.24042807454042142</c:v>
                </c:pt>
                <c:pt idx="28">
                  <c:v>0.23194604794120638</c:v>
                </c:pt>
                <c:pt idx="29">
                  <c:v>0.22367813455791338</c:v>
                </c:pt>
                <c:pt idx="30">
                  <c:v>0.21552338420091438</c:v>
                </c:pt>
              </c:numCache>
            </c:numRef>
          </c:val>
          <c:extLst>
            <c:ext xmlns:c16="http://schemas.microsoft.com/office/drawing/2014/chart" uri="{C3380CC4-5D6E-409C-BE32-E72D297353CC}">
              <c16:uniqueId val="{00000001-3AB8-4BD2-8419-6C0CBC451EBF}"/>
            </c:ext>
          </c:extLst>
        </c:ser>
        <c:ser>
          <c:idx val="1"/>
          <c:order val="2"/>
          <c:tx>
            <c:v>Non-household consumption</c:v>
          </c:tx>
          <c:spPr>
            <a:ln w="25400">
              <a:noFill/>
            </a:ln>
          </c:spPr>
          <c:cat>
            <c:multiLvlStrRef>
              <c:f>}</c:f>
            </c:multiLvlStrRef>
          </c:cat>
          <c:val>
            <c:numRef>
              <c:f>ESWNCT!$G$379:$AK$379</c:f>
              <c:numCache>
                <c:formatCode>0.00</c:formatCode>
                <c:ptCount val="31"/>
                <c:pt idx="0">
                  <c:v>0</c:v>
                </c:pt>
                <c:pt idx="1">
                  <c:v>0</c:v>
                </c:pt>
                <c:pt idx="2">
                  <c:v>10.68025832804982</c:v>
                </c:pt>
                <c:pt idx="3">
                  <c:v>11.89615012042419</c:v>
                </c:pt>
                <c:pt idx="4">
                  <c:v>13.265936841019769</c:v>
                </c:pt>
                <c:pt idx="5">
                  <c:v>13.993383085544702</c:v>
                </c:pt>
                <c:pt idx="6">
                  <c:v>14.583167791258509</c:v>
                </c:pt>
                <c:pt idx="7">
                  <c:v>14.732212650683987</c:v>
                </c:pt>
                <c:pt idx="8">
                  <c:v>16.802447141623556</c:v>
                </c:pt>
                <c:pt idx="9">
                  <c:v>16.788761327868251</c:v>
                </c:pt>
                <c:pt idx="10">
                  <c:v>16.770628684284745</c:v>
                </c:pt>
                <c:pt idx="11">
                  <c:v>16.690887236250958</c:v>
                </c:pt>
                <c:pt idx="12">
                  <c:v>16.606375505464939</c:v>
                </c:pt>
                <c:pt idx="13">
                  <c:v>16.521589536047085</c:v>
                </c:pt>
                <c:pt idx="14">
                  <c:v>16.436413155780546</c:v>
                </c:pt>
                <c:pt idx="15">
                  <c:v>16.351103686978856</c:v>
                </c:pt>
                <c:pt idx="16">
                  <c:v>16.272573152147004</c:v>
                </c:pt>
                <c:pt idx="17">
                  <c:v>16.192369584740945</c:v>
                </c:pt>
                <c:pt idx="18">
                  <c:v>16.111452770316582</c:v>
                </c:pt>
                <c:pt idx="19">
                  <c:v>16.156123831057787</c:v>
                </c:pt>
                <c:pt idx="20">
                  <c:v>16.20044729123758</c:v>
                </c:pt>
                <c:pt idx="21">
                  <c:v>16.244634021037204</c:v>
                </c:pt>
                <c:pt idx="22">
                  <c:v>16.287689792470886</c:v>
                </c:pt>
                <c:pt idx="23">
                  <c:v>16.329940830827734</c:v>
                </c:pt>
                <c:pt idx="24">
                  <c:v>16.371343810613308</c:v>
                </c:pt>
                <c:pt idx="25">
                  <c:v>16.411871279410473</c:v>
                </c:pt>
                <c:pt idx="26">
                  <c:v>16.451504377002827</c:v>
                </c:pt>
                <c:pt idx="27">
                  <c:v>16.49040014030637</c:v>
                </c:pt>
                <c:pt idx="28">
                  <c:v>16.528653282668238</c:v>
                </c:pt>
                <c:pt idx="29">
                  <c:v>16.56627701501122</c:v>
                </c:pt>
                <c:pt idx="30">
                  <c:v>16.603263178405744</c:v>
                </c:pt>
              </c:numCache>
            </c:numRef>
          </c:val>
          <c:extLst>
            <c:ext xmlns:c16="http://schemas.microsoft.com/office/drawing/2014/chart" uri="{C3380CC4-5D6E-409C-BE32-E72D297353CC}">
              <c16:uniqueId val="{00000002-3AB8-4BD2-8419-6C0CBC451EBF}"/>
            </c:ext>
          </c:extLst>
        </c:ser>
        <c:ser>
          <c:idx val="2"/>
          <c:order val="3"/>
          <c:tx>
            <c:v>Total leakage</c:v>
          </c:tx>
          <c:spPr>
            <a:ln w="25400">
              <a:noFill/>
            </a:ln>
          </c:spPr>
          <c:cat>
            <c:multiLvlStrRef>
              <c:f>}</c:f>
            </c:multiLvlStrRef>
          </c:cat>
          <c:val>
            <c:numRef>
              <c:f>ESWNCT!$G$380:$AK$380</c:f>
              <c:numCache>
                <c:formatCode>0.00</c:formatCode>
                <c:ptCount val="31"/>
                <c:pt idx="0">
                  <c:v>0</c:v>
                </c:pt>
                <c:pt idx="1">
                  <c:v>0</c:v>
                </c:pt>
                <c:pt idx="2">
                  <c:v>2.7140564682276551</c:v>
                </c:pt>
                <c:pt idx="3">
                  <c:v>3.0110663999999998</c:v>
                </c:pt>
                <c:pt idx="4">
                  <c:v>2.8933151999999995</c:v>
                </c:pt>
                <c:pt idx="5">
                  <c:v>2.7755640000000001</c:v>
                </c:pt>
                <c:pt idx="6">
                  <c:v>2.7473904000000005</c:v>
                </c:pt>
                <c:pt idx="7">
                  <c:v>2.7192167999999999</c:v>
                </c:pt>
                <c:pt idx="8">
                  <c:v>2.6910431999999997</c:v>
                </c:pt>
                <c:pt idx="9">
                  <c:v>2.6628695999999996</c:v>
                </c:pt>
                <c:pt idx="10">
                  <c:v>2.6346959999999999</c:v>
                </c:pt>
                <c:pt idx="11">
                  <c:v>2.6065223999999994</c:v>
                </c:pt>
                <c:pt idx="12">
                  <c:v>2.5783487999999988</c:v>
                </c:pt>
                <c:pt idx="13">
                  <c:v>2.5501751999999991</c:v>
                </c:pt>
                <c:pt idx="14">
                  <c:v>2.522001599999999</c:v>
                </c:pt>
                <c:pt idx="15">
                  <c:v>2.4938279999999988</c:v>
                </c:pt>
                <c:pt idx="16">
                  <c:v>2.4656543999999987</c:v>
                </c:pt>
                <c:pt idx="17">
                  <c:v>2.4374807999999986</c:v>
                </c:pt>
                <c:pt idx="18">
                  <c:v>2.4093071999999984</c:v>
                </c:pt>
                <c:pt idx="19">
                  <c:v>2.3811335999999983</c:v>
                </c:pt>
                <c:pt idx="20">
                  <c:v>2.3529599999999982</c:v>
                </c:pt>
                <c:pt idx="21">
                  <c:v>2.324786399999998</c:v>
                </c:pt>
                <c:pt idx="22">
                  <c:v>2.2966127999999979</c:v>
                </c:pt>
                <c:pt idx="23">
                  <c:v>2.2684391999999978</c:v>
                </c:pt>
                <c:pt idx="24">
                  <c:v>2.2402655999999976</c:v>
                </c:pt>
                <c:pt idx="25">
                  <c:v>2.2120919999999975</c:v>
                </c:pt>
                <c:pt idx="26">
                  <c:v>2.1839183999999974</c:v>
                </c:pt>
                <c:pt idx="27">
                  <c:v>2.1557447999999972</c:v>
                </c:pt>
                <c:pt idx="28">
                  <c:v>2.1275711999999971</c:v>
                </c:pt>
                <c:pt idx="29">
                  <c:v>2.099397599999997</c:v>
                </c:pt>
                <c:pt idx="30">
                  <c:v>2.071224</c:v>
                </c:pt>
              </c:numCache>
            </c:numRef>
          </c:val>
          <c:extLst>
            <c:ext xmlns:c16="http://schemas.microsoft.com/office/drawing/2014/chart" uri="{C3380CC4-5D6E-409C-BE32-E72D297353CC}">
              <c16:uniqueId val="{00000003-3AB8-4BD2-8419-6C0CBC451EBF}"/>
            </c:ext>
          </c:extLst>
        </c:ser>
        <c:ser>
          <c:idx val="3"/>
          <c:order val="4"/>
          <c:tx>
            <c:v>Other components of demand</c:v>
          </c:tx>
          <c:spPr>
            <a:ln w="25400">
              <a:noFill/>
            </a:ln>
          </c:spPr>
          <c:cat>
            <c:multiLvlStrRef>
              <c:f>}</c:f>
            </c:multiLvlStrRef>
          </c:cat>
          <c:val>
            <c:numRef>
              <c:f>ESWNCT!$G$381:$AK$381</c:f>
              <c:numCache>
                <c:formatCode>0.00</c:formatCode>
                <c:ptCount val="31"/>
                <c:pt idx="0">
                  <c:v>0</c:v>
                </c:pt>
                <c:pt idx="1">
                  <c:v>0</c:v>
                </c:pt>
                <c:pt idx="2">
                  <c:v>1.8115870309918378</c:v>
                </c:pt>
                <c:pt idx="3">
                  <c:v>1.803237358100823</c:v>
                </c:pt>
                <c:pt idx="4">
                  <c:v>1.8026674142220429</c:v>
                </c:pt>
                <c:pt idx="5">
                  <c:v>1.8025335791050949</c:v>
                </c:pt>
                <c:pt idx="6">
                  <c:v>1.8035672538441574</c:v>
                </c:pt>
                <c:pt idx="7">
                  <c:v>1.8033168071078549</c:v>
                </c:pt>
                <c:pt idx="8">
                  <c:v>1.8029890106497746</c:v>
                </c:pt>
                <c:pt idx="9">
                  <c:v>1.8027315661319108</c:v>
                </c:pt>
                <c:pt idx="10">
                  <c:v>1.8024915882045462</c:v>
                </c:pt>
                <c:pt idx="11">
                  <c:v>1.8022075156587007</c:v>
                </c:pt>
                <c:pt idx="12">
                  <c:v>1.8018779244496841</c:v>
                </c:pt>
                <c:pt idx="13">
                  <c:v>1.8015378194869101</c:v>
                </c:pt>
                <c:pt idx="14">
                  <c:v>1.801200134169946</c:v>
                </c:pt>
                <c:pt idx="15">
                  <c:v>1.8008624261003732</c:v>
                </c:pt>
                <c:pt idx="16">
                  <c:v>1.800526935707019</c:v>
                </c:pt>
                <c:pt idx="17">
                  <c:v>1.8001945170218434</c:v>
                </c:pt>
                <c:pt idx="18">
                  <c:v>1.7998648200872083</c:v>
                </c:pt>
                <c:pt idx="19">
                  <c:v>1.7995380958808909</c:v>
                </c:pt>
                <c:pt idx="20">
                  <c:v>1.7992171949442479</c:v>
                </c:pt>
                <c:pt idx="21">
                  <c:v>1.7988994479192897</c:v>
                </c:pt>
                <c:pt idx="22">
                  <c:v>1.7985850143956341</c:v>
                </c:pt>
                <c:pt idx="23">
                  <c:v>1.7982733437020855</c:v>
                </c:pt>
                <c:pt idx="24">
                  <c:v>1.7979643782632166</c:v>
                </c:pt>
                <c:pt idx="25">
                  <c:v>1.7976582740552871</c:v>
                </c:pt>
                <c:pt idx="26">
                  <c:v>1.7973550402710075</c:v>
                </c:pt>
                <c:pt idx="27">
                  <c:v>1.797054614335444</c:v>
                </c:pt>
                <c:pt idx="28">
                  <c:v>1.7967570498591385</c:v>
                </c:pt>
                <c:pt idx="29">
                  <c:v>1.7964626545509788</c:v>
                </c:pt>
                <c:pt idx="30">
                  <c:v>1.7961713681872808</c:v>
                </c:pt>
              </c:numCache>
            </c:numRef>
          </c:val>
          <c:extLst>
            <c:ext xmlns:c16="http://schemas.microsoft.com/office/drawing/2014/chart" uri="{C3380CC4-5D6E-409C-BE32-E72D297353CC}">
              <c16:uniqueId val="{00000004-3AB8-4BD2-8419-6C0CBC451EBF}"/>
            </c:ext>
          </c:extLst>
        </c:ser>
        <c:dLbls>
          <c:showLegendKey val="0"/>
          <c:showVal val="0"/>
          <c:showCatName val="0"/>
          <c:showSerName val="0"/>
          <c:showPercent val="0"/>
          <c:showBubbleSize val="0"/>
        </c:dLbls>
        <c:axId val="864303240"/>
        <c:axId val="864303632"/>
      </c:areaChart>
      <c:lineChart>
        <c:grouping val="standard"/>
        <c:varyColors val="0"/>
        <c:ser>
          <c:idx val="4"/>
          <c:order val="5"/>
          <c:tx>
            <c:v>Total water available for use</c:v>
          </c:tx>
          <c:spPr>
            <a:ln w="25400"/>
          </c:spPr>
          <c:marker>
            <c:symbol val="none"/>
          </c:marker>
          <c:cat>
            <c:strRef>
              <c:f>ESWNCT!$G$376:$CI$376</c:f>
              <c:strCache>
                <c:ptCount val="3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strCache>
            </c:strRef>
          </c:cat>
          <c:val>
            <c:numRef>
              <c:f>ESWNCT!$G$382:$AK$382</c:f>
              <c:numCache>
                <c:formatCode>0.00</c:formatCode>
                <c:ptCount val="31"/>
                <c:pt idx="0">
                  <c:v>0</c:v>
                </c:pt>
                <c:pt idx="1">
                  <c:v>0</c:v>
                </c:pt>
                <c:pt idx="2">
                  <c:v>59.910479416597489</c:v>
                </c:pt>
                <c:pt idx="3">
                  <c:v>59.784463325513251</c:v>
                </c:pt>
                <c:pt idx="4">
                  <c:v>59.769186726943765</c:v>
                </c:pt>
                <c:pt idx="5">
                  <c:v>59.721346538898466</c:v>
                </c:pt>
                <c:pt idx="6">
                  <c:v>59.617617431382065</c:v>
                </c:pt>
                <c:pt idx="7">
                  <c:v>58.961469104569453</c:v>
                </c:pt>
                <c:pt idx="8">
                  <c:v>58.806990129163907</c:v>
                </c:pt>
                <c:pt idx="9">
                  <c:v>56.687931597862871</c:v>
                </c:pt>
                <c:pt idx="10">
                  <c:v>58.873637568374832</c:v>
                </c:pt>
                <c:pt idx="11">
                  <c:v>54.815483669173368</c:v>
                </c:pt>
                <c:pt idx="12">
                  <c:v>55.113767296611641</c:v>
                </c:pt>
                <c:pt idx="13">
                  <c:v>58.293027950544854</c:v>
                </c:pt>
                <c:pt idx="14">
                  <c:v>58.403130729699072</c:v>
                </c:pt>
                <c:pt idx="15">
                  <c:v>58.553117483788668</c:v>
                </c:pt>
                <c:pt idx="16">
                  <c:v>58.643502878253457</c:v>
                </c:pt>
                <c:pt idx="17">
                  <c:v>58.706287491074292</c:v>
                </c:pt>
                <c:pt idx="18">
                  <c:v>58.775588543078442</c:v>
                </c:pt>
                <c:pt idx="19">
                  <c:v>58.807207864234073</c:v>
                </c:pt>
                <c:pt idx="20">
                  <c:v>58.847436313223263</c:v>
                </c:pt>
                <c:pt idx="21">
                  <c:v>62.733603875993353</c:v>
                </c:pt>
                <c:pt idx="22">
                  <c:v>62.781193825261113</c:v>
                </c:pt>
                <c:pt idx="23">
                  <c:v>62.838831651931073</c:v>
                </c:pt>
                <c:pt idx="24">
                  <c:v>62.868407622966394</c:v>
                </c:pt>
                <c:pt idx="25">
                  <c:v>62.875523008684553</c:v>
                </c:pt>
                <c:pt idx="26">
                  <c:v>46.104037490722362</c:v>
                </c:pt>
                <c:pt idx="27">
                  <c:v>46.102324044515946</c:v>
                </c:pt>
                <c:pt idx="28">
                  <c:v>46.102597828193893</c:v>
                </c:pt>
                <c:pt idx="29">
                  <c:v>46.082327632301897</c:v>
                </c:pt>
                <c:pt idx="30">
                  <c:v>46.076526834759115</c:v>
                </c:pt>
              </c:numCache>
            </c:numRef>
          </c:val>
          <c:smooth val="0"/>
          <c:extLst>
            <c:ext xmlns:c16="http://schemas.microsoft.com/office/drawing/2014/chart" uri="{C3380CC4-5D6E-409C-BE32-E72D297353CC}">
              <c16:uniqueId val="{00000005-3AB8-4BD2-8419-6C0CBC451EBF}"/>
            </c:ext>
          </c:extLst>
        </c:ser>
        <c:ser>
          <c:idx val="5"/>
          <c:order val="6"/>
          <c:tx>
            <c:v>Total demand + target headroom (final plan)</c:v>
          </c:tx>
          <c:spPr>
            <a:ln w="25400"/>
          </c:spPr>
          <c:marker>
            <c:symbol val="none"/>
          </c:marker>
          <c:cat>
            <c:strRef>
              <c:f>ESWNCT!$G$376:$CI$376</c:f>
              <c:strCache>
                <c:ptCount val="3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strCache>
            </c:strRef>
          </c:cat>
          <c:val>
            <c:numRef>
              <c:f>ESWNCT!$G$383:$AK$383</c:f>
              <c:numCache>
                <c:formatCode>0.00</c:formatCode>
                <c:ptCount val="31"/>
                <c:pt idx="0">
                  <c:v>0</c:v>
                </c:pt>
                <c:pt idx="1">
                  <c:v>0</c:v>
                </c:pt>
                <c:pt idx="2">
                  <c:v>48.46255083475247</c:v>
                </c:pt>
                <c:pt idx="3">
                  <c:v>49.153822010129922</c:v>
                </c:pt>
                <c:pt idx="4">
                  <c:v>50.153571882270924</c:v>
                </c:pt>
                <c:pt idx="5">
                  <c:v>50.396720685598922</c:v>
                </c:pt>
                <c:pt idx="6">
                  <c:v>50.311404258474397</c:v>
                </c:pt>
                <c:pt idx="7">
                  <c:v>49.569469707408793</c:v>
                </c:pt>
                <c:pt idx="8">
                  <c:v>50.353739208327298</c:v>
                </c:pt>
                <c:pt idx="9">
                  <c:v>49.33752445960824</c:v>
                </c:pt>
                <c:pt idx="10">
                  <c:v>48.673372386622951</c:v>
                </c:pt>
                <c:pt idx="11">
                  <c:v>48.207598464713044</c:v>
                </c:pt>
                <c:pt idx="12">
                  <c:v>47.873061141903754</c:v>
                </c:pt>
                <c:pt idx="13">
                  <c:v>47.442228240412724</c:v>
                </c:pt>
                <c:pt idx="14">
                  <c:v>46.95893960922438</c:v>
                </c:pt>
                <c:pt idx="15">
                  <c:v>46.60112461301398</c:v>
                </c:pt>
                <c:pt idx="16">
                  <c:v>46.310156181354486</c:v>
                </c:pt>
                <c:pt idx="17">
                  <c:v>46.019000548879781</c:v>
                </c:pt>
                <c:pt idx="18">
                  <c:v>45.737053945970722</c:v>
                </c:pt>
                <c:pt idx="19">
                  <c:v>45.588076848040785</c:v>
                </c:pt>
                <c:pt idx="20">
                  <c:v>45.454553468077201</c:v>
                </c:pt>
                <c:pt idx="21">
                  <c:v>45.289568020162747</c:v>
                </c:pt>
                <c:pt idx="22">
                  <c:v>45.161823030370094</c:v>
                </c:pt>
                <c:pt idx="23">
                  <c:v>45.043892644743977</c:v>
                </c:pt>
                <c:pt idx="24">
                  <c:v>45.027290033133127</c:v>
                </c:pt>
                <c:pt idx="25">
                  <c:v>45.003327728691261</c:v>
                </c:pt>
                <c:pt idx="26">
                  <c:v>45.036401250454361</c:v>
                </c:pt>
                <c:pt idx="27">
                  <c:v>45.020882776234671</c:v>
                </c:pt>
                <c:pt idx="28">
                  <c:v>44.977671120704997</c:v>
                </c:pt>
                <c:pt idx="29">
                  <c:v>44.980654520024871</c:v>
                </c:pt>
                <c:pt idx="30">
                  <c:v>44.9653846359288</c:v>
                </c:pt>
              </c:numCache>
            </c:numRef>
          </c:val>
          <c:smooth val="0"/>
          <c:extLst>
            <c:ext xmlns:c16="http://schemas.microsoft.com/office/drawing/2014/chart" uri="{C3380CC4-5D6E-409C-BE32-E72D297353CC}">
              <c16:uniqueId val="{00000006-3AB8-4BD2-8419-6C0CBC451EBF}"/>
            </c:ext>
          </c:extLst>
        </c:ser>
        <c:dLbls>
          <c:showLegendKey val="0"/>
          <c:showVal val="0"/>
          <c:showCatName val="0"/>
          <c:showSerName val="0"/>
          <c:showPercent val="0"/>
          <c:showBubbleSize val="0"/>
        </c:dLbls>
        <c:marker val="1"/>
        <c:smooth val="0"/>
        <c:axId val="864303240"/>
        <c:axId val="864303632"/>
      </c:lineChart>
      <c:catAx>
        <c:axId val="864303240"/>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en-US"/>
          </a:p>
        </c:txPr>
        <c:crossAx val="864303632"/>
        <c:crosses val="autoZero"/>
        <c:auto val="1"/>
        <c:lblAlgn val="ctr"/>
        <c:lblOffset val="100"/>
        <c:tickLblSkip val="2"/>
        <c:tickMarkSkip val="1"/>
        <c:noMultiLvlLbl val="0"/>
      </c:catAx>
      <c:valAx>
        <c:axId val="864303632"/>
        <c:scaling>
          <c:orientation val="minMax"/>
        </c:scaling>
        <c:delete val="0"/>
        <c:axPos val="l"/>
        <c:majorGridlines>
          <c:spPr>
            <a:ln w="3175">
              <a:solidFill>
                <a:srgbClr val="000000"/>
              </a:solidFill>
              <a:prstDash val="solid"/>
            </a:ln>
          </c:spPr>
        </c:majorGridlines>
        <c:title>
          <c:tx>
            <c:rich>
              <a:bodyPr/>
              <a:lstStyle/>
              <a:p>
                <a:pPr>
                  <a:defRPr sz="1175" b="1" i="0" u="none" strike="noStrike" baseline="0">
                    <a:solidFill>
                      <a:srgbClr val="000000"/>
                    </a:solidFill>
                    <a:latin typeface="Arial"/>
                    <a:ea typeface="Arial"/>
                    <a:cs typeface="Arial"/>
                  </a:defRPr>
                </a:pPr>
                <a:r>
                  <a:rPr lang="en-GB"/>
                  <a:t>Ml/d</a:t>
                </a:r>
              </a:p>
            </c:rich>
          </c:tx>
          <c:layout>
            <c:manualLayout>
              <c:xMode val="edge"/>
              <c:yMode val="edge"/>
              <c:x val="2.0359337875782983E-2"/>
              <c:y val="0.39858528733632054"/>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864303240"/>
        <c:crosses val="autoZero"/>
        <c:crossBetween val="midCat"/>
      </c:valAx>
      <c:spPr>
        <a:solidFill>
          <a:schemeClr val="bg1"/>
        </a:solidFill>
        <a:ln w="12700">
          <a:solidFill>
            <a:srgbClr val="808080"/>
          </a:solidFill>
          <a:prstDash val="solid"/>
        </a:ln>
      </c:spPr>
    </c:plotArea>
    <c:legend>
      <c:legendPos val="b"/>
      <c:legendEntry>
        <c:idx val="0"/>
        <c:txPr>
          <a:bodyPr/>
          <a:lstStyle/>
          <a:p>
            <a:pPr>
              <a:defRPr sz="1000" b="0" i="0" u="none" strike="noStrike" baseline="0">
                <a:solidFill>
                  <a:srgbClr val="000000"/>
                </a:solidFill>
                <a:latin typeface="Arial"/>
                <a:ea typeface="Arial"/>
                <a:cs typeface="Arial"/>
              </a:defRPr>
            </a:pPr>
            <a:endParaRPr lang="en-US"/>
          </a:p>
        </c:txPr>
      </c:legendEntry>
      <c:layout>
        <c:manualLayout>
          <c:xMode val="edge"/>
          <c:yMode val="edge"/>
          <c:x val="0.16452269470774322"/>
          <c:y val="0.82158446545736608"/>
          <c:w val="0.7156398695723647"/>
          <c:h val="0.16402912270077008"/>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0"/>
    <c:dispBlanksAs val="zero"/>
    <c:showDLblsOverMax val="0"/>
  </c:chart>
  <c:spPr>
    <a:solidFill>
      <a:schemeClr val="accent4"/>
    </a:solidFill>
    <a:ln w="3175">
      <a:solidFill>
        <a:srgbClr val="000000"/>
      </a:solidFill>
      <a:prstDash val="solid"/>
    </a:ln>
  </c:spPr>
  <c:txPr>
    <a:bodyPr/>
    <a:lstStyle/>
    <a:p>
      <a:pPr>
        <a:defRPr sz="975" b="0" i="0" u="none" strike="noStrike" baseline="0">
          <a:solidFill>
            <a:srgbClr val="000000"/>
          </a:solidFill>
          <a:latin typeface="Arial"/>
          <a:ea typeface="Arial"/>
          <a:cs typeface="Arial"/>
        </a:defRPr>
      </a:pPr>
      <a:endParaRPr lang="en-US"/>
    </a:p>
  </c:txPr>
  <c:printSettings>
    <c:headerFooter alignWithMargins="0"/>
    <c:pageMargins b="1" l="0.75000000000000622" r="0.75000000000000622" t="1" header="0.5" footer="0.5"/>
    <c:pageSetup paperSize="9" orientation="landscape"/>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75" b="1" i="0" u="none" strike="noStrike" baseline="0">
                <a:solidFill>
                  <a:srgbClr val="000000"/>
                </a:solidFill>
                <a:latin typeface="Arial"/>
                <a:ea typeface="Arial"/>
                <a:cs typeface="Arial"/>
              </a:defRPr>
            </a:pPr>
            <a:r>
              <a:rPr lang="en-GB"/>
              <a:t>DYCP Baseline Water Supply-Demand Balance and Components of Demand</a:t>
            </a:r>
          </a:p>
        </c:rich>
      </c:tx>
      <c:layout>
        <c:manualLayout>
          <c:xMode val="edge"/>
          <c:yMode val="edge"/>
          <c:x val="0.2095809470200265"/>
          <c:y val="2.9013693730272669E-2"/>
        </c:manualLayout>
      </c:layout>
      <c:overlay val="0"/>
      <c:spPr>
        <a:noFill/>
        <a:ln w="25400">
          <a:noFill/>
        </a:ln>
      </c:spPr>
    </c:title>
    <c:autoTitleDeleted val="0"/>
    <c:plotArea>
      <c:layout>
        <c:manualLayout>
          <c:layoutTarget val="inner"/>
          <c:xMode val="edge"/>
          <c:yMode val="edge"/>
          <c:x val="8.5343266856694813E-2"/>
          <c:y val="0.10444884139344435"/>
          <c:w val="0.89146608097046709"/>
          <c:h val="0.55130264550264552"/>
        </c:manualLayout>
      </c:layout>
      <c:areaChart>
        <c:grouping val="stacked"/>
        <c:varyColors val="0"/>
        <c:ser>
          <c:idx val="6"/>
          <c:order val="0"/>
          <c:tx>
            <c:v>Measured household consumption</c:v>
          </c:tx>
          <c:spPr>
            <a:ln w="25400">
              <a:noFill/>
            </a:ln>
          </c:spPr>
          <c:cat>
            <c:multiLvlStrRef>
              <c:f>}</c:f>
            </c:multiLvlStrRef>
          </c:cat>
          <c:val>
            <c:numRef>
              <c:f>ESWNCT!$G$386:$AK$386</c:f>
              <c:numCache>
                <c:formatCode>0.00</c:formatCode>
                <c:ptCount val="31"/>
                <c:pt idx="0">
                  <c:v>0</c:v>
                </c:pt>
                <c:pt idx="1">
                  <c:v>0</c:v>
                </c:pt>
                <c:pt idx="2">
                  <c:v>17.516097802986845</c:v>
                </c:pt>
                <c:pt idx="3">
                  <c:v>17.264025797381894</c:v>
                </c:pt>
                <c:pt idx="4">
                  <c:v>17.254925402260845</c:v>
                </c:pt>
                <c:pt idx="5">
                  <c:v>17.523662073925081</c:v>
                </c:pt>
                <c:pt idx="6">
                  <c:v>18.261496903224383</c:v>
                </c:pt>
                <c:pt idx="7">
                  <c:v>18.975899859168791</c:v>
                </c:pt>
                <c:pt idx="8">
                  <c:v>19.289108640622125</c:v>
                </c:pt>
                <c:pt idx="9">
                  <c:v>19.585824719053878</c:v>
                </c:pt>
                <c:pt idx="10">
                  <c:v>19.853022000353047</c:v>
                </c:pt>
                <c:pt idx="11">
                  <c:v>20.058742426322294</c:v>
                </c:pt>
                <c:pt idx="12">
                  <c:v>20.20978157953197</c:v>
                </c:pt>
                <c:pt idx="13">
                  <c:v>20.361046485752496</c:v>
                </c:pt>
                <c:pt idx="14">
                  <c:v>20.5113107609968</c:v>
                </c:pt>
                <c:pt idx="15">
                  <c:v>20.674671634735724</c:v>
                </c:pt>
                <c:pt idx="16">
                  <c:v>20.827894192520017</c:v>
                </c:pt>
                <c:pt idx="17">
                  <c:v>20.98525948727799</c:v>
                </c:pt>
                <c:pt idx="18">
                  <c:v>21.142150849669459</c:v>
                </c:pt>
                <c:pt idx="19">
                  <c:v>21.309027724055341</c:v>
                </c:pt>
                <c:pt idx="20">
                  <c:v>21.483823839378896</c:v>
                </c:pt>
                <c:pt idx="21">
                  <c:v>21.626915737999457</c:v>
                </c:pt>
                <c:pt idx="22">
                  <c:v>21.797786540128072</c:v>
                </c:pt>
                <c:pt idx="23">
                  <c:v>21.97319651722805</c:v>
                </c:pt>
                <c:pt idx="24">
                  <c:v>22.146777903546216</c:v>
                </c:pt>
                <c:pt idx="25">
                  <c:v>22.318696119559192</c:v>
                </c:pt>
                <c:pt idx="26">
                  <c:v>22.484115488505513</c:v>
                </c:pt>
                <c:pt idx="27">
                  <c:v>22.651102942942561</c:v>
                </c:pt>
                <c:pt idx="28">
                  <c:v>22.815450849286272</c:v>
                </c:pt>
                <c:pt idx="29">
                  <c:v>22.980174509484637</c:v>
                </c:pt>
                <c:pt idx="30">
                  <c:v>23.140171523107817</c:v>
                </c:pt>
              </c:numCache>
            </c:numRef>
          </c:val>
          <c:extLst>
            <c:ext xmlns:c16="http://schemas.microsoft.com/office/drawing/2014/chart" uri="{C3380CC4-5D6E-409C-BE32-E72D297353CC}">
              <c16:uniqueId val="{00000000-C910-4FB7-A5DF-BACF85C2108B}"/>
            </c:ext>
          </c:extLst>
        </c:ser>
        <c:ser>
          <c:idx val="0"/>
          <c:order val="1"/>
          <c:tx>
            <c:v>Unmeasured household consumption</c:v>
          </c:tx>
          <c:spPr>
            <a:ln w="25400">
              <a:noFill/>
            </a:ln>
          </c:spPr>
          <c:cat>
            <c:multiLvlStrRef>
              <c:f>}</c:f>
            </c:multiLvlStrRef>
          </c:cat>
          <c:val>
            <c:numRef>
              <c:f>ESWNCT!$G$387:$AK$387</c:f>
              <c:numCache>
                <c:formatCode>0.00</c:formatCode>
                <c:ptCount val="31"/>
                <c:pt idx="0">
                  <c:v>0</c:v>
                </c:pt>
                <c:pt idx="1">
                  <c:v>0</c:v>
                </c:pt>
                <c:pt idx="2">
                  <c:v>18.503885341554472</c:v>
                </c:pt>
                <c:pt idx="3">
                  <c:v>17.497315912193955</c:v>
                </c:pt>
                <c:pt idx="4">
                  <c:v>17.349858834223248</c:v>
                </c:pt>
                <c:pt idx="5">
                  <c:v>16.593201213236444</c:v>
                </c:pt>
                <c:pt idx="6">
                  <c:v>15.309933642106794</c:v>
                </c:pt>
                <c:pt idx="7">
                  <c:v>14.313812555747361</c:v>
                </c:pt>
                <c:pt idx="8">
                  <c:v>13.930073582397007</c:v>
                </c:pt>
                <c:pt idx="9">
                  <c:v>13.548890446231105</c:v>
                </c:pt>
                <c:pt idx="10">
                  <c:v>13.169087870494591</c:v>
                </c:pt>
                <c:pt idx="11">
                  <c:v>12.910020385724806</c:v>
                </c:pt>
                <c:pt idx="12">
                  <c:v>12.775142563889389</c:v>
                </c:pt>
                <c:pt idx="13">
                  <c:v>12.642770247917195</c:v>
                </c:pt>
                <c:pt idx="14">
                  <c:v>12.511636932657247</c:v>
                </c:pt>
                <c:pt idx="15">
                  <c:v>12.382674044333706</c:v>
                </c:pt>
                <c:pt idx="16">
                  <c:v>12.264777239650313</c:v>
                </c:pt>
                <c:pt idx="17">
                  <c:v>12.14897140444473</c:v>
                </c:pt>
                <c:pt idx="18">
                  <c:v>12.034002886564332</c:v>
                </c:pt>
                <c:pt idx="19">
                  <c:v>11.923285141020553</c:v>
                </c:pt>
                <c:pt idx="20">
                  <c:v>11.813394751866255</c:v>
                </c:pt>
                <c:pt idx="21">
                  <c:v>11.704048702225432</c:v>
                </c:pt>
                <c:pt idx="22">
                  <c:v>11.59693561558254</c:v>
                </c:pt>
                <c:pt idx="23">
                  <c:v>11.496945168564697</c:v>
                </c:pt>
                <c:pt idx="24">
                  <c:v>11.403219763996651</c:v>
                </c:pt>
                <c:pt idx="25">
                  <c:v>11.311498787655289</c:v>
                </c:pt>
                <c:pt idx="26">
                  <c:v>11.220592269607844</c:v>
                </c:pt>
                <c:pt idx="27">
                  <c:v>11.133818328188168</c:v>
                </c:pt>
                <c:pt idx="28">
                  <c:v>11.047720131858268</c:v>
                </c:pt>
                <c:pt idx="29">
                  <c:v>10.963386939628231</c:v>
                </c:pt>
                <c:pt idx="30">
                  <c:v>10.877451818300836</c:v>
                </c:pt>
              </c:numCache>
            </c:numRef>
          </c:val>
          <c:extLst>
            <c:ext xmlns:c16="http://schemas.microsoft.com/office/drawing/2014/chart" uri="{C3380CC4-5D6E-409C-BE32-E72D297353CC}">
              <c16:uniqueId val="{00000001-C910-4FB7-A5DF-BACF85C2108B}"/>
            </c:ext>
          </c:extLst>
        </c:ser>
        <c:ser>
          <c:idx val="1"/>
          <c:order val="2"/>
          <c:tx>
            <c:v>Non-household consumption</c:v>
          </c:tx>
          <c:spPr>
            <a:ln w="25400">
              <a:noFill/>
            </a:ln>
          </c:spPr>
          <c:cat>
            <c:multiLvlStrRef>
              <c:f>}</c:f>
            </c:multiLvlStrRef>
          </c:cat>
          <c:val>
            <c:numRef>
              <c:f>ESWNCT!$G$388:$AK$388</c:f>
              <c:numCache>
                <c:formatCode>0.00</c:formatCode>
                <c:ptCount val="31"/>
                <c:pt idx="0">
                  <c:v>0</c:v>
                </c:pt>
                <c:pt idx="1">
                  <c:v>0</c:v>
                </c:pt>
                <c:pt idx="2">
                  <c:v>11.618189303441417</c:v>
                </c:pt>
                <c:pt idx="3">
                  <c:v>14.667601302753956</c:v>
                </c:pt>
                <c:pt idx="4">
                  <c:v>16.036005959679485</c:v>
                </c:pt>
                <c:pt idx="5">
                  <c:v>16.762673659923163</c:v>
                </c:pt>
                <c:pt idx="6">
                  <c:v>17.416631046262953</c:v>
                </c:pt>
                <c:pt idx="7">
                  <c:v>17.62890836449678</c:v>
                </c:pt>
                <c:pt idx="8">
                  <c:v>19.76237211345509</c:v>
                </c:pt>
                <c:pt idx="9">
                  <c:v>19.811912356928921</c:v>
                </c:pt>
                <c:pt idx="10">
                  <c:v>19.857002569784949</c:v>
                </c:pt>
                <c:pt idx="11">
                  <c:v>19.913000672860608</c:v>
                </c:pt>
                <c:pt idx="12">
                  <c:v>19.964225292394435</c:v>
                </c:pt>
                <c:pt idx="13">
                  <c:v>20.015172472506823</c:v>
                </c:pt>
                <c:pt idx="14">
                  <c:v>20.065726040980913</c:v>
                </c:pt>
                <c:pt idx="15">
                  <c:v>20.116143320130249</c:v>
                </c:pt>
                <c:pt idx="16">
                  <c:v>20.163669623940603</c:v>
                </c:pt>
                <c:pt idx="17">
                  <c:v>20.209519694387144</c:v>
                </c:pt>
                <c:pt idx="18">
                  <c:v>20.25465331702577</c:v>
                </c:pt>
                <c:pt idx="19">
                  <c:v>20.299099274999101</c:v>
                </c:pt>
                <c:pt idx="20">
                  <c:v>20.34319443162142</c:v>
                </c:pt>
                <c:pt idx="21">
                  <c:v>20.387149657073952</c:v>
                </c:pt>
                <c:pt idx="22">
                  <c:v>20.429970723370946</c:v>
                </c:pt>
                <c:pt idx="23">
                  <c:v>20.471983855801508</c:v>
                </c:pt>
                <c:pt idx="24">
                  <c:v>20.51314572887118</c:v>
                </c:pt>
                <c:pt idx="25">
                  <c:v>20.553428890162841</c:v>
                </c:pt>
                <c:pt idx="26">
                  <c:v>20.592814479460085</c:v>
                </c:pt>
                <c:pt idx="27">
                  <c:v>20.631459533678917</c:v>
                </c:pt>
                <c:pt idx="28">
                  <c:v>20.669458766166461</c:v>
                </c:pt>
                <c:pt idx="29">
                  <c:v>20.70682538784552</c:v>
                </c:pt>
                <c:pt idx="30">
                  <c:v>20.74355123978652</c:v>
                </c:pt>
              </c:numCache>
            </c:numRef>
          </c:val>
          <c:extLst>
            <c:ext xmlns:c16="http://schemas.microsoft.com/office/drawing/2014/chart" uri="{C3380CC4-5D6E-409C-BE32-E72D297353CC}">
              <c16:uniqueId val="{00000002-C910-4FB7-A5DF-BACF85C2108B}"/>
            </c:ext>
          </c:extLst>
        </c:ser>
        <c:ser>
          <c:idx val="2"/>
          <c:order val="3"/>
          <c:tx>
            <c:v>Total leakage</c:v>
          </c:tx>
          <c:spPr>
            <a:ln w="25400">
              <a:noFill/>
            </a:ln>
          </c:spPr>
          <c:cat>
            <c:multiLvlStrRef>
              <c:f>}</c:f>
            </c:multiLvlStrRef>
          </c:cat>
          <c:val>
            <c:numRef>
              <c:f>ESWNCT!$G$389:$AK$389</c:f>
              <c:numCache>
                <c:formatCode>0.00</c:formatCode>
                <c:ptCount val="31"/>
                <c:pt idx="0">
                  <c:v>0</c:v>
                </c:pt>
                <c:pt idx="1">
                  <c:v>0</c:v>
                </c:pt>
                <c:pt idx="2">
                  <c:v>2.7140564682276551</c:v>
                </c:pt>
                <c:pt idx="3">
                  <c:v>3.0110663999999998</c:v>
                </c:pt>
                <c:pt idx="4">
                  <c:v>2.8933151999999995</c:v>
                </c:pt>
                <c:pt idx="5">
                  <c:v>2.7755640000000001</c:v>
                </c:pt>
                <c:pt idx="6">
                  <c:v>2.7755640000000001</c:v>
                </c:pt>
                <c:pt idx="7">
                  <c:v>2.7755640000000001</c:v>
                </c:pt>
                <c:pt idx="8">
                  <c:v>2.7755640000000001</c:v>
                </c:pt>
                <c:pt idx="9">
                  <c:v>2.7755640000000001</c:v>
                </c:pt>
                <c:pt idx="10">
                  <c:v>2.7755640000000001</c:v>
                </c:pt>
                <c:pt idx="11">
                  <c:v>2.7755640000000001</c:v>
                </c:pt>
                <c:pt idx="12">
                  <c:v>2.7755640000000001</c:v>
                </c:pt>
                <c:pt idx="13">
                  <c:v>2.7755640000000001</c:v>
                </c:pt>
                <c:pt idx="14">
                  <c:v>2.7755640000000001</c:v>
                </c:pt>
                <c:pt idx="15">
                  <c:v>2.7755640000000001</c:v>
                </c:pt>
                <c:pt idx="16">
                  <c:v>2.7755640000000001</c:v>
                </c:pt>
                <c:pt idx="17">
                  <c:v>2.7755640000000001</c:v>
                </c:pt>
                <c:pt idx="18">
                  <c:v>2.7755640000000001</c:v>
                </c:pt>
                <c:pt idx="19">
                  <c:v>2.7755640000000001</c:v>
                </c:pt>
                <c:pt idx="20">
                  <c:v>2.7755640000000001</c:v>
                </c:pt>
                <c:pt idx="21">
                  <c:v>2.7755640000000001</c:v>
                </c:pt>
                <c:pt idx="22">
                  <c:v>2.7755640000000001</c:v>
                </c:pt>
                <c:pt idx="23">
                  <c:v>2.7755640000000001</c:v>
                </c:pt>
                <c:pt idx="24">
                  <c:v>2.7755640000000001</c:v>
                </c:pt>
                <c:pt idx="25">
                  <c:v>2.7755640000000001</c:v>
                </c:pt>
                <c:pt idx="26">
                  <c:v>2.7755640000000001</c:v>
                </c:pt>
                <c:pt idx="27">
                  <c:v>2.7755640000000001</c:v>
                </c:pt>
                <c:pt idx="28">
                  <c:v>2.7755640000000001</c:v>
                </c:pt>
                <c:pt idx="29">
                  <c:v>2.7755640000000001</c:v>
                </c:pt>
                <c:pt idx="30">
                  <c:v>2.7755640000000001</c:v>
                </c:pt>
              </c:numCache>
            </c:numRef>
          </c:val>
          <c:extLst>
            <c:ext xmlns:c16="http://schemas.microsoft.com/office/drawing/2014/chart" uri="{C3380CC4-5D6E-409C-BE32-E72D297353CC}">
              <c16:uniqueId val="{00000003-C910-4FB7-A5DF-BACF85C2108B}"/>
            </c:ext>
          </c:extLst>
        </c:ser>
        <c:ser>
          <c:idx val="3"/>
          <c:order val="4"/>
          <c:tx>
            <c:v>Other components of demand</c:v>
          </c:tx>
          <c:spPr>
            <a:ln w="25400">
              <a:noFill/>
            </a:ln>
          </c:spPr>
          <c:cat>
            <c:multiLvlStrRef>
              <c:f>}</c:f>
            </c:multiLvlStrRef>
          </c:cat>
          <c:val>
            <c:numRef>
              <c:f>ESWNCT!$G$390:$AK$390</c:f>
              <c:numCache>
                <c:formatCode>0.00</c:formatCode>
                <c:ptCount val="31"/>
                <c:pt idx="0">
                  <c:v>0</c:v>
                </c:pt>
                <c:pt idx="1">
                  <c:v>0</c:v>
                </c:pt>
                <c:pt idx="2">
                  <c:v>1.8115870309918307</c:v>
                </c:pt>
                <c:pt idx="3">
                  <c:v>1.8032373581008159</c:v>
                </c:pt>
                <c:pt idx="4">
                  <c:v>1.80266741422205</c:v>
                </c:pt>
                <c:pt idx="5">
                  <c:v>1.8025335791050949</c:v>
                </c:pt>
                <c:pt idx="6">
                  <c:v>1.803428860706461</c:v>
                </c:pt>
                <c:pt idx="7">
                  <c:v>1.8030145805468862</c:v>
                </c:pt>
                <c:pt idx="8">
                  <c:v>1.8026039152750428</c:v>
                </c:pt>
                <c:pt idx="9">
                  <c:v>1.8022316137007763</c:v>
                </c:pt>
                <c:pt idx="10">
                  <c:v>1.8018982265235266</c:v>
                </c:pt>
                <c:pt idx="11">
                  <c:v>1.8015659466929392</c:v>
                </c:pt>
                <c:pt idx="12">
                  <c:v>1.8012249465086398</c:v>
                </c:pt>
                <c:pt idx="13">
                  <c:v>1.8008864767214021</c:v>
                </c:pt>
                <c:pt idx="14">
                  <c:v>1.8005504265799743</c:v>
                </c:pt>
                <c:pt idx="15">
                  <c:v>1.800214353685945</c:v>
                </c:pt>
                <c:pt idx="16">
                  <c:v>1.7998803979336557</c:v>
                </c:pt>
                <c:pt idx="17">
                  <c:v>1.7995494133550523</c:v>
                </c:pt>
                <c:pt idx="18">
                  <c:v>1.7992211505270106</c:v>
                </c:pt>
                <c:pt idx="19">
                  <c:v>1.7988958604272796</c:v>
                </c:pt>
                <c:pt idx="20">
                  <c:v>1.7985763935972017</c:v>
                </c:pt>
                <c:pt idx="21">
                  <c:v>1.7982599944802189</c:v>
                </c:pt>
                <c:pt idx="22">
                  <c:v>1.7979468226658639</c:v>
                </c:pt>
                <c:pt idx="23">
                  <c:v>1.7976364136816372</c:v>
                </c:pt>
                <c:pt idx="24">
                  <c:v>1.7973287099520832</c:v>
                </c:pt>
                <c:pt idx="25">
                  <c:v>1.7970238674534826</c:v>
                </c:pt>
                <c:pt idx="26">
                  <c:v>1.7967218953785107</c:v>
                </c:pt>
                <c:pt idx="27">
                  <c:v>1.796422731152262</c:v>
                </c:pt>
                <c:pt idx="28">
                  <c:v>1.7961264283852714</c:v>
                </c:pt>
                <c:pt idx="29">
                  <c:v>1.7958332947864335</c:v>
                </c:pt>
                <c:pt idx="30">
                  <c:v>1.7955432701320575</c:v>
                </c:pt>
              </c:numCache>
            </c:numRef>
          </c:val>
          <c:extLst>
            <c:ext xmlns:c16="http://schemas.microsoft.com/office/drawing/2014/chart" uri="{C3380CC4-5D6E-409C-BE32-E72D297353CC}">
              <c16:uniqueId val="{00000004-C910-4FB7-A5DF-BACF85C2108B}"/>
            </c:ext>
          </c:extLst>
        </c:ser>
        <c:dLbls>
          <c:showLegendKey val="0"/>
          <c:showVal val="0"/>
          <c:showCatName val="0"/>
          <c:showSerName val="0"/>
          <c:showPercent val="0"/>
          <c:showBubbleSize val="0"/>
        </c:dLbls>
        <c:axId val="864304416"/>
        <c:axId val="864304808"/>
      </c:areaChart>
      <c:lineChart>
        <c:grouping val="standard"/>
        <c:varyColors val="0"/>
        <c:ser>
          <c:idx val="4"/>
          <c:order val="5"/>
          <c:tx>
            <c:v>Total water available for use</c:v>
          </c:tx>
          <c:spPr>
            <a:ln w="25400"/>
          </c:spPr>
          <c:marker>
            <c:symbol val="none"/>
          </c:marker>
          <c:cat>
            <c:strRef>
              <c:f>ESWNCT!$G$385:$CI$385</c:f>
              <c:strCache>
                <c:ptCount val="3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strCache>
            </c:strRef>
          </c:cat>
          <c:val>
            <c:numRef>
              <c:f>ESWNCT!$G$391:$AK$391</c:f>
              <c:numCache>
                <c:formatCode>0.00</c:formatCode>
                <c:ptCount val="31"/>
                <c:pt idx="0">
                  <c:v>0</c:v>
                </c:pt>
                <c:pt idx="1">
                  <c:v>0</c:v>
                </c:pt>
                <c:pt idx="2">
                  <c:v>75.33</c:v>
                </c:pt>
                <c:pt idx="3">
                  <c:v>75.33</c:v>
                </c:pt>
                <c:pt idx="4">
                  <c:v>75.33</c:v>
                </c:pt>
                <c:pt idx="5">
                  <c:v>75.33</c:v>
                </c:pt>
                <c:pt idx="6">
                  <c:v>75.33</c:v>
                </c:pt>
                <c:pt idx="7">
                  <c:v>75.33</c:v>
                </c:pt>
                <c:pt idx="8">
                  <c:v>75.33</c:v>
                </c:pt>
                <c:pt idx="9">
                  <c:v>75.33</c:v>
                </c:pt>
                <c:pt idx="10">
                  <c:v>75.33</c:v>
                </c:pt>
                <c:pt idx="11">
                  <c:v>72.83</c:v>
                </c:pt>
                <c:pt idx="12">
                  <c:v>72.83</c:v>
                </c:pt>
                <c:pt idx="13">
                  <c:v>70.83</c:v>
                </c:pt>
                <c:pt idx="14">
                  <c:v>70.83</c:v>
                </c:pt>
                <c:pt idx="15">
                  <c:v>70.83</c:v>
                </c:pt>
                <c:pt idx="16">
                  <c:v>70.83</c:v>
                </c:pt>
                <c:pt idx="17">
                  <c:v>70.83</c:v>
                </c:pt>
                <c:pt idx="18">
                  <c:v>70.83</c:v>
                </c:pt>
                <c:pt idx="19">
                  <c:v>70.83</c:v>
                </c:pt>
                <c:pt idx="20">
                  <c:v>70.83</c:v>
                </c:pt>
                <c:pt idx="21">
                  <c:v>70.83</c:v>
                </c:pt>
                <c:pt idx="22">
                  <c:v>70.83</c:v>
                </c:pt>
                <c:pt idx="23">
                  <c:v>70.83</c:v>
                </c:pt>
                <c:pt idx="24">
                  <c:v>70.83</c:v>
                </c:pt>
                <c:pt idx="25">
                  <c:v>70.83</c:v>
                </c:pt>
                <c:pt idx="26">
                  <c:v>70.83</c:v>
                </c:pt>
                <c:pt idx="27">
                  <c:v>70.83</c:v>
                </c:pt>
                <c:pt idx="28">
                  <c:v>70.83</c:v>
                </c:pt>
                <c:pt idx="29">
                  <c:v>70.83</c:v>
                </c:pt>
                <c:pt idx="30">
                  <c:v>70.83</c:v>
                </c:pt>
              </c:numCache>
            </c:numRef>
          </c:val>
          <c:smooth val="0"/>
          <c:extLst>
            <c:ext xmlns:c16="http://schemas.microsoft.com/office/drawing/2014/chart" uri="{C3380CC4-5D6E-409C-BE32-E72D297353CC}">
              <c16:uniqueId val="{00000005-C910-4FB7-A5DF-BACF85C2108B}"/>
            </c:ext>
          </c:extLst>
        </c:ser>
        <c:ser>
          <c:idx val="5"/>
          <c:order val="6"/>
          <c:tx>
            <c:v>Total demand + target headroom (baseline)</c:v>
          </c:tx>
          <c:spPr>
            <a:ln w="25400"/>
          </c:spPr>
          <c:marker>
            <c:symbol val="none"/>
          </c:marker>
          <c:cat>
            <c:strRef>
              <c:f>ESWNCT!$G$385:$CI$385</c:f>
              <c:strCache>
                <c:ptCount val="3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strCache>
            </c:strRef>
          </c:cat>
          <c:val>
            <c:numRef>
              <c:f>ESWNCT!$G$392:$AK$392</c:f>
              <c:numCache>
                <c:formatCode>0.00</c:formatCode>
                <c:ptCount val="31"/>
                <c:pt idx="0">
                  <c:v>0</c:v>
                </c:pt>
                <c:pt idx="1">
                  <c:v>0</c:v>
                </c:pt>
                <c:pt idx="2">
                  <c:v>54.469592620878089</c:v>
                </c:pt>
                <c:pt idx="3">
                  <c:v>56.948609170692308</c:v>
                </c:pt>
                <c:pt idx="4">
                  <c:v>57.88699216898263</c:v>
                </c:pt>
                <c:pt idx="5">
                  <c:v>57.970569479510338</c:v>
                </c:pt>
                <c:pt idx="6">
                  <c:v>58.089739283479318</c:v>
                </c:pt>
                <c:pt idx="7">
                  <c:v>57.736779572175713</c:v>
                </c:pt>
                <c:pt idx="8">
                  <c:v>59.522889311942741</c:v>
                </c:pt>
                <c:pt idx="9">
                  <c:v>59.346237676675088</c:v>
                </c:pt>
                <c:pt idx="10">
                  <c:v>59.181479680006412</c:v>
                </c:pt>
                <c:pt idx="11">
                  <c:v>59.098600184857538</c:v>
                </c:pt>
                <c:pt idx="12">
                  <c:v>59.118355990186899</c:v>
                </c:pt>
                <c:pt idx="13">
                  <c:v>59.151240042102174</c:v>
                </c:pt>
                <c:pt idx="14">
                  <c:v>59.166642899701415</c:v>
                </c:pt>
                <c:pt idx="15">
                  <c:v>59.23522493224003</c:v>
                </c:pt>
                <c:pt idx="16">
                  <c:v>59.293994421245436</c:v>
                </c:pt>
                <c:pt idx="17">
                  <c:v>59.363206882206796</c:v>
                </c:pt>
                <c:pt idx="18">
                  <c:v>59.443719257110104</c:v>
                </c:pt>
                <c:pt idx="19">
                  <c:v>59.512656682673942</c:v>
                </c:pt>
                <c:pt idx="20">
                  <c:v>59.620276239300161</c:v>
                </c:pt>
                <c:pt idx="21">
                  <c:v>59.682390467557624</c:v>
                </c:pt>
                <c:pt idx="22">
                  <c:v>59.786907650571514</c:v>
                </c:pt>
                <c:pt idx="23">
                  <c:v>59.890283899008892</c:v>
                </c:pt>
                <c:pt idx="24">
                  <c:v>60.008222788409391</c:v>
                </c:pt>
                <c:pt idx="25">
                  <c:v>60.128332512343199</c:v>
                </c:pt>
                <c:pt idx="26">
                  <c:v>60.231064598200071</c:v>
                </c:pt>
                <c:pt idx="27">
                  <c:v>60.355786572275051</c:v>
                </c:pt>
                <c:pt idx="28">
                  <c:v>60.441328983065013</c:v>
                </c:pt>
                <c:pt idx="29">
                  <c:v>60.576985833453655</c:v>
                </c:pt>
                <c:pt idx="30">
                  <c:v>60.696756070971404</c:v>
                </c:pt>
              </c:numCache>
            </c:numRef>
          </c:val>
          <c:smooth val="0"/>
          <c:extLst>
            <c:ext xmlns:c16="http://schemas.microsoft.com/office/drawing/2014/chart" uri="{C3380CC4-5D6E-409C-BE32-E72D297353CC}">
              <c16:uniqueId val="{00000006-C910-4FB7-A5DF-BACF85C2108B}"/>
            </c:ext>
          </c:extLst>
        </c:ser>
        <c:dLbls>
          <c:showLegendKey val="0"/>
          <c:showVal val="0"/>
          <c:showCatName val="0"/>
          <c:showSerName val="0"/>
          <c:showPercent val="0"/>
          <c:showBubbleSize val="0"/>
        </c:dLbls>
        <c:marker val="1"/>
        <c:smooth val="0"/>
        <c:axId val="864304416"/>
        <c:axId val="864304808"/>
      </c:lineChart>
      <c:catAx>
        <c:axId val="864304416"/>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en-US"/>
          </a:p>
        </c:txPr>
        <c:crossAx val="864304808"/>
        <c:crosses val="autoZero"/>
        <c:auto val="1"/>
        <c:lblAlgn val="ctr"/>
        <c:lblOffset val="100"/>
        <c:tickLblSkip val="2"/>
        <c:tickMarkSkip val="1"/>
        <c:noMultiLvlLbl val="0"/>
      </c:catAx>
      <c:valAx>
        <c:axId val="864304808"/>
        <c:scaling>
          <c:orientation val="minMax"/>
        </c:scaling>
        <c:delete val="0"/>
        <c:axPos val="l"/>
        <c:majorGridlines>
          <c:spPr>
            <a:ln w="3175">
              <a:solidFill>
                <a:srgbClr val="000000"/>
              </a:solidFill>
              <a:prstDash val="solid"/>
            </a:ln>
          </c:spPr>
        </c:majorGridlines>
        <c:title>
          <c:tx>
            <c:rich>
              <a:bodyPr/>
              <a:lstStyle/>
              <a:p>
                <a:pPr>
                  <a:defRPr sz="1175" b="1" i="0" u="none" strike="noStrike" baseline="0">
                    <a:solidFill>
                      <a:srgbClr val="000000"/>
                    </a:solidFill>
                    <a:latin typeface="Arial"/>
                    <a:ea typeface="Arial"/>
                    <a:cs typeface="Arial"/>
                  </a:defRPr>
                </a:pPr>
                <a:r>
                  <a:rPr lang="en-GB"/>
                  <a:t>Ml/d</a:t>
                </a:r>
              </a:p>
            </c:rich>
          </c:tx>
          <c:layout>
            <c:manualLayout>
              <c:xMode val="edge"/>
              <c:yMode val="edge"/>
              <c:x val="2.0359337875782983E-2"/>
              <c:y val="0.39858528733632054"/>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864304416"/>
        <c:crosses val="autoZero"/>
        <c:crossBetween val="midCat"/>
      </c:valAx>
      <c:spPr>
        <a:solidFill>
          <a:schemeClr val="bg1"/>
        </a:solidFill>
        <a:ln w="12700">
          <a:solidFill>
            <a:srgbClr val="808080"/>
          </a:solidFill>
          <a:prstDash val="solid"/>
        </a:ln>
      </c:spPr>
    </c:plotArea>
    <c:legend>
      <c:legendPos val="b"/>
      <c:legendEntry>
        <c:idx val="0"/>
        <c:txPr>
          <a:bodyPr/>
          <a:lstStyle/>
          <a:p>
            <a:pPr>
              <a:defRPr sz="1000" b="0" i="0" u="none" strike="noStrike" baseline="0">
                <a:solidFill>
                  <a:srgbClr val="000000"/>
                </a:solidFill>
                <a:latin typeface="Arial"/>
                <a:ea typeface="Arial"/>
                <a:cs typeface="Arial"/>
              </a:defRPr>
            </a:pPr>
            <a:endParaRPr lang="en-US"/>
          </a:p>
        </c:txPr>
      </c:legendEntry>
      <c:layout>
        <c:manualLayout>
          <c:xMode val="edge"/>
          <c:yMode val="edge"/>
          <c:x val="0.16452269470774322"/>
          <c:y val="0.82158446545736608"/>
          <c:w val="0.7156398695723647"/>
          <c:h val="0.16402912270077008"/>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0"/>
    <c:dispBlanksAs val="zero"/>
    <c:showDLblsOverMax val="0"/>
  </c:chart>
  <c:spPr>
    <a:solidFill>
      <a:schemeClr val="accent5"/>
    </a:solidFill>
    <a:ln w="3175">
      <a:solidFill>
        <a:srgbClr val="000000"/>
      </a:solidFill>
      <a:prstDash val="solid"/>
    </a:ln>
  </c:spPr>
  <c:txPr>
    <a:bodyPr/>
    <a:lstStyle/>
    <a:p>
      <a:pPr>
        <a:defRPr sz="975" b="0" i="0" u="none" strike="noStrike" baseline="0">
          <a:solidFill>
            <a:srgbClr val="000000"/>
          </a:solidFill>
          <a:latin typeface="Arial"/>
          <a:ea typeface="Arial"/>
          <a:cs typeface="Arial"/>
        </a:defRPr>
      </a:pPr>
      <a:endParaRPr lang="en-US"/>
    </a:p>
  </c:txPr>
  <c:printSettings>
    <c:headerFooter alignWithMargins="0"/>
    <c:pageMargins b="1" l="0.75000000000000622" r="0.75000000000000622" t="1" header="0.5" footer="0.5"/>
    <c:pageSetup paperSize="9" orientation="landscape"/>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75" b="1" i="0" u="none" strike="noStrike" baseline="0">
                <a:solidFill>
                  <a:srgbClr val="000000"/>
                </a:solidFill>
                <a:latin typeface="Arial"/>
                <a:ea typeface="Arial"/>
                <a:cs typeface="Arial"/>
              </a:defRPr>
            </a:pPr>
            <a:r>
              <a:rPr lang="en-GB"/>
              <a:t>DYCP Final Plan Water Supply-Demand Balance and Components of Demand</a:t>
            </a:r>
          </a:p>
        </c:rich>
      </c:tx>
      <c:layout>
        <c:manualLayout>
          <c:xMode val="edge"/>
          <c:yMode val="edge"/>
          <c:x val="0.2095809470200265"/>
          <c:y val="2.9013693730272669E-2"/>
        </c:manualLayout>
      </c:layout>
      <c:overlay val="0"/>
      <c:spPr>
        <a:noFill/>
        <a:ln w="25400">
          <a:noFill/>
        </a:ln>
      </c:spPr>
    </c:title>
    <c:autoTitleDeleted val="0"/>
    <c:plotArea>
      <c:layout>
        <c:manualLayout>
          <c:layoutTarget val="inner"/>
          <c:xMode val="edge"/>
          <c:yMode val="edge"/>
          <c:x val="8.5343266856694813E-2"/>
          <c:y val="0.10444884139344435"/>
          <c:w val="0.89146608097046709"/>
          <c:h val="0.55130264550264552"/>
        </c:manualLayout>
      </c:layout>
      <c:areaChart>
        <c:grouping val="stacked"/>
        <c:varyColors val="0"/>
        <c:ser>
          <c:idx val="6"/>
          <c:order val="0"/>
          <c:tx>
            <c:v>Measured household consumption</c:v>
          </c:tx>
          <c:spPr>
            <a:ln w="25400">
              <a:noFill/>
            </a:ln>
          </c:spPr>
          <c:cat>
            <c:multiLvlStrRef>
              <c:f>}</c:f>
            </c:multiLvlStrRef>
          </c:cat>
          <c:val>
            <c:numRef>
              <c:f>ESWNCT!$G$395:$AK$395</c:f>
              <c:numCache>
                <c:formatCode>0.00</c:formatCode>
                <c:ptCount val="31"/>
                <c:pt idx="0">
                  <c:v>0</c:v>
                </c:pt>
                <c:pt idx="1">
                  <c:v>0</c:v>
                </c:pt>
                <c:pt idx="2">
                  <c:v>17.516097802986845</c:v>
                </c:pt>
                <c:pt idx="3">
                  <c:v>17.264025797381894</c:v>
                </c:pt>
                <c:pt idx="4">
                  <c:v>17.254925402260845</c:v>
                </c:pt>
                <c:pt idx="5">
                  <c:v>17.523662073925081</c:v>
                </c:pt>
                <c:pt idx="6">
                  <c:v>18.003484046811206</c:v>
                </c:pt>
                <c:pt idx="7">
                  <c:v>19.179355932649152</c:v>
                </c:pt>
                <c:pt idx="8">
                  <c:v>20.858984837071716</c:v>
                </c:pt>
                <c:pt idx="9">
                  <c:v>23.441462940480605</c:v>
                </c:pt>
                <c:pt idx="10">
                  <c:v>25.266868978652944</c:v>
                </c:pt>
                <c:pt idx="11">
                  <c:v>25.749985583036242</c:v>
                </c:pt>
                <c:pt idx="12">
                  <c:v>25.598866743736419</c:v>
                </c:pt>
                <c:pt idx="13">
                  <c:v>25.33384352567597</c:v>
                </c:pt>
                <c:pt idx="14">
                  <c:v>25.005795682475487</c:v>
                </c:pt>
                <c:pt idx="15">
                  <c:v>24.80386407264999</c:v>
                </c:pt>
                <c:pt idx="16">
                  <c:v>24.658241666662466</c:v>
                </c:pt>
                <c:pt idx="17">
                  <c:v>24.519993823955911</c:v>
                </c:pt>
                <c:pt idx="18">
                  <c:v>24.383199604457428</c:v>
                </c:pt>
                <c:pt idx="19">
                  <c:v>24.258862785163419</c:v>
                </c:pt>
                <c:pt idx="20">
                  <c:v>24.141489206865991</c:v>
                </c:pt>
                <c:pt idx="21">
                  <c:v>23.998383973333219</c:v>
                </c:pt>
                <c:pt idx="22">
                  <c:v>23.881727159341644</c:v>
                </c:pt>
                <c:pt idx="23">
                  <c:v>23.776370882059322</c:v>
                </c:pt>
                <c:pt idx="24">
                  <c:v>23.772111997446974</c:v>
                </c:pt>
                <c:pt idx="25">
                  <c:v>23.768029244435066</c:v>
                </c:pt>
                <c:pt idx="26">
                  <c:v>23.76204899811297</c:v>
                </c:pt>
                <c:pt idx="27">
                  <c:v>23.761467991304329</c:v>
                </c:pt>
                <c:pt idx="28">
                  <c:v>23.758872705687569</c:v>
                </c:pt>
                <c:pt idx="29">
                  <c:v>23.75778773375092</c:v>
                </c:pt>
                <c:pt idx="30">
                  <c:v>23.750914349551156</c:v>
                </c:pt>
              </c:numCache>
            </c:numRef>
          </c:val>
          <c:extLst>
            <c:ext xmlns:c16="http://schemas.microsoft.com/office/drawing/2014/chart" uri="{C3380CC4-5D6E-409C-BE32-E72D297353CC}">
              <c16:uniqueId val="{00000000-2483-4A63-A3DF-A9DC4CBA7770}"/>
            </c:ext>
          </c:extLst>
        </c:ser>
        <c:ser>
          <c:idx val="0"/>
          <c:order val="1"/>
          <c:tx>
            <c:v>Unmeasured household consumption</c:v>
          </c:tx>
          <c:spPr>
            <a:ln w="25400">
              <a:noFill/>
            </a:ln>
          </c:spPr>
          <c:cat>
            <c:multiLvlStrRef>
              <c:f>}</c:f>
            </c:multiLvlStrRef>
          </c:cat>
          <c:val>
            <c:numRef>
              <c:f>ESWNCT!$G$396:$AK$396</c:f>
              <c:numCache>
                <c:formatCode>0.00</c:formatCode>
                <c:ptCount val="31"/>
                <c:pt idx="0">
                  <c:v>0</c:v>
                </c:pt>
                <c:pt idx="1">
                  <c:v>0</c:v>
                </c:pt>
                <c:pt idx="2">
                  <c:v>18.503885341554472</c:v>
                </c:pt>
                <c:pt idx="3">
                  <c:v>17.497315912193955</c:v>
                </c:pt>
                <c:pt idx="4">
                  <c:v>17.349858834223248</c:v>
                </c:pt>
                <c:pt idx="5">
                  <c:v>16.593201213236444</c:v>
                </c:pt>
                <c:pt idx="6">
                  <c:v>15.053726319479718</c:v>
                </c:pt>
                <c:pt idx="7">
                  <c:v>12.767255062906861</c:v>
                </c:pt>
                <c:pt idx="8">
                  <c:v>9.1312395745212935</c:v>
                </c:pt>
                <c:pt idx="9">
                  <c:v>4.6327075090637972</c:v>
                </c:pt>
                <c:pt idx="10">
                  <c:v>1.5111905285939606</c:v>
                </c:pt>
                <c:pt idx="11">
                  <c:v>0.55832104522855086</c:v>
                </c:pt>
                <c:pt idx="12">
                  <c:v>0.54416349463670954</c:v>
                </c:pt>
                <c:pt idx="13">
                  <c:v>0.53026057832956197</c:v>
                </c:pt>
                <c:pt idx="14">
                  <c:v>0.51499463171254267</c:v>
                </c:pt>
                <c:pt idx="15">
                  <c:v>0.5000218973734597</c:v>
                </c:pt>
                <c:pt idx="16">
                  <c:v>0.48481287030518178</c:v>
                </c:pt>
                <c:pt idx="17">
                  <c:v>0.46682330161805408</c:v>
                </c:pt>
                <c:pt idx="18">
                  <c:v>0.44928824782610566</c:v>
                </c:pt>
                <c:pt idx="19">
                  <c:v>0.43235110792878129</c:v>
                </c:pt>
                <c:pt idx="20">
                  <c:v>0.41584094375211134</c:v>
                </c:pt>
                <c:pt idx="21">
                  <c:v>0.39985096358578665</c:v>
                </c:pt>
                <c:pt idx="22">
                  <c:v>0.3843396460641727</c:v>
                </c:pt>
                <c:pt idx="23">
                  <c:v>0.36948815234648258</c:v>
                </c:pt>
                <c:pt idx="24">
                  <c:v>0.3568232097160931</c:v>
                </c:pt>
                <c:pt idx="25">
                  <c:v>0.34448334374940714</c:v>
                </c:pt>
                <c:pt idx="26">
                  <c:v>0.33251668224825909</c:v>
                </c:pt>
                <c:pt idx="27">
                  <c:v>0.32094592201182864</c:v>
                </c:pt>
                <c:pt idx="28">
                  <c:v>0.30962331814113769</c:v>
                </c:pt>
                <c:pt idx="29">
                  <c:v>0.29858653265347235</c:v>
                </c:pt>
                <c:pt idx="30">
                  <c:v>0.28770080777668433</c:v>
                </c:pt>
              </c:numCache>
            </c:numRef>
          </c:val>
          <c:extLst>
            <c:ext xmlns:c16="http://schemas.microsoft.com/office/drawing/2014/chart" uri="{C3380CC4-5D6E-409C-BE32-E72D297353CC}">
              <c16:uniqueId val="{00000001-2483-4A63-A3DF-A9DC4CBA7770}"/>
            </c:ext>
          </c:extLst>
        </c:ser>
        <c:ser>
          <c:idx val="1"/>
          <c:order val="2"/>
          <c:tx>
            <c:v>Non-household consumption</c:v>
          </c:tx>
          <c:spPr>
            <a:ln w="25400">
              <a:noFill/>
            </a:ln>
          </c:spPr>
          <c:cat>
            <c:multiLvlStrRef>
              <c:f>}</c:f>
            </c:multiLvlStrRef>
          </c:cat>
          <c:val>
            <c:numRef>
              <c:f>ESWNCT!$G$397:$AK$397</c:f>
              <c:numCache>
                <c:formatCode>0.00</c:formatCode>
                <c:ptCount val="31"/>
                <c:pt idx="0">
                  <c:v>0</c:v>
                </c:pt>
                <c:pt idx="1">
                  <c:v>0</c:v>
                </c:pt>
                <c:pt idx="2">
                  <c:v>11.618189303441417</c:v>
                </c:pt>
                <c:pt idx="3">
                  <c:v>14.667601302753956</c:v>
                </c:pt>
                <c:pt idx="4">
                  <c:v>16.036005959679485</c:v>
                </c:pt>
                <c:pt idx="5">
                  <c:v>16.762673659923163</c:v>
                </c:pt>
                <c:pt idx="6">
                  <c:v>17.353172459057415</c:v>
                </c:pt>
                <c:pt idx="7">
                  <c:v>17.50199083799885</c:v>
                </c:pt>
                <c:pt idx="8">
                  <c:v>19.571995295577906</c:v>
                </c:pt>
                <c:pt idx="9">
                  <c:v>19.558075895585631</c:v>
                </c:pt>
                <c:pt idx="10">
                  <c:v>19.539706112888691</c:v>
                </c:pt>
                <c:pt idx="11">
                  <c:v>19.459723972865014</c:v>
                </c:pt>
                <c:pt idx="12">
                  <c:v>19.374967997212639</c:v>
                </c:pt>
                <c:pt idx="13">
                  <c:v>19.289934230051966</c:v>
                </c:pt>
                <c:pt idx="14">
                  <c:v>19.20450649916615</c:v>
                </c:pt>
                <c:pt idx="15">
                  <c:v>19.118942126868721</c:v>
                </c:pt>
                <c:pt idx="16">
                  <c:v>19.040153135664667</c:v>
                </c:pt>
                <c:pt idx="17">
                  <c:v>18.959687559009947</c:v>
                </c:pt>
                <c:pt idx="18">
                  <c:v>18.878505182460465</c:v>
                </c:pt>
                <c:pt idx="19">
                  <c:v>18.92290712820008</c:v>
                </c:pt>
                <c:pt idx="20">
                  <c:v>18.966957920501827</c:v>
                </c:pt>
                <c:pt idx="21">
                  <c:v>19.010868429546946</c:v>
                </c:pt>
                <c:pt idx="22">
                  <c:v>19.05364442734966</c:v>
                </c:pt>
                <c:pt idx="23">
                  <c:v>19.095612139199073</c:v>
                </c:pt>
                <c:pt idx="24">
                  <c:v>19.136728239600757</c:v>
                </c:pt>
                <c:pt idx="25">
                  <c:v>19.176965276137569</c:v>
                </c:pt>
                <c:pt idx="26">
                  <c:v>19.216304388593105</c:v>
                </c:pt>
                <c:pt idx="27">
                  <c:v>19.254902613883374</c:v>
                </c:pt>
                <c:pt idx="28">
                  <c:v>19.292854665355506</c:v>
                </c:pt>
                <c:pt idx="29">
                  <c:v>19.330173753932289</c:v>
                </c:pt>
                <c:pt idx="30">
                  <c:v>19.366851720684149</c:v>
                </c:pt>
              </c:numCache>
            </c:numRef>
          </c:val>
          <c:extLst>
            <c:ext xmlns:c16="http://schemas.microsoft.com/office/drawing/2014/chart" uri="{C3380CC4-5D6E-409C-BE32-E72D297353CC}">
              <c16:uniqueId val="{00000002-2483-4A63-A3DF-A9DC4CBA7770}"/>
            </c:ext>
          </c:extLst>
        </c:ser>
        <c:ser>
          <c:idx val="2"/>
          <c:order val="3"/>
          <c:tx>
            <c:v>Total leakage</c:v>
          </c:tx>
          <c:spPr>
            <a:ln w="25400">
              <a:noFill/>
            </a:ln>
          </c:spPr>
          <c:cat>
            <c:multiLvlStrRef>
              <c:f>}</c:f>
            </c:multiLvlStrRef>
          </c:cat>
          <c:val>
            <c:numRef>
              <c:f>ESWNCT!$G$398:$AK$398</c:f>
              <c:numCache>
                <c:formatCode>0.00</c:formatCode>
                <c:ptCount val="31"/>
                <c:pt idx="0">
                  <c:v>0</c:v>
                </c:pt>
                <c:pt idx="1">
                  <c:v>0</c:v>
                </c:pt>
                <c:pt idx="2">
                  <c:v>2.7140564682276551</c:v>
                </c:pt>
                <c:pt idx="3">
                  <c:v>3.0110663999999998</c:v>
                </c:pt>
                <c:pt idx="4">
                  <c:v>2.8933151999999995</c:v>
                </c:pt>
                <c:pt idx="5">
                  <c:v>2.7755640000000001</c:v>
                </c:pt>
                <c:pt idx="6">
                  <c:v>2.7473904000000005</c:v>
                </c:pt>
                <c:pt idx="7">
                  <c:v>2.7192167999999999</c:v>
                </c:pt>
                <c:pt idx="8">
                  <c:v>2.6910431999999997</c:v>
                </c:pt>
                <c:pt idx="9">
                  <c:v>2.6628695999999996</c:v>
                </c:pt>
                <c:pt idx="10">
                  <c:v>2.6346959999999999</c:v>
                </c:pt>
                <c:pt idx="11">
                  <c:v>2.6065223999999994</c:v>
                </c:pt>
                <c:pt idx="12">
                  <c:v>2.5783487999999988</c:v>
                </c:pt>
                <c:pt idx="13">
                  <c:v>2.5501751999999991</c:v>
                </c:pt>
                <c:pt idx="14">
                  <c:v>2.522001599999999</c:v>
                </c:pt>
                <c:pt idx="15">
                  <c:v>2.4938279999999988</c:v>
                </c:pt>
                <c:pt idx="16">
                  <c:v>2.4656543999999987</c:v>
                </c:pt>
                <c:pt idx="17">
                  <c:v>2.4374807999999986</c:v>
                </c:pt>
                <c:pt idx="18">
                  <c:v>2.4093071999999984</c:v>
                </c:pt>
                <c:pt idx="19">
                  <c:v>2.3811335999999983</c:v>
                </c:pt>
                <c:pt idx="20">
                  <c:v>2.3529599999999982</c:v>
                </c:pt>
                <c:pt idx="21">
                  <c:v>2.324786399999998</c:v>
                </c:pt>
                <c:pt idx="22">
                  <c:v>2.2966127999999979</c:v>
                </c:pt>
                <c:pt idx="23">
                  <c:v>2.2684391999999978</c:v>
                </c:pt>
                <c:pt idx="24">
                  <c:v>2.2402655999999976</c:v>
                </c:pt>
                <c:pt idx="25">
                  <c:v>2.2120919999999975</c:v>
                </c:pt>
                <c:pt idx="26">
                  <c:v>2.1839183999999974</c:v>
                </c:pt>
                <c:pt idx="27">
                  <c:v>2.1557447999999972</c:v>
                </c:pt>
                <c:pt idx="28">
                  <c:v>2.1275711999999971</c:v>
                </c:pt>
                <c:pt idx="29">
                  <c:v>2.099397599999997</c:v>
                </c:pt>
                <c:pt idx="30">
                  <c:v>2.071224</c:v>
                </c:pt>
              </c:numCache>
            </c:numRef>
          </c:val>
          <c:extLst>
            <c:ext xmlns:c16="http://schemas.microsoft.com/office/drawing/2014/chart" uri="{C3380CC4-5D6E-409C-BE32-E72D297353CC}">
              <c16:uniqueId val="{00000003-2483-4A63-A3DF-A9DC4CBA7770}"/>
            </c:ext>
          </c:extLst>
        </c:ser>
        <c:ser>
          <c:idx val="3"/>
          <c:order val="4"/>
          <c:tx>
            <c:v>Other components of demand</c:v>
          </c:tx>
          <c:spPr>
            <a:ln w="25400">
              <a:noFill/>
            </a:ln>
          </c:spPr>
          <c:cat>
            <c:multiLvlStrRef>
              <c:f>}</c:f>
            </c:multiLvlStrRef>
          </c:cat>
          <c:val>
            <c:numRef>
              <c:f>ESWNCT!$G$399:$AK$399</c:f>
              <c:numCache>
                <c:formatCode>0.00</c:formatCode>
                <c:ptCount val="31"/>
                <c:pt idx="0">
                  <c:v>0</c:v>
                </c:pt>
                <c:pt idx="1">
                  <c:v>0</c:v>
                </c:pt>
                <c:pt idx="2">
                  <c:v>1.8115870309918307</c:v>
                </c:pt>
                <c:pt idx="3">
                  <c:v>1.8032373581008159</c:v>
                </c:pt>
                <c:pt idx="4">
                  <c:v>1.80266741422205</c:v>
                </c:pt>
                <c:pt idx="5">
                  <c:v>1.8025335791050949</c:v>
                </c:pt>
                <c:pt idx="6">
                  <c:v>1.8035672538441645</c:v>
                </c:pt>
                <c:pt idx="7">
                  <c:v>1.8033168071078549</c:v>
                </c:pt>
                <c:pt idx="8">
                  <c:v>1.8029890106497675</c:v>
                </c:pt>
                <c:pt idx="9">
                  <c:v>1.8027315661319179</c:v>
                </c:pt>
                <c:pt idx="10">
                  <c:v>1.8024915882045462</c:v>
                </c:pt>
                <c:pt idx="11">
                  <c:v>1.8022075156587007</c:v>
                </c:pt>
                <c:pt idx="12">
                  <c:v>1.8018779244496912</c:v>
                </c:pt>
                <c:pt idx="13">
                  <c:v>1.8015378194869101</c:v>
                </c:pt>
                <c:pt idx="14">
                  <c:v>1.801200134169946</c:v>
                </c:pt>
                <c:pt idx="15">
                  <c:v>1.8008624261003661</c:v>
                </c:pt>
                <c:pt idx="16">
                  <c:v>1.800526935707019</c:v>
                </c:pt>
                <c:pt idx="17">
                  <c:v>1.8001945170218434</c:v>
                </c:pt>
                <c:pt idx="18">
                  <c:v>1.7998648200872154</c:v>
                </c:pt>
                <c:pt idx="19">
                  <c:v>1.7995380958809051</c:v>
                </c:pt>
                <c:pt idx="20">
                  <c:v>1.7992171949442479</c:v>
                </c:pt>
                <c:pt idx="21">
                  <c:v>1.7988994479192826</c:v>
                </c:pt>
                <c:pt idx="22">
                  <c:v>1.798585014395627</c:v>
                </c:pt>
                <c:pt idx="23">
                  <c:v>1.7982733437020855</c:v>
                </c:pt>
                <c:pt idx="24">
                  <c:v>1.7979643782632166</c:v>
                </c:pt>
                <c:pt idx="25">
                  <c:v>1.7976582740552942</c:v>
                </c:pt>
                <c:pt idx="26">
                  <c:v>1.7973550402710146</c:v>
                </c:pt>
                <c:pt idx="27">
                  <c:v>1.797054614335444</c:v>
                </c:pt>
                <c:pt idx="28">
                  <c:v>1.7967570498591314</c:v>
                </c:pt>
                <c:pt idx="29">
                  <c:v>1.7964626545509788</c:v>
                </c:pt>
                <c:pt idx="30">
                  <c:v>1.7961713681872808</c:v>
                </c:pt>
              </c:numCache>
            </c:numRef>
          </c:val>
          <c:extLst>
            <c:ext xmlns:c16="http://schemas.microsoft.com/office/drawing/2014/chart" uri="{C3380CC4-5D6E-409C-BE32-E72D297353CC}">
              <c16:uniqueId val="{00000004-2483-4A63-A3DF-A9DC4CBA7770}"/>
            </c:ext>
          </c:extLst>
        </c:ser>
        <c:dLbls>
          <c:showLegendKey val="0"/>
          <c:showVal val="0"/>
          <c:showCatName val="0"/>
          <c:showSerName val="0"/>
          <c:showPercent val="0"/>
          <c:showBubbleSize val="0"/>
        </c:dLbls>
        <c:axId val="814784328"/>
        <c:axId val="814784720"/>
      </c:areaChart>
      <c:lineChart>
        <c:grouping val="standard"/>
        <c:varyColors val="0"/>
        <c:ser>
          <c:idx val="4"/>
          <c:order val="5"/>
          <c:tx>
            <c:v>Total water available for use</c:v>
          </c:tx>
          <c:spPr>
            <a:ln w="25400"/>
          </c:spPr>
          <c:marker>
            <c:symbol val="none"/>
          </c:marker>
          <c:cat>
            <c:strRef>
              <c:f>ESWNCT!$G$394:$CI$394</c:f>
              <c:strCache>
                <c:ptCount val="3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strCache>
            </c:strRef>
          </c:cat>
          <c:val>
            <c:numRef>
              <c:f>ESWNCT!$G$400:$AK$400</c:f>
              <c:numCache>
                <c:formatCode>0.00</c:formatCode>
                <c:ptCount val="31"/>
                <c:pt idx="0">
                  <c:v>0</c:v>
                </c:pt>
                <c:pt idx="1">
                  <c:v>0</c:v>
                </c:pt>
                <c:pt idx="2">
                  <c:v>78.899123120019667</c:v>
                </c:pt>
                <c:pt idx="3">
                  <c:v>78.775782857965098</c:v>
                </c:pt>
                <c:pt idx="4">
                  <c:v>78.760468664692468</c:v>
                </c:pt>
                <c:pt idx="5">
                  <c:v>78.713738656509065</c:v>
                </c:pt>
                <c:pt idx="6">
                  <c:v>78.61199174475442</c:v>
                </c:pt>
                <c:pt idx="7">
                  <c:v>78.50751983292669</c:v>
                </c:pt>
                <c:pt idx="8">
                  <c:v>78.322215916623975</c:v>
                </c:pt>
                <c:pt idx="9">
                  <c:v>78.143751995493218</c:v>
                </c:pt>
                <c:pt idx="10">
                  <c:v>78.023281139934525</c:v>
                </c:pt>
                <c:pt idx="11">
                  <c:v>75.479039941420126</c:v>
                </c:pt>
                <c:pt idx="12">
                  <c:v>75.462436919133779</c:v>
                </c:pt>
                <c:pt idx="13">
                  <c:v>73.225823500701523</c:v>
                </c:pt>
                <c:pt idx="14">
                  <c:v>73.251901136994604</c:v>
                </c:pt>
                <c:pt idx="15">
                  <c:v>73.31266528907129</c:v>
                </c:pt>
                <c:pt idx="16">
                  <c:v>73.35631886269671</c:v>
                </c:pt>
                <c:pt idx="17">
                  <c:v>73.346221877187972</c:v>
                </c:pt>
                <c:pt idx="18">
                  <c:v>73.330730066186845</c:v>
                </c:pt>
                <c:pt idx="19">
                  <c:v>73.316550722212767</c:v>
                </c:pt>
                <c:pt idx="20">
                  <c:v>73.303113841461951</c:v>
                </c:pt>
                <c:pt idx="21">
                  <c:v>73.28713603523029</c:v>
                </c:pt>
                <c:pt idx="22">
                  <c:v>73.273868052863449</c:v>
                </c:pt>
                <c:pt idx="23">
                  <c:v>73.261802097209227</c:v>
                </c:pt>
                <c:pt idx="24">
                  <c:v>73.260130008020482</c:v>
                </c:pt>
                <c:pt idx="25">
                  <c:v>73.258507031796171</c:v>
                </c:pt>
                <c:pt idx="26">
                  <c:v>73.256729040530658</c:v>
                </c:pt>
                <c:pt idx="27">
                  <c:v>73.255533068277543</c:v>
                </c:pt>
                <c:pt idx="28">
                  <c:v>73.25415813415303</c:v>
                </c:pt>
                <c:pt idx="29">
                  <c:v>73.25296284798678</c:v>
                </c:pt>
                <c:pt idx="30">
                  <c:v>73.251199060785893</c:v>
                </c:pt>
              </c:numCache>
            </c:numRef>
          </c:val>
          <c:smooth val="0"/>
          <c:extLst>
            <c:ext xmlns:c16="http://schemas.microsoft.com/office/drawing/2014/chart" uri="{C3380CC4-5D6E-409C-BE32-E72D297353CC}">
              <c16:uniqueId val="{00000005-2483-4A63-A3DF-A9DC4CBA7770}"/>
            </c:ext>
          </c:extLst>
        </c:ser>
        <c:ser>
          <c:idx val="5"/>
          <c:order val="6"/>
          <c:tx>
            <c:v>Total demand + target headroom (final plan)</c:v>
          </c:tx>
          <c:spPr>
            <a:ln w="25400"/>
          </c:spPr>
          <c:marker>
            <c:symbol val="none"/>
          </c:marker>
          <c:cat>
            <c:strRef>
              <c:f>ESWNCT!$G$394:$CI$394</c:f>
              <c:strCache>
                <c:ptCount val="3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strCache>
            </c:strRef>
          </c:cat>
          <c:val>
            <c:numRef>
              <c:f>ESWNCT!$G$401:$AK$401</c:f>
              <c:numCache>
                <c:formatCode>0.00</c:formatCode>
                <c:ptCount val="31"/>
                <c:pt idx="0">
                  <c:v>0</c:v>
                </c:pt>
                <c:pt idx="1">
                  <c:v>0</c:v>
                </c:pt>
                <c:pt idx="2">
                  <c:v>54.469592620878089</c:v>
                </c:pt>
                <c:pt idx="3">
                  <c:v>56.948609170692308</c:v>
                </c:pt>
                <c:pt idx="4">
                  <c:v>57.88699216898263</c:v>
                </c:pt>
                <c:pt idx="5">
                  <c:v>57.970569479510338</c:v>
                </c:pt>
                <c:pt idx="6">
                  <c:v>57.484025310371223</c:v>
                </c:pt>
                <c:pt idx="7">
                  <c:v>56.210715652878605</c:v>
                </c:pt>
                <c:pt idx="8">
                  <c:v>56.019418978014166</c:v>
                </c:pt>
                <c:pt idx="9">
                  <c:v>53.919662052022353</c:v>
                </c:pt>
                <c:pt idx="10">
                  <c:v>52.47985822119044</c:v>
                </c:pt>
                <c:pt idx="11">
                  <c:v>51.816467270045401</c:v>
                </c:pt>
                <c:pt idx="12">
                  <c:v>51.490642567897915</c:v>
                </c:pt>
                <c:pt idx="13">
                  <c:v>51.06155171274866</c:v>
                </c:pt>
                <c:pt idx="14">
                  <c:v>50.550353286010598</c:v>
                </c:pt>
                <c:pt idx="15">
                  <c:v>50.203476102346947</c:v>
                </c:pt>
                <c:pt idx="16">
                  <c:v>49.911597975540182</c:v>
                </c:pt>
                <c:pt idx="17">
                  <c:v>49.628522884347632</c:v>
                </c:pt>
                <c:pt idx="18">
                  <c:v>49.358292108154743</c:v>
                </c:pt>
                <c:pt idx="19">
                  <c:v>49.201577399344842</c:v>
                </c:pt>
                <c:pt idx="20">
                  <c:v>49.082188088900551</c:v>
                </c:pt>
                <c:pt idx="21">
                  <c:v>48.923241590163805</c:v>
                </c:pt>
                <c:pt idx="22">
                  <c:v>48.8036129959752</c:v>
                </c:pt>
                <c:pt idx="23">
                  <c:v>48.683141661039961</c:v>
                </c:pt>
                <c:pt idx="24">
                  <c:v>48.676080107070298</c:v>
                </c:pt>
                <c:pt idx="25">
                  <c:v>48.671348985889722</c:v>
                </c:pt>
                <c:pt idx="26">
                  <c:v>48.653399974473452</c:v>
                </c:pt>
                <c:pt idx="27">
                  <c:v>48.657534977848108</c:v>
                </c:pt>
                <c:pt idx="28">
                  <c:v>48.622687746412076</c:v>
                </c:pt>
                <c:pt idx="29">
                  <c:v>48.637609976596487</c:v>
                </c:pt>
                <c:pt idx="30">
                  <c:v>48.637336465843447</c:v>
                </c:pt>
              </c:numCache>
            </c:numRef>
          </c:val>
          <c:smooth val="0"/>
          <c:extLst>
            <c:ext xmlns:c16="http://schemas.microsoft.com/office/drawing/2014/chart" uri="{C3380CC4-5D6E-409C-BE32-E72D297353CC}">
              <c16:uniqueId val="{00000006-2483-4A63-A3DF-A9DC4CBA7770}"/>
            </c:ext>
          </c:extLst>
        </c:ser>
        <c:dLbls>
          <c:showLegendKey val="0"/>
          <c:showVal val="0"/>
          <c:showCatName val="0"/>
          <c:showSerName val="0"/>
          <c:showPercent val="0"/>
          <c:showBubbleSize val="0"/>
        </c:dLbls>
        <c:marker val="1"/>
        <c:smooth val="0"/>
        <c:axId val="814784328"/>
        <c:axId val="814784720"/>
      </c:lineChart>
      <c:catAx>
        <c:axId val="814784328"/>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en-US"/>
          </a:p>
        </c:txPr>
        <c:crossAx val="814784720"/>
        <c:crosses val="autoZero"/>
        <c:auto val="1"/>
        <c:lblAlgn val="ctr"/>
        <c:lblOffset val="100"/>
        <c:tickLblSkip val="2"/>
        <c:tickMarkSkip val="1"/>
        <c:noMultiLvlLbl val="0"/>
      </c:catAx>
      <c:valAx>
        <c:axId val="814784720"/>
        <c:scaling>
          <c:orientation val="minMax"/>
        </c:scaling>
        <c:delete val="0"/>
        <c:axPos val="l"/>
        <c:majorGridlines>
          <c:spPr>
            <a:ln w="3175">
              <a:solidFill>
                <a:srgbClr val="000000"/>
              </a:solidFill>
              <a:prstDash val="solid"/>
            </a:ln>
          </c:spPr>
        </c:majorGridlines>
        <c:title>
          <c:tx>
            <c:rich>
              <a:bodyPr/>
              <a:lstStyle/>
              <a:p>
                <a:pPr>
                  <a:defRPr sz="1175" b="1" i="0" u="none" strike="noStrike" baseline="0">
                    <a:solidFill>
                      <a:srgbClr val="000000"/>
                    </a:solidFill>
                    <a:latin typeface="Arial"/>
                    <a:ea typeface="Arial"/>
                    <a:cs typeface="Arial"/>
                  </a:defRPr>
                </a:pPr>
                <a:r>
                  <a:rPr lang="en-GB"/>
                  <a:t>Ml/d</a:t>
                </a:r>
              </a:p>
            </c:rich>
          </c:tx>
          <c:layout>
            <c:manualLayout>
              <c:xMode val="edge"/>
              <c:yMode val="edge"/>
              <c:x val="2.0359337875782983E-2"/>
              <c:y val="0.39858528733632054"/>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814784328"/>
        <c:crosses val="autoZero"/>
        <c:crossBetween val="midCat"/>
      </c:valAx>
      <c:spPr>
        <a:solidFill>
          <a:schemeClr val="bg1"/>
        </a:solidFill>
        <a:ln w="12700">
          <a:solidFill>
            <a:srgbClr val="808080"/>
          </a:solidFill>
          <a:prstDash val="solid"/>
        </a:ln>
      </c:spPr>
    </c:plotArea>
    <c:legend>
      <c:legendPos val="b"/>
      <c:legendEntry>
        <c:idx val="0"/>
        <c:txPr>
          <a:bodyPr/>
          <a:lstStyle/>
          <a:p>
            <a:pPr>
              <a:defRPr sz="1000" b="0" i="0" u="none" strike="noStrike" baseline="0">
                <a:solidFill>
                  <a:srgbClr val="000000"/>
                </a:solidFill>
                <a:latin typeface="Arial"/>
                <a:ea typeface="Arial"/>
                <a:cs typeface="Arial"/>
              </a:defRPr>
            </a:pPr>
            <a:endParaRPr lang="en-US"/>
          </a:p>
        </c:txPr>
      </c:legendEntry>
      <c:layout>
        <c:manualLayout>
          <c:xMode val="edge"/>
          <c:yMode val="edge"/>
          <c:x val="0.16452269470774322"/>
          <c:y val="0.82158446545736608"/>
          <c:w val="0.7156398695723647"/>
          <c:h val="0.16402912270077008"/>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0"/>
    <c:dispBlanksAs val="zero"/>
    <c:showDLblsOverMax val="0"/>
  </c:chart>
  <c:spPr>
    <a:solidFill>
      <a:schemeClr val="accent1"/>
    </a:solidFill>
    <a:ln w="3175">
      <a:solidFill>
        <a:srgbClr val="000000"/>
      </a:solidFill>
      <a:prstDash val="solid"/>
    </a:ln>
  </c:spPr>
  <c:txPr>
    <a:bodyPr/>
    <a:lstStyle/>
    <a:p>
      <a:pPr>
        <a:defRPr sz="975" b="0" i="0" u="none" strike="noStrike" baseline="0">
          <a:solidFill>
            <a:srgbClr val="000000"/>
          </a:solidFill>
          <a:latin typeface="Arial"/>
          <a:ea typeface="Arial"/>
          <a:cs typeface="Arial"/>
        </a:defRPr>
      </a:pPr>
      <a:endParaRPr lang="en-US"/>
    </a:p>
  </c:txPr>
  <c:printSettings>
    <c:headerFooter alignWithMargins="0"/>
    <c:pageMargins b="1" l="0.75000000000000622" r="0.75000000000000622" t="1" header="0.5" footer="0.5"/>
    <c:pageSetup paperSize="9" orientation="landscape"/>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75" b="1" i="0" u="none" strike="noStrike" baseline="0">
                <a:solidFill>
                  <a:srgbClr val="000000"/>
                </a:solidFill>
                <a:latin typeface="Arial"/>
                <a:ea typeface="Arial"/>
                <a:cs typeface="Arial"/>
              </a:defRPr>
            </a:pPr>
            <a:r>
              <a:rPr lang="en-GB"/>
              <a:t>DYCP Final Plan Water Supply-Demand Balance and Components of Demand</a:t>
            </a:r>
          </a:p>
        </c:rich>
      </c:tx>
      <c:layout>
        <c:manualLayout>
          <c:xMode val="edge"/>
          <c:yMode val="edge"/>
          <c:x val="0.2095809470200265"/>
          <c:y val="2.9013693730272669E-2"/>
        </c:manualLayout>
      </c:layout>
      <c:overlay val="0"/>
      <c:spPr>
        <a:noFill/>
        <a:ln w="25400">
          <a:noFill/>
        </a:ln>
      </c:spPr>
    </c:title>
    <c:autoTitleDeleted val="0"/>
    <c:plotArea>
      <c:layout>
        <c:manualLayout>
          <c:layoutTarget val="inner"/>
          <c:xMode val="edge"/>
          <c:yMode val="edge"/>
          <c:x val="8.5343266856694813E-2"/>
          <c:y val="0.10444884139344435"/>
          <c:w val="0.89146608097046709"/>
          <c:h val="0.55130264550264552"/>
        </c:manualLayout>
      </c:layout>
      <c:areaChart>
        <c:grouping val="stacked"/>
        <c:varyColors val="0"/>
        <c:ser>
          <c:idx val="6"/>
          <c:order val="0"/>
          <c:tx>
            <c:v>Measured household consumption</c:v>
          </c:tx>
          <c:spPr>
            <a:ln w="25400">
              <a:noFill/>
            </a:ln>
          </c:spPr>
          <c:cat>
            <c:strRef>
              <c:f>ESWBLY!$G$204:$CI$204</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ESWBLY!$G$395:$CI$395</c:f>
              <c:numCache>
                <c:formatCode>0.00</c:formatCode>
                <c:ptCount val="81"/>
                <c:pt idx="0">
                  <c:v>0</c:v>
                </c:pt>
                <c:pt idx="1">
                  <c:v>0</c:v>
                </c:pt>
                <c:pt idx="2">
                  <c:v>3.610113469569864</c:v>
                </c:pt>
                <c:pt idx="3">
                  <c:v>3.5630537606971457</c:v>
                </c:pt>
                <c:pt idx="4">
                  <c:v>3.5316955942590504</c:v>
                </c:pt>
                <c:pt idx="5">
                  <c:v>3.5152733242257606</c:v>
                </c:pt>
                <c:pt idx="6">
                  <c:v>3.4727388585675607</c:v>
                </c:pt>
                <c:pt idx="7">
                  <c:v>3.4769356716022477</c:v>
                </c:pt>
                <c:pt idx="8">
                  <c:v>3.4885295606728941</c:v>
                </c:pt>
                <c:pt idx="9">
                  <c:v>3.4458349373187653</c:v>
                </c:pt>
                <c:pt idx="10">
                  <c:v>3.668032862480997</c:v>
                </c:pt>
                <c:pt idx="11">
                  <c:v>4.0996181172143871</c:v>
                </c:pt>
                <c:pt idx="12">
                  <c:v>4.2375337195635945</c:v>
                </c:pt>
                <c:pt idx="13">
                  <c:v>4.1809121002592802</c:v>
                </c:pt>
                <c:pt idx="14">
                  <c:v>4.1120732835447447</c:v>
                </c:pt>
                <c:pt idx="15">
                  <c:v>4.0448527668151559</c:v>
                </c:pt>
                <c:pt idx="16">
                  <c:v>4.0285535142691362</c:v>
                </c:pt>
                <c:pt idx="17">
                  <c:v>4.0134020200421157</c:v>
                </c:pt>
                <c:pt idx="18">
                  <c:v>3.9997315254253993</c:v>
                </c:pt>
                <c:pt idx="19">
                  <c:v>3.9876519865738214</c:v>
                </c:pt>
                <c:pt idx="20">
                  <c:v>3.9732525596609944</c:v>
                </c:pt>
                <c:pt idx="21">
                  <c:v>3.9523014598429627</c:v>
                </c:pt>
                <c:pt idx="22">
                  <c:v>3.937985053470459</c:v>
                </c:pt>
                <c:pt idx="23">
                  <c:v>3.9255254804138051</c:v>
                </c:pt>
                <c:pt idx="24">
                  <c:v>3.9292547253678451</c:v>
                </c:pt>
                <c:pt idx="25">
                  <c:v>3.9335332846095885</c:v>
                </c:pt>
                <c:pt idx="26">
                  <c:v>3.9377528357784981</c:v>
                </c:pt>
                <c:pt idx="27">
                  <c:v>3.9431814814886366</c:v>
                </c:pt>
                <c:pt idx="28">
                  <c:v>3.9488077414827578</c:v>
                </c:pt>
                <c:pt idx="29">
                  <c:v>3.9552471397410347</c:v>
                </c:pt>
                <c:pt idx="30">
                  <c:v>3.961503192968427</c:v>
                </c:pt>
              </c:numCache>
            </c:numRef>
          </c:val>
          <c:extLst>
            <c:ext xmlns:c16="http://schemas.microsoft.com/office/drawing/2014/chart" uri="{C3380CC4-5D6E-409C-BE32-E72D297353CC}">
              <c16:uniqueId val="{00000000-5F2E-4AEF-91A2-C21BD04F9E25}"/>
            </c:ext>
          </c:extLst>
        </c:ser>
        <c:ser>
          <c:idx val="0"/>
          <c:order val="1"/>
          <c:tx>
            <c:v>Unmeasured household consumption</c:v>
          </c:tx>
          <c:spPr>
            <a:ln w="25400">
              <a:noFill/>
            </a:ln>
          </c:spPr>
          <c:cat>
            <c:strRef>
              <c:f>ESWBLY!$G$204:$CI$204</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ESWBLY!$G$396:$CI$396</c:f>
              <c:numCache>
                <c:formatCode>0.00</c:formatCode>
                <c:ptCount val="81"/>
                <c:pt idx="0">
                  <c:v>0</c:v>
                </c:pt>
                <c:pt idx="1">
                  <c:v>0</c:v>
                </c:pt>
                <c:pt idx="2">
                  <c:v>2.1866636376326452</c:v>
                </c:pt>
                <c:pt idx="3">
                  <c:v>2.2221788626312171</c:v>
                </c:pt>
                <c:pt idx="4">
                  <c:v>2.0423820051820782</c:v>
                </c:pt>
                <c:pt idx="5">
                  <c:v>1.9626598081871922</c:v>
                </c:pt>
                <c:pt idx="6">
                  <c:v>1.8780887703973057</c:v>
                </c:pt>
                <c:pt idx="7">
                  <c:v>1.8391251699208353</c:v>
                </c:pt>
                <c:pt idx="8">
                  <c:v>1.7958378279016183</c:v>
                </c:pt>
                <c:pt idx="9">
                  <c:v>1.7453611462596634</c:v>
                </c:pt>
                <c:pt idx="10">
                  <c:v>1.279044452043824</c:v>
                </c:pt>
                <c:pt idx="11">
                  <c:v>0.56153114265817861</c:v>
                </c:pt>
                <c:pt idx="12">
                  <c:v>0.28147504688502223</c:v>
                </c:pt>
                <c:pt idx="13">
                  <c:v>0.27737640162148813</c:v>
                </c:pt>
                <c:pt idx="14">
                  <c:v>0.27239136612898529</c:v>
                </c:pt>
                <c:pt idx="15">
                  <c:v>0.26737606308100476</c:v>
                </c:pt>
                <c:pt idx="16">
                  <c:v>0.26378573585212867</c:v>
                </c:pt>
                <c:pt idx="17">
                  <c:v>0.26017134043568818</c:v>
                </c:pt>
                <c:pt idx="18">
                  <c:v>0.25650680276900589</c:v>
                </c:pt>
                <c:pt idx="19">
                  <c:v>0.25288572214271393</c:v>
                </c:pt>
                <c:pt idx="20">
                  <c:v>0.24922066084051137</c:v>
                </c:pt>
                <c:pt idx="21">
                  <c:v>0.24527153543292188</c:v>
                </c:pt>
                <c:pt idx="22">
                  <c:v>0.24103466656859893</c:v>
                </c:pt>
                <c:pt idx="23">
                  <c:v>0.23695097758842421</c:v>
                </c:pt>
                <c:pt idx="24">
                  <c:v>0.23404096852485923</c:v>
                </c:pt>
                <c:pt idx="25">
                  <c:v>0.2311445366941986</c:v>
                </c:pt>
                <c:pt idx="26">
                  <c:v>0.22830230379374222</c:v>
                </c:pt>
                <c:pt idx="27">
                  <c:v>0.22554003832447714</c:v>
                </c:pt>
                <c:pt idx="28">
                  <c:v>0.22276321915436509</c:v>
                </c:pt>
                <c:pt idx="29">
                  <c:v>0.22000514463064205</c:v>
                </c:pt>
                <c:pt idx="30">
                  <c:v>0.21717170876166919</c:v>
                </c:pt>
              </c:numCache>
            </c:numRef>
          </c:val>
          <c:extLst>
            <c:ext xmlns:c16="http://schemas.microsoft.com/office/drawing/2014/chart" uri="{C3380CC4-5D6E-409C-BE32-E72D297353CC}">
              <c16:uniqueId val="{00000001-5F2E-4AEF-91A2-C21BD04F9E25}"/>
            </c:ext>
          </c:extLst>
        </c:ser>
        <c:ser>
          <c:idx val="1"/>
          <c:order val="2"/>
          <c:tx>
            <c:v>Non-household consumption</c:v>
          </c:tx>
          <c:spPr>
            <a:ln w="25400">
              <a:noFill/>
            </a:ln>
          </c:spPr>
          <c:cat>
            <c:strRef>
              <c:f>ESWBLY!$G$204:$CI$204</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ESWBLY!$G$397:$CI$397</c:f>
              <c:numCache>
                <c:formatCode>0.00</c:formatCode>
                <c:ptCount val="81"/>
                <c:pt idx="0">
                  <c:v>0</c:v>
                </c:pt>
                <c:pt idx="1">
                  <c:v>0</c:v>
                </c:pt>
                <c:pt idx="2">
                  <c:v>3.4165914597957534</c:v>
                </c:pt>
                <c:pt idx="3">
                  <c:v>3.969405642934285</c:v>
                </c:pt>
                <c:pt idx="4">
                  <c:v>4.133222604030875</c:v>
                </c:pt>
                <c:pt idx="5">
                  <c:v>4.3132373437964135</c:v>
                </c:pt>
                <c:pt idx="6">
                  <c:v>4.460696779493035</c:v>
                </c:pt>
                <c:pt idx="7">
                  <c:v>4.5010893076160512</c:v>
                </c:pt>
                <c:pt idx="8">
                  <c:v>4.506045716981486</c:v>
                </c:pt>
                <c:pt idx="9">
                  <c:v>4.5103129513190199</c:v>
                </c:pt>
                <c:pt idx="10">
                  <c:v>4.5116821654080281</c:v>
                </c:pt>
                <c:pt idx="11">
                  <c:v>4.4976011394228763</c:v>
                </c:pt>
                <c:pt idx="12">
                  <c:v>4.482764522923584</c:v>
                </c:pt>
                <c:pt idx="13">
                  <c:v>6.7577180522341553</c:v>
                </c:pt>
                <c:pt idx="14">
                  <c:v>6.7428673156187378</c:v>
                </c:pt>
                <c:pt idx="15">
                  <c:v>6.7281621227909376</c:v>
                </c:pt>
                <c:pt idx="16">
                  <c:v>6.7151281358376327</c:v>
                </c:pt>
                <c:pt idx="17">
                  <c:v>6.7020668328942206</c:v>
                </c:pt>
                <c:pt idx="18">
                  <c:v>6.689183454376824</c:v>
                </c:pt>
                <c:pt idx="19">
                  <c:v>6.6964935471219791</c:v>
                </c:pt>
                <c:pt idx="20">
                  <c:v>6.7038272306373408</c:v>
                </c:pt>
                <c:pt idx="21">
                  <c:v>6.7111700910101613</c:v>
                </c:pt>
                <c:pt idx="22">
                  <c:v>6.7184908587878942</c:v>
                </c:pt>
                <c:pt idx="23">
                  <c:v>6.7256798041206176</c:v>
                </c:pt>
                <c:pt idx="24">
                  <c:v>6.7326929117979857</c:v>
                </c:pt>
                <c:pt idx="25">
                  <c:v>6.7396464334888231</c:v>
                </c:pt>
                <c:pt idx="26">
                  <c:v>6.7464725642037475</c:v>
                </c:pt>
                <c:pt idx="27">
                  <c:v>6.7532689935244115</c:v>
                </c:pt>
                <c:pt idx="28">
                  <c:v>6.7600153517445891</c:v>
                </c:pt>
                <c:pt idx="29">
                  <c:v>6.7666770891529699</c:v>
                </c:pt>
                <c:pt idx="30">
                  <c:v>6.773321714205105</c:v>
                </c:pt>
              </c:numCache>
            </c:numRef>
          </c:val>
          <c:extLst>
            <c:ext xmlns:c16="http://schemas.microsoft.com/office/drawing/2014/chart" uri="{C3380CC4-5D6E-409C-BE32-E72D297353CC}">
              <c16:uniqueId val="{00000002-5F2E-4AEF-91A2-C21BD04F9E25}"/>
            </c:ext>
          </c:extLst>
        </c:ser>
        <c:ser>
          <c:idx val="2"/>
          <c:order val="3"/>
          <c:tx>
            <c:v>Total leakage</c:v>
          </c:tx>
          <c:spPr>
            <a:ln w="25400">
              <a:noFill/>
            </a:ln>
          </c:spPr>
          <c:cat>
            <c:strRef>
              <c:f>ESWBLY!$G$204:$CI$204</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ESWBLY!$G$398:$CI$398</c:f>
              <c:numCache>
                <c:formatCode>0.00</c:formatCode>
                <c:ptCount val="81"/>
                <c:pt idx="0">
                  <c:v>0</c:v>
                </c:pt>
                <c:pt idx="1">
                  <c:v>0</c:v>
                </c:pt>
                <c:pt idx="2">
                  <c:v>1.9305131976000001</c:v>
                </c:pt>
                <c:pt idx="3">
                  <c:v>1.6747597999999997</c:v>
                </c:pt>
                <c:pt idx="4">
                  <c:v>1.6092663999999997</c:v>
                </c:pt>
                <c:pt idx="5">
                  <c:v>1.5437730000000001</c:v>
                </c:pt>
                <c:pt idx="6">
                  <c:v>1.5281028000000001</c:v>
                </c:pt>
                <c:pt idx="7">
                  <c:v>1.5124326000000001</c:v>
                </c:pt>
                <c:pt idx="8">
                  <c:v>1.4967624000000002</c:v>
                </c:pt>
                <c:pt idx="9">
                  <c:v>1.4810922000000002</c:v>
                </c:pt>
                <c:pt idx="10">
                  <c:v>1.4654220000000002</c:v>
                </c:pt>
                <c:pt idx="11">
                  <c:v>1.4497518000000003</c:v>
                </c:pt>
                <c:pt idx="12">
                  <c:v>1.4340816000000003</c:v>
                </c:pt>
                <c:pt idx="13">
                  <c:v>1.4184114000000003</c:v>
                </c:pt>
                <c:pt idx="14">
                  <c:v>1.4027412000000004</c:v>
                </c:pt>
                <c:pt idx="15">
                  <c:v>1.3870710000000004</c:v>
                </c:pt>
                <c:pt idx="16">
                  <c:v>1.3714008000000004</c:v>
                </c:pt>
                <c:pt idx="17">
                  <c:v>1.3557306000000005</c:v>
                </c:pt>
                <c:pt idx="18">
                  <c:v>1.3400604000000005</c:v>
                </c:pt>
                <c:pt idx="19">
                  <c:v>1.3243902000000005</c:v>
                </c:pt>
                <c:pt idx="20">
                  <c:v>1.3087200000000005</c:v>
                </c:pt>
                <c:pt idx="21">
                  <c:v>1.2930498000000006</c:v>
                </c:pt>
                <c:pt idx="22">
                  <c:v>1.2773796000000006</c:v>
                </c:pt>
                <c:pt idx="23">
                  <c:v>1.2617094000000004</c:v>
                </c:pt>
                <c:pt idx="24">
                  <c:v>1.2460392000000007</c:v>
                </c:pt>
                <c:pt idx="25">
                  <c:v>1.2303690000000007</c:v>
                </c:pt>
                <c:pt idx="26">
                  <c:v>1.2146988000000007</c:v>
                </c:pt>
                <c:pt idx="27">
                  <c:v>1.1990286000000008</c:v>
                </c:pt>
                <c:pt idx="28">
                  <c:v>1.1833584000000008</c:v>
                </c:pt>
                <c:pt idx="29">
                  <c:v>1.1676882000000011</c:v>
                </c:pt>
                <c:pt idx="30">
                  <c:v>1.152018</c:v>
                </c:pt>
              </c:numCache>
            </c:numRef>
          </c:val>
          <c:extLst>
            <c:ext xmlns:c16="http://schemas.microsoft.com/office/drawing/2014/chart" uri="{C3380CC4-5D6E-409C-BE32-E72D297353CC}">
              <c16:uniqueId val="{00000003-5F2E-4AEF-91A2-C21BD04F9E25}"/>
            </c:ext>
          </c:extLst>
        </c:ser>
        <c:ser>
          <c:idx val="3"/>
          <c:order val="4"/>
          <c:tx>
            <c:v>Other components of demand</c:v>
          </c:tx>
          <c:spPr>
            <a:ln w="25400">
              <a:noFill/>
            </a:ln>
          </c:spPr>
          <c:cat>
            <c:strRef>
              <c:f>ESWBLY!$G$204:$CI$204</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ESWBLY!$G$399:$CI$399</c:f>
              <c:numCache>
                <c:formatCode>0.00</c:formatCode>
                <c:ptCount val="81"/>
                <c:pt idx="0">
                  <c:v>0</c:v>
                </c:pt>
                <c:pt idx="1">
                  <c:v>0</c:v>
                </c:pt>
                <c:pt idx="2">
                  <c:v>0.277795537065753</c:v>
                </c:pt>
                <c:pt idx="3">
                  <c:v>0.28679110094586946</c:v>
                </c:pt>
                <c:pt idx="4">
                  <c:v>0.28667830223778346</c:v>
                </c:pt>
                <c:pt idx="5">
                  <c:v>0.28666635882526315</c:v>
                </c:pt>
                <c:pt idx="6">
                  <c:v>0.28681847685005479</c:v>
                </c:pt>
                <c:pt idx="7">
                  <c:v>0.2866665207354071</c:v>
                </c:pt>
                <c:pt idx="8">
                  <c:v>0.28652547740467504</c:v>
                </c:pt>
                <c:pt idx="9">
                  <c:v>0.28642721894646428</c:v>
                </c:pt>
                <c:pt idx="10">
                  <c:v>0.28634461313646931</c:v>
                </c:pt>
                <c:pt idx="11">
                  <c:v>0.28626487528605793</c:v>
                </c:pt>
                <c:pt idx="12">
                  <c:v>0.28618499380624307</c:v>
                </c:pt>
                <c:pt idx="13">
                  <c:v>0.28610404658806665</c:v>
                </c:pt>
                <c:pt idx="14">
                  <c:v>0.28602350265502352</c:v>
                </c:pt>
                <c:pt idx="15">
                  <c:v>0.28594276315835465</c:v>
                </c:pt>
                <c:pt idx="16">
                  <c:v>0.28586246422940143</c:v>
                </c:pt>
                <c:pt idx="17">
                  <c:v>0.28578219794007431</c:v>
                </c:pt>
                <c:pt idx="18">
                  <c:v>0.2857026935326985</c:v>
                </c:pt>
                <c:pt idx="19">
                  <c:v>0.28562501572950616</c:v>
                </c:pt>
                <c:pt idx="20">
                  <c:v>0.28554803368088244</c:v>
                </c:pt>
                <c:pt idx="21">
                  <c:v>0.28547191934553595</c:v>
                </c:pt>
                <c:pt idx="22">
                  <c:v>0.28539721028058018</c:v>
                </c:pt>
                <c:pt idx="23">
                  <c:v>0.28532375301990953</c:v>
                </c:pt>
                <c:pt idx="24">
                  <c:v>0.28525038034805839</c:v>
                </c:pt>
                <c:pt idx="25">
                  <c:v>0.28517763265723417</c:v>
                </c:pt>
                <c:pt idx="26">
                  <c:v>0.28510556917935581</c:v>
                </c:pt>
                <c:pt idx="27">
                  <c:v>0.28503458647074886</c:v>
                </c:pt>
                <c:pt idx="28">
                  <c:v>0.28496514672452911</c:v>
                </c:pt>
                <c:pt idx="29">
                  <c:v>0.28489715349054912</c:v>
                </c:pt>
                <c:pt idx="30">
                  <c:v>0.28483025542935536</c:v>
                </c:pt>
              </c:numCache>
            </c:numRef>
          </c:val>
          <c:extLst>
            <c:ext xmlns:c16="http://schemas.microsoft.com/office/drawing/2014/chart" uri="{C3380CC4-5D6E-409C-BE32-E72D297353CC}">
              <c16:uniqueId val="{00000004-5F2E-4AEF-91A2-C21BD04F9E25}"/>
            </c:ext>
          </c:extLst>
        </c:ser>
        <c:dLbls>
          <c:showLegendKey val="0"/>
          <c:showVal val="0"/>
          <c:showCatName val="0"/>
          <c:showSerName val="0"/>
          <c:showPercent val="0"/>
          <c:showBubbleSize val="0"/>
        </c:dLbls>
        <c:axId val="814784328"/>
        <c:axId val="814784720"/>
      </c:areaChart>
      <c:lineChart>
        <c:grouping val="standard"/>
        <c:varyColors val="0"/>
        <c:ser>
          <c:idx val="4"/>
          <c:order val="5"/>
          <c:tx>
            <c:v>Total water available for use</c:v>
          </c:tx>
          <c:marker>
            <c:symbol val="none"/>
          </c:marker>
          <c:cat>
            <c:strLit>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Lit>
          </c:cat>
          <c:val>
            <c:numRef>
              <c:f>ESWBLY!$G$400:$CI$400</c:f>
              <c:numCache>
                <c:formatCode>0.00</c:formatCode>
                <c:ptCount val="81"/>
                <c:pt idx="0">
                  <c:v>0</c:v>
                </c:pt>
                <c:pt idx="1">
                  <c:v>0</c:v>
                </c:pt>
                <c:pt idx="2">
                  <c:v>21.588554036700287</c:v>
                </c:pt>
                <c:pt idx="3">
                  <c:v>21.587054870837449</c:v>
                </c:pt>
                <c:pt idx="4">
                  <c:v>21.566362890954544</c:v>
                </c:pt>
                <c:pt idx="5">
                  <c:v>21.556931840079464</c:v>
                </c:pt>
                <c:pt idx="6">
                  <c:v>21.54440424018717</c:v>
                </c:pt>
                <c:pt idx="7">
                  <c:v>21.541030936203384</c:v>
                </c:pt>
                <c:pt idx="8">
                  <c:v>21.537980462897082</c:v>
                </c:pt>
                <c:pt idx="9">
                  <c:v>21.528760198656805</c:v>
                </c:pt>
                <c:pt idx="10">
                  <c:v>21.505682502649258</c:v>
                </c:pt>
                <c:pt idx="11">
                  <c:v>21.479206893048634</c:v>
                </c:pt>
                <c:pt idx="12">
                  <c:v>21.465797507166279</c:v>
                </c:pt>
                <c:pt idx="13">
                  <c:v>21.459695278038843</c:v>
                </c:pt>
                <c:pt idx="14">
                  <c:v>21.45227622900785</c:v>
                </c:pt>
                <c:pt idx="15">
                  <c:v>21.445017140064628</c:v>
                </c:pt>
                <c:pt idx="16">
                  <c:v>21.443024936059899</c:v>
                </c:pt>
                <c:pt idx="17">
                  <c:v>21.441145918142524</c:v>
                </c:pt>
                <c:pt idx="18">
                  <c:v>21.439411078183355</c:v>
                </c:pt>
                <c:pt idx="19">
                  <c:v>21.437840580142556</c:v>
                </c:pt>
                <c:pt idx="20">
                  <c:v>21.436032109559868</c:v>
                </c:pt>
                <c:pt idx="21">
                  <c:v>21.433536089209589</c:v>
                </c:pt>
                <c:pt idx="22">
                  <c:v>21.431680058580511</c:v>
                </c:pt>
                <c:pt idx="23">
                  <c:v>21.430025867997067</c:v>
                </c:pt>
                <c:pt idx="24">
                  <c:v>21.430116354726991</c:v>
                </c:pt>
                <c:pt idx="25">
                  <c:v>21.430263418554361</c:v>
                </c:pt>
                <c:pt idx="26">
                  <c:v>21.430409758022236</c:v>
                </c:pt>
                <c:pt idx="27">
                  <c:v>21.430685578287516</c:v>
                </c:pt>
                <c:pt idx="28">
                  <c:v>21.430979789948765</c:v>
                </c:pt>
                <c:pt idx="29">
                  <c:v>21.431357630557287</c:v>
                </c:pt>
                <c:pt idx="30">
                  <c:v>21.431709586186308</c:v>
                </c:pt>
              </c:numCache>
            </c:numRef>
          </c:val>
          <c:smooth val="0"/>
          <c:extLst>
            <c:ext xmlns:c16="http://schemas.microsoft.com/office/drawing/2014/chart" uri="{C3380CC4-5D6E-409C-BE32-E72D297353CC}">
              <c16:uniqueId val="{00000005-5F2E-4AEF-91A2-C21BD04F9E25}"/>
            </c:ext>
          </c:extLst>
        </c:ser>
        <c:ser>
          <c:idx val="5"/>
          <c:order val="6"/>
          <c:tx>
            <c:v>Total demand + target headroom (final plan)</c:v>
          </c:tx>
          <c:marker>
            <c:symbol val="none"/>
          </c:marker>
          <c:cat>
            <c:strLit>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Lit>
          </c:cat>
          <c:val>
            <c:numRef>
              <c:f>ESWBLY!$G$401:$CI$401</c:f>
              <c:numCache>
                <c:formatCode>0.00</c:formatCode>
                <c:ptCount val="81"/>
                <c:pt idx="0">
                  <c:v>0</c:v>
                </c:pt>
                <c:pt idx="1">
                  <c:v>0</c:v>
                </c:pt>
                <c:pt idx="2">
                  <c:v>11.633289293414379</c:v>
                </c:pt>
                <c:pt idx="3">
                  <c:v>11.961108406272139</c:v>
                </c:pt>
                <c:pt idx="4">
                  <c:v>11.938753916225965</c:v>
                </c:pt>
                <c:pt idx="5">
                  <c:v>11.956608012083725</c:v>
                </c:pt>
                <c:pt idx="6">
                  <c:v>11.958312476716797</c:v>
                </c:pt>
                <c:pt idx="7">
                  <c:v>11.935366761760552</c:v>
                </c:pt>
                <c:pt idx="8">
                  <c:v>11.887887480263057</c:v>
                </c:pt>
                <c:pt idx="9">
                  <c:v>11.776973710743164</c:v>
                </c:pt>
                <c:pt idx="10">
                  <c:v>11.521230717272427</c:v>
                </c:pt>
                <c:pt idx="11">
                  <c:v>11.200310453232284</c:v>
                </c:pt>
                <c:pt idx="12">
                  <c:v>11.023208699464897</c:v>
                </c:pt>
                <c:pt idx="13">
                  <c:v>13.248212666514572</c:v>
                </c:pt>
                <c:pt idx="14">
                  <c:v>13.137445152082336</c:v>
                </c:pt>
                <c:pt idx="15">
                  <c:v>13.033166369937073</c:v>
                </c:pt>
                <c:pt idx="16">
                  <c:v>12.979471478255617</c:v>
                </c:pt>
                <c:pt idx="17">
                  <c:v>12.93153470135254</c:v>
                </c:pt>
                <c:pt idx="18">
                  <c:v>12.880724078788523</c:v>
                </c:pt>
                <c:pt idx="19">
                  <c:v>12.854396110990725</c:v>
                </c:pt>
                <c:pt idx="20">
                  <c:v>12.826934306362331</c:v>
                </c:pt>
                <c:pt idx="21">
                  <c:v>12.792590694237074</c:v>
                </c:pt>
                <c:pt idx="22">
                  <c:v>12.761850416576015</c:v>
                </c:pt>
                <c:pt idx="23">
                  <c:v>12.736880289963608</c:v>
                </c:pt>
                <c:pt idx="24">
                  <c:v>12.725917244049834</c:v>
                </c:pt>
                <c:pt idx="25">
                  <c:v>12.717906756902538</c:v>
                </c:pt>
                <c:pt idx="26">
                  <c:v>12.709652389306623</c:v>
                </c:pt>
                <c:pt idx="27">
                  <c:v>12.702295869334963</c:v>
                </c:pt>
                <c:pt idx="28">
                  <c:v>12.690165556243043</c:v>
                </c:pt>
                <c:pt idx="29">
                  <c:v>12.686945097565356</c:v>
                </c:pt>
                <c:pt idx="30">
                  <c:v>12.682328743942334</c:v>
                </c:pt>
              </c:numCache>
            </c:numRef>
          </c:val>
          <c:smooth val="0"/>
          <c:extLst>
            <c:ext xmlns:c16="http://schemas.microsoft.com/office/drawing/2014/chart" uri="{C3380CC4-5D6E-409C-BE32-E72D297353CC}">
              <c16:uniqueId val="{00000006-5F2E-4AEF-91A2-C21BD04F9E25}"/>
            </c:ext>
          </c:extLst>
        </c:ser>
        <c:dLbls>
          <c:showLegendKey val="0"/>
          <c:showVal val="0"/>
          <c:showCatName val="0"/>
          <c:showSerName val="0"/>
          <c:showPercent val="0"/>
          <c:showBubbleSize val="0"/>
        </c:dLbls>
        <c:marker val="1"/>
        <c:smooth val="0"/>
        <c:axId val="814784328"/>
        <c:axId val="814784720"/>
      </c:lineChart>
      <c:catAx>
        <c:axId val="814784328"/>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en-US"/>
          </a:p>
        </c:txPr>
        <c:crossAx val="814784720"/>
        <c:crosses val="autoZero"/>
        <c:auto val="1"/>
        <c:lblAlgn val="ctr"/>
        <c:lblOffset val="100"/>
        <c:tickLblSkip val="2"/>
        <c:tickMarkSkip val="1"/>
        <c:noMultiLvlLbl val="0"/>
      </c:catAx>
      <c:valAx>
        <c:axId val="814784720"/>
        <c:scaling>
          <c:orientation val="minMax"/>
        </c:scaling>
        <c:delete val="0"/>
        <c:axPos val="l"/>
        <c:majorGridlines>
          <c:spPr>
            <a:ln w="3175">
              <a:solidFill>
                <a:srgbClr val="000000"/>
              </a:solidFill>
              <a:prstDash val="solid"/>
            </a:ln>
          </c:spPr>
        </c:majorGridlines>
        <c:title>
          <c:tx>
            <c:rich>
              <a:bodyPr/>
              <a:lstStyle/>
              <a:p>
                <a:pPr>
                  <a:defRPr sz="1175" b="1" i="0" u="none" strike="noStrike" baseline="0">
                    <a:solidFill>
                      <a:srgbClr val="000000"/>
                    </a:solidFill>
                    <a:latin typeface="Arial"/>
                    <a:ea typeface="Arial"/>
                    <a:cs typeface="Arial"/>
                  </a:defRPr>
                </a:pPr>
                <a:r>
                  <a:rPr lang="en-GB"/>
                  <a:t>Ml/d</a:t>
                </a:r>
              </a:p>
            </c:rich>
          </c:tx>
          <c:layout>
            <c:manualLayout>
              <c:xMode val="edge"/>
              <c:yMode val="edge"/>
              <c:x val="2.0359337875782983E-2"/>
              <c:y val="0.39858528733632054"/>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814784328"/>
        <c:crosses val="autoZero"/>
        <c:crossBetween val="midCat"/>
      </c:valAx>
      <c:spPr>
        <a:solidFill>
          <a:schemeClr val="bg1"/>
        </a:solidFill>
        <a:ln w="12700">
          <a:solidFill>
            <a:srgbClr val="808080"/>
          </a:solidFill>
          <a:prstDash val="solid"/>
        </a:ln>
      </c:spPr>
    </c:plotArea>
    <c:legend>
      <c:legendPos val="b"/>
      <c:legendEntry>
        <c:idx val="0"/>
        <c:txPr>
          <a:bodyPr/>
          <a:lstStyle/>
          <a:p>
            <a:pPr>
              <a:defRPr sz="1000" b="0" i="0" u="none" strike="noStrike" baseline="0">
                <a:solidFill>
                  <a:srgbClr val="000000"/>
                </a:solidFill>
                <a:latin typeface="Arial"/>
                <a:ea typeface="Arial"/>
                <a:cs typeface="Arial"/>
              </a:defRPr>
            </a:pPr>
            <a:endParaRPr lang="en-US"/>
          </a:p>
        </c:txPr>
      </c:legendEntry>
      <c:layout>
        <c:manualLayout>
          <c:xMode val="edge"/>
          <c:yMode val="edge"/>
          <c:x val="0.16452269470774322"/>
          <c:y val="0.82158446545736608"/>
          <c:w val="0.7156398695723647"/>
          <c:h val="0.16402912270077008"/>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0"/>
    <c:dispBlanksAs val="zero"/>
    <c:showDLblsOverMax val="0"/>
  </c:chart>
  <c:spPr>
    <a:solidFill>
      <a:schemeClr val="accent1"/>
    </a:solidFill>
    <a:ln w="3175">
      <a:solidFill>
        <a:srgbClr val="000000"/>
      </a:solidFill>
      <a:prstDash val="solid"/>
    </a:ln>
  </c:spPr>
  <c:txPr>
    <a:bodyPr/>
    <a:lstStyle/>
    <a:p>
      <a:pPr>
        <a:defRPr sz="975" b="0" i="0" u="none" strike="noStrike" baseline="0">
          <a:solidFill>
            <a:srgbClr val="000000"/>
          </a:solidFill>
          <a:latin typeface="Arial"/>
          <a:ea typeface="Arial"/>
          <a:cs typeface="Arial"/>
        </a:defRPr>
      </a:pPr>
      <a:endParaRPr lang="en-US"/>
    </a:p>
  </c:txPr>
  <c:printSettings>
    <c:headerFooter alignWithMargins="0"/>
    <c:pageMargins b="1" l="0.75000000000000622" r="0.75000000000000622" t="1" header="0.5" footer="0.5"/>
    <c:pageSetup paperSize="9"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75" b="1" i="0" u="none" strike="noStrike" baseline="0">
                <a:solidFill>
                  <a:srgbClr val="000000"/>
                </a:solidFill>
                <a:latin typeface="Arial"/>
                <a:ea typeface="Arial"/>
                <a:cs typeface="Arial"/>
              </a:defRPr>
            </a:pPr>
            <a:r>
              <a:rPr lang="en-GB"/>
              <a:t>DYAA Baseline Water Supply-Demand Balance and Components of Demand</a:t>
            </a:r>
          </a:p>
        </c:rich>
      </c:tx>
      <c:layout>
        <c:manualLayout>
          <c:xMode val="edge"/>
          <c:yMode val="edge"/>
          <c:x val="0.2095809470200265"/>
          <c:y val="2.9013693730272669E-2"/>
        </c:manualLayout>
      </c:layout>
      <c:overlay val="0"/>
      <c:spPr>
        <a:noFill/>
        <a:ln w="25400">
          <a:noFill/>
        </a:ln>
      </c:spPr>
    </c:title>
    <c:autoTitleDeleted val="0"/>
    <c:plotArea>
      <c:layout>
        <c:manualLayout>
          <c:layoutTarget val="inner"/>
          <c:xMode val="edge"/>
          <c:yMode val="edge"/>
          <c:x val="8.5343266856694813E-2"/>
          <c:y val="0.10444884139344435"/>
          <c:w val="0.89146608097046709"/>
          <c:h val="0.55130264550264552"/>
        </c:manualLayout>
      </c:layout>
      <c:areaChart>
        <c:grouping val="stacked"/>
        <c:varyColors val="0"/>
        <c:ser>
          <c:idx val="6"/>
          <c:order val="0"/>
          <c:tx>
            <c:v>Measured household consumption</c:v>
          </c:tx>
          <c:spPr>
            <a:ln w="25400">
              <a:noFill/>
            </a:ln>
          </c:spPr>
          <c:cat>
            <c:multiLvlStrRef>
              <c:f>}</c:f>
            </c:multiLvlStrRef>
          </c:cat>
          <c:val>
            <c:numRef>
              <c:f>ESWBLY!$G$368:$AK$368</c:f>
              <c:numCache>
                <c:formatCode>0.00</c:formatCode>
                <c:ptCount val="31"/>
                <c:pt idx="0">
                  <c:v>0</c:v>
                </c:pt>
                <c:pt idx="1">
                  <c:v>0</c:v>
                </c:pt>
                <c:pt idx="2">
                  <c:v>3.5771081704841108</c:v>
                </c:pt>
                <c:pt idx="3">
                  <c:v>3.5315187334006946</c:v>
                </c:pt>
                <c:pt idx="4">
                  <c:v>3.5004188118572301</c:v>
                </c:pt>
                <c:pt idx="5">
                  <c:v>3.4841080988470394</c:v>
                </c:pt>
                <c:pt idx="6">
                  <c:v>3.5555545046354284</c:v>
                </c:pt>
                <c:pt idx="7">
                  <c:v>3.6969280491792142</c:v>
                </c:pt>
                <c:pt idx="8">
                  <c:v>3.7598644260574021</c:v>
                </c:pt>
                <c:pt idx="9">
                  <c:v>3.7988705566961141</c:v>
                </c:pt>
                <c:pt idx="10">
                  <c:v>3.8203403254251675</c:v>
                </c:pt>
                <c:pt idx="11">
                  <c:v>3.8427478777724238</c:v>
                </c:pt>
                <c:pt idx="12">
                  <c:v>3.8577283502854205</c:v>
                </c:pt>
                <c:pt idx="13">
                  <c:v>3.874648384900778</c:v>
                </c:pt>
                <c:pt idx="14">
                  <c:v>3.8900828795586531</c:v>
                </c:pt>
                <c:pt idx="15">
                  <c:v>3.9059926818618171</c:v>
                </c:pt>
                <c:pt idx="16">
                  <c:v>3.9222198078880859</c:v>
                </c:pt>
                <c:pt idx="17">
                  <c:v>3.939400483983909</c:v>
                </c:pt>
                <c:pt idx="18">
                  <c:v>3.9583369165489395</c:v>
                </c:pt>
                <c:pt idx="19">
                  <c:v>3.9788103833123492</c:v>
                </c:pt>
                <c:pt idx="20">
                  <c:v>3.996466014529013</c:v>
                </c:pt>
                <c:pt idx="21">
                  <c:v>4.0069083139786246</c:v>
                </c:pt>
                <c:pt idx="22">
                  <c:v>4.024167182127889</c:v>
                </c:pt>
                <c:pt idx="23">
                  <c:v>4.0429768434309841</c:v>
                </c:pt>
                <c:pt idx="24">
                  <c:v>4.0625072301022271</c:v>
                </c:pt>
                <c:pt idx="25">
                  <c:v>4.082707577366671</c:v>
                </c:pt>
                <c:pt idx="26">
                  <c:v>4.10261131181921</c:v>
                </c:pt>
                <c:pt idx="27">
                  <c:v>4.1236504126121059</c:v>
                </c:pt>
                <c:pt idx="28">
                  <c:v>4.1452574007930201</c:v>
                </c:pt>
                <c:pt idx="29">
                  <c:v>4.1679165416641899</c:v>
                </c:pt>
                <c:pt idx="30">
                  <c:v>4.1907449916489545</c:v>
                </c:pt>
              </c:numCache>
            </c:numRef>
          </c:val>
          <c:extLst>
            <c:ext xmlns:c16="http://schemas.microsoft.com/office/drawing/2014/chart" uri="{C3380CC4-5D6E-409C-BE32-E72D297353CC}">
              <c16:uniqueId val="{00000000-3EEC-4440-8B9F-C4A48B8FA759}"/>
            </c:ext>
          </c:extLst>
        </c:ser>
        <c:ser>
          <c:idx val="0"/>
          <c:order val="1"/>
          <c:tx>
            <c:v>Unmeasured household consumption</c:v>
          </c:tx>
          <c:spPr>
            <a:ln w="25400">
              <a:noFill/>
            </a:ln>
          </c:spPr>
          <c:cat>
            <c:multiLvlStrRef>
              <c:f>}</c:f>
            </c:multiLvlStrRef>
          </c:cat>
          <c:val>
            <c:numRef>
              <c:f>ESWBLY!$G$369:$AK$369</c:f>
              <c:numCache>
                <c:formatCode>0.00</c:formatCode>
                <c:ptCount val="31"/>
                <c:pt idx="0">
                  <c:v>0</c:v>
                </c:pt>
                <c:pt idx="1">
                  <c:v>0</c:v>
                </c:pt>
                <c:pt idx="2">
                  <c:v>1.638080723282082</c:v>
                </c:pt>
                <c:pt idx="3">
                  <c:v>1.6646860065327662</c:v>
                </c:pt>
                <c:pt idx="4">
                  <c:v>1.5299959878095435</c:v>
                </c:pt>
                <c:pt idx="5">
                  <c:v>1.4702742309432693</c:v>
                </c:pt>
                <c:pt idx="6">
                  <c:v>1.3299206915414332</c:v>
                </c:pt>
                <c:pt idx="7">
                  <c:v>1.2111824013041261</c:v>
                </c:pt>
                <c:pt idx="8">
                  <c:v>1.1759591247769066</c:v>
                </c:pt>
                <c:pt idx="9">
                  <c:v>1.1407690036940759</c:v>
                </c:pt>
                <c:pt idx="10">
                  <c:v>1.1055062274340812</c:v>
                </c:pt>
                <c:pt idx="11">
                  <c:v>1.0856893246338843</c:v>
                </c:pt>
                <c:pt idx="12">
                  <c:v>1.081567623772234</c:v>
                </c:pt>
                <c:pt idx="13">
                  <c:v>1.0774289248914581</c:v>
                </c:pt>
                <c:pt idx="14">
                  <c:v>1.0731786052724566</c:v>
                </c:pt>
                <c:pt idx="15">
                  <c:v>1.0688935493901652</c:v>
                </c:pt>
                <c:pt idx="16">
                  <c:v>1.0653467607327591</c:v>
                </c:pt>
                <c:pt idx="17">
                  <c:v>1.0617853086012914</c:v>
                </c:pt>
                <c:pt idx="18">
                  <c:v>1.0581019912315253</c:v>
                </c:pt>
                <c:pt idx="19">
                  <c:v>1.0546089435356789</c:v>
                </c:pt>
                <c:pt idx="20">
                  <c:v>1.0510120294126397</c:v>
                </c:pt>
                <c:pt idx="21">
                  <c:v>1.0472710242835721</c:v>
                </c:pt>
                <c:pt idx="22">
                  <c:v>1.0435339962995973</c:v>
                </c:pt>
                <c:pt idx="23">
                  <c:v>1.0402635794685879</c:v>
                </c:pt>
                <c:pt idx="24">
                  <c:v>1.0373982950589817</c:v>
                </c:pt>
                <c:pt idx="25">
                  <c:v>1.0345618533573102</c:v>
                </c:pt>
                <c:pt idx="26">
                  <c:v>1.0316524767510291</c:v>
                </c:pt>
                <c:pt idx="27">
                  <c:v>1.0289818339093213</c:v>
                </c:pt>
                <c:pt idx="28">
                  <c:v>1.0262391272437774</c:v>
                </c:pt>
                <c:pt idx="29">
                  <c:v>1.0235334936771288</c:v>
                </c:pt>
                <c:pt idx="30">
                  <c:v>1.0205577534188304</c:v>
                </c:pt>
              </c:numCache>
            </c:numRef>
          </c:val>
          <c:extLst>
            <c:ext xmlns:c16="http://schemas.microsoft.com/office/drawing/2014/chart" uri="{C3380CC4-5D6E-409C-BE32-E72D297353CC}">
              <c16:uniqueId val="{00000001-3EEC-4440-8B9F-C4A48B8FA759}"/>
            </c:ext>
          </c:extLst>
        </c:ser>
        <c:ser>
          <c:idx val="1"/>
          <c:order val="2"/>
          <c:tx>
            <c:v>Non-household consumption</c:v>
          </c:tx>
          <c:spPr>
            <a:ln w="25400">
              <a:noFill/>
            </a:ln>
          </c:spPr>
          <c:cat>
            <c:multiLvlStrRef>
              <c:f>}</c:f>
            </c:multiLvlStrRef>
          </c:cat>
          <c:val>
            <c:numRef>
              <c:f>ESWBLY!$G$370:$AK$370</c:f>
              <c:numCache>
                <c:formatCode>0.00</c:formatCode>
                <c:ptCount val="31"/>
                <c:pt idx="0">
                  <c:v>0</c:v>
                </c:pt>
                <c:pt idx="1">
                  <c:v>0</c:v>
                </c:pt>
                <c:pt idx="2">
                  <c:v>3.3693909383156622</c:v>
                </c:pt>
                <c:pt idx="3">
                  <c:v>3.1604117352983154</c:v>
                </c:pt>
                <c:pt idx="4">
                  <c:v>3.3245646750143569</c:v>
                </c:pt>
                <c:pt idx="5">
                  <c:v>3.5047252126054942</c:v>
                </c:pt>
                <c:pt idx="6">
                  <c:v>3.6620665824277401</c:v>
                </c:pt>
                <c:pt idx="7">
                  <c:v>3.712566814444449</c:v>
                </c:pt>
                <c:pt idx="8">
                  <c:v>3.727631021811272</c:v>
                </c:pt>
                <c:pt idx="9">
                  <c:v>3.7420061482578895</c:v>
                </c:pt>
                <c:pt idx="10">
                  <c:v>3.7534833485636758</c:v>
                </c:pt>
                <c:pt idx="11">
                  <c:v>3.7611107266670478</c:v>
                </c:pt>
                <c:pt idx="12">
                  <c:v>3.7679826083639729</c:v>
                </c:pt>
                <c:pt idx="13">
                  <c:v>6.0646447299784567</c:v>
                </c:pt>
                <c:pt idx="14">
                  <c:v>6.0715026797746479</c:v>
                </c:pt>
                <c:pt idx="15">
                  <c:v>6.0785062674661541</c:v>
                </c:pt>
                <c:pt idx="16">
                  <c:v>6.0856348629417534</c:v>
                </c:pt>
                <c:pt idx="17">
                  <c:v>6.0927362365349431</c:v>
                </c:pt>
                <c:pt idx="18">
                  <c:v>6.1000156286618443</c:v>
                </c:pt>
                <c:pt idx="19">
                  <c:v>6.1072899909177769</c:v>
                </c:pt>
                <c:pt idx="20">
                  <c:v>6.1145880380516111</c:v>
                </c:pt>
                <c:pt idx="21">
                  <c:v>6.1218953561506</c:v>
                </c:pt>
                <c:pt idx="22">
                  <c:v>6.129180675762198</c:v>
                </c:pt>
                <c:pt idx="23">
                  <c:v>6.1363342670364789</c:v>
                </c:pt>
                <c:pt idx="24">
                  <c:v>6.1433121147631029</c:v>
                </c:pt>
                <c:pt idx="25">
                  <c:v>6.1502304706108912</c:v>
                </c:pt>
                <c:pt idx="26">
                  <c:v>6.1570215295904624</c:v>
                </c:pt>
                <c:pt idx="27">
                  <c:v>6.1637829812834681</c:v>
                </c:pt>
                <c:pt idx="28">
                  <c:v>6.1704944559836834</c:v>
                </c:pt>
                <c:pt idx="29">
                  <c:v>6.1771214039797968</c:v>
                </c:pt>
                <c:pt idx="30">
                  <c:v>6.1837313337273594</c:v>
                </c:pt>
              </c:numCache>
            </c:numRef>
          </c:val>
          <c:extLst>
            <c:ext xmlns:c16="http://schemas.microsoft.com/office/drawing/2014/chart" uri="{C3380CC4-5D6E-409C-BE32-E72D297353CC}">
              <c16:uniqueId val="{00000002-3EEC-4440-8B9F-C4A48B8FA759}"/>
            </c:ext>
          </c:extLst>
        </c:ser>
        <c:ser>
          <c:idx val="2"/>
          <c:order val="3"/>
          <c:tx>
            <c:v>Total leakage</c:v>
          </c:tx>
          <c:spPr>
            <a:ln w="25400">
              <a:noFill/>
            </a:ln>
          </c:spPr>
          <c:cat>
            <c:multiLvlStrRef>
              <c:f>}</c:f>
            </c:multiLvlStrRef>
          </c:cat>
          <c:val>
            <c:numRef>
              <c:f>ESWBLY!$G$371:$AK$371</c:f>
              <c:numCache>
                <c:formatCode>0.00</c:formatCode>
                <c:ptCount val="31"/>
                <c:pt idx="0">
                  <c:v>0</c:v>
                </c:pt>
                <c:pt idx="1">
                  <c:v>0</c:v>
                </c:pt>
                <c:pt idx="2">
                  <c:v>1.9305131976000001</c:v>
                </c:pt>
                <c:pt idx="3">
                  <c:v>1.6747597999999997</c:v>
                </c:pt>
                <c:pt idx="4">
                  <c:v>1.6092663999999997</c:v>
                </c:pt>
                <c:pt idx="5">
                  <c:v>1.5437730000000001</c:v>
                </c:pt>
                <c:pt idx="6">
                  <c:v>1.5437730000000001</c:v>
                </c:pt>
                <c:pt idx="7">
                  <c:v>1.5437730000000001</c:v>
                </c:pt>
                <c:pt idx="8">
                  <c:v>1.5437730000000001</c:v>
                </c:pt>
                <c:pt idx="9">
                  <c:v>1.5437730000000001</c:v>
                </c:pt>
                <c:pt idx="10">
                  <c:v>1.5437729999999998</c:v>
                </c:pt>
                <c:pt idx="11">
                  <c:v>1.5437730000000001</c:v>
                </c:pt>
                <c:pt idx="12">
                  <c:v>1.5437730000000001</c:v>
                </c:pt>
                <c:pt idx="13">
                  <c:v>1.5437730000000001</c:v>
                </c:pt>
                <c:pt idx="14">
                  <c:v>1.5437730000000001</c:v>
                </c:pt>
                <c:pt idx="15">
                  <c:v>1.5437730000000003</c:v>
                </c:pt>
                <c:pt idx="16">
                  <c:v>1.5437730000000001</c:v>
                </c:pt>
                <c:pt idx="17">
                  <c:v>1.5437730000000001</c:v>
                </c:pt>
                <c:pt idx="18">
                  <c:v>1.5437730000000001</c:v>
                </c:pt>
                <c:pt idx="19">
                  <c:v>1.5437730000000001</c:v>
                </c:pt>
                <c:pt idx="20">
                  <c:v>1.5437730000000001</c:v>
                </c:pt>
                <c:pt idx="21">
                  <c:v>1.5437730000000001</c:v>
                </c:pt>
                <c:pt idx="22">
                  <c:v>1.5437730000000001</c:v>
                </c:pt>
                <c:pt idx="23">
                  <c:v>1.5437730000000001</c:v>
                </c:pt>
                <c:pt idx="24">
                  <c:v>1.5437730000000003</c:v>
                </c:pt>
                <c:pt idx="25">
                  <c:v>1.5437730000000001</c:v>
                </c:pt>
                <c:pt idx="26">
                  <c:v>1.5437730000000001</c:v>
                </c:pt>
                <c:pt idx="27">
                  <c:v>1.5437729999999998</c:v>
                </c:pt>
                <c:pt idx="28">
                  <c:v>1.5437730000000001</c:v>
                </c:pt>
                <c:pt idx="29">
                  <c:v>1.5437730000000001</c:v>
                </c:pt>
                <c:pt idx="30">
                  <c:v>1.5437730000000003</c:v>
                </c:pt>
              </c:numCache>
            </c:numRef>
          </c:val>
          <c:extLst>
            <c:ext xmlns:c16="http://schemas.microsoft.com/office/drawing/2014/chart" uri="{C3380CC4-5D6E-409C-BE32-E72D297353CC}">
              <c16:uniqueId val="{00000003-3EEC-4440-8B9F-C4A48B8FA759}"/>
            </c:ext>
          </c:extLst>
        </c:ser>
        <c:ser>
          <c:idx val="3"/>
          <c:order val="4"/>
          <c:tx>
            <c:v>Other components of demand</c:v>
          </c:tx>
          <c:spPr>
            <a:ln w="25400">
              <a:noFill/>
            </a:ln>
          </c:spPr>
          <c:cat>
            <c:multiLvlStrRef>
              <c:f>}</c:f>
            </c:multiLvlStrRef>
          </c:cat>
          <c:val>
            <c:numRef>
              <c:f>ESWBLY!$G$372:$AK$372</c:f>
              <c:numCache>
                <c:formatCode>0.00</c:formatCode>
                <c:ptCount val="31"/>
                <c:pt idx="0">
                  <c:v>0</c:v>
                </c:pt>
                <c:pt idx="1">
                  <c:v>0</c:v>
                </c:pt>
                <c:pt idx="2">
                  <c:v>0.277795537065753</c:v>
                </c:pt>
                <c:pt idx="3">
                  <c:v>0.28679110094586946</c:v>
                </c:pt>
                <c:pt idx="4">
                  <c:v>0.28667830223778168</c:v>
                </c:pt>
                <c:pt idx="5">
                  <c:v>0.28666635882526315</c:v>
                </c:pt>
                <c:pt idx="6">
                  <c:v>0.28681924417601756</c:v>
                </c:pt>
                <c:pt idx="7">
                  <c:v>0.28666817348883455</c:v>
                </c:pt>
                <c:pt idx="8">
                  <c:v>0.28652736636111165</c:v>
                </c:pt>
                <c:pt idx="9">
                  <c:v>0.28642934410590826</c:v>
                </c:pt>
                <c:pt idx="10">
                  <c:v>0.28634444545303772</c:v>
                </c:pt>
                <c:pt idx="11">
                  <c:v>0.28626058878556115</c:v>
                </c:pt>
                <c:pt idx="12">
                  <c:v>0.28617900769864768</c:v>
                </c:pt>
                <c:pt idx="13">
                  <c:v>0.28609807701164769</c:v>
                </c:pt>
                <c:pt idx="14">
                  <c:v>0.28601754960978631</c:v>
                </c:pt>
                <c:pt idx="15">
                  <c:v>0.28593682664429565</c:v>
                </c:pt>
                <c:pt idx="16">
                  <c:v>0.28585654424652063</c:v>
                </c:pt>
                <c:pt idx="17">
                  <c:v>0.28577629448837172</c:v>
                </c:pt>
                <c:pt idx="18">
                  <c:v>0.28569680661217944</c:v>
                </c:pt>
                <c:pt idx="19">
                  <c:v>0.28561914534016353</c:v>
                </c:pt>
                <c:pt idx="20">
                  <c:v>0.28554217982271801</c:v>
                </c:pt>
                <c:pt idx="21">
                  <c:v>0.28546607989330042</c:v>
                </c:pt>
                <c:pt idx="22">
                  <c:v>0.28539138310902601</c:v>
                </c:pt>
                <c:pt idx="23">
                  <c:v>0.28531793812903317</c:v>
                </c:pt>
                <c:pt idx="24">
                  <c:v>0.28524457773786871</c:v>
                </c:pt>
                <c:pt idx="25">
                  <c:v>0.28517184232772408</c:v>
                </c:pt>
                <c:pt idx="26">
                  <c:v>0.28509979113051998</c:v>
                </c:pt>
                <c:pt idx="27">
                  <c:v>0.28502882070259794</c:v>
                </c:pt>
                <c:pt idx="28">
                  <c:v>0.28495939323706132</c:v>
                </c:pt>
                <c:pt idx="29">
                  <c:v>0.28489141228376091</c:v>
                </c:pt>
                <c:pt idx="30">
                  <c:v>0.28482452650324674</c:v>
                </c:pt>
              </c:numCache>
            </c:numRef>
          </c:val>
          <c:extLst>
            <c:ext xmlns:c16="http://schemas.microsoft.com/office/drawing/2014/chart" uri="{C3380CC4-5D6E-409C-BE32-E72D297353CC}">
              <c16:uniqueId val="{00000004-3EEC-4440-8B9F-C4A48B8FA759}"/>
            </c:ext>
          </c:extLst>
        </c:ser>
        <c:dLbls>
          <c:showLegendKey val="0"/>
          <c:showVal val="0"/>
          <c:showCatName val="0"/>
          <c:showSerName val="0"/>
          <c:showPercent val="0"/>
          <c:showBubbleSize val="0"/>
        </c:dLbls>
        <c:axId val="909034472"/>
        <c:axId val="909034864"/>
      </c:areaChart>
      <c:lineChart>
        <c:grouping val="standard"/>
        <c:varyColors val="0"/>
        <c:ser>
          <c:idx val="4"/>
          <c:order val="5"/>
          <c:tx>
            <c:v>Total water available for use</c:v>
          </c:tx>
          <c:spPr>
            <a:ln w="25400"/>
          </c:spPr>
          <c:marker>
            <c:symbol val="none"/>
          </c:marker>
          <c:cat>
            <c:strRef>
              <c:f>ESWBLY!$G$367:$AK$367</c:f>
              <c:strCache>
                <c:ptCount val="3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strCache>
            </c:strRef>
          </c:cat>
          <c:val>
            <c:numRef>
              <c:f>ESWBLY!$G$373:$AK$373</c:f>
              <c:numCache>
                <c:formatCode>0.00</c:formatCode>
                <c:ptCount val="31"/>
                <c:pt idx="0">
                  <c:v>0</c:v>
                </c:pt>
                <c:pt idx="1">
                  <c:v>0</c:v>
                </c:pt>
                <c:pt idx="2">
                  <c:v>12.459999999999999</c:v>
                </c:pt>
                <c:pt idx="3">
                  <c:v>12.459999999999999</c:v>
                </c:pt>
                <c:pt idx="4">
                  <c:v>12.459999999999999</c:v>
                </c:pt>
                <c:pt idx="5">
                  <c:v>12.459999999999999</c:v>
                </c:pt>
                <c:pt idx="6">
                  <c:v>12.459999999999999</c:v>
                </c:pt>
                <c:pt idx="7">
                  <c:v>9.4299999999999979</c:v>
                </c:pt>
                <c:pt idx="8">
                  <c:v>9.4299999999999979</c:v>
                </c:pt>
                <c:pt idx="9">
                  <c:v>9.4299999999999979</c:v>
                </c:pt>
                <c:pt idx="10">
                  <c:v>9.4299999999999979</c:v>
                </c:pt>
                <c:pt idx="11">
                  <c:v>7.72</c:v>
                </c:pt>
                <c:pt idx="12">
                  <c:v>7.72</c:v>
                </c:pt>
                <c:pt idx="13">
                  <c:v>7.72</c:v>
                </c:pt>
                <c:pt idx="14">
                  <c:v>7.72</c:v>
                </c:pt>
                <c:pt idx="15">
                  <c:v>7.72</c:v>
                </c:pt>
                <c:pt idx="16">
                  <c:v>7.72</c:v>
                </c:pt>
                <c:pt idx="17">
                  <c:v>7.72</c:v>
                </c:pt>
                <c:pt idx="18">
                  <c:v>7.72</c:v>
                </c:pt>
                <c:pt idx="19">
                  <c:v>7.72</c:v>
                </c:pt>
                <c:pt idx="20">
                  <c:v>7.72</c:v>
                </c:pt>
                <c:pt idx="21">
                  <c:v>6.81</c:v>
                </c:pt>
                <c:pt idx="22">
                  <c:v>6.81</c:v>
                </c:pt>
                <c:pt idx="23">
                  <c:v>6.81</c:v>
                </c:pt>
                <c:pt idx="24">
                  <c:v>6.81</c:v>
                </c:pt>
                <c:pt idx="25">
                  <c:v>6.81</c:v>
                </c:pt>
                <c:pt idx="26">
                  <c:v>5.9799999999999995</c:v>
                </c:pt>
                <c:pt idx="27">
                  <c:v>5.9799999999999995</c:v>
                </c:pt>
                <c:pt idx="28">
                  <c:v>5.9799999999999995</c:v>
                </c:pt>
                <c:pt idx="29">
                  <c:v>5.9799999999999995</c:v>
                </c:pt>
                <c:pt idx="30">
                  <c:v>5.9799999999999995</c:v>
                </c:pt>
              </c:numCache>
            </c:numRef>
          </c:val>
          <c:smooth val="0"/>
          <c:extLst>
            <c:ext xmlns:c16="http://schemas.microsoft.com/office/drawing/2014/chart" uri="{C3380CC4-5D6E-409C-BE32-E72D297353CC}">
              <c16:uniqueId val="{00000005-3EEC-4440-8B9F-C4A48B8FA759}"/>
            </c:ext>
          </c:extLst>
        </c:ser>
        <c:ser>
          <c:idx val="5"/>
          <c:order val="6"/>
          <c:tx>
            <c:v>Total demand + target headroom (baseline)</c:v>
          </c:tx>
          <c:spPr>
            <a:ln w="25400"/>
          </c:spPr>
          <c:marker>
            <c:symbol val="none"/>
          </c:marker>
          <c:cat>
            <c:strRef>
              <c:f>ESWBLY!$G$367:$AK$367</c:f>
              <c:strCache>
                <c:ptCount val="3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strCache>
            </c:strRef>
          </c:cat>
          <c:val>
            <c:numRef>
              <c:f>ESWBLY!$G$374:$AK$374</c:f>
              <c:numCache>
                <c:formatCode>0.00</c:formatCode>
                <c:ptCount val="31"/>
                <c:pt idx="0">
                  <c:v>0</c:v>
                </c:pt>
                <c:pt idx="1">
                  <c:v>0</c:v>
                </c:pt>
                <c:pt idx="2">
                  <c:v>10.996004728105293</c:v>
                </c:pt>
                <c:pt idx="3">
                  <c:v>10.526038798015611</c:v>
                </c:pt>
                <c:pt idx="4">
                  <c:v>10.522146777848395</c:v>
                </c:pt>
                <c:pt idx="5">
                  <c:v>10.560886691421937</c:v>
                </c:pt>
                <c:pt idx="6">
                  <c:v>10.645313145774685</c:v>
                </c:pt>
                <c:pt idx="7">
                  <c:v>10.70778580100734</c:v>
                </c:pt>
                <c:pt idx="8">
                  <c:v>10.741279209139089</c:v>
                </c:pt>
                <c:pt idx="9">
                  <c:v>10.752629150363006</c:v>
                </c:pt>
                <c:pt idx="10">
                  <c:v>10.750094976516161</c:v>
                </c:pt>
                <c:pt idx="11">
                  <c:v>10.748239336500683</c:v>
                </c:pt>
                <c:pt idx="12">
                  <c:v>10.759982155558566</c:v>
                </c:pt>
                <c:pt idx="13">
                  <c:v>13.094399873560272</c:v>
                </c:pt>
                <c:pt idx="14">
                  <c:v>13.105686580838352</c:v>
                </c:pt>
                <c:pt idx="15">
                  <c:v>13.117613990170092</c:v>
                </c:pt>
                <c:pt idx="16">
                  <c:v>13.134169789760088</c:v>
                </c:pt>
                <c:pt idx="17">
                  <c:v>13.148502615118712</c:v>
                </c:pt>
                <c:pt idx="18">
                  <c:v>13.166481694383307</c:v>
                </c:pt>
                <c:pt idx="19">
                  <c:v>13.187953375717491</c:v>
                </c:pt>
                <c:pt idx="20">
                  <c:v>13.202947341807302</c:v>
                </c:pt>
                <c:pt idx="21">
                  <c:v>13.211530501624356</c:v>
                </c:pt>
                <c:pt idx="22">
                  <c:v>13.229476365102807</c:v>
                </c:pt>
                <c:pt idx="23">
                  <c:v>13.247241346179411</c:v>
                </c:pt>
                <c:pt idx="24">
                  <c:v>13.266720176664599</c:v>
                </c:pt>
                <c:pt idx="25">
                  <c:v>13.287696167939256</c:v>
                </c:pt>
                <c:pt idx="26">
                  <c:v>13.307420138301984</c:v>
                </c:pt>
                <c:pt idx="27">
                  <c:v>13.327531118324131</c:v>
                </c:pt>
                <c:pt idx="28">
                  <c:v>13.345437154737095</c:v>
                </c:pt>
                <c:pt idx="29">
                  <c:v>13.373624527245177</c:v>
                </c:pt>
                <c:pt idx="30">
                  <c:v>13.396975516488785</c:v>
                </c:pt>
              </c:numCache>
            </c:numRef>
          </c:val>
          <c:smooth val="0"/>
          <c:extLst>
            <c:ext xmlns:c16="http://schemas.microsoft.com/office/drawing/2014/chart" uri="{C3380CC4-5D6E-409C-BE32-E72D297353CC}">
              <c16:uniqueId val="{00000006-3EEC-4440-8B9F-C4A48B8FA759}"/>
            </c:ext>
          </c:extLst>
        </c:ser>
        <c:dLbls>
          <c:showLegendKey val="0"/>
          <c:showVal val="0"/>
          <c:showCatName val="0"/>
          <c:showSerName val="0"/>
          <c:showPercent val="0"/>
          <c:showBubbleSize val="0"/>
        </c:dLbls>
        <c:marker val="1"/>
        <c:smooth val="0"/>
        <c:axId val="909034472"/>
        <c:axId val="909034864"/>
      </c:lineChart>
      <c:catAx>
        <c:axId val="909034472"/>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en-US"/>
          </a:p>
        </c:txPr>
        <c:crossAx val="909034864"/>
        <c:crosses val="autoZero"/>
        <c:auto val="1"/>
        <c:lblAlgn val="ctr"/>
        <c:lblOffset val="100"/>
        <c:tickLblSkip val="2"/>
        <c:tickMarkSkip val="1"/>
        <c:noMultiLvlLbl val="0"/>
      </c:catAx>
      <c:valAx>
        <c:axId val="909034864"/>
        <c:scaling>
          <c:orientation val="minMax"/>
          <c:max val="20"/>
        </c:scaling>
        <c:delete val="0"/>
        <c:axPos val="l"/>
        <c:majorGridlines>
          <c:spPr>
            <a:ln w="3175">
              <a:solidFill>
                <a:srgbClr val="000000"/>
              </a:solidFill>
              <a:prstDash val="solid"/>
            </a:ln>
          </c:spPr>
        </c:majorGridlines>
        <c:title>
          <c:tx>
            <c:rich>
              <a:bodyPr/>
              <a:lstStyle/>
              <a:p>
                <a:pPr>
                  <a:defRPr sz="1175" b="1" i="0" u="none" strike="noStrike" baseline="0">
                    <a:solidFill>
                      <a:srgbClr val="000000"/>
                    </a:solidFill>
                    <a:latin typeface="Arial"/>
                    <a:ea typeface="Arial"/>
                    <a:cs typeface="Arial"/>
                  </a:defRPr>
                </a:pPr>
                <a:r>
                  <a:rPr lang="en-GB"/>
                  <a:t>Ml/d</a:t>
                </a:r>
              </a:p>
            </c:rich>
          </c:tx>
          <c:layout>
            <c:manualLayout>
              <c:xMode val="edge"/>
              <c:yMode val="edge"/>
              <c:x val="2.0359337875782983E-2"/>
              <c:y val="0.39858528733632054"/>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909034472"/>
        <c:crosses val="autoZero"/>
        <c:crossBetween val="midCat"/>
      </c:valAx>
      <c:spPr>
        <a:solidFill>
          <a:schemeClr val="bg1"/>
        </a:solidFill>
        <a:ln w="12700">
          <a:solidFill>
            <a:srgbClr val="808080"/>
          </a:solidFill>
          <a:prstDash val="solid"/>
        </a:ln>
      </c:spPr>
    </c:plotArea>
    <c:legend>
      <c:legendPos val="b"/>
      <c:legendEntry>
        <c:idx val="0"/>
        <c:txPr>
          <a:bodyPr/>
          <a:lstStyle/>
          <a:p>
            <a:pPr>
              <a:defRPr sz="1000" b="0" i="0" u="none" strike="noStrike" baseline="0">
                <a:solidFill>
                  <a:srgbClr val="000000"/>
                </a:solidFill>
                <a:latin typeface="Arial"/>
                <a:ea typeface="Arial"/>
                <a:cs typeface="Arial"/>
              </a:defRPr>
            </a:pPr>
            <a:endParaRPr lang="en-US"/>
          </a:p>
        </c:txPr>
      </c:legendEntry>
      <c:layout>
        <c:manualLayout>
          <c:xMode val="edge"/>
          <c:yMode val="edge"/>
          <c:x val="0.16452269470774322"/>
          <c:y val="0.82158446545736608"/>
          <c:w val="0.7156398695723647"/>
          <c:h val="0.16402912270077008"/>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0"/>
    <c:dispBlanksAs val="zero"/>
    <c:showDLblsOverMax val="0"/>
  </c:chart>
  <c:spPr>
    <a:solidFill>
      <a:schemeClr val="accent2"/>
    </a:solidFill>
    <a:ln w="3175">
      <a:solidFill>
        <a:srgbClr val="000000"/>
      </a:solidFill>
      <a:prstDash val="solid"/>
    </a:ln>
  </c:spPr>
  <c:txPr>
    <a:bodyPr/>
    <a:lstStyle/>
    <a:p>
      <a:pPr>
        <a:defRPr sz="975" b="0" i="0" u="none" strike="noStrike" baseline="0">
          <a:solidFill>
            <a:srgbClr val="000000"/>
          </a:solidFill>
          <a:latin typeface="Arial"/>
          <a:ea typeface="Arial"/>
          <a:cs typeface="Arial"/>
        </a:defRPr>
      </a:pPr>
      <a:endParaRPr lang="en-US"/>
    </a:p>
  </c:txPr>
  <c:printSettings>
    <c:headerFooter alignWithMargins="0"/>
    <c:pageMargins b="1" l="0.75000000000000622" r="0.75000000000000622" t="1" header="0.5" footer="0.5"/>
    <c:pageSetup paperSize="9" orientation="landscape"/>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75" b="1" i="0" u="none" strike="noStrike" baseline="0">
                <a:solidFill>
                  <a:srgbClr val="000000"/>
                </a:solidFill>
                <a:latin typeface="Arial"/>
                <a:ea typeface="Arial"/>
                <a:cs typeface="Arial"/>
              </a:defRPr>
            </a:pPr>
            <a:r>
              <a:rPr lang="en-GB"/>
              <a:t>DYAA Final Plan Water Supply-Demand Balance and Components of Demand</a:t>
            </a:r>
          </a:p>
        </c:rich>
      </c:tx>
      <c:layout>
        <c:manualLayout>
          <c:xMode val="edge"/>
          <c:yMode val="edge"/>
          <c:x val="0.2095809470200265"/>
          <c:y val="2.9013693730272669E-2"/>
        </c:manualLayout>
      </c:layout>
      <c:overlay val="0"/>
      <c:spPr>
        <a:noFill/>
        <a:ln w="25400">
          <a:noFill/>
        </a:ln>
      </c:spPr>
    </c:title>
    <c:autoTitleDeleted val="0"/>
    <c:plotArea>
      <c:layout>
        <c:manualLayout>
          <c:layoutTarget val="inner"/>
          <c:xMode val="edge"/>
          <c:yMode val="edge"/>
          <c:x val="8.5343266856694813E-2"/>
          <c:y val="0.10444884139344435"/>
          <c:w val="0.89146608097046709"/>
          <c:h val="0.55130264550264552"/>
        </c:manualLayout>
      </c:layout>
      <c:areaChart>
        <c:grouping val="stacked"/>
        <c:varyColors val="0"/>
        <c:ser>
          <c:idx val="6"/>
          <c:order val="0"/>
          <c:tx>
            <c:v>Measured household consumption</c:v>
          </c:tx>
          <c:spPr>
            <a:ln w="25400">
              <a:noFill/>
            </a:ln>
          </c:spPr>
          <c:cat>
            <c:strRef>
              <c:f>ESWBLY!$G$376:$AK$376</c:f>
              <c:strCache>
                <c:ptCount val="3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strCache>
            </c:strRef>
          </c:cat>
          <c:val>
            <c:numRef>
              <c:f>ESWBLY!$G$377:$AK$377</c:f>
              <c:numCache>
                <c:formatCode>0.00</c:formatCode>
                <c:ptCount val="31"/>
                <c:pt idx="0">
                  <c:v>0</c:v>
                </c:pt>
                <c:pt idx="1">
                  <c:v>0</c:v>
                </c:pt>
                <c:pt idx="2">
                  <c:v>3.5771081704841108</c:v>
                </c:pt>
                <c:pt idx="3">
                  <c:v>3.5315187334006946</c:v>
                </c:pt>
                <c:pt idx="4">
                  <c:v>3.5004188118572301</c:v>
                </c:pt>
                <c:pt idx="5">
                  <c:v>3.4841080988470394</c:v>
                </c:pt>
                <c:pt idx="6">
                  <c:v>3.441993131747719</c:v>
                </c:pt>
                <c:pt idx="7">
                  <c:v>3.4461809223146092</c:v>
                </c:pt>
                <c:pt idx="8">
                  <c:v>3.4576901217800158</c:v>
                </c:pt>
                <c:pt idx="9">
                  <c:v>3.4154089757691786</c:v>
                </c:pt>
                <c:pt idx="10">
                  <c:v>3.6356167536518704</c:v>
                </c:pt>
                <c:pt idx="11">
                  <c:v>4.0632989416697152</c:v>
                </c:pt>
                <c:pt idx="12">
                  <c:v>4.1999793456506112</c:v>
                </c:pt>
                <c:pt idx="13">
                  <c:v>4.1438901019174299</c:v>
                </c:pt>
                <c:pt idx="14">
                  <c:v>4.075699049873557</c:v>
                </c:pt>
                <c:pt idx="15">
                  <c:v>4.0091103137736441</c:v>
                </c:pt>
                <c:pt idx="16">
                  <c:v>3.992958384043475</c:v>
                </c:pt>
                <c:pt idx="17">
                  <c:v>3.9779427745550389</c:v>
                </c:pt>
                <c:pt idx="18">
                  <c:v>3.9643933051713351</c:v>
                </c:pt>
                <c:pt idx="19">
                  <c:v>3.9524185275714592</c:v>
                </c:pt>
                <c:pt idx="20">
                  <c:v>3.9381452810393371</c:v>
                </c:pt>
                <c:pt idx="21">
                  <c:v>3.9173819026348089</c:v>
                </c:pt>
                <c:pt idx="22">
                  <c:v>3.9031891507099155</c:v>
                </c:pt>
                <c:pt idx="23">
                  <c:v>3.8908346985839688</c:v>
                </c:pt>
                <c:pt idx="24">
                  <c:v>3.8945147673516112</c:v>
                </c:pt>
                <c:pt idx="25">
                  <c:v>3.8987382621839792</c:v>
                </c:pt>
                <c:pt idx="26">
                  <c:v>3.902902628949223</c:v>
                </c:pt>
                <c:pt idx="27">
                  <c:v>3.9082638067330828</c:v>
                </c:pt>
                <c:pt idx="28">
                  <c:v>3.9138197949386426</c:v>
                </c:pt>
                <c:pt idx="29">
                  <c:v>3.9201803183577475</c:v>
                </c:pt>
                <c:pt idx="30">
                  <c:v>3.9263584845414816</c:v>
                </c:pt>
              </c:numCache>
            </c:numRef>
          </c:val>
          <c:extLst>
            <c:ext xmlns:c16="http://schemas.microsoft.com/office/drawing/2014/chart" uri="{C3380CC4-5D6E-409C-BE32-E72D297353CC}">
              <c16:uniqueId val="{00000000-77FD-445E-9A10-6130EC50406D}"/>
            </c:ext>
          </c:extLst>
        </c:ser>
        <c:ser>
          <c:idx val="0"/>
          <c:order val="1"/>
          <c:tx>
            <c:v>Unmeasured household consumption</c:v>
          </c:tx>
          <c:spPr>
            <a:ln w="25400">
              <a:noFill/>
            </a:ln>
          </c:spPr>
          <c:cat>
            <c:strRef>
              <c:f>ESWBLY!$G$376:$AK$376</c:f>
              <c:strCache>
                <c:ptCount val="3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strCache>
            </c:strRef>
          </c:cat>
          <c:val>
            <c:numRef>
              <c:f>ESWBLY!$G$378:$AK$378</c:f>
              <c:numCache>
                <c:formatCode>0.00</c:formatCode>
                <c:ptCount val="31"/>
                <c:pt idx="0">
                  <c:v>0</c:v>
                </c:pt>
                <c:pt idx="1">
                  <c:v>0</c:v>
                </c:pt>
                <c:pt idx="2">
                  <c:v>1.638080723282082</c:v>
                </c:pt>
                <c:pt idx="3">
                  <c:v>1.6646860065327662</c:v>
                </c:pt>
                <c:pt idx="4">
                  <c:v>1.5299959878095435</c:v>
                </c:pt>
                <c:pt idx="5">
                  <c:v>1.4702742309432693</c:v>
                </c:pt>
                <c:pt idx="6">
                  <c:v>1.4069200943639664</c:v>
                </c:pt>
                <c:pt idx="7">
                  <c:v>1.377731552627721</c:v>
                </c:pt>
                <c:pt idx="8">
                  <c:v>1.3453039952734656</c:v>
                </c:pt>
                <c:pt idx="9">
                  <c:v>1.3074907359546022</c:v>
                </c:pt>
                <c:pt idx="10">
                  <c:v>0.95816202595392819</c:v>
                </c:pt>
                <c:pt idx="11">
                  <c:v>0.4206560737008303</c:v>
                </c:pt>
                <c:pt idx="12">
                  <c:v>0.21085952153411883</c:v>
                </c:pt>
                <c:pt idx="13">
                  <c:v>0.20778913078804362</c:v>
                </c:pt>
                <c:pt idx="14">
                  <c:v>0.20405472445109704</c:v>
                </c:pt>
                <c:pt idx="15">
                  <c:v>0.2002976439825119</c:v>
                </c:pt>
                <c:pt idx="16">
                  <c:v>0.19760804613002109</c:v>
                </c:pt>
                <c:pt idx="17">
                  <c:v>0.19490041823696275</c:v>
                </c:pt>
                <c:pt idx="18">
                  <c:v>0.19215522761494647</c:v>
                </c:pt>
                <c:pt idx="19">
                  <c:v>0.18944259167529137</c:v>
                </c:pt>
                <c:pt idx="20">
                  <c:v>0.18669700878569578</c:v>
                </c:pt>
                <c:pt idx="21">
                  <c:v>0.18373862685046613</c:v>
                </c:pt>
                <c:pt idx="22">
                  <c:v>0.18056468958170754</c:v>
                </c:pt>
                <c:pt idx="23">
                  <c:v>0.17750550293627276</c:v>
                </c:pt>
                <c:pt idx="24">
                  <c:v>0.17532554728622929</c:v>
                </c:pt>
                <c:pt idx="25">
                  <c:v>0.17315576265797133</c:v>
                </c:pt>
                <c:pt idx="26">
                  <c:v>0.17102657971223217</c:v>
                </c:pt>
                <c:pt idx="27">
                  <c:v>0.16895730223401442</c:v>
                </c:pt>
                <c:pt idx="28">
                  <c:v>0.16687712223910428</c:v>
                </c:pt>
                <c:pt idx="29">
                  <c:v>0.1648109842959237</c:v>
                </c:pt>
                <c:pt idx="30">
                  <c:v>0.16268839141161279</c:v>
                </c:pt>
              </c:numCache>
            </c:numRef>
          </c:val>
          <c:extLst>
            <c:ext xmlns:c16="http://schemas.microsoft.com/office/drawing/2014/chart" uri="{C3380CC4-5D6E-409C-BE32-E72D297353CC}">
              <c16:uniqueId val="{00000001-77FD-445E-9A10-6130EC50406D}"/>
            </c:ext>
          </c:extLst>
        </c:ser>
        <c:ser>
          <c:idx val="1"/>
          <c:order val="2"/>
          <c:tx>
            <c:v>Non-household consumption</c:v>
          </c:tx>
          <c:spPr>
            <a:ln w="25400">
              <a:noFill/>
            </a:ln>
          </c:spPr>
          <c:cat>
            <c:strRef>
              <c:f>ESWBLY!$G$376:$AK$376</c:f>
              <c:strCache>
                <c:ptCount val="3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strCache>
            </c:strRef>
          </c:cat>
          <c:val>
            <c:numRef>
              <c:f>ESWBLY!$G$379:$AK$379</c:f>
              <c:numCache>
                <c:formatCode>0.00</c:formatCode>
                <c:ptCount val="31"/>
                <c:pt idx="0">
                  <c:v>0</c:v>
                </c:pt>
                <c:pt idx="1">
                  <c:v>0</c:v>
                </c:pt>
                <c:pt idx="2">
                  <c:v>3.3693909383156622</c:v>
                </c:pt>
                <c:pt idx="3">
                  <c:v>3.1604117352983154</c:v>
                </c:pt>
                <c:pt idx="4">
                  <c:v>3.3245646750143569</c:v>
                </c:pt>
                <c:pt idx="5">
                  <c:v>3.5047252126054942</c:v>
                </c:pt>
                <c:pt idx="6">
                  <c:v>3.6520113216914183</c:v>
                </c:pt>
                <c:pt idx="7">
                  <c:v>3.6924571484963109</c:v>
                </c:pt>
                <c:pt idx="8">
                  <c:v>3.6974678061758235</c:v>
                </c:pt>
                <c:pt idx="9">
                  <c:v>3.7017902384596364</c:v>
                </c:pt>
                <c:pt idx="10">
                  <c:v>3.7032156001271237</c:v>
                </c:pt>
                <c:pt idx="11">
                  <c:v>3.6891916713526549</c:v>
                </c:pt>
                <c:pt idx="12">
                  <c:v>3.6744131016962442</c:v>
                </c:pt>
                <c:pt idx="13">
                  <c:v>5.9494256274818991</c:v>
                </c:pt>
                <c:pt idx="14">
                  <c:v>5.9346348369737667</c:v>
                </c:pt>
                <c:pt idx="15">
                  <c:v>5.9199905398854531</c:v>
                </c:pt>
                <c:pt idx="16">
                  <c:v>5.9070183983038351</c:v>
                </c:pt>
                <c:pt idx="17">
                  <c:v>5.8940198903643122</c:v>
                </c:pt>
                <c:pt idx="18">
                  <c:v>5.8812002564830053</c:v>
                </c:pt>
                <c:pt idx="19">
                  <c:v>5.8885750434964521</c:v>
                </c:pt>
                <c:pt idx="20">
                  <c:v>5.895974370912306</c:v>
                </c:pt>
                <c:pt idx="21">
                  <c:v>5.9033838248178201</c:v>
                </c:pt>
                <c:pt idx="22">
                  <c:v>5.9107721357604479</c:v>
                </c:pt>
                <c:pt idx="23">
                  <c:v>5.9180295738902675</c:v>
                </c:pt>
                <c:pt idx="24">
                  <c:v>5.9251121239969331</c:v>
                </c:pt>
                <c:pt idx="25">
                  <c:v>5.9321360377492685</c:v>
                </c:pt>
                <c:pt idx="26">
                  <c:v>5.939033510157893</c:v>
                </c:pt>
                <c:pt idx="27">
                  <c:v>5.9459022308044576</c:v>
                </c:pt>
                <c:pt idx="28">
                  <c:v>5.952721829982738</c:v>
                </c:pt>
                <c:pt idx="29">
                  <c:v>5.9594577579814221</c:v>
                </c:pt>
                <c:pt idx="30">
                  <c:v>5.9661775232560617</c:v>
                </c:pt>
              </c:numCache>
            </c:numRef>
          </c:val>
          <c:extLst>
            <c:ext xmlns:c16="http://schemas.microsoft.com/office/drawing/2014/chart" uri="{C3380CC4-5D6E-409C-BE32-E72D297353CC}">
              <c16:uniqueId val="{00000002-77FD-445E-9A10-6130EC50406D}"/>
            </c:ext>
          </c:extLst>
        </c:ser>
        <c:ser>
          <c:idx val="2"/>
          <c:order val="3"/>
          <c:tx>
            <c:v>Total leakage</c:v>
          </c:tx>
          <c:spPr>
            <a:ln w="25400">
              <a:noFill/>
            </a:ln>
          </c:spPr>
          <c:cat>
            <c:strRef>
              <c:f>ESWBLY!$G$376:$AK$376</c:f>
              <c:strCache>
                <c:ptCount val="3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strCache>
            </c:strRef>
          </c:cat>
          <c:val>
            <c:numRef>
              <c:f>ESWBLY!$G$380:$AK$380</c:f>
              <c:numCache>
                <c:formatCode>0.00</c:formatCode>
                <c:ptCount val="31"/>
                <c:pt idx="0">
                  <c:v>0</c:v>
                </c:pt>
                <c:pt idx="1">
                  <c:v>0</c:v>
                </c:pt>
                <c:pt idx="2">
                  <c:v>1.9305131976000001</c:v>
                </c:pt>
                <c:pt idx="3">
                  <c:v>1.6747597999999997</c:v>
                </c:pt>
                <c:pt idx="4">
                  <c:v>1.6092663999999997</c:v>
                </c:pt>
                <c:pt idx="5">
                  <c:v>1.5437730000000001</c:v>
                </c:pt>
                <c:pt idx="6">
                  <c:v>1.5281028000000001</c:v>
                </c:pt>
                <c:pt idx="7">
                  <c:v>1.5124326000000001</c:v>
                </c:pt>
                <c:pt idx="8">
                  <c:v>1.4967624000000002</c:v>
                </c:pt>
                <c:pt idx="9">
                  <c:v>1.4810922000000002</c:v>
                </c:pt>
                <c:pt idx="10">
                  <c:v>1.4654220000000002</c:v>
                </c:pt>
                <c:pt idx="11">
                  <c:v>1.4497518000000003</c:v>
                </c:pt>
                <c:pt idx="12">
                  <c:v>1.4340816000000003</c:v>
                </c:pt>
                <c:pt idx="13">
                  <c:v>1.4184114000000003</c:v>
                </c:pt>
                <c:pt idx="14">
                  <c:v>1.4027412000000004</c:v>
                </c:pt>
                <c:pt idx="15">
                  <c:v>1.3870710000000004</c:v>
                </c:pt>
                <c:pt idx="16">
                  <c:v>1.3714008000000004</c:v>
                </c:pt>
                <c:pt idx="17">
                  <c:v>1.3557306000000005</c:v>
                </c:pt>
                <c:pt idx="18">
                  <c:v>1.3400604000000005</c:v>
                </c:pt>
                <c:pt idx="19">
                  <c:v>1.3243902000000005</c:v>
                </c:pt>
                <c:pt idx="20">
                  <c:v>1.3087200000000005</c:v>
                </c:pt>
                <c:pt idx="21">
                  <c:v>1.2930498000000006</c:v>
                </c:pt>
                <c:pt idx="22">
                  <c:v>1.2773796000000006</c:v>
                </c:pt>
                <c:pt idx="23">
                  <c:v>1.2617094000000004</c:v>
                </c:pt>
                <c:pt idx="24">
                  <c:v>1.2460392000000007</c:v>
                </c:pt>
                <c:pt idx="25">
                  <c:v>1.2303690000000007</c:v>
                </c:pt>
                <c:pt idx="26">
                  <c:v>1.2146988000000007</c:v>
                </c:pt>
                <c:pt idx="27">
                  <c:v>1.1990286000000008</c:v>
                </c:pt>
                <c:pt idx="28">
                  <c:v>1.1833584000000008</c:v>
                </c:pt>
                <c:pt idx="29">
                  <c:v>1.1676882000000011</c:v>
                </c:pt>
                <c:pt idx="30">
                  <c:v>1.152018</c:v>
                </c:pt>
              </c:numCache>
            </c:numRef>
          </c:val>
          <c:extLst>
            <c:ext xmlns:c16="http://schemas.microsoft.com/office/drawing/2014/chart" uri="{C3380CC4-5D6E-409C-BE32-E72D297353CC}">
              <c16:uniqueId val="{00000003-77FD-445E-9A10-6130EC50406D}"/>
            </c:ext>
          </c:extLst>
        </c:ser>
        <c:ser>
          <c:idx val="3"/>
          <c:order val="4"/>
          <c:tx>
            <c:v>Other components of demand</c:v>
          </c:tx>
          <c:spPr>
            <a:ln w="25400">
              <a:noFill/>
            </a:ln>
          </c:spPr>
          <c:cat>
            <c:strRef>
              <c:f>ESWBLY!$G$376:$AK$376</c:f>
              <c:strCache>
                <c:ptCount val="3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strCache>
            </c:strRef>
          </c:cat>
          <c:val>
            <c:numRef>
              <c:f>ESWBLY!$G$381:$AK$381</c:f>
              <c:numCache>
                <c:formatCode>0.00</c:formatCode>
                <c:ptCount val="31"/>
                <c:pt idx="0">
                  <c:v>0</c:v>
                </c:pt>
                <c:pt idx="1">
                  <c:v>0</c:v>
                </c:pt>
                <c:pt idx="2">
                  <c:v>0.277795537065753</c:v>
                </c:pt>
                <c:pt idx="3">
                  <c:v>0.28679110094586946</c:v>
                </c:pt>
                <c:pt idx="4">
                  <c:v>0.28667830223778168</c:v>
                </c:pt>
                <c:pt idx="5">
                  <c:v>0.28666635882526315</c:v>
                </c:pt>
                <c:pt idx="6">
                  <c:v>0.28681847685005479</c:v>
                </c:pt>
                <c:pt idx="7">
                  <c:v>0.2866665207354071</c:v>
                </c:pt>
                <c:pt idx="8">
                  <c:v>0.28652547740467149</c:v>
                </c:pt>
                <c:pt idx="9">
                  <c:v>0.28642721894646428</c:v>
                </c:pt>
                <c:pt idx="10">
                  <c:v>0.28634461313646931</c:v>
                </c:pt>
                <c:pt idx="11">
                  <c:v>0.28626487528605793</c:v>
                </c:pt>
                <c:pt idx="12">
                  <c:v>0.28618499380624129</c:v>
                </c:pt>
                <c:pt idx="13">
                  <c:v>0.28610404658806488</c:v>
                </c:pt>
                <c:pt idx="14">
                  <c:v>0.28602350265502352</c:v>
                </c:pt>
                <c:pt idx="15">
                  <c:v>0.28594276315835288</c:v>
                </c:pt>
                <c:pt idx="16">
                  <c:v>0.28586246422940143</c:v>
                </c:pt>
                <c:pt idx="17">
                  <c:v>0.28578219794007609</c:v>
                </c:pt>
                <c:pt idx="18">
                  <c:v>0.28570269353270028</c:v>
                </c:pt>
                <c:pt idx="19">
                  <c:v>0.28562501572950438</c:v>
                </c:pt>
                <c:pt idx="20">
                  <c:v>0.28554803368088244</c:v>
                </c:pt>
                <c:pt idx="21">
                  <c:v>0.28547191934553773</c:v>
                </c:pt>
                <c:pt idx="22">
                  <c:v>0.28539721028058196</c:v>
                </c:pt>
                <c:pt idx="23">
                  <c:v>0.28532375301990953</c:v>
                </c:pt>
                <c:pt idx="24">
                  <c:v>0.28525038034806016</c:v>
                </c:pt>
                <c:pt idx="25">
                  <c:v>0.28517763265723239</c:v>
                </c:pt>
                <c:pt idx="26">
                  <c:v>0.28510556917935403</c:v>
                </c:pt>
                <c:pt idx="27">
                  <c:v>0.28503458647074886</c:v>
                </c:pt>
                <c:pt idx="28">
                  <c:v>0.28496514672452733</c:v>
                </c:pt>
                <c:pt idx="29">
                  <c:v>0.28489715349054912</c:v>
                </c:pt>
                <c:pt idx="30">
                  <c:v>0.28483025542935536</c:v>
                </c:pt>
              </c:numCache>
            </c:numRef>
          </c:val>
          <c:extLst>
            <c:ext xmlns:c16="http://schemas.microsoft.com/office/drawing/2014/chart" uri="{C3380CC4-5D6E-409C-BE32-E72D297353CC}">
              <c16:uniqueId val="{00000004-77FD-445E-9A10-6130EC50406D}"/>
            </c:ext>
          </c:extLst>
        </c:ser>
        <c:dLbls>
          <c:showLegendKey val="0"/>
          <c:showVal val="0"/>
          <c:showCatName val="0"/>
          <c:showSerName val="0"/>
          <c:showPercent val="0"/>
          <c:showBubbleSize val="0"/>
        </c:dLbls>
        <c:axId val="864303240"/>
        <c:axId val="864303632"/>
      </c:areaChart>
      <c:lineChart>
        <c:grouping val="standard"/>
        <c:varyColors val="0"/>
        <c:ser>
          <c:idx val="4"/>
          <c:order val="5"/>
          <c:tx>
            <c:v>Total water available for use</c:v>
          </c:tx>
          <c:spPr>
            <a:ln w="25400"/>
          </c:spPr>
          <c:marker>
            <c:symbol val="none"/>
          </c:marker>
          <c:cat>
            <c:strRef>
              <c:f>ESWBLY!$G$376:$CI$376</c:f>
              <c:strCache>
                <c:ptCount val="3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strCache>
            </c:strRef>
          </c:cat>
          <c:val>
            <c:numRef>
              <c:f>ESWBLY!$G$382:$AK$382</c:f>
              <c:numCache>
                <c:formatCode>0.00</c:formatCode>
                <c:ptCount val="31"/>
                <c:pt idx="0">
                  <c:v>0</c:v>
                </c:pt>
                <c:pt idx="1">
                  <c:v>0</c:v>
                </c:pt>
                <c:pt idx="2">
                  <c:v>13.021967751291383</c:v>
                </c:pt>
                <c:pt idx="3">
                  <c:v>13.020985515613111</c:v>
                </c:pt>
                <c:pt idx="4">
                  <c:v>13.000423079661331</c:v>
                </c:pt>
                <c:pt idx="5">
                  <c:v>12.991059870935837</c:v>
                </c:pt>
                <c:pt idx="6">
                  <c:v>12.978707985459138</c:v>
                </c:pt>
                <c:pt idx="7">
                  <c:v>10.602136106764764</c:v>
                </c:pt>
                <c:pt idx="8">
                  <c:v>10.561274070766373</c:v>
                </c:pt>
                <c:pt idx="9">
                  <c:v>10.462990466738901</c:v>
                </c:pt>
                <c:pt idx="10">
                  <c:v>10.31940862250959</c:v>
                </c:pt>
                <c:pt idx="11">
                  <c:v>10.167821180651023</c:v>
                </c:pt>
                <c:pt idx="12">
                  <c:v>10.058270128125507</c:v>
                </c:pt>
                <c:pt idx="13">
                  <c:v>12.283427063553368</c:v>
                </c:pt>
                <c:pt idx="14">
                  <c:v>12.174285180576256</c:v>
                </c:pt>
                <c:pt idx="15">
                  <c:v>12.066923925607624</c:v>
                </c:pt>
                <c:pt idx="16">
                  <c:v>12.016186906657701</c:v>
                </c:pt>
                <c:pt idx="17">
                  <c:v>11.963407172606587</c:v>
                </c:pt>
                <c:pt idx="18">
                  <c:v>11.914069234130809</c:v>
                </c:pt>
                <c:pt idx="19">
                  <c:v>11.888303291084233</c:v>
                </c:pt>
                <c:pt idx="20">
                  <c:v>11.856650774409543</c:v>
                </c:pt>
                <c:pt idx="21">
                  <c:v>11.819242800966892</c:v>
                </c:pt>
                <c:pt idx="22">
                  <c:v>11.790732914136751</c:v>
                </c:pt>
                <c:pt idx="23">
                  <c:v>11.761978646544748</c:v>
                </c:pt>
                <c:pt idx="24">
                  <c:v>11.750726977985254</c:v>
                </c:pt>
                <c:pt idx="25">
                  <c:v>11.740828119525114</c:v>
                </c:pt>
                <c:pt idx="26">
                  <c:v>11.730029117009467</c:v>
                </c:pt>
                <c:pt idx="27">
                  <c:v>11.719500596058939</c:v>
                </c:pt>
                <c:pt idx="28">
                  <c:v>11.706456071364567</c:v>
                </c:pt>
                <c:pt idx="29">
                  <c:v>11.703423089765945</c:v>
                </c:pt>
                <c:pt idx="30">
                  <c:v>11.695416565828904</c:v>
                </c:pt>
              </c:numCache>
            </c:numRef>
          </c:val>
          <c:smooth val="0"/>
          <c:extLst>
            <c:ext xmlns:c16="http://schemas.microsoft.com/office/drawing/2014/chart" uri="{C3380CC4-5D6E-409C-BE32-E72D297353CC}">
              <c16:uniqueId val="{00000005-77FD-445E-9A10-6130EC50406D}"/>
            </c:ext>
          </c:extLst>
        </c:ser>
        <c:ser>
          <c:idx val="5"/>
          <c:order val="6"/>
          <c:tx>
            <c:v>Total demand + target headroom (final plan)</c:v>
          </c:tx>
          <c:spPr>
            <a:ln w="25400"/>
          </c:spPr>
          <c:marker>
            <c:symbol val="none"/>
          </c:marker>
          <c:cat>
            <c:strRef>
              <c:f>ESWBLY!$G$376:$CI$376</c:f>
              <c:strCache>
                <c:ptCount val="3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strCache>
            </c:strRef>
          </c:cat>
          <c:val>
            <c:numRef>
              <c:f>ESWBLY!$G$383:$AK$383</c:f>
              <c:numCache>
                <c:formatCode>0.00</c:formatCode>
                <c:ptCount val="31"/>
                <c:pt idx="0">
                  <c:v>0</c:v>
                </c:pt>
                <c:pt idx="1">
                  <c:v>0</c:v>
                </c:pt>
                <c:pt idx="2">
                  <c:v>10.996004728105293</c:v>
                </c:pt>
                <c:pt idx="3">
                  <c:v>10.526038798015611</c:v>
                </c:pt>
                <c:pt idx="4">
                  <c:v>10.522146777848395</c:v>
                </c:pt>
                <c:pt idx="5">
                  <c:v>10.560886691421937</c:v>
                </c:pt>
                <c:pt idx="6">
                  <c:v>10.583024947647225</c:v>
                </c:pt>
                <c:pt idx="7">
                  <c:v>10.572136106764765</c:v>
                </c:pt>
                <c:pt idx="8">
                  <c:v>10.531274070766374</c:v>
                </c:pt>
                <c:pt idx="9">
                  <c:v>10.4329904667389</c:v>
                </c:pt>
                <c:pt idx="10">
                  <c:v>10.28940862250959</c:v>
                </c:pt>
                <c:pt idx="11">
                  <c:v>10.137821180651024</c:v>
                </c:pt>
                <c:pt idx="12">
                  <c:v>10.028270128125508</c:v>
                </c:pt>
                <c:pt idx="13">
                  <c:v>12.253427063553369</c:v>
                </c:pt>
                <c:pt idx="14">
                  <c:v>12.144285180576254</c:v>
                </c:pt>
                <c:pt idx="15">
                  <c:v>12.036923925607624</c:v>
                </c:pt>
                <c:pt idx="16">
                  <c:v>11.986186906657702</c:v>
                </c:pt>
                <c:pt idx="17">
                  <c:v>11.933407172606588</c:v>
                </c:pt>
                <c:pt idx="18">
                  <c:v>11.884069234130807</c:v>
                </c:pt>
                <c:pt idx="19">
                  <c:v>11.858303291084232</c:v>
                </c:pt>
                <c:pt idx="20">
                  <c:v>11.826650774409543</c:v>
                </c:pt>
                <c:pt idx="21">
                  <c:v>11.789242800966891</c:v>
                </c:pt>
                <c:pt idx="22">
                  <c:v>11.760732914136749</c:v>
                </c:pt>
                <c:pt idx="23">
                  <c:v>11.731978646544746</c:v>
                </c:pt>
                <c:pt idx="24">
                  <c:v>11.720726977985253</c:v>
                </c:pt>
                <c:pt idx="25">
                  <c:v>11.710828119525113</c:v>
                </c:pt>
                <c:pt idx="26">
                  <c:v>11.700029117009466</c:v>
                </c:pt>
                <c:pt idx="27">
                  <c:v>11.689500596058942</c:v>
                </c:pt>
                <c:pt idx="28">
                  <c:v>11.676456071364568</c:v>
                </c:pt>
                <c:pt idx="29">
                  <c:v>11.673423089765944</c:v>
                </c:pt>
                <c:pt idx="30">
                  <c:v>11.665416565828904</c:v>
                </c:pt>
              </c:numCache>
            </c:numRef>
          </c:val>
          <c:smooth val="0"/>
          <c:extLst>
            <c:ext xmlns:c16="http://schemas.microsoft.com/office/drawing/2014/chart" uri="{C3380CC4-5D6E-409C-BE32-E72D297353CC}">
              <c16:uniqueId val="{00000006-77FD-445E-9A10-6130EC50406D}"/>
            </c:ext>
          </c:extLst>
        </c:ser>
        <c:dLbls>
          <c:showLegendKey val="0"/>
          <c:showVal val="0"/>
          <c:showCatName val="0"/>
          <c:showSerName val="0"/>
          <c:showPercent val="0"/>
          <c:showBubbleSize val="0"/>
        </c:dLbls>
        <c:marker val="1"/>
        <c:smooth val="0"/>
        <c:axId val="864303240"/>
        <c:axId val="864303632"/>
      </c:lineChart>
      <c:catAx>
        <c:axId val="864303240"/>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en-US"/>
          </a:p>
        </c:txPr>
        <c:crossAx val="864303632"/>
        <c:crosses val="autoZero"/>
        <c:auto val="1"/>
        <c:lblAlgn val="ctr"/>
        <c:lblOffset val="100"/>
        <c:tickLblSkip val="2"/>
        <c:tickMarkSkip val="1"/>
        <c:noMultiLvlLbl val="0"/>
      </c:catAx>
      <c:valAx>
        <c:axId val="864303632"/>
        <c:scaling>
          <c:orientation val="minMax"/>
        </c:scaling>
        <c:delete val="0"/>
        <c:axPos val="l"/>
        <c:majorGridlines>
          <c:spPr>
            <a:ln w="3175">
              <a:solidFill>
                <a:srgbClr val="000000"/>
              </a:solidFill>
              <a:prstDash val="solid"/>
            </a:ln>
          </c:spPr>
        </c:majorGridlines>
        <c:title>
          <c:tx>
            <c:rich>
              <a:bodyPr/>
              <a:lstStyle/>
              <a:p>
                <a:pPr>
                  <a:defRPr sz="1175" b="1" i="0" u="none" strike="noStrike" baseline="0">
                    <a:solidFill>
                      <a:srgbClr val="000000"/>
                    </a:solidFill>
                    <a:latin typeface="Arial"/>
                    <a:ea typeface="Arial"/>
                    <a:cs typeface="Arial"/>
                  </a:defRPr>
                </a:pPr>
                <a:r>
                  <a:rPr lang="en-GB"/>
                  <a:t>Ml/d</a:t>
                </a:r>
              </a:p>
            </c:rich>
          </c:tx>
          <c:layout>
            <c:manualLayout>
              <c:xMode val="edge"/>
              <c:yMode val="edge"/>
              <c:x val="2.0359337875782983E-2"/>
              <c:y val="0.39858528733632054"/>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864303240"/>
        <c:crosses val="autoZero"/>
        <c:crossBetween val="midCat"/>
      </c:valAx>
      <c:spPr>
        <a:solidFill>
          <a:schemeClr val="bg1"/>
        </a:solidFill>
        <a:ln w="12700">
          <a:solidFill>
            <a:srgbClr val="808080"/>
          </a:solidFill>
          <a:prstDash val="solid"/>
        </a:ln>
      </c:spPr>
    </c:plotArea>
    <c:legend>
      <c:legendPos val="b"/>
      <c:legendEntry>
        <c:idx val="0"/>
        <c:txPr>
          <a:bodyPr/>
          <a:lstStyle/>
          <a:p>
            <a:pPr>
              <a:defRPr sz="1000" b="0" i="0" u="none" strike="noStrike" baseline="0">
                <a:solidFill>
                  <a:srgbClr val="000000"/>
                </a:solidFill>
                <a:latin typeface="Arial"/>
                <a:ea typeface="Arial"/>
                <a:cs typeface="Arial"/>
              </a:defRPr>
            </a:pPr>
            <a:endParaRPr lang="en-US"/>
          </a:p>
        </c:txPr>
      </c:legendEntry>
      <c:layout>
        <c:manualLayout>
          <c:xMode val="edge"/>
          <c:yMode val="edge"/>
          <c:x val="0.16452269470774322"/>
          <c:y val="0.82158446545736608"/>
          <c:w val="0.7156398695723647"/>
          <c:h val="0.16402912270077008"/>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0"/>
    <c:dispBlanksAs val="zero"/>
    <c:showDLblsOverMax val="0"/>
  </c:chart>
  <c:spPr>
    <a:solidFill>
      <a:schemeClr val="accent4"/>
    </a:solidFill>
    <a:ln w="3175">
      <a:solidFill>
        <a:srgbClr val="000000"/>
      </a:solidFill>
      <a:prstDash val="solid"/>
    </a:ln>
  </c:spPr>
  <c:txPr>
    <a:bodyPr/>
    <a:lstStyle/>
    <a:p>
      <a:pPr>
        <a:defRPr sz="975" b="0" i="0" u="none" strike="noStrike" baseline="0">
          <a:solidFill>
            <a:srgbClr val="000000"/>
          </a:solidFill>
          <a:latin typeface="Arial"/>
          <a:ea typeface="Arial"/>
          <a:cs typeface="Arial"/>
        </a:defRPr>
      </a:pPr>
      <a:endParaRPr lang="en-US"/>
    </a:p>
  </c:txPr>
  <c:printSettings>
    <c:headerFooter alignWithMargins="0"/>
    <c:pageMargins b="1" l="0.75000000000000622" r="0.75000000000000622" t="1" header="0.5" footer="0.5"/>
    <c:pageSetup paperSize="9" orientation="landscape"/>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75" b="1" i="0" u="none" strike="noStrike" baseline="0">
                <a:solidFill>
                  <a:srgbClr val="000000"/>
                </a:solidFill>
                <a:latin typeface="Arial"/>
                <a:ea typeface="Arial"/>
                <a:cs typeface="Arial"/>
              </a:defRPr>
            </a:pPr>
            <a:r>
              <a:rPr lang="en-GB"/>
              <a:t>DYCP Baseline Water Supply-Demand Balance and Components of Demand</a:t>
            </a:r>
          </a:p>
        </c:rich>
      </c:tx>
      <c:layout>
        <c:manualLayout>
          <c:xMode val="edge"/>
          <c:yMode val="edge"/>
          <c:x val="0.2095809470200265"/>
          <c:y val="2.9013693730272669E-2"/>
        </c:manualLayout>
      </c:layout>
      <c:overlay val="0"/>
      <c:spPr>
        <a:noFill/>
        <a:ln w="25400">
          <a:noFill/>
        </a:ln>
      </c:spPr>
    </c:title>
    <c:autoTitleDeleted val="0"/>
    <c:plotArea>
      <c:layout>
        <c:manualLayout>
          <c:layoutTarget val="inner"/>
          <c:xMode val="edge"/>
          <c:yMode val="edge"/>
          <c:x val="8.5343266856694813E-2"/>
          <c:y val="0.10444884139344435"/>
          <c:w val="0.89146608097046709"/>
          <c:h val="0.55130264550264552"/>
        </c:manualLayout>
      </c:layout>
      <c:areaChart>
        <c:grouping val="stacked"/>
        <c:varyColors val="0"/>
        <c:ser>
          <c:idx val="6"/>
          <c:order val="0"/>
          <c:tx>
            <c:v>Measured household consumption</c:v>
          </c:tx>
          <c:spPr>
            <a:ln w="25400">
              <a:noFill/>
            </a:ln>
          </c:spPr>
          <c:cat>
            <c:strRef>
              <c:f>ESWBLY!$G$385:$CI$385</c:f>
              <c:strCache>
                <c:ptCount val="3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strCache>
            </c:strRef>
          </c:cat>
          <c:val>
            <c:numRef>
              <c:f>ESWBLY!$G$386:$AK$386</c:f>
              <c:numCache>
                <c:formatCode>0.00</c:formatCode>
                <c:ptCount val="31"/>
                <c:pt idx="0">
                  <c:v>0</c:v>
                </c:pt>
                <c:pt idx="1">
                  <c:v>0</c:v>
                </c:pt>
                <c:pt idx="2">
                  <c:v>3.610113469569864</c:v>
                </c:pt>
                <c:pt idx="3">
                  <c:v>3.5630537606971457</c:v>
                </c:pt>
                <c:pt idx="4">
                  <c:v>3.5316955942590504</c:v>
                </c:pt>
                <c:pt idx="5">
                  <c:v>3.5152733242257606</c:v>
                </c:pt>
                <c:pt idx="6">
                  <c:v>3.5873150210449944</c:v>
                </c:pt>
                <c:pt idx="7">
                  <c:v>3.7299299692009487</c:v>
                </c:pt>
                <c:pt idx="8">
                  <c:v>3.7934031771945951</c:v>
                </c:pt>
                <c:pt idx="9">
                  <c:v>3.8327340515058621</c:v>
                </c:pt>
                <c:pt idx="10">
                  <c:v>3.8543656847729286</c:v>
                </c:pt>
                <c:pt idx="11">
                  <c:v>3.8769520357400884</c:v>
                </c:pt>
                <c:pt idx="12">
                  <c:v>3.8920485114630501</c:v>
                </c:pt>
                <c:pt idx="13">
                  <c:v>3.9091034188407687</c:v>
                </c:pt>
                <c:pt idx="14">
                  <c:v>3.924658703032784</c:v>
                </c:pt>
                <c:pt idx="15">
                  <c:v>3.9406939463747666</c:v>
                </c:pt>
                <c:pt idx="16">
                  <c:v>3.9570497375888514</c:v>
                </c:pt>
                <c:pt idx="17">
                  <c:v>3.9743682391621658</c:v>
                </c:pt>
                <c:pt idx="18">
                  <c:v>3.9934596490110033</c:v>
                </c:pt>
                <c:pt idx="19">
                  <c:v>4.0141035807450338</c:v>
                </c:pt>
                <c:pt idx="20">
                  <c:v>4.0319027930368367</c:v>
                </c:pt>
                <c:pt idx="21">
                  <c:v>4.0424198400579119</c:v>
                </c:pt>
                <c:pt idx="22">
                  <c:v>4.0598196041161749</c:v>
                </c:pt>
                <c:pt idx="23">
                  <c:v>4.0787855465685885</c:v>
                </c:pt>
                <c:pt idx="24">
                  <c:v>4.0984791624379513</c:v>
                </c:pt>
                <c:pt idx="25">
                  <c:v>4.118849420162535</c:v>
                </c:pt>
                <c:pt idx="26">
                  <c:v>4.1389204994999238</c:v>
                </c:pt>
                <c:pt idx="27">
                  <c:v>4.1601382760019465</c:v>
                </c:pt>
                <c:pt idx="28">
                  <c:v>4.1819300159395389</c:v>
                </c:pt>
                <c:pt idx="29">
                  <c:v>4.2047845901256728</c:v>
                </c:pt>
                <c:pt idx="30">
                  <c:v>4.2278105439904365</c:v>
                </c:pt>
              </c:numCache>
            </c:numRef>
          </c:val>
          <c:extLst>
            <c:ext xmlns:c16="http://schemas.microsoft.com/office/drawing/2014/chart" uri="{C3380CC4-5D6E-409C-BE32-E72D297353CC}">
              <c16:uniqueId val="{00000000-9AEF-4871-8A4C-CD7927D75EC8}"/>
            </c:ext>
          </c:extLst>
        </c:ser>
        <c:ser>
          <c:idx val="0"/>
          <c:order val="1"/>
          <c:tx>
            <c:v>Unmeasured household consumption</c:v>
          </c:tx>
          <c:spPr>
            <a:ln w="25400">
              <a:noFill/>
            </a:ln>
          </c:spPr>
          <c:cat>
            <c:strRef>
              <c:f>ESWBLY!$G$385:$CI$385</c:f>
              <c:strCache>
                <c:ptCount val="3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strCache>
            </c:strRef>
          </c:cat>
          <c:val>
            <c:numRef>
              <c:f>ESWBLY!$G$387:$AK$387</c:f>
              <c:numCache>
                <c:formatCode>0.00</c:formatCode>
                <c:ptCount val="31"/>
                <c:pt idx="0">
                  <c:v>0</c:v>
                </c:pt>
                <c:pt idx="1">
                  <c:v>0</c:v>
                </c:pt>
                <c:pt idx="2">
                  <c:v>2.1866636376326452</c:v>
                </c:pt>
                <c:pt idx="3">
                  <c:v>2.2221788626312171</c:v>
                </c:pt>
                <c:pt idx="4">
                  <c:v>2.0423820051820782</c:v>
                </c:pt>
                <c:pt idx="5">
                  <c:v>1.9626598081871922</c:v>
                </c:pt>
                <c:pt idx="6">
                  <c:v>1.775302752664242</c:v>
                </c:pt>
                <c:pt idx="7">
                  <c:v>1.6167997570753732</c:v>
                </c:pt>
                <c:pt idx="8">
                  <c:v>1.569780427145143</c:v>
                </c:pt>
                <c:pt idx="9">
                  <c:v>1.5228053562087482</c:v>
                </c:pt>
                <c:pt idx="10">
                  <c:v>1.4757332983340843</c:v>
                </c:pt>
                <c:pt idx="11">
                  <c:v>1.4492798396322029</c:v>
                </c:pt>
                <c:pt idx="12">
                  <c:v>1.4437778071186211</c:v>
                </c:pt>
                <c:pt idx="13">
                  <c:v>1.4382530840563956</c:v>
                </c:pt>
                <c:pt idx="14">
                  <c:v>1.4325793591739211</c:v>
                </c:pt>
                <c:pt idx="15">
                  <c:v>1.4268592650724186</c:v>
                </c:pt>
                <c:pt idx="16">
                  <c:v>1.4221246792383462</c:v>
                </c:pt>
                <c:pt idx="17">
                  <c:v>1.4173705192251294</c:v>
                </c:pt>
                <c:pt idx="18">
                  <c:v>1.412453682073056</c:v>
                </c:pt>
                <c:pt idx="19">
                  <c:v>1.407790834710003</c:v>
                </c:pt>
                <c:pt idx="20">
                  <c:v>1.4029893367076467</c:v>
                </c:pt>
                <c:pt idx="21">
                  <c:v>1.397995492529114</c:v>
                </c:pt>
                <c:pt idx="22">
                  <c:v>1.3930069574165094</c:v>
                </c:pt>
                <c:pt idx="23">
                  <c:v>1.3886412985923573</c:v>
                </c:pt>
                <c:pt idx="24">
                  <c:v>1.3848164484852099</c:v>
                </c:pt>
                <c:pt idx="25">
                  <c:v>1.3810301003271757</c:v>
                </c:pt>
                <c:pt idx="26">
                  <c:v>1.3771463918244666</c:v>
                </c:pt>
                <c:pt idx="27">
                  <c:v>1.373581367520069</c:v>
                </c:pt>
                <c:pt idx="28">
                  <c:v>1.3699201456712327</c:v>
                </c:pt>
                <c:pt idx="29">
                  <c:v>1.3663084124685525</c:v>
                </c:pt>
                <c:pt idx="30">
                  <c:v>1.3623361155448555</c:v>
                </c:pt>
              </c:numCache>
            </c:numRef>
          </c:val>
          <c:extLst>
            <c:ext xmlns:c16="http://schemas.microsoft.com/office/drawing/2014/chart" uri="{C3380CC4-5D6E-409C-BE32-E72D297353CC}">
              <c16:uniqueId val="{00000001-9AEF-4871-8A4C-CD7927D75EC8}"/>
            </c:ext>
          </c:extLst>
        </c:ser>
        <c:ser>
          <c:idx val="1"/>
          <c:order val="2"/>
          <c:tx>
            <c:v>Non-household consumption</c:v>
          </c:tx>
          <c:spPr>
            <a:ln w="25400">
              <a:noFill/>
            </a:ln>
          </c:spPr>
          <c:cat>
            <c:strRef>
              <c:f>ESWBLY!$G$385:$CI$385</c:f>
              <c:strCache>
                <c:ptCount val="3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strCache>
            </c:strRef>
          </c:cat>
          <c:val>
            <c:numRef>
              <c:f>ESWBLY!$G$388:$AK$388</c:f>
              <c:numCache>
                <c:formatCode>0.00</c:formatCode>
                <c:ptCount val="31"/>
                <c:pt idx="0">
                  <c:v>0</c:v>
                </c:pt>
                <c:pt idx="1">
                  <c:v>0</c:v>
                </c:pt>
                <c:pt idx="2">
                  <c:v>3.4165914597957534</c:v>
                </c:pt>
                <c:pt idx="3">
                  <c:v>3.969405642934285</c:v>
                </c:pt>
                <c:pt idx="4">
                  <c:v>4.133222604030875</c:v>
                </c:pt>
                <c:pt idx="5">
                  <c:v>4.3132373437964135</c:v>
                </c:pt>
                <c:pt idx="6">
                  <c:v>4.470851166491582</c:v>
                </c:pt>
                <c:pt idx="7">
                  <c:v>4.5213981757208401</c:v>
                </c:pt>
                <c:pt idx="8">
                  <c:v>4.5365091603002128</c:v>
                </c:pt>
                <c:pt idx="9">
                  <c:v>4.5509310639593785</c:v>
                </c:pt>
                <c:pt idx="10">
                  <c:v>4.5624550414777172</c:v>
                </c:pt>
                <c:pt idx="11">
                  <c:v>4.570129196793637</c:v>
                </c:pt>
                <c:pt idx="12">
                  <c:v>4.5770478557031122</c:v>
                </c:pt>
                <c:pt idx="13">
                  <c:v>6.8737567545301452</c:v>
                </c:pt>
                <c:pt idx="14">
                  <c:v>6.880661481538886</c:v>
                </c:pt>
                <c:pt idx="15">
                  <c:v>6.887711846442941</c:v>
                </c:pt>
                <c:pt idx="16">
                  <c:v>6.8948872191310899</c:v>
                </c:pt>
                <c:pt idx="17">
                  <c:v>6.9020353699368293</c:v>
                </c:pt>
                <c:pt idx="18">
                  <c:v>6.9093615392762802</c:v>
                </c:pt>
                <c:pt idx="19">
                  <c:v>6.9166826787447624</c:v>
                </c:pt>
                <c:pt idx="20">
                  <c:v>6.9240275030911453</c:v>
                </c:pt>
                <c:pt idx="21">
                  <c:v>6.9313815984026839</c:v>
                </c:pt>
                <c:pt idx="22">
                  <c:v>6.9387136952268316</c:v>
                </c:pt>
                <c:pt idx="23">
                  <c:v>6.945914063713662</c:v>
                </c:pt>
                <c:pt idx="24">
                  <c:v>6.9529386886528357</c:v>
                </c:pt>
                <c:pt idx="25">
                  <c:v>6.9599038217131737</c:v>
                </c:pt>
                <c:pt idx="26">
                  <c:v>6.9667416579052936</c:v>
                </c:pt>
                <c:pt idx="27">
                  <c:v>6.973549886810849</c:v>
                </c:pt>
                <c:pt idx="28">
                  <c:v>6.9803081387236139</c:v>
                </c:pt>
                <c:pt idx="29">
                  <c:v>6.9869818639322769</c:v>
                </c:pt>
                <c:pt idx="30">
                  <c:v>6.9936385708923892</c:v>
                </c:pt>
              </c:numCache>
            </c:numRef>
          </c:val>
          <c:extLst>
            <c:ext xmlns:c16="http://schemas.microsoft.com/office/drawing/2014/chart" uri="{C3380CC4-5D6E-409C-BE32-E72D297353CC}">
              <c16:uniqueId val="{00000002-9AEF-4871-8A4C-CD7927D75EC8}"/>
            </c:ext>
          </c:extLst>
        </c:ser>
        <c:ser>
          <c:idx val="2"/>
          <c:order val="3"/>
          <c:tx>
            <c:v>Total leakage</c:v>
          </c:tx>
          <c:spPr>
            <a:ln w="25400">
              <a:noFill/>
            </a:ln>
          </c:spPr>
          <c:cat>
            <c:strRef>
              <c:f>ESWBLY!$G$385:$CI$385</c:f>
              <c:strCache>
                <c:ptCount val="3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strCache>
            </c:strRef>
          </c:cat>
          <c:val>
            <c:numRef>
              <c:f>ESWBLY!$G$389:$AK$389</c:f>
              <c:numCache>
                <c:formatCode>0.00</c:formatCode>
                <c:ptCount val="31"/>
                <c:pt idx="0">
                  <c:v>0</c:v>
                </c:pt>
                <c:pt idx="1">
                  <c:v>0</c:v>
                </c:pt>
                <c:pt idx="2">
                  <c:v>1.9305131976000001</c:v>
                </c:pt>
                <c:pt idx="3">
                  <c:v>1.6747597999999997</c:v>
                </c:pt>
                <c:pt idx="4">
                  <c:v>1.6092663999999997</c:v>
                </c:pt>
                <c:pt idx="5">
                  <c:v>1.5437730000000001</c:v>
                </c:pt>
                <c:pt idx="6">
                  <c:v>1.5437730000000001</c:v>
                </c:pt>
                <c:pt idx="7">
                  <c:v>1.5437730000000001</c:v>
                </c:pt>
                <c:pt idx="8">
                  <c:v>1.5437730000000001</c:v>
                </c:pt>
                <c:pt idx="9">
                  <c:v>1.5437730000000001</c:v>
                </c:pt>
                <c:pt idx="10">
                  <c:v>1.5437729999999998</c:v>
                </c:pt>
                <c:pt idx="11">
                  <c:v>1.5437730000000001</c:v>
                </c:pt>
                <c:pt idx="12">
                  <c:v>1.5437730000000001</c:v>
                </c:pt>
                <c:pt idx="13">
                  <c:v>1.5437730000000001</c:v>
                </c:pt>
                <c:pt idx="14">
                  <c:v>1.5437730000000001</c:v>
                </c:pt>
                <c:pt idx="15">
                  <c:v>1.5437730000000003</c:v>
                </c:pt>
                <c:pt idx="16">
                  <c:v>1.5437730000000001</c:v>
                </c:pt>
                <c:pt idx="17">
                  <c:v>1.5437730000000001</c:v>
                </c:pt>
                <c:pt idx="18">
                  <c:v>1.5437730000000001</c:v>
                </c:pt>
                <c:pt idx="19">
                  <c:v>1.5437730000000001</c:v>
                </c:pt>
                <c:pt idx="20">
                  <c:v>1.5437730000000001</c:v>
                </c:pt>
                <c:pt idx="21">
                  <c:v>1.5437730000000001</c:v>
                </c:pt>
                <c:pt idx="22">
                  <c:v>1.5437730000000001</c:v>
                </c:pt>
                <c:pt idx="23">
                  <c:v>1.5437730000000001</c:v>
                </c:pt>
                <c:pt idx="24">
                  <c:v>1.5437730000000003</c:v>
                </c:pt>
                <c:pt idx="25">
                  <c:v>1.5437730000000001</c:v>
                </c:pt>
                <c:pt idx="26">
                  <c:v>1.5437730000000001</c:v>
                </c:pt>
                <c:pt idx="27">
                  <c:v>1.5437729999999998</c:v>
                </c:pt>
                <c:pt idx="28">
                  <c:v>1.5437730000000001</c:v>
                </c:pt>
                <c:pt idx="29">
                  <c:v>1.5437730000000001</c:v>
                </c:pt>
                <c:pt idx="30">
                  <c:v>1.5437730000000003</c:v>
                </c:pt>
              </c:numCache>
            </c:numRef>
          </c:val>
          <c:extLst>
            <c:ext xmlns:c16="http://schemas.microsoft.com/office/drawing/2014/chart" uri="{C3380CC4-5D6E-409C-BE32-E72D297353CC}">
              <c16:uniqueId val="{00000003-9AEF-4871-8A4C-CD7927D75EC8}"/>
            </c:ext>
          </c:extLst>
        </c:ser>
        <c:ser>
          <c:idx val="3"/>
          <c:order val="4"/>
          <c:tx>
            <c:v>Other components of demand</c:v>
          </c:tx>
          <c:spPr>
            <a:ln w="25400">
              <a:noFill/>
            </a:ln>
          </c:spPr>
          <c:cat>
            <c:strRef>
              <c:f>ESWBLY!$G$385:$CI$385</c:f>
              <c:strCache>
                <c:ptCount val="3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strCache>
            </c:strRef>
          </c:cat>
          <c:val>
            <c:numRef>
              <c:f>ESWBLY!$G$390:$AK$390</c:f>
              <c:numCache>
                <c:formatCode>0.00</c:formatCode>
                <c:ptCount val="31"/>
                <c:pt idx="0">
                  <c:v>0</c:v>
                </c:pt>
                <c:pt idx="1">
                  <c:v>0</c:v>
                </c:pt>
                <c:pt idx="2">
                  <c:v>0.277795537065753</c:v>
                </c:pt>
                <c:pt idx="3">
                  <c:v>0.28679110094586946</c:v>
                </c:pt>
                <c:pt idx="4">
                  <c:v>0.28667830223778346</c:v>
                </c:pt>
                <c:pt idx="5">
                  <c:v>0.28666635882526315</c:v>
                </c:pt>
                <c:pt idx="6">
                  <c:v>0.28681924417601934</c:v>
                </c:pt>
                <c:pt idx="7">
                  <c:v>0.28666817348883455</c:v>
                </c:pt>
                <c:pt idx="8">
                  <c:v>0.28652736636110987</c:v>
                </c:pt>
                <c:pt idx="9">
                  <c:v>0.28642934410590826</c:v>
                </c:pt>
                <c:pt idx="10">
                  <c:v>0.28634444545303772</c:v>
                </c:pt>
                <c:pt idx="11">
                  <c:v>0.28626058878556293</c:v>
                </c:pt>
                <c:pt idx="12">
                  <c:v>0.28617900769864946</c:v>
                </c:pt>
                <c:pt idx="13">
                  <c:v>0.28609807701164769</c:v>
                </c:pt>
                <c:pt idx="14">
                  <c:v>0.28601754960978631</c:v>
                </c:pt>
                <c:pt idx="15">
                  <c:v>0.28593682664429387</c:v>
                </c:pt>
                <c:pt idx="16">
                  <c:v>0.2858565442465224</c:v>
                </c:pt>
                <c:pt idx="17">
                  <c:v>0.28577629448837527</c:v>
                </c:pt>
                <c:pt idx="18">
                  <c:v>0.28569680661217589</c:v>
                </c:pt>
                <c:pt idx="19">
                  <c:v>0.28561914534016353</c:v>
                </c:pt>
                <c:pt idx="20">
                  <c:v>0.28554217982271801</c:v>
                </c:pt>
                <c:pt idx="21">
                  <c:v>0.28546607989330042</c:v>
                </c:pt>
                <c:pt idx="22">
                  <c:v>0.28539138310902423</c:v>
                </c:pt>
                <c:pt idx="23">
                  <c:v>0.28531793812903494</c:v>
                </c:pt>
                <c:pt idx="24">
                  <c:v>0.28524457773786693</c:v>
                </c:pt>
                <c:pt idx="25">
                  <c:v>0.28517184232772586</c:v>
                </c:pt>
                <c:pt idx="26">
                  <c:v>0.28509979113052175</c:v>
                </c:pt>
                <c:pt idx="27">
                  <c:v>0.28502882070259616</c:v>
                </c:pt>
                <c:pt idx="28">
                  <c:v>0.28495939323705954</c:v>
                </c:pt>
                <c:pt idx="29">
                  <c:v>0.28489141228376091</c:v>
                </c:pt>
                <c:pt idx="30">
                  <c:v>0.28482452650324852</c:v>
                </c:pt>
              </c:numCache>
            </c:numRef>
          </c:val>
          <c:extLst>
            <c:ext xmlns:c16="http://schemas.microsoft.com/office/drawing/2014/chart" uri="{C3380CC4-5D6E-409C-BE32-E72D297353CC}">
              <c16:uniqueId val="{00000004-9AEF-4871-8A4C-CD7927D75EC8}"/>
            </c:ext>
          </c:extLst>
        </c:ser>
        <c:dLbls>
          <c:showLegendKey val="0"/>
          <c:showVal val="0"/>
          <c:showCatName val="0"/>
          <c:showSerName val="0"/>
          <c:showPercent val="0"/>
          <c:showBubbleSize val="0"/>
        </c:dLbls>
        <c:axId val="864304416"/>
        <c:axId val="864304808"/>
      </c:areaChart>
      <c:lineChart>
        <c:grouping val="standard"/>
        <c:varyColors val="0"/>
        <c:ser>
          <c:idx val="4"/>
          <c:order val="5"/>
          <c:tx>
            <c:v>Total water available for use</c:v>
          </c:tx>
          <c:spPr>
            <a:ln w="25400"/>
          </c:spPr>
          <c:marker>
            <c:symbol val="none"/>
          </c:marker>
          <c:cat>
            <c:strLit>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Lit>
          </c:cat>
          <c:val>
            <c:numRef>
              <c:f>ESWBLY!$G$391:$AK$391</c:f>
              <c:numCache>
                <c:formatCode>0.00</c:formatCode>
                <c:ptCount val="31"/>
                <c:pt idx="0">
                  <c:v>0</c:v>
                </c:pt>
                <c:pt idx="1">
                  <c:v>0</c:v>
                </c:pt>
                <c:pt idx="2">
                  <c:v>21.01135</c:v>
                </c:pt>
                <c:pt idx="3">
                  <c:v>21.01135</c:v>
                </c:pt>
                <c:pt idx="4">
                  <c:v>21.01135</c:v>
                </c:pt>
                <c:pt idx="5">
                  <c:v>21.01135</c:v>
                </c:pt>
                <c:pt idx="6">
                  <c:v>21.01135</c:v>
                </c:pt>
                <c:pt idx="7">
                  <c:v>21.01135</c:v>
                </c:pt>
                <c:pt idx="8">
                  <c:v>21.01135</c:v>
                </c:pt>
                <c:pt idx="9">
                  <c:v>21.01135</c:v>
                </c:pt>
                <c:pt idx="10">
                  <c:v>21.01135</c:v>
                </c:pt>
                <c:pt idx="11">
                  <c:v>21.01135</c:v>
                </c:pt>
                <c:pt idx="12">
                  <c:v>21.01135</c:v>
                </c:pt>
                <c:pt idx="13">
                  <c:v>21.01135</c:v>
                </c:pt>
                <c:pt idx="14">
                  <c:v>21.01135</c:v>
                </c:pt>
                <c:pt idx="15">
                  <c:v>21.01135</c:v>
                </c:pt>
                <c:pt idx="16">
                  <c:v>21.01135</c:v>
                </c:pt>
                <c:pt idx="17">
                  <c:v>21.01135</c:v>
                </c:pt>
                <c:pt idx="18">
                  <c:v>21.01135</c:v>
                </c:pt>
                <c:pt idx="19">
                  <c:v>21.01135</c:v>
                </c:pt>
                <c:pt idx="20">
                  <c:v>21.01135</c:v>
                </c:pt>
                <c:pt idx="21">
                  <c:v>21.01135</c:v>
                </c:pt>
                <c:pt idx="22">
                  <c:v>21.01135</c:v>
                </c:pt>
                <c:pt idx="23">
                  <c:v>21.01135</c:v>
                </c:pt>
                <c:pt idx="24">
                  <c:v>21.01135</c:v>
                </c:pt>
                <c:pt idx="25">
                  <c:v>21.01135</c:v>
                </c:pt>
                <c:pt idx="26">
                  <c:v>21.01135</c:v>
                </c:pt>
                <c:pt idx="27">
                  <c:v>21.01135</c:v>
                </c:pt>
                <c:pt idx="28">
                  <c:v>21.01135</c:v>
                </c:pt>
                <c:pt idx="29">
                  <c:v>21.01135</c:v>
                </c:pt>
                <c:pt idx="30">
                  <c:v>21.01135</c:v>
                </c:pt>
              </c:numCache>
            </c:numRef>
          </c:val>
          <c:smooth val="0"/>
          <c:extLst>
            <c:ext xmlns:c16="http://schemas.microsoft.com/office/drawing/2014/chart" uri="{C3380CC4-5D6E-409C-BE32-E72D297353CC}">
              <c16:uniqueId val="{00000005-9AEF-4871-8A4C-CD7927D75EC8}"/>
            </c:ext>
          </c:extLst>
        </c:ser>
        <c:ser>
          <c:idx val="5"/>
          <c:order val="6"/>
          <c:tx>
            <c:v>Total demand + target headroom (baseline)</c:v>
          </c:tx>
          <c:spPr>
            <a:ln w="25400"/>
          </c:spPr>
          <c:marker>
            <c:symbol val="none"/>
          </c:marker>
          <c:cat>
            <c:strLit>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Lit>
          </c:cat>
          <c:val>
            <c:numRef>
              <c:f>ESWBLY!$G$392:$AK$392</c:f>
              <c:numCache>
                <c:formatCode>0.00</c:formatCode>
                <c:ptCount val="31"/>
                <c:pt idx="0">
                  <c:v>0</c:v>
                </c:pt>
                <c:pt idx="1">
                  <c:v>0</c:v>
                </c:pt>
                <c:pt idx="2">
                  <c:v>11.633289293414379</c:v>
                </c:pt>
                <c:pt idx="3">
                  <c:v>11.961108406272139</c:v>
                </c:pt>
                <c:pt idx="4">
                  <c:v>11.938753916225965</c:v>
                </c:pt>
                <c:pt idx="5">
                  <c:v>11.956608012083725</c:v>
                </c:pt>
                <c:pt idx="6">
                  <c:v>11.995927975785678</c:v>
                </c:pt>
                <c:pt idx="7">
                  <c:v>12.017686567372007</c:v>
                </c:pt>
                <c:pt idx="8">
                  <c:v>12.044179628303445</c:v>
                </c:pt>
                <c:pt idx="9">
                  <c:v>12.044618072679148</c:v>
                </c:pt>
                <c:pt idx="10">
                  <c:v>12.033376094240877</c:v>
                </c:pt>
                <c:pt idx="11">
                  <c:v>12.031938039602274</c:v>
                </c:pt>
                <c:pt idx="12">
                  <c:v>12.043994998269886</c:v>
                </c:pt>
                <c:pt idx="13">
                  <c:v>14.378675000250539</c:v>
                </c:pt>
                <c:pt idx="14">
                  <c:v>14.389038577490222</c:v>
                </c:pt>
                <c:pt idx="15">
                  <c:v>14.40473653862604</c:v>
                </c:pt>
                <c:pt idx="16">
                  <c:v>14.418432008272127</c:v>
                </c:pt>
                <c:pt idx="17">
                  <c:v>14.437705132852939</c:v>
                </c:pt>
                <c:pt idx="18">
                  <c:v>14.45428387965711</c:v>
                </c:pt>
                <c:pt idx="19">
                  <c:v>14.475318878962668</c:v>
                </c:pt>
                <c:pt idx="20">
                  <c:v>14.494600634200948</c:v>
                </c:pt>
                <c:pt idx="21">
                  <c:v>14.506361899488502</c:v>
                </c:pt>
                <c:pt idx="22">
                  <c:v>14.522267667337022</c:v>
                </c:pt>
                <c:pt idx="23">
                  <c:v>14.544122721824492</c:v>
                </c:pt>
                <c:pt idx="24">
                  <c:v>14.563890935324949</c:v>
                </c:pt>
                <c:pt idx="25">
                  <c:v>14.586764053983304</c:v>
                </c:pt>
                <c:pt idx="26">
                  <c:v>14.609001656711484</c:v>
                </c:pt>
                <c:pt idx="27">
                  <c:v>14.632313520562148</c:v>
                </c:pt>
                <c:pt idx="28">
                  <c:v>14.651146390708247</c:v>
                </c:pt>
                <c:pt idx="29">
                  <c:v>14.679169649360423</c:v>
                </c:pt>
                <c:pt idx="30">
                  <c:v>14.705866629508707</c:v>
                </c:pt>
              </c:numCache>
            </c:numRef>
          </c:val>
          <c:smooth val="0"/>
          <c:extLst>
            <c:ext xmlns:c16="http://schemas.microsoft.com/office/drawing/2014/chart" uri="{C3380CC4-5D6E-409C-BE32-E72D297353CC}">
              <c16:uniqueId val="{00000006-9AEF-4871-8A4C-CD7927D75EC8}"/>
            </c:ext>
          </c:extLst>
        </c:ser>
        <c:dLbls>
          <c:showLegendKey val="0"/>
          <c:showVal val="0"/>
          <c:showCatName val="0"/>
          <c:showSerName val="0"/>
          <c:showPercent val="0"/>
          <c:showBubbleSize val="0"/>
        </c:dLbls>
        <c:marker val="1"/>
        <c:smooth val="0"/>
        <c:axId val="864304416"/>
        <c:axId val="864304808"/>
      </c:lineChart>
      <c:catAx>
        <c:axId val="864304416"/>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en-US"/>
          </a:p>
        </c:txPr>
        <c:crossAx val="864304808"/>
        <c:crosses val="autoZero"/>
        <c:auto val="1"/>
        <c:lblAlgn val="ctr"/>
        <c:lblOffset val="100"/>
        <c:tickLblSkip val="2"/>
        <c:tickMarkSkip val="1"/>
        <c:noMultiLvlLbl val="0"/>
      </c:catAx>
      <c:valAx>
        <c:axId val="864304808"/>
        <c:scaling>
          <c:orientation val="minMax"/>
        </c:scaling>
        <c:delete val="0"/>
        <c:axPos val="l"/>
        <c:majorGridlines>
          <c:spPr>
            <a:ln w="3175">
              <a:solidFill>
                <a:srgbClr val="000000"/>
              </a:solidFill>
              <a:prstDash val="solid"/>
            </a:ln>
          </c:spPr>
        </c:majorGridlines>
        <c:title>
          <c:tx>
            <c:rich>
              <a:bodyPr/>
              <a:lstStyle/>
              <a:p>
                <a:pPr>
                  <a:defRPr sz="1175" b="1" i="0" u="none" strike="noStrike" baseline="0">
                    <a:solidFill>
                      <a:srgbClr val="000000"/>
                    </a:solidFill>
                    <a:latin typeface="Arial"/>
                    <a:ea typeface="Arial"/>
                    <a:cs typeface="Arial"/>
                  </a:defRPr>
                </a:pPr>
                <a:r>
                  <a:rPr lang="en-GB"/>
                  <a:t>Ml/d</a:t>
                </a:r>
              </a:p>
            </c:rich>
          </c:tx>
          <c:layout>
            <c:manualLayout>
              <c:xMode val="edge"/>
              <c:yMode val="edge"/>
              <c:x val="2.0359337875782983E-2"/>
              <c:y val="0.39858528733632054"/>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864304416"/>
        <c:crosses val="autoZero"/>
        <c:crossBetween val="midCat"/>
      </c:valAx>
      <c:spPr>
        <a:solidFill>
          <a:schemeClr val="bg1"/>
        </a:solidFill>
        <a:ln w="12700">
          <a:solidFill>
            <a:srgbClr val="808080"/>
          </a:solidFill>
          <a:prstDash val="solid"/>
        </a:ln>
      </c:spPr>
    </c:plotArea>
    <c:legend>
      <c:legendPos val="b"/>
      <c:legendEntry>
        <c:idx val="0"/>
        <c:txPr>
          <a:bodyPr/>
          <a:lstStyle/>
          <a:p>
            <a:pPr>
              <a:defRPr sz="1000" b="0" i="0" u="none" strike="noStrike" baseline="0">
                <a:solidFill>
                  <a:srgbClr val="000000"/>
                </a:solidFill>
                <a:latin typeface="Arial"/>
                <a:ea typeface="Arial"/>
                <a:cs typeface="Arial"/>
              </a:defRPr>
            </a:pPr>
            <a:endParaRPr lang="en-US"/>
          </a:p>
        </c:txPr>
      </c:legendEntry>
      <c:layout>
        <c:manualLayout>
          <c:xMode val="edge"/>
          <c:yMode val="edge"/>
          <c:x val="0.16452269470774322"/>
          <c:y val="0.82158446545736608"/>
          <c:w val="0.7156398695723647"/>
          <c:h val="0.16402912270077008"/>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0"/>
    <c:dispBlanksAs val="zero"/>
    <c:showDLblsOverMax val="0"/>
  </c:chart>
  <c:spPr>
    <a:solidFill>
      <a:schemeClr val="accent5"/>
    </a:solidFill>
    <a:ln w="3175">
      <a:solidFill>
        <a:srgbClr val="000000"/>
      </a:solidFill>
      <a:prstDash val="solid"/>
    </a:ln>
  </c:spPr>
  <c:txPr>
    <a:bodyPr/>
    <a:lstStyle/>
    <a:p>
      <a:pPr>
        <a:defRPr sz="975" b="0" i="0" u="none" strike="noStrike" baseline="0">
          <a:solidFill>
            <a:srgbClr val="000000"/>
          </a:solidFill>
          <a:latin typeface="Arial"/>
          <a:ea typeface="Arial"/>
          <a:cs typeface="Arial"/>
        </a:defRPr>
      </a:pPr>
      <a:endParaRPr lang="en-US"/>
    </a:p>
  </c:txPr>
  <c:printSettings>
    <c:headerFooter alignWithMargins="0"/>
    <c:pageMargins b="1" l="0.75000000000000622" r="0.75000000000000622" t="1" header="0.5" footer="0.5"/>
    <c:pageSetup paperSize="9" orientation="landscape"/>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75" b="1" i="0" u="none" strike="noStrike" baseline="0">
                <a:solidFill>
                  <a:srgbClr val="000000"/>
                </a:solidFill>
                <a:latin typeface="Arial"/>
                <a:ea typeface="Arial"/>
                <a:cs typeface="Arial"/>
              </a:defRPr>
            </a:pPr>
            <a:r>
              <a:rPr lang="en-GB"/>
              <a:t>DYCP Final Plan Water Supply-Demand Balance and Components of Demand</a:t>
            </a:r>
          </a:p>
        </c:rich>
      </c:tx>
      <c:layout>
        <c:manualLayout>
          <c:xMode val="edge"/>
          <c:yMode val="edge"/>
          <c:x val="0.2095809470200265"/>
          <c:y val="2.9013693730272669E-2"/>
        </c:manualLayout>
      </c:layout>
      <c:overlay val="0"/>
      <c:spPr>
        <a:noFill/>
        <a:ln w="25400">
          <a:noFill/>
        </a:ln>
      </c:spPr>
    </c:title>
    <c:autoTitleDeleted val="0"/>
    <c:plotArea>
      <c:layout>
        <c:manualLayout>
          <c:layoutTarget val="inner"/>
          <c:xMode val="edge"/>
          <c:yMode val="edge"/>
          <c:x val="8.5343266856694813E-2"/>
          <c:y val="0.10444884139344435"/>
          <c:w val="0.89146608097046709"/>
          <c:h val="0.55130264550264552"/>
        </c:manualLayout>
      </c:layout>
      <c:areaChart>
        <c:grouping val="stacked"/>
        <c:varyColors val="0"/>
        <c:ser>
          <c:idx val="6"/>
          <c:order val="0"/>
          <c:tx>
            <c:v>Measured household consumption</c:v>
          </c:tx>
          <c:spPr>
            <a:ln w="25400">
              <a:noFill/>
            </a:ln>
          </c:spPr>
          <c:cat>
            <c:strRef>
              <c:f>ESWBLY!$G$394:$CI$394</c:f>
              <c:strCache>
                <c:ptCount val="3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strCache>
            </c:strRef>
          </c:cat>
          <c:val>
            <c:numRef>
              <c:f>ESWBLY!$G$395:$AK$395</c:f>
              <c:numCache>
                <c:formatCode>0.00</c:formatCode>
                <c:ptCount val="31"/>
                <c:pt idx="0">
                  <c:v>0</c:v>
                </c:pt>
                <c:pt idx="1">
                  <c:v>0</c:v>
                </c:pt>
                <c:pt idx="2">
                  <c:v>3.610113469569864</c:v>
                </c:pt>
                <c:pt idx="3">
                  <c:v>3.5630537606971457</c:v>
                </c:pt>
                <c:pt idx="4">
                  <c:v>3.5316955942590504</c:v>
                </c:pt>
                <c:pt idx="5">
                  <c:v>3.5152733242257606</c:v>
                </c:pt>
                <c:pt idx="6">
                  <c:v>3.4727388585675607</c:v>
                </c:pt>
                <c:pt idx="7">
                  <c:v>3.4769356716022477</c:v>
                </c:pt>
                <c:pt idx="8">
                  <c:v>3.4885295606728941</c:v>
                </c:pt>
                <c:pt idx="9">
                  <c:v>3.4458349373187653</c:v>
                </c:pt>
                <c:pt idx="10">
                  <c:v>3.668032862480997</c:v>
                </c:pt>
                <c:pt idx="11">
                  <c:v>4.0996181172143871</c:v>
                </c:pt>
                <c:pt idx="12">
                  <c:v>4.2375337195635945</c:v>
                </c:pt>
                <c:pt idx="13">
                  <c:v>4.1809121002592802</c:v>
                </c:pt>
                <c:pt idx="14">
                  <c:v>4.1120732835447447</c:v>
                </c:pt>
                <c:pt idx="15">
                  <c:v>4.0448527668151559</c:v>
                </c:pt>
                <c:pt idx="16">
                  <c:v>4.0285535142691362</c:v>
                </c:pt>
                <c:pt idx="17">
                  <c:v>4.0134020200421157</c:v>
                </c:pt>
                <c:pt idx="18">
                  <c:v>3.9997315254253993</c:v>
                </c:pt>
                <c:pt idx="19">
                  <c:v>3.9876519865738214</c:v>
                </c:pt>
                <c:pt idx="20">
                  <c:v>3.9732525596609944</c:v>
                </c:pt>
                <c:pt idx="21">
                  <c:v>3.9523014598429627</c:v>
                </c:pt>
                <c:pt idx="22">
                  <c:v>3.937985053470459</c:v>
                </c:pt>
                <c:pt idx="23">
                  <c:v>3.9255254804138051</c:v>
                </c:pt>
                <c:pt idx="24">
                  <c:v>3.9292547253678451</c:v>
                </c:pt>
                <c:pt idx="25">
                  <c:v>3.9335332846095885</c:v>
                </c:pt>
                <c:pt idx="26">
                  <c:v>3.9377528357784981</c:v>
                </c:pt>
                <c:pt idx="27">
                  <c:v>3.9431814814886366</c:v>
                </c:pt>
                <c:pt idx="28">
                  <c:v>3.9488077414827578</c:v>
                </c:pt>
                <c:pt idx="29">
                  <c:v>3.9552471397410347</c:v>
                </c:pt>
                <c:pt idx="30">
                  <c:v>3.961503192968427</c:v>
                </c:pt>
              </c:numCache>
            </c:numRef>
          </c:val>
          <c:extLst>
            <c:ext xmlns:c16="http://schemas.microsoft.com/office/drawing/2014/chart" uri="{C3380CC4-5D6E-409C-BE32-E72D297353CC}">
              <c16:uniqueId val="{00000000-315A-4A70-B9BD-7B8F780BF24A}"/>
            </c:ext>
          </c:extLst>
        </c:ser>
        <c:ser>
          <c:idx val="0"/>
          <c:order val="1"/>
          <c:tx>
            <c:v>Unmeasured household consumption</c:v>
          </c:tx>
          <c:spPr>
            <a:ln w="25400">
              <a:noFill/>
            </a:ln>
          </c:spPr>
          <c:cat>
            <c:strRef>
              <c:f>ESWBLY!$G$394:$CI$394</c:f>
              <c:strCache>
                <c:ptCount val="3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strCache>
            </c:strRef>
          </c:cat>
          <c:val>
            <c:numRef>
              <c:f>ESWBLY!$G$396:$AK$396</c:f>
              <c:numCache>
                <c:formatCode>0.00</c:formatCode>
                <c:ptCount val="31"/>
                <c:pt idx="0">
                  <c:v>0</c:v>
                </c:pt>
                <c:pt idx="1">
                  <c:v>0</c:v>
                </c:pt>
                <c:pt idx="2">
                  <c:v>2.1866636376326452</c:v>
                </c:pt>
                <c:pt idx="3">
                  <c:v>2.2221788626312171</c:v>
                </c:pt>
                <c:pt idx="4">
                  <c:v>2.0423820051820782</c:v>
                </c:pt>
                <c:pt idx="5">
                  <c:v>1.9626598081871922</c:v>
                </c:pt>
                <c:pt idx="6">
                  <c:v>1.8780887703973057</c:v>
                </c:pt>
                <c:pt idx="7">
                  <c:v>1.8391251699208353</c:v>
                </c:pt>
                <c:pt idx="8">
                  <c:v>1.7958378279016183</c:v>
                </c:pt>
                <c:pt idx="9">
                  <c:v>1.7453611462596634</c:v>
                </c:pt>
                <c:pt idx="10">
                  <c:v>1.279044452043824</c:v>
                </c:pt>
                <c:pt idx="11">
                  <c:v>0.56153114265817861</c:v>
                </c:pt>
                <c:pt idx="12">
                  <c:v>0.28147504688502223</c:v>
                </c:pt>
                <c:pt idx="13">
                  <c:v>0.27737640162148813</c:v>
                </c:pt>
                <c:pt idx="14">
                  <c:v>0.27239136612898529</c:v>
                </c:pt>
                <c:pt idx="15">
                  <c:v>0.26737606308100476</c:v>
                </c:pt>
                <c:pt idx="16">
                  <c:v>0.26378573585212867</c:v>
                </c:pt>
                <c:pt idx="17">
                  <c:v>0.26017134043568818</c:v>
                </c:pt>
                <c:pt idx="18">
                  <c:v>0.25650680276900589</c:v>
                </c:pt>
                <c:pt idx="19">
                  <c:v>0.25288572214271393</c:v>
                </c:pt>
                <c:pt idx="20">
                  <c:v>0.24922066084051137</c:v>
                </c:pt>
                <c:pt idx="21">
                  <c:v>0.24527153543292188</c:v>
                </c:pt>
                <c:pt idx="22">
                  <c:v>0.24103466656859893</c:v>
                </c:pt>
                <c:pt idx="23">
                  <c:v>0.23695097758842421</c:v>
                </c:pt>
                <c:pt idx="24">
                  <c:v>0.23404096852485923</c:v>
                </c:pt>
                <c:pt idx="25">
                  <c:v>0.2311445366941986</c:v>
                </c:pt>
                <c:pt idx="26">
                  <c:v>0.22830230379374222</c:v>
                </c:pt>
                <c:pt idx="27">
                  <c:v>0.22554003832447714</c:v>
                </c:pt>
                <c:pt idx="28">
                  <c:v>0.22276321915436509</c:v>
                </c:pt>
                <c:pt idx="29">
                  <c:v>0.22000514463064205</c:v>
                </c:pt>
                <c:pt idx="30">
                  <c:v>0.21717170876166919</c:v>
                </c:pt>
              </c:numCache>
            </c:numRef>
          </c:val>
          <c:extLst>
            <c:ext xmlns:c16="http://schemas.microsoft.com/office/drawing/2014/chart" uri="{C3380CC4-5D6E-409C-BE32-E72D297353CC}">
              <c16:uniqueId val="{00000001-315A-4A70-B9BD-7B8F780BF24A}"/>
            </c:ext>
          </c:extLst>
        </c:ser>
        <c:ser>
          <c:idx val="1"/>
          <c:order val="2"/>
          <c:tx>
            <c:v>Non-household consumption</c:v>
          </c:tx>
          <c:spPr>
            <a:ln w="25400">
              <a:noFill/>
            </a:ln>
          </c:spPr>
          <c:cat>
            <c:strRef>
              <c:f>ESWBLY!$G$394:$CI$394</c:f>
              <c:strCache>
                <c:ptCount val="3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strCache>
            </c:strRef>
          </c:cat>
          <c:val>
            <c:numRef>
              <c:f>ESWBLY!$G$397:$AK$397</c:f>
              <c:numCache>
                <c:formatCode>0.00</c:formatCode>
                <c:ptCount val="31"/>
                <c:pt idx="0">
                  <c:v>0</c:v>
                </c:pt>
                <c:pt idx="1">
                  <c:v>0</c:v>
                </c:pt>
                <c:pt idx="2">
                  <c:v>3.4165914597957534</c:v>
                </c:pt>
                <c:pt idx="3">
                  <c:v>3.969405642934285</c:v>
                </c:pt>
                <c:pt idx="4">
                  <c:v>4.133222604030875</c:v>
                </c:pt>
                <c:pt idx="5">
                  <c:v>4.3132373437964135</c:v>
                </c:pt>
                <c:pt idx="6">
                  <c:v>4.460696779493035</c:v>
                </c:pt>
                <c:pt idx="7">
                  <c:v>4.5010893076160512</c:v>
                </c:pt>
                <c:pt idx="8">
                  <c:v>4.506045716981486</c:v>
                </c:pt>
                <c:pt idx="9">
                  <c:v>4.5103129513190199</c:v>
                </c:pt>
                <c:pt idx="10">
                  <c:v>4.5116821654080281</c:v>
                </c:pt>
                <c:pt idx="11">
                  <c:v>4.4976011394228763</c:v>
                </c:pt>
                <c:pt idx="12">
                  <c:v>4.482764522923584</c:v>
                </c:pt>
                <c:pt idx="13">
                  <c:v>6.7577180522341553</c:v>
                </c:pt>
                <c:pt idx="14">
                  <c:v>6.7428673156187378</c:v>
                </c:pt>
                <c:pt idx="15">
                  <c:v>6.7281621227909376</c:v>
                </c:pt>
                <c:pt idx="16">
                  <c:v>6.7151281358376327</c:v>
                </c:pt>
                <c:pt idx="17">
                  <c:v>6.7020668328942206</c:v>
                </c:pt>
                <c:pt idx="18">
                  <c:v>6.689183454376824</c:v>
                </c:pt>
                <c:pt idx="19">
                  <c:v>6.6964935471219791</c:v>
                </c:pt>
                <c:pt idx="20">
                  <c:v>6.7038272306373408</c:v>
                </c:pt>
                <c:pt idx="21">
                  <c:v>6.7111700910101613</c:v>
                </c:pt>
                <c:pt idx="22">
                  <c:v>6.7184908587878942</c:v>
                </c:pt>
                <c:pt idx="23">
                  <c:v>6.7256798041206176</c:v>
                </c:pt>
                <c:pt idx="24">
                  <c:v>6.7326929117979857</c:v>
                </c:pt>
                <c:pt idx="25">
                  <c:v>6.7396464334888231</c:v>
                </c:pt>
                <c:pt idx="26">
                  <c:v>6.7464725642037475</c:v>
                </c:pt>
                <c:pt idx="27">
                  <c:v>6.7532689935244115</c:v>
                </c:pt>
                <c:pt idx="28">
                  <c:v>6.7600153517445891</c:v>
                </c:pt>
                <c:pt idx="29">
                  <c:v>6.7666770891529699</c:v>
                </c:pt>
                <c:pt idx="30">
                  <c:v>6.773321714205105</c:v>
                </c:pt>
              </c:numCache>
            </c:numRef>
          </c:val>
          <c:extLst>
            <c:ext xmlns:c16="http://schemas.microsoft.com/office/drawing/2014/chart" uri="{C3380CC4-5D6E-409C-BE32-E72D297353CC}">
              <c16:uniqueId val="{00000002-315A-4A70-B9BD-7B8F780BF24A}"/>
            </c:ext>
          </c:extLst>
        </c:ser>
        <c:ser>
          <c:idx val="2"/>
          <c:order val="3"/>
          <c:tx>
            <c:v>Total leakage</c:v>
          </c:tx>
          <c:spPr>
            <a:ln w="25400">
              <a:noFill/>
            </a:ln>
          </c:spPr>
          <c:cat>
            <c:strRef>
              <c:f>ESWBLY!$G$394:$CI$394</c:f>
              <c:strCache>
                <c:ptCount val="3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strCache>
            </c:strRef>
          </c:cat>
          <c:val>
            <c:numRef>
              <c:f>ESWBLY!$G$398:$AK$398</c:f>
              <c:numCache>
                <c:formatCode>0.00</c:formatCode>
                <c:ptCount val="31"/>
                <c:pt idx="0">
                  <c:v>0</c:v>
                </c:pt>
                <c:pt idx="1">
                  <c:v>0</c:v>
                </c:pt>
                <c:pt idx="2">
                  <c:v>1.9305131976000001</c:v>
                </c:pt>
                <c:pt idx="3">
                  <c:v>1.6747597999999997</c:v>
                </c:pt>
                <c:pt idx="4">
                  <c:v>1.6092663999999997</c:v>
                </c:pt>
                <c:pt idx="5">
                  <c:v>1.5437730000000001</c:v>
                </c:pt>
                <c:pt idx="6">
                  <c:v>1.5281028000000001</c:v>
                </c:pt>
                <c:pt idx="7">
                  <c:v>1.5124326000000001</c:v>
                </c:pt>
                <c:pt idx="8">
                  <c:v>1.4967624000000002</c:v>
                </c:pt>
                <c:pt idx="9">
                  <c:v>1.4810922000000002</c:v>
                </c:pt>
                <c:pt idx="10">
                  <c:v>1.4654220000000002</c:v>
                </c:pt>
                <c:pt idx="11">
                  <c:v>1.4497518000000003</c:v>
                </c:pt>
                <c:pt idx="12">
                  <c:v>1.4340816000000003</c:v>
                </c:pt>
                <c:pt idx="13">
                  <c:v>1.4184114000000003</c:v>
                </c:pt>
                <c:pt idx="14">
                  <c:v>1.4027412000000004</c:v>
                </c:pt>
                <c:pt idx="15">
                  <c:v>1.3870710000000004</c:v>
                </c:pt>
                <c:pt idx="16">
                  <c:v>1.3714008000000004</c:v>
                </c:pt>
                <c:pt idx="17">
                  <c:v>1.3557306000000005</c:v>
                </c:pt>
                <c:pt idx="18">
                  <c:v>1.3400604000000005</c:v>
                </c:pt>
                <c:pt idx="19">
                  <c:v>1.3243902000000005</c:v>
                </c:pt>
                <c:pt idx="20">
                  <c:v>1.3087200000000005</c:v>
                </c:pt>
                <c:pt idx="21">
                  <c:v>1.2930498000000006</c:v>
                </c:pt>
                <c:pt idx="22">
                  <c:v>1.2773796000000006</c:v>
                </c:pt>
                <c:pt idx="23">
                  <c:v>1.2617094000000004</c:v>
                </c:pt>
                <c:pt idx="24">
                  <c:v>1.2460392000000007</c:v>
                </c:pt>
                <c:pt idx="25">
                  <c:v>1.2303690000000007</c:v>
                </c:pt>
                <c:pt idx="26">
                  <c:v>1.2146988000000007</c:v>
                </c:pt>
                <c:pt idx="27">
                  <c:v>1.1990286000000008</c:v>
                </c:pt>
                <c:pt idx="28">
                  <c:v>1.1833584000000008</c:v>
                </c:pt>
                <c:pt idx="29">
                  <c:v>1.1676882000000011</c:v>
                </c:pt>
                <c:pt idx="30">
                  <c:v>1.152018</c:v>
                </c:pt>
              </c:numCache>
            </c:numRef>
          </c:val>
          <c:extLst>
            <c:ext xmlns:c16="http://schemas.microsoft.com/office/drawing/2014/chart" uri="{C3380CC4-5D6E-409C-BE32-E72D297353CC}">
              <c16:uniqueId val="{00000003-315A-4A70-B9BD-7B8F780BF24A}"/>
            </c:ext>
          </c:extLst>
        </c:ser>
        <c:ser>
          <c:idx val="3"/>
          <c:order val="4"/>
          <c:tx>
            <c:v>Other components of demand</c:v>
          </c:tx>
          <c:spPr>
            <a:ln w="25400">
              <a:noFill/>
            </a:ln>
          </c:spPr>
          <c:cat>
            <c:strRef>
              <c:f>ESWBLY!$G$394:$CI$394</c:f>
              <c:strCache>
                <c:ptCount val="3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strCache>
            </c:strRef>
          </c:cat>
          <c:val>
            <c:numRef>
              <c:f>ESWBLY!$G$399:$AK$399</c:f>
              <c:numCache>
                <c:formatCode>0.00</c:formatCode>
                <c:ptCount val="31"/>
                <c:pt idx="0">
                  <c:v>0</c:v>
                </c:pt>
                <c:pt idx="1">
                  <c:v>0</c:v>
                </c:pt>
                <c:pt idx="2">
                  <c:v>0.277795537065753</c:v>
                </c:pt>
                <c:pt idx="3">
                  <c:v>0.28679110094586946</c:v>
                </c:pt>
                <c:pt idx="4">
                  <c:v>0.28667830223778346</c:v>
                </c:pt>
                <c:pt idx="5">
                  <c:v>0.28666635882526315</c:v>
                </c:pt>
                <c:pt idx="6">
                  <c:v>0.28681847685005479</c:v>
                </c:pt>
                <c:pt idx="7">
                  <c:v>0.2866665207354071</c:v>
                </c:pt>
                <c:pt idx="8">
                  <c:v>0.28652547740467504</c:v>
                </c:pt>
                <c:pt idx="9">
                  <c:v>0.28642721894646428</c:v>
                </c:pt>
                <c:pt idx="10">
                  <c:v>0.28634461313646931</c:v>
                </c:pt>
                <c:pt idx="11">
                  <c:v>0.28626487528605793</c:v>
                </c:pt>
                <c:pt idx="12">
                  <c:v>0.28618499380624307</c:v>
                </c:pt>
                <c:pt idx="13">
                  <c:v>0.28610404658806665</c:v>
                </c:pt>
                <c:pt idx="14">
                  <c:v>0.28602350265502352</c:v>
                </c:pt>
                <c:pt idx="15">
                  <c:v>0.28594276315835465</c:v>
                </c:pt>
                <c:pt idx="16">
                  <c:v>0.28586246422940143</c:v>
                </c:pt>
                <c:pt idx="17">
                  <c:v>0.28578219794007431</c:v>
                </c:pt>
                <c:pt idx="18">
                  <c:v>0.2857026935326985</c:v>
                </c:pt>
                <c:pt idx="19">
                  <c:v>0.28562501572950616</c:v>
                </c:pt>
                <c:pt idx="20">
                  <c:v>0.28554803368088244</c:v>
                </c:pt>
                <c:pt idx="21">
                  <c:v>0.28547191934553595</c:v>
                </c:pt>
                <c:pt idx="22">
                  <c:v>0.28539721028058018</c:v>
                </c:pt>
                <c:pt idx="23">
                  <c:v>0.28532375301990953</c:v>
                </c:pt>
                <c:pt idx="24">
                  <c:v>0.28525038034805839</c:v>
                </c:pt>
                <c:pt idx="25">
                  <c:v>0.28517763265723417</c:v>
                </c:pt>
                <c:pt idx="26">
                  <c:v>0.28510556917935581</c:v>
                </c:pt>
                <c:pt idx="27">
                  <c:v>0.28503458647074886</c:v>
                </c:pt>
                <c:pt idx="28">
                  <c:v>0.28496514672452911</c:v>
                </c:pt>
                <c:pt idx="29">
                  <c:v>0.28489715349054912</c:v>
                </c:pt>
                <c:pt idx="30">
                  <c:v>0.28483025542935536</c:v>
                </c:pt>
              </c:numCache>
            </c:numRef>
          </c:val>
          <c:extLst>
            <c:ext xmlns:c16="http://schemas.microsoft.com/office/drawing/2014/chart" uri="{C3380CC4-5D6E-409C-BE32-E72D297353CC}">
              <c16:uniqueId val="{00000004-315A-4A70-B9BD-7B8F780BF24A}"/>
            </c:ext>
          </c:extLst>
        </c:ser>
        <c:dLbls>
          <c:showLegendKey val="0"/>
          <c:showVal val="0"/>
          <c:showCatName val="0"/>
          <c:showSerName val="0"/>
          <c:showPercent val="0"/>
          <c:showBubbleSize val="0"/>
        </c:dLbls>
        <c:axId val="814784328"/>
        <c:axId val="814784720"/>
      </c:areaChart>
      <c:lineChart>
        <c:grouping val="standard"/>
        <c:varyColors val="0"/>
        <c:ser>
          <c:idx val="4"/>
          <c:order val="5"/>
          <c:tx>
            <c:v>Total water available for use</c:v>
          </c:tx>
          <c:spPr>
            <a:ln w="25400"/>
          </c:spPr>
          <c:marker>
            <c:symbol val="none"/>
          </c:marker>
          <c:cat>
            <c:strLit>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Lit>
          </c:cat>
          <c:val>
            <c:numRef>
              <c:f>ESWBLY!$G$400:$AK$400</c:f>
              <c:numCache>
                <c:formatCode>0.00</c:formatCode>
                <c:ptCount val="31"/>
                <c:pt idx="0">
                  <c:v>0</c:v>
                </c:pt>
                <c:pt idx="1">
                  <c:v>0</c:v>
                </c:pt>
                <c:pt idx="2">
                  <c:v>21.588554036700287</c:v>
                </c:pt>
                <c:pt idx="3">
                  <c:v>21.587054870837449</c:v>
                </c:pt>
                <c:pt idx="4">
                  <c:v>21.566362890954544</c:v>
                </c:pt>
                <c:pt idx="5">
                  <c:v>21.556931840079464</c:v>
                </c:pt>
                <c:pt idx="6">
                  <c:v>21.54440424018717</c:v>
                </c:pt>
                <c:pt idx="7">
                  <c:v>21.541030936203384</c:v>
                </c:pt>
                <c:pt idx="8">
                  <c:v>21.537980462897082</c:v>
                </c:pt>
                <c:pt idx="9">
                  <c:v>21.528760198656805</c:v>
                </c:pt>
                <c:pt idx="10">
                  <c:v>21.505682502649258</c:v>
                </c:pt>
                <c:pt idx="11">
                  <c:v>21.479206893048634</c:v>
                </c:pt>
                <c:pt idx="12">
                  <c:v>21.465797507166279</c:v>
                </c:pt>
                <c:pt idx="13">
                  <c:v>21.459695278038843</c:v>
                </c:pt>
                <c:pt idx="14">
                  <c:v>21.45227622900785</c:v>
                </c:pt>
                <c:pt idx="15">
                  <c:v>21.445017140064628</c:v>
                </c:pt>
                <c:pt idx="16">
                  <c:v>21.443024936059899</c:v>
                </c:pt>
                <c:pt idx="17">
                  <c:v>21.441145918142524</c:v>
                </c:pt>
                <c:pt idx="18">
                  <c:v>21.439411078183355</c:v>
                </c:pt>
                <c:pt idx="19">
                  <c:v>21.437840580142556</c:v>
                </c:pt>
                <c:pt idx="20">
                  <c:v>21.436032109559868</c:v>
                </c:pt>
                <c:pt idx="21">
                  <c:v>21.433536089209589</c:v>
                </c:pt>
                <c:pt idx="22">
                  <c:v>21.431680058580511</c:v>
                </c:pt>
                <c:pt idx="23">
                  <c:v>21.430025867997067</c:v>
                </c:pt>
                <c:pt idx="24">
                  <c:v>21.430116354726991</c:v>
                </c:pt>
                <c:pt idx="25">
                  <c:v>21.430263418554361</c:v>
                </c:pt>
                <c:pt idx="26">
                  <c:v>21.430409758022236</c:v>
                </c:pt>
                <c:pt idx="27">
                  <c:v>21.430685578287516</c:v>
                </c:pt>
                <c:pt idx="28">
                  <c:v>21.430979789948765</c:v>
                </c:pt>
                <c:pt idx="29">
                  <c:v>21.431357630557287</c:v>
                </c:pt>
                <c:pt idx="30">
                  <c:v>21.431709586186308</c:v>
                </c:pt>
              </c:numCache>
            </c:numRef>
          </c:val>
          <c:smooth val="0"/>
          <c:extLst>
            <c:ext xmlns:c16="http://schemas.microsoft.com/office/drawing/2014/chart" uri="{C3380CC4-5D6E-409C-BE32-E72D297353CC}">
              <c16:uniqueId val="{00000005-315A-4A70-B9BD-7B8F780BF24A}"/>
            </c:ext>
          </c:extLst>
        </c:ser>
        <c:ser>
          <c:idx val="5"/>
          <c:order val="6"/>
          <c:tx>
            <c:v>Total demand + target headroom (final plan)</c:v>
          </c:tx>
          <c:spPr>
            <a:ln w="25400"/>
          </c:spPr>
          <c:marker>
            <c:symbol val="none"/>
          </c:marker>
          <c:cat>
            <c:strLit>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Lit>
          </c:cat>
          <c:val>
            <c:numRef>
              <c:f>ESWBLY!$G$401:$AK$401</c:f>
              <c:numCache>
                <c:formatCode>0.00</c:formatCode>
                <c:ptCount val="31"/>
                <c:pt idx="0">
                  <c:v>0</c:v>
                </c:pt>
                <c:pt idx="1">
                  <c:v>0</c:v>
                </c:pt>
                <c:pt idx="2">
                  <c:v>11.633289293414379</c:v>
                </c:pt>
                <c:pt idx="3">
                  <c:v>11.961108406272139</c:v>
                </c:pt>
                <c:pt idx="4">
                  <c:v>11.938753916225965</c:v>
                </c:pt>
                <c:pt idx="5">
                  <c:v>11.956608012083725</c:v>
                </c:pt>
                <c:pt idx="6">
                  <c:v>11.958312476716797</c:v>
                </c:pt>
                <c:pt idx="7">
                  <c:v>11.935366761760552</c:v>
                </c:pt>
                <c:pt idx="8">
                  <c:v>11.887887480263057</c:v>
                </c:pt>
                <c:pt idx="9">
                  <c:v>11.776973710743164</c:v>
                </c:pt>
                <c:pt idx="10">
                  <c:v>11.521230717272427</c:v>
                </c:pt>
                <c:pt idx="11">
                  <c:v>11.200310453232284</c:v>
                </c:pt>
                <c:pt idx="12">
                  <c:v>11.023208699464897</c:v>
                </c:pt>
                <c:pt idx="13">
                  <c:v>13.248212666514572</c:v>
                </c:pt>
                <c:pt idx="14">
                  <c:v>13.137445152082336</c:v>
                </c:pt>
                <c:pt idx="15">
                  <c:v>13.033166369937073</c:v>
                </c:pt>
                <c:pt idx="16">
                  <c:v>12.979471478255617</c:v>
                </c:pt>
                <c:pt idx="17">
                  <c:v>12.93153470135254</c:v>
                </c:pt>
                <c:pt idx="18">
                  <c:v>12.880724078788523</c:v>
                </c:pt>
                <c:pt idx="19">
                  <c:v>12.854396110990725</c:v>
                </c:pt>
                <c:pt idx="20">
                  <c:v>12.826934306362331</c:v>
                </c:pt>
                <c:pt idx="21">
                  <c:v>12.792590694237074</c:v>
                </c:pt>
                <c:pt idx="22">
                  <c:v>12.761850416576015</c:v>
                </c:pt>
                <c:pt idx="23">
                  <c:v>12.736880289963608</c:v>
                </c:pt>
                <c:pt idx="24">
                  <c:v>12.725917244049834</c:v>
                </c:pt>
                <c:pt idx="25">
                  <c:v>12.717906756902538</c:v>
                </c:pt>
                <c:pt idx="26">
                  <c:v>12.709652389306623</c:v>
                </c:pt>
                <c:pt idx="27">
                  <c:v>12.702295869334963</c:v>
                </c:pt>
                <c:pt idx="28">
                  <c:v>12.690165556243043</c:v>
                </c:pt>
                <c:pt idx="29">
                  <c:v>12.686945097565356</c:v>
                </c:pt>
                <c:pt idx="30">
                  <c:v>12.682328743942334</c:v>
                </c:pt>
              </c:numCache>
            </c:numRef>
          </c:val>
          <c:smooth val="0"/>
          <c:extLst>
            <c:ext xmlns:c16="http://schemas.microsoft.com/office/drawing/2014/chart" uri="{C3380CC4-5D6E-409C-BE32-E72D297353CC}">
              <c16:uniqueId val="{00000006-315A-4A70-B9BD-7B8F780BF24A}"/>
            </c:ext>
          </c:extLst>
        </c:ser>
        <c:dLbls>
          <c:showLegendKey val="0"/>
          <c:showVal val="0"/>
          <c:showCatName val="0"/>
          <c:showSerName val="0"/>
          <c:showPercent val="0"/>
          <c:showBubbleSize val="0"/>
        </c:dLbls>
        <c:marker val="1"/>
        <c:smooth val="0"/>
        <c:axId val="814784328"/>
        <c:axId val="814784720"/>
      </c:lineChart>
      <c:catAx>
        <c:axId val="814784328"/>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en-US"/>
          </a:p>
        </c:txPr>
        <c:crossAx val="814784720"/>
        <c:crosses val="autoZero"/>
        <c:auto val="1"/>
        <c:lblAlgn val="ctr"/>
        <c:lblOffset val="100"/>
        <c:tickLblSkip val="2"/>
        <c:tickMarkSkip val="1"/>
        <c:noMultiLvlLbl val="0"/>
      </c:catAx>
      <c:valAx>
        <c:axId val="814784720"/>
        <c:scaling>
          <c:orientation val="minMax"/>
        </c:scaling>
        <c:delete val="0"/>
        <c:axPos val="l"/>
        <c:majorGridlines>
          <c:spPr>
            <a:ln w="3175">
              <a:solidFill>
                <a:srgbClr val="000000"/>
              </a:solidFill>
              <a:prstDash val="solid"/>
            </a:ln>
          </c:spPr>
        </c:majorGridlines>
        <c:title>
          <c:tx>
            <c:rich>
              <a:bodyPr/>
              <a:lstStyle/>
              <a:p>
                <a:pPr>
                  <a:defRPr sz="1175" b="1" i="0" u="none" strike="noStrike" baseline="0">
                    <a:solidFill>
                      <a:srgbClr val="000000"/>
                    </a:solidFill>
                    <a:latin typeface="Arial"/>
                    <a:ea typeface="Arial"/>
                    <a:cs typeface="Arial"/>
                  </a:defRPr>
                </a:pPr>
                <a:r>
                  <a:rPr lang="en-GB"/>
                  <a:t>Ml/d</a:t>
                </a:r>
              </a:p>
            </c:rich>
          </c:tx>
          <c:layout>
            <c:manualLayout>
              <c:xMode val="edge"/>
              <c:yMode val="edge"/>
              <c:x val="2.0359337875782983E-2"/>
              <c:y val="0.39858528733632054"/>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814784328"/>
        <c:crosses val="autoZero"/>
        <c:crossBetween val="midCat"/>
      </c:valAx>
      <c:spPr>
        <a:solidFill>
          <a:schemeClr val="bg1"/>
        </a:solidFill>
        <a:ln w="12700">
          <a:solidFill>
            <a:srgbClr val="808080"/>
          </a:solidFill>
          <a:prstDash val="solid"/>
        </a:ln>
      </c:spPr>
    </c:plotArea>
    <c:legend>
      <c:legendPos val="b"/>
      <c:legendEntry>
        <c:idx val="0"/>
        <c:txPr>
          <a:bodyPr/>
          <a:lstStyle/>
          <a:p>
            <a:pPr>
              <a:defRPr sz="1000" b="0" i="0" u="none" strike="noStrike" baseline="0">
                <a:solidFill>
                  <a:srgbClr val="000000"/>
                </a:solidFill>
                <a:latin typeface="Arial"/>
                <a:ea typeface="Arial"/>
                <a:cs typeface="Arial"/>
              </a:defRPr>
            </a:pPr>
            <a:endParaRPr lang="en-US"/>
          </a:p>
        </c:txPr>
      </c:legendEntry>
      <c:layout>
        <c:manualLayout>
          <c:xMode val="edge"/>
          <c:yMode val="edge"/>
          <c:x val="0.16452269470774322"/>
          <c:y val="0.82158446545736608"/>
          <c:w val="0.7156398695723647"/>
          <c:h val="0.16402912270077008"/>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0"/>
    <c:dispBlanksAs val="zero"/>
    <c:showDLblsOverMax val="0"/>
  </c:chart>
  <c:spPr>
    <a:solidFill>
      <a:schemeClr val="accent1"/>
    </a:solidFill>
    <a:ln w="3175">
      <a:solidFill>
        <a:srgbClr val="000000"/>
      </a:solidFill>
      <a:prstDash val="solid"/>
    </a:ln>
  </c:spPr>
  <c:txPr>
    <a:bodyPr/>
    <a:lstStyle/>
    <a:p>
      <a:pPr>
        <a:defRPr sz="975" b="0" i="0" u="none" strike="noStrike" baseline="0">
          <a:solidFill>
            <a:srgbClr val="000000"/>
          </a:solidFill>
          <a:latin typeface="Arial"/>
          <a:ea typeface="Arial"/>
          <a:cs typeface="Arial"/>
        </a:defRPr>
      </a:pPr>
      <a:endParaRPr lang="en-US"/>
    </a:p>
  </c:txPr>
  <c:printSettings>
    <c:headerFooter alignWithMargins="0"/>
    <c:pageMargins b="1" l="0.75000000000000622" r="0.75000000000000622" t="1" header="0.5" footer="0.5"/>
    <c:pageSetup paperSize="9" orientation="landscape"/>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75" b="1" i="0" u="none" strike="noStrike" baseline="0">
                <a:solidFill>
                  <a:srgbClr val="000000"/>
                </a:solidFill>
                <a:latin typeface="Arial"/>
                <a:ea typeface="Arial"/>
                <a:cs typeface="Arial"/>
              </a:defRPr>
            </a:pPr>
            <a:r>
              <a:rPr lang="en-GB"/>
              <a:t>DYAA Baseline Water Supply-Demand Balance and Components of Demand</a:t>
            </a:r>
          </a:p>
        </c:rich>
      </c:tx>
      <c:layout>
        <c:manualLayout>
          <c:xMode val="edge"/>
          <c:yMode val="edge"/>
          <c:x val="0.2095809470200265"/>
          <c:y val="2.9013693730272669E-2"/>
        </c:manualLayout>
      </c:layout>
      <c:overlay val="0"/>
      <c:spPr>
        <a:noFill/>
        <a:ln w="25400">
          <a:noFill/>
        </a:ln>
      </c:spPr>
    </c:title>
    <c:autoTitleDeleted val="0"/>
    <c:plotArea>
      <c:layout>
        <c:manualLayout>
          <c:layoutTarget val="inner"/>
          <c:xMode val="edge"/>
          <c:yMode val="edge"/>
          <c:x val="8.5343266856694813E-2"/>
          <c:y val="0.10444884139344435"/>
          <c:w val="0.89146608097046709"/>
          <c:h val="0.55130264550264552"/>
        </c:manualLayout>
      </c:layout>
      <c:areaChart>
        <c:grouping val="stacked"/>
        <c:varyColors val="0"/>
        <c:ser>
          <c:idx val="6"/>
          <c:order val="0"/>
          <c:tx>
            <c:v>Measured household consumption</c:v>
          </c:tx>
          <c:spPr>
            <a:ln w="25400">
              <a:noFill/>
            </a:ln>
          </c:spPr>
          <c:cat>
            <c:strRef>
              <c:f>ESWESX!$G$23:$CI$23</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ESWESX!$G$368:$CI$368</c:f>
              <c:numCache>
                <c:formatCode>0.00</c:formatCode>
                <c:ptCount val="81"/>
                <c:pt idx="0">
                  <c:v>0</c:v>
                </c:pt>
                <c:pt idx="1">
                  <c:v>0</c:v>
                </c:pt>
                <c:pt idx="2">
                  <c:v>150.99392196286217</c:v>
                </c:pt>
                <c:pt idx="3">
                  <c:v>151.76561733431393</c:v>
                </c:pt>
                <c:pt idx="4">
                  <c:v>155.50519630099194</c:v>
                </c:pt>
                <c:pt idx="5">
                  <c:v>159.46790818240859</c:v>
                </c:pt>
                <c:pt idx="6">
                  <c:v>169.8343130712932</c:v>
                </c:pt>
                <c:pt idx="7">
                  <c:v>183.00541460188063</c:v>
                </c:pt>
                <c:pt idx="8">
                  <c:v>191.30429998132843</c:v>
                </c:pt>
                <c:pt idx="9">
                  <c:v>195.35144390050402</c:v>
                </c:pt>
                <c:pt idx="10">
                  <c:v>198.77914229568051</c:v>
                </c:pt>
                <c:pt idx="11">
                  <c:v>201.19238476483213</c:v>
                </c:pt>
                <c:pt idx="12">
                  <c:v>203.43458124032165</c:v>
                </c:pt>
                <c:pt idx="13">
                  <c:v>205.1892163735304</c:v>
                </c:pt>
                <c:pt idx="14">
                  <c:v>207.03088286401368</c:v>
                </c:pt>
                <c:pt idx="15">
                  <c:v>208.80054684741174</c:v>
                </c:pt>
                <c:pt idx="16">
                  <c:v>210.54947196513643</c:v>
                </c:pt>
                <c:pt idx="17">
                  <c:v>212.11277383598872</c:v>
                </c:pt>
                <c:pt idx="18">
                  <c:v>213.82956804895778</c:v>
                </c:pt>
                <c:pt idx="19">
                  <c:v>215.66506357805093</c:v>
                </c:pt>
                <c:pt idx="20">
                  <c:v>217.55903419218455</c:v>
                </c:pt>
                <c:pt idx="21">
                  <c:v>216.57534299262659</c:v>
                </c:pt>
                <c:pt idx="22">
                  <c:v>218.45808315545432</c:v>
                </c:pt>
                <c:pt idx="23">
                  <c:v>220.42998650177469</c:v>
                </c:pt>
                <c:pt idx="24">
                  <c:v>222.48509052660265</c:v>
                </c:pt>
                <c:pt idx="25">
                  <c:v>224.62830099528881</c:v>
                </c:pt>
                <c:pt idx="26">
                  <c:v>226.79465421059908</c:v>
                </c:pt>
                <c:pt idx="27">
                  <c:v>224.93405321946832</c:v>
                </c:pt>
                <c:pt idx="28">
                  <c:v>227.1928603489479</c:v>
                </c:pt>
                <c:pt idx="29">
                  <c:v>227.42231899721284</c:v>
                </c:pt>
                <c:pt idx="30">
                  <c:v>229.73598168528511</c:v>
                </c:pt>
              </c:numCache>
            </c:numRef>
          </c:val>
          <c:extLst>
            <c:ext xmlns:c16="http://schemas.microsoft.com/office/drawing/2014/chart" uri="{C3380CC4-5D6E-409C-BE32-E72D297353CC}">
              <c16:uniqueId val="{00000000-7915-4BBB-BDD4-C66B88654D50}"/>
            </c:ext>
          </c:extLst>
        </c:ser>
        <c:ser>
          <c:idx val="0"/>
          <c:order val="1"/>
          <c:tx>
            <c:v>Unmeasured household consumption</c:v>
          </c:tx>
          <c:spPr>
            <a:ln w="25400">
              <a:noFill/>
            </a:ln>
          </c:spPr>
          <c:cat>
            <c:strRef>
              <c:f>ESWESX!$G$23:$CI$23</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ESWESX!$G$369:$CI$369</c:f>
              <c:numCache>
                <c:formatCode>0.00</c:formatCode>
                <c:ptCount val="81"/>
                <c:pt idx="0">
                  <c:v>0</c:v>
                </c:pt>
                <c:pt idx="1">
                  <c:v>0</c:v>
                </c:pt>
                <c:pt idx="2">
                  <c:v>142.45469610495948</c:v>
                </c:pt>
                <c:pt idx="3">
                  <c:v>136.88205916394443</c:v>
                </c:pt>
                <c:pt idx="4">
                  <c:v>131.3845093671724</c:v>
                </c:pt>
                <c:pt idx="5">
                  <c:v>124.41885192108404</c:v>
                </c:pt>
                <c:pt idx="6">
                  <c:v>112.92934701861353</c:v>
                </c:pt>
                <c:pt idx="7">
                  <c:v>99.519643166017914</c:v>
                </c:pt>
                <c:pt idx="8">
                  <c:v>92.753525374386911</c:v>
                </c:pt>
                <c:pt idx="9">
                  <c:v>90.410726828953941</c:v>
                </c:pt>
                <c:pt idx="10">
                  <c:v>88.070274337851302</c:v>
                </c:pt>
                <c:pt idx="11">
                  <c:v>86.160339229413566</c:v>
                </c:pt>
                <c:pt idx="12">
                  <c:v>84.663026195691657</c:v>
                </c:pt>
                <c:pt idx="13">
                  <c:v>83.183907777554666</c:v>
                </c:pt>
                <c:pt idx="14">
                  <c:v>81.708893353662887</c:v>
                </c:pt>
                <c:pt idx="15">
                  <c:v>80.258923572504528</c:v>
                </c:pt>
                <c:pt idx="16">
                  <c:v>79.138229813853741</c:v>
                </c:pt>
                <c:pt idx="17">
                  <c:v>78.352511678261394</c:v>
                </c:pt>
                <c:pt idx="18">
                  <c:v>77.574896314615245</c:v>
                </c:pt>
                <c:pt idx="19">
                  <c:v>76.818913350272112</c:v>
                </c:pt>
                <c:pt idx="20">
                  <c:v>76.065016401437632</c:v>
                </c:pt>
                <c:pt idx="21">
                  <c:v>75.325308553852608</c:v>
                </c:pt>
                <c:pt idx="22">
                  <c:v>74.592772679655411</c:v>
                </c:pt>
                <c:pt idx="23">
                  <c:v>73.886436712121366</c:v>
                </c:pt>
                <c:pt idx="24">
                  <c:v>73.186592891769067</c:v>
                </c:pt>
                <c:pt idx="25">
                  <c:v>72.499608161937786</c:v>
                </c:pt>
                <c:pt idx="26">
                  <c:v>71.156211221499419</c:v>
                </c:pt>
                <c:pt idx="27">
                  <c:v>70.50683863665347</c:v>
                </c:pt>
                <c:pt idx="28">
                  <c:v>69.862982339019538</c:v>
                </c:pt>
                <c:pt idx="29">
                  <c:v>69.230913712885325</c:v>
                </c:pt>
                <c:pt idx="30">
                  <c:v>68.60398547732396</c:v>
                </c:pt>
              </c:numCache>
            </c:numRef>
          </c:val>
          <c:extLst>
            <c:ext xmlns:c16="http://schemas.microsoft.com/office/drawing/2014/chart" uri="{C3380CC4-5D6E-409C-BE32-E72D297353CC}">
              <c16:uniqueId val="{00000001-7915-4BBB-BDD4-C66B88654D50}"/>
            </c:ext>
          </c:extLst>
        </c:ser>
        <c:ser>
          <c:idx val="1"/>
          <c:order val="2"/>
          <c:tx>
            <c:v>Non-household consumption</c:v>
          </c:tx>
          <c:spPr>
            <a:ln w="25400">
              <a:noFill/>
            </a:ln>
          </c:spPr>
          <c:cat>
            <c:strRef>
              <c:f>ESWESX!$G$23:$CI$23</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ESWESX!$G$370:$CI$370</c:f>
              <c:numCache>
                <c:formatCode>0.00</c:formatCode>
                <c:ptCount val="81"/>
                <c:pt idx="0">
                  <c:v>0</c:v>
                </c:pt>
                <c:pt idx="1">
                  <c:v>0</c:v>
                </c:pt>
                <c:pt idx="2">
                  <c:v>50.392417519343113</c:v>
                </c:pt>
                <c:pt idx="3">
                  <c:v>51.337541457845965</c:v>
                </c:pt>
                <c:pt idx="4">
                  <c:v>53.84507517937535</c:v>
                </c:pt>
                <c:pt idx="5">
                  <c:v>56.309954896085912</c:v>
                </c:pt>
                <c:pt idx="6">
                  <c:v>60.801632222831827</c:v>
                </c:pt>
                <c:pt idx="7">
                  <c:v>61.61105687062777</c:v>
                </c:pt>
                <c:pt idx="8">
                  <c:v>60.796607605350218</c:v>
                </c:pt>
                <c:pt idx="9">
                  <c:v>62.188300195624976</c:v>
                </c:pt>
                <c:pt idx="10">
                  <c:v>63.056391784099496</c:v>
                </c:pt>
                <c:pt idx="11">
                  <c:v>63.512933337102297</c:v>
                </c:pt>
                <c:pt idx="12">
                  <c:v>63.507517698488066</c:v>
                </c:pt>
                <c:pt idx="13">
                  <c:v>63.846047212297783</c:v>
                </c:pt>
                <c:pt idx="14">
                  <c:v>64.022560289131746</c:v>
                </c:pt>
                <c:pt idx="15">
                  <c:v>63.880985138950869</c:v>
                </c:pt>
                <c:pt idx="16">
                  <c:v>63.603216098845131</c:v>
                </c:pt>
                <c:pt idx="17">
                  <c:v>62.987553881324317</c:v>
                </c:pt>
                <c:pt idx="18">
                  <c:v>62.415927261068859</c:v>
                </c:pt>
                <c:pt idx="19">
                  <c:v>61.88859394817397</c:v>
                </c:pt>
                <c:pt idx="20">
                  <c:v>61.875837264783968</c:v>
                </c:pt>
                <c:pt idx="21">
                  <c:v>61.863018006994352</c:v>
                </c:pt>
                <c:pt idx="22">
                  <c:v>61.848532839562061</c:v>
                </c:pt>
                <c:pt idx="23">
                  <c:v>61.833173140324753</c:v>
                </c:pt>
                <c:pt idx="24">
                  <c:v>61.818256568383354</c:v>
                </c:pt>
                <c:pt idx="25">
                  <c:v>61.805922277100343</c:v>
                </c:pt>
                <c:pt idx="26">
                  <c:v>61.795249089391319</c:v>
                </c:pt>
                <c:pt idx="27">
                  <c:v>61.78522712568661</c:v>
                </c:pt>
                <c:pt idx="28">
                  <c:v>61.77577099805417</c:v>
                </c:pt>
                <c:pt idx="29">
                  <c:v>61.767231012632529</c:v>
                </c:pt>
                <c:pt idx="30">
                  <c:v>61.759029800543694</c:v>
                </c:pt>
              </c:numCache>
            </c:numRef>
          </c:val>
          <c:extLst>
            <c:ext xmlns:c16="http://schemas.microsoft.com/office/drawing/2014/chart" uri="{C3380CC4-5D6E-409C-BE32-E72D297353CC}">
              <c16:uniqueId val="{00000002-7915-4BBB-BDD4-C66B88654D50}"/>
            </c:ext>
          </c:extLst>
        </c:ser>
        <c:ser>
          <c:idx val="2"/>
          <c:order val="3"/>
          <c:tx>
            <c:v>Total leakage</c:v>
          </c:tx>
          <c:spPr>
            <a:ln w="25400">
              <a:noFill/>
            </a:ln>
          </c:spPr>
          <c:cat>
            <c:strRef>
              <c:f>ESWESX!$G$23:$CI$23</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ESWESX!$G$371:$CI$371</c:f>
              <c:numCache>
                <c:formatCode>0.00</c:formatCode>
                <c:ptCount val="81"/>
                <c:pt idx="0">
                  <c:v>0</c:v>
                </c:pt>
                <c:pt idx="1">
                  <c:v>0</c:v>
                </c:pt>
                <c:pt idx="2">
                  <c:v>53.344869343162344</c:v>
                </c:pt>
                <c:pt idx="3">
                  <c:v>52.857053199999996</c:v>
                </c:pt>
                <c:pt idx="4">
                  <c:v>50.790017599999985</c:v>
                </c:pt>
                <c:pt idx="5">
                  <c:v>48.722981999999995</c:v>
                </c:pt>
                <c:pt idx="6">
                  <c:v>48.722982000000002</c:v>
                </c:pt>
                <c:pt idx="7">
                  <c:v>48.722982000000002</c:v>
                </c:pt>
                <c:pt idx="8">
                  <c:v>48.722982000000002</c:v>
                </c:pt>
                <c:pt idx="9">
                  <c:v>48.722982000000002</c:v>
                </c:pt>
                <c:pt idx="10">
                  <c:v>48.722982000000002</c:v>
                </c:pt>
                <c:pt idx="11">
                  <c:v>48.722982000000002</c:v>
                </c:pt>
                <c:pt idx="12">
                  <c:v>48.722982000000002</c:v>
                </c:pt>
                <c:pt idx="13">
                  <c:v>48.722982000000002</c:v>
                </c:pt>
                <c:pt idx="14">
                  <c:v>48.722982000000002</c:v>
                </c:pt>
                <c:pt idx="15">
                  <c:v>48.722981999999995</c:v>
                </c:pt>
                <c:pt idx="16">
                  <c:v>48.722982000000002</c:v>
                </c:pt>
                <c:pt idx="17">
                  <c:v>48.722982000000002</c:v>
                </c:pt>
                <c:pt idx="18">
                  <c:v>48.722982000000002</c:v>
                </c:pt>
                <c:pt idx="19">
                  <c:v>48.722981999999995</c:v>
                </c:pt>
                <c:pt idx="20">
                  <c:v>48.722982000000002</c:v>
                </c:pt>
                <c:pt idx="21">
                  <c:v>48.722982000000002</c:v>
                </c:pt>
                <c:pt idx="22">
                  <c:v>48.722982000000002</c:v>
                </c:pt>
                <c:pt idx="23">
                  <c:v>48.722982000000002</c:v>
                </c:pt>
                <c:pt idx="24">
                  <c:v>48.722982000000002</c:v>
                </c:pt>
                <c:pt idx="25">
                  <c:v>48.722982000000002</c:v>
                </c:pt>
                <c:pt idx="26">
                  <c:v>48.722982000000002</c:v>
                </c:pt>
                <c:pt idx="27">
                  <c:v>48.722982000000002</c:v>
                </c:pt>
                <c:pt idx="28">
                  <c:v>48.722982000000002</c:v>
                </c:pt>
                <c:pt idx="29">
                  <c:v>48.722982000000002</c:v>
                </c:pt>
                <c:pt idx="30">
                  <c:v>48.722982000000002</c:v>
                </c:pt>
              </c:numCache>
            </c:numRef>
          </c:val>
          <c:extLst>
            <c:ext xmlns:c16="http://schemas.microsoft.com/office/drawing/2014/chart" uri="{C3380CC4-5D6E-409C-BE32-E72D297353CC}">
              <c16:uniqueId val="{00000003-7915-4BBB-BDD4-C66B88654D50}"/>
            </c:ext>
          </c:extLst>
        </c:ser>
        <c:ser>
          <c:idx val="3"/>
          <c:order val="4"/>
          <c:tx>
            <c:v>Other components of demand</c:v>
          </c:tx>
          <c:spPr>
            <a:ln w="25400">
              <a:noFill/>
            </a:ln>
          </c:spPr>
          <c:cat>
            <c:strRef>
              <c:f>ESWESX!$G$23:$CI$23</c:f>
              <c:strCache>
                <c:ptCount val="81"/>
                <c:pt idx="0">
                  <c:v>2019-20</c:v>
                </c:pt>
                <c:pt idx="1">
                  <c:v>2020-21</c:v>
                </c:pt>
                <c:pt idx="2">
                  <c:v>2021-22</c:v>
                </c:pt>
                <c:pt idx="3">
                  <c:v>2022-23</c:v>
                </c:pt>
                <c:pt idx="4">
                  <c:v>2023-24</c:v>
                </c:pt>
                <c:pt idx="5">
                  <c:v>2024-25</c:v>
                </c:pt>
                <c:pt idx="6">
                  <c:v>2025-26</c:v>
                </c:pt>
                <c:pt idx="7">
                  <c:v>2026-27</c:v>
                </c:pt>
                <c:pt idx="8">
                  <c:v>2027-28</c:v>
                </c:pt>
                <c:pt idx="9">
                  <c:v>2028-29</c:v>
                </c:pt>
                <c:pt idx="10">
                  <c:v>2029-30</c:v>
                </c:pt>
                <c:pt idx="11">
                  <c:v>2030-31</c:v>
                </c:pt>
                <c:pt idx="12">
                  <c:v>2031-32</c:v>
                </c:pt>
                <c:pt idx="13">
                  <c:v>2032-33</c:v>
                </c:pt>
                <c:pt idx="14">
                  <c:v>2033-34</c:v>
                </c:pt>
                <c:pt idx="15">
                  <c:v>2034-35</c:v>
                </c:pt>
                <c:pt idx="16">
                  <c:v>2035-36</c:v>
                </c:pt>
                <c:pt idx="17">
                  <c:v>2036-37</c:v>
                </c:pt>
                <c:pt idx="18">
                  <c:v>2037-38</c:v>
                </c:pt>
                <c:pt idx="19">
                  <c:v>2038-39</c:v>
                </c:pt>
                <c:pt idx="20">
                  <c:v>2039-40</c:v>
                </c:pt>
                <c:pt idx="21">
                  <c:v>2040-41</c:v>
                </c:pt>
                <c:pt idx="22">
                  <c:v>2041-42</c:v>
                </c:pt>
                <c:pt idx="23">
                  <c:v>2042-43</c:v>
                </c:pt>
                <c:pt idx="24">
                  <c:v>2043-44</c:v>
                </c:pt>
                <c:pt idx="25">
                  <c:v>2044-45</c:v>
                </c:pt>
                <c:pt idx="26">
                  <c:v>2045-46</c:v>
                </c:pt>
                <c:pt idx="27">
                  <c:v>2046-47</c:v>
                </c:pt>
                <c:pt idx="28">
                  <c:v>2047-48</c:v>
                </c:pt>
                <c:pt idx="29">
                  <c:v>2048-49</c:v>
                </c:pt>
                <c:pt idx="30">
                  <c:v>2049-50</c:v>
                </c:pt>
                <c:pt idx="31">
                  <c:v>2050-51</c:v>
                </c:pt>
                <c:pt idx="32">
                  <c:v>2051-52</c:v>
                </c:pt>
                <c:pt idx="33">
                  <c:v>2052-53</c:v>
                </c:pt>
                <c:pt idx="34">
                  <c:v>2053-54</c:v>
                </c:pt>
                <c:pt idx="35">
                  <c:v>2054-55</c:v>
                </c:pt>
                <c:pt idx="36">
                  <c:v>2055-56</c:v>
                </c:pt>
                <c:pt idx="37">
                  <c:v>2056-57</c:v>
                </c:pt>
                <c:pt idx="38">
                  <c:v>2057-58</c:v>
                </c:pt>
                <c:pt idx="39">
                  <c:v>2058-59</c:v>
                </c:pt>
                <c:pt idx="40">
                  <c:v>2059-60</c:v>
                </c:pt>
                <c:pt idx="41">
                  <c:v>2060-61</c:v>
                </c:pt>
                <c:pt idx="42">
                  <c:v>2061-62</c:v>
                </c:pt>
                <c:pt idx="43">
                  <c:v>2062-63</c:v>
                </c:pt>
                <c:pt idx="44">
                  <c:v>2063-64</c:v>
                </c:pt>
                <c:pt idx="45">
                  <c:v>2064-65</c:v>
                </c:pt>
                <c:pt idx="46">
                  <c:v>2065-66</c:v>
                </c:pt>
                <c:pt idx="47">
                  <c:v>2066-67</c:v>
                </c:pt>
                <c:pt idx="48">
                  <c:v>2067-68</c:v>
                </c:pt>
                <c:pt idx="49">
                  <c:v>2068-69</c:v>
                </c:pt>
                <c:pt idx="50">
                  <c:v>2069-70</c:v>
                </c:pt>
                <c:pt idx="51">
                  <c:v>2070-71</c:v>
                </c:pt>
                <c:pt idx="52">
                  <c:v>2071-72</c:v>
                </c:pt>
                <c:pt idx="53">
                  <c:v>2072-73</c:v>
                </c:pt>
                <c:pt idx="54">
                  <c:v>2073-74</c:v>
                </c:pt>
                <c:pt idx="55">
                  <c:v>2074-75</c:v>
                </c:pt>
                <c:pt idx="56">
                  <c:v>2075-76</c:v>
                </c:pt>
                <c:pt idx="57">
                  <c:v>2076-77</c:v>
                </c:pt>
                <c:pt idx="58">
                  <c:v>2077-78</c:v>
                </c:pt>
                <c:pt idx="59">
                  <c:v>2078-79</c:v>
                </c:pt>
                <c:pt idx="60">
                  <c:v>2079-80</c:v>
                </c:pt>
                <c:pt idx="61">
                  <c:v>2080-81</c:v>
                </c:pt>
                <c:pt idx="62">
                  <c:v>2081-82</c:v>
                </c:pt>
                <c:pt idx="63">
                  <c:v>2082-83</c:v>
                </c:pt>
                <c:pt idx="64">
                  <c:v>2083-84</c:v>
                </c:pt>
                <c:pt idx="65">
                  <c:v>2084-85</c:v>
                </c:pt>
                <c:pt idx="66">
                  <c:v>2085-86</c:v>
                </c:pt>
                <c:pt idx="67">
                  <c:v>2086-87</c:v>
                </c:pt>
                <c:pt idx="68">
                  <c:v>2087-88</c:v>
                </c:pt>
                <c:pt idx="69">
                  <c:v>2088-89</c:v>
                </c:pt>
                <c:pt idx="70">
                  <c:v>2089-90</c:v>
                </c:pt>
                <c:pt idx="71">
                  <c:v>2090-91</c:v>
                </c:pt>
                <c:pt idx="72">
                  <c:v>2091-92</c:v>
                </c:pt>
                <c:pt idx="73">
                  <c:v>2092-93</c:v>
                </c:pt>
                <c:pt idx="74">
                  <c:v>2093-94</c:v>
                </c:pt>
                <c:pt idx="75">
                  <c:v>2094-95</c:v>
                </c:pt>
                <c:pt idx="76">
                  <c:v>2095-96</c:v>
                </c:pt>
                <c:pt idx="77">
                  <c:v>2096-97</c:v>
                </c:pt>
                <c:pt idx="78">
                  <c:v>2097-98</c:v>
                </c:pt>
                <c:pt idx="79">
                  <c:v>2098-99</c:v>
                </c:pt>
                <c:pt idx="80">
                  <c:v>2099-100</c:v>
                </c:pt>
              </c:strCache>
            </c:strRef>
          </c:cat>
          <c:val>
            <c:numRef>
              <c:f>ESWESX!$G$372:$CI$372</c:f>
              <c:numCache>
                <c:formatCode>0.00</c:formatCode>
                <c:ptCount val="81"/>
                <c:pt idx="0">
                  <c:v>0</c:v>
                </c:pt>
                <c:pt idx="1">
                  <c:v>0</c:v>
                </c:pt>
                <c:pt idx="2">
                  <c:v>9.7979080421365552</c:v>
                </c:pt>
                <c:pt idx="3">
                  <c:v>9.7984853079883578</c:v>
                </c:pt>
                <c:pt idx="4">
                  <c:v>9.7911104284468138</c:v>
                </c:pt>
                <c:pt idx="5">
                  <c:v>9.7829638246856234</c:v>
                </c:pt>
                <c:pt idx="6">
                  <c:v>9.8103153561886529</c:v>
                </c:pt>
                <c:pt idx="7">
                  <c:v>9.801637268851664</c:v>
                </c:pt>
                <c:pt idx="8">
                  <c:v>9.7929251219247817</c:v>
                </c:pt>
                <c:pt idx="9">
                  <c:v>9.7846731634431876</c:v>
                </c:pt>
                <c:pt idx="10">
                  <c:v>9.7782060136802897</c:v>
                </c:pt>
                <c:pt idx="11">
                  <c:v>9.7726742215030526</c:v>
                </c:pt>
                <c:pt idx="12">
                  <c:v>9.767728779018455</c:v>
                </c:pt>
                <c:pt idx="13">
                  <c:v>9.7632384336922087</c:v>
                </c:pt>
                <c:pt idx="14">
                  <c:v>9.7594110937794198</c:v>
                </c:pt>
                <c:pt idx="15">
                  <c:v>9.7550737455943022</c:v>
                </c:pt>
                <c:pt idx="16">
                  <c:v>9.7506681610083206</c:v>
                </c:pt>
                <c:pt idx="17">
                  <c:v>9.7461311591981712</c:v>
                </c:pt>
                <c:pt idx="18">
                  <c:v>9.7414949645357183</c:v>
                </c:pt>
                <c:pt idx="19">
                  <c:v>9.7367687785053931</c:v>
                </c:pt>
                <c:pt idx="20">
                  <c:v>9.7319518151697366</c:v>
                </c:pt>
                <c:pt idx="21">
                  <c:v>9.7270469131145774</c:v>
                </c:pt>
                <c:pt idx="22">
                  <c:v>9.7220472113183973</c:v>
                </c:pt>
                <c:pt idx="23">
                  <c:v>9.7169545130967663</c:v>
                </c:pt>
                <c:pt idx="24">
                  <c:v>9.7117693436270542</c:v>
                </c:pt>
                <c:pt idx="25">
                  <c:v>9.7064910553669961</c:v>
                </c:pt>
                <c:pt idx="26">
                  <c:v>9.7011252905578544</c:v>
                </c:pt>
                <c:pt idx="27">
                  <c:v>9.6956704815695502</c:v>
                </c:pt>
                <c:pt idx="28">
                  <c:v>9.690127429133554</c:v>
                </c:pt>
                <c:pt idx="29">
                  <c:v>9.6844971300188831</c:v>
                </c:pt>
                <c:pt idx="30">
                  <c:v>9.678781228535513</c:v>
                </c:pt>
              </c:numCache>
            </c:numRef>
          </c:val>
          <c:extLst>
            <c:ext xmlns:c16="http://schemas.microsoft.com/office/drawing/2014/chart" uri="{C3380CC4-5D6E-409C-BE32-E72D297353CC}">
              <c16:uniqueId val="{00000004-7915-4BBB-BDD4-C66B88654D50}"/>
            </c:ext>
          </c:extLst>
        </c:ser>
        <c:dLbls>
          <c:showLegendKey val="0"/>
          <c:showVal val="0"/>
          <c:showCatName val="0"/>
          <c:showSerName val="0"/>
          <c:showPercent val="0"/>
          <c:showBubbleSize val="0"/>
        </c:dLbls>
        <c:axId val="909034472"/>
        <c:axId val="909034864"/>
      </c:areaChart>
      <c:lineChart>
        <c:grouping val="standard"/>
        <c:varyColors val="0"/>
        <c:ser>
          <c:idx val="4"/>
          <c:order val="5"/>
          <c:tx>
            <c:v>Total water available for use</c:v>
          </c:tx>
          <c:marker>
            <c:symbol val="none"/>
          </c:marker>
          <c:cat>
            <c:strLit>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Lit>
          </c:cat>
          <c:val>
            <c:numRef>
              <c:f>ESWESX!$G$373:$CI$373</c:f>
              <c:numCache>
                <c:formatCode>0.00</c:formatCode>
                <c:ptCount val="81"/>
                <c:pt idx="0">
                  <c:v>0</c:v>
                </c:pt>
                <c:pt idx="1">
                  <c:v>0</c:v>
                </c:pt>
                <c:pt idx="2">
                  <c:v>384.57822051013699</c:v>
                </c:pt>
                <c:pt idx="3">
                  <c:v>384.02325237013696</c:v>
                </c:pt>
                <c:pt idx="4">
                  <c:v>383.46509222013697</c:v>
                </c:pt>
                <c:pt idx="5">
                  <c:v>382.56580771469351</c:v>
                </c:pt>
                <c:pt idx="6">
                  <c:v>381.66534502242757</c:v>
                </c:pt>
                <c:pt idx="7">
                  <c:v>380.77772247217126</c:v>
                </c:pt>
                <c:pt idx="8">
                  <c:v>378.3769726794381</c:v>
                </c:pt>
                <c:pt idx="9">
                  <c:v>377.47269042426336</c:v>
                </c:pt>
                <c:pt idx="10">
                  <c:v>376.56702886397187</c:v>
                </c:pt>
                <c:pt idx="11">
                  <c:v>370.65911640197476</c:v>
                </c:pt>
                <c:pt idx="12">
                  <c:v>369.74714900509446</c:v>
                </c:pt>
                <c:pt idx="13">
                  <c:v>368.8346665655389</c:v>
                </c:pt>
                <c:pt idx="14">
                  <c:v>367.91776818280579</c:v>
                </c:pt>
                <c:pt idx="15">
                  <c:v>368.82893518280582</c:v>
                </c:pt>
                <c:pt idx="16">
                  <c:v>388.23996569427777</c:v>
                </c:pt>
                <c:pt idx="17">
                  <c:v>387.64625540427778</c:v>
                </c:pt>
                <c:pt idx="18">
                  <c:v>387.05017182427775</c:v>
                </c:pt>
                <c:pt idx="19">
                  <c:v>386.45175626427778</c:v>
                </c:pt>
                <c:pt idx="20">
                  <c:v>385.85104849427779</c:v>
                </c:pt>
                <c:pt idx="21">
                  <c:v>383.25041130574982</c:v>
                </c:pt>
                <c:pt idx="22">
                  <c:v>382.6452325157498</c:v>
                </c:pt>
                <c:pt idx="23">
                  <c:v>382.03787221574981</c:v>
                </c:pt>
                <c:pt idx="24">
                  <c:v>381.42836472574982</c:v>
                </c:pt>
                <c:pt idx="25">
                  <c:v>380.81674318574983</c:v>
                </c:pt>
                <c:pt idx="26">
                  <c:v>380.2030396257498</c:v>
                </c:pt>
                <c:pt idx="27">
                  <c:v>379.58728500574983</c:v>
                </c:pt>
                <c:pt idx="28">
                  <c:v>378.97183382722181</c:v>
                </c:pt>
                <c:pt idx="29">
                  <c:v>378.35206599722181</c:v>
                </c:pt>
                <c:pt idx="30">
                  <c:v>377.73033416722177</c:v>
                </c:pt>
              </c:numCache>
            </c:numRef>
          </c:val>
          <c:smooth val="0"/>
          <c:extLst>
            <c:ext xmlns:c16="http://schemas.microsoft.com/office/drawing/2014/chart" uri="{C3380CC4-5D6E-409C-BE32-E72D297353CC}">
              <c16:uniqueId val="{00000005-7915-4BBB-BDD4-C66B88654D50}"/>
            </c:ext>
          </c:extLst>
        </c:ser>
        <c:ser>
          <c:idx val="5"/>
          <c:order val="6"/>
          <c:tx>
            <c:v>Total demand + target headroom (baseline)</c:v>
          </c:tx>
          <c:marker>
            <c:symbol val="none"/>
          </c:marker>
          <c:cat>
            <c:strLit>
              <c:ptCount val="11"/>
              <c:pt idx="0">
                <c:v>2019-20</c:v>
              </c:pt>
              <c:pt idx="1">
                <c:v>2020-21</c:v>
              </c:pt>
              <c:pt idx="2">
                <c:v>2021-22</c:v>
              </c:pt>
              <c:pt idx="3">
                <c:v>2022-23</c:v>
              </c:pt>
              <c:pt idx="4">
                <c:v>2023-24</c:v>
              </c:pt>
              <c:pt idx="5">
                <c:v>2024-25</c:v>
              </c:pt>
              <c:pt idx="6">
                <c:v>2025-26</c:v>
              </c:pt>
              <c:pt idx="7">
                <c:v>2026-27</c:v>
              </c:pt>
              <c:pt idx="8">
                <c:v>2027-28</c:v>
              </c:pt>
              <c:pt idx="9">
                <c:v>2028-29</c:v>
              </c:pt>
              <c:pt idx="10">
                <c:v>2029-30</c:v>
              </c:pt>
            </c:strLit>
          </c:cat>
          <c:val>
            <c:numRef>
              <c:f>ESWESX!$G$374:$CI$374</c:f>
              <c:numCache>
                <c:formatCode>0.00</c:formatCode>
                <c:ptCount val="81"/>
                <c:pt idx="0">
                  <c:v>0</c:v>
                </c:pt>
                <c:pt idx="1">
                  <c:v>0</c:v>
                </c:pt>
                <c:pt idx="2">
                  <c:v>413.84239029992216</c:v>
                </c:pt>
                <c:pt idx="3">
                  <c:v>409.6202157262112</c:v>
                </c:pt>
                <c:pt idx="4">
                  <c:v>408.58097991476939</c:v>
                </c:pt>
                <c:pt idx="5">
                  <c:v>406.18553553947652</c:v>
                </c:pt>
                <c:pt idx="6">
                  <c:v>409.71953318859477</c:v>
                </c:pt>
                <c:pt idx="7">
                  <c:v>409.74610541379252</c:v>
                </c:pt>
                <c:pt idx="8">
                  <c:v>409.93841237771096</c:v>
                </c:pt>
                <c:pt idx="9">
                  <c:v>412.56765118283761</c:v>
                </c:pt>
                <c:pt idx="10">
                  <c:v>414.00535012595401</c:v>
                </c:pt>
                <c:pt idx="11">
                  <c:v>414.1876033937321</c:v>
                </c:pt>
                <c:pt idx="12">
                  <c:v>414.23996484573394</c:v>
                </c:pt>
                <c:pt idx="13">
                  <c:v>414.47515021192368</c:v>
                </c:pt>
                <c:pt idx="14">
                  <c:v>414.85807798126939</c:v>
                </c:pt>
                <c:pt idx="15">
                  <c:v>414.62996713989935</c:v>
                </c:pt>
                <c:pt idx="16">
                  <c:v>414.72818801978173</c:v>
                </c:pt>
                <c:pt idx="17">
                  <c:v>414.6991281221176</c:v>
                </c:pt>
                <c:pt idx="18">
                  <c:v>414.94378506440438</c:v>
                </c:pt>
                <c:pt idx="19">
                  <c:v>415.20363476956425</c:v>
                </c:pt>
                <c:pt idx="20">
                  <c:v>416.20160142535082</c:v>
                </c:pt>
                <c:pt idx="21">
                  <c:v>415.98985587357282</c:v>
                </c:pt>
                <c:pt idx="22">
                  <c:v>415.47446800491417</c:v>
                </c:pt>
                <c:pt idx="23">
                  <c:v>416.76036036137265</c:v>
                </c:pt>
                <c:pt idx="24">
                  <c:v>418.16260268628429</c:v>
                </c:pt>
                <c:pt idx="25">
                  <c:v>419.55730656354268</c:v>
                </c:pt>
                <c:pt idx="26">
                  <c:v>420.88082238994258</c:v>
                </c:pt>
                <c:pt idx="27">
                  <c:v>420.84508001810588</c:v>
                </c:pt>
                <c:pt idx="28">
                  <c:v>419.48980695624732</c:v>
                </c:pt>
                <c:pt idx="29">
                  <c:v>420.62380485266272</c:v>
                </c:pt>
                <c:pt idx="30">
                  <c:v>420.90147791266725</c:v>
                </c:pt>
              </c:numCache>
            </c:numRef>
          </c:val>
          <c:smooth val="0"/>
          <c:extLst>
            <c:ext xmlns:c16="http://schemas.microsoft.com/office/drawing/2014/chart" uri="{C3380CC4-5D6E-409C-BE32-E72D297353CC}">
              <c16:uniqueId val="{00000006-7915-4BBB-BDD4-C66B88654D50}"/>
            </c:ext>
          </c:extLst>
        </c:ser>
        <c:dLbls>
          <c:showLegendKey val="0"/>
          <c:showVal val="0"/>
          <c:showCatName val="0"/>
          <c:showSerName val="0"/>
          <c:showPercent val="0"/>
          <c:showBubbleSize val="0"/>
        </c:dLbls>
        <c:marker val="1"/>
        <c:smooth val="0"/>
        <c:axId val="909034472"/>
        <c:axId val="909034864"/>
      </c:lineChart>
      <c:catAx>
        <c:axId val="909034472"/>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en-US"/>
          </a:p>
        </c:txPr>
        <c:crossAx val="909034864"/>
        <c:crosses val="autoZero"/>
        <c:auto val="1"/>
        <c:lblAlgn val="ctr"/>
        <c:lblOffset val="100"/>
        <c:tickLblSkip val="2"/>
        <c:tickMarkSkip val="1"/>
        <c:noMultiLvlLbl val="0"/>
      </c:catAx>
      <c:valAx>
        <c:axId val="909034864"/>
        <c:scaling>
          <c:orientation val="minMax"/>
        </c:scaling>
        <c:delete val="0"/>
        <c:axPos val="l"/>
        <c:majorGridlines>
          <c:spPr>
            <a:ln w="3175">
              <a:solidFill>
                <a:srgbClr val="000000"/>
              </a:solidFill>
              <a:prstDash val="solid"/>
            </a:ln>
          </c:spPr>
        </c:majorGridlines>
        <c:title>
          <c:tx>
            <c:rich>
              <a:bodyPr/>
              <a:lstStyle/>
              <a:p>
                <a:pPr>
                  <a:defRPr sz="1175" b="1" i="0" u="none" strike="noStrike" baseline="0">
                    <a:solidFill>
                      <a:srgbClr val="000000"/>
                    </a:solidFill>
                    <a:latin typeface="Arial"/>
                    <a:ea typeface="Arial"/>
                    <a:cs typeface="Arial"/>
                  </a:defRPr>
                </a:pPr>
                <a:r>
                  <a:rPr lang="en-GB"/>
                  <a:t>Ml/d</a:t>
                </a:r>
              </a:p>
            </c:rich>
          </c:tx>
          <c:layout>
            <c:manualLayout>
              <c:xMode val="edge"/>
              <c:yMode val="edge"/>
              <c:x val="2.0359337875782983E-2"/>
              <c:y val="0.39858528733632054"/>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909034472"/>
        <c:crosses val="autoZero"/>
        <c:crossBetween val="midCat"/>
      </c:valAx>
      <c:spPr>
        <a:solidFill>
          <a:schemeClr val="bg1"/>
        </a:solidFill>
        <a:ln w="12700">
          <a:solidFill>
            <a:srgbClr val="808080"/>
          </a:solidFill>
          <a:prstDash val="solid"/>
        </a:ln>
      </c:spPr>
    </c:plotArea>
    <c:legend>
      <c:legendPos val="b"/>
      <c:legendEntry>
        <c:idx val="0"/>
        <c:txPr>
          <a:bodyPr/>
          <a:lstStyle/>
          <a:p>
            <a:pPr>
              <a:defRPr sz="1000" b="0" i="0" u="none" strike="noStrike" baseline="0">
                <a:solidFill>
                  <a:srgbClr val="000000"/>
                </a:solidFill>
                <a:latin typeface="Arial"/>
                <a:ea typeface="Arial"/>
                <a:cs typeface="Arial"/>
              </a:defRPr>
            </a:pPr>
            <a:endParaRPr lang="en-US"/>
          </a:p>
        </c:txPr>
      </c:legendEntry>
      <c:layout>
        <c:manualLayout>
          <c:xMode val="edge"/>
          <c:yMode val="edge"/>
          <c:x val="0.16452269470774322"/>
          <c:y val="0.82158446545736608"/>
          <c:w val="0.7156398695723647"/>
          <c:h val="0.16402912270077008"/>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0"/>
    <c:dispBlanksAs val="zero"/>
    <c:showDLblsOverMax val="0"/>
  </c:chart>
  <c:spPr>
    <a:solidFill>
      <a:schemeClr val="accent2"/>
    </a:solidFill>
    <a:ln w="3175">
      <a:solidFill>
        <a:srgbClr val="000000"/>
      </a:solidFill>
      <a:prstDash val="solid"/>
    </a:ln>
  </c:spPr>
  <c:txPr>
    <a:bodyPr/>
    <a:lstStyle/>
    <a:p>
      <a:pPr>
        <a:defRPr sz="975" b="0" i="0" u="none" strike="noStrike" baseline="0">
          <a:solidFill>
            <a:srgbClr val="000000"/>
          </a:solidFill>
          <a:latin typeface="Arial"/>
          <a:ea typeface="Arial"/>
          <a:cs typeface="Arial"/>
        </a:defRPr>
      </a:pPr>
      <a:endParaRPr lang="en-US"/>
    </a:p>
  </c:txPr>
  <c:printSettings>
    <c:headerFooter alignWithMargins="0"/>
    <c:pageMargins b="1" l="0.75000000000000622" r="0.75000000000000622" t="1" header="0.5" footer="0.5"/>
    <c:pageSetup paperSize="9" orientation="landscape"/>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drawing3.xml.rels><?xml version="1.0" encoding="UTF-8" standalone="yes"?>
<Relationships xmlns="http://schemas.openxmlformats.org/package/2006/relationships"><Relationship Id="rId8" Type="http://schemas.openxmlformats.org/officeDocument/2006/relationships/chart" Target="../charts/chart16.xml"/><Relationship Id="rId3" Type="http://schemas.openxmlformats.org/officeDocument/2006/relationships/chart" Target="../charts/chart11.xml"/><Relationship Id="rId7" Type="http://schemas.openxmlformats.org/officeDocument/2006/relationships/chart" Target="../charts/chart15.xml"/><Relationship Id="rId2" Type="http://schemas.openxmlformats.org/officeDocument/2006/relationships/chart" Target="../charts/chart10.xml"/><Relationship Id="rId1" Type="http://schemas.openxmlformats.org/officeDocument/2006/relationships/chart" Target="../charts/chart9.xml"/><Relationship Id="rId6" Type="http://schemas.openxmlformats.org/officeDocument/2006/relationships/chart" Target="../charts/chart14.xml"/><Relationship Id="rId5" Type="http://schemas.openxmlformats.org/officeDocument/2006/relationships/chart" Target="../charts/chart13.xml"/><Relationship Id="rId4" Type="http://schemas.openxmlformats.org/officeDocument/2006/relationships/chart" Target="../charts/chart12.xml"/></Relationships>
</file>

<file path=xl/drawings/_rels/drawing4.xml.rels><?xml version="1.0" encoding="UTF-8" standalone="yes"?>
<Relationships xmlns="http://schemas.openxmlformats.org/package/2006/relationships"><Relationship Id="rId8" Type="http://schemas.openxmlformats.org/officeDocument/2006/relationships/chart" Target="../charts/chart24.xml"/><Relationship Id="rId3" Type="http://schemas.openxmlformats.org/officeDocument/2006/relationships/chart" Target="../charts/chart19.xml"/><Relationship Id="rId7" Type="http://schemas.openxmlformats.org/officeDocument/2006/relationships/chart" Target="../charts/chart23.xml"/><Relationship Id="rId2" Type="http://schemas.openxmlformats.org/officeDocument/2006/relationships/chart" Target="../charts/chart18.xml"/><Relationship Id="rId1" Type="http://schemas.openxmlformats.org/officeDocument/2006/relationships/chart" Target="../charts/chart17.xml"/><Relationship Id="rId6" Type="http://schemas.openxmlformats.org/officeDocument/2006/relationships/chart" Target="../charts/chart22.xml"/><Relationship Id="rId5" Type="http://schemas.openxmlformats.org/officeDocument/2006/relationships/chart" Target="../charts/chart21.xml"/><Relationship Id="rId4" Type="http://schemas.openxmlformats.org/officeDocument/2006/relationships/chart" Target="../charts/chart20.xml"/></Relationships>
</file>

<file path=xl/drawings/_rels/drawing5.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6.xml.rels><?xml version="1.0" encoding="UTF-8" standalone="yes"?>
<Relationships xmlns="http://schemas.openxmlformats.org/package/2006/relationships"><Relationship Id="rId3" Type="http://schemas.openxmlformats.org/officeDocument/2006/relationships/image" Target="../media/image6.jpeg"/><Relationship Id="rId2" Type="http://schemas.openxmlformats.org/officeDocument/2006/relationships/image" Target="../media/image5.jpeg"/><Relationship Id="rId1" Type="http://schemas.openxmlformats.org/officeDocument/2006/relationships/image" Target="../media/image4.jpeg"/><Relationship Id="rId6" Type="http://schemas.openxmlformats.org/officeDocument/2006/relationships/image" Target="../media/image9.png"/><Relationship Id="rId5" Type="http://schemas.openxmlformats.org/officeDocument/2006/relationships/image" Target="../media/image8.jpeg"/><Relationship Id="rId4" Type="http://schemas.openxmlformats.org/officeDocument/2006/relationships/image" Target="../media/image7.jpeg"/></Relationships>
</file>

<file path=xl/drawings/drawing1.xml><?xml version="1.0" encoding="utf-8"?>
<xdr:wsDr xmlns:xdr="http://schemas.openxmlformats.org/drawingml/2006/spreadsheetDrawing" xmlns:a="http://schemas.openxmlformats.org/drawingml/2006/main">
  <xdr:twoCellAnchor editAs="oneCell">
    <xdr:from>
      <xdr:col>3</xdr:col>
      <xdr:colOff>139610</xdr:colOff>
      <xdr:row>1</xdr:row>
      <xdr:rowOff>186235</xdr:rowOff>
    </xdr:from>
    <xdr:to>
      <xdr:col>4</xdr:col>
      <xdr:colOff>34655</xdr:colOff>
      <xdr:row>5</xdr:row>
      <xdr:rowOff>73205</xdr:rowOff>
    </xdr:to>
    <xdr:pic>
      <xdr:nvPicPr>
        <xdr:cNvPr id="4" name="Picture 3">
          <a:extLst>
            <a:ext uri="{FF2B5EF4-FFF2-40B4-BE49-F238E27FC236}">
              <a16:creationId xmlns:a16="http://schemas.microsoft.com/office/drawing/2014/main" id="{00000000-0008-0000-0000-000004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393" t="8223" b="11890"/>
        <a:stretch/>
      </xdr:blipFill>
      <xdr:spPr bwMode="auto">
        <a:xfrm>
          <a:off x="2752181" y="390342"/>
          <a:ext cx="2070193" cy="7002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142352</xdr:colOff>
      <xdr:row>1</xdr:row>
      <xdr:rowOff>163830</xdr:rowOff>
    </xdr:from>
    <xdr:to>
      <xdr:col>12</xdr:col>
      <xdr:colOff>2205168</xdr:colOff>
      <xdr:row>5</xdr:row>
      <xdr:rowOff>72941</xdr:rowOff>
    </xdr:to>
    <xdr:pic>
      <xdr:nvPicPr>
        <xdr:cNvPr id="5" name="Picture 4" descr="http://www.monmouthshiregreenweb.co.uk/wordpress/wp-content/uploads/2014/08/NRW-logo.jpg">
          <a:extLst>
            <a:ext uri="{FF2B5EF4-FFF2-40B4-BE49-F238E27FC236}">
              <a16:creationId xmlns:a16="http://schemas.microsoft.com/office/drawing/2014/main" id="{00000000-0008-0000-0000-000005000000}"/>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r="14879"/>
        <a:stretch/>
      </xdr:blipFill>
      <xdr:spPr bwMode="auto">
        <a:xfrm>
          <a:off x="10137999" y="365536"/>
          <a:ext cx="2449083" cy="6930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135963</xdr:colOff>
      <xdr:row>1</xdr:row>
      <xdr:rowOff>190500</xdr:rowOff>
    </xdr:from>
    <xdr:to>
      <xdr:col>13</xdr:col>
      <xdr:colOff>2168811</xdr:colOff>
      <xdr:row>5</xdr:row>
      <xdr:rowOff>73025</xdr:rowOff>
    </xdr:to>
    <xdr:pic>
      <xdr:nvPicPr>
        <xdr:cNvPr id="8" name="Picture 7" descr="Home - Ofwat">
          <a:extLst>
            <a:ext uri="{FF2B5EF4-FFF2-40B4-BE49-F238E27FC236}">
              <a16:creationId xmlns:a16="http://schemas.microsoft.com/office/drawing/2014/main" id="{8199A571-CA11-4639-8954-A08E68D6DC3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731375" y="392206"/>
          <a:ext cx="2013798" cy="6607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6</xdr:col>
      <xdr:colOff>13606</xdr:colOff>
      <xdr:row>1</xdr:row>
      <xdr:rowOff>190499</xdr:rowOff>
    </xdr:from>
    <xdr:to>
      <xdr:col>18</xdr:col>
      <xdr:colOff>442263</xdr:colOff>
      <xdr:row>20</xdr:row>
      <xdr:rowOff>106070</xdr:rowOff>
    </xdr:to>
    <xdr:graphicFrame macro="">
      <xdr:nvGraphicFramePr>
        <xdr:cNvPr id="2" name="CHT1_DYAA_BL_ESWBLY">
          <a:extLst>
            <a:ext uri="{FF2B5EF4-FFF2-40B4-BE49-F238E27FC236}">
              <a16:creationId xmlns:a16="http://schemas.microsoft.com/office/drawing/2014/main" id="{6307A373-E105-4BC8-8C43-764FD55D7D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19</xdr:col>
      <xdr:colOff>0</xdr:colOff>
      <xdr:row>2</xdr:row>
      <xdr:rowOff>0</xdr:rowOff>
    </xdr:from>
    <xdr:to>
      <xdr:col>31</xdr:col>
      <xdr:colOff>428657</xdr:colOff>
      <xdr:row>20</xdr:row>
      <xdr:rowOff>106071</xdr:rowOff>
    </xdr:to>
    <xdr:graphicFrame macro="">
      <xdr:nvGraphicFramePr>
        <xdr:cNvPr id="3" name="CHT2_DYAA_FP_ESWBLY">
          <a:extLst>
            <a:ext uri="{FF2B5EF4-FFF2-40B4-BE49-F238E27FC236}">
              <a16:creationId xmlns:a16="http://schemas.microsoft.com/office/drawing/2014/main" id="{F9D46366-16F6-4A75-97AB-10989774C6BC}"/>
            </a:ext>
            <a:ext uri="{147F2762-F138-4A5C-976F-8EAC2B608ADB}">
              <a16:predDERef xmlns:a16="http://schemas.microsoft.com/office/drawing/2014/main" pred="{AFD8B5E9-4C48-4411-87BB-8EC677D2274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0</xdr:colOff>
      <xdr:row>183</xdr:row>
      <xdr:rowOff>0</xdr:rowOff>
    </xdr:from>
    <xdr:to>
      <xdr:col>18</xdr:col>
      <xdr:colOff>428657</xdr:colOff>
      <xdr:row>202</xdr:row>
      <xdr:rowOff>133285</xdr:rowOff>
    </xdr:to>
    <xdr:graphicFrame macro="">
      <xdr:nvGraphicFramePr>
        <xdr:cNvPr id="4" name="CHT3_DYCP_BL_ESWBLY">
          <a:extLst>
            <a:ext uri="{FF2B5EF4-FFF2-40B4-BE49-F238E27FC236}">
              <a16:creationId xmlns:a16="http://schemas.microsoft.com/office/drawing/2014/main" id="{2DB1A6AE-0564-4AE5-AF69-2B29D383DDAC}"/>
            </a:ext>
            <a:ext uri="{147F2762-F138-4A5C-976F-8EAC2B608ADB}">
              <a16:predDERef xmlns:a16="http://schemas.microsoft.com/office/drawing/2014/main" pred="{02C273D3-42D7-47A5-AB6B-636BE61F1EB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18</xdr:col>
      <xdr:colOff>707572</xdr:colOff>
      <xdr:row>183</xdr:row>
      <xdr:rowOff>1</xdr:rowOff>
    </xdr:from>
    <xdr:to>
      <xdr:col>31</xdr:col>
      <xdr:colOff>415051</xdr:colOff>
      <xdr:row>202</xdr:row>
      <xdr:rowOff>133286</xdr:rowOff>
    </xdr:to>
    <xdr:graphicFrame macro="">
      <xdr:nvGraphicFramePr>
        <xdr:cNvPr id="5" name="CHT4_DYCP_FP_ESWBLY">
          <a:extLst>
            <a:ext uri="{FF2B5EF4-FFF2-40B4-BE49-F238E27FC236}">
              <a16:creationId xmlns:a16="http://schemas.microsoft.com/office/drawing/2014/main" id="{B9426FDB-244C-4E56-AB6A-AA8BC29F03D3}"/>
            </a:ext>
            <a:ext uri="{147F2762-F138-4A5C-976F-8EAC2B608ADB}">
              <a16:predDERef xmlns:a16="http://schemas.microsoft.com/office/drawing/2014/main" pred="{90B618C1-0CBB-4529-A9A0-23D516B6D14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13606</xdr:colOff>
      <xdr:row>1</xdr:row>
      <xdr:rowOff>190499</xdr:rowOff>
    </xdr:from>
    <xdr:to>
      <xdr:col>18</xdr:col>
      <xdr:colOff>442263</xdr:colOff>
      <xdr:row>20</xdr:row>
      <xdr:rowOff>106070</xdr:rowOff>
    </xdr:to>
    <xdr:graphicFrame macro="">
      <xdr:nvGraphicFramePr>
        <xdr:cNvPr id="19" name="CHT1_DYAA_BL_ESWBLY">
          <a:extLst>
            <a:ext uri="{FF2B5EF4-FFF2-40B4-BE49-F238E27FC236}">
              <a16:creationId xmlns:a16="http://schemas.microsoft.com/office/drawing/2014/main" id="{3F5B4080-F80F-46B9-BCAD-6E2284892A6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19</xdr:col>
      <xdr:colOff>0</xdr:colOff>
      <xdr:row>2</xdr:row>
      <xdr:rowOff>0</xdr:rowOff>
    </xdr:from>
    <xdr:to>
      <xdr:col>31</xdr:col>
      <xdr:colOff>428657</xdr:colOff>
      <xdr:row>20</xdr:row>
      <xdr:rowOff>106071</xdr:rowOff>
    </xdr:to>
    <xdr:graphicFrame macro="">
      <xdr:nvGraphicFramePr>
        <xdr:cNvPr id="18" name="CHT2_DYAA_FP_ESWBLY">
          <a:extLst>
            <a:ext uri="{FF2B5EF4-FFF2-40B4-BE49-F238E27FC236}">
              <a16:creationId xmlns:a16="http://schemas.microsoft.com/office/drawing/2014/main" id="{41198A36-BEF3-4511-B6D3-33FBD483D2AC}"/>
            </a:ext>
            <a:ext uri="{147F2762-F138-4A5C-976F-8EAC2B608ADB}">
              <a16:predDERef xmlns:a16="http://schemas.microsoft.com/office/drawing/2014/main" pred="{AFD8B5E9-4C48-4411-87BB-8EC677D2274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6</xdr:col>
      <xdr:colOff>0</xdr:colOff>
      <xdr:row>183</xdr:row>
      <xdr:rowOff>0</xdr:rowOff>
    </xdr:from>
    <xdr:to>
      <xdr:col>18</xdr:col>
      <xdr:colOff>428657</xdr:colOff>
      <xdr:row>202</xdr:row>
      <xdr:rowOff>133285</xdr:rowOff>
    </xdr:to>
    <xdr:graphicFrame macro="">
      <xdr:nvGraphicFramePr>
        <xdr:cNvPr id="20" name="CHT3_DYCP_BL_ESWBLY">
          <a:extLst>
            <a:ext uri="{FF2B5EF4-FFF2-40B4-BE49-F238E27FC236}">
              <a16:creationId xmlns:a16="http://schemas.microsoft.com/office/drawing/2014/main" id="{7A360467-396B-4FAF-B88E-D9FD44398082}"/>
            </a:ext>
            <a:ext uri="{147F2762-F138-4A5C-976F-8EAC2B608ADB}">
              <a16:predDERef xmlns:a16="http://schemas.microsoft.com/office/drawing/2014/main" pred="{02C273D3-42D7-47A5-AB6B-636BE61F1EB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18</xdr:col>
      <xdr:colOff>651916</xdr:colOff>
      <xdr:row>182</xdr:row>
      <xdr:rowOff>437031</xdr:rowOff>
    </xdr:from>
    <xdr:to>
      <xdr:col>31</xdr:col>
      <xdr:colOff>400670</xdr:colOff>
      <xdr:row>202</xdr:row>
      <xdr:rowOff>122080</xdr:rowOff>
    </xdr:to>
    <xdr:graphicFrame macro="">
      <xdr:nvGraphicFramePr>
        <xdr:cNvPr id="21" name="CHT4_DYCP_FP_ESWBLY">
          <a:extLst>
            <a:ext uri="{FF2B5EF4-FFF2-40B4-BE49-F238E27FC236}">
              <a16:creationId xmlns:a16="http://schemas.microsoft.com/office/drawing/2014/main" id="{4E30236D-569A-47C8-BA37-69AB892C2E6B}"/>
            </a:ext>
            <a:ext uri="{147F2762-F138-4A5C-976F-8EAC2B608ADB}">
              <a16:predDERef xmlns:a16="http://schemas.microsoft.com/office/drawing/2014/main" pred="{90B618C1-0CBB-4529-A9A0-23D516B6D14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6</xdr:col>
      <xdr:colOff>13606</xdr:colOff>
      <xdr:row>1</xdr:row>
      <xdr:rowOff>190499</xdr:rowOff>
    </xdr:from>
    <xdr:to>
      <xdr:col>18</xdr:col>
      <xdr:colOff>442263</xdr:colOff>
      <xdr:row>20</xdr:row>
      <xdr:rowOff>106070</xdr:rowOff>
    </xdr:to>
    <xdr:graphicFrame macro="">
      <xdr:nvGraphicFramePr>
        <xdr:cNvPr id="2" name="CHT1_DYAA_BL_ESWESX">
          <a:extLst>
            <a:ext uri="{FF2B5EF4-FFF2-40B4-BE49-F238E27FC236}">
              <a16:creationId xmlns:a16="http://schemas.microsoft.com/office/drawing/2014/main" id="{59B4AFBA-9ABD-4339-8A34-594BCE3FF29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19</xdr:col>
      <xdr:colOff>0</xdr:colOff>
      <xdr:row>2</xdr:row>
      <xdr:rowOff>0</xdr:rowOff>
    </xdr:from>
    <xdr:to>
      <xdr:col>31</xdr:col>
      <xdr:colOff>428657</xdr:colOff>
      <xdr:row>20</xdr:row>
      <xdr:rowOff>106071</xdr:rowOff>
    </xdr:to>
    <xdr:graphicFrame macro="">
      <xdr:nvGraphicFramePr>
        <xdr:cNvPr id="3" name="CHT2_DYAA_FP_ESWESX">
          <a:extLst>
            <a:ext uri="{FF2B5EF4-FFF2-40B4-BE49-F238E27FC236}">
              <a16:creationId xmlns:a16="http://schemas.microsoft.com/office/drawing/2014/main" id="{E980333D-7EB9-4ED2-B60F-29D1E32A994F}"/>
            </a:ext>
            <a:ext uri="{147F2762-F138-4A5C-976F-8EAC2B608ADB}">
              <a16:predDERef xmlns:a16="http://schemas.microsoft.com/office/drawing/2014/main" pred="{AFD8B5E9-4C48-4411-87BB-8EC677D2274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0</xdr:colOff>
      <xdr:row>183</xdr:row>
      <xdr:rowOff>0</xdr:rowOff>
    </xdr:from>
    <xdr:to>
      <xdr:col>18</xdr:col>
      <xdr:colOff>428657</xdr:colOff>
      <xdr:row>202</xdr:row>
      <xdr:rowOff>133285</xdr:rowOff>
    </xdr:to>
    <xdr:graphicFrame macro="">
      <xdr:nvGraphicFramePr>
        <xdr:cNvPr id="4" name="CHT3_DYCP_BL_ESWESX">
          <a:extLst>
            <a:ext uri="{FF2B5EF4-FFF2-40B4-BE49-F238E27FC236}">
              <a16:creationId xmlns:a16="http://schemas.microsoft.com/office/drawing/2014/main" id="{D60F2D24-3B60-4D17-B510-FE92E06B39E9}"/>
            </a:ext>
            <a:ext uri="{147F2762-F138-4A5C-976F-8EAC2B608ADB}">
              <a16:predDERef xmlns:a16="http://schemas.microsoft.com/office/drawing/2014/main" pred="{02C273D3-42D7-47A5-AB6B-636BE61F1EB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18</xdr:col>
      <xdr:colOff>707572</xdr:colOff>
      <xdr:row>183</xdr:row>
      <xdr:rowOff>1</xdr:rowOff>
    </xdr:from>
    <xdr:to>
      <xdr:col>31</xdr:col>
      <xdr:colOff>415051</xdr:colOff>
      <xdr:row>202</xdr:row>
      <xdr:rowOff>133286</xdr:rowOff>
    </xdr:to>
    <xdr:graphicFrame macro="">
      <xdr:nvGraphicFramePr>
        <xdr:cNvPr id="5" name="CHT4_DYCP_FP_ESWESX">
          <a:extLst>
            <a:ext uri="{FF2B5EF4-FFF2-40B4-BE49-F238E27FC236}">
              <a16:creationId xmlns:a16="http://schemas.microsoft.com/office/drawing/2014/main" id="{167F47F3-83C5-434E-BF1D-9E0754F26B77}"/>
            </a:ext>
            <a:ext uri="{147F2762-F138-4A5C-976F-8EAC2B608ADB}">
              <a16:predDERef xmlns:a16="http://schemas.microsoft.com/office/drawing/2014/main" pred="{90B618C1-0CBB-4529-A9A0-23D516B6D14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5</xdr:col>
      <xdr:colOff>1177773</xdr:colOff>
      <xdr:row>1</xdr:row>
      <xdr:rowOff>328082</xdr:rowOff>
    </xdr:from>
    <xdr:to>
      <xdr:col>18</xdr:col>
      <xdr:colOff>410513</xdr:colOff>
      <xdr:row>21</xdr:row>
      <xdr:rowOff>53153</xdr:rowOff>
    </xdr:to>
    <xdr:graphicFrame macro="">
      <xdr:nvGraphicFramePr>
        <xdr:cNvPr id="10" name="CHT1_DYAA_BL_ESWESX">
          <a:extLst>
            <a:ext uri="{FF2B5EF4-FFF2-40B4-BE49-F238E27FC236}">
              <a16:creationId xmlns:a16="http://schemas.microsoft.com/office/drawing/2014/main" id="{85343CA1-A28C-40BD-A1A4-798AE08D49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18</xdr:col>
      <xdr:colOff>650874</xdr:colOff>
      <xdr:row>1</xdr:row>
      <xdr:rowOff>210185</xdr:rowOff>
    </xdr:from>
    <xdr:to>
      <xdr:col>31</xdr:col>
      <xdr:colOff>650874</xdr:colOff>
      <xdr:row>21</xdr:row>
      <xdr:rowOff>44823</xdr:rowOff>
    </xdr:to>
    <xdr:graphicFrame macro="">
      <xdr:nvGraphicFramePr>
        <xdr:cNvPr id="17" name="CHT2_DYAA_FP_ESWESX">
          <a:extLst>
            <a:ext uri="{FF2B5EF4-FFF2-40B4-BE49-F238E27FC236}">
              <a16:creationId xmlns:a16="http://schemas.microsoft.com/office/drawing/2014/main" id="{99B407C6-D5B4-4CE3-AF6A-9540612F565C}"/>
            </a:ext>
            <a:ext uri="{147F2762-F138-4A5C-976F-8EAC2B608ADB}">
              <a16:predDERef xmlns:a16="http://schemas.microsoft.com/office/drawing/2014/main" pred="{AFD8B5E9-4C48-4411-87BB-8EC677D2274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6</xdr:col>
      <xdr:colOff>0</xdr:colOff>
      <xdr:row>183</xdr:row>
      <xdr:rowOff>0</xdr:rowOff>
    </xdr:from>
    <xdr:to>
      <xdr:col>18</xdr:col>
      <xdr:colOff>428657</xdr:colOff>
      <xdr:row>202</xdr:row>
      <xdr:rowOff>133285</xdr:rowOff>
    </xdr:to>
    <xdr:graphicFrame macro="">
      <xdr:nvGraphicFramePr>
        <xdr:cNvPr id="14" name="CHT3_DYCP_BL_ESWESX">
          <a:extLst>
            <a:ext uri="{FF2B5EF4-FFF2-40B4-BE49-F238E27FC236}">
              <a16:creationId xmlns:a16="http://schemas.microsoft.com/office/drawing/2014/main" id="{BBCEBBB9-8148-4A5E-982E-7FD1457977B1}"/>
            </a:ext>
            <a:ext uri="{147F2762-F138-4A5C-976F-8EAC2B608ADB}">
              <a16:predDERef xmlns:a16="http://schemas.microsoft.com/office/drawing/2014/main" pred="{02C273D3-42D7-47A5-AB6B-636BE61F1EB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18</xdr:col>
      <xdr:colOff>707572</xdr:colOff>
      <xdr:row>183</xdr:row>
      <xdr:rowOff>1</xdr:rowOff>
    </xdr:from>
    <xdr:to>
      <xdr:col>31</xdr:col>
      <xdr:colOff>415051</xdr:colOff>
      <xdr:row>202</xdr:row>
      <xdr:rowOff>133286</xdr:rowOff>
    </xdr:to>
    <xdr:graphicFrame macro="">
      <xdr:nvGraphicFramePr>
        <xdr:cNvPr id="16" name="CHT4_DYCP_FP_ESWESX">
          <a:extLst>
            <a:ext uri="{FF2B5EF4-FFF2-40B4-BE49-F238E27FC236}">
              <a16:creationId xmlns:a16="http://schemas.microsoft.com/office/drawing/2014/main" id="{827FE755-D893-4C86-8CB9-2E008AC7BF15}"/>
            </a:ext>
            <a:ext uri="{147F2762-F138-4A5C-976F-8EAC2B608ADB}">
              <a16:predDERef xmlns:a16="http://schemas.microsoft.com/office/drawing/2014/main" pred="{90B618C1-0CBB-4529-A9A0-23D516B6D14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6</xdr:col>
      <xdr:colOff>13606</xdr:colOff>
      <xdr:row>1</xdr:row>
      <xdr:rowOff>190499</xdr:rowOff>
    </xdr:from>
    <xdr:to>
      <xdr:col>18</xdr:col>
      <xdr:colOff>442263</xdr:colOff>
      <xdr:row>20</xdr:row>
      <xdr:rowOff>106070</xdr:rowOff>
    </xdr:to>
    <xdr:graphicFrame macro="">
      <xdr:nvGraphicFramePr>
        <xdr:cNvPr id="2" name="CHT1_DYAA_BL_ESWHRT">
          <a:extLst>
            <a:ext uri="{FF2B5EF4-FFF2-40B4-BE49-F238E27FC236}">
              <a16:creationId xmlns:a16="http://schemas.microsoft.com/office/drawing/2014/main" id="{14DA047C-4FA6-4850-AB59-92A506D174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19</xdr:col>
      <xdr:colOff>0</xdr:colOff>
      <xdr:row>2</xdr:row>
      <xdr:rowOff>0</xdr:rowOff>
    </xdr:from>
    <xdr:to>
      <xdr:col>31</xdr:col>
      <xdr:colOff>428657</xdr:colOff>
      <xdr:row>20</xdr:row>
      <xdr:rowOff>106071</xdr:rowOff>
    </xdr:to>
    <xdr:graphicFrame macro="">
      <xdr:nvGraphicFramePr>
        <xdr:cNvPr id="3" name="CHT2_DYAA_FP_ESWHRT">
          <a:extLst>
            <a:ext uri="{FF2B5EF4-FFF2-40B4-BE49-F238E27FC236}">
              <a16:creationId xmlns:a16="http://schemas.microsoft.com/office/drawing/2014/main" id="{587C876B-4730-46F7-9352-E0ABBFDE4F84}"/>
            </a:ext>
            <a:ext uri="{147F2762-F138-4A5C-976F-8EAC2B608ADB}">
              <a16:predDERef xmlns:a16="http://schemas.microsoft.com/office/drawing/2014/main" pred="{AFD8B5E9-4C48-4411-87BB-8EC677D2274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9525</xdr:colOff>
      <xdr:row>183</xdr:row>
      <xdr:rowOff>28575</xdr:rowOff>
    </xdr:from>
    <xdr:to>
      <xdr:col>18</xdr:col>
      <xdr:colOff>435007</xdr:colOff>
      <xdr:row>202</xdr:row>
      <xdr:rowOff>161860</xdr:rowOff>
    </xdr:to>
    <xdr:graphicFrame macro="">
      <xdr:nvGraphicFramePr>
        <xdr:cNvPr id="4" name="CHT3_DYCP_BL_ESWHRT">
          <a:extLst>
            <a:ext uri="{FF2B5EF4-FFF2-40B4-BE49-F238E27FC236}">
              <a16:creationId xmlns:a16="http://schemas.microsoft.com/office/drawing/2014/main" id="{52294975-FF56-4B15-985B-4F7843087275}"/>
            </a:ext>
            <a:ext uri="{147F2762-F138-4A5C-976F-8EAC2B608ADB}">
              <a16:predDERef xmlns:a16="http://schemas.microsoft.com/office/drawing/2014/main" pred="{02C273D3-42D7-47A5-AB6B-636BE61F1EB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19</xdr:col>
      <xdr:colOff>21772</xdr:colOff>
      <xdr:row>183</xdr:row>
      <xdr:rowOff>95251</xdr:rowOff>
    </xdr:from>
    <xdr:to>
      <xdr:col>31</xdr:col>
      <xdr:colOff>430926</xdr:colOff>
      <xdr:row>202</xdr:row>
      <xdr:rowOff>228536</xdr:rowOff>
    </xdr:to>
    <xdr:graphicFrame macro="">
      <xdr:nvGraphicFramePr>
        <xdr:cNvPr id="5" name="CHT4_DYCP_FP_ESWHRT">
          <a:extLst>
            <a:ext uri="{FF2B5EF4-FFF2-40B4-BE49-F238E27FC236}">
              <a16:creationId xmlns:a16="http://schemas.microsoft.com/office/drawing/2014/main" id="{9FAD0BA2-024F-4617-9609-3024816E712A}"/>
            </a:ext>
            <a:ext uri="{147F2762-F138-4A5C-976F-8EAC2B608ADB}">
              <a16:predDERef xmlns:a16="http://schemas.microsoft.com/office/drawing/2014/main" pred="{90B618C1-0CBB-4529-A9A0-23D516B6D14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13606</xdr:colOff>
      <xdr:row>1</xdr:row>
      <xdr:rowOff>190499</xdr:rowOff>
    </xdr:from>
    <xdr:to>
      <xdr:col>18</xdr:col>
      <xdr:colOff>442263</xdr:colOff>
      <xdr:row>20</xdr:row>
      <xdr:rowOff>106070</xdr:rowOff>
    </xdr:to>
    <xdr:graphicFrame macro="">
      <xdr:nvGraphicFramePr>
        <xdr:cNvPr id="10" name="CHT1_DYAA_BL_ESWHRT">
          <a:extLst>
            <a:ext uri="{FF2B5EF4-FFF2-40B4-BE49-F238E27FC236}">
              <a16:creationId xmlns:a16="http://schemas.microsoft.com/office/drawing/2014/main" id="{E3D16CBC-D9F1-4C60-A8A7-EAE19F551A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19</xdr:col>
      <xdr:colOff>0</xdr:colOff>
      <xdr:row>2</xdr:row>
      <xdr:rowOff>0</xdr:rowOff>
    </xdr:from>
    <xdr:to>
      <xdr:col>31</xdr:col>
      <xdr:colOff>428657</xdr:colOff>
      <xdr:row>20</xdr:row>
      <xdr:rowOff>106071</xdr:rowOff>
    </xdr:to>
    <xdr:graphicFrame macro="">
      <xdr:nvGraphicFramePr>
        <xdr:cNvPr id="16" name="CHT2_DYAA_FP_ESWHRT">
          <a:extLst>
            <a:ext uri="{FF2B5EF4-FFF2-40B4-BE49-F238E27FC236}">
              <a16:creationId xmlns:a16="http://schemas.microsoft.com/office/drawing/2014/main" id="{80AC842D-7298-4262-A1CF-42B945B7946D}"/>
            </a:ext>
            <a:ext uri="{147F2762-F138-4A5C-976F-8EAC2B608ADB}">
              <a16:predDERef xmlns:a16="http://schemas.microsoft.com/office/drawing/2014/main" pred="{AFD8B5E9-4C48-4411-87BB-8EC677D2274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6</xdr:col>
      <xdr:colOff>11430</xdr:colOff>
      <xdr:row>183</xdr:row>
      <xdr:rowOff>19685</xdr:rowOff>
    </xdr:from>
    <xdr:to>
      <xdr:col>18</xdr:col>
      <xdr:colOff>434372</xdr:colOff>
      <xdr:row>202</xdr:row>
      <xdr:rowOff>155510</xdr:rowOff>
    </xdr:to>
    <xdr:graphicFrame macro="">
      <xdr:nvGraphicFramePr>
        <xdr:cNvPr id="13" name="CHT3_DYCP_BL_ESWHRT">
          <a:extLst>
            <a:ext uri="{FF2B5EF4-FFF2-40B4-BE49-F238E27FC236}">
              <a16:creationId xmlns:a16="http://schemas.microsoft.com/office/drawing/2014/main" id="{08AEEB70-8C2F-414E-81CB-A6217FBB8163}"/>
            </a:ext>
            <a:ext uri="{147F2762-F138-4A5C-976F-8EAC2B608ADB}">
              <a16:predDERef xmlns:a16="http://schemas.microsoft.com/office/drawing/2014/main" pred="{02C273D3-42D7-47A5-AB6B-636BE61F1EB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19</xdr:col>
      <xdr:colOff>2722</xdr:colOff>
      <xdr:row>183</xdr:row>
      <xdr:rowOff>28576</xdr:rowOff>
    </xdr:from>
    <xdr:to>
      <xdr:col>31</xdr:col>
      <xdr:colOff>411876</xdr:colOff>
      <xdr:row>202</xdr:row>
      <xdr:rowOff>161861</xdr:rowOff>
    </xdr:to>
    <xdr:graphicFrame macro="">
      <xdr:nvGraphicFramePr>
        <xdr:cNvPr id="17" name="CHT4_DYCP_FP_ESWHRT">
          <a:extLst>
            <a:ext uri="{FF2B5EF4-FFF2-40B4-BE49-F238E27FC236}">
              <a16:creationId xmlns:a16="http://schemas.microsoft.com/office/drawing/2014/main" id="{7A255D4E-B1ED-4E3D-97BB-335CB4B3DC7F}"/>
            </a:ext>
            <a:ext uri="{147F2762-F138-4A5C-976F-8EAC2B608ADB}">
              <a16:predDERef xmlns:a16="http://schemas.microsoft.com/office/drawing/2014/main" pred="{90B618C1-0CBB-4529-A9A0-23D516B6D14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6</xdr:col>
      <xdr:colOff>13606</xdr:colOff>
      <xdr:row>1</xdr:row>
      <xdr:rowOff>190499</xdr:rowOff>
    </xdr:from>
    <xdr:to>
      <xdr:col>18</xdr:col>
      <xdr:colOff>442263</xdr:colOff>
      <xdr:row>20</xdr:row>
      <xdr:rowOff>106070</xdr:rowOff>
    </xdr:to>
    <xdr:graphicFrame macro="">
      <xdr:nvGraphicFramePr>
        <xdr:cNvPr id="2" name="CHT1_DYAA_BL_ESWNCT">
          <a:extLst>
            <a:ext uri="{FF2B5EF4-FFF2-40B4-BE49-F238E27FC236}">
              <a16:creationId xmlns:a16="http://schemas.microsoft.com/office/drawing/2014/main" id="{A899F997-8114-481E-B35E-99906CFBD8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19</xdr:col>
      <xdr:colOff>0</xdr:colOff>
      <xdr:row>2</xdr:row>
      <xdr:rowOff>0</xdr:rowOff>
    </xdr:from>
    <xdr:to>
      <xdr:col>31</xdr:col>
      <xdr:colOff>428657</xdr:colOff>
      <xdr:row>20</xdr:row>
      <xdr:rowOff>106071</xdr:rowOff>
    </xdr:to>
    <xdr:graphicFrame macro="">
      <xdr:nvGraphicFramePr>
        <xdr:cNvPr id="3" name="CHT2_DYAA_FP_ESWNCT">
          <a:extLst>
            <a:ext uri="{FF2B5EF4-FFF2-40B4-BE49-F238E27FC236}">
              <a16:creationId xmlns:a16="http://schemas.microsoft.com/office/drawing/2014/main" id="{B81C5CA3-4CD4-46E6-86BA-1E685777EF49}"/>
            </a:ext>
            <a:ext uri="{147F2762-F138-4A5C-976F-8EAC2B608ADB}">
              <a16:predDERef xmlns:a16="http://schemas.microsoft.com/office/drawing/2014/main" pred="{AFD8B5E9-4C48-4411-87BB-8EC677D2274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1009650</xdr:colOff>
      <xdr:row>183</xdr:row>
      <xdr:rowOff>152400</xdr:rowOff>
    </xdr:from>
    <xdr:to>
      <xdr:col>18</xdr:col>
      <xdr:colOff>282607</xdr:colOff>
      <xdr:row>202</xdr:row>
      <xdr:rowOff>285685</xdr:rowOff>
    </xdr:to>
    <xdr:graphicFrame macro="">
      <xdr:nvGraphicFramePr>
        <xdr:cNvPr id="4" name="CHT3_DYCP_BL_ESWNCT">
          <a:extLst>
            <a:ext uri="{FF2B5EF4-FFF2-40B4-BE49-F238E27FC236}">
              <a16:creationId xmlns:a16="http://schemas.microsoft.com/office/drawing/2014/main" id="{63912C51-3E54-4E70-854B-ADA3C00A046F}"/>
            </a:ext>
            <a:ext uri="{147F2762-F138-4A5C-976F-8EAC2B608ADB}">
              <a16:predDERef xmlns:a16="http://schemas.microsoft.com/office/drawing/2014/main" pred="{02C273D3-42D7-47A5-AB6B-636BE61F1EB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19</xdr:col>
      <xdr:colOff>12247</xdr:colOff>
      <xdr:row>183</xdr:row>
      <xdr:rowOff>180976</xdr:rowOff>
    </xdr:from>
    <xdr:to>
      <xdr:col>31</xdr:col>
      <xdr:colOff>421401</xdr:colOff>
      <xdr:row>202</xdr:row>
      <xdr:rowOff>314261</xdr:rowOff>
    </xdr:to>
    <xdr:graphicFrame macro="">
      <xdr:nvGraphicFramePr>
        <xdr:cNvPr id="5" name="CHT4_DYCP_FP_ESWNCT">
          <a:extLst>
            <a:ext uri="{FF2B5EF4-FFF2-40B4-BE49-F238E27FC236}">
              <a16:creationId xmlns:a16="http://schemas.microsoft.com/office/drawing/2014/main" id="{05F59B6B-B760-4517-B7FA-611FAAE917DF}"/>
            </a:ext>
            <a:ext uri="{147F2762-F138-4A5C-976F-8EAC2B608ADB}">
              <a16:predDERef xmlns:a16="http://schemas.microsoft.com/office/drawing/2014/main" pred="{90B618C1-0CBB-4529-A9A0-23D516B6D14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39006</xdr:colOff>
      <xdr:row>1</xdr:row>
      <xdr:rowOff>200024</xdr:rowOff>
    </xdr:from>
    <xdr:to>
      <xdr:col>18</xdr:col>
      <xdr:colOff>477188</xdr:colOff>
      <xdr:row>20</xdr:row>
      <xdr:rowOff>112420</xdr:rowOff>
    </xdr:to>
    <xdr:graphicFrame macro="">
      <xdr:nvGraphicFramePr>
        <xdr:cNvPr id="10" name="CHT1_DYAA_BL_ESWNCT">
          <a:extLst>
            <a:ext uri="{FF2B5EF4-FFF2-40B4-BE49-F238E27FC236}">
              <a16:creationId xmlns:a16="http://schemas.microsoft.com/office/drawing/2014/main" id="{5E341880-FB20-4185-B638-7F82B930054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18</xdr:col>
      <xdr:colOff>635000</xdr:colOff>
      <xdr:row>1</xdr:row>
      <xdr:rowOff>206374</xdr:rowOff>
    </xdr:from>
    <xdr:to>
      <xdr:col>32</xdr:col>
      <xdr:colOff>28575</xdr:colOff>
      <xdr:row>20</xdr:row>
      <xdr:rowOff>133349</xdr:rowOff>
    </xdr:to>
    <xdr:graphicFrame macro="">
      <xdr:nvGraphicFramePr>
        <xdr:cNvPr id="11" name="CHT2_DYAA_FP_ESWNCT">
          <a:extLst>
            <a:ext uri="{FF2B5EF4-FFF2-40B4-BE49-F238E27FC236}">
              <a16:creationId xmlns:a16="http://schemas.microsoft.com/office/drawing/2014/main" id="{2A1AA7AB-2D23-4B14-BBCE-AE1A77055A64}"/>
            </a:ext>
            <a:ext uri="{147F2762-F138-4A5C-976F-8EAC2B608ADB}">
              <a16:predDERef xmlns:a16="http://schemas.microsoft.com/office/drawing/2014/main" pred="{AFD8B5E9-4C48-4411-87BB-8EC677D2274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5</xdr:col>
      <xdr:colOff>1016000</xdr:colOff>
      <xdr:row>183</xdr:row>
      <xdr:rowOff>158750</xdr:rowOff>
    </xdr:from>
    <xdr:to>
      <xdr:col>18</xdr:col>
      <xdr:colOff>295307</xdr:colOff>
      <xdr:row>202</xdr:row>
      <xdr:rowOff>298385</xdr:rowOff>
    </xdr:to>
    <xdr:graphicFrame macro="">
      <xdr:nvGraphicFramePr>
        <xdr:cNvPr id="12" name="CHT3_DYCP_BL_ESWNCT">
          <a:extLst>
            <a:ext uri="{FF2B5EF4-FFF2-40B4-BE49-F238E27FC236}">
              <a16:creationId xmlns:a16="http://schemas.microsoft.com/office/drawing/2014/main" id="{9E8633CD-4839-4DBC-A8E5-351BE9268501}"/>
            </a:ext>
            <a:ext uri="{147F2762-F138-4A5C-976F-8EAC2B608ADB}">
              <a16:predDERef xmlns:a16="http://schemas.microsoft.com/office/drawing/2014/main" pred="{02C273D3-42D7-47A5-AB6B-636BE61F1EB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19</xdr:col>
      <xdr:colOff>12247</xdr:colOff>
      <xdr:row>183</xdr:row>
      <xdr:rowOff>168276</xdr:rowOff>
    </xdr:from>
    <xdr:to>
      <xdr:col>31</xdr:col>
      <xdr:colOff>421401</xdr:colOff>
      <xdr:row>202</xdr:row>
      <xdr:rowOff>304736</xdr:rowOff>
    </xdr:to>
    <xdr:graphicFrame macro="">
      <xdr:nvGraphicFramePr>
        <xdr:cNvPr id="14" name="CHT4_DYCP_FP_ESWNCT">
          <a:extLst>
            <a:ext uri="{FF2B5EF4-FFF2-40B4-BE49-F238E27FC236}">
              <a16:creationId xmlns:a16="http://schemas.microsoft.com/office/drawing/2014/main" id="{E49D8C21-E730-4167-AE7B-D106CA162C4F}"/>
            </a:ext>
            <a:ext uri="{147F2762-F138-4A5C-976F-8EAC2B608ADB}">
              <a16:predDERef xmlns:a16="http://schemas.microsoft.com/office/drawing/2014/main" pred="{90B618C1-0CBB-4529-A9A0-23D516B6D14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editAs="oneCell">
    <xdr:from>
      <xdr:col>11</xdr:col>
      <xdr:colOff>0</xdr:colOff>
      <xdr:row>1</xdr:row>
      <xdr:rowOff>0</xdr:rowOff>
    </xdr:from>
    <xdr:to>
      <xdr:col>16</xdr:col>
      <xdr:colOff>456079</xdr:colOff>
      <xdr:row>6</xdr:row>
      <xdr:rowOff>93088</xdr:rowOff>
    </xdr:to>
    <xdr:pic>
      <xdr:nvPicPr>
        <xdr:cNvPr id="3" name="Picture 1">
          <a:extLst>
            <a:ext uri="{FF2B5EF4-FFF2-40B4-BE49-F238E27FC236}">
              <a16:creationId xmlns:a16="http://schemas.microsoft.com/office/drawing/2014/main" id="{550B470A-D2F3-F573-7981-45C3AC90575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738847" y="179294"/>
          <a:ext cx="7028329" cy="4577458"/>
        </a:xfrm>
        <a:prstGeom prst="rect">
          <a:avLst/>
        </a:prstGeom>
        <a:noFill/>
      </xdr:spPr>
    </xdr:pic>
    <xdr:clientData/>
  </xdr:twoCellAnchor>
  <xdr:twoCellAnchor editAs="oneCell">
    <xdr:from>
      <xdr:col>10</xdr:col>
      <xdr:colOff>0</xdr:colOff>
      <xdr:row>34</xdr:row>
      <xdr:rowOff>0</xdr:rowOff>
    </xdr:from>
    <xdr:to>
      <xdr:col>14</xdr:col>
      <xdr:colOff>1273175</xdr:colOff>
      <xdr:row>38</xdr:row>
      <xdr:rowOff>94615</xdr:rowOff>
    </xdr:to>
    <xdr:pic>
      <xdr:nvPicPr>
        <xdr:cNvPr id="2" name="Picture 2">
          <a:extLst>
            <a:ext uri="{FF2B5EF4-FFF2-40B4-BE49-F238E27FC236}">
              <a16:creationId xmlns:a16="http://schemas.microsoft.com/office/drawing/2014/main" id="{5E16C5E1-72A1-9EF2-2474-BE5FA99B911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21035" y="13294659"/>
          <a:ext cx="6378575" cy="4154805"/>
        </a:xfrm>
        <a:prstGeom prst="rect">
          <a:avLst/>
        </a:prstGeom>
        <a:noFill/>
      </xdr:spPr>
    </xdr:pic>
    <xdr:clientData/>
  </xdr:twoCellAnchor>
  <xdr:twoCellAnchor editAs="oneCell">
    <xdr:from>
      <xdr:col>10</xdr:col>
      <xdr:colOff>0</xdr:colOff>
      <xdr:row>67</xdr:row>
      <xdr:rowOff>0</xdr:rowOff>
    </xdr:from>
    <xdr:to>
      <xdr:col>15</xdr:col>
      <xdr:colOff>72390</xdr:colOff>
      <xdr:row>71</xdr:row>
      <xdr:rowOff>591222</xdr:rowOff>
    </xdr:to>
    <xdr:pic>
      <xdr:nvPicPr>
        <xdr:cNvPr id="4" name="Picture 3">
          <a:extLst>
            <a:ext uri="{FF2B5EF4-FFF2-40B4-BE49-F238E27FC236}">
              <a16:creationId xmlns:a16="http://schemas.microsoft.com/office/drawing/2014/main" id="{9BE4FC10-E607-0C37-16A1-303EDA466B07}"/>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421035" y="25943859"/>
          <a:ext cx="6479540" cy="4220210"/>
        </a:xfrm>
        <a:prstGeom prst="rect">
          <a:avLst/>
        </a:prstGeom>
        <a:noFill/>
      </xdr:spPr>
    </xdr:pic>
    <xdr:clientData/>
  </xdr:twoCellAnchor>
  <xdr:twoCellAnchor editAs="oneCell">
    <xdr:from>
      <xdr:col>9</xdr:col>
      <xdr:colOff>833717</xdr:colOff>
      <xdr:row>132</xdr:row>
      <xdr:rowOff>53788</xdr:rowOff>
    </xdr:from>
    <xdr:to>
      <xdr:col>14</xdr:col>
      <xdr:colOff>1047712</xdr:colOff>
      <xdr:row>138</xdr:row>
      <xdr:rowOff>173803</xdr:rowOff>
    </xdr:to>
    <xdr:pic>
      <xdr:nvPicPr>
        <xdr:cNvPr id="7" name="Picture 5">
          <a:extLst>
            <a:ext uri="{FF2B5EF4-FFF2-40B4-BE49-F238E27FC236}">
              <a16:creationId xmlns:a16="http://schemas.microsoft.com/office/drawing/2014/main" id="{399E63D1-D324-349A-D077-B29A77C5093A}"/>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1080376" y="51152612"/>
          <a:ext cx="6486525" cy="4228465"/>
        </a:xfrm>
        <a:prstGeom prst="rect">
          <a:avLst/>
        </a:prstGeom>
        <a:noFill/>
      </xdr:spPr>
    </xdr:pic>
    <xdr:clientData/>
  </xdr:twoCellAnchor>
  <xdr:twoCellAnchor editAs="oneCell">
    <xdr:from>
      <xdr:col>9</xdr:col>
      <xdr:colOff>1102658</xdr:colOff>
      <xdr:row>164</xdr:row>
      <xdr:rowOff>161365</xdr:rowOff>
    </xdr:from>
    <xdr:to>
      <xdr:col>15</xdr:col>
      <xdr:colOff>213023</xdr:colOff>
      <xdr:row>171</xdr:row>
      <xdr:rowOff>148665</xdr:rowOff>
    </xdr:to>
    <xdr:pic>
      <xdr:nvPicPr>
        <xdr:cNvPr id="10" name="Picture 6">
          <a:extLst>
            <a:ext uri="{FF2B5EF4-FFF2-40B4-BE49-F238E27FC236}">
              <a16:creationId xmlns:a16="http://schemas.microsoft.com/office/drawing/2014/main" id="{CAF55B2C-7C62-1097-EE16-ACFC96DE2D95}"/>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1349317" y="62591577"/>
          <a:ext cx="6678930" cy="4349750"/>
        </a:xfrm>
        <a:prstGeom prst="rect">
          <a:avLst/>
        </a:prstGeom>
        <a:noFill/>
      </xdr:spPr>
    </xdr:pic>
    <xdr:clientData/>
  </xdr:twoCellAnchor>
  <xdr:twoCellAnchor editAs="oneCell">
    <xdr:from>
      <xdr:col>9</xdr:col>
      <xdr:colOff>1158240</xdr:colOff>
      <xdr:row>99</xdr:row>
      <xdr:rowOff>167640</xdr:rowOff>
    </xdr:from>
    <xdr:to>
      <xdr:col>17</xdr:col>
      <xdr:colOff>207603</xdr:colOff>
      <xdr:row>104</xdr:row>
      <xdr:rowOff>952500</xdr:rowOff>
    </xdr:to>
    <xdr:pic>
      <xdr:nvPicPr>
        <xdr:cNvPr id="6" name="Picture 5">
          <a:extLst>
            <a:ext uri="{FF2B5EF4-FFF2-40B4-BE49-F238E27FC236}">
              <a16:creationId xmlns:a16="http://schemas.microsoft.com/office/drawing/2014/main" id="{656AC858-46D7-B786-949C-9A0C5194A2DE}"/>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1454765" y="42496740"/>
          <a:ext cx="8717238" cy="5680710"/>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https://nwgcloud.sharepoint.com/sites/TD0086/wrp/Regulatory%20reporting/WRMP/Tables/PR24/Draft%20WRMP%202022/Draft%20WRMP%20Tables%20Submitted_V7_21_Dec_ESW%20Only/Essex%20and%20Suffolk%20Water%20WRMP24Tables_V7_21%20Dec%202022.xlsx" TargetMode="External"/><Relationship Id="rId1" Type="http://schemas.openxmlformats.org/officeDocument/2006/relationships/externalLinkPath" Target="https://nwgcloud.sharepoint.com/sites/TD0086/wrp/Regulatory%20reporting/WRMP/Tables/PR24/Draft%20WRMP%202022/Draft%20WRMP%20Tables%20Submitted_V7_21_Dec_ESW%20Only/Essex%20and%20Suffolk%20Water%20WRMP24Tables_V7_21%20Dec%20202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nwgcloud-my.sharepoint.com/personal/claire_lorenc_nwl_co_uk/Documents/GDrive/_Current%20work/20230907%20-%20ESW%20WRMP24%20Option%20Costing%20Rev%20K.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nwgcloud.sharepoint.com/sites/TD0171/dcs/Strategy%20Docs/2022_23/WRMP/WRMP%20DMA%20calcs%20v4%20(WRMP).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TITLE PAGE"/>
      <sheetName val="1. Base Year Licences"/>
      <sheetName val="2. WC Level Data"/>
      <sheetName val="ESWBLY"/>
      <sheetName val="ESWESX"/>
      <sheetName val="ESWHRT"/>
      <sheetName val="ESWNCT"/>
      <sheetName val="4. Options Appraisal Summary"/>
      <sheetName val="5. Options Benefits"/>
      <sheetName val="5a-5c. Cost Profiles"/>
      <sheetName val="6. Drought Plan Links"/>
      <sheetName val="7. Adaptive Programmes"/>
      <sheetName val="8. Business Plan Links "/>
      <sheetName val="Option Typs_Grps"/>
      <sheetName val="Essex and Suffolk Water WRMP24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
      <sheetName val="Carbon Checking Log"/>
      <sheetName val="Contents"/>
      <sheetName val="Summary"/>
      <sheetName val="Carbon models"/>
      <sheetName val="Models"/>
      <sheetName val="Model Map"/>
      <sheetName val="Transfer Input Summary"/>
      <sheetName val="Overheads and Energy Price"/>
      <sheetName val="RPI"/>
      <sheetName val="ESW-DES-001 - 10 Mld"/>
      <sheetName val="ESW-DES-001 - 10 Mld Carbon"/>
      <sheetName val="ESW-DES-001-TRA - 10 Mld"/>
      <sheetName val="ESW-DES-001-TRA - 10 Mld Carbon"/>
      <sheetName val="ESW-DES-001 - 15 Mld"/>
      <sheetName val="ESW-DES-001 - 15 Mld Carbon"/>
      <sheetName val="ESW-DES-001-TRA - 15 Mld"/>
      <sheetName val="ESW-DES-001-TRA- 15 Mld Carbon"/>
      <sheetName val="ESW-DES-001 - 20 Mld"/>
      <sheetName val="ESW-DES-001 - 20 Mld Carbon"/>
      <sheetName val="ESW-DES-001-TRA - 20 Mld"/>
      <sheetName val="ESW-DES-001-TRA- 20 Mld Carbon"/>
      <sheetName val="ESW-DES-001 - 25 Mld"/>
      <sheetName val="ESW-DES-001 - 25 Mld Carbon"/>
      <sheetName val="ESW-DES-001-TRA - 25 Mld"/>
      <sheetName val="ESW-DES-001-TRA- 25 Mld Carbon"/>
      <sheetName val="ESW-DES-001 - 50 Mld"/>
      <sheetName val="ESW-DES-001 - 50 Mld Carbon"/>
      <sheetName val="ESW-DES-001-TRA - 50 Mld"/>
      <sheetName val="ESW-DES-001-TRA - 50 Mld Carbon"/>
      <sheetName val="ESW-DES-001 - 65 Mld"/>
      <sheetName val="ESW-DES-001 - 65 Mld Carbon"/>
      <sheetName val="ESW-DES-001 - 70 Mld"/>
      <sheetName val="ESW-DES-001 - 70 Mld Carbon"/>
      <sheetName val="ESW-DES-001 - 100 Mld"/>
      <sheetName val="ESW-DES-001 - 100 Mld Carbon"/>
      <sheetName val="ESW-DES-001-TRA - 100 Mld"/>
      <sheetName val="ESW-DES-001-TRA - 100 Mld Carbo"/>
      <sheetName val="ESW-DES-001 - 190 Mld"/>
      <sheetName val="ESW-DES-001 - 190 Mld Carbon"/>
      <sheetName val="ESW-DES-001-TRA - 190 Mld"/>
      <sheetName val="ESW-DES-001-TRA - 190 Mld Carbo"/>
      <sheetName val="ESW-DES-001 - 250"/>
      <sheetName val="ESW-DES-002 - 25 Mld"/>
      <sheetName val="ESW-DES-002 - 25 Mld Carbon"/>
      <sheetName val="ESW-DES-002-TRA - 25 Mld"/>
      <sheetName val="ESW-DES-002-TRA - 25 Mld Carbon"/>
      <sheetName val="ESW-DES-002 - 50 Mld"/>
      <sheetName val="ESW-DES-002 - 50 Mld Carbon"/>
      <sheetName val="ESW-DES-002-TRA - 50 Mld"/>
      <sheetName val="ESW-DES-002-TRA - 50 Mld Carbon"/>
      <sheetName val="ESW-DES-002 - 100 Mld"/>
      <sheetName val="ESW-DES-002 - 100 Mld Carbon"/>
      <sheetName val="ESW-DES-002-TRA - 100 Mld"/>
      <sheetName val="ESW-DES-002-TRA - 100 Mld Carbo"/>
      <sheetName val="ESW-DES-002 - 145 Mld"/>
      <sheetName val="ESW-DES-002 - 145 Mld Carbon"/>
      <sheetName val="ESW-DES-002-TRA - 145 Mld"/>
      <sheetName val="ESW-DES-002 - 250"/>
      <sheetName val="ESW-DES-002-TRA - 145 Mld Carbo"/>
      <sheetName val="ESW-DES-003-IG - 11.2 Mld"/>
      <sheetName val="ESW-DES-003-IG - 11.2 Mld Carbo"/>
      <sheetName val="ESW-DES-003-IG-TRA - 11.2 Mld"/>
      <sheetName val="ESW-DES-003-IG-TRA - 11.2 Mld C"/>
      <sheetName val="ESW-DES-003-BW - 20.1 Mld"/>
      <sheetName val="ESW-DES-003-BW - 20.1 Mld Carbo"/>
      <sheetName val="ESW-DES-003-BW-TRA - 20.1 Mld"/>
      <sheetName val="ESW-DES-003-BW-TRA - 20.1 Mld C"/>
      <sheetName val="ESW-DES-004-IG - 14.0 Mld"/>
      <sheetName val="ESW-DES-004-IG - 14.0 Mld Carbo"/>
      <sheetName val="ESW-DES-004-IG-TRA - 14.0 Mld"/>
      <sheetName val="ESW-DES-004-IG-TRA - 14.0 Mld C"/>
      <sheetName val="ESW-DES-004-BW - 25.1 Mld"/>
      <sheetName val="ESW-DES-004-BW - 25.1 Mld Carbo"/>
      <sheetName val="ESW-DES-004-BW-TRA - 25.1 Mld"/>
      <sheetName val="ESW-DES-004-BW-TRA - 25.1 Mld C"/>
      <sheetName val="ESW-DES-006 - 25 Mld"/>
      <sheetName val="ESW-DES-006 - 25 Mld Carbon"/>
      <sheetName val="ESW-DES-006-TRA - 25 Mld"/>
      <sheetName val="ESW-DES-006-TRA - 25 Mld Carbon"/>
      <sheetName val="ESW-DES-006 - 50 Mld"/>
      <sheetName val="ESW-DES-006 - 50 Mld Carbon"/>
      <sheetName val="ESW-DES-006-TRA - 50 Mld"/>
      <sheetName val="ESW-DES-006-TRA - 50 Mld Carbon"/>
      <sheetName val="ESW-DES-006 - 100 Mld"/>
      <sheetName val="ESW-DES-006 - 100 Mld Carbon"/>
      <sheetName val="ESW-DES-006-TRA - 100 Mld"/>
      <sheetName val="ESW-DES-006-TRA - 100 Mld Carbo"/>
      <sheetName val="ESW-DES-006 - 250 Mld"/>
      <sheetName val="ESW-DES-006 - 250 Mld Carbon"/>
      <sheetName val="ESW-DES-006-TRA - 250 Mld"/>
      <sheetName val="ESW-DES-006-TRA - 250 Mld Carbo"/>
      <sheetName val="ESW-DES-007 - 25 Mld"/>
      <sheetName val="ESW-DES-007 - 25 Mld Carbon"/>
      <sheetName val="ESW-DES-007-TRA - 25 Mld"/>
      <sheetName val="ESW-DES-007-TRA - 25 Mld Carbon"/>
      <sheetName val="ESW-DES-007 - 50 Mld"/>
      <sheetName val="ESW-DES-007 - 50 Mld Carbon"/>
      <sheetName val="ESW-DES-007-TRA - 50 Mld"/>
      <sheetName val="ESW-DES-007-TRA - 50 Mld Carbon"/>
      <sheetName val="ESW-DES-007 - 100 Mld"/>
      <sheetName val="ESW-DES-007 - 100 Mld Carbon"/>
      <sheetName val="ESW-DES-007-TRA - 100 Mld"/>
      <sheetName val="ESW-DES-007-TRA - 100 Mld Carbo"/>
      <sheetName val="ESW-DES-007 - 250 Mld"/>
      <sheetName val="ESW-DES-007 - 250 Mld Carbon"/>
      <sheetName val="ESW-DES-007-TRA - 250 Mld"/>
      <sheetName val="ESW-DES-007-TRA - 250 Mld Carbo"/>
      <sheetName val="ESW-DES-008-IG - 5.6 Mld"/>
      <sheetName val="ESW-DES-008-IG - 5.6 Mld Carbon"/>
      <sheetName val="ESW-DES-008-IG-TRA - 5.6 Mld"/>
      <sheetName val="ESW-DES-008-IG-TRA - 5.6 Mld Ca"/>
      <sheetName val="ESW-DES-008-BW - 10.1 Mld"/>
      <sheetName val="ESW-DES-008-BW - 10.1 Mld Carbo"/>
      <sheetName val="ESW-DES-008-BW-TRA - 10.1 Mld"/>
      <sheetName val="ESW-DES-008-BW-TRA - 10.1 Mld C"/>
      <sheetName val="Terrestrial Floating Comparison"/>
      <sheetName val="Desalination Cost Models"/>
      <sheetName val="ESW-EFR-001 - 40.5 Mld"/>
      <sheetName val="ESW-EFR-001 - 40.5 Mld Carbon"/>
      <sheetName val="ESW-EFR-001-A - 20.5 Mld"/>
      <sheetName val="ESW-EFR-001-A - 20.5 Mld Carbon"/>
      <sheetName val="ESW-EFR-001-B - 20 Mld"/>
      <sheetName val="ESW-EFR-001-B - 20 Mld Carbon"/>
      <sheetName val="ESW-EFR-001-TRA - 44 Mld "/>
      <sheetName val="ESW-EFR-001-TRA - 44 Mld Carbon"/>
      <sheetName val="ESW-EFR-002 - 11 Mld"/>
      <sheetName val="ESW-EFR-002 - 11 Mld Carbon"/>
      <sheetName val="ESW-EFR-002-TRA- 11 Mld"/>
      <sheetName val="ESW-EFR-002-TRA- 11 Mld Carbon"/>
      <sheetName val="ESW-EFR-002A - 11 Mld"/>
      <sheetName val="ESW-EFR-002A - 11 Mld Carbon"/>
      <sheetName val="ESW-EFR-002A-TRA - 11 Mld"/>
      <sheetName val="ESW-EFR-002A-TRA - 11 Mld Carbo"/>
      <sheetName val="ESW-EFR-003 - 15 Mld"/>
      <sheetName val="ESW-EFR-003 - 15 Mld Carbon"/>
      <sheetName val="ESW-EFR-003-TRA - 15 Mld"/>
      <sheetName val="ESW-EFR-003-TRA - 15 Mld Carbon"/>
      <sheetName val="ESW-EFR-004 - 19 Mld"/>
      <sheetName val="ESW-EFR-004 - 19 Mld Carbon"/>
      <sheetName val="ESW-EFR-004-TRA - 19 Mld"/>
      <sheetName val="ESW-EFR-004-TRA - 19 Mld Carbon"/>
      <sheetName val="03b-0478-B - 16.4 Mld (AWS)"/>
      <sheetName val="03b-0478-B - 16.4 Mld (AWS) Car"/>
      <sheetName val="ESW-EFR-010 - 40 Ml"/>
      <sheetName val="ESW-EFR-010 - 40 Ml Carbon"/>
      <sheetName val="ESW-EFR-010-TRA - 40 Ml"/>
      <sheetName val="ESW-EFR-010-TRA - 40 Ml Carbon"/>
      <sheetName val="ESW-EFR-010 - 180 Ml"/>
      <sheetName val="ESW-EFR-010 - 180 Ml Carbon"/>
      <sheetName val="ESW-EFR-010-TRA - 180 Ml"/>
      <sheetName val="ESW-EFR-010-TRA - 180 Ml Carbon"/>
      <sheetName val="ESW-EFR-011"/>
      <sheetName val="ESW-EFR-011 Carbon"/>
      <sheetName val="ESW-EFR-011-TRA"/>
      <sheetName val="ESW-EFR-011-TRA Carbon"/>
      <sheetName val="Water Reuse Cost Models"/>
      <sheetName val="ESW-NIT-001"/>
      <sheetName val="ESW-NIT-001 Carbon"/>
      <sheetName val="ESW-NIT-001-TRA"/>
      <sheetName val="ESW-NIT-001-TRA Carbon"/>
      <sheetName val="ESW-NIT-002"/>
      <sheetName val="ESW-NIT-002 Carbon"/>
      <sheetName val="ESW-NIT-002-TRA"/>
      <sheetName val="ESW-NIT-002-TRA Carbon"/>
      <sheetName val="ESW-NIT-003"/>
      <sheetName val="ESW-NIT-003 Carbon"/>
      <sheetName val="ESW-NIT-003-TRA"/>
      <sheetName val="ESW-NIT-003-TRA Carbon"/>
      <sheetName val="ESW-NIT-004"/>
      <sheetName val="ESW-NIT-004 Carbon"/>
      <sheetName val="ESW-NIT-004-TRA"/>
      <sheetName val="ESW-NIT-004-TRA Carbon"/>
      <sheetName val="ESW-NIT-005"/>
      <sheetName val="ESW-NIT-005 Carbon"/>
      <sheetName val="ESW-NIT-005-TRA"/>
      <sheetName val="ESW-NIT-005-TRA Carbon"/>
      <sheetName val="ESW-NIT-006"/>
      <sheetName val="ESW-NIT-006 Carbon"/>
      <sheetName val="ESW-NIT-006-TRA"/>
      <sheetName val="ESW-NIT-006-TRA Carbon"/>
      <sheetName val="Nitrate Treatment Cost Models"/>
      <sheetName val="AWS Trade Effluent Charges"/>
      <sheetName val="ESW-RES-002 - 3500 Ml"/>
      <sheetName val="ESW-RES-002 - 3500 Ml Carbon"/>
      <sheetName val="ESW-RES-002-TRA-A - 16.2 Mld"/>
      <sheetName val="ESW-RES-002-TRA-A - 16.2 Mld Ca"/>
      <sheetName val="ESW-RES-002-TRA-C - 16.2 Mld"/>
      <sheetName val="ESW-RES-002-TRA-C - 16.2 Mld Ca"/>
      <sheetName val="ESW-RES-002 - 5000 Ml"/>
      <sheetName val="ESW-RES-002 - 5000 Ml Carbon"/>
      <sheetName val="ESW-RES-002-TRA-A - 18.5 Mld"/>
      <sheetName val="ESW-RES-002-TRA-A - 18.5 Mld Ca"/>
      <sheetName val="ESW-RES-002-TRA-C - 18.5 Mld"/>
      <sheetName val="ESW-RES-002-TRA-C - 18.5 Mld Ca"/>
      <sheetName val="ESW-RES-002 - 7500 Ml"/>
      <sheetName val="ESW-RES-002 - 7500 Ml Carbon"/>
      <sheetName val="ESW-RES-002-TRA-A - 19.9 Mld"/>
      <sheetName val="ESW-RES-002-TRA-A - 19.9 Mld Ca"/>
      <sheetName val="ESW-RES-002-TRA-C - 19.9 Mld"/>
      <sheetName val="ESW-RES-002-TRA-C - 19.9 Mld Ca"/>
      <sheetName val="Reservoir Costs"/>
      <sheetName val="ESW-ABS-002 - 7 Mld"/>
      <sheetName val="ESW-ABS-002 - 7 Mld Carbon"/>
      <sheetName val="ESW-ABS-003 - 10Mld"/>
      <sheetName val="ESW-ABS-003 - 10Mld Carbon"/>
      <sheetName val="ESW-ABS-003-TRA-A"/>
      <sheetName val="ESW-ABS-003-TRA-A Carbon"/>
      <sheetName val="ESW-ABS-003-TRA-B"/>
      <sheetName val="ESW-ABS-003-TRA-B Carbon"/>
      <sheetName val="ESW-ABS-003-TRA-C"/>
      <sheetName val="ESW-ABS-003-TRA-C Carbon"/>
      <sheetName val="ESW-ABS-003-TRA-D"/>
      <sheetName val="ESW-ABS-003-TRA-D Carbon"/>
      <sheetName val="Borehole Treatment Cost Models"/>
      <sheetName val="Service Reservoir"/>
      <sheetName val="Winter Storage Reservoir"/>
      <sheetName val="Chlorination and Conditioning"/>
      <sheetName val="ESW-ASR-004-A - 2.4 Mld"/>
      <sheetName val="ESW-ASR-004-A - 2.4 Mld Carbon"/>
      <sheetName val="ESW-ASR-004-B - 2.4 Mld"/>
      <sheetName val="ESW-ASR-004-B - 2.4 Mld Carbon"/>
      <sheetName val="ASR Cost Models"/>
      <sheetName val="ESW-PMP-001"/>
      <sheetName val="ESW-PMP-001 Carbon"/>
      <sheetName val="ESW-PMP-002"/>
      <sheetName val="ESW-PMP-002 Carbon"/>
      <sheetName val="ESW-UPG-001"/>
      <sheetName val="ESW-UPG-001 Carbon"/>
      <sheetName val="ESW-UVC-001"/>
      <sheetName val="ESW-UVC-001 Carbon"/>
      <sheetName val="E&amp;SW Pipeline Cost Curves"/>
      <sheetName val="E&amp;SW Pipeline Cost Curves (2)"/>
      <sheetName val="Pipelines"/>
      <sheetName val="Carbon Crossings"/>
      <sheetName val="Constants"/>
      <sheetName val="Transfers_SS"/>
    </sheetNames>
    <sheetDataSet>
      <sheetData sheetId="0"/>
      <sheetData sheetId="1"/>
      <sheetData sheetId="2"/>
      <sheetData sheetId="3">
        <row r="14">
          <cell r="Q14">
            <v>3962452.8684325274</v>
          </cell>
        </row>
        <row r="28">
          <cell r="P28">
            <v>108706301.76051304</v>
          </cell>
        </row>
        <row r="29">
          <cell r="P29">
            <v>64389051.124086492</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EA tables"/>
      <sheetName val="Berwick"/>
      <sheetName val="Kielder"/>
      <sheetName val="Hartismere"/>
      <sheetName val="Blyth"/>
      <sheetName val="Northern Central"/>
      <sheetName val="Essex"/>
      <sheetName val="NW DMAs"/>
      <sheetName val="ESW DMAs"/>
      <sheetName val="NNE dWRMP011"/>
      <sheetName val="ESK dWRMP015"/>
      <sheetName val="Sheet2"/>
      <sheetName val="Sheet1"/>
    </sheetNames>
    <sheetDataSet>
      <sheetData sheetId="0"/>
      <sheetData sheetId="1">
        <row r="7">
          <cell r="E7">
            <v>4086.8590788000015</v>
          </cell>
          <cell r="F7">
            <v>4086.8590788000015</v>
          </cell>
          <cell r="G7">
            <v>4086.8590788000015</v>
          </cell>
          <cell r="H7">
            <v>4086.8590788000015</v>
          </cell>
          <cell r="I7">
            <v>4086.8590788000015</v>
          </cell>
          <cell r="J7">
            <v>22324.927820576926</v>
          </cell>
          <cell r="K7">
            <v>24529.494830000007</v>
          </cell>
          <cell r="L7">
            <v>135521.80036347813</v>
          </cell>
          <cell r="M7">
            <v>144672.55387720978</v>
          </cell>
        </row>
        <row r="8">
          <cell r="E8">
            <v>1540.4001959999987</v>
          </cell>
          <cell r="F8">
            <v>1540.4001959999987</v>
          </cell>
          <cell r="G8">
            <v>1540.4001959999987</v>
          </cell>
          <cell r="H8">
            <v>1540.4001959999987</v>
          </cell>
          <cell r="I8">
            <v>1540.4001959999987</v>
          </cell>
          <cell r="J8">
            <v>14477.101959999985</v>
          </cell>
          <cell r="K8">
            <v>21359.727939999979</v>
          </cell>
          <cell r="L8">
            <v>21359.727939999979</v>
          </cell>
          <cell r="M8">
            <v>21359.727939999979</v>
          </cell>
        </row>
      </sheetData>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BL1a_IndivLic" displayName="TBL1a_IndivLic" ref="B9:L31" totalsRowShown="0" headerRowDxfId="4727" headerRowBorderDxfId="4726" tableBorderDxfId="4725" totalsRowBorderDxfId="4724" headerRowCellStyle="Normal 2">
  <autoFilter ref="B9:L31" xr:uid="{1D7EDADF-E95B-4E44-BEBC-566812579F90}"/>
  <tableColumns count="11">
    <tableColumn id="2" xr3:uid="{00000000-0010-0000-0000-000002000000}" name="WRMP24 Reference" dataDxfId="4723" totalsRowDxfId="4722"/>
    <tableColumn id="3" xr3:uid="{00000000-0010-0000-0000-000003000000}" name="Derivation" dataDxfId="4721" totalsRowDxfId="4720"/>
    <tableColumn id="4" xr3:uid="{00000000-0010-0000-0000-000004000000}" name="Licence number" dataDxfId="4719" totalsRowDxfId="4718"/>
    <tableColumn id="5" xr3:uid="{00000000-0010-0000-0000-000005000000}" name="Source name" dataDxfId="4717" totalsRowDxfId="4716"/>
    <tableColumn id="6" xr3:uid="{00000000-0010-0000-0000-000006000000}" name="Source type" dataDxfId="4715" totalsRowDxfId="4714"/>
    <tableColumn id="7" xr3:uid="{00000000-0010-0000-0000-000007000000}" name="WRZ Code" dataDxfId="4713" totalsRowDxfId="4712"/>
    <tableColumn id="8" xr3:uid="{00000000-0010-0000-0000-000008000000}" name="DYAA deployable output (Ml/d)" dataDxfId="4711"/>
    <tableColumn id="1" xr3:uid="{00000000-0010-0000-0000-000001000000}" name="DYCP deployable output (Ml/d)" dataDxfId="4710" totalsRowDxfId="4709">
      <calculatedColumnFormula>SUM(I11:I31)</calculatedColumnFormula>
    </tableColumn>
    <tableColumn id="9" xr3:uid="{00000000-0010-0000-0000-000009000000}" name="Annual licensed quantity (Ml/d)" dataDxfId="4708" totalsRowDxfId="4707"/>
    <tableColumn id="10" xr3:uid="{00000000-0010-0000-0000-00000A000000}" name="Constraints on deployable output" dataDxfId="4706" totalsRowDxfId="4705"/>
    <tableColumn id="11" xr3:uid="{00000000-0010-0000-0000-00000B000000}" name="Additional notes (if desired)" dataDxfId="4704" totalsRowDxfId="4703"/>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00000000-000C-0000-FFFF-FFFF09000000}" name="TBL2f_WCDYAA_LoS" displayName="TBL2f_WCDYAA_LoS" ref="B83:CJ91" totalsRowShown="0" headerRowDxfId="4517" dataDxfId="4515" headerRowBorderDxfId="4516" tableBorderDxfId="4514" headerRowCellStyle="Normal 2">
  <autoFilter ref="B83:CJ91" xr:uid="{00000000-0009-0000-0100-000017000000}"/>
  <tableColumns count="87">
    <tableColumn id="1" xr3:uid="{00000000-0010-0000-0900-000001000000}" name="WRMP24 Reference" dataDxfId="4513"/>
    <tableColumn id="2" xr3:uid="{00000000-0010-0000-0900-000002000000}" name="Component" dataDxfId="4512"/>
    <tableColumn id="3" xr3:uid="{00000000-0010-0000-0900-000003000000}" name="Derivation" dataDxfId="4511"/>
    <tableColumn id="4" xr3:uid="{00000000-0010-0000-0900-000004000000}" name="Unit" dataDxfId="4510"/>
    <tableColumn id="5" xr3:uid="{00000000-0010-0000-0900-000005000000}" name="Decimal places" dataDxfId="4509"/>
    <tableColumn id="6" xr3:uid="{00000000-0010-0000-0900-000006000000}" name="2019-20" dataDxfId="4508"/>
    <tableColumn id="7" xr3:uid="{00000000-0010-0000-0900-000007000000}" name="2020-21" dataDxfId="4507"/>
    <tableColumn id="8" xr3:uid="{00000000-0010-0000-0900-000008000000}" name="2021-22" dataDxfId="4506"/>
    <tableColumn id="9" xr3:uid="{00000000-0010-0000-0900-000009000000}" name="2022-23" dataDxfId="4505"/>
    <tableColumn id="10" xr3:uid="{00000000-0010-0000-0900-00000A000000}" name="2023-24" dataDxfId="4504"/>
    <tableColumn id="11" xr3:uid="{00000000-0010-0000-0900-00000B000000}" name="2024-25" dataDxfId="4503"/>
    <tableColumn id="12" xr3:uid="{00000000-0010-0000-0900-00000C000000}" name="2025-26" dataDxfId="4502"/>
    <tableColumn id="13" xr3:uid="{00000000-0010-0000-0900-00000D000000}" name="2026-27" dataDxfId="4501"/>
    <tableColumn id="14" xr3:uid="{00000000-0010-0000-0900-00000E000000}" name="2027-28" dataDxfId="4500"/>
    <tableColumn id="15" xr3:uid="{00000000-0010-0000-0900-00000F000000}" name="2028-29" dataDxfId="4499"/>
    <tableColumn id="16" xr3:uid="{00000000-0010-0000-0900-000010000000}" name="2029-30" dataDxfId="4498"/>
    <tableColumn id="17" xr3:uid="{00000000-0010-0000-0900-000011000000}" name="2030-31" dataDxfId="4497"/>
    <tableColumn id="18" xr3:uid="{00000000-0010-0000-0900-000012000000}" name="2031-32" dataDxfId="4496"/>
    <tableColumn id="19" xr3:uid="{00000000-0010-0000-0900-000013000000}" name="2032-33" dataDxfId="4495"/>
    <tableColumn id="20" xr3:uid="{00000000-0010-0000-0900-000014000000}" name="2033-34" dataDxfId="4494"/>
    <tableColumn id="21" xr3:uid="{00000000-0010-0000-0900-000015000000}" name="2034-35" dataDxfId="4493"/>
    <tableColumn id="22" xr3:uid="{00000000-0010-0000-0900-000016000000}" name="2035-36" dataDxfId="4492"/>
    <tableColumn id="23" xr3:uid="{00000000-0010-0000-0900-000017000000}" name="2036-37" dataDxfId="4491"/>
    <tableColumn id="24" xr3:uid="{00000000-0010-0000-0900-000018000000}" name="2037-38" dataDxfId="4490"/>
    <tableColumn id="25" xr3:uid="{00000000-0010-0000-0900-000019000000}" name="2038-39" dataDxfId="4489"/>
    <tableColumn id="26" xr3:uid="{00000000-0010-0000-0900-00001A000000}" name="2039-40" dataDxfId="4488"/>
    <tableColumn id="27" xr3:uid="{00000000-0010-0000-0900-00001B000000}" name="2040-41" dataDxfId="4487"/>
    <tableColumn id="28" xr3:uid="{00000000-0010-0000-0900-00001C000000}" name="2041-42" dataDxfId="4486"/>
    <tableColumn id="29" xr3:uid="{00000000-0010-0000-0900-00001D000000}" name="2042-43" dataDxfId="4485"/>
    <tableColumn id="30" xr3:uid="{00000000-0010-0000-0900-00001E000000}" name="2043-44" dataDxfId="4484"/>
    <tableColumn id="31" xr3:uid="{00000000-0010-0000-0900-00001F000000}" name="2044-45" dataDxfId="4483"/>
    <tableColumn id="32" xr3:uid="{00000000-0010-0000-0900-000020000000}" name="2045-46" dataDxfId="4482"/>
    <tableColumn id="33" xr3:uid="{00000000-0010-0000-0900-000021000000}" name="2046-47" dataDxfId="4481"/>
    <tableColumn id="34" xr3:uid="{00000000-0010-0000-0900-000022000000}" name="2047-48" dataDxfId="4480"/>
    <tableColumn id="35" xr3:uid="{00000000-0010-0000-0900-000023000000}" name="2048-49" dataDxfId="4479"/>
    <tableColumn id="36" xr3:uid="{00000000-0010-0000-0900-000024000000}" name="2049-50" dataDxfId="4478"/>
    <tableColumn id="37" xr3:uid="{00000000-0010-0000-0900-000025000000}" name="2050-51" dataDxfId="4477"/>
    <tableColumn id="38" xr3:uid="{00000000-0010-0000-0900-000026000000}" name="2051-52" dataDxfId="4476"/>
    <tableColumn id="39" xr3:uid="{00000000-0010-0000-0900-000027000000}" name="2052-53" dataDxfId="4475"/>
    <tableColumn id="40" xr3:uid="{00000000-0010-0000-0900-000028000000}" name="2053-54" dataDxfId="4474"/>
    <tableColumn id="41" xr3:uid="{00000000-0010-0000-0900-000029000000}" name="2054-55" dataDxfId="4473"/>
    <tableColumn id="42" xr3:uid="{00000000-0010-0000-0900-00002A000000}" name="2055-56" dataDxfId="4472"/>
    <tableColumn id="43" xr3:uid="{00000000-0010-0000-0900-00002B000000}" name="2056-57" dataDxfId="4471"/>
    <tableColumn id="44" xr3:uid="{00000000-0010-0000-0900-00002C000000}" name="2057-58" dataDxfId="4470"/>
    <tableColumn id="45" xr3:uid="{00000000-0010-0000-0900-00002D000000}" name="2058-59" dataDxfId="4469"/>
    <tableColumn id="46" xr3:uid="{00000000-0010-0000-0900-00002E000000}" name="2059-60" dataDxfId="4468"/>
    <tableColumn id="47" xr3:uid="{00000000-0010-0000-0900-00002F000000}" name="2060-61" dataDxfId="4467"/>
    <tableColumn id="48" xr3:uid="{00000000-0010-0000-0900-000030000000}" name="2061-62" dataDxfId="4466"/>
    <tableColumn id="49" xr3:uid="{00000000-0010-0000-0900-000031000000}" name="2062-63" dataDxfId="4465"/>
    <tableColumn id="50" xr3:uid="{00000000-0010-0000-0900-000032000000}" name="2063-64" dataDxfId="4464"/>
    <tableColumn id="51" xr3:uid="{00000000-0010-0000-0900-000033000000}" name="2064-65" dataDxfId="4463"/>
    <tableColumn id="52" xr3:uid="{00000000-0010-0000-0900-000034000000}" name="2065-66" dataDxfId="4462"/>
    <tableColumn id="53" xr3:uid="{00000000-0010-0000-0900-000035000000}" name="2066-67" dataDxfId="4461"/>
    <tableColumn id="54" xr3:uid="{00000000-0010-0000-0900-000036000000}" name="2067-68" dataDxfId="4460"/>
    <tableColumn id="55" xr3:uid="{00000000-0010-0000-0900-000037000000}" name="2068-69" dataDxfId="4459"/>
    <tableColumn id="56" xr3:uid="{00000000-0010-0000-0900-000038000000}" name="2069-70" dataDxfId="4458"/>
    <tableColumn id="57" xr3:uid="{00000000-0010-0000-0900-000039000000}" name="2070-71" dataDxfId="4457"/>
    <tableColumn id="58" xr3:uid="{00000000-0010-0000-0900-00003A000000}" name="2071-72" dataDxfId="4456"/>
    <tableColumn id="59" xr3:uid="{00000000-0010-0000-0900-00003B000000}" name="2072-73" dataDxfId="4455"/>
    <tableColumn id="60" xr3:uid="{00000000-0010-0000-0900-00003C000000}" name="2073-74" dataDxfId="4454"/>
    <tableColumn id="61" xr3:uid="{00000000-0010-0000-0900-00003D000000}" name="2074-75" dataDxfId="4453"/>
    <tableColumn id="62" xr3:uid="{00000000-0010-0000-0900-00003E000000}" name="2075-76" dataDxfId="4452"/>
    <tableColumn id="63" xr3:uid="{00000000-0010-0000-0900-00003F000000}" name="2076-77" dataDxfId="4451"/>
    <tableColumn id="64" xr3:uid="{00000000-0010-0000-0900-000040000000}" name="2077-78" dataDxfId="4450"/>
    <tableColumn id="65" xr3:uid="{00000000-0010-0000-0900-000041000000}" name="2078-79" dataDxfId="4449"/>
    <tableColumn id="66" xr3:uid="{00000000-0010-0000-0900-000042000000}" name="2079-80" dataDxfId="4448"/>
    <tableColumn id="67" xr3:uid="{00000000-0010-0000-0900-000043000000}" name="2080-81" dataDxfId="4447"/>
    <tableColumn id="68" xr3:uid="{00000000-0010-0000-0900-000044000000}" name="2081-82" dataDxfId="4446"/>
    <tableColumn id="69" xr3:uid="{00000000-0010-0000-0900-000045000000}" name="2082-83" dataDxfId="4445"/>
    <tableColumn id="70" xr3:uid="{00000000-0010-0000-0900-000046000000}" name="2083-84" dataDxfId="4444"/>
    <tableColumn id="71" xr3:uid="{00000000-0010-0000-0900-000047000000}" name="2084-85" dataDxfId="4443"/>
    <tableColumn id="72" xr3:uid="{00000000-0010-0000-0900-000048000000}" name="2085-86" dataDxfId="4442"/>
    <tableColumn id="73" xr3:uid="{00000000-0010-0000-0900-000049000000}" name="2086-87" dataDxfId="4441"/>
    <tableColumn id="74" xr3:uid="{00000000-0010-0000-0900-00004A000000}" name="2087-88" dataDxfId="4440"/>
    <tableColumn id="75" xr3:uid="{00000000-0010-0000-0900-00004B000000}" name="2088-89" dataDxfId="4439"/>
    <tableColumn id="76" xr3:uid="{00000000-0010-0000-0900-00004C000000}" name="2089-90" dataDxfId="4438"/>
    <tableColumn id="77" xr3:uid="{00000000-0010-0000-0900-00004D000000}" name="2090-91" dataDxfId="4437"/>
    <tableColumn id="78" xr3:uid="{00000000-0010-0000-0900-00004E000000}" name="2091-92" dataDxfId="4436"/>
    <tableColumn id="79" xr3:uid="{00000000-0010-0000-0900-00004F000000}" name="2092-93" dataDxfId="4435"/>
    <tableColumn id="80" xr3:uid="{00000000-0010-0000-0900-000050000000}" name="2093-94" dataDxfId="4434"/>
    <tableColumn id="81" xr3:uid="{00000000-0010-0000-0900-000051000000}" name="2094-95" dataDxfId="4433"/>
    <tableColumn id="82" xr3:uid="{00000000-0010-0000-0900-000052000000}" name="2095-96" dataDxfId="4432"/>
    <tableColumn id="83" xr3:uid="{00000000-0010-0000-0900-000053000000}" name="2096-97" dataDxfId="4431"/>
    <tableColumn id="84" xr3:uid="{00000000-0010-0000-0900-000054000000}" name="2097-98" dataDxfId="4430"/>
    <tableColumn id="85" xr3:uid="{00000000-0010-0000-0900-000055000000}" name="2098-99" dataDxfId="4429"/>
    <tableColumn id="86" xr3:uid="{00000000-0010-0000-0900-000056000000}" name="2099-100" dataDxfId="4428"/>
    <tableColumn id="87" xr3:uid="{00000000-0010-0000-0900-000057000000}" name="2100-01" dataDxfId="4427"/>
  </tableColumns>
  <tableStyleInfo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0A000000}" name="TBL2c_WCDYAA_Metering" displayName="TBL2c_WCDYAA_Metering" ref="B41:CJ52" totalsRowShown="0" headerRowDxfId="4426" dataDxfId="4424" headerRowBorderDxfId="4425" tableBorderDxfId="4423" headerRowCellStyle="Normal 2">
  <autoFilter ref="B41:CJ52" xr:uid="{00000000-0009-0000-0100-000014000000}"/>
  <tableColumns count="87">
    <tableColumn id="1" xr3:uid="{00000000-0010-0000-0A00-000001000000}" name="WRMP24 Reference" dataDxfId="4422"/>
    <tableColumn id="2" xr3:uid="{00000000-0010-0000-0A00-000002000000}" name="Component" dataDxfId="4421"/>
    <tableColumn id="3" xr3:uid="{00000000-0010-0000-0A00-000003000000}" name="Derivation" dataDxfId="4420"/>
    <tableColumn id="4" xr3:uid="{00000000-0010-0000-0A00-000004000000}" name="Unit" dataDxfId="4419"/>
    <tableColumn id="5" xr3:uid="{00000000-0010-0000-0A00-000005000000}" name="Decimal places" dataDxfId="4418"/>
    <tableColumn id="6" xr3:uid="{00000000-0010-0000-0A00-000006000000}" name="2019-20" dataDxfId="4417"/>
    <tableColumn id="7" xr3:uid="{00000000-0010-0000-0A00-000007000000}" name="2020-21" dataDxfId="4416"/>
    <tableColumn id="8" xr3:uid="{00000000-0010-0000-0A00-000008000000}" name="2021-22" dataDxfId="4415"/>
    <tableColumn id="9" xr3:uid="{00000000-0010-0000-0A00-000009000000}" name="2022-23" dataDxfId="4414"/>
    <tableColumn id="10" xr3:uid="{00000000-0010-0000-0A00-00000A000000}" name="2023-24" dataDxfId="4413"/>
    <tableColumn id="11" xr3:uid="{00000000-0010-0000-0A00-00000B000000}" name="2024-25" dataDxfId="4412"/>
    <tableColumn id="12" xr3:uid="{00000000-0010-0000-0A00-00000C000000}" name="2025-26" dataDxfId="4411"/>
    <tableColumn id="13" xr3:uid="{00000000-0010-0000-0A00-00000D000000}" name="2026-27" dataDxfId="4410"/>
    <tableColumn id="14" xr3:uid="{00000000-0010-0000-0A00-00000E000000}" name="2027-28" dataDxfId="4409"/>
    <tableColumn id="15" xr3:uid="{00000000-0010-0000-0A00-00000F000000}" name="2028-29" dataDxfId="4408"/>
    <tableColumn id="16" xr3:uid="{00000000-0010-0000-0A00-000010000000}" name="2029-30" dataDxfId="4407"/>
    <tableColumn id="17" xr3:uid="{00000000-0010-0000-0A00-000011000000}" name="2030-31" dataDxfId="4406"/>
    <tableColumn id="18" xr3:uid="{00000000-0010-0000-0A00-000012000000}" name="2031-32" dataDxfId="4405"/>
    <tableColumn id="19" xr3:uid="{00000000-0010-0000-0A00-000013000000}" name="2032-33" dataDxfId="4404"/>
    <tableColumn id="20" xr3:uid="{00000000-0010-0000-0A00-000014000000}" name="2033-34" dataDxfId="4403"/>
    <tableColumn id="21" xr3:uid="{00000000-0010-0000-0A00-000015000000}" name="2034-35" dataDxfId="4402"/>
    <tableColumn id="22" xr3:uid="{00000000-0010-0000-0A00-000016000000}" name="2035-36" dataDxfId="4401"/>
    <tableColumn id="23" xr3:uid="{00000000-0010-0000-0A00-000017000000}" name="2036-37" dataDxfId="4400"/>
    <tableColumn id="24" xr3:uid="{00000000-0010-0000-0A00-000018000000}" name="2037-38" dataDxfId="4399"/>
    <tableColumn id="25" xr3:uid="{00000000-0010-0000-0A00-000019000000}" name="2038-39" dataDxfId="4398"/>
    <tableColumn id="26" xr3:uid="{00000000-0010-0000-0A00-00001A000000}" name="2039-40" dataDxfId="4397"/>
    <tableColumn id="27" xr3:uid="{00000000-0010-0000-0A00-00001B000000}" name="2040-41" dataDxfId="4396"/>
    <tableColumn id="28" xr3:uid="{00000000-0010-0000-0A00-00001C000000}" name="2041-42" dataDxfId="4395"/>
    <tableColumn id="29" xr3:uid="{00000000-0010-0000-0A00-00001D000000}" name="2042-43" dataDxfId="4394"/>
    <tableColumn id="30" xr3:uid="{00000000-0010-0000-0A00-00001E000000}" name="2043-44" dataDxfId="4393"/>
    <tableColumn id="31" xr3:uid="{00000000-0010-0000-0A00-00001F000000}" name="2044-45" dataDxfId="4392"/>
    <tableColumn id="32" xr3:uid="{00000000-0010-0000-0A00-000020000000}" name="2045-46" dataDxfId="4391"/>
    <tableColumn id="33" xr3:uid="{00000000-0010-0000-0A00-000021000000}" name="2046-47" dataDxfId="4390"/>
    <tableColumn id="34" xr3:uid="{00000000-0010-0000-0A00-000022000000}" name="2047-48" dataDxfId="4389"/>
    <tableColumn id="35" xr3:uid="{00000000-0010-0000-0A00-000023000000}" name="2048-49" dataDxfId="4388"/>
    <tableColumn id="36" xr3:uid="{00000000-0010-0000-0A00-000024000000}" name="2049-50" dataDxfId="4387"/>
    <tableColumn id="37" xr3:uid="{00000000-0010-0000-0A00-000025000000}" name="2050-51" dataDxfId="4386"/>
    <tableColumn id="38" xr3:uid="{00000000-0010-0000-0A00-000026000000}" name="2051-52" dataDxfId="4385"/>
    <tableColumn id="39" xr3:uid="{00000000-0010-0000-0A00-000027000000}" name="2052-53" dataDxfId="4384"/>
    <tableColumn id="40" xr3:uid="{00000000-0010-0000-0A00-000028000000}" name="2053-54" dataDxfId="4383"/>
    <tableColumn id="41" xr3:uid="{00000000-0010-0000-0A00-000029000000}" name="2054-55" dataDxfId="4382"/>
    <tableColumn id="42" xr3:uid="{00000000-0010-0000-0A00-00002A000000}" name="2055-56" dataDxfId="4381"/>
    <tableColumn id="43" xr3:uid="{00000000-0010-0000-0A00-00002B000000}" name="2056-57" dataDxfId="4380"/>
    <tableColumn id="44" xr3:uid="{00000000-0010-0000-0A00-00002C000000}" name="2057-58" dataDxfId="4379"/>
    <tableColumn id="45" xr3:uid="{00000000-0010-0000-0A00-00002D000000}" name="2058-59" dataDxfId="4378"/>
    <tableColumn id="46" xr3:uid="{00000000-0010-0000-0A00-00002E000000}" name="2059-60" dataDxfId="4377"/>
    <tableColumn id="47" xr3:uid="{00000000-0010-0000-0A00-00002F000000}" name="2060-61" dataDxfId="4376"/>
    <tableColumn id="48" xr3:uid="{00000000-0010-0000-0A00-000030000000}" name="2061-62" dataDxfId="4375"/>
    <tableColumn id="49" xr3:uid="{00000000-0010-0000-0A00-000031000000}" name="2062-63" dataDxfId="4374"/>
    <tableColumn id="50" xr3:uid="{00000000-0010-0000-0A00-000032000000}" name="2063-64" dataDxfId="4373"/>
    <tableColumn id="51" xr3:uid="{00000000-0010-0000-0A00-000033000000}" name="2064-65" dataDxfId="4372"/>
    <tableColumn id="52" xr3:uid="{00000000-0010-0000-0A00-000034000000}" name="2065-66" dataDxfId="4371"/>
    <tableColumn id="53" xr3:uid="{00000000-0010-0000-0A00-000035000000}" name="2066-67" dataDxfId="4370"/>
    <tableColumn id="54" xr3:uid="{00000000-0010-0000-0A00-000036000000}" name="2067-68" dataDxfId="4369"/>
    <tableColumn id="55" xr3:uid="{00000000-0010-0000-0A00-000037000000}" name="2068-69" dataDxfId="4368"/>
    <tableColumn id="56" xr3:uid="{00000000-0010-0000-0A00-000038000000}" name="2069-70" dataDxfId="4367"/>
    <tableColumn id="57" xr3:uid="{00000000-0010-0000-0A00-000039000000}" name="2070-71" dataDxfId="4366"/>
    <tableColumn id="58" xr3:uid="{00000000-0010-0000-0A00-00003A000000}" name="2071-72" dataDxfId="4365"/>
    <tableColumn id="59" xr3:uid="{00000000-0010-0000-0A00-00003B000000}" name="2072-73" dataDxfId="4364"/>
    <tableColumn id="60" xr3:uid="{00000000-0010-0000-0A00-00003C000000}" name="2073-74" dataDxfId="4363"/>
    <tableColumn id="61" xr3:uid="{00000000-0010-0000-0A00-00003D000000}" name="2074-75" dataDxfId="4362"/>
    <tableColumn id="62" xr3:uid="{00000000-0010-0000-0A00-00003E000000}" name="2075-76" dataDxfId="4361"/>
    <tableColumn id="63" xr3:uid="{00000000-0010-0000-0A00-00003F000000}" name="2076-77" dataDxfId="4360"/>
    <tableColumn id="64" xr3:uid="{00000000-0010-0000-0A00-000040000000}" name="2077-78" dataDxfId="4359"/>
    <tableColumn id="65" xr3:uid="{00000000-0010-0000-0A00-000041000000}" name="2078-79" dataDxfId="4358"/>
    <tableColumn id="66" xr3:uid="{00000000-0010-0000-0A00-000042000000}" name="2079-80" dataDxfId="4357"/>
    <tableColumn id="67" xr3:uid="{00000000-0010-0000-0A00-000043000000}" name="2080-81" dataDxfId="4356"/>
    <tableColumn id="68" xr3:uid="{00000000-0010-0000-0A00-000044000000}" name="2081-82" dataDxfId="4355"/>
    <tableColumn id="69" xr3:uid="{00000000-0010-0000-0A00-000045000000}" name="2082-83" dataDxfId="4354"/>
    <tableColumn id="70" xr3:uid="{00000000-0010-0000-0A00-000046000000}" name="2083-84" dataDxfId="4353"/>
    <tableColumn id="71" xr3:uid="{00000000-0010-0000-0A00-000047000000}" name="2084-85" dataDxfId="4352"/>
    <tableColumn id="72" xr3:uid="{00000000-0010-0000-0A00-000048000000}" name="2085-86" dataDxfId="4351"/>
    <tableColumn id="73" xr3:uid="{00000000-0010-0000-0A00-000049000000}" name="2086-87" dataDxfId="4350"/>
    <tableColumn id="74" xr3:uid="{00000000-0010-0000-0A00-00004A000000}" name="2087-88" dataDxfId="4349"/>
    <tableColumn id="75" xr3:uid="{00000000-0010-0000-0A00-00004B000000}" name="2088-89" dataDxfId="4348"/>
    <tableColumn id="76" xr3:uid="{00000000-0010-0000-0A00-00004C000000}" name="2089-90" dataDxfId="4347"/>
    <tableColumn id="77" xr3:uid="{00000000-0010-0000-0A00-00004D000000}" name="2090-91" dataDxfId="4346"/>
    <tableColumn id="78" xr3:uid="{00000000-0010-0000-0A00-00004E000000}" name="2091-92" dataDxfId="4345"/>
    <tableColumn id="79" xr3:uid="{00000000-0010-0000-0A00-00004F000000}" name="2092-93" dataDxfId="4344"/>
    <tableColumn id="80" xr3:uid="{00000000-0010-0000-0A00-000050000000}" name="2093-94" dataDxfId="4343"/>
    <tableColumn id="81" xr3:uid="{00000000-0010-0000-0A00-000051000000}" name="2094-95" dataDxfId="4342"/>
    <tableColumn id="82" xr3:uid="{00000000-0010-0000-0A00-000052000000}" name="2095-96" dataDxfId="4341"/>
    <tableColumn id="83" xr3:uid="{00000000-0010-0000-0A00-000053000000}" name="2096-97" dataDxfId="4340"/>
    <tableColumn id="84" xr3:uid="{00000000-0010-0000-0A00-000054000000}" name="2097-98" dataDxfId="4339"/>
    <tableColumn id="85" xr3:uid="{00000000-0010-0000-0A00-000055000000}" name="2098-99" dataDxfId="4338"/>
    <tableColumn id="86" xr3:uid="{00000000-0010-0000-0A00-000056000000}" name="2099-100" dataDxfId="4337"/>
    <tableColumn id="87" xr3:uid="{00000000-0010-0000-0A00-000057000000}" name="2100-01" dataDxfId="4336"/>
  </tableColumns>
  <tableStyleInfo name="TableStyleMedium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E9E53F39-4E96-46FA-BF02-24E304A7ACF2}" name="TBL3a_DYAABL_10_ESWBLY" displayName="TBL3a_DYAABL_10_ESWBLY" ref="B23:CI92" totalsRowShown="0" headerRowDxfId="4223" dataDxfId="4222" tableBorderDxfId="4221" headerRowCellStyle="Normal 2 2 2">
  <autoFilter ref="B23:CI92" xr:uid="{D893CB9E-6419-4938-B8EA-592538CC25DE}"/>
  <tableColumns count="86">
    <tableColumn id="1" xr3:uid="{B6C7E753-402D-42E1-90A2-95B6BBC7B8D7}" name="WRMP24 reference" dataDxfId="4220" dataCellStyle="Normal 2 2 2"/>
    <tableColumn id="2" xr3:uid="{4D671035-B6C1-448C-96DC-77B7C97A915D}" name="Component" dataDxfId="4219" dataCellStyle="Normal 2 2 2"/>
    <tableColumn id="3" xr3:uid="{A595E3D8-5B03-40BB-9BCE-A8724D479DDC}" name="Derivation" dataDxfId="4218" dataCellStyle="Normal 2 2 2"/>
    <tableColumn id="4" xr3:uid="{33ABC5CD-3337-4960-B2FD-A457726BFACA}" name="Unit" dataDxfId="4217" dataCellStyle="Normal 2 2 2"/>
    <tableColumn id="5" xr3:uid="{986B87C1-5104-4F7D-A251-C4699DB35C2A}" name="Decimal places" dataDxfId="4216" dataCellStyle="Normal 2 2 2"/>
    <tableColumn id="6" xr3:uid="{C706841D-0576-49F0-9292-4B01A31EFE45}" name="2019-20" dataDxfId="4215"/>
    <tableColumn id="7" xr3:uid="{B52F9416-3D68-4CD4-ACD9-B4BED0D79979}" name="2020-21" dataDxfId="4214"/>
    <tableColumn id="8" xr3:uid="{8BE15D11-BAFB-4340-8C59-D5C23495EF09}" name="2021-22" dataDxfId="4213"/>
    <tableColumn id="9" xr3:uid="{115F4F2D-5B44-473B-847A-FFF98347E48E}" name="2022-23" dataDxfId="4212"/>
    <tableColumn id="10" xr3:uid="{7F1AE4C0-CA40-49A4-899C-B86F0B25AF8F}" name="2023-24" dataDxfId="4211"/>
    <tableColumn id="11" xr3:uid="{F385AA85-3A5F-405E-A300-163BB1EB9F8B}" name="2024-25" dataDxfId="4210"/>
    <tableColumn id="12" xr3:uid="{9AF2E825-3836-4A44-9ADC-E10BF4253DCB}" name="2025-26" dataDxfId="4209"/>
    <tableColumn id="13" xr3:uid="{63CD1DA5-7A29-4B3E-8C4F-9E54A190A272}" name="2026-27" dataDxfId="4208"/>
    <tableColumn id="14" xr3:uid="{AA782AED-82B4-4EAE-A2A5-A742663A2DBB}" name="2027-28" dataDxfId="4207"/>
    <tableColumn id="15" xr3:uid="{2B14DFBB-8CDE-4364-89B2-26F0419B97DF}" name="2028-29" dataDxfId="4206"/>
    <tableColumn id="16" xr3:uid="{9B8DE337-60EF-434F-97C9-CAC1B6422DDB}" name="2029-30" dataDxfId="4205"/>
    <tableColumn id="17" xr3:uid="{4B38DE89-742A-49D3-80A9-051CFAA25752}" name="2030-31" dataDxfId="4204"/>
    <tableColumn id="18" xr3:uid="{6A66C7C3-D7DB-4958-AB88-C0A3429AC56B}" name="2031-32" dataDxfId="4203"/>
    <tableColumn id="19" xr3:uid="{D193F71D-34F9-4991-96C0-17C5E4486115}" name="2032-33" dataDxfId="4202"/>
    <tableColumn id="20" xr3:uid="{36611357-E99F-4795-8BAC-DFCD72A8E6CC}" name="2033-34" dataDxfId="4201"/>
    <tableColumn id="21" xr3:uid="{0D213D60-6C2D-417B-9A98-E4AF52CF2F8C}" name="2034-35" dataDxfId="4200"/>
    <tableColumn id="22" xr3:uid="{4D54A5E2-60AC-46D5-89EE-864BDA63BE4E}" name="2035-36" dataDxfId="4199"/>
    <tableColumn id="23" xr3:uid="{8BC27F7A-2412-49A1-A20D-6504617A3314}" name="2036-37" dataDxfId="4198"/>
    <tableColumn id="24" xr3:uid="{FDD8D59F-727D-4859-8FBD-1B8E40955A55}" name="2037-38" dataDxfId="4197"/>
    <tableColumn id="25" xr3:uid="{9D3F1F61-E8AC-441A-A66D-AFEBC6A26196}" name="2038-39" dataDxfId="4196"/>
    <tableColumn id="26" xr3:uid="{8DCCA630-E900-4798-AAB0-910E584B474C}" name="2039-40" dataDxfId="4195"/>
    <tableColumn id="27" xr3:uid="{69770230-88D2-468A-B27C-A7B77CD33EF8}" name="2040-41" dataDxfId="4194"/>
    <tableColumn id="28" xr3:uid="{8794B883-D7A0-4354-8852-C17A75391B28}" name="2041-42" dataDxfId="4193"/>
    <tableColumn id="29" xr3:uid="{DE200F81-FA18-45AC-82DC-1F3310B65E8F}" name="2042-43" dataDxfId="4192"/>
    <tableColumn id="30" xr3:uid="{2FD79100-216E-44A2-B4AF-11DA0F86BB8A}" name="2043-44" dataDxfId="4191"/>
    <tableColumn id="31" xr3:uid="{DA436121-4F08-4227-9565-8949EC8D51C7}" name="2044-45" dataDxfId="4190"/>
    <tableColumn id="32" xr3:uid="{09C5BDCA-0374-4796-A32B-10C7ABC17DBD}" name="2045-46" dataDxfId="4189"/>
    <tableColumn id="33" xr3:uid="{FA0EC740-A6E7-40EE-8856-08D7E0D158DD}" name="2046-47" dataDxfId="4188"/>
    <tableColumn id="34" xr3:uid="{379B55E9-F53A-46F1-9625-E9D9EB7D8E83}" name="2047-48" dataDxfId="4187"/>
    <tableColumn id="35" xr3:uid="{AC621E93-DB61-497F-82BB-E87C3EA67F44}" name="2048-49" dataDxfId="4186"/>
    <tableColumn id="36" xr3:uid="{4D871B0D-8656-4B4B-B64E-72778AC25B13}" name="2049-50" dataDxfId="4185"/>
    <tableColumn id="37" xr3:uid="{D11EE182-D301-46E8-BF28-D87EEE2162D9}" name="2050-51" dataDxfId="4184"/>
    <tableColumn id="38" xr3:uid="{09C5B04A-B830-424B-AA06-8A811D160139}" name="2051-52" dataDxfId="4183"/>
    <tableColumn id="39" xr3:uid="{F96F99AD-5453-4F3F-B3C2-24C418DC7C6B}" name="2052-53" dataDxfId="4182"/>
    <tableColumn id="40" xr3:uid="{C13FFF22-FE94-4725-A4B6-0ACB1FDD90FE}" name="2053-54" dataDxfId="4181"/>
    <tableColumn id="41" xr3:uid="{79CA34E0-07A8-445D-85AB-5589FC836705}" name="2054-55" dataDxfId="4180"/>
    <tableColumn id="42" xr3:uid="{88FB04FE-5DC3-401A-9768-C6D6D445D19E}" name="2055-56" dataDxfId="4179"/>
    <tableColumn id="43" xr3:uid="{762A65B4-B960-4FDB-8A19-68B96B99CE19}" name="2056-57" dataDxfId="4178"/>
    <tableColumn id="44" xr3:uid="{3739CDC8-D8D3-4081-9678-F6320F9BCA5D}" name="2057-58" dataDxfId="4177"/>
    <tableColumn id="45" xr3:uid="{9A4547CE-2FDE-46F8-AE5C-20D67CDEC727}" name="2058-59" dataDxfId="4176"/>
    <tableColumn id="46" xr3:uid="{B2D4D7E7-91C5-4DA9-BEC6-BB6631DE00A3}" name="2059-60" dataDxfId="4175"/>
    <tableColumn id="47" xr3:uid="{8916CE2E-BE26-4B48-9EF1-141B2A966022}" name="2060-61" dataDxfId="4174"/>
    <tableColumn id="48" xr3:uid="{3E48D6DB-C9A1-46F2-8EC6-4547C7AD437F}" name="2061-62" dataDxfId="4173"/>
    <tableColumn id="49" xr3:uid="{FCDAA871-6B58-43F7-882C-831100E3E46B}" name="2062-63" dataDxfId="4172"/>
    <tableColumn id="50" xr3:uid="{0BEB1C0B-A922-4879-BEF5-19A97ED66600}" name="2063-64" dataDxfId="4171"/>
    <tableColumn id="51" xr3:uid="{0AC3641A-5066-4170-AE5F-FF55BB973063}" name="2064-65" dataDxfId="4170"/>
    <tableColumn id="52" xr3:uid="{D7906A24-B8AD-447D-B437-490BD42A1793}" name="2065-66" dataDxfId="4169"/>
    <tableColumn id="53" xr3:uid="{4E0975B7-32B2-49C8-92F9-13727BAF1CA5}" name="2066-67" dataDxfId="4168"/>
    <tableColumn id="54" xr3:uid="{3077B9A6-FCB7-4E2C-8A74-7BB4B0AAB192}" name="2067-68" dataDxfId="4167"/>
    <tableColumn id="55" xr3:uid="{567C8FA0-7E15-4CA3-B291-82ED17214FA5}" name="2068-69" dataDxfId="4166"/>
    <tableColumn id="56" xr3:uid="{CB914411-647C-4FB5-9CB1-57C4F48F6661}" name="2069-70" dataDxfId="4165"/>
    <tableColumn id="57" xr3:uid="{6F838BB0-C76C-49F4-A59D-C3E9AD18BA71}" name="2070-71" dataDxfId="4164"/>
    <tableColumn id="58" xr3:uid="{237441EF-3B26-4600-899E-75826342C65B}" name="2071-72" dataDxfId="4163"/>
    <tableColumn id="59" xr3:uid="{EE44F245-3417-41CB-AD1B-9548DE3DE5AE}" name="2072-73" dataDxfId="4162"/>
    <tableColumn id="60" xr3:uid="{0EB2A932-C658-4C70-B710-34B5471541C4}" name="2073-74" dataDxfId="4161"/>
    <tableColumn id="61" xr3:uid="{F33F33E5-86F7-4E38-8F79-D0E8539A5287}" name="2074-75" dataDxfId="4160"/>
    <tableColumn id="62" xr3:uid="{B10649DF-6881-4F20-8E82-EF30BCE18D45}" name="2075-76" dataDxfId="4159"/>
    <tableColumn id="63" xr3:uid="{2E157901-1B91-41E9-8969-28CD0E46075E}" name="2076-77" dataDxfId="4158"/>
    <tableColumn id="64" xr3:uid="{DBF065B4-5815-49AF-B6A3-071380468248}" name="2077-78" dataDxfId="4157"/>
    <tableColumn id="65" xr3:uid="{113ED8B0-EA36-4E42-A68D-4DCB2606B013}" name="2078-79" dataDxfId="4156"/>
    <tableColumn id="66" xr3:uid="{E3E01182-A553-4E15-9F5E-75ACE64F80CC}" name="2079-80" dataDxfId="4155"/>
    <tableColumn id="67" xr3:uid="{89BA482C-0062-4DDD-AD4F-58934322D98D}" name="2080-81" dataDxfId="4154"/>
    <tableColumn id="68" xr3:uid="{6383F2CF-26E5-43B3-A3A1-79BDC14B8CB2}" name="2081-82" dataDxfId="4153"/>
    <tableColumn id="69" xr3:uid="{D20C7378-C35B-4592-BB52-0A0BC3DCABAC}" name="2082-83" dataDxfId="4152"/>
    <tableColumn id="70" xr3:uid="{D5D2C93D-0F97-4861-BA29-2FBA687C1D25}" name="2083-84" dataDxfId="4151"/>
    <tableColumn id="71" xr3:uid="{457E10AE-4663-4CD8-AAB7-7A1E9126B3AB}" name="2084-85" dataDxfId="4150"/>
    <tableColumn id="72" xr3:uid="{5B3AF4DE-5155-4455-8E27-5E75DD841EC2}" name="2085-86" dataDxfId="4149"/>
    <tableColumn id="73" xr3:uid="{C1D746D3-ACD6-49FF-988D-BD3DEECBE0BD}" name="2086-87" dataDxfId="4148"/>
    <tableColumn id="74" xr3:uid="{F77DBDEE-B761-45E8-A48D-6688ABF9FD8C}" name="2087-88" dataDxfId="4147"/>
    <tableColumn id="75" xr3:uid="{D6662B0D-FB66-46BA-972B-FB9DF16B7DA8}" name="2088-89" dataDxfId="4146"/>
    <tableColumn id="76" xr3:uid="{1B441781-81C4-445A-A7CC-AF6EDD4C52C8}" name="2089-90" dataDxfId="4145"/>
    <tableColumn id="77" xr3:uid="{09447F4C-58A2-448C-8E11-8ABEED705969}" name="2090-91" dataDxfId="4144"/>
    <tableColumn id="78" xr3:uid="{41E3E8D6-8169-44AB-AB19-4706F2F37EDE}" name="2091-92" dataDxfId="4143"/>
    <tableColumn id="79" xr3:uid="{6E6D7DD9-BA0C-4BEE-AAF2-12649A6BF916}" name="2092-93" dataDxfId="4142"/>
    <tableColumn id="80" xr3:uid="{C7B7B0F2-851F-48EC-A2AA-789CB07C5CFF}" name="2093-94" dataDxfId="4141"/>
    <tableColumn id="81" xr3:uid="{2FC21144-8A2F-4F9B-9270-B362F45E90CC}" name="2094-95" dataDxfId="4140"/>
    <tableColumn id="82" xr3:uid="{44DFE418-668B-4140-836E-A018002F8D3D}" name="2095-96" dataDxfId="4139"/>
    <tableColumn id="83" xr3:uid="{6CB62178-5729-4FF6-B8E9-C38236C072E0}" name="2096-97" dataDxfId="4138"/>
    <tableColumn id="84" xr3:uid="{024416E6-0A8C-46F0-A290-3DFD70C29410}" name="2097-98" dataDxfId="4137"/>
    <tableColumn id="85" xr3:uid="{82006061-ABC8-4C33-A6DB-1AFEBCA047C4}" name="2098-99" dataDxfId="4136"/>
    <tableColumn id="86" xr3:uid="{E6E130B3-0AA6-412D-8981-049E8EF55EA4}" name="2099-100" dataDxfId="4135"/>
  </tableColumns>
  <tableStyleInfo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13AC6778-976F-4923-9708-82AF1C561E06}" name="TBL3b_DYAAOpt_11_ESWBLY" displayName="TBL3b_DYAAOpt_11_ESWBLY" ref="B94:CJ119" totalsRowCount="1" headerRowDxfId="4134" dataDxfId="4132" totalsRowDxfId="4130" headerRowBorderDxfId="4133" tableBorderDxfId="4131" headerRowCellStyle="Normal 2 2 2" dataCellStyle="Normal 2 2 2" totalsRowCellStyle="Normal 2 2 2">
  <autoFilter ref="B94:CJ118" xr:uid="{D5EFB056-0F2B-4E27-8197-E2FB749A3A50}"/>
  <tableColumns count="87">
    <tableColumn id="1" xr3:uid="{7DED1C90-5DC6-4747-BE06-A0A4963AC7C4}" name="WRMP24 reference" dataDxfId="4129" totalsRowDxfId="4128" dataCellStyle="Normal 2 2 2"/>
    <tableColumn id="2" xr3:uid="{8760E59F-96AA-4AAA-9552-FD25167FDF61}" name="Option type" dataDxfId="4127" totalsRowDxfId="4126" dataCellStyle="Normal 2 2 2"/>
    <tableColumn id="3" xr3:uid="{2F196F2D-8679-4997-A532-B054A3BF38BD}" name="Cat ID" dataDxfId="4125" totalsRowDxfId="4124" dataCellStyle="Normal 2 2 2"/>
    <tableColumn id="4" xr3:uid="{3D41A714-F2F8-4FCD-ACAB-A5B5C3E97CA4}" name="Unit" dataDxfId="4123" totalsRowDxfId="4122" dataCellStyle="Normal 2 2 2"/>
    <tableColumn id="5" xr3:uid="{3627241E-9BEF-48A8-9B72-34EA4EA449A2}" name="Decimal places" dataDxfId="4121" totalsRowDxfId="4120" dataCellStyle="Normal 2 2 2"/>
    <tableColumn id="6" xr3:uid="{3B63B49D-A359-452B-83D1-94E1499F64C9}" name="2019-20" dataDxfId="4119" totalsRowDxfId="4118" dataCellStyle="Normal 2 2 2"/>
    <tableColumn id="7" xr3:uid="{B4C0AEAC-5119-43E1-8933-71160C425493}" name="2020-21" dataDxfId="4117" totalsRowDxfId="4116" dataCellStyle="Normal 2 2 2"/>
    <tableColumn id="8" xr3:uid="{9A0A37E2-AE50-4EEE-864B-A96A8C8CCDF5}" name="2021-22" dataDxfId="4115" totalsRowDxfId="4114" dataCellStyle="Normal 2 2 2"/>
    <tableColumn id="9" xr3:uid="{DE2DC78C-2FD6-40FA-B3AE-0AD28551CE30}" name="2022-23" dataDxfId="4113" totalsRowDxfId="4112" dataCellStyle="Normal 2 2 2"/>
    <tableColumn id="10" xr3:uid="{95EA0ECC-8349-4AF0-BAB9-73B5F71DF13E}" name="2023-24" dataDxfId="4111" totalsRowDxfId="4110" dataCellStyle="Normal 2 2 2"/>
    <tableColumn id="11" xr3:uid="{7AC8F482-E36A-40FD-85A8-0C3A5ED289FE}" name="2024-25" dataDxfId="4109" totalsRowDxfId="4108" dataCellStyle="Normal 2 2 2"/>
    <tableColumn id="12" xr3:uid="{9A600FC5-D536-490F-97DB-7B74EA45610E}" name="2025-26" dataDxfId="4107" totalsRowDxfId="4106" dataCellStyle="Normal 2 2 2"/>
    <tableColumn id="13" xr3:uid="{8AC8E3A8-DC6B-43B7-A619-D8B42C7F38E8}" name="2026-27" dataDxfId="4105" totalsRowDxfId="4104" dataCellStyle="Normal 2 2 2"/>
    <tableColumn id="14" xr3:uid="{FF4B08E8-6079-4BFE-A370-96E43A075157}" name="2027-28" dataDxfId="4103" totalsRowDxfId="4102" dataCellStyle="Normal 2 2 2"/>
    <tableColumn id="15" xr3:uid="{72F0ED60-AFDD-4482-96C1-C247799DA61E}" name="2028-29" dataDxfId="4101" totalsRowDxfId="4100" dataCellStyle="Normal 2 2 2"/>
    <tableColumn id="16" xr3:uid="{EDA2DC47-FB3C-4797-87AD-C555FFAFA0CF}" name="2029-30" dataDxfId="4099" totalsRowDxfId="4098" dataCellStyle="Normal 2 2 2"/>
    <tableColumn id="17" xr3:uid="{EEF1D5F8-2890-4054-8DD0-B61B62AE1781}" name="2030-31" dataDxfId="4097" totalsRowDxfId="4096" dataCellStyle="Normal 2 2 2"/>
    <tableColumn id="18" xr3:uid="{CA0AF971-A441-455F-AF8F-EA726AC9A7B5}" name="2031-32" dataDxfId="4095" totalsRowDxfId="4094" dataCellStyle="Normal 2 2 2"/>
    <tableColumn id="19" xr3:uid="{B28617F4-8D74-4028-AA85-764AF01C9CA1}" name="2032-33" dataDxfId="4093" totalsRowDxfId="4092" dataCellStyle="Normal 2 2 2"/>
    <tableColumn id="20" xr3:uid="{23185F20-7CFD-4F6F-9F13-6438DD987852}" name="2033-34" dataDxfId="4091" totalsRowDxfId="4090" dataCellStyle="Normal 2 2 2"/>
    <tableColumn id="21" xr3:uid="{3E1BF0F6-7F8B-443A-B974-68A2DCFA5824}" name="2034-35" dataDxfId="4089" totalsRowDxfId="4088" dataCellStyle="Normal 2 2 2"/>
    <tableColumn id="22" xr3:uid="{45ED608F-4B74-4050-AE4A-0F9735BD7E00}" name="2035-36" dataDxfId="4087" totalsRowDxfId="4086" dataCellStyle="Normal 2 2 2"/>
    <tableColumn id="23" xr3:uid="{4CB0DC6A-5D2F-4C29-8862-9FFF2C8EC969}" name="2036-37" dataDxfId="4085" totalsRowDxfId="4084" dataCellStyle="Normal 2 2 2"/>
    <tableColumn id="24" xr3:uid="{2992B484-D77D-4321-9EB3-D62F10D001E2}" name="2037-38" dataDxfId="4083" totalsRowDxfId="4082" dataCellStyle="Normal 2 2 2"/>
    <tableColumn id="25" xr3:uid="{99195711-22F2-4725-8219-6BDCBBA2E447}" name="2038-39" dataDxfId="4081" totalsRowDxfId="4080" dataCellStyle="Normal 2 2 2"/>
    <tableColumn id="26" xr3:uid="{3F018143-9EA6-4E78-8D48-07DD5572F847}" name="2039-40" dataDxfId="4079" totalsRowDxfId="4078" dataCellStyle="Normal 2 2 2"/>
    <tableColumn id="27" xr3:uid="{E61E4CA3-D2C6-4D44-A961-BA3F131C663B}" name="2040-41" dataDxfId="4077" totalsRowDxfId="4076" dataCellStyle="Normal 2 2 2"/>
    <tableColumn id="28" xr3:uid="{51EC2832-EB2D-423C-9ED5-12388B8143B5}" name="2041-42" dataDxfId="4075" totalsRowDxfId="4074" dataCellStyle="Normal 2 2 2"/>
    <tableColumn id="29" xr3:uid="{A4FD19B3-A3C2-4CD2-8F2B-FF1DA9CE43D6}" name="2042-43" dataDxfId="4073" totalsRowDxfId="4072" dataCellStyle="Normal 2 2 2"/>
    <tableColumn id="30" xr3:uid="{D1BF5C92-4C5A-4752-B7DB-6754ECDC229E}" name="2043-44" dataDxfId="4071" totalsRowDxfId="4070" dataCellStyle="Normal 2 2 2"/>
    <tableColumn id="31" xr3:uid="{73BE994D-74BC-4345-909D-09054A08429E}" name="2044-45" dataDxfId="4069" totalsRowDxfId="4068" dataCellStyle="Normal 2 2 2"/>
    <tableColumn id="32" xr3:uid="{1A8F0FD7-E6CD-4F6E-A497-68F2D2CC6F88}" name="2045-46" dataDxfId="4067" totalsRowDxfId="4066" dataCellStyle="Normal 2 2 2"/>
    <tableColumn id="33" xr3:uid="{22AFA467-72B4-41E1-851C-72F6AA7E2539}" name="2046-47" dataDxfId="4065" totalsRowDxfId="4064" dataCellStyle="Normal 2 2 2"/>
    <tableColumn id="34" xr3:uid="{9840DFE2-1CCC-4AB2-8544-F572C581E4AA}" name="2047-48" dataDxfId="4063" totalsRowDxfId="4062" dataCellStyle="Normal 2 2 2"/>
    <tableColumn id="35" xr3:uid="{B97AE1B3-DE98-4645-B90C-A98EEC790A03}" name="2048-49" dataDxfId="4061" totalsRowDxfId="4060" dataCellStyle="Normal 2 2 2"/>
    <tableColumn id="36" xr3:uid="{A9DA0BED-F0BD-4733-B72A-41BEF6DAC1E0}" name="2049-50" dataDxfId="4059" totalsRowDxfId="4058" dataCellStyle="Normal 2 2 2"/>
    <tableColumn id="37" xr3:uid="{96821346-FBB8-4984-9A26-E737C00E2CE1}" name="2050-51" dataDxfId="4057" totalsRowDxfId="4056" dataCellStyle="Normal 2 2 2"/>
    <tableColumn id="38" xr3:uid="{C4B58571-2D24-4BA7-ABA9-DA52FEA14131}" name="2051-52" dataDxfId="4055" totalsRowDxfId="4054" dataCellStyle="Normal 2 2 2"/>
    <tableColumn id="39" xr3:uid="{0E1DD6D2-01BE-4492-8080-C638EEC2F83E}" name="2052-53" dataDxfId="4053" totalsRowDxfId="4052" dataCellStyle="Normal 2 2 2"/>
    <tableColumn id="40" xr3:uid="{F4D73C6C-CF9C-4588-A267-A15BB0EF2032}" name="2053-54" dataDxfId="4051" totalsRowDxfId="4050" dataCellStyle="Normal 2 2 2"/>
    <tableColumn id="41" xr3:uid="{72F828F9-663E-4A94-BDE9-EC42C240D07F}" name="2054-55" dataDxfId="4049" totalsRowDxfId="4048" dataCellStyle="Normal 2 2 2"/>
    <tableColumn id="42" xr3:uid="{35DC600A-CA01-4A08-AD91-5478BD55A8E0}" name="2055-56" dataDxfId="4047" totalsRowDxfId="4046" dataCellStyle="Normal 2 2 2"/>
    <tableColumn id="43" xr3:uid="{2171AE0F-DA77-407A-8EA0-C142DED8E38D}" name="2056-57" dataDxfId="4045" totalsRowDxfId="4044" dataCellStyle="Normal 2 2 2"/>
    <tableColumn id="44" xr3:uid="{D3091E14-CC3F-4197-9C57-519E84B549C8}" name="2057-58" dataDxfId="4043" totalsRowDxfId="4042" dataCellStyle="Normal 2 2 2"/>
    <tableColumn id="45" xr3:uid="{C4BE1643-B14D-4B8F-B150-1223A7E36984}" name="2058-59" dataDxfId="4041" totalsRowDxfId="4040" dataCellStyle="Normal 2 2 2"/>
    <tableColumn id="46" xr3:uid="{D61CFF41-C837-4D6B-BD81-C90325CBE0E1}" name="2059-60" dataDxfId="4039" totalsRowDxfId="4038" dataCellStyle="Normal 2 2 2"/>
    <tableColumn id="47" xr3:uid="{EDBA2DA0-8F32-4E95-A634-B633F99D327D}" name="2060-61" dataDxfId="4037" totalsRowDxfId="4036" dataCellStyle="Normal 2 2 2"/>
    <tableColumn id="48" xr3:uid="{A7EAE7BD-CB3B-4352-A764-E82AEA9B0A72}" name="2061-62" dataDxfId="4035" totalsRowDxfId="4034" dataCellStyle="Normal 2 2 2"/>
    <tableColumn id="49" xr3:uid="{0CA76E2F-E2D8-4C17-8DB2-90FBE1C3C34D}" name="2062-63" dataDxfId="4033" totalsRowDxfId="4032" dataCellStyle="Normal 2 2 2"/>
    <tableColumn id="50" xr3:uid="{06D40A4C-C6E9-45A8-B0CF-FADF6CFAADF5}" name="2063-64" dataDxfId="4031" totalsRowDxfId="4030" dataCellStyle="Normal 2 2 2"/>
    <tableColumn id="51" xr3:uid="{9079C88F-20BD-4474-BE58-34C65F64DA15}" name="2064-65" dataDxfId="4029" totalsRowDxfId="4028" dataCellStyle="Normal 2 2 2"/>
    <tableColumn id="52" xr3:uid="{1491A413-FDEC-435C-9A66-99EA1A6635A2}" name="2065-66" dataDxfId="4027" totalsRowDxfId="4026" dataCellStyle="Normal 2 2 2"/>
    <tableColumn id="53" xr3:uid="{B3F5E142-DEFC-4087-827C-333BE28F9F90}" name="2066-67" dataDxfId="4025" totalsRowDxfId="4024" dataCellStyle="Normal 2 2 2"/>
    <tableColumn id="54" xr3:uid="{55F2C7DB-4D80-4EFE-AD0C-4C872C786E6D}" name="2067-68" dataDxfId="4023" totalsRowDxfId="4022" dataCellStyle="Normal 2 2 2"/>
    <tableColumn id="55" xr3:uid="{A2E4C4FF-32CA-4793-97D0-F267F51436C4}" name="2068-69" dataDxfId="4021" totalsRowDxfId="4020" dataCellStyle="Normal 2 2 2"/>
    <tableColumn id="56" xr3:uid="{C4E0080F-32C1-40DD-9517-B67D8ABCF7DA}" name="2069-70" dataDxfId="4019" totalsRowDxfId="4018" dataCellStyle="Normal 2 2 2"/>
    <tableColumn id="57" xr3:uid="{F26D480D-093D-4330-864B-776E418B3FDC}" name="2070-71" dataDxfId="4017" totalsRowDxfId="4016" dataCellStyle="Normal 2 2 2"/>
    <tableColumn id="58" xr3:uid="{B7D3E640-4AD8-48D0-8265-2F2838F84BFA}" name="2071-72" dataDxfId="4015" totalsRowDxfId="4014" dataCellStyle="Normal 2 2 2"/>
    <tableColumn id="59" xr3:uid="{518C131A-BEB3-4CB7-8FFA-91B07EC9F6A0}" name="2072-73" dataDxfId="4013" totalsRowDxfId="4012" dataCellStyle="Normal 2 2 2"/>
    <tableColumn id="60" xr3:uid="{2301AE02-C013-4C53-9CA5-E73F33F9844F}" name="2073-74" dataDxfId="4011" totalsRowDxfId="4010" dataCellStyle="Normal 2 2 2"/>
    <tableColumn id="61" xr3:uid="{0377E07E-FC49-461E-AF2F-3ED65A438F23}" name="2074-75" dataDxfId="4009" totalsRowDxfId="4008" dataCellStyle="Normal 2 2 2"/>
    <tableColumn id="62" xr3:uid="{4FF5F34E-2D67-4882-994F-6EE9322113B0}" name="2075-76" dataDxfId="4007" totalsRowDxfId="4006" dataCellStyle="Normal 2 2 2"/>
    <tableColumn id="63" xr3:uid="{0B1F7FAB-7359-42EF-9754-0C588666F149}" name="2076-77" dataDxfId="4005" totalsRowDxfId="4004" dataCellStyle="Normal 2 2 2"/>
    <tableColumn id="64" xr3:uid="{175AB9A0-E568-458D-996A-F42D2AAC3677}" name="2077-78" dataDxfId="4003" totalsRowDxfId="4002" dataCellStyle="Normal 2 2 2"/>
    <tableColumn id="65" xr3:uid="{60807417-CAE4-4BAA-A27D-EF8B1BBEBABA}" name="2078-79" dataDxfId="4001" totalsRowDxfId="4000" dataCellStyle="Normal 2 2 2"/>
    <tableColumn id="66" xr3:uid="{145EF215-C8F8-41C4-B282-EE33737034C7}" name="2079-80" dataDxfId="3999" totalsRowDxfId="3998" dataCellStyle="Normal 2 2 2"/>
    <tableColumn id="67" xr3:uid="{26E125BB-1D2E-4ED7-980F-148AF15B82B9}" name="2080-81" dataDxfId="3997" totalsRowDxfId="3996" dataCellStyle="Normal 2 2 2"/>
    <tableColumn id="68" xr3:uid="{B2FA4BB3-BA80-40FF-AFEC-F98E4029C993}" name="2081-82" dataDxfId="3995" totalsRowDxfId="3994" dataCellStyle="Normal 2 2 2"/>
    <tableColumn id="69" xr3:uid="{FA40A77F-5D65-4465-A7FE-E511E6B169E2}" name="2082-83" dataDxfId="3993" totalsRowDxfId="3992" dataCellStyle="Normal 2 2 2"/>
    <tableColumn id="70" xr3:uid="{86C564EC-E9D4-4BA2-9394-F69BBCB90A44}" name="2083-84" dataDxfId="3991" totalsRowDxfId="3990" dataCellStyle="Normal 2 2 2"/>
    <tableColumn id="71" xr3:uid="{98810E9B-6F59-42A6-86DA-A11CAE804170}" name="2084-85" dataDxfId="3989" totalsRowDxfId="3988" dataCellStyle="Normal 2 2 2"/>
    <tableColumn id="72" xr3:uid="{CE35897E-D1CF-432E-8B6F-E8F9D76D2970}" name="2085-86" dataDxfId="3987" totalsRowDxfId="3986" dataCellStyle="Normal 2 2 2"/>
    <tableColumn id="73" xr3:uid="{43F11B2C-7F5F-4A0A-A97B-93B65D96F07D}" name="2086-87" dataDxfId="3985" totalsRowDxfId="3984" dataCellStyle="Normal 2 2 2"/>
    <tableColumn id="74" xr3:uid="{BDADCBA3-B025-4ECB-A6EE-915E69A51850}" name="2087-88" dataDxfId="3983" totalsRowDxfId="3982" dataCellStyle="Normal 2 2 2"/>
    <tableColumn id="75" xr3:uid="{A3F9948A-FA23-4275-8202-6C6F4CBE3083}" name="2088-89" dataDxfId="3981" totalsRowDxfId="3980" dataCellStyle="Normal 2 2 2"/>
    <tableColumn id="76" xr3:uid="{2DD92E2E-0746-4288-BE4B-2F6C2362C58D}" name="2089-90" dataDxfId="3979" totalsRowDxfId="3978" dataCellStyle="Normal 2 2 2"/>
    <tableColumn id="77" xr3:uid="{17294614-EDE6-44B7-AEDE-49CF92C43146}" name="2090-91" dataDxfId="3977" totalsRowDxfId="3976" dataCellStyle="Normal 2 2 2"/>
    <tableColumn id="78" xr3:uid="{608C5B46-A15A-4333-A8BE-D9436FC7B284}" name="2091-92" dataDxfId="3975" totalsRowDxfId="3974" dataCellStyle="Normal 2 2 2"/>
    <tableColumn id="79" xr3:uid="{B599F8AF-A1E9-45AB-B82B-07D057AC8925}" name="2092-93" dataDxfId="3973" totalsRowDxfId="3972" dataCellStyle="Normal 2 2 2"/>
    <tableColumn id="80" xr3:uid="{890EA2F8-72AF-451E-8435-C64E2E2C696A}" name="2093-94" dataDxfId="3971" totalsRowDxfId="3970" dataCellStyle="Normal 2 2 2"/>
    <tableColumn id="81" xr3:uid="{B0EC9202-E647-4A99-8BF1-9C4B20D10DAF}" name="2094-95" dataDxfId="3969" totalsRowDxfId="3968" dataCellStyle="Normal 2 2 2"/>
    <tableColumn id="82" xr3:uid="{6BA20941-EA9A-4515-B5CB-CA65953A4383}" name="2095-96" dataDxfId="3967" totalsRowDxfId="3966" dataCellStyle="Normal 2 2 2"/>
    <tableColumn id="83" xr3:uid="{6BBE772E-31DE-4386-94FD-504BB6E2D147}" name="2096-97" dataDxfId="3965" totalsRowDxfId="3964" dataCellStyle="Normal 2 2 2"/>
    <tableColumn id="84" xr3:uid="{5314E319-4A1C-4B9D-99C2-89E3E53B1B9F}" name="2097-98" dataDxfId="3963" totalsRowDxfId="3962" dataCellStyle="Normal 2 2 2"/>
    <tableColumn id="85" xr3:uid="{1CBCAFD4-2904-49B1-AB07-2D93DEF52384}" name="2098-99" dataDxfId="3961" totalsRowDxfId="3960" dataCellStyle="Normal 2 2 2"/>
    <tableColumn id="86" xr3:uid="{D5FAC7CE-5329-459B-88E2-2518A52385CD}" name="2099-100" dataDxfId="3959" totalsRowDxfId="3958" dataCellStyle="Normal 2 2 2"/>
    <tableColumn id="87" xr3:uid="{9DD06DA6-4021-4893-93D9-BFF75038E183}" name="2099-101" dataDxfId="3957" totalsRowDxfId="3956" dataCellStyle="Normal 2 2 2"/>
  </tableColumns>
  <tableStyleInfo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90463405-5E4F-4A42-89C6-1C7EF26686EF}" name="TBL3c_DYAAFP_12_ESWBLY" displayName="TBL3c_DYAAFP_12_ESWBLY" ref="B121:CI181" totalsRowShown="0" headerRowDxfId="3955" dataDxfId="3954" tableBorderDxfId="3953" headerRowCellStyle="Normal 2 2 2" dataCellStyle="Normal 2 2 2">
  <autoFilter ref="B121:CI181" xr:uid="{5F73F099-EB99-4DA0-8AAC-6F08AB2562CA}"/>
  <tableColumns count="86">
    <tableColumn id="1" xr3:uid="{DA190697-1712-4696-AF62-E9A21F514763}" name="WRMP24 reference" dataDxfId="3952" dataCellStyle="Normal 2 2 2"/>
    <tableColumn id="2" xr3:uid="{AD7A1AAC-F2EB-46E3-9883-0C94CE700C43}" name="Component" dataDxfId="3951" dataCellStyle="Normal 2 2 2"/>
    <tableColumn id="3" xr3:uid="{7DF6A455-4E12-4C83-9284-10EA697829DD}" name="Derivation" dataDxfId="3950" dataCellStyle="Normal 2 2 2"/>
    <tableColumn id="4" xr3:uid="{9E0D27C0-0A11-4B30-ADC9-89D1DEE11F6C}" name="Unit" dataDxfId="3949" dataCellStyle="Normal 2 2 2"/>
    <tableColumn id="5" xr3:uid="{EC0D5E9C-29DE-4EDB-8CD6-6E59350E22A4}" name="Decimal places" dataDxfId="3948" dataCellStyle="Normal 2 2 2"/>
    <tableColumn id="6" xr3:uid="{875A9449-06D4-44FE-AB66-F86F9B9A6A0B}" name="2019-20" dataDxfId="3947" dataCellStyle="Normal 2 2 2"/>
    <tableColumn id="7" xr3:uid="{6F974125-9861-416E-B33D-DDD268B15B54}" name="2020-21" dataDxfId="3946" dataCellStyle="Normal 2 2 2"/>
    <tableColumn id="8" xr3:uid="{02D92EC9-1607-4079-8767-7164BC75F240}" name="2021-22" dataDxfId="3945" dataCellStyle="Normal 2 2 2"/>
    <tableColumn id="9" xr3:uid="{2070D784-243E-40F6-8D7C-9616A3F1FDCB}" name="2022-23" dataDxfId="3944" dataCellStyle="Normal 2 2 2"/>
    <tableColumn id="10" xr3:uid="{834C8C2C-9C7D-4162-A4BD-9F16F41B917F}" name="2023-24" dataDxfId="3943" dataCellStyle="Normal 2 2 2"/>
    <tableColumn id="11" xr3:uid="{69CE9FAE-296C-4BDB-B613-8913FAEB1D94}" name="2024-25" dataDxfId="3942" dataCellStyle="Normal 2 2 2"/>
    <tableColumn id="12" xr3:uid="{C1173430-62C6-4D1C-94E5-F8F00C993C07}" name="2025-26" dataDxfId="3941" dataCellStyle="Normal 2 2 2"/>
    <tableColumn id="13" xr3:uid="{30DF7724-3FCA-4F35-A3EE-FD0937A2BFFA}" name="2026-27" dataDxfId="3940" dataCellStyle="Normal 2 2 2"/>
    <tableColumn id="14" xr3:uid="{E520E31B-7FD8-4080-8104-9EDA4F8B90CD}" name="2027-28" dataDxfId="3939" dataCellStyle="Normal 2 2 2"/>
    <tableColumn id="15" xr3:uid="{21EEE864-10E5-4FCA-BC68-53652A8ED2A3}" name="2028-29" dataDxfId="3938" dataCellStyle="Normal 2 2 2"/>
    <tableColumn id="16" xr3:uid="{2200F338-D395-421B-B40B-49BACC182FFF}" name="2029-30" dataDxfId="3937" dataCellStyle="Normal 2 2 2"/>
    <tableColumn id="17" xr3:uid="{088A6039-9667-4479-97BE-2775DD9A4C43}" name="2030-31" dataDxfId="3936" dataCellStyle="Normal 2 2 2"/>
    <tableColumn id="18" xr3:uid="{8AFCAA68-0892-4989-B87B-CE4A793D05D0}" name="2031-32" dataDxfId="3935" dataCellStyle="Normal 2 2 2"/>
    <tableColumn id="19" xr3:uid="{858F46DE-D53F-40FD-AF0C-5979E230AE97}" name="2032-33" dataDxfId="3934" dataCellStyle="Normal 2 2 2"/>
    <tableColumn id="20" xr3:uid="{A60FB637-8197-4CE3-8F5C-1CF660B53F07}" name="2033-34" dataDxfId="3933" dataCellStyle="Normal 2 2 2"/>
    <tableColumn id="21" xr3:uid="{55506824-2760-42B3-957B-97539E3FB4FF}" name="2034-35" dataDxfId="3932" dataCellStyle="Normal 2 2 2"/>
    <tableColumn id="22" xr3:uid="{8ED7ABBD-5442-4611-9C17-A32BCEBC007D}" name="2035-36" dataDxfId="3931" dataCellStyle="Normal 2 2 2"/>
    <tableColumn id="23" xr3:uid="{6EC0AA0C-44C4-4024-A6CB-90E08D297B80}" name="2036-37" dataDxfId="3930" dataCellStyle="Normal 2 2 2"/>
    <tableColumn id="24" xr3:uid="{2DE9EDCD-E617-4861-AEE9-288010F01BA1}" name="2037-38" dataDxfId="3929" dataCellStyle="Normal 2 2 2"/>
    <tableColumn id="25" xr3:uid="{9B7E905B-493A-4E0E-BC25-2CB4004E21DE}" name="2038-39" dataDxfId="3928" dataCellStyle="Normal 2 2 2"/>
    <tableColumn id="26" xr3:uid="{1706F8BF-C127-4FFE-8A1A-589D10797F1E}" name="2039-40" dataDxfId="3927" dataCellStyle="Normal 2 2 2"/>
    <tableColumn id="27" xr3:uid="{1F5A8191-DE1F-4BF8-9262-F83AFBE2720E}" name="2040-41" dataDxfId="3926" dataCellStyle="Normal 2 2 2"/>
    <tableColumn id="28" xr3:uid="{62910E22-C649-4CF4-9E76-CF21AC95D6D1}" name="2041-42" dataDxfId="3925" dataCellStyle="Normal 2 2 2"/>
    <tableColumn id="29" xr3:uid="{ED341133-DA72-42C5-BFDB-B432CD509D75}" name="2042-43" dataDxfId="3924" dataCellStyle="Normal 2 2 2"/>
    <tableColumn id="30" xr3:uid="{54A8DD2F-9EF1-4AF9-8E57-81979C9A3E27}" name="2043-44" dataDxfId="3923" dataCellStyle="Normal 2 2 2"/>
    <tableColumn id="31" xr3:uid="{FE7CF7AB-B606-4C2D-859D-E983C6A65758}" name="2044-45" dataDxfId="3922" dataCellStyle="Normal 2 2 2"/>
    <tableColumn id="32" xr3:uid="{64E87731-898A-4045-8CC5-3C64A6A10725}" name="2045-46" dataDxfId="3921" dataCellStyle="Normal 2 2 2"/>
    <tableColumn id="33" xr3:uid="{EA8AFE04-7B3A-4CDD-A168-F0961CEE6904}" name="2046-47" dataDxfId="3920" dataCellStyle="Normal 2 2 2"/>
    <tableColumn id="34" xr3:uid="{AE408B07-C07F-40B7-8A55-1EED4D6D4EEB}" name="2047-48" dataDxfId="3919" dataCellStyle="Normal 2 2 2"/>
    <tableColumn id="35" xr3:uid="{F4793717-368B-4985-8144-429B316AB751}" name="2048-49" dataDxfId="3918" dataCellStyle="Normal 2 2 2"/>
    <tableColumn id="36" xr3:uid="{F0408A74-453D-496E-8EAD-977438616B97}" name="2049-50" dataDxfId="3917" dataCellStyle="Normal 2 2 2"/>
    <tableColumn id="37" xr3:uid="{1AB96C6C-A5CF-4A87-B6C4-70FC32869E80}" name="2050-51" dataDxfId="3916" dataCellStyle="Normal 2 2 2"/>
    <tableColumn id="38" xr3:uid="{845971C5-4E57-432F-AFF7-24381D6870A7}" name="2051-52" dataDxfId="3915" dataCellStyle="Normal 2 2 2"/>
    <tableColumn id="39" xr3:uid="{5386E757-0670-4B74-A6B5-A0F859B896FC}" name="2052-53" dataDxfId="3914" dataCellStyle="Normal 2 2 2"/>
    <tableColumn id="40" xr3:uid="{3558E016-6E7B-4DF4-AA61-7AA59BD1845C}" name="2053-54" dataDxfId="3913" dataCellStyle="Normal 2 2 2"/>
    <tableColumn id="41" xr3:uid="{06F6F53B-3A58-490F-AEE9-8D034437FC1D}" name="2054-55" dataDxfId="3912" dataCellStyle="Normal 2 2 2"/>
    <tableColumn id="42" xr3:uid="{0B9950FB-E8AC-4CD5-814B-EF7566F3AE57}" name="2055-56" dataDxfId="3911" dataCellStyle="Normal 2 2 2"/>
    <tableColumn id="43" xr3:uid="{377E9444-C618-4D95-B40D-0D4340DA32C6}" name="2056-57" dataDxfId="3910" dataCellStyle="Normal 2 2 2"/>
    <tableColumn id="44" xr3:uid="{E4AF8955-0A32-44EF-B681-4E212E7D4CB9}" name="2057-58" dataDxfId="3909" dataCellStyle="Normal 2 2 2"/>
    <tableColumn id="45" xr3:uid="{A7172304-DCDD-47D1-ACC2-F1077C9FD882}" name="2058-59" dataDxfId="3908" dataCellStyle="Normal 2 2 2"/>
    <tableColumn id="46" xr3:uid="{04225E68-4FD4-4B08-85FE-692D6395C927}" name="2059-60" dataDxfId="3907" dataCellStyle="Normal 2 2 2"/>
    <tableColumn id="47" xr3:uid="{97260E9C-F544-4ADC-AEFC-E4D65CF0A585}" name="2060-61" dataDxfId="3906" dataCellStyle="Normal 2 2 2"/>
    <tableColumn id="48" xr3:uid="{4AD9313F-9BCC-40CE-BB2B-2D643D5C7D1E}" name="2061-62" dataDxfId="3905" dataCellStyle="Normal 2 2 2"/>
    <tableColumn id="49" xr3:uid="{FD823E79-97C0-42B1-880D-582D36BD29E6}" name="2062-63" dataDxfId="3904" dataCellStyle="Normal 2 2 2"/>
    <tableColumn id="50" xr3:uid="{A867C2B6-3A67-4DA9-BC97-3E724861A861}" name="2063-64" dataDxfId="3903" dataCellStyle="Normal 2 2 2"/>
    <tableColumn id="51" xr3:uid="{AB63C787-531B-4025-AE50-63C036BD6AAD}" name="2064-65" dataDxfId="3902" dataCellStyle="Normal 2 2 2"/>
    <tableColumn id="52" xr3:uid="{D788593C-9BDE-4360-880E-83059F210A06}" name="2065-66" dataDxfId="3901" dataCellStyle="Normal 2 2 2"/>
    <tableColumn id="53" xr3:uid="{4FCEF757-5357-4402-B342-2C80147F19AB}" name="2066-67" dataDxfId="3900" dataCellStyle="Normal 2 2 2"/>
    <tableColumn id="54" xr3:uid="{3F11437B-EC56-4248-BD0B-0F483B819420}" name="2067-68" dataDxfId="3899" dataCellStyle="Normal 2 2 2"/>
    <tableColumn id="55" xr3:uid="{91F99978-21A9-40AC-A5B5-E041D70899FB}" name="2068-69" dataDxfId="3898" dataCellStyle="Normal 2 2 2"/>
    <tableColumn id="56" xr3:uid="{6507AFF6-C401-4D03-8C16-BBCBFB6792EB}" name="2069-70" dataDxfId="3897" dataCellStyle="Normal 2 2 2"/>
    <tableColumn id="57" xr3:uid="{DD4DB222-FA34-4550-9421-FDBA53268655}" name="2070-71" dataDxfId="3896" dataCellStyle="Normal 2 2 2"/>
    <tableColumn id="58" xr3:uid="{258EBA50-EF6A-45DA-9150-98355B8E02F3}" name="2071-72" dataDxfId="3895" dataCellStyle="Normal 2 2 2"/>
    <tableColumn id="59" xr3:uid="{84F7B94E-4B33-4408-A331-B535C12B5391}" name="2072-73" dataDxfId="3894" dataCellStyle="Normal 2 2 2"/>
    <tableColumn id="60" xr3:uid="{6BF19055-16AB-4FC3-A8DB-9561A11F4940}" name="2073-74" dataDxfId="3893" dataCellStyle="Normal 2 2 2"/>
    <tableColumn id="61" xr3:uid="{BB73EF44-8E5F-411C-9FB4-8280B3F06A3B}" name="2074-75" dataDxfId="3892" dataCellStyle="Normal 2 2 2"/>
    <tableColumn id="62" xr3:uid="{D24464CC-E40A-413D-AD02-81EC7A62C31E}" name="2075-76" dataDxfId="3891" dataCellStyle="Normal 2 2 2"/>
    <tableColumn id="63" xr3:uid="{0B7245A1-6298-4BD9-8E5D-AEF5EE128461}" name="2076-77" dataDxfId="3890" dataCellStyle="Normal 2 2 2"/>
    <tableColumn id="64" xr3:uid="{F8B0DD5E-1272-4CD2-9A4A-37AA014A4072}" name="2077-78" dataDxfId="3889" dataCellStyle="Normal 2 2 2"/>
    <tableColumn id="65" xr3:uid="{96BD9F39-890A-4C83-A715-8597F51F284C}" name="2078-79" dataDxfId="3888" dataCellStyle="Normal 2 2 2"/>
    <tableColumn id="66" xr3:uid="{E205173A-A6D2-4E20-95D9-9F5EA46EDD22}" name="2079-80" dataDxfId="3887" dataCellStyle="Normal 2 2 2"/>
    <tableColumn id="67" xr3:uid="{158EC631-0AB4-421F-910A-ADC30FEBBB80}" name="2080-81" dataDxfId="3886" dataCellStyle="Normal 2 2 2"/>
    <tableColumn id="68" xr3:uid="{984376D8-EC3A-4744-8F98-A192987B9DF3}" name="2081-82" dataDxfId="3885" dataCellStyle="Normal 2 2 2"/>
    <tableColumn id="69" xr3:uid="{3E2B2413-3022-46AB-AAE2-0AD69F93AF7A}" name="2082-83" dataDxfId="3884" dataCellStyle="Normal 2 2 2"/>
    <tableColumn id="70" xr3:uid="{03B98B54-C27A-418B-9C36-6CF0EA3FF587}" name="2083-84" dataDxfId="3883" dataCellStyle="Normal 2 2 2"/>
    <tableColumn id="71" xr3:uid="{0F349DA6-2645-46DE-83FA-C61D7B255CCC}" name="2084-85" dataDxfId="3882" dataCellStyle="Normal 2 2 2"/>
    <tableColumn id="72" xr3:uid="{4C0EB6B4-AB40-45FF-BF0F-CDE71DD06869}" name="2085-86" dataDxfId="3881" dataCellStyle="Normal 2 2 2"/>
    <tableColumn id="73" xr3:uid="{52287CAB-32FF-4746-9488-72A48CB31B63}" name="2086-87" dataDxfId="3880" dataCellStyle="Normal 2 2 2"/>
    <tableColumn id="74" xr3:uid="{B6053D90-B155-4503-974B-9C094BA27270}" name="2087-88" dataDxfId="3879" dataCellStyle="Normal 2 2 2"/>
    <tableColumn id="75" xr3:uid="{F88C344F-65D2-48F0-B687-6E832453C4AF}" name="2088-89" dataDxfId="3878" dataCellStyle="Normal 2 2 2"/>
    <tableColumn id="76" xr3:uid="{7AFD7C14-7502-4ED5-B0C1-7717435277E9}" name="2089-90" dataDxfId="3877" dataCellStyle="Normal 2 2 2"/>
    <tableColumn id="77" xr3:uid="{1F9096A1-FB6A-4ACF-BA12-9A1A73C2854F}" name="2090-91" dataDxfId="3876" dataCellStyle="Normal 2 2 2"/>
    <tableColumn id="78" xr3:uid="{42F54DBC-1FAA-46FF-B6AA-23CC6CB9CD08}" name="2091-92" dataDxfId="3875" dataCellStyle="Normal 2 2 2"/>
    <tableColumn id="79" xr3:uid="{2E924034-32FE-4A54-B57E-FB48FC6E18D8}" name="2092-93" dataDxfId="3874" dataCellStyle="Normal 2 2 2"/>
    <tableColumn id="80" xr3:uid="{A82AC8D3-E629-460B-94FB-A33D48005876}" name="2093-94" dataDxfId="3873" dataCellStyle="Normal 2 2 2"/>
    <tableColumn id="81" xr3:uid="{4D9625D9-49F3-4923-967A-832F0E5A383C}" name="2094-95" dataDxfId="3872" dataCellStyle="Normal 2 2 2"/>
    <tableColumn id="82" xr3:uid="{A43CA194-460D-48F0-A7BE-C106093C5221}" name="2095-96" dataDxfId="3871" dataCellStyle="Normal 2 2 2"/>
    <tableColumn id="83" xr3:uid="{FD258847-099D-4A62-9F3A-875F4172ACDB}" name="2096-97" dataDxfId="3870" dataCellStyle="Normal 2 2 2"/>
    <tableColumn id="84" xr3:uid="{23613D0B-DDA9-432B-9BAE-A559FBAB0E83}" name="2097-98" dataDxfId="3869" dataCellStyle="Normal 2 2 2"/>
    <tableColumn id="85" xr3:uid="{AB6E3E31-0CDE-4E64-9F16-D40128EBEE2C}" name="2098-99" dataDxfId="3868" dataCellStyle="Normal 2 2 2"/>
    <tableColumn id="86" xr3:uid="{9D7EC945-4A33-41FE-ABAD-D6F102BAF936}" name="2099-100" dataDxfId="3867" dataCellStyle="Normal 2 2 2"/>
  </tableColumns>
  <tableStyleInfo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E5ADD3FB-35DD-47AC-9B24-5DDCAD6A4E2A}" name="TBL3d_DYCPBL_13_ESWBLY" displayName="TBL3d_DYCPBL_13_ESWBLY" ref="B204:CI272" totalsRowShown="0" headerRowDxfId="3866" dataDxfId="3865" tableBorderDxfId="3864" headerRowCellStyle="Normal 2 2 2">
  <autoFilter ref="B204:CI272" xr:uid="{EF444EF1-EE1B-4FAA-8C28-6DC5D0EEB936}"/>
  <tableColumns count="86">
    <tableColumn id="1" xr3:uid="{24C2D4E4-9E0C-4B68-A31C-ACECAC024360}" name="WRMP24 reference" dataDxfId="3863" dataCellStyle="Normal 2 2 2"/>
    <tableColumn id="2" xr3:uid="{7EA49D93-01D2-43E3-AE39-8803738E9C9A}" name="Component" dataDxfId="3862" dataCellStyle="Normal 2 2 2"/>
    <tableColumn id="3" xr3:uid="{4372AFB7-B49E-49D8-BC35-3A9062595C44}" name="Derivation" dataDxfId="3861" dataCellStyle="Normal 2 2 2"/>
    <tableColumn id="4" xr3:uid="{8780A7A6-589F-4EFD-A18A-94BD7099408E}" name="Unit" dataDxfId="3860" dataCellStyle="Normal 2 2 2"/>
    <tableColumn id="5" xr3:uid="{2C24394A-34D1-4709-BF6E-BACB0CD914F4}" name="Decimal places" dataDxfId="3859" dataCellStyle="Normal 2 2 2"/>
    <tableColumn id="6" xr3:uid="{C0E3F56A-4BC3-4980-9509-9F2D4FA6EFBB}" name="2019-20" dataDxfId="3858"/>
    <tableColumn id="7" xr3:uid="{26F88350-2C05-45AB-A427-CBD56D0B5DB6}" name="2020-21" dataDxfId="3857" dataCellStyle="Normal 2 2 2"/>
    <tableColumn id="8" xr3:uid="{30A47316-36E7-4497-84CD-7FE1E83EC33E}" name="2021-22" dataDxfId="3856" dataCellStyle="Normal 2 2 2"/>
    <tableColumn id="9" xr3:uid="{B7C28002-79A0-4ACC-A17E-8F714A0A4CDB}" name="2022-23" dataDxfId="3855" dataCellStyle="Normal 2 2 2"/>
    <tableColumn id="10" xr3:uid="{B8072D7D-9E68-4182-B99C-0E29633A97F7}" name="2023-24" dataDxfId="3854" dataCellStyle="Normal 2 2 2"/>
    <tableColumn id="11" xr3:uid="{1FB24056-8889-4089-AB01-3763547ADE82}" name="2024-25" dataDxfId="3853" dataCellStyle="Normal 2 2 2"/>
    <tableColumn id="12" xr3:uid="{24A4BD1C-8FE6-4394-ABB3-AC6084170E40}" name="2025-26" dataDxfId="3852"/>
    <tableColumn id="13" xr3:uid="{8ADB6879-85C6-4858-8FE8-1E1B0DF33270}" name="2026-27" dataDxfId="3851"/>
    <tableColumn id="14" xr3:uid="{A97185B9-4601-45D8-A2CE-6CBD7E57BA20}" name="2027-28" dataDxfId="3850"/>
    <tableColumn id="15" xr3:uid="{2A1C0B54-36F1-4C58-AD30-DF297BECAACD}" name="2028-29" dataDxfId="3849"/>
    <tableColumn id="16" xr3:uid="{1270A9B0-2014-4F58-A024-F9C8509E1913}" name="2029-30" dataDxfId="3848"/>
    <tableColumn id="17" xr3:uid="{4B63BD1D-CB45-479A-B3D9-8032C803DB7D}" name="2030-31" dataDxfId="3847"/>
    <tableColumn id="18" xr3:uid="{1CBFBF0A-8973-4458-B303-9FE07CC11D3C}" name="2031-32" dataDxfId="3846"/>
    <tableColumn id="19" xr3:uid="{54F59C78-D0C9-4470-95E2-6D1D1C71D1CD}" name="2032-33" dataDxfId="3845"/>
    <tableColumn id="20" xr3:uid="{5852A091-4BA6-4593-8604-5A15EC9A938C}" name="2033-34" dataDxfId="3844"/>
    <tableColumn id="21" xr3:uid="{C9E997F9-F218-446E-BBAA-70AE1B0977BE}" name="2034-35" dataDxfId="3843"/>
    <tableColumn id="22" xr3:uid="{338E5C04-46F9-423B-966C-3234DC71B61D}" name="2035-36" dataDxfId="3842"/>
    <tableColumn id="23" xr3:uid="{6C3B3F68-F8E9-4D68-97CD-BC0DEB123872}" name="2036-37" dataDxfId="3841"/>
    <tableColumn id="24" xr3:uid="{20E1B4EA-84F8-4C8E-9F38-9F38E417A563}" name="2037-38" dataDxfId="3840"/>
    <tableColumn id="25" xr3:uid="{46EEC055-87D6-4DCA-AF77-B6DA3733B823}" name="2038-39" dataDxfId="3839"/>
    <tableColumn id="26" xr3:uid="{35D8EB51-B8E8-4EFE-97F6-A10084119E94}" name="2039-40" dataDxfId="3838"/>
    <tableColumn id="27" xr3:uid="{ADE6D2DF-5E29-4666-815D-7BD7056658A8}" name="2040-41" dataDxfId="3837"/>
    <tableColumn id="28" xr3:uid="{7FBA02CB-0D17-4833-9035-EE18ABFE8FB1}" name="2041-42" dataDxfId="3836"/>
    <tableColumn id="29" xr3:uid="{DA8A5F0B-A999-416F-8C25-BB36B30626D9}" name="2042-43" dataDxfId="3835"/>
    <tableColumn id="30" xr3:uid="{244D6EF7-2196-4475-8EF8-8D9B09D0A962}" name="2043-44" dataDxfId="3834"/>
    <tableColumn id="31" xr3:uid="{8758F035-21B1-4169-AB73-3BA29C201F02}" name="2044-45" dataDxfId="3833"/>
    <tableColumn id="32" xr3:uid="{389DC056-4539-4AEC-BF5B-EBB8B60B9ABF}" name="2045-46" dataDxfId="3832"/>
    <tableColumn id="33" xr3:uid="{3AB71683-375E-4C95-862C-5EEC0B11FA31}" name="2046-47" dataDxfId="3831"/>
    <tableColumn id="34" xr3:uid="{CD055A76-907D-4698-B16E-373DAE2C5D1C}" name="2047-48" dataDxfId="3830"/>
    <tableColumn id="35" xr3:uid="{49326AB1-640E-440A-B999-006BBA385694}" name="2048-49" dataDxfId="3829"/>
    <tableColumn id="36" xr3:uid="{E61852CC-1BA8-49F7-9B4D-1DA64D4B7C88}" name="2049-50" dataDxfId="3828"/>
    <tableColumn id="37" xr3:uid="{F9C28258-0701-4DD9-92C2-91DB5995E086}" name="2050-51" dataDxfId="3827"/>
    <tableColumn id="38" xr3:uid="{64D3356D-D9B2-4639-B914-A8DA866D9474}" name="2051-52" dataDxfId="3826"/>
    <tableColumn id="39" xr3:uid="{F6845299-D2AB-4AB4-B7C9-CAD292AF86AF}" name="2052-53" dataDxfId="3825"/>
    <tableColumn id="40" xr3:uid="{E30C69AB-8D93-4C4B-BDEC-E580301834F0}" name="2053-54" dataDxfId="3824"/>
    <tableColumn id="41" xr3:uid="{717BD3D9-6738-4236-91DB-38CE92803135}" name="2054-55" dataDxfId="3823"/>
    <tableColumn id="42" xr3:uid="{6D9FD1AE-487F-45D6-9D06-3FCF7D59454D}" name="2055-56" dataDxfId="3822"/>
    <tableColumn id="43" xr3:uid="{515CF7D8-2149-4005-8904-49B72F9F616E}" name="2056-57" dataDxfId="3821"/>
    <tableColumn id="44" xr3:uid="{FC8E5820-F1AE-424C-8320-B2AE04CA0852}" name="2057-58" dataDxfId="3820"/>
    <tableColumn id="45" xr3:uid="{1466ED77-2200-406C-9D76-FA0478D76826}" name="2058-59" dataDxfId="3819"/>
    <tableColumn id="46" xr3:uid="{D0F5A95A-942D-4299-9919-5F3A9BBE7182}" name="2059-60" dataDxfId="3818"/>
    <tableColumn id="47" xr3:uid="{8DBCE663-1C34-4EB7-BBB3-4D960B35B0B2}" name="2060-61" dataDxfId="3817"/>
    <tableColumn id="48" xr3:uid="{8B8DDDD7-E49E-42C8-9B82-A3CB0559752D}" name="2061-62" dataDxfId="3816"/>
    <tableColumn id="49" xr3:uid="{42D67C84-94F0-4D9C-95CB-CAA0900F9A7D}" name="2062-63" dataDxfId="3815"/>
    <tableColumn id="50" xr3:uid="{008465F6-9744-4426-AEF3-999059797324}" name="2063-64" dataDxfId="3814"/>
    <tableColumn id="51" xr3:uid="{0F83DCF3-7C5F-4F5F-9565-6136E10E7C7A}" name="2064-65" dataDxfId="3813"/>
    <tableColumn id="52" xr3:uid="{7357C17B-A2B1-463A-AA7E-0C2C8E81A90D}" name="2065-66" dataDxfId="3812"/>
    <tableColumn id="53" xr3:uid="{D59E8060-E30D-41F0-86A3-4E5792A263C4}" name="2066-67" dataDxfId="3811"/>
    <tableColumn id="54" xr3:uid="{80ED0810-2220-42BF-B56F-EFC6E3B23066}" name="2067-68" dataDxfId="3810"/>
    <tableColumn id="55" xr3:uid="{251C68D2-EFD9-4DCB-8338-CC459EB79154}" name="2068-69" dataDxfId="3809"/>
    <tableColumn id="56" xr3:uid="{3D43563C-5796-46B1-A25A-9E82E8304868}" name="2069-70" dataDxfId="3808"/>
    <tableColumn id="57" xr3:uid="{20C0BEB6-F4CE-44C2-8CB4-57994181813D}" name="2070-71" dataDxfId="3807"/>
    <tableColumn id="58" xr3:uid="{3C8A80D2-5206-406D-923A-0F038CDC93CA}" name="2071-72" dataDxfId="3806"/>
    <tableColumn id="59" xr3:uid="{43FCB9AA-AD8E-4F95-A39E-5B47CC695ECE}" name="2072-73" dataDxfId="3805"/>
    <tableColumn id="60" xr3:uid="{FDF39CB3-B632-464B-A1DA-346437E1467A}" name="2073-74" dataDxfId="3804"/>
    <tableColumn id="61" xr3:uid="{3B2324FA-5694-4E6F-AAC8-55C8D86A640A}" name="2074-75" dataDxfId="3803"/>
    <tableColumn id="62" xr3:uid="{BB45FEBD-7110-4693-9985-67B4ECC3220E}" name="2075-76" dataDxfId="3802"/>
    <tableColumn id="63" xr3:uid="{33DEF620-46F5-444A-BB07-D0F802878763}" name="2076-77" dataDxfId="3801"/>
    <tableColumn id="64" xr3:uid="{456FD7BF-71BA-4AC4-BA76-C8E36715C103}" name="2077-78" dataDxfId="3800"/>
    <tableColumn id="65" xr3:uid="{EE84A9E1-63FE-483B-847C-1A56A092B480}" name="2078-79" dataDxfId="3799"/>
    <tableColumn id="66" xr3:uid="{07322F41-F2F8-4AA4-8971-32376A41071B}" name="2079-80" dataDxfId="3798"/>
    <tableColumn id="67" xr3:uid="{1864D502-71E7-4DE4-B32F-464525F3EB4C}" name="2080-81" dataDxfId="3797"/>
    <tableColumn id="68" xr3:uid="{D5B69750-0D47-4854-917E-52D42F98CA90}" name="2081-82" dataDxfId="3796"/>
    <tableColumn id="69" xr3:uid="{AAE45CB1-B79D-40E3-B31D-58BA8305037A}" name="2082-83" dataDxfId="3795"/>
    <tableColumn id="70" xr3:uid="{65F79F03-BF6F-4509-B15E-C1796CC9A6B3}" name="2083-84" dataDxfId="3794"/>
    <tableColumn id="71" xr3:uid="{CD9C33EE-F49E-454F-9284-80455755D700}" name="2084-85" dataDxfId="3793"/>
    <tableColumn id="72" xr3:uid="{9303CEC1-F999-4FFB-A224-ED18D15EF179}" name="2085-86" dataDxfId="3792"/>
    <tableColumn id="73" xr3:uid="{92E1AA01-EF02-4494-B834-30149DBAB994}" name="2086-87" dataDxfId="3791"/>
    <tableColumn id="74" xr3:uid="{254FE106-69A3-429E-BCEA-878B845FF80A}" name="2087-88" dataDxfId="3790"/>
    <tableColumn id="75" xr3:uid="{47A3B82C-D6E0-4722-A557-1D98608FD45D}" name="2088-89" dataDxfId="3789"/>
    <tableColumn id="76" xr3:uid="{7D7981C4-1593-4D66-B236-81D3C184E87D}" name="2089-90" dataDxfId="3788"/>
    <tableColumn id="77" xr3:uid="{08B67527-C479-46BC-AE4C-BA0D3844173E}" name="2090-91" dataDxfId="3787"/>
    <tableColumn id="78" xr3:uid="{3BAC54D8-2B44-40BC-9F46-82B3C9D37261}" name="2091-92" dataDxfId="3786"/>
    <tableColumn id="79" xr3:uid="{314CB58E-941B-42DB-8067-1692354F5112}" name="2092-93" dataDxfId="3785"/>
    <tableColumn id="80" xr3:uid="{98B84DD1-FEE3-4759-BE18-0137BCFF2283}" name="2093-94" dataDxfId="3784"/>
    <tableColumn id="81" xr3:uid="{73F3F343-B07B-4AC3-A233-ED9283A560B2}" name="2094-95" dataDxfId="3783"/>
    <tableColumn id="82" xr3:uid="{F82E1C8B-763A-4D1B-BC11-E87E6B0D34B5}" name="2095-96" dataDxfId="3782"/>
    <tableColumn id="83" xr3:uid="{72700699-D8C8-46D7-BFE4-86B031B0748C}" name="2096-97" dataDxfId="3781"/>
    <tableColumn id="84" xr3:uid="{A5804CCD-18E9-4A0B-B57D-78E9009893D5}" name="2097-98" dataDxfId="3780"/>
    <tableColumn id="85" xr3:uid="{42909751-95B8-440A-8051-EEB8E14CC587}" name="2098-99" dataDxfId="3779"/>
    <tableColumn id="86" xr3:uid="{23527088-5E64-4D34-AE66-B94FF838B270}" name="2099-100" dataDxfId="3778"/>
  </tableColumns>
  <tableStyleInfo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CF04E015-3A1E-484B-BF75-007B881087E7}" name="TBL3e_DYCPOpt_14_ESWBLY" displayName="TBL3e_DYCPOpt_14_ESWBLY" ref="B275:CJ300" totalsRowCount="1" headerRowDxfId="3777" dataDxfId="3775" headerRowBorderDxfId="3776" tableBorderDxfId="3774" headerRowCellStyle="Normal 2 2 2" dataCellStyle="Normal 2 2 2">
  <autoFilter ref="B275:CJ299" xr:uid="{B33704DC-CAA1-4030-BE9C-FA3044FC1D63}"/>
  <tableColumns count="87">
    <tableColumn id="1" xr3:uid="{CC49F6FC-0B5E-4DDE-A6A9-493FCE953F3A}" name="WRMP24 reference" dataDxfId="3773" totalsRowDxfId="3772" dataCellStyle="Normal 2 2 2"/>
    <tableColumn id="2" xr3:uid="{654CE790-6E3D-40B5-A60F-F96B4B02C9A7}" name="Option type" dataDxfId="3771" totalsRowDxfId="3770" dataCellStyle="Normal 2 2 2"/>
    <tableColumn id="3" xr3:uid="{D29B74A9-A165-46F4-A418-ADFDA06DD354}" name="Cat ID" dataDxfId="3769" totalsRowDxfId="3768" dataCellStyle="Normal 2 2 2"/>
    <tableColumn id="4" xr3:uid="{904E4791-F2D1-497C-AFFC-041A92A8C88F}" name="Unit" dataDxfId="3767" totalsRowDxfId="3766" dataCellStyle="Normal 2 2 2"/>
    <tableColumn id="5" xr3:uid="{20286874-07CA-4033-9A1D-AFE75217B96D}" name="Decimal places" dataDxfId="3765" totalsRowDxfId="3764" dataCellStyle="Normal 2 2 2"/>
    <tableColumn id="6" xr3:uid="{BB15F829-D57E-48C6-845A-FAA54767ED6D}" name="2019-20" dataDxfId="3763" totalsRowDxfId="3762" dataCellStyle="Normal 2 2 2"/>
    <tableColumn id="7" xr3:uid="{8FDD0352-FE00-4AC9-BB80-85CB82CAE962}" name="2020-21" dataDxfId="3761" totalsRowDxfId="3760" dataCellStyle="Normal 2 2 2"/>
    <tableColumn id="8" xr3:uid="{B544E3E2-81CC-4124-ABF6-9D059F073C2A}" name="2021-22" dataDxfId="3759" totalsRowDxfId="3758" dataCellStyle="Normal 2 2 2"/>
    <tableColumn id="9" xr3:uid="{B004ADFD-6E4A-41D5-BD29-61424D73E1CC}" name="2022-23" dataDxfId="3757" totalsRowDxfId="3756" dataCellStyle="Normal 2 2 2"/>
    <tableColumn id="10" xr3:uid="{A97138FD-FCA8-4DB4-AE8C-4F1BADFFF362}" name="2023-24" dataDxfId="3755" totalsRowDxfId="3754" dataCellStyle="Normal 2 2 2"/>
    <tableColumn id="11" xr3:uid="{0D1534E1-D52C-4584-A1C2-0A808D764991}" name="2024-25" dataDxfId="3753" totalsRowDxfId="3752" dataCellStyle="Normal 2 2 2"/>
    <tableColumn id="12" xr3:uid="{CF3E0F30-61D0-4AE2-841D-56B6E1F8B714}" name="2025-26" dataDxfId="3751" totalsRowDxfId="3750" dataCellStyle="Normal 2 2 2"/>
    <tableColumn id="13" xr3:uid="{30FC3D47-4B91-475C-B240-311A060B7276}" name="2026-27" dataDxfId="3749" totalsRowDxfId="3748" dataCellStyle="Normal 2 2 2"/>
    <tableColumn id="14" xr3:uid="{C4D95BE6-615A-4244-8D08-196594B50D4A}" name="2027-28" dataDxfId="3747" totalsRowDxfId="3746" dataCellStyle="Normal 2 2 2"/>
    <tableColumn id="15" xr3:uid="{8E3E592B-BBE1-47A6-A8D8-F24F53B85229}" name="2028-29" dataDxfId="3745" totalsRowDxfId="3744" dataCellStyle="Normal 2 2 2"/>
    <tableColumn id="16" xr3:uid="{610E86DB-7204-445C-A87F-FD704C330054}" name="2029-30" dataDxfId="3743" totalsRowDxfId="3742" dataCellStyle="Normal 2 2 2"/>
    <tableColumn id="17" xr3:uid="{C559F985-DB07-4ACD-949A-45AC06946C05}" name="2030-31" dataDxfId="3741" totalsRowDxfId="3740" dataCellStyle="Normal 2 2 2"/>
    <tableColumn id="18" xr3:uid="{FFC4A458-414A-485C-8286-193D28D725C2}" name="2031-32" dataDxfId="3739" totalsRowDxfId="3738" dataCellStyle="Normal 2 2 2"/>
    <tableColumn id="19" xr3:uid="{A4D94987-8346-4579-8CFB-8C77A9C73AD1}" name="2032-33" dataDxfId="3737" totalsRowDxfId="3736" dataCellStyle="Normal 2 2 2"/>
    <tableColumn id="20" xr3:uid="{28E7F2FD-5B99-48AA-9341-62E4B5F0C9EC}" name="2033-34" dataDxfId="3735" totalsRowDxfId="3734" dataCellStyle="Normal 2 2 2"/>
    <tableColumn id="21" xr3:uid="{407530C0-457E-4EDC-8934-8C5635D4FC8D}" name="2034-35" dataDxfId="3733" totalsRowDxfId="3732" dataCellStyle="Normal 2 2 2"/>
    <tableColumn id="22" xr3:uid="{05044D76-76D2-40FE-A919-7B6DF7E477ED}" name="2035-36" dataDxfId="3731" totalsRowDxfId="3730" dataCellStyle="Normal 2 2 2"/>
    <tableColumn id="23" xr3:uid="{1EF71298-A592-4E11-8233-9B7CB08C65BE}" name="2036-37" dataDxfId="3729" totalsRowDxfId="3728" dataCellStyle="Normal 2 2 2"/>
    <tableColumn id="24" xr3:uid="{5A4DBDE0-317E-4BF2-AEB2-CADC782037EC}" name="2037-38" dataDxfId="3727" totalsRowDxfId="3726" dataCellStyle="Normal 2 2 2"/>
    <tableColumn id="25" xr3:uid="{381947DD-7E24-4800-9704-6F5CD63D5E62}" name="2038-39" dataDxfId="3725" totalsRowDxfId="3724" dataCellStyle="Normal 2 2 2"/>
    <tableColumn id="26" xr3:uid="{75EF1601-280A-4AA1-8421-8E01FBB5A89B}" name="2039-40" dataDxfId="3723" totalsRowDxfId="3722" dataCellStyle="Normal 2 2 2"/>
    <tableColumn id="27" xr3:uid="{ECF82FFF-319A-4708-B2C0-495DE9D4E805}" name="2040-41" dataDxfId="3721" totalsRowDxfId="3720" dataCellStyle="Normal 2 2 2"/>
    <tableColumn id="28" xr3:uid="{2BD2C184-21D1-4E80-8DBA-8105BFF747F4}" name="2041-42" dataDxfId="3719" totalsRowDxfId="3718" dataCellStyle="Normal 2 2 2"/>
    <tableColumn id="29" xr3:uid="{4FDAB228-5586-49AA-AF9D-A7F703F3FA1F}" name="2042-43" dataDxfId="3717" totalsRowDxfId="3716" dataCellStyle="Normal 2 2 2"/>
    <tableColumn id="30" xr3:uid="{74599668-EBFC-4C7D-BEF1-C44B0CEE26F8}" name="2043-44" dataDxfId="3715" totalsRowDxfId="3714" dataCellStyle="Normal 2 2 2"/>
    <tableColumn id="31" xr3:uid="{1476895E-8E66-4630-8D36-4C347344EB84}" name="2044-45" dataDxfId="3713" totalsRowDxfId="3712" dataCellStyle="Normal 2 2 2"/>
    <tableColumn id="32" xr3:uid="{DD1B9EF2-CEBB-42D4-B324-889A4BEBBADE}" name="2045-46" dataDxfId="3711" totalsRowDxfId="3710" dataCellStyle="Normal 2 2 2"/>
    <tableColumn id="33" xr3:uid="{FEC0C062-9F1D-4235-91AB-EC8FEF8B6DEB}" name="2046-47" dataDxfId="3709" totalsRowDxfId="3708" dataCellStyle="Normal 2 2 2"/>
    <tableColumn id="34" xr3:uid="{7D0CB295-35BA-42D2-8390-99403640BF88}" name="2047-48" dataDxfId="3707" totalsRowDxfId="3706" dataCellStyle="Normal 2 2 2"/>
    <tableColumn id="35" xr3:uid="{A4556D0F-196C-477F-8942-1D456AAF821E}" name="2048-49" dataDxfId="3705" totalsRowDxfId="3704" dataCellStyle="Normal 2 2 2"/>
    <tableColumn id="36" xr3:uid="{F2840EF6-B1A6-45D3-B7BC-BDAF9BDB0C03}" name="2049-50" dataDxfId="3703" totalsRowDxfId="3702" dataCellStyle="Normal 2 2 2"/>
    <tableColumn id="37" xr3:uid="{53858A61-34F4-4121-8125-FFCFD621D992}" name="2050-51" dataDxfId="3701" totalsRowDxfId="3700" dataCellStyle="Normal 2 2 2"/>
    <tableColumn id="38" xr3:uid="{2FBD3165-4709-42E6-BF25-FC1890C7101A}" name="2051-52" dataDxfId="3699" totalsRowDxfId="3698" dataCellStyle="Normal 2 2 2"/>
    <tableColumn id="39" xr3:uid="{90D2118F-F66D-4011-8DEC-E2ED3D7C85B4}" name="2052-53" dataDxfId="3697" totalsRowDxfId="3696" dataCellStyle="Normal 2 2 2"/>
    <tableColumn id="40" xr3:uid="{6D731D0B-ED79-407A-B94F-5E5B918A04AE}" name="2053-54" dataDxfId="3695" totalsRowDxfId="3694" dataCellStyle="Normal 2 2 2"/>
    <tableColumn id="41" xr3:uid="{452E09FD-22B2-4EBD-A592-E2959B97BE3F}" name="2054-55" dataDxfId="3693" totalsRowDxfId="3692" dataCellStyle="Normal 2 2 2"/>
    <tableColumn id="42" xr3:uid="{8E953FDE-AB66-492E-A0DF-E3B26D5E0EBD}" name="2055-56" dataDxfId="3691" totalsRowDxfId="3690" dataCellStyle="Normal 2 2 2"/>
    <tableColumn id="43" xr3:uid="{060E0D09-08AC-4391-AAFA-326CB60B81F3}" name="2056-57" dataDxfId="3689" totalsRowDxfId="3688" dataCellStyle="Normal 2 2 2"/>
    <tableColumn id="44" xr3:uid="{909836F9-792E-4E76-BE31-F24D965AB764}" name="2057-58" dataDxfId="3687" totalsRowDxfId="3686" dataCellStyle="Normal 2 2 2"/>
    <tableColumn id="45" xr3:uid="{27399F9D-09D5-49F3-8CA5-BCA3640FD654}" name="2058-59" dataDxfId="3685" totalsRowDxfId="3684" dataCellStyle="Normal 2 2 2"/>
    <tableColumn id="46" xr3:uid="{573D82FE-719F-43BC-8737-26FBF388DE40}" name="2059-60" dataDxfId="3683" totalsRowDxfId="3682" dataCellStyle="Normal 2 2 2"/>
    <tableColumn id="47" xr3:uid="{EF208D03-CB59-4C1C-90FA-B6D71429DCF6}" name="2060-61" dataDxfId="3681" totalsRowDxfId="3680" dataCellStyle="Normal 2 2 2"/>
    <tableColumn id="48" xr3:uid="{3356D2E0-1280-47E0-B9C4-54CB41D41EAE}" name="2061-62" dataDxfId="3679" totalsRowDxfId="3678" dataCellStyle="Normal 2 2 2"/>
    <tableColumn id="49" xr3:uid="{C7DA0B81-E8EA-4745-986C-7985C3AA5274}" name="2062-63" dataDxfId="3677" totalsRowDxfId="3676" dataCellStyle="Normal 2 2 2"/>
    <tableColumn id="50" xr3:uid="{B6310E6A-C2E6-4A55-BC18-D4EA06E632F9}" name="2063-64" dataDxfId="3675" totalsRowDxfId="3674" dataCellStyle="Normal 2 2 2"/>
    <tableColumn id="51" xr3:uid="{F75347BF-A631-48D6-B78A-DDD90C4F26B6}" name="2064-65" dataDxfId="3673" totalsRowDxfId="3672" dataCellStyle="Normal 2 2 2"/>
    <tableColumn id="52" xr3:uid="{6698E9DE-8657-4937-8095-627BAE4DB170}" name="2065-66" dataDxfId="3671" totalsRowDxfId="3670" dataCellStyle="Normal 2 2 2"/>
    <tableColumn id="53" xr3:uid="{14E7964E-5CDA-4B6E-AED2-174EE1922DC0}" name="2066-67" dataDxfId="3669" totalsRowDxfId="3668" dataCellStyle="Normal 2 2 2"/>
    <tableColumn id="54" xr3:uid="{1FF315A6-C83F-4A05-A399-76E431DB93BD}" name="2067-68" dataDxfId="3667" totalsRowDxfId="3666" dataCellStyle="Normal 2 2 2"/>
    <tableColumn id="55" xr3:uid="{086A02AD-7674-4311-B750-CDBDF9209EC4}" name="2068-69" dataDxfId="3665" totalsRowDxfId="3664" dataCellStyle="Normal 2 2 2"/>
    <tableColumn id="56" xr3:uid="{6440266E-CE3B-4856-8A49-906029CFA142}" name="2069-70" dataDxfId="3663" totalsRowDxfId="3662" dataCellStyle="Normal 2 2 2"/>
    <tableColumn id="57" xr3:uid="{A5690738-6F57-45CD-B2EF-1317639BB891}" name="2070-71" dataDxfId="3661" totalsRowDxfId="3660" dataCellStyle="Normal 2 2 2"/>
    <tableColumn id="58" xr3:uid="{172C9FE6-F6E1-47D2-AC30-B796FA522028}" name="2071-72" dataDxfId="3659" totalsRowDxfId="3658" dataCellStyle="Normal 2 2 2"/>
    <tableColumn id="59" xr3:uid="{C5BC2F58-74EB-4CC8-8DFB-95422E108547}" name="2072-73" dataDxfId="3657" totalsRowDxfId="3656" dataCellStyle="Normal 2 2 2"/>
    <tableColumn id="60" xr3:uid="{BB041145-A283-4C28-AF29-4C64F4CE04F4}" name="2073-74" dataDxfId="3655" totalsRowDxfId="3654" dataCellStyle="Normal 2 2 2"/>
    <tableColumn id="61" xr3:uid="{8C08A514-DC35-441A-B03A-2AABB1A57A64}" name="2074-75" dataDxfId="3653" totalsRowDxfId="3652" dataCellStyle="Normal 2 2 2"/>
    <tableColumn id="62" xr3:uid="{F0440CE2-69DB-4A09-B5E9-611283EEB325}" name="2075-76" dataDxfId="3651" totalsRowDxfId="3650" dataCellStyle="Normal 2 2 2"/>
    <tableColumn id="63" xr3:uid="{A3E4B169-14F8-42A8-A2DE-FF00880288BD}" name="2076-77" dataDxfId="3649" totalsRowDxfId="3648" dataCellStyle="Normal 2 2 2"/>
    <tableColumn id="64" xr3:uid="{BBEB7FB6-691C-4EE4-8C0E-4DCB9C13E713}" name="2077-78" dataDxfId="3647" totalsRowDxfId="3646" dataCellStyle="Normal 2 2 2"/>
    <tableColumn id="65" xr3:uid="{CA678DEB-02A7-4D9B-83E0-0B653E16B7A5}" name="2078-79" dataDxfId="3645" totalsRowDxfId="3644" dataCellStyle="Normal 2 2 2"/>
    <tableColumn id="66" xr3:uid="{D6ADBA6C-19E9-4C01-9D56-779172ACE9AA}" name="2079-80" dataDxfId="3643" totalsRowDxfId="3642" dataCellStyle="Normal 2 2 2"/>
    <tableColumn id="67" xr3:uid="{5B69CBCF-1A28-4C8D-B0D5-CD5B9F2F6E2B}" name="2080-81" dataDxfId="3641" totalsRowDxfId="3640" dataCellStyle="Normal 2 2 2"/>
    <tableColumn id="68" xr3:uid="{7B71E1E0-DADF-4070-9444-7CA856CAAB1A}" name="2081-82" dataDxfId="3639" totalsRowDxfId="3638" dataCellStyle="Normal 2 2 2"/>
    <tableColumn id="69" xr3:uid="{71D72518-D3D6-436A-8E39-FA2A1D04A8D5}" name="2082-83" dataDxfId="3637" totalsRowDxfId="3636" dataCellStyle="Normal 2 2 2"/>
    <tableColumn id="70" xr3:uid="{E5FA07BD-6EC9-4252-B8D6-8E111F24F482}" name="2083-84" dataDxfId="3635" totalsRowDxfId="3634" dataCellStyle="Normal 2 2 2"/>
    <tableColumn id="71" xr3:uid="{D3B775AC-010F-4A14-B199-1E6FB95929F5}" name="2084-85" dataDxfId="3633" totalsRowDxfId="3632" dataCellStyle="Normal 2 2 2"/>
    <tableColumn id="72" xr3:uid="{CF827AE1-A616-4C38-A5A8-AFC0A895F309}" name="2085-86" dataDxfId="3631" totalsRowDxfId="3630" dataCellStyle="Normal 2 2 2"/>
    <tableColumn id="73" xr3:uid="{CA481C3C-C240-4237-8BB9-ABDCBA160C5D}" name="2086-87" dataDxfId="3629" totalsRowDxfId="3628" dataCellStyle="Normal 2 2 2"/>
    <tableColumn id="74" xr3:uid="{AE42513D-379F-4DEF-8E38-A76B25F28387}" name="2087-88" dataDxfId="3627" totalsRowDxfId="3626" dataCellStyle="Normal 2 2 2"/>
    <tableColumn id="75" xr3:uid="{1FC183FB-8127-4692-8664-1DD9C2CF96AF}" name="2088-89" dataDxfId="3625" totalsRowDxfId="3624" dataCellStyle="Normal 2 2 2"/>
    <tableColumn id="76" xr3:uid="{2CF3F569-B4EE-46BA-9048-2FD852266CC5}" name="2089-90" dataDxfId="3623" totalsRowDxfId="3622" dataCellStyle="Normal 2 2 2"/>
    <tableColumn id="77" xr3:uid="{5CAB825E-0574-4347-ADBF-05FA9974EDEF}" name="2090-91" dataDxfId="3621" totalsRowDxfId="3620" dataCellStyle="Normal 2 2 2"/>
    <tableColumn id="78" xr3:uid="{0DC011D5-79DB-4515-A654-DD45B99EDB9B}" name="2091-92" dataDxfId="3619" totalsRowDxfId="3618" dataCellStyle="Normal 2 2 2"/>
    <tableColumn id="79" xr3:uid="{002A9821-BD3D-431A-8EE0-68C9E2B0C252}" name="2092-93" dataDxfId="3617" totalsRowDxfId="3616" dataCellStyle="Normal 2 2 2"/>
    <tableColumn id="80" xr3:uid="{E0A266DF-83E2-4145-AC59-D4C3894F65F0}" name="2093-94" dataDxfId="3615" totalsRowDxfId="3614" dataCellStyle="Normal 2 2 2"/>
    <tableColumn id="81" xr3:uid="{A906B9AE-C9D7-4857-BEF6-DD3D104668E9}" name="2094-95" dataDxfId="3613" totalsRowDxfId="3612" dataCellStyle="Normal 2 2 2"/>
    <tableColumn id="82" xr3:uid="{254F6DA0-08A5-4DA9-A4D0-4BEFC6430CD7}" name="2095-96" dataDxfId="3611" totalsRowDxfId="3610" dataCellStyle="Normal 2 2 2"/>
    <tableColumn id="83" xr3:uid="{7E0A4D3A-4E0A-49C6-AF94-1E5CFD7C4A60}" name="2096-97" dataDxfId="3609" totalsRowDxfId="3608" dataCellStyle="Normal 2 2 2"/>
    <tableColumn id="84" xr3:uid="{689A4E4E-B098-427B-AFFA-D1D5A5D5C4B9}" name="2097-98" dataDxfId="3607" totalsRowDxfId="3606" dataCellStyle="Normal 2 2 2"/>
    <tableColumn id="85" xr3:uid="{F33FA825-C7E1-490D-8014-EC794176DBA5}" name="2098-99" dataDxfId="3605" totalsRowDxfId="3604" dataCellStyle="Normal 2 2 2"/>
    <tableColumn id="86" xr3:uid="{74B2957C-7EC8-49EB-AA26-8BE78B3E74A3}" name="2099-100" dataDxfId="3603" totalsRowDxfId="3602" dataCellStyle="Normal 2 2 2"/>
    <tableColumn id="87" xr3:uid="{E26550EF-BFA8-45CD-9660-F80B6C5EA1C8}" name="2099-101" dataDxfId="3601" totalsRowDxfId="3600" dataCellStyle="Normal 2 2 2"/>
  </tableColumns>
  <tableStyleInfo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7B2748EB-C5F1-4525-A244-D754420AE966}" name="TBL3f_DYCPFP_15_ESWBLY" displayName="TBL3f_DYCPFP_15_ESWBLY" ref="B302:CI362" totalsRowShown="0" headerRowDxfId="3599" dataDxfId="3598" tableBorderDxfId="3597" headerRowCellStyle="Normal 2 2 2" dataCellStyle="Normal 2 2 2">
  <autoFilter ref="B302:CI362" xr:uid="{32E764BE-BE3E-4B03-A38E-34B0BA9403F0}"/>
  <tableColumns count="86">
    <tableColumn id="1" xr3:uid="{F645FA1D-9D05-4845-ABE8-E9272ED3D0D4}" name="WRMP24 reference" dataDxfId="3596" dataCellStyle="Normal 2 2 2"/>
    <tableColumn id="2" xr3:uid="{66D76E19-8429-46F5-9554-9D5917E68F68}" name="Component" dataDxfId="3595" dataCellStyle="Normal 2 2 2"/>
    <tableColumn id="3" xr3:uid="{9CB34D59-4C25-403D-98CE-262853FB2146}" name="Derivation" dataDxfId="3594" dataCellStyle="Normal 2 2 2"/>
    <tableColumn id="4" xr3:uid="{2677271D-C299-4998-A146-BFBFD2824283}" name="Unit" dataDxfId="3593" dataCellStyle="Normal 2 2 2"/>
    <tableColumn id="5" xr3:uid="{B8660EAB-E8DE-490D-B7D1-CC2B4BA6EC55}" name="Decimal places" dataDxfId="3592" dataCellStyle="Normal 2 2 2"/>
    <tableColumn id="6" xr3:uid="{261D3D05-AFCE-4388-974F-C04378BA4F8C}" name="2019-20" dataDxfId="3591" dataCellStyle="Normal 2 2 2"/>
    <tableColumn id="7" xr3:uid="{03D9F719-7BD3-4342-8FB4-DD487BEBE201}" name="2020-21" dataDxfId="3590" dataCellStyle="Normal 2 2 2"/>
    <tableColumn id="8" xr3:uid="{A8DB7B4D-D198-41E9-A27C-35BF6566B066}" name="2021-22" dataDxfId="3589" dataCellStyle="Normal 2 2 2"/>
    <tableColumn id="9" xr3:uid="{08AEA571-9A6E-4C7C-AD14-F6166FD19EBB}" name="2022-23" dataDxfId="3588" dataCellStyle="Normal 2 2 2"/>
    <tableColumn id="10" xr3:uid="{FC1346B7-4CFA-49BE-9940-DA749F2EB40A}" name="2023-24" dataDxfId="3587" dataCellStyle="Normal 2 2 2"/>
    <tableColumn id="11" xr3:uid="{09034735-BC8B-4ADE-A1F2-7D51AE71ABC2}" name="2024-25" dataDxfId="3586" dataCellStyle="Normal 2 2 2"/>
    <tableColumn id="12" xr3:uid="{C8571F2D-AC9F-49B6-AEEA-912B88975EED}" name="2025-26" dataDxfId="3585" dataCellStyle="Normal 2 2 2"/>
    <tableColumn id="13" xr3:uid="{0E848A41-5CE6-4033-B7A0-BD540362DFCD}" name="2026-27" dataDxfId="3584" dataCellStyle="Normal 2 2 2"/>
    <tableColumn id="14" xr3:uid="{D280EBF2-2380-4F47-9669-BDDD442240C1}" name="2027-28" dataDxfId="3583" dataCellStyle="Normal 2 2 2"/>
    <tableColumn id="15" xr3:uid="{4387CC2E-8D2D-4908-A5C3-54B85802E837}" name="2028-29" dataDxfId="3582" dataCellStyle="Normal 2 2 2"/>
    <tableColumn id="16" xr3:uid="{00561100-FAEB-47E7-8474-07F18678C631}" name="2029-30" dataDxfId="3581" dataCellStyle="Normal 2 2 2"/>
    <tableColumn id="17" xr3:uid="{DFD67C09-DE60-4FF5-8E22-493B304BED99}" name="2030-31" dataDxfId="3580" dataCellStyle="Normal 2 2 2"/>
    <tableColumn id="18" xr3:uid="{3C8FD54A-851A-48EF-B0BF-6325EAD3F63A}" name="2031-32" dataDxfId="3579" dataCellStyle="Normal 2 2 2"/>
    <tableColumn id="19" xr3:uid="{0417334B-D092-4CB1-96B3-CC6E3193580C}" name="2032-33" dataDxfId="3578" dataCellStyle="Normal 2 2 2"/>
    <tableColumn id="20" xr3:uid="{EB2B72B8-CE45-4A91-8BC1-C8E67F4424C3}" name="2033-34" dataDxfId="3577" dataCellStyle="Normal 2 2 2"/>
    <tableColumn id="21" xr3:uid="{1079EDF7-EC76-4BCE-9EC2-FC5A54085EF5}" name="2034-35" dataDxfId="3576" dataCellStyle="Normal 2 2 2"/>
    <tableColumn id="22" xr3:uid="{063829ED-73D4-419C-8685-2D402F7EC6AD}" name="2035-36" dataDxfId="3575" dataCellStyle="Normal 2 2 2"/>
    <tableColumn id="23" xr3:uid="{E792AA2A-04B5-4794-BA0F-40A37C9F77F7}" name="2036-37" dataDxfId="3574" dataCellStyle="Normal 2 2 2"/>
    <tableColumn id="24" xr3:uid="{23CA4E19-EBDD-419C-A9F4-76ACD0E23D1B}" name="2037-38" dataDxfId="3573" dataCellStyle="Normal 2 2 2"/>
    <tableColumn id="25" xr3:uid="{599F6B70-5A51-4B04-B5A7-74F97AC89740}" name="2038-39" dataDxfId="3572" dataCellStyle="Normal 2 2 2"/>
    <tableColumn id="26" xr3:uid="{C08CF4FF-304A-466E-93C3-34B415F8E420}" name="2039-40" dataDxfId="3571" dataCellStyle="Normal 2 2 2"/>
    <tableColumn id="27" xr3:uid="{4A599170-A18E-412F-90C9-22384E120298}" name="2040-41" dataDxfId="3570" dataCellStyle="Normal 2 2 2"/>
    <tableColumn id="28" xr3:uid="{D00784E6-1994-4267-AC52-9BDA1AF0D9DC}" name="2041-42" dataDxfId="3569" dataCellStyle="Normal 2 2 2"/>
    <tableColumn id="29" xr3:uid="{6C5FE8CA-D934-4920-AFC8-57A3401A3B39}" name="2042-43" dataDxfId="3568" dataCellStyle="Normal 2 2 2"/>
    <tableColumn id="30" xr3:uid="{DB814B3A-1726-45DF-9054-03046EADA14D}" name="2043-44" dataDxfId="3567" dataCellStyle="Normal 2 2 2"/>
    <tableColumn id="31" xr3:uid="{398943F7-11FD-4B87-8F96-C4BA5CDC9456}" name="2044-45" dataDxfId="3566" dataCellStyle="Normal 2 2 2"/>
    <tableColumn id="32" xr3:uid="{F7622A1B-517B-4A6C-92A6-577E266130E7}" name="2045-46" dataDxfId="3565" dataCellStyle="Normal 2 2 2"/>
    <tableColumn id="33" xr3:uid="{7F045C4A-B966-4B89-83D0-0DC36771C155}" name="2046-47" dataDxfId="3564" dataCellStyle="Normal 2 2 2"/>
    <tableColumn id="34" xr3:uid="{5F441139-8C24-4069-B01C-B7000893FDEA}" name="2047-48" dataDxfId="3563" dataCellStyle="Normal 2 2 2"/>
    <tableColumn id="35" xr3:uid="{C94352C0-18EB-4FEB-BDBD-095ECE4FC470}" name="2048-49" dataDxfId="3562" dataCellStyle="Normal 2 2 2"/>
    <tableColumn id="36" xr3:uid="{A4AF1F53-04CB-42E5-8C70-DB703EE23148}" name="2049-50" dataDxfId="3561" dataCellStyle="Normal 2 2 2"/>
    <tableColumn id="37" xr3:uid="{7DF54089-DCB0-4BEC-A98E-A92E2576A3A4}" name="2050-51" dataDxfId="3560" dataCellStyle="Normal 2 2 2"/>
    <tableColumn id="38" xr3:uid="{47CB0392-C781-4C10-B89D-A375DED731E7}" name="2051-52" dataDxfId="3559" dataCellStyle="Normal 2 2 2"/>
    <tableColumn id="39" xr3:uid="{ECFF8A4F-00FF-4D10-B989-0D37863B5619}" name="2052-53" dataDxfId="3558" dataCellStyle="Normal 2 2 2"/>
    <tableColumn id="40" xr3:uid="{DC648C33-3B1F-404F-AB46-C5AEE4CE1F21}" name="2053-54" dataDxfId="3557" dataCellStyle="Normal 2 2 2"/>
    <tableColumn id="41" xr3:uid="{D5EAE8CC-1534-48EA-8A5B-F3CB1D1264D0}" name="2054-55" dataDxfId="3556" dataCellStyle="Normal 2 2 2"/>
    <tableColumn id="42" xr3:uid="{6ADEF34C-41EC-43CB-A354-F5025E06F3C9}" name="2055-56" dataDxfId="3555" dataCellStyle="Normal 2 2 2"/>
    <tableColumn id="43" xr3:uid="{C2CF9FD6-6B48-4C3F-8FD7-2AE33EAE7F21}" name="2056-57" dataDxfId="3554" dataCellStyle="Normal 2 2 2"/>
    <tableColumn id="44" xr3:uid="{921F46A6-B4E5-4C5F-82F5-87B7C81AE16F}" name="2057-58" dataDxfId="3553" dataCellStyle="Normal 2 2 2"/>
    <tableColumn id="45" xr3:uid="{E17ACF72-E6CA-4074-99C1-54D7DD5EEBBA}" name="2058-59" dataDxfId="3552" dataCellStyle="Normal 2 2 2"/>
    <tableColumn id="46" xr3:uid="{6FA1BA79-3E2C-412A-8DC0-B70529FFA172}" name="2059-60" dataDxfId="3551" dataCellStyle="Normal 2 2 2"/>
    <tableColumn id="47" xr3:uid="{F2A28236-EA5C-41F5-9C40-77EEC2BFAA46}" name="2060-61" dataDxfId="3550" dataCellStyle="Normal 2 2 2"/>
    <tableColumn id="48" xr3:uid="{A3AD3B8A-A5D4-49D3-AE60-2C005A7ABE7F}" name="2061-62" dataDxfId="3549" dataCellStyle="Normal 2 2 2"/>
    <tableColumn id="49" xr3:uid="{2B68578F-C0E6-456F-B2DA-3FA6B4BA9FFB}" name="2062-63" dataDxfId="3548" dataCellStyle="Normal 2 2 2"/>
    <tableColumn id="50" xr3:uid="{FE5108BE-C4FA-4542-A419-93204B1ADB41}" name="2063-64" dataDxfId="3547" dataCellStyle="Normal 2 2 2"/>
    <tableColumn id="51" xr3:uid="{A8F61496-E2E6-4EFC-AB41-F8A3FEA2C36B}" name="2064-65" dataDxfId="3546" dataCellStyle="Normal 2 2 2"/>
    <tableColumn id="52" xr3:uid="{52819D3F-DF70-4DC5-B2A0-EE30AF312F1C}" name="2065-66" dataDxfId="3545" dataCellStyle="Normal 2 2 2"/>
    <tableColumn id="53" xr3:uid="{72DE5E20-FAD7-4F77-A8B5-653A9E99BB11}" name="2066-67" dataDxfId="3544" dataCellStyle="Normal 2 2 2"/>
    <tableColumn id="54" xr3:uid="{305E727A-7638-46DB-8D7F-BE4531EB2DA9}" name="2067-68" dataDxfId="3543" dataCellStyle="Normal 2 2 2"/>
    <tableColumn id="55" xr3:uid="{DC7139F9-87A0-457B-A632-411BA8738996}" name="2068-69" dataDxfId="3542" dataCellStyle="Normal 2 2 2"/>
    <tableColumn id="56" xr3:uid="{6AE4EB35-6C41-4F64-8E33-9596B41D1E8A}" name="2069-70" dataDxfId="3541" dataCellStyle="Normal 2 2 2"/>
    <tableColumn id="57" xr3:uid="{84D70B04-0903-4139-B3B6-B79246DB1848}" name="2070-71" dataDxfId="3540" dataCellStyle="Normal 2 2 2"/>
    <tableColumn id="58" xr3:uid="{1A45E83B-F1D4-46CC-A7E6-4680257190F4}" name="2071-72" dataDxfId="3539" dataCellStyle="Normal 2 2 2"/>
    <tableColumn id="59" xr3:uid="{6905F654-9047-4E93-A7EE-5FC8B9DD4A04}" name="2072-73" dataDxfId="3538" dataCellStyle="Normal 2 2 2"/>
    <tableColumn id="60" xr3:uid="{F67A10A2-22A1-432C-A7F3-7F644BD4F068}" name="2073-74" dataDxfId="3537" dataCellStyle="Normal 2 2 2"/>
    <tableColumn id="61" xr3:uid="{827DA39C-A3E8-401F-9B21-786AB34CFFC9}" name="2074-75" dataDxfId="3536" dataCellStyle="Normal 2 2 2"/>
    <tableColumn id="62" xr3:uid="{4294B497-A314-4FD3-A8A2-07D930FD9A02}" name="2075-76" dataDxfId="3535" dataCellStyle="Normal 2 2 2"/>
    <tableColumn id="63" xr3:uid="{04632A21-2A61-4CA3-AF0D-C932559EB0AF}" name="2076-77" dataDxfId="3534" dataCellStyle="Normal 2 2 2"/>
    <tableColumn id="64" xr3:uid="{A08A85B2-4C12-436D-A92B-DCB78DE8B2F7}" name="2077-78" dataDxfId="3533" dataCellStyle="Normal 2 2 2"/>
    <tableColumn id="65" xr3:uid="{A5D6488F-D7E2-4248-900D-D213DADCEFEF}" name="2078-79" dataDxfId="3532" dataCellStyle="Normal 2 2 2"/>
    <tableColumn id="66" xr3:uid="{38E3D4E1-3435-42F0-B6B5-581B617C5215}" name="2079-80" dataDxfId="3531" dataCellStyle="Normal 2 2 2"/>
    <tableColumn id="67" xr3:uid="{552A50F9-928E-42D7-8C6F-F55F83F6295C}" name="2080-81" dataDxfId="3530" dataCellStyle="Normal 2 2 2"/>
    <tableColumn id="68" xr3:uid="{BA2BD067-CAE7-4D99-830B-C6031CBC8AEC}" name="2081-82" dataDxfId="3529" dataCellStyle="Normal 2 2 2"/>
    <tableColumn id="69" xr3:uid="{4DDA3094-66D6-4A77-BCF7-18C245797639}" name="2082-83" dataDxfId="3528" dataCellStyle="Normal 2 2 2"/>
    <tableColumn id="70" xr3:uid="{7847E9BF-3F7C-437C-A293-7196A938FBC6}" name="2083-84" dataDxfId="3527" dataCellStyle="Normal 2 2 2"/>
    <tableColumn id="71" xr3:uid="{59B5D518-504A-417A-B0FE-61E5C6EF5119}" name="2084-85" dataDxfId="3526" dataCellStyle="Normal 2 2 2"/>
    <tableColumn id="72" xr3:uid="{54A1FDC3-083E-4C0D-BCC8-4EBE7046FE4B}" name="2085-86" dataDxfId="3525" dataCellStyle="Normal 2 2 2"/>
    <tableColumn id="73" xr3:uid="{4161FD87-F481-49AA-8653-0489B8922D9B}" name="2086-87" dataDxfId="3524" dataCellStyle="Normal 2 2 2"/>
    <tableColumn id="74" xr3:uid="{20057AF3-3B01-4EC1-9D5A-7CB18D8D9D1F}" name="2087-88" dataDxfId="3523" dataCellStyle="Normal 2 2 2"/>
    <tableColumn id="75" xr3:uid="{9EA231C0-9137-49D5-BA0C-F53567AEFD8F}" name="2088-89" dataDxfId="3522" dataCellStyle="Normal 2 2 2"/>
    <tableColumn id="76" xr3:uid="{66A9A18B-18BE-4BB8-83CB-A9774475119A}" name="2089-90" dataDxfId="3521" dataCellStyle="Normal 2 2 2"/>
    <tableColumn id="77" xr3:uid="{5A79C2EF-85BE-46FF-9829-6714EE725498}" name="2090-91" dataDxfId="3520" dataCellStyle="Normal 2 2 2"/>
    <tableColumn id="78" xr3:uid="{8299497D-6772-4E36-8C4D-8CD8C6B8F371}" name="2091-92" dataDxfId="3519" dataCellStyle="Normal 2 2 2"/>
    <tableColumn id="79" xr3:uid="{798571F7-A725-428D-9E17-21239AA8BC42}" name="2092-93" dataDxfId="3518" dataCellStyle="Normal 2 2 2"/>
    <tableColumn id="80" xr3:uid="{BB6C7951-D894-4AFA-BFBF-047EF40CF42C}" name="2093-94" dataDxfId="3517" dataCellStyle="Normal 2 2 2"/>
    <tableColumn id="81" xr3:uid="{FF37B46F-DB6B-44D4-A2CC-C66644CA7D5A}" name="2094-95" dataDxfId="3516" dataCellStyle="Normal 2 2 2"/>
    <tableColumn id="82" xr3:uid="{B56A9DDF-B95A-4254-A749-78ADA8D08449}" name="2095-96" dataDxfId="3515" dataCellStyle="Normal 2 2 2"/>
    <tableColumn id="83" xr3:uid="{6A9528AC-C081-4A30-A48D-A7221E39FEA0}" name="2096-97" dataDxfId="3514" dataCellStyle="Normal 2 2 2"/>
    <tableColumn id="84" xr3:uid="{388DBCBE-F0FD-4B81-ADE1-5911663CC503}" name="2097-98" dataDxfId="3513" dataCellStyle="Normal 2 2 2"/>
    <tableColumn id="85" xr3:uid="{4B332250-FA7E-4DE0-861E-7551339C9C04}" name="2098-99" dataDxfId="3512" dataCellStyle="Normal 2 2 2"/>
    <tableColumn id="86" xr3:uid="{39C2B356-958B-474B-ABAB-5A963C632A56}" name="2099-100" dataDxfId="3511" dataCellStyle="Normal 2 2 2"/>
  </tableColumns>
  <tableStyleInfo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DF2B7DEB-358C-4830-AB8C-94D9EF136317}" name="TBL3a_DYAABL_10_ESWESX" displayName="TBL3a_DYAABL_10_ESWESX" ref="B23:CI91" totalsRowShown="0" headerRowDxfId="3408" dataDxfId="3407" tableBorderDxfId="3406" headerRowCellStyle="Normal 2 2 2">
  <autoFilter ref="B23:CI91" xr:uid="{D893CB9E-6419-4938-B8EA-592538CC25DE}"/>
  <tableColumns count="86">
    <tableColumn id="1" xr3:uid="{4D8608AB-171E-4457-903A-21E78E0B55D4}" name="WRMP24 reference" dataDxfId="3405" dataCellStyle="Normal 2 2 2"/>
    <tableColumn id="2" xr3:uid="{7E425CB8-1647-4560-9937-D035BF48B5A0}" name="Component" dataDxfId="3404" dataCellStyle="Normal 2 2 2"/>
    <tableColumn id="3" xr3:uid="{07D41C8A-EECC-404E-A8E2-BBC7B86B4363}" name="Derivation" dataDxfId="3403" dataCellStyle="Normal 2 2 2"/>
    <tableColumn id="4" xr3:uid="{2DBC416D-0430-4BD4-93D3-0F55514BA607}" name="Unit" dataDxfId="3402" dataCellStyle="Normal 2 2 2"/>
    <tableColumn id="5" xr3:uid="{1830275B-2B69-4F78-A64F-690F56C59EFC}" name="Decimal places" dataDxfId="3401" dataCellStyle="Normal 2 2 2"/>
    <tableColumn id="6" xr3:uid="{28B1D0AC-5947-49AD-AA76-D2ABD58AF2A5}" name="2019-20" dataDxfId="3400"/>
    <tableColumn id="7" xr3:uid="{34C6CA50-2142-4560-B075-A659F1419BF9}" name="2020-21" dataDxfId="3399"/>
    <tableColumn id="8" xr3:uid="{E36FF2A3-48AE-4387-B086-21E7B2AC9E6A}" name="2021-22" dataDxfId="3398"/>
    <tableColumn id="9" xr3:uid="{04928E32-5AC6-43A2-89CB-AE25B6D5CF2D}" name="2022-23" dataDxfId="3397"/>
    <tableColumn id="10" xr3:uid="{55AAABD9-8B20-4401-BD38-2C09685002B8}" name="2023-24" dataDxfId="3396"/>
    <tableColumn id="11" xr3:uid="{9801B039-477C-40EF-9768-FC4E686054F3}" name="2024-25" dataDxfId="3395"/>
    <tableColumn id="12" xr3:uid="{BABFAB32-0FE9-45AA-B7D9-8FB79C80E1BC}" name="2025-26" dataDxfId="3394"/>
    <tableColumn id="13" xr3:uid="{6BD49765-065C-489A-BF8B-CA8A36EDF61D}" name="2026-27" dataDxfId="3393"/>
    <tableColumn id="14" xr3:uid="{5B7748FA-9A52-408B-927A-1F96EA5555F8}" name="2027-28" dataDxfId="3392"/>
    <tableColumn id="15" xr3:uid="{EB9E8DC8-0B1F-4EA9-A889-544C412D9E22}" name="2028-29" dataDxfId="3391"/>
    <tableColumn id="16" xr3:uid="{5E4DA7E1-FFD5-4C0D-817C-2BAEFC720D9E}" name="2029-30" dataDxfId="3390"/>
    <tableColumn id="17" xr3:uid="{5D5143CB-75EE-4EBA-94A1-58AC1FECF8ED}" name="2030-31" dataDxfId="3389"/>
    <tableColumn id="18" xr3:uid="{34FC11ED-A62B-49C4-840D-4122846733F9}" name="2031-32" dataDxfId="3388"/>
    <tableColumn id="19" xr3:uid="{344690A6-2148-4A0F-B05E-C1DA6DA8EA79}" name="2032-33" dataDxfId="3387"/>
    <tableColumn id="20" xr3:uid="{E7603C49-C785-44BE-AC98-9120F4B4ED2F}" name="2033-34" dataDxfId="3386"/>
    <tableColumn id="21" xr3:uid="{B3CA75D6-2F07-49C3-9B87-F5C453198BF2}" name="2034-35" dataDxfId="3385"/>
    <tableColumn id="22" xr3:uid="{713C4A97-13A4-4B6B-ACB2-0664864A4C25}" name="2035-36" dataDxfId="3384"/>
    <tableColumn id="23" xr3:uid="{52AF9A64-EF19-48B7-BB97-2839532D4487}" name="2036-37" dataDxfId="3383"/>
    <tableColumn id="24" xr3:uid="{66B8B833-570B-495D-A26E-10351E8BC15C}" name="2037-38" dataDxfId="3382"/>
    <tableColumn id="25" xr3:uid="{D301B193-F4EE-46DF-8CA5-13D058D77858}" name="2038-39" dataDxfId="3381"/>
    <tableColumn id="26" xr3:uid="{FD5EF94C-1339-4219-B6E4-CBBE9090D930}" name="2039-40" dataDxfId="3380"/>
    <tableColumn id="27" xr3:uid="{1ED373DA-433C-434F-9673-0F2FF4A95C54}" name="2040-41" dataDxfId="3379"/>
    <tableColumn id="28" xr3:uid="{5AC51757-AE3E-419F-BCA2-B4F75668868D}" name="2041-42" dataDxfId="3378"/>
    <tableColumn id="29" xr3:uid="{A483F36D-BA76-4119-8082-712C07F1DD23}" name="2042-43" dataDxfId="3377"/>
    <tableColumn id="30" xr3:uid="{DE38CA29-ACC4-47BD-8806-E17F91113897}" name="2043-44" dataDxfId="3376"/>
    <tableColumn id="31" xr3:uid="{38665F60-EADB-4EE3-A2E6-2E57D73742B7}" name="2044-45" dataDxfId="3375"/>
    <tableColumn id="32" xr3:uid="{888FDDEC-5435-4624-BC53-7916068E1838}" name="2045-46" dataDxfId="3374"/>
    <tableColumn id="33" xr3:uid="{8AA35C79-2A94-4389-AAAC-C86B1406D35C}" name="2046-47" dataDxfId="3373"/>
    <tableColumn id="34" xr3:uid="{432169EB-2CD6-4EBA-A4D4-715B46ACF16B}" name="2047-48" dataDxfId="3372"/>
    <tableColumn id="35" xr3:uid="{F3A7BE8B-9E01-492B-A29C-6EFEC16F3C11}" name="2048-49" dataDxfId="3371"/>
    <tableColumn id="36" xr3:uid="{DAD40CEA-9173-469C-9F34-6CAE98F47A76}" name="2049-50" dataDxfId="3370"/>
    <tableColumn id="37" xr3:uid="{DDB6B04D-0230-457A-9FD9-1295E49B2DB0}" name="2050-51" dataDxfId="3369"/>
    <tableColumn id="38" xr3:uid="{CE764B40-E857-4EEA-BE01-95D2F2443AF5}" name="2051-52" dataDxfId="3368"/>
    <tableColumn id="39" xr3:uid="{D5302E65-2ABD-42B5-8D9D-4D16F5FF3DD7}" name="2052-53" dataDxfId="3367"/>
    <tableColumn id="40" xr3:uid="{1B3C1F53-D461-4BE2-9E86-61738590DB2D}" name="2053-54" dataDxfId="3366"/>
    <tableColumn id="41" xr3:uid="{E19CD52A-A59E-40A3-98C3-06E8218AB8EF}" name="2054-55" dataDxfId="3365"/>
    <tableColumn id="42" xr3:uid="{BB6DA27E-6E59-496C-9994-37D06893F68C}" name="2055-56" dataDxfId="3364"/>
    <tableColumn id="43" xr3:uid="{BD70B431-4F84-49BF-BBDB-CDE0EE95726E}" name="2056-57" dataDxfId="3363"/>
    <tableColumn id="44" xr3:uid="{829D50B7-CF95-4635-9EE7-B04637BE15B0}" name="2057-58" dataDxfId="3362"/>
    <tableColumn id="45" xr3:uid="{73A58891-DD01-44F9-909F-69379FE8594A}" name="2058-59" dataDxfId="3361"/>
    <tableColumn id="46" xr3:uid="{8170F530-1836-48C5-9F97-8395CDB58C70}" name="2059-60" dataDxfId="3360"/>
    <tableColumn id="47" xr3:uid="{3323D8A7-6ADB-4163-AF4A-8C47F180CE58}" name="2060-61" dataDxfId="3359"/>
    <tableColumn id="48" xr3:uid="{1FD3313A-D093-4FFF-8AD3-A66D2B19852B}" name="2061-62" dataDxfId="3358"/>
    <tableColumn id="49" xr3:uid="{8AD0F42C-743F-49A9-A9D2-D7E04DDE6AAF}" name="2062-63" dataDxfId="3357"/>
    <tableColumn id="50" xr3:uid="{2A6DDE76-3972-49C2-93CF-4A40AE0C8631}" name="2063-64" dataDxfId="3356"/>
    <tableColumn id="51" xr3:uid="{0288C651-605A-4D42-9E0B-1C566C09A378}" name="2064-65" dataDxfId="3355"/>
    <tableColumn id="52" xr3:uid="{F8166961-7E45-4D35-9FF8-5D0F23C5533E}" name="2065-66" dataDxfId="3354"/>
    <tableColumn id="53" xr3:uid="{408E43A7-5CD4-4C5C-BD0A-550F6DB7A979}" name="2066-67" dataDxfId="3353"/>
    <tableColumn id="54" xr3:uid="{84440D27-041D-44F8-ADF8-43DCD63C9F3F}" name="2067-68" dataDxfId="3352"/>
    <tableColumn id="55" xr3:uid="{81D223EF-0663-4C07-91B0-43BCA8AE7068}" name="2068-69" dataDxfId="3351"/>
    <tableColumn id="56" xr3:uid="{A9204BCB-8BCC-47B9-B578-A3176C09B03B}" name="2069-70" dataDxfId="3350"/>
    <tableColumn id="57" xr3:uid="{8F4FBAEA-C99B-48FF-9608-CD423FF5CE8B}" name="2070-71" dataDxfId="3349"/>
    <tableColumn id="58" xr3:uid="{250682E6-C815-4409-A864-97A187732668}" name="2071-72" dataDxfId="3348"/>
    <tableColumn id="59" xr3:uid="{824F7C22-05A0-42F8-BB3F-ADA8A4FEB903}" name="2072-73" dataDxfId="3347"/>
    <tableColumn id="60" xr3:uid="{13214D09-48A6-4EA7-9F15-4492C6EDDABF}" name="2073-74" dataDxfId="3346"/>
    <tableColumn id="61" xr3:uid="{2538BA4F-CDAF-4C12-8A79-E9AEDC5D4FFC}" name="2074-75" dataDxfId="3345"/>
    <tableColumn id="62" xr3:uid="{23A6E73E-288A-41E4-9561-034D41C6503E}" name="2075-76" dataDxfId="3344"/>
    <tableColumn id="63" xr3:uid="{302DF688-E675-45E4-B84E-5AC93A5959F4}" name="2076-77" dataDxfId="3343"/>
    <tableColumn id="64" xr3:uid="{17BFB687-6FDB-4C8F-A60C-54A373CEA8E5}" name="2077-78" dataDxfId="3342"/>
    <tableColumn id="65" xr3:uid="{B0AA2361-E8B3-43AC-8D8C-15C3E18A3BA1}" name="2078-79" dataDxfId="3341"/>
    <tableColumn id="66" xr3:uid="{11E9B6D9-2302-4B1E-926A-6A5B6E0CCD09}" name="2079-80" dataDxfId="3340"/>
    <tableColumn id="67" xr3:uid="{DFBCF760-FD01-41F4-9E69-A585743D58A8}" name="2080-81" dataDxfId="3339"/>
    <tableColumn id="68" xr3:uid="{FA9FC73C-C553-4098-89D9-7026B1CCFA92}" name="2081-82" dataDxfId="3338"/>
    <tableColumn id="69" xr3:uid="{13EB8F5C-AB70-421D-BB59-D1D0F916A530}" name="2082-83" dataDxfId="3337"/>
    <tableColumn id="70" xr3:uid="{E531FDAC-5770-4A9B-BB54-D528C284FB5A}" name="2083-84" dataDxfId="3336"/>
    <tableColumn id="71" xr3:uid="{B1B6C0FB-931D-4CFF-BF3F-C8C6BF513F4C}" name="2084-85" dataDxfId="3335"/>
    <tableColumn id="72" xr3:uid="{2EC3E5B3-1B50-40A3-8CB7-B58757B277DC}" name="2085-86" dataDxfId="3334"/>
    <tableColumn id="73" xr3:uid="{C047E64D-53EF-4AAA-9017-D7867603B4D3}" name="2086-87" dataDxfId="3333"/>
    <tableColumn id="74" xr3:uid="{6860F991-709E-47CF-9AE0-5A156B6A1A5B}" name="2087-88" dataDxfId="3332"/>
    <tableColumn id="75" xr3:uid="{6EEAE46F-0DC3-49B3-9572-5EA2EADD7857}" name="2088-89" dataDxfId="3331"/>
    <tableColumn id="76" xr3:uid="{61D4A624-8C1D-423A-BFF3-D76D36F3DCBF}" name="2089-90" dataDxfId="3330"/>
    <tableColumn id="77" xr3:uid="{358EABB1-2767-4241-B507-02E1312DBD8D}" name="2090-91" dataDxfId="3329"/>
    <tableColumn id="78" xr3:uid="{0FC5117A-5A4C-47D3-9C27-995A984C4664}" name="2091-92" dataDxfId="3328"/>
    <tableColumn id="79" xr3:uid="{6DC8B063-2D6C-4CFB-9C83-A760B559922D}" name="2092-93" dataDxfId="3327"/>
    <tableColumn id="80" xr3:uid="{8CF606A0-3A50-40D6-AD8E-09C4A9F11216}" name="2093-94" dataDxfId="3326"/>
    <tableColumn id="81" xr3:uid="{5948E4A7-5BE5-466E-8F3A-D821C7B5EF9C}" name="2094-95" dataDxfId="3325"/>
    <tableColumn id="82" xr3:uid="{487E52C0-DBC3-4930-969A-BB6E09CAD56C}" name="2095-96" dataDxfId="3324"/>
    <tableColumn id="83" xr3:uid="{0EF21B37-3F43-4023-98FE-FF8BCADD97C0}" name="2096-97" dataDxfId="3323"/>
    <tableColumn id="84" xr3:uid="{D6678A26-D17A-4294-A914-28FD2FDC8870}" name="2097-98" dataDxfId="3322"/>
    <tableColumn id="85" xr3:uid="{6E7498BA-FEBF-460A-BD17-8AB3A5E9D3DA}" name="2098-99" dataDxfId="3321"/>
    <tableColumn id="86" xr3:uid="{AE4E750E-2884-4D0A-A613-E6149AF60FF4}" name="2099-100" dataDxfId="3320"/>
  </tableColumns>
  <tableStyleInfo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5DC7031D-FA44-4D3A-81D7-5026963DF6E4}" name="TBL3b_DYAAOpt_11_ESWESX" displayName="TBL3b_DYAAOpt_11_ESWESX" ref="B94:CI119" totalsRowCount="1" headerRowDxfId="3319" dataDxfId="3317" headerRowBorderDxfId="3318" tableBorderDxfId="3316" headerRowCellStyle="Normal 2 2 2" dataCellStyle="Normal 2 2 2">
  <autoFilter ref="B94:CI118" xr:uid="{D5EFB056-0F2B-4E27-8197-E2FB749A3A50}"/>
  <tableColumns count="86">
    <tableColumn id="1" xr3:uid="{335A728F-E647-461C-896C-F93B2C0993E6}" name="WRMP24 reference" dataDxfId="3315" totalsRowDxfId="3314" dataCellStyle="Normal 2 2 2"/>
    <tableColumn id="2" xr3:uid="{47EE21CB-530A-4236-953D-B6D62DA55D0C}" name="Option type" dataDxfId="3313" totalsRowDxfId="3312" dataCellStyle="Normal 2 2 2"/>
    <tableColumn id="3" xr3:uid="{657ABF84-344F-4F14-B78E-7DA090C080CB}" name="Cat ID" dataDxfId="3311" totalsRowDxfId="3310" dataCellStyle="Normal 2 2 2"/>
    <tableColumn id="4" xr3:uid="{66EFDFCD-9BD9-4365-B5F1-ABDBE2BFF7CA}" name="Unit" dataDxfId="3309" totalsRowDxfId="3308" dataCellStyle="Normal 2 2 2"/>
    <tableColumn id="5" xr3:uid="{BC59D68A-C2EA-4120-BB8B-A6F8E0008FCC}" name="Decimal places" dataDxfId="3307" totalsRowDxfId="3306" dataCellStyle="Normal 2 2 2"/>
    <tableColumn id="6" xr3:uid="{4A3FEC21-9A52-43D1-8D26-916E1EEEA4F8}" name="2019-20" dataDxfId="3305" totalsRowDxfId="3304" dataCellStyle="Normal 2 2 2"/>
    <tableColumn id="7" xr3:uid="{184B011E-A283-417B-8B45-DB090E87AA4F}" name="2020-21" dataDxfId="3303" totalsRowDxfId="3302" dataCellStyle="Normal 2 2 2"/>
    <tableColumn id="8" xr3:uid="{E39F781B-33C6-4960-8D14-1A3D5B500582}" name="2021-22" dataDxfId="3301" totalsRowDxfId="3300" dataCellStyle="Normal 2 2 2"/>
    <tableColumn id="9" xr3:uid="{7A4FB0C0-CCB7-4A95-A83A-FF63791A5C3A}" name="2022-23" dataDxfId="3299" totalsRowDxfId="3298" dataCellStyle="Normal 2 2 2"/>
    <tableColumn id="10" xr3:uid="{3370C509-8F70-4695-BCC1-A964729DA109}" name="2023-24" dataDxfId="3297" totalsRowDxfId="3296" dataCellStyle="Normal 2 2 2"/>
    <tableColumn id="11" xr3:uid="{7B92DF43-EDEF-4C6A-9E87-3DAAB4F9AF14}" name="2024-25" dataDxfId="3295" totalsRowDxfId="3294" dataCellStyle="Normal 2 2 2"/>
    <tableColumn id="12" xr3:uid="{B2C98655-E12D-425E-A2CD-E7B0F7BDBCBF}" name="2025-26" dataDxfId="3293" totalsRowDxfId="3292" dataCellStyle="Normal 2 2 2"/>
    <tableColumn id="13" xr3:uid="{D6EFE230-5587-4CCA-8CAD-80857677A938}" name="2026-27" dataDxfId="3291" totalsRowDxfId="3290" dataCellStyle="Normal 2 2 2"/>
    <tableColumn id="14" xr3:uid="{207406D3-65E1-416F-B557-704A378C4D76}" name="2027-28" dataDxfId="3289" totalsRowDxfId="3288" dataCellStyle="Normal 2 2 2"/>
    <tableColumn id="15" xr3:uid="{3F833FA4-7253-4509-B685-805D0F033C08}" name="2028-29" dataDxfId="3287" totalsRowDxfId="3286" dataCellStyle="Normal 2 2 2"/>
    <tableColumn id="16" xr3:uid="{892C97B3-0489-4537-82D6-3C14220B4095}" name="2029-30" dataDxfId="3285" totalsRowDxfId="3284" dataCellStyle="Normal 2 2 2"/>
    <tableColumn id="17" xr3:uid="{E8CAFF84-B61B-4F8A-B489-7E7A6956DEF5}" name="2030-31" dataDxfId="3283" totalsRowDxfId="3282" dataCellStyle="Normal 2 2 2"/>
    <tableColumn id="18" xr3:uid="{7C1EAA02-D597-4239-9E98-7DF09F01FE33}" name="2031-32" dataDxfId="3281" totalsRowDxfId="3280" dataCellStyle="Normal 2 2 2"/>
    <tableColumn id="19" xr3:uid="{6F1A03C6-91ED-4DAC-A0A7-B8E3BE35982C}" name="2032-33" dataDxfId="3279" totalsRowDxfId="3278" dataCellStyle="Normal 2 2 2"/>
    <tableColumn id="20" xr3:uid="{2F9630DA-B20E-41ED-B734-722F227C0CDC}" name="2033-34" dataDxfId="3277" totalsRowDxfId="3276" dataCellStyle="Normal 2 2 2"/>
    <tableColumn id="21" xr3:uid="{2C3F607B-10CE-4EF3-B33A-B040DB576A92}" name="2034-35" dataDxfId="3275" totalsRowDxfId="3274" dataCellStyle="Normal 2 2 2"/>
    <tableColumn id="22" xr3:uid="{387A0086-1E49-4DE9-BE24-935882B8DF12}" name="2035-36" dataDxfId="3273" totalsRowDxfId="3272" dataCellStyle="Normal 2 2 2"/>
    <tableColumn id="23" xr3:uid="{76076939-D095-4E37-B422-3E25861FD94B}" name="2036-37" dataDxfId="3271" totalsRowDxfId="3270" dataCellStyle="Normal 2 2 2"/>
    <tableColumn id="24" xr3:uid="{3C29ADF5-4EC5-4FED-B369-D29793A8C7CF}" name="2037-38" dataDxfId="3269" totalsRowDxfId="3268" dataCellStyle="Normal 2 2 2"/>
    <tableColumn id="25" xr3:uid="{81BA7884-51B2-4E26-971A-A92C011F7095}" name="2038-39" dataDxfId="3267" totalsRowDxfId="3266" dataCellStyle="Normal 2 2 2"/>
    <tableColumn id="26" xr3:uid="{BDCE5563-7EB1-4B35-A4DD-F0453FACC41B}" name="2039-40" dataDxfId="3265" totalsRowDxfId="3264" dataCellStyle="Normal 2 2 2"/>
    <tableColumn id="27" xr3:uid="{9A00C2E7-7E0D-45D4-A361-DC6E671106AB}" name="2040-41" dataDxfId="3263" totalsRowDxfId="3262" dataCellStyle="Normal 2 2 2"/>
    <tableColumn id="28" xr3:uid="{6AC1B64B-7B32-418E-8D3C-7E0828801ACD}" name="2041-42" dataDxfId="3261" totalsRowDxfId="3260" dataCellStyle="Normal 2 2 2"/>
    <tableColumn id="29" xr3:uid="{E5C5B9F7-BBBD-4881-9CD5-6A6332915F15}" name="2042-43" dataDxfId="3259" totalsRowDxfId="3258" dataCellStyle="Normal 2 2 2"/>
    <tableColumn id="30" xr3:uid="{80267901-BDFE-46C5-991B-860D1EE3C4F9}" name="2043-44" dataDxfId="3257" totalsRowDxfId="3256" dataCellStyle="Normal 2 2 2"/>
    <tableColumn id="31" xr3:uid="{E14F3FCF-0D1E-4213-9B28-5D26CCD1D196}" name="2044-45" dataDxfId="3255" totalsRowDxfId="3254" dataCellStyle="Normal 2 2 2"/>
    <tableColumn id="32" xr3:uid="{7FF50833-04B3-4FB0-9199-E5F3E4F8758D}" name="2045-46" dataDxfId="3253" totalsRowDxfId="3252" dataCellStyle="Normal 2 2 2"/>
    <tableColumn id="33" xr3:uid="{41497B73-7E78-416E-85FA-EBA80DB253D2}" name="2046-47" dataDxfId="3251" totalsRowDxfId="3250" dataCellStyle="Normal 2 2 2"/>
    <tableColumn id="34" xr3:uid="{C7D1D4B8-1A39-442C-A9D0-0689771409B2}" name="2047-48" dataDxfId="3249" totalsRowDxfId="3248" dataCellStyle="Normal 2 2 2"/>
    <tableColumn id="35" xr3:uid="{9966334C-07CA-4116-9950-1B0E77424A8A}" name="2048-49" dataDxfId="3247" totalsRowDxfId="3246" dataCellStyle="Normal 2 2 2"/>
    <tableColumn id="36" xr3:uid="{918473CE-23B6-4F91-9B49-8B3089E25ECF}" name="2049-50" dataDxfId="3245" totalsRowDxfId="3244" dataCellStyle="Normal 2 2 2"/>
    <tableColumn id="37" xr3:uid="{C02965E0-5B3F-425D-947C-66945F74D5C7}" name="2050-51" dataDxfId="3243" totalsRowDxfId="3242" dataCellStyle="Normal 2 2 2"/>
    <tableColumn id="38" xr3:uid="{52A47EF6-503C-4C22-ABFF-309BBE67676D}" name="2051-52" dataDxfId="3241" totalsRowDxfId="3240" dataCellStyle="Normal 2 2 2"/>
    <tableColumn id="39" xr3:uid="{5A65514D-AAEE-4815-8DC6-6A30F66A39AD}" name="2052-53" dataDxfId="3239" totalsRowDxfId="3238" dataCellStyle="Normal 2 2 2"/>
    <tableColumn id="40" xr3:uid="{656EEA5A-D1EF-46A7-A207-DA3D7C9A95BA}" name="2053-54" dataDxfId="3237" totalsRowDxfId="3236" dataCellStyle="Normal 2 2 2"/>
    <tableColumn id="41" xr3:uid="{6EC25568-99FB-4A72-9F46-0E349AEEA9A8}" name="2054-55" dataDxfId="3235" totalsRowDxfId="3234" dataCellStyle="Normal 2 2 2"/>
    <tableColumn id="42" xr3:uid="{4616EAB3-6734-40F6-A722-902E1A0DF3B3}" name="2055-56" dataDxfId="3233" totalsRowDxfId="3232" dataCellStyle="Normal 2 2 2"/>
    <tableColumn id="43" xr3:uid="{83B562F0-BFE0-430B-A714-FFFD31BAAB29}" name="2056-57" dataDxfId="3231" totalsRowDxfId="3230" dataCellStyle="Normal 2 2 2"/>
    <tableColumn id="44" xr3:uid="{4A135FD3-8619-48C4-87C1-0A11B69D89EA}" name="2057-58" dataDxfId="3229" totalsRowDxfId="3228" dataCellStyle="Normal 2 2 2"/>
    <tableColumn id="45" xr3:uid="{9AA37AAB-B48B-450A-84C6-3D8C2336B993}" name="2058-59" dataDxfId="3227" totalsRowDxfId="3226" dataCellStyle="Normal 2 2 2"/>
    <tableColumn id="46" xr3:uid="{75E583C6-B816-449A-A735-F8E80DEA84A0}" name="2059-60" dataDxfId="3225" totalsRowDxfId="3224" dataCellStyle="Normal 2 2 2"/>
    <tableColumn id="47" xr3:uid="{E0303BF2-0FCF-4888-B551-4623D45E152D}" name="2060-61" dataDxfId="3223" totalsRowDxfId="3222" dataCellStyle="Normal 2 2 2"/>
    <tableColumn id="48" xr3:uid="{5AB9AF18-E30C-4674-8AAD-FA33DBA1F835}" name="2061-62" dataDxfId="3221" totalsRowDxfId="3220" dataCellStyle="Normal 2 2 2"/>
    <tableColumn id="49" xr3:uid="{C626EC99-D262-4048-974C-60435B38714B}" name="2062-63" dataDxfId="3219" totalsRowDxfId="3218" dataCellStyle="Normal 2 2 2"/>
    <tableColumn id="50" xr3:uid="{5B1EB923-0A6D-461B-A106-5E85E57E1A1E}" name="2063-64" dataDxfId="3217" totalsRowDxfId="3216" dataCellStyle="Normal 2 2 2"/>
    <tableColumn id="51" xr3:uid="{82830B71-E145-4642-ADA1-F2658FF3CB2C}" name="2064-65" dataDxfId="3215" totalsRowDxfId="3214" dataCellStyle="Normal 2 2 2"/>
    <tableColumn id="52" xr3:uid="{770CCB09-E24B-4252-80DA-1D0B5CC85B03}" name="2065-66" dataDxfId="3213" totalsRowDxfId="3212" dataCellStyle="Normal 2 2 2"/>
    <tableColumn id="53" xr3:uid="{FAB05284-DA19-4BD4-93C9-DE5B054CE0D8}" name="2066-67" dataDxfId="3211" totalsRowDxfId="3210" dataCellStyle="Normal 2 2 2"/>
    <tableColumn id="54" xr3:uid="{00822548-CB46-46B9-A695-6EFD2EF51CAA}" name="2067-68" dataDxfId="3209" totalsRowDxfId="3208" dataCellStyle="Normal 2 2 2"/>
    <tableColumn id="55" xr3:uid="{46065925-65A3-4E31-8578-A93FA053C480}" name="2068-69" dataDxfId="3207" totalsRowDxfId="3206" dataCellStyle="Normal 2 2 2"/>
    <tableColumn id="56" xr3:uid="{17F42A76-9F81-4649-96DE-7378B6D08386}" name="2069-70" dataDxfId="3205" totalsRowDxfId="3204" dataCellStyle="Normal 2 2 2"/>
    <tableColumn id="57" xr3:uid="{213670C3-96DF-471C-A49E-A70484DF6E89}" name="2070-71" dataDxfId="3203" totalsRowDxfId="3202" dataCellStyle="Normal 2 2 2"/>
    <tableColumn id="58" xr3:uid="{E2A2C9E6-8FDD-41BF-AC48-B95B9CEFC513}" name="2071-72" dataDxfId="3201" totalsRowDxfId="3200" dataCellStyle="Normal 2 2 2"/>
    <tableColumn id="59" xr3:uid="{0293E48A-6747-4CB1-AF47-133E254B7535}" name="2072-73" dataDxfId="3199" totalsRowDxfId="3198" dataCellStyle="Normal 2 2 2"/>
    <tableColumn id="60" xr3:uid="{CED6D04D-9A3B-4B3C-81F1-B5F435E5829C}" name="2073-74" dataDxfId="3197" totalsRowDxfId="3196" dataCellStyle="Normal 2 2 2"/>
    <tableColumn id="61" xr3:uid="{66BA4E62-35AE-4769-AAC9-CC2D62549770}" name="2074-75" dataDxfId="3195" totalsRowDxfId="3194" dataCellStyle="Normal 2 2 2"/>
    <tableColumn id="62" xr3:uid="{DAA06F86-68E5-4703-AB75-8887F8A8311E}" name="2075-76" dataDxfId="3193" totalsRowDxfId="3192" dataCellStyle="Normal 2 2 2"/>
    <tableColumn id="63" xr3:uid="{3C25A87A-E9CA-4F25-BB6C-CDC8EB305DC0}" name="2076-77" dataDxfId="3191" totalsRowDxfId="3190" dataCellStyle="Normal 2 2 2"/>
    <tableColumn id="64" xr3:uid="{BD1F55DF-0176-4B67-BC12-E0396C5CD4B3}" name="2077-78" dataDxfId="3189" totalsRowDxfId="3188" dataCellStyle="Normal 2 2 2"/>
    <tableColumn id="65" xr3:uid="{00966FAC-E6F1-47AD-8421-9BF66D3E4AF8}" name="2078-79" dataDxfId="3187" totalsRowDxfId="3186" dataCellStyle="Normal 2 2 2"/>
    <tableColumn id="66" xr3:uid="{AD0C7D43-6359-47F2-A5BC-5A7212D24C2D}" name="2079-80" dataDxfId="3185" totalsRowDxfId="3184" dataCellStyle="Normal 2 2 2"/>
    <tableColumn id="67" xr3:uid="{8049C660-D4FD-4D59-B60D-68B78AEAAA27}" name="2080-81" dataDxfId="3183" totalsRowDxfId="3182" dataCellStyle="Normal 2 2 2"/>
    <tableColumn id="68" xr3:uid="{42D2E9DF-6BB5-4896-8931-7930D65DC6A2}" name="2081-82" dataDxfId="3181" totalsRowDxfId="3180" dataCellStyle="Normal 2 2 2"/>
    <tableColumn id="69" xr3:uid="{2D32D1C0-1645-4870-B3D2-4DBB65A9478C}" name="2082-83" dataDxfId="3179" totalsRowDxfId="3178" dataCellStyle="Normal 2 2 2"/>
    <tableColumn id="70" xr3:uid="{D296E69A-9743-4A40-AEC9-C94F96E06173}" name="2083-84" dataDxfId="3177" totalsRowDxfId="3176" dataCellStyle="Normal 2 2 2"/>
    <tableColumn id="71" xr3:uid="{04212E03-5220-481C-8347-22C9EB25A543}" name="2084-85" dataDxfId="3175" totalsRowDxfId="3174" dataCellStyle="Normal 2 2 2"/>
    <tableColumn id="72" xr3:uid="{4FEC35FD-37BD-4F32-80E8-202E43A2CBDD}" name="2085-86" dataDxfId="3173" totalsRowDxfId="3172" dataCellStyle="Normal 2 2 2"/>
    <tableColumn id="73" xr3:uid="{F7B4F7D3-D282-45A1-ADE5-E2476336DF17}" name="2086-87" dataDxfId="3171" totalsRowDxfId="3170" dataCellStyle="Normal 2 2 2"/>
    <tableColumn id="74" xr3:uid="{9563B281-F93B-4EAD-8BFF-2CBBF1903E56}" name="2087-88" dataDxfId="3169" totalsRowDxfId="3168" dataCellStyle="Normal 2 2 2"/>
    <tableColumn id="75" xr3:uid="{36916E17-4852-491F-931D-224F598AA3B7}" name="2088-89" dataDxfId="3167" totalsRowDxfId="3166" dataCellStyle="Normal 2 2 2"/>
    <tableColumn id="76" xr3:uid="{84DAAED4-0DE0-4462-9FC6-79BA1E5D2A61}" name="2089-90" dataDxfId="3165" totalsRowDxfId="3164" dataCellStyle="Normal 2 2 2"/>
    <tableColumn id="77" xr3:uid="{4A48B3C2-E38A-4C76-BF66-C44B6EAF1D71}" name="2090-91" dataDxfId="3163" totalsRowDxfId="3162" dataCellStyle="Normal 2 2 2"/>
    <tableColumn id="78" xr3:uid="{425CDA3C-08FD-4067-AEDA-429E29D8E8B6}" name="2091-92" dataDxfId="3161" totalsRowDxfId="3160" dataCellStyle="Normal 2 2 2"/>
    <tableColumn id="79" xr3:uid="{12A44287-EB08-4B0F-BD05-712569F40728}" name="2092-93" dataDxfId="3159" totalsRowDxfId="3158" dataCellStyle="Normal 2 2 2"/>
    <tableColumn id="80" xr3:uid="{04DDC5C9-8605-4CC8-A720-F78218F6CCBB}" name="2093-94" dataDxfId="3157" totalsRowDxfId="3156" dataCellStyle="Normal 2 2 2"/>
    <tableColumn id="81" xr3:uid="{6D11781E-D6B5-46BB-AAC4-0B3DB23C585C}" name="2094-95" dataDxfId="3155" totalsRowDxfId="3154" dataCellStyle="Normal 2 2 2"/>
    <tableColumn id="82" xr3:uid="{A77B4909-851A-469C-93D4-0512ABDC29CA}" name="2095-96" dataDxfId="3153" totalsRowDxfId="3152" dataCellStyle="Normal 2 2 2"/>
    <tableColumn id="83" xr3:uid="{FD146E74-F982-495C-B64F-97626DB87E7C}" name="2096-97" dataDxfId="3151" totalsRowDxfId="3150" dataCellStyle="Normal 2 2 2"/>
    <tableColumn id="84" xr3:uid="{85989766-E05E-4A4E-89C2-7DC52C75C0E1}" name="2097-98" dataDxfId="3149" totalsRowDxfId="3148" dataCellStyle="Normal 2 2 2"/>
    <tableColumn id="85" xr3:uid="{ADA378D0-E460-480C-AC67-D50EF02E8A76}" name="2098-99" dataDxfId="3147" totalsRowDxfId="3146" dataCellStyle="Normal 2 2 2"/>
    <tableColumn id="86" xr3:uid="{3FE1371D-A257-415A-8B04-10E05BAA7C5F}" name="2099-100" dataDxfId="3145" totalsRowDxfId="3144" dataCellStyle="Normal 2 2 2"/>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BL1b_GroupLic" displayName="TBL1b_GroupLic" ref="B35:L46" totalsRowShown="0" headerRowDxfId="4702" headerRowBorderDxfId="4701" tableBorderDxfId="4700" totalsRowBorderDxfId="4699" headerRowCellStyle="Normal 2">
  <autoFilter ref="B35:L46" xr:uid="{00000000-0009-0000-0100-000002000000}"/>
  <tableColumns count="11">
    <tableColumn id="2" xr3:uid="{00000000-0010-0000-0100-000002000000}" name="WRMP24 Reference" dataDxfId="4698" dataCellStyle="Normal 2"/>
    <tableColumn id="3" xr3:uid="{00000000-0010-0000-0100-000003000000}" name="Derivation" dataDxfId="4697" dataCellStyle="Normal 2"/>
    <tableColumn id="4" xr3:uid="{00000000-0010-0000-0100-000004000000}" name="Licence number" dataDxfId="4696" dataCellStyle="Normal 3"/>
    <tableColumn id="5" xr3:uid="{00000000-0010-0000-0100-000005000000}" name="Source name" dataDxfId="4695" dataCellStyle="Normal 3"/>
    <tableColumn id="6" xr3:uid="{00000000-0010-0000-0100-000006000000}" name="Source type" dataDxfId="4694" dataCellStyle="Normal 4"/>
    <tableColumn id="7" xr3:uid="{00000000-0010-0000-0100-000007000000}" name="WRZ Code" dataDxfId="4693" dataCellStyle="Normal 4"/>
    <tableColumn id="8" xr3:uid="{00000000-0010-0000-0100-000008000000}" name="DYAA deployable output (Ml/d)" dataDxfId="4692" dataCellStyle="Normal 5"/>
    <tableColumn id="1" xr3:uid="{00000000-0010-0000-0100-000001000000}" name="DYCP deployable output (Ml/d)" dataDxfId="4691" dataCellStyle="Normal 5"/>
    <tableColumn id="9" xr3:uid="{00000000-0010-0000-0100-000009000000}" name="Annual licensed quantity (Ml/d)" dataDxfId="4690" dataCellStyle="Normal 6"/>
    <tableColumn id="10" xr3:uid="{00000000-0010-0000-0100-00000A000000}" name="Constraints on deployable output" dataDxfId="4689" dataCellStyle="Normal 2"/>
    <tableColumn id="11" xr3:uid="{00000000-0010-0000-0100-00000B000000}" name="Additional notes (if desired)" dataDxfId="4688" dataCellStyle="Normal 2"/>
  </tableColumns>
  <tableStyleInfo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48305753-37F0-491E-B58C-952AB7F55115}" name="TBL3c_DYAAFP_12_ESWESX" displayName="TBL3c_DYAAFP_12_ESWESX" ref="B121:CI182" totalsRowCount="1" headerRowDxfId="3143" dataDxfId="3142" tableBorderDxfId="3141" headerRowCellStyle="Normal 2 2 2" dataCellStyle="Normal 2 2 2">
  <tableColumns count="86">
    <tableColumn id="1" xr3:uid="{F1673E40-B7C0-4FC7-8096-045379B7A424}" name="WRMP24 reference" dataDxfId="3140" totalsRowDxfId="3139" dataCellStyle="Normal 2 2 2" totalsRowCellStyle="Normal 2 2 2"/>
    <tableColumn id="2" xr3:uid="{7BEDBB46-C2D9-4248-B7BB-2AC79B6650CF}" name="Component" dataDxfId="3138" totalsRowDxfId="3137" dataCellStyle="Normal 2 2 2" totalsRowCellStyle="Normal 2 2 2"/>
    <tableColumn id="3" xr3:uid="{69CBB0AD-302C-4CD4-8A96-4BFAC0BBC754}" name="Derivation" dataDxfId="3136" totalsRowDxfId="3135" dataCellStyle="Normal 2 2 2" totalsRowCellStyle="Normal 2 2 2"/>
    <tableColumn id="4" xr3:uid="{9AE058E4-3732-4575-AF35-EE57B3E3B81B}" name="Unit" dataDxfId="3134" totalsRowDxfId="3133" dataCellStyle="Normal 2 2 2" totalsRowCellStyle="Normal 2 2 2"/>
    <tableColumn id="5" xr3:uid="{03793454-6633-402B-9520-526FB32072FE}" name="Decimal places" dataDxfId="3132" totalsRowDxfId="3131" dataCellStyle="Normal 2 2 2" totalsRowCellStyle="Normal 2 2 2"/>
    <tableColumn id="6" xr3:uid="{D544A8E2-38B0-48B3-B469-0FF16D9989AA}" name="2019-20" dataDxfId="3130" totalsRowDxfId="3129" dataCellStyle="Normal 2 2 2" totalsRowCellStyle="Normal 2 2 2"/>
    <tableColumn id="7" xr3:uid="{CA491B69-B105-48D7-84FD-4B0644689A2E}" name="2020-21" dataDxfId="3128" totalsRowDxfId="3127" dataCellStyle="Normal 2 2 2" totalsRowCellStyle="Normal 2 2 2"/>
    <tableColumn id="8" xr3:uid="{6AF6F9DB-A591-42DC-BEDD-4CA529B1F8C1}" name="2021-22" dataDxfId="3126" totalsRowDxfId="3125" dataCellStyle="Normal 2 2 2" totalsRowCellStyle="Normal 2 2 2"/>
    <tableColumn id="9" xr3:uid="{B9C0FB45-8D1B-4DBE-84BB-4F171EF6521B}" name="2022-23" dataDxfId="3124" totalsRowDxfId="3123" dataCellStyle="Normal 2 2 2" totalsRowCellStyle="Normal 2 2 2"/>
    <tableColumn id="10" xr3:uid="{DEE41F63-BE64-4831-A329-CF5F00BBC40F}" name="2023-24" dataDxfId="3122" totalsRowDxfId="3121" dataCellStyle="Normal 2 2 2" totalsRowCellStyle="Normal 2 2 2"/>
    <tableColumn id="11" xr3:uid="{9764FFB9-A90C-42F3-B467-844C6290EC2E}" name="2024-25" dataDxfId="3120" totalsRowDxfId="3119" dataCellStyle="Normal 2 2 2" totalsRowCellStyle="Normal 2 2 2"/>
    <tableColumn id="12" xr3:uid="{50168591-73A0-4740-9B81-C0D34A578330}" name="2025-26" dataDxfId="3118" totalsRowDxfId="3117" dataCellStyle="Normal 2 2 2" totalsRowCellStyle="Normal 2 2 2"/>
    <tableColumn id="13" xr3:uid="{029D5A68-562A-453D-A21B-3A2479D5A72F}" name="2026-27" dataDxfId="3116" totalsRowDxfId="3115" dataCellStyle="Normal 2 2 2" totalsRowCellStyle="Normal 2 2 2"/>
    <tableColumn id="14" xr3:uid="{A4E7553D-5198-4EC5-A9E2-50522BC03859}" name="2027-28" dataDxfId="3114" totalsRowDxfId="3113" dataCellStyle="Normal 2 2 2" totalsRowCellStyle="Normal 2 2 2"/>
    <tableColumn id="15" xr3:uid="{BE5C048F-BCC3-44F3-8923-1CA29992875B}" name="2028-29" dataDxfId="3112" totalsRowDxfId="3111" dataCellStyle="Normal 2 2 2" totalsRowCellStyle="Normal 2 2 2"/>
    <tableColumn id="16" xr3:uid="{60664835-656A-4DB6-A871-C0012D19FB92}" name="2029-30" dataDxfId="3110" totalsRowDxfId="3109" dataCellStyle="Normal 2 2 2" totalsRowCellStyle="Normal 2 2 2"/>
    <tableColumn id="17" xr3:uid="{3931450D-98CC-4E49-B8B3-0705FB1FE089}" name="2030-31" dataDxfId="3108" totalsRowDxfId="3107" dataCellStyle="Normal 2 2 2" totalsRowCellStyle="Normal 2 2 2"/>
    <tableColumn id="18" xr3:uid="{1735D436-2799-48E0-BCF4-2FDA0FB23AC0}" name="2031-32" dataDxfId="3106" totalsRowDxfId="3105" dataCellStyle="Normal 2 2 2" totalsRowCellStyle="Normal 2 2 2"/>
    <tableColumn id="19" xr3:uid="{5AF8E6CC-CFCD-4B62-BA5E-210376DC4671}" name="2032-33" dataDxfId="3104" totalsRowDxfId="3103" dataCellStyle="Normal 2 2 2" totalsRowCellStyle="Normal 2 2 2"/>
    <tableColumn id="20" xr3:uid="{90CAD6EA-2FD4-4FC2-A85C-BF59054F51C8}" name="2033-34" dataDxfId="3102" totalsRowDxfId="3101" dataCellStyle="Normal 2 2 2" totalsRowCellStyle="Normal 2 2 2"/>
    <tableColumn id="21" xr3:uid="{92F425D1-58B9-49FE-A323-3AE36AB173C5}" name="2034-35" dataDxfId="3100" totalsRowDxfId="3099" dataCellStyle="Normal 2 2 2" totalsRowCellStyle="Normal 2 2 2"/>
    <tableColumn id="22" xr3:uid="{FE1F919F-47BD-4E24-B200-CD84000150DB}" name="2035-36" dataDxfId="3098" totalsRowDxfId="3097" dataCellStyle="Normal 2 2 2" totalsRowCellStyle="Normal 2 2 2"/>
    <tableColumn id="23" xr3:uid="{F2D370B2-955E-4C13-BF48-BFCEF465296E}" name="2036-37" dataDxfId="3096" totalsRowDxfId="3095" dataCellStyle="Normal 2 2 2" totalsRowCellStyle="Normal 2 2 2"/>
    <tableColumn id="24" xr3:uid="{1C651D6A-6765-4CA4-9303-E44DB997D888}" name="2037-38" dataDxfId="3094" totalsRowDxfId="3093" dataCellStyle="Normal 2 2 2" totalsRowCellStyle="Normal 2 2 2"/>
    <tableColumn id="25" xr3:uid="{AED9C119-6F12-467D-824E-AEFE6124FAC9}" name="2038-39" dataDxfId="3092" totalsRowDxfId="3091" dataCellStyle="Normal 2 2 2" totalsRowCellStyle="Normal 2 2 2"/>
    <tableColumn id="26" xr3:uid="{AD63D4F8-4044-4F16-A303-0B7B7385C3FD}" name="2039-40" dataDxfId="3090" totalsRowDxfId="3089" dataCellStyle="Normal 2 2 2" totalsRowCellStyle="Normal 2 2 2"/>
    <tableColumn id="27" xr3:uid="{C388F631-2DE9-4746-9C0C-394A2DCA27A7}" name="2040-41" dataDxfId="3088" totalsRowDxfId="3087" dataCellStyle="Normal 2 2 2" totalsRowCellStyle="Normal 2 2 2"/>
    <tableColumn id="28" xr3:uid="{9BB6672C-6121-4DFC-87D0-C1B091E2B560}" name="2041-42" dataDxfId="3086" totalsRowDxfId="3085" dataCellStyle="Normal 2 2 2" totalsRowCellStyle="Normal 2 2 2"/>
    <tableColumn id="29" xr3:uid="{4034C2F3-BA56-45F3-86DD-94A6ECFC817A}" name="2042-43" dataDxfId="3084" totalsRowDxfId="3083" dataCellStyle="Normal 2 2 2" totalsRowCellStyle="Normal 2 2 2"/>
    <tableColumn id="30" xr3:uid="{D7E4466A-FECE-4B59-928B-F1668DB639BE}" name="2043-44" dataDxfId="3082" totalsRowDxfId="3081" dataCellStyle="Normal 2 2 2" totalsRowCellStyle="Normal 2 2 2"/>
    <tableColumn id="31" xr3:uid="{FA2F19AA-E4C0-4836-BEFA-B3A67D51F056}" name="2044-45" dataDxfId="3080" totalsRowDxfId="3079" dataCellStyle="Normal 2 2 2" totalsRowCellStyle="Normal 2 2 2"/>
    <tableColumn id="32" xr3:uid="{10D2CFD9-7ADD-4129-91FA-32E05A05A93E}" name="2045-46" dataDxfId="3078" totalsRowDxfId="3077" dataCellStyle="Normal 2 2 2" totalsRowCellStyle="Normal 2 2 2"/>
    <tableColumn id="33" xr3:uid="{6687F867-1C01-4261-A1FE-38E99B5743AE}" name="2046-47" dataDxfId="3076" totalsRowDxfId="3075" dataCellStyle="Normal 2 2 2" totalsRowCellStyle="Normal 2 2 2"/>
    <tableColumn id="34" xr3:uid="{2919F43A-1058-4D87-9099-2948B9E8E751}" name="2047-48" dataDxfId="3074" totalsRowDxfId="3073" dataCellStyle="Normal 2 2 2" totalsRowCellStyle="Normal 2 2 2"/>
    <tableColumn id="35" xr3:uid="{A8B7E836-43B1-4363-9E15-BD4F5A9F5DF6}" name="2048-49" dataDxfId="3072" totalsRowDxfId="3071" dataCellStyle="Normal 2 2 2" totalsRowCellStyle="Normal 2 2 2"/>
    <tableColumn id="36" xr3:uid="{8C11139E-AE7B-4123-8DDC-175DFF1E21B1}" name="2049-50" dataDxfId="3070" totalsRowDxfId="3069" dataCellStyle="Normal 2 2 2" totalsRowCellStyle="Normal 2 2 2"/>
    <tableColumn id="37" xr3:uid="{0D816018-4EB3-4624-B79D-7E20528A1398}" name="2050-51" dataDxfId="3068" totalsRowDxfId="3067" dataCellStyle="Normal 2 2 2" totalsRowCellStyle="Normal 2 2 2"/>
    <tableColumn id="38" xr3:uid="{CA3E49EF-9881-41F8-9565-67C7D2C6D729}" name="2051-52" dataDxfId="3066" totalsRowDxfId="3065" dataCellStyle="Normal 2 2 2" totalsRowCellStyle="Normal 2 2 2"/>
    <tableColumn id="39" xr3:uid="{6382A0EA-0F54-4831-BB17-EBE0562BF5BB}" name="2052-53" dataDxfId="3064" totalsRowDxfId="3063" dataCellStyle="Normal 2 2 2" totalsRowCellStyle="Normal 2 2 2"/>
    <tableColumn id="40" xr3:uid="{4B784580-9157-42E4-8BFD-52D3EA7CA4A5}" name="2053-54" dataDxfId="3062" totalsRowDxfId="3061" dataCellStyle="Normal 2 2 2" totalsRowCellStyle="Normal 2 2 2"/>
    <tableColumn id="41" xr3:uid="{10497851-F629-49C6-A278-44DDF60DE55A}" name="2054-55" dataDxfId="3060" totalsRowDxfId="3059" dataCellStyle="Normal 2 2 2" totalsRowCellStyle="Normal 2 2 2"/>
    <tableColumn id="42" xr3:uid="{D5302C92-88B2-4632-B08F-B619B4FBCD8A}" name="2055-56" dataDxfId="3058" totalsRowDxfId="3057" dataCellStyle="Normal 2 2 2" totalsRowCellStyle="Normal 2 2 2"/>
    <tableColumn id="43" xr3:uid="{9E11E521-3F19-45C1-AD4C-5E3DD47DBD31}" name="2056-57" dataDxfId="3056" totalsRowDxfId="3055" dataCellStyle="Normal 2 2 2" totalsRowCellStyle="Normal 2 2 2"/>
    <tableColumn id="44" xr3:uid="{EE255B29-B3FA-4E0E-AC33-0F109A440264}" name="2057-58" dataDxfId="3054" totalsRowDxfId="3053" dataCellStyle="Normal 2 2 2" totalsRowCellStyle="Normal 2 2 2"/>
    <tableColumn id="45" xr3:uid="{2C973D43-09C5-4533-9EA4-F3CDADDF4508}" name="2058-59" dataDxfId="3052" totalsRowDxfId="3051" dataCellStyle="Normal 2 2 2" totalsRowCellStyle="Normal 2 2 2"/>
    <tableColumn id="46" xr3:uid="{D91E1743-75E1-4E22-80F3-9246F33B368F}" name="2059-60" dataDxfId="3050" totalsRowDxfId="3049" dataCellStyle="Normal 2 2 2" totalsRowCellStyle="Normal 2 2 2"/>
    <tableColumn id="47" xr3:uid="{4C0F6DEF-2A13-4C3C-B05D-9954F5613A00}" name="2060-61" dataDxfId="3048" totalsRowDxfId="3047" dataCellStyle="Normal 2 2 2" totalsRowCellStyle="Normal 2 2 2"/>
    <tableColumn id="48" xr3:uid="{2F50C6FC-0C8A-4A6D-89C5-185E025ECB0E}" name="2061-62" dataDxfId="3046" totalsRowDxfId="3045" dataCellStyle="Normal 2 2 2" totalsRowCellStyle="Normal 2 2 2"/>
    <tableColumn id="49" xr3:uid="{21D9CE4C-461F-4901-9E0D-344AFEE923D3}" name="2062-63" dataDxfId="3044" totalsRowDxfId="3043" dataCellStyle="Normal 2 2 2" totalsRowCellStyle="Normal 2 2 2"/>
    <tableColumn id="50" xr3:uid="{63FA978C-A4A9-48A0-98AD-6CA80645797E}" name="2063-64" dataDxfId="3042" totalsRowDxfId="3041" dataCellStyle="Normal 2 2 2" totalsRowCellStyle="Normal 2 2 2"/>
    <tableColumn id="51" xr3:uid="{5D3A7297-D2CF-4405-A97F-55ACC62C9480}" name="2064-65" dataDxfId="3040" totalsRowDxfId="3039" dataCellStyle="Normal 2 2 2" totalsRowCellStyle="Normal 2 2 2"/>
    <tableColumn id="52" xr3:uid="{DD864C9F-5DB9-4128-95D0-A2AA3435CB0B}" name="2065-66" dataDxfId="3038" totalsRowDxfId="3037" dataCellStyle="Normal 2 2 2" totalsRowCellStyle="Normal 2 2 2"/>
    <tableColumn id="53" xr3:uid="{E8FF0791-D259-467E-B513-D2E0CADD0C13}" name="2066-67" dataDxfId="3036" totalsRowDxfId="3035" dataCellStyle="Normal 2 2 2" totalsRowCellStyle="Normal 2 2 2"/>
    <tableColumn id="54" xr3:uid="{E778A7BA-F3C6-491B-87AB-79A617B7243F}" name="2067-68" dataDxfId="3034" totalsRowDxfId="3033" dataCellStyle="Normal 2 2 2" totalsRowCellStyle="Normal 2 2 2"/>
    <tableColumn id="55" xr3:uid="{019871A8-A42F-4881-88DB-1679171FACB5}" name="2068-69" dataDxfId="3032" totalsRowDxfId="3031" dataCellStyle="Normal 2 2 2" totalsRowCellStyle="Normal 2 2 2"/>
    <tableColumn id="56" xr3:uid="{0F3A1800-60D7-4E0D-953E-09FA7CCE4FA6}" name="2069-70" dataDxfId="3030" totalsRowDxfId="3029" dataCellStyle="Normal 2 2 2" totalsRowCellStyle="Normal 2 2 2"/>
    <tableColumn id="57" xr3:uid="{F3AF7387-7076-4430-A90A-7EC674349B82}" name="2070-71" dataDxfId="3028" totalsRowDxfId="3027" dataCellStyle="Normal 2 2 2" totalsRowCellStyle="Normal 2 2 2"/>
    <tableColumn id="58" xr3:uid="{7367A550-A399-415A-AF78-356D00E0D6F1}" name="2071-72" dataDxfId="3026" totalsRowDxfId="3025" dataCellStyle="Normal 2 2 2" totalsRowCellStyle="Normal 2 2 2"/>
    <tableColumn id="59" xr3:uid="{BCBA774B-2E1D-484A-8A53-02A1F0AFDF54}" name="2072-73" dataDxfId="3024" totalsRowDxfId="3023" dataCellStyle="Normal 2 2 2" totalsRowCellStyle="Normal 2 2 2"/>
    <tableColumn id="60" xr3:uid="{6761A8A6-9FD3-4B8C-9274-959CEFE9D312}" name="2073-74" dataDxfId="3022" totalsRowDxfId="3021" dataCellStyle="Normal 2 2 2" totalsRowCellStyle="Normal 2 2 2"/>
    <tableColumn id="61" xr3:uid="{D6147D92-97D5-4DC1-820F-8057F4E923A0}" name="2074-75" dataDxfId="3020" totalsRowDxfId="3019" dataCellStyle="Normal 2 2 2" totalsRowCellStyle="Normal 2 2 2"/>
    <tableColumn id="62" xr3:uid="{C0B6423F-95DF-4D7A-96DB-B52C08F6C561}" name="2075-76" dataDxfId="3018" totalsRowDxfId="3017" dataCellStyle="Normal 2 2 2" totalsRowCellStyle="Normal 2 2 2"/>
    <tableColumn id="63" xr3:uid="{EB023F9A-C865-40D2-934C-8E83571F4BD6}" name="2076-77" dataDxfId="3016" totalsRowDxfId="3015" dataCellStyle="Normal 2 2 2" totalsRowCellStyle="Normal 2 2 2"/>
    <tableColumn id="64" xr3:uid="{AED680D5-B5C5-4C53-B18B-4932699E7A76}" name="2077-78" dataDxfId="3014" totalsRowDxfId="3013" dataCellStyle="Normal 2 2 2" totalsRowCellStyle="Normal 2 2 2"/>
    <tableColumn id="65" xr3:uid="{CCC24EC8-17C1-41F3-A17D-9CD19615A86B}" name="2078-79" dataDxfId="3012" totalsRowDxfId="3011" dataCellStyle="Normal 2 2 2" totalsRowCellStyle="Normal 2 2 2"/>
    <tableColumn id="66" xr3:uid="{AB04FA2F-DD0E-469A-A27F-87E76A35B69E}" name="2079-80" dataDxfId="3010" totalsRowDxfId="3009" dataCellStyle="Normal 2 2 2" totalsRowCellStyle="Normal 2 2 2"/>
    <tableColumn id="67" xr3:uid="{BFA821F8-9CB0-4C60-84ED-91BC66A2EA33}" name="2080-81" dataDxfId="3008" totalsRowDxfId="3007" dataCellStyle="Normal 2 2 2" totalsRowCellStyle="Normal 2 2 2"/>
    <tableColumn id="68" xr3:uid="{AFDCFCA7-C6DA-4A7D-BF1F-7F9144B14501}" name="2081-82" dataDxfId="3006" totalsRowDxfId="3005" dataCellStyle="Normal 2 2 2" totalsRowCellStyle="Normal 2 2 2"/>
    <tableColumn id="69" xr3:uid="{A87B5000-5036-4AA2-B73F-A81ACDAF4F6C}" name="2082-83" dataDxfId="3004" totalsRowDxfId="3003" dataCellStyle="Normal 2 2 2" totalsRowCellStyle="Normal 2 2 2"/>
    <tableColumn id="70" xr3:uid="{F0048964-F48D-4A23-8CBB-BDBEEA75B929}" name="2083-84" dataDxfId="3002" totalsRowDxfId="3001" dataCellStyle="Normal 2 2 2" totalsRowCellStyle="Normal 2 2 2"/>
    <tableColumn id="71" xr3:uid="{4A128E3A-87B4-4BBC-B46A-E2DA72FB79F7}" name="2084-85" dataDxfId="3000" totalsRowDxfId="2999" dataCellStyle="Normal 2 2 2" totalsRowCellStyle="Normal 2 2 2"/>
    <tableColumn id="72" xr3:uid="{F22C17CC-E3F0-4914-ACA1-B3556D1E4908}" name="2085-86" dataDxfId="2998" totalsRowDxfId="2997" dataCellStyle="Normal 2 2 2" totalsRowCellStyle="Normal 2 2 2"/>
    <tableColumn id="73" xr3:uid="{2C5F5EC1-2902-42FC-B93B-F654153CD165}" name="2086-87" dataDxfId="2996" totalsRowDxfId="2995" dataCellStyle="Normal 2 2 2" totalsRowCellStyle="Normal 2 2 2"/>
    <tableColumn id="74" xr3:uid="{ADAACA42-EB52-4F79-8C38-44E934AFE5F5}" name="2087-88" dataDxfId="2994" totalsRowDxfId="2993" dataCellStyle="Normal 2 2 2" totalsRowCellStyle="Normal 2 2 2"/>
    <tableColumn id="75" xr3:uid="{3E49CC0C-8D68-4A6E-A72D-A010132295FC}" name="2088-89" dataDxfId="2992" totalsRowDxfId="2991" dataCellStyle="Normal 2 2 2" totalsRowCellStyle="Normal 2 2 2"/>
    <tableColumn id="76" xr3:uid="{871E2ABF-EA74-4959-97B4-B9BE5DFC2366}" name="2089-90" dataDxfId="2990" totalsRowDxfId="2989" dataCellStyle="Normal 2 2 2" totalsRowCellStyle="Normal 2 2 2"/>
    <tableColumn id="77" xr3:uid="{F80CE8C4-4D29-43E9-8A14-30C2A0C94B1A}" name="2090-91" dataDxfId="2988" totalsRowDxfId="2987" dataCellStyle="Normal 2 2 2" totalsRowCellStyle="Normal 2 2 2"/>
    <tableColumn id="78" xr3:uid="{E788D9CE-A8CB-4C68-97FA-82A3CF990168}" name="2091-92" dataDxfId="2986" totalsRowDxfId="2985" dataCellStyle="Normal 2 2 2" totalsRowCellStyle="Normal 2 2 2"/>
    <tableColumn id="79" xr3:uid="{AE4221D9-5215-448C-92A2-2F9ACBC4D99C}" name="2092-93" dataDxfId="2984" totalsRowDxfId="2983" dataCellStyle="Normal 2 2 2" totalsRowCellStyle="Normal 2 2 2"/>
    <tableColumn id="80" xr3:uid="{B50C3730-21B8-496E-9987-2FFC0E1995D8}" name="2093-94" dataDxfId="2982" totalsRowDxfId="2981" dataCellStyle="Normal 2 2 2" totalsRowCellStyle="Normal 2 2 2"/>
    <tableColumn id="81" xr3:uid="{F1454AA8-6CC0-427E-A108-94D246F8483F}" name="2094-95" dataDxfId="2980" totalsRowDxfId="2979" dataCellStyle="Normal 2 2 2" totalsRowCellStyle="Normal 2 2 2"/>
    <tableColumn id="82" xr3:uid="{A6B079A1-CCED-4787-9C1A-A1FDB12440B7}" name="2095-96" dataDxfId="2978" totalsRowDxfId="2977" dataCellStyle="Normal 2 2 2" totalsRowCellStyle="Normal 2 2 2"/>
    <tableColumn id="83" xr3:uid="{B2FE7CEF-8723-47FE-943B-10E8EBEF67BB}" name="2096-97" dataDxfId="2976" totalsRowDxfId="2975" dataCellStyle="Normal 2 2 2" totalsRowCellStyle="Normal 2 2 2"/>
    <tableColumn id="84" xr3:uid="{046B3D1E-38F6-45F7-B5FA-8AB34C2AFA5C}" name="2097-98" dataDxfId="2974" totalsRowDxfId="2973" dataCellStyle="Normal 2 2 2" totalsRowCellStyle="Normal 2 2 2"/>
    <tableColumn id="85" xr3:uid="{6B94DB7C-5373-4B76-ACAE-7B344B6B5F26}" name="2098-99" dataDxfId="2972" totalsRowDxfId="2971" dataCellStyle="Normal 2 2 2" totalsRowCellStyle="Normal 2 2 2"/>
    <tableColumn id="86" xr3:uid="{99BC46FC-1A5F-4EB4-A9A2-CA728276B20B}" name="2099-100" dataDxfId="2970" totalsRowDxfId="2969" dataCellStyle="Normal 2 2 2" totalsRowCellStyle="Normal 2 2 2"/>
  </tableColumns>
  <tableStyleInfo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1B81A012-7A7A-4450-A3B7-C54B51CE6884}" name="TBL3d_DYCPBL_13_ESWESX" displayName="TBL3d_DYCPBL_13_ESWESX" ref="B204:CI272" totalsRowShown="0" headerRowDxfId="2968" dataDxfId="2967" tableBorderDxfId="2966" headerRowCellStyle="Normal 2 2 2">
  <autoFilter ref="B204:CI272" xr:uid="{EF444EF1-EE1B-4FAA-8C28-6DC5D0EEB936}"/>
  <tableColumns count="86">
    <tableColumn id="1" xr3:uid="{30BA929A-D52A-4B2A-911A-87EBE3470F8F}" name="WRMP24 reference" dataDxfId="2965" dataCellStyle="Normal 2 2 2"/>
    <tableColumn id="2" xr3:uid="{1183025F-E387-4C70-B0BD-2CD71EA1BDEB}" name="Component" dataDxfId="2964" dataCellStyle="Normal 2 2 2"/>
    <tableColumn id="3" xr3:uid="{2CA939F8-B81D-4465-9DDE-D0BA423E2C27}" name="Derivation" dataDxfId="2963" dataCellStyle="Normal 2 2 2"/>
    <tableColumn id="4" xr3:uid="{46E0AF4C-57A4-41B8-8A53-C5456689E400}" name="Unit" dataDxfId="2962" dataCellStyle="Normal 2 2 2"/>
    <tableColumn id="5" xr3:uid="{F01F4C3A-3E9F-4BD3-BFF0-CFFC8003EB8D}" name="Decimal places" dataDxfId="2961" dataCellStyle="Normal 2 2 2"/>
    <tableColumn id="6" xr3:uid="{ED3AE9B4-C53F-4A7F-9967-02B8A7EF38D0}" name="2019-20" dataDxfId="2960"/>
    <tableColumn id="7" xr3:uid="{07C5A5A3-4736-411F-8AD7-F252C4F065EF}" name="2020-21" dataDxfId="2959"/>
    <tableColumn id="8" xr3:uid="{55B51371-C77A-4227-94E5-D619320C39C6}" name="2021-22" dataDxfId="2958"/>
    <tableColumn id="9" xr3:uid="{567219FE-33AB-4DDD-B510-9B9D41EB15C2}" name="2022-23" dataDxfId="2957"/>
    <tableColumn id="10" xr3:uid="{6A82E35E-9928-4450-8364-77A760BDE785}" name="2023-24" dataDxfId="2956"/>
    <tableColumn id="11" xr3:uid="{C6A7E885-1980-486C-9D40-35A7FE99F050}" name="2024-25" dataDxfId="2955"/>
    <tableColumn id="12" xr3:uid="{B808A676-33BA-41CD-AB32-43E030B36F2D}" name="2025-26" dataDxfId="2954"/>
    <tableColumn id="13" xr3:uid="{C2F884DC-7A4A-4243-A504-B26C45A54C0E}" name="2026-27" dataDxfId="2953"/>
    <tableColumn id="14" xr3:uid="{F1634C2C-D7DC-4FC2-B561-E8C4163D48E0}" name="2027-28" dataDxfId="2952"/>
    <tableColumn id="15" xr3:uid="{EF7C6A74-257B-411F-A4F5-3946A3087739}" name="2028-29" dataDxfId="2951"/>
    <tableColumn id="16" xr3:uid="{15ED4B25-5DF8-4ECE-8C72-A4F42B7B74E0}" name="2029-30" dataDxfId="2950"/>
    <tableColumn id="17" xr3:uid="{14253EA7-36F8-461C-BB3A-57BD2D7DEC51}" name="2030-31" dataDxfId="2949"/>
    <tableColumn id="18" xr3:uid="{69725785-81B0-4810-9B3E-F324B6465990}" name="2031-32" dataDxfId="2948"/>
    <tableColumn id="19" xr3:uid="{EC0EAEC5-3024-4E08-99C2-D5B59A7AE0BD}" name="2032-33" dataDxfId="2947"/>
    <tableColumn id="20" xr3:uid="{7705146F-FBFC-4348-9F3D-95932B4C51F7}" name="2033-34" dataDxfId="2946"/>
    <tableColumn id="21" xr3:uid="{012540A6-DDCB-48F1-B5D1-D8062AAC4C8B}" name="2034-35" dataDxfId="2945"/>
    <tableColumn id="22" xr3:uid="{A030A8C6-0348-4DF0-8725-5A0ED1893F04}" name="2035-36" dataDxfId="2944"/>
    <tableColumn id="23" xr3:uid="{91461E0D-71C5-42F0-B913-59FA577ABCA1}" name="2036-37" dataDxfId="2943"/>
    <tableColumn id="24" xr3:uid="{A8A60948-77AC-4F77-9340-64463DB869A1}" name="2037-38" dataDxfId="2942"/>
    <tableColumn id="25" xr3:uid="{88A611F3-D3BB-4475-A6F6-67AD16F2C72D}" name="2038-39" dataDxfId="2941"/>
    <tableColumn id="26" xr3:uid="{C14B3B13-FC85-4625-A1F0-8D6B9BDFB769}" name="2039-40" dataDxfId="2940"/>
    <tableColumn id="27" xr3:uid="{2DFE65A2-E452-4F37-A7D9-00DBEFBEC0A6}" name="2040-41" dataDxfId="2939"/>
    <tableColumn id="28" xr3:uid="{F6820B8B-EF13-477F-AEB3-DA8862027963}" name="2041-42" dataDxfId="2938"/>
    <tableColumn id="29" xr3:uid="{906D14EA-A9AB-4DC4-B50C-A7C57CA6097A}" name="2042-43" dataDxfId="2937"/>
    <tableColumn id="30" xr3:uid="{7C91C13A-0A54-4DD6-B4FE-A8B4239ADAD9}" name="2043-44" dataDxfId="2936"/>
    <tableColumn id="31" xr3:uid="{148A25A7-22E1-4B28-AF8B-0548A29AA4AB}" name="2044-45" dataDxfId="2935"/>
    <tableColumn id="32" xr3:uid="{41AAE432-0AE0-4385-ACF2-ACB25770D9A1}" name="2045-46" dataDxfId="2934"/>
    <tableColumn id="33" xr3:uid="{24BCB93E-1F8B-4358-8A71-455515ABBFDE}" name="2046-47" dataDxfId="2933"/>
    <tableColumn id="34" xr3:uid="{F21D2615-8AF7-4206-BE52-7A67DA8FFF37}" name="2047-48" dataDxfId="2932"/>
    <tableColumn id="35" xr3:uid="{A904DBE9-2CE2-4E6A-8F63-353500EFB8BF}" name="2048-49" dataDxfId="2931"/>
    <tableColumn id="36" xr3:uid="{3A1F76AF-81B6-4977-955E-71581C903A9E}" name="2049-50" dataDxfId="2930"/>
    <tableColumn id="37" xr3:uid="{2099D77C-71A9-4A17-A758-C8A75C2A5BBD}" name="2050-51" dataDxfId="2929"/>
    <tableColumn id="38" xr3:uid="{279DEA34-1FA5-479A-B445-613595DF2176}" name="2051-52" dataDxfId="2928"/>
    <tableColumn id="39" xr3:uid="{69DF03C5-139B-4D04-AC40-DC4F9CF6674D}" name="2052-53" dataDxfId="2927"/>
    <tableColumn id="40" xr3:uid="{6DA6FA92-3198-4335-ADA0-036E1AF64496}" name="2053-54" dataDxfId="2926"/>
    <tableColumn id="41" xr3:uid="{FB9B07E3-41D3-4E5E-885C-5D52DD39388B}" name="2054-55" dataDxfId="2925"/>
    <tableColumn id="42" xr3:uid="{13C5D267-33AB-4214-A293-E750D6965809}" name="2055-56" dataDxfId="2924"/>
    <tableColumn id="43" xr3:uid="{C23F3C1E-8ACB-4BD8-ABC8-7D7BBA17A5AB}" name="2056-57" dataDxfId="2923"/>
    <tableColumn id="44" xr3:uid="{1A1D3251-0601-4BCA-806C-F7B179559596}" name="2057-58" dataDxfId="2922"/>
    <tableColumn id="45" xr3:uid="{26097D9E-4DE3-453E-B4DA-663B6F1F8E43}" name="2058-59" dataDxfId="2921"/>
    <tableColumn id="46" xr3:uid="{9D2BE2C2-FB56-4ACD-8CFE-1FDC3E637206}" name="2059-60" dataDxfId="2920"/>
    <tableColumn id="47" xr3:uid="{1FABF7F2-8B72-4A84-B071-0A75E3DF086D}" name="2060-61" dataDxfId="2919"/>
    <tableColumn id="48" xr3:uid="{C62EB8A1-0EAF-457E-B562-D239A46168B0}" name="2061-62" dataDxfId="2918"/>
    <tableColumn id="49" xr3:uid="{A6CB8130-DC6E-4B9F-8045-2508C0B9E6D9}" name="2062-63" dataDxfId="2917"/>
    <tableColumn id="50" xr3:uid="{A8805082-2C7A-43AF-ACB2-87C5090DFAFB}" name="2063-64" dataDxfId="2916"/>
    <tableColumn id="51" xr3:uid="{2D784D08-F1F8-49EF-B17B-3C71E8A961BA}" name="2064-65" dataDxfId="2915"/>
    <tableColumn id="52" xr3:uid="{34FF3FE8-9213-4471-917B-0D4253665A77}" name="2065-66" dataDxfId="2914"/>
    <tableColumn id="53" xr3:uid="{C1C41945-595E-47AE-9DBE-762EB81BE724}" name="2066-67" dataDxfId="2913"/>
    <tableColumn id="54" xr3:uid="{59CDE3A4-C173-4C8F-B03D-86D0021F3B14}" name="2067-68" dataDxfId="2912"/>
    <tableColumn id="55" xr3:uid="{4A3C6C6D-566D-49AF-8898-DE241B0414E6}" name="2068-69" dataDxfId="2911"/>
    <tableColumn id="56" xr3:uid="{BC3F4550-3EB6-40C2-AFFE-88E7D8B3900A}" name="2069-70" dataDxfId="2910"/>
    <tableColumn id="57" xr3:uid="{32C5D785-9927-48E8-91D9-415702CF733E}" name="2070-71" dataDxfId="2909"/>
    <tableColumn id="58" xr3:uid="{695B381A-274D-4C85-A14E-4D26C45785A2}" name="2071-72" dataDxfId="2908"/>
    <tableColumn id="59" xr3:uid="{FFB2D992-A4F2-4DE5-848C-94DF799BA0C4}" name="2072-73" dataDxfId="2907"/>
    <tableColumn id="60" xr3:uid="{D4816F85-1DF8-464C-AA23-C4CC7C27D6B5}" name="2073-74" dataDxfId="2906"/>
    <tableColumn id="61" xr3:uid="{BCD3748F-9A31-4ED7-9C31-43E6FA57FD8E}" name="2074-75" dataDxfId="2905"/>
    <tableColumn id="62" xr3:uid="{7B83C5EC-3E94-46C3-9373-197C1505D64C}" name="2075-76" dataDxfId="2904"/>
    <tableColumn id="63" xr3:uid="{43BE72D2-AC0C-4FCE-A76F-48A45BD2C866}" name="2076-77" dataDxfId="2903"/>
    <tableColumn id="64" xr3:uid="{B1B94FDB-FFEE-478B-95A5-FEA584FF0965}" name="2077-78" dataDxfId="2902"/>
    <tableColumn id="65" xr3:uid="{718CCEE1-1C0A-4346-B32E-1A5C992F8332}" name="2078-79" dataDxfId="2901"/>
    <tableColumn id="66" xr3:uid="{98D28D36-7287-4680-8186-9BBA69A7190F}" name="2079-80" dataDxfId="2900"/>
    <tableColumn id="67" xr3:uid="{79C0C918-0BDA-4C2A-81E2-809A9FBE0251}" name="2080-81" dataDxfId="2899"/>
    <tableColumn id="68" xr3:uid="{DDDCA16A-B586-4E94-80ED-5411D4A03EF1}" name="2081-82" dataDxfId="2898"/>
    <tableColumn id="69" xr3:uid="{205E53C3-B373-45DA-9F69-A5B727F7A966}" name="2082-83" dataDxfId="2897"/>
    <tableColumn id="70" xr3:uid="{38C4D7C1-FA60-49E0-8C36-A0CB6292664F}" name="2083-84" dataDxfId="2896"/>
    <tableColumn id="71" xr3:uid="{4D4AFD9A-FAD0-4433-BAE7-B60C7D48AFA9}" name="2084-85" dataDxfId="2895"/>
    <tableColumn id="72" xr3:uid="{06B010CB-A573-4FAB-986A-E0279EC023B3}" name="2085-86" dataDxfId="2894"/>
    <tableColumn id="73" xr3:uid="{00DC83E7-F7FF-44CF-85B0-2A564BBE4A3A}" name="2086-87" dataDxfId="2893"/>
    <tableColumn id="74" xr3:uid="{6DD9849F-0C73-4DCC-8CEB-03701340F619}" name="2087-88" dataDxfId="2892"/>
    <tableColumn id="75" xr3:uid="{EF33381C-5C35-4230-998C-BC693064D8C0}" name="2088-89" dataDxfId="2891"/>
    <tableColumn id="76" xr3:uid="{F23844EE-13C1-40C4-B09D-38B04FBE8335}" name="2089-90" dataDxfId="2890"/>
    <tableColumn id="77" xr3:uid="{CA47950B-A0DC-49E2-BB79-9AD4C594ED0A}" name="2090-91" dataDxfId="2889"/>
    <tableColumn id="78" xr3:uid="{DD0E8A02-9872-4BD8-8AA9-0B1F95CC81FC}" name="2091-92" dataDxfId="2888"/>
    <tableColumn id="79" xr3:uid="{4117017F-E685-4187-BA3F-DECCBAA4D521}" name="2092-93" dataDxfId="2887"/>
    <tableColumn id="80" xr3:uid="{44460EAD-2EE0-4B6A-A05D-32A04E4CD2D2}" name="2093-94" dataDxfId="2886"/>
    <tableColumn id="81" xr3:uid="{34ED32C9-5F33-4FFA-BB7D-1B4790D21763}" name="2094-95" dataDxfId="2885"/>
    <tableColumn id="82" xr3:uid="{1C6F7B0D-F106-412E-A933-83BB47AE775B}" name="2095-96" dataDxfId="2884"/>
    <tableColumn id="83" xr3:uid="{3AF66B85-BDFA-4B68-8E65-5DFD78249DF7}" name="2096-97" dataDxfId="2883"/>
    <tableColumn id="84" xr3:uid="{96C14008-5008-4DD1-9A14-44BED64E6270}" name="2097-98" dataDxfId="2882"/>
    <tableColumn id="85" xr3:uid="{48A86CBE-8C9F-471D-9B4D-2A0B3D5332F4}" name="2098-99" dataDxfId="2881"/>
    <tableColumn id="86" xr3:uid="{7BAFAD8E-F483-423A-957B-299FBC891807}" name="2099-100" dataDxfId="2880"/>
  </tableColumns>
  <tableStyleInfo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E452C563-AB72-4753-A749-7411EE81CA45}" name="TBL3e_DYCPOpt_14_ESWESX" displayName="TBL3e_DYCPOpt_14_ESWESX" ref="B275:CI299" totalsRowShown="0" headerRowDxfId="2879" dataDxfId="2877" headerRowBorderDxfId="2878" tableBorderDxfId="2876" headerRowCellStyle="Normal 2 2 2" dataCellStyle="Normal 2 2 2">
  <autoFilter ref="B275:CI299" xr:uid="{B33704DC-CAA1-4030-BE9C-FA3044FC1D63}"/>
  <tableColumns count="86">
    <tableColumn id="1" xr3:uid="{50107A64-355D-40DD-9E7C-DB62CEB1AF51}" name="WRMP24 reference" dataDxfId="2875" dataCellStyle="Normal 2 2 2"/>
    <tableColumn id="2" xr3:uid="{D99A990A-4BEB-4A4C-834F-8EB4B97DDA1F}" name="Option type" dataDxfId="2874" dataCellStyle="Normal 2 2 2"/>
    <tableColumn id="3" xr3:uid="{8F3F68B9-5C09-44C3-9D65-2FC311629852}" name="Cat ID" dataDxfId="2873" dataCellStyle="Normal 2 2 2"/>
    <tableColumn id="4" xr3:uid="{213BC0E3-5467-4AF4-A8C0-5B97538ADEAA}" name="Unit" dataDxfId="2872" dataCellStyle="Normal 2 2 2"/>
    <tableColumn id="5" xr3:uid="{CEF20800-223B-4EC5-B260-1C326EBE7EE9}" name="Decimal places" dataDxfId="2871" dataCellStyle="Normal 2 2 2"/>
    <tableColumn id="6" xr3:uid="{037AD670-16ED-4320-9274-4B3AE9DAA4DD}" name="2019-20" dataDxfId="2870" dataCellStyle="Normal 2 2 2"/>
    <tableColumn id="7" xr3:uid="{B3C99E44-BEE9-4B8A-807F-35E6EDDBE163}" name="2020-21" dataDxfId="2869" dataCellStyle="Normal 2 2 2"/>
    <tableColumn id="8" xr3:uid="{35A14C7F-6165-48DB-8024-35D21D67E53E}" name="2021-22" dataDxfId="2868" dataCellStyle="Normal 2 2 2"/>
    <tableColumn id="9" xr3:uid="{C8F3DA08-4FDB-498E-97C9-B7FA75732239}" name="2022-23" dataDxfId="2867" dataCellStyle="Normal 2 2 2"/>
    <tableColumn id="10" xr3:uid="{03260110-5B6F-4AC1-B1D8-E871D1FCD66B}" name="2023-24" dataDxfId="2866" dataCellStyle="Normal 2 2 2"/>
    <tableColumn id="11" xr3:uid="{997DE2E1-4557-4673-B4A5-966E8E360EB2}" name="2024-25" dataDxfId="2865" dataCellStyle="Normal 2 2 2"/>
    <tableColumn id="12" xr3:uid="{C4C2AB0F-1CF1-44C6-9BAE-654AC681BD27}" name="2025-26" dataDxfId="2864" dataCellStyle="Normal 2 2 2"/>
    <tableColumn id="13" xr3:uid="{9102C046-AB96-4DA0-84EC-6A70B39B5045}" name="2026-27" dataDxfId="2863" dataCellStyle="Normal 2 2 2"/>
    <tableColumn id="14" xr3:uid="{E8EF1CDA-99B3-4BB1-97C0-2225FCE83EB9}" name="2027-28" dataDxfId="2862" dataCellStyle="Normal 2 2 2"/>
    <tableColumn id="15" xr3:uid="{9C914C86-C27F-4C53-8AF6-D2E0936F7C43}" name="2028-29" dataDxfId="2861" dataCellStyle="Normal 2 2 2"/>
    <tableColumn id="16" xr3:uid="{C4B6C71B-1828-42A0-B1C2-349948849F2B}" name="2029-30" dataDxfId="2860" dataCellStyle="Normal 2 2 2"/>
    <tableColumn id="17" xr3:uid="{ED701C90-2F0C-4B4C-8CAF-C1FB69E55739}" name="2030-31" dataDxfId="2859" dataCellStyle="Normal 2 2 2"/>
    <tableColumn id="18" xr3:uid="{D8F573FF-6BB5-47A0-8F21-2448E0CB5840}" name="2031-32" dataDxfId="2858" dataCellStyle="Normal 2 2 2"/>
    <tableColumn id="19" xr3:uid="{E4ECA447-1159-41AA-8064-458C98E4E68C}" name="2032-33" dataDxfId="2857" dataCellStyle="Normal 2 2 2"/>
    <tableColumn id="20" xr3:uid="{1898CBCA-FB6C-4D01-B55E-33E29C36B9C2}" name="2033-34" dataDxfId="2856" dataCellStyle="Normal 2 2 2"/>
    <tableColumn id="21" xr3:uid="{A76C0F97-47F9-4A5D-B5B8-11C7D51D4C8B}" name="2034-35" dataDxfId="2855" dataCellStyle="Normal 2 2 2"/>
    <tableColumn id="22" xr3:uid="{9008B25F-8C8B-46B7-AAA9-33C0AAB6D085}" name="2035-36" dataDxfId="2854" dataCellStyle="Normal 2 2 2"/>
    <tableColumn id="23" xr3:uid="{9FED51E3-7035-42F9-B0BF-209635FE7542}" name="2036-37" dataDxfId="2853" dataCellStyle="Normal 2 2 2"/>
    <tableColumn id="24" xr3:uid="{55281890-8960-4D3F-B5F1-BC362F03BE25}" name="2037-38" dataDxfId="2852" dataCellStyle="Normal 2 2 2"/>
    <tableColumn id="25" xr3:uid="{7025B1E2-E7A2-438A-993C-F77F4D7B6AD3}" name="2038-39" dataDxfId="2851" dataCellStyle="Normal 2 2 2"/>
    <tableColumn id="26" xr3:uid="{891E4FF4-4CE3-43EC-BB3D-CB86A5FF9621}" name="2039-40" dataDxfId="2850" dataCellStyle="Normal 2 2 2"/>
    <tableColumn id="27" xr3:uid="{C4981E99-9D74-495E-87E6-85EC3FE1381C}" name="2040-41" dataDxfId="2849" dataCellStyle="Normal 2 2 2"/>
    <tableColumn id="28" xr3:uid="{8606CE3F-C29F-49EE-91A5-678AF8C70DFC}" name="2041-42" dataDxfId="2848" dataCellStyle="Normal 2 2 2"/>
    <tableColumn id="29" xr3:uid="{87041B5C-7149-4C5B-BE47-27215806500E}" name="2042-43" dataDxfId="2847" dataCellStyle="Normal 2 2 2"/>
    <tableColumn id="30" xr3:uid="{E13CE6D0-22AA-473D-A3D9-84B0542054FF}" name="2043-44" dataDxfId="2846" dataCellStyle="Normal 2 2 2"/>
    <tableColumn id="31" xr3:uid="{B02D5DFE-DD8C-4369-A1FF-DC092C0CE4AE}" name="2044-45" dataDxfId="2845" dataCellStyle="Normal 2 2 2"/>
    <tableColumn id="32" xr3:uid="{78A6673C-BA4F-4483-B186-3EDD9312826A}" name="2045-46" dataDxfId="2844" dataCellStyle="Normal 2 2 2"/>
    <tableColumn id="33" xr3:uid="{5EB2E616-36C9-422D-AC14-7D96DE673736}" name="2046-47" dataDxfId="2843" dataCellStyle="Normal 2 2 2"/>
    <tableColumn id="34" xr3:uid="{F965273E-E4BB-4B77-95E9-B0274457E1F3}" name="2047-48" dataDxfId="2842" dataCellStyle="Normal 2 2 2"/>
    <tableColumn id="35" xr3:uid="{3845C484-9E0B-435B-9E75-23158E3EF503}" name="2048-49" dataDxfId="2841" dataCellStyle="Normal 2 2 2"/>
    <tableColumn id="36" xr3:uid="{6E66CA42-5EED-442D-9EA8-837B4851593E}" name="2049-50" dataDxfId="2840" dataCellStyle="Normal 2 2 2"/>
    <tableColumn id="37" xr3:uid="{0EE548E8-4F8F-44D7-BBB7-C18E98BF4B0A}" name="2050-51" dataDxfId="2839" dataCellStyle="Normal 2 2 2"/>
    <tableColumn id="38" xr3:uid="{26809319-4DA2-4004-8F16-79A7EB95A9F3}" name="2051-52" dataDxfId="2838" dataCellStyle="Normal 2 2 2"/>
    <tableColumn id="39" xr3:uid="{CA254A5B-500F-46F0-9050-9455CF8A2BFD}" name="2052-53" dataDxfId="2837" dataCellStyle="Normal 2 2 2"/>
    <tableColumn id="40" xr3:uid="{0BDF3F4A-09CC-4E4C-B9C3-416AB07875CD}" name="2053-54" dataDxfId="2836" dataCellStyle="Normal 2 2 2"/>
    <tableColumn id="41" xr3:uid="{912ACB04-42F9-4879-BFAB-C3052DE5D001}" name="2054-55" dataDxfId="2835" dataCellStyle="Normal 2 2 2"/>
    <tableColumn id="42" xr3:uid="{366A9BFD-5794-4B9C-A8C9-4BB8B98C336D}" name="2055-56" dataDxfId="2834" dataCellStyle="Normal 2 2 2"/>
    <tableColumn id="43" xr3:uid="{83F6057D-9668-40FA-82FB-127E5FC07A29}" name="2056-57" dataDxfId="2833" dataCellStyle="Normal 2 2 2"/>
    <tableColumn id="44" xr3:uid="{BF9E1878-18DA-4E8B-88BE-9C8215721B98}" name="2057-58" dataDxfId="2832" dataCellStyle="Normal 2 2 2"/>
    <tableColumn id="45" xr3:uid="{6EB23BBE-AE0C-4C84-B717-F1B92B53D6F4}" name="2058-59" dataDxfId="2831" dataCellStyle="Normal 2 2 2"/>
    <tableColumn id="46" xr3:uid="{2F500404-2507-4833-83DD-374019148FB5}" name="2059-60" dataDxfId="2830" dataCellStyle="Normal 2 2 2"/>
    <tableColumn id="47" xr3:uid="{98529CAD-9BE2-4245-BF3E-2C25C177A6B7}" name="2060-61" dataDxfId="2829" dataCellStyle="Normal 2 2 2"/>
    <tableColumn id="48" xr3:uid="{BCF33FAB-88C8-42C7-A26D-EE138CAC1506}" name="2061-62" dataDxfId="2828" dataCellStyle="Normal 2 2 2"/>
    <tableColumn id="49" xr3:uid="{432974A0-2D91-4551-AA33-638F1E717869}" name="2062-63" dataDxfId="2827" dataCellStyle="Normal 2 2 2"/>
    <tableColumn id="50" xr3:uid="{1049E248-0143-40DC-9146-24E20AB3F6CA}" name="2063-64" dataDxfId="2826" dataCellStyle="Normal 2 2 2"/>
    <tableColumn id="51" xr3:uid="{30B24339-E1AF-4984-9D0B-7EDC16AF4E9F}" name="2064-65" dataDxfId="2825" dataCellStyle="Normal 2 2 2"/>
    <tableColumn id="52" xr3:uid="{EA1F82A9-9403-4738-AB97-263CCEC092D2}" name="2065-66" dataDxfId="2824" dataCellStyle="Normal 2 2 2"/>
    <tableColumn id="53" xr3:uid="{E19CA759-1D83-40A8-ABB4-71D6EE1E5F91}" name="2066-67" dataDxfId="2823" dataCellStyle="Normal 2 2 2"/>
    <tableColumn id="54" xr3:uid="{8633760D-AA60-491E-872D-D5BBAA7A083D}" name="2067-68" dataDxfId="2822" dataCellStyle="Normal 2 2 2"/>
    <tableColumn id="55" xr3:uid="{2D210EE1-98D6-470D-9EBB-C05A696829B5}" name="2068-69" dataDxfId="2821" dataCellStyle="Normal 2 2 2"/>
    <tableColumn id="56" xr3:uid="{DAAD7EF9-C3C6-49FC-8546-44804CF3F1C9}" name="2069-70" dataDxfId="2820" dataCellStyle="Normal 2 2 2"/>
    <tableColumn id="57" xr3:uid="{C017C26F-3C5C-479A-AD1E-E76F9E15D177}" name="2070-71" dataDxfId="2819" dataCellStyle="Normal 2 2 2"/>
    <tableColumn id="58" xr3:uid="{28017523-22B4-4DFF-943A-7B9E36C83FEA}" name="2071-72" dataDxfId="2818" dataCellStyle="Normal 2 2 2"/>
    <tableColumn id="59" xr3:uid="{12415B4D-E883-4CD5-94F4-FBBFA76CF838}" name="2072-73" dataDxfId="2817" dataCellStyle="Normal 2 2 2"/>
    <tableColumn id="60" xr3:uid="{D8B294ED-4518-4A06-A322-8F12CCCAD7C4}" name="2073-74" dataDxfId="2816" dataCellStyle="Normal 2 2 2"/>
    <tableColumn id="61" xr3:uid="{6D6741DF-9ECD-4ABC-9C1C-031FA3A5297A}" name="2074-75" dataDxfId="2815" dataCellStyle="Normal 2 2 2"/>
    <tableColumn id="62" xr3:uid="{33B67680-1FCD-42A5-AAD4-FFC975AEEC97}" name="2075-76" dataDxfId="2814" dataCellStyle="Normal 2 2 2"/>
    <tableColumn id="63" xr3:uid="{38E2E868-CA77-4332-8523-59FE4EB20AD9}" name="2076-77" dataDxfId="2813" dataCellStyle="Normal 2 2 2"/>
    <tableColumn id="64" xr3:uid="{C9A3BF5F-702C-41F2-AD3B-5ECD214B9B45}" name="2077-78" dataDxfId="2812" dataCellStyle="Normal 2 2 2"/>
    <tableColumn id="65" xr3:uid="{AE1B11D5-1788-405C-8981-F81FE513F09E}" name="2078-79" dataDxfId="2811" dataCellStyle="Normal 2 2 2"/>
    <tableColumn id="66" xr3:uid="{D3A638BD-4E86-4B04-96D4-94AAE31B6D5E}" name="2079-80" dataDxfId="2810" dataCellStyle="Normal 2 2 2"/>
    <tableColumn id="67" xr3:uid="{F35E1A0B-06C3-4A13-BCC5-8BD828FE4BCE}" name="2080-81" dataDxfId="2809" dataCellStyle="Normal 2 2 2"/>
    <tableColumn id="68" xr3:uid="{DFF3412F-8EAA-401C-AF5D-8F8D24BB5C05}" name="2081-82" dataDxfId="2808" dataCellStyle="Normal 2 2 2"/>
    <tableColumn id="69" xr3:uid="{4D02B524-63A4-4556-8F17-276FBB8C7059}" name="2082-83" dataDxfId="2807" dataCellStyle="Normal 2 2 2"/>
    <tableColumn id="70" xr3:uid="{D0406027-DFBB-4932-9D6A-8B5826A611ED}" name="2083-84" dataDxfId="2806" dataCellStyle="Normal 2 2 2"/>
    <tableColumn id="71" xr3:uid="{A23F802B-A97E-467B-829F-244D3A95BE32}" name="2084-85" dataDxfId="2805" dataCellStyle="Normal 2 2 2"/>
    <tableColumn id="72" xr3:uid="{9EEAF588-BF37-4874-A271-2AFD50702381}" name="2085-86" dataDxfId="2804" dataCellStyle="Normal 2 2 2"/>
    <tableColumn id="73" xr3:uid="{F65F9949-4B76-4173-998B-00D6CD4C2289}" name="2086-87" dataDxfId="2803" dataCellStyle="Normal 2 2 2"/>
    <tableColumn id="74" xr3:uid="{BC3C2481-D511-4F90-82B2-FCB66CF2669F}" name="2087-88" dataDxfId="2802" dataCellStyle="Normal 2 2 2"/>
    <tableColumn id="75" xr3:uid="{4AA2437A-94A4-439A-BF62-5C3C51AC593F}" name="2088-89" dataDxfId="2801" dataCellStyle="Normal 2 2 2"/>
    <tableColumn id="76" xr3:uid="{CC76D77E-0554-40AD-B11E-F7EA0B6AEB1E}" name="2089-90" dataDxfId="2800" dataCellStyle="Normal 2 2 2"/>
    <tableColumn id="77" xr3:uid="{0B3D4DE4-8494-4BEF-B624-10CBDDE7B040}" name="2090-91" dataDxfId="2799" dataCellStyle="Normal 2 2 2"/>
    <tableColumn id="78" xr3:uid="{928B476C-A1F0-44A9-9E68-A8AA96B80888}" name="2091-92" dataDxfId="2798" dataCellStyle="Normal 2 2 2"/>
    <tableColumn id="79" xr3:uid="{515B3E90-14AD-4AB2-B091-649D293219CC}" name="2092-93" dataDxfId="2797" dataCellStyle="Normal 2 2 2"/>
    <tableColumn id="80" xr3:uid="{E7803EA3-B011-4F18-B892-253E4FC59B3C}" name="2093-94" dataDxfId="2796" dataCellStyle="Normal 2 2 2"/>
    <tableColumn id="81" xr3:uid="{66878CDC-AE12-4BE9-9919-E674381D2DF9}" name="2094-95" dataDxfId="2795" dataCellStyle="Normal 2 2 2"/>
    <tableColumn id="82" xr3:uid="{42B5C626-918C-4C22-A267-0D253D83B210}" name="2095-96" dataDxfId="2794" dataCellStyle="Normal 2 2 2"/>
    <tableColumn id="83" xr3:uid="{B0A787BF-1719-4214-8EEC-7E259EF64C2D}" name="2096-97" dataDxfId="2793" dataCellStyle="Normal 2 2 2"/>
    <tableColumn id="84" xr3:uid="{42DF7A2B-D435-4943-A376-F0228E26A12B}" name="2097-98" dataDxfId="2792" dataCellStyle="Normal 2 2 2"/>
    <tableColumn id="85" xr3:uid="{6349F559-2823-478E-AF4D-0AE71D66351A}" name="2098-99" dataDxfId="2791" dataCellStyle="Normal 2 2 2"/>
    <tableColumn id="86" xr3:uid="{65C67E68-F662-4B33-B8F9-BC5B30D0C71A}" name="2099-100" dataDxfId="2790" dataCellStyle="Normal 2 2 2"/>
  </tableColumns>
  <tableStyleInfo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BA4F88F9-BB35-42C0-8B96-91911318CB4D}" name="TBL3f_DYCPFP_15_ESWESX" displayName="TBL3f_DYCPFP_15_ESWESX" ref="B302:CI363" totalsRowCount="1" headerRowDxfId="2789" dataDxfId="2788" tableBorderDxfId="2787" headerRowCellStyle="Normal 2 2 2" dataCellStyle="Normal 2 2 2">
  <autoFilter ref="B302:CI362" xr:uid="{32E764BE-BE3E-4B03-A38E-34B0BA9403F0}"/>
  <tableColumns count="86">
    <tableColumn id="1" xr3:uid="{D6D5866B-CB90-42B0-9B95-CD0ADAF7FA1F}" name="WRMP24 reference" dataDxfId="2786" totalsRowDxfId="2785" dataCellStyle="Normal 2 2 2" totalsRowCellStyle="Normal 2 2 2"/>
    <tableColumn id="2" xr3:uid="{35705ED4-E56D-4DA3-A6E3-2B6571AEE138}" name="Component" dataDxfId="2784" totalsRowDxfId="2783" dataCellStyle="Normal 2 2 2" totalsRowCellStyle="Normal 2 2 2"/>
    <tableColumn id="3" xr3:uid="{2D402DEC-DB51-44D0-BADE-41B9A7C03526}" name="Derivation" dataDxfId="2782" totalsRowDxfId="2781" dataCellStyle="Normal 2 2 2" totalsRowCellStyle="Normal 2 2 2"/>
    <tableColumn id="4" xr3:uid="{8B1346E9-A6F9-49B5-9878-3FEAD643D754}" name="Unit" dataDxfId="2780" totalsRowDxfId="2779" dataCellStyle="Normal 2 2 2" totalsRowCellStyle="Normal 2 2 2"/>
    <tableColumn id="5" xr3:uid="{594AA427-C9C1-4AD5-92E9-A68F2882BCC6}" name="Decimal places" dataDxfId="2778" totalsRowDxfId="2777" dataCellStyle="Normal 2 2 2" totalsRowCellStyle="Normal 2 2 2"/>
    <tableColumn id="6" xr3:uid="{76328C2D-3D01-4115-87E9-852A54CAC569}" name="2019-20" dataDxfId="2776" totalsRowDxfId="2775" dataCellStyle="Normal 2 2 2" totalsRowCellStyle="Normal 2 2 2"/>
    <tableColumn id="7" xr3:uid="{48AAED02-79F6-47A0-9845-B485B5DC5DED}" name="2020-21" dataDxfId="2774" totalsRowDxfId="2773" dataCellStyle="Normal 2 2 2" totalsRowCellStyle="Normal 2 2 2"/>
    <tableColumn id="8" xr3:uid="{B69CC5F7-7168-4A21-BAE0-5FBA86FE8DA1}" name="2021-22" dataDxfId="2772" totalsRowDxfId="2771" dataCellStyle="Normal 2 2 2" totalsRowCellStyle="Normal 2 2 2"/>
    <tableColumn id="9" xr3:uid="{9E86B51C-6DD0-4CB9-9E57-D11F7CBC84F6}" name="2022-23" dataDxfId="2770" totalsRowDxfId="2769" dataCellStyle="Normal 2 2 2" totalsRowCellStyle="Normal 2 2 2"/>
    <tableColumn id="10" xr3:uid="{D9C93FA6-BC4C-4095-A7EE-BD5A7DECD818}" name="2023-24" dataDxfId="2768" totalsRowDxfId="2767" dataCellStyle="Normal 2 2 2" totalsRowCellStyle="Normal 2 2 2"/>
    <tableColumn id="11" xr3:uid="{F0F1D57B-20F3-43D3-A7AB-9ABCE5FD167D}" name="2024-25" dataDxfId="2766" totalsRowDxfId="2765" dataCellStyle="Normal 2 2 2" totalsRowCellStyle="Normal 2 2 2"/>
    <tableColumn id="12" xr3:uid="{DC7538A8-83CD-4A29-AE49-D7FAA1CACF2A}" name="2025-26" dataDxfId="2764" totalsRowDxfId="2763" dataCellStyle="Normal 2 2 2" totalsRowCellStyle="Normal 2 2 2"/>
    <tableColumn id="13" xr3:uid="{5DEF5E71-902B-4AC3-A4D1-B6D5B34ED9F9}" name="2026-27" dataDxfId="2762" totalsRowDxfId="2761" dataCellStyle="Normal 2 2 2" totalsRowCellStyle="Normal 2 2 2"/>
    <tableColumn id="14" xr3:uid="{97B9A954-9E80-4432-B4F2-B33490195A76}" name="2027-28" dataDxfId="2760" totalsRowDxfId="2759" dataCellStyle="Normal 2 2 2" totalsRowCellStyle="Normal 2 2 2"/>
    <tableColumn id="15" xr3:uid="{F050A46F-DBCC-4D48-8D84-6B8B8C552F01}" name="2028-29" dataDxfId="2758" totalsRowDxfId="2757" dataCellStyle="Normal 2 2 2" totalsRowCellStyle="Normal 2 2 2"/>
    <tableColumn id="16" xr3:uid="{F4A8BF7E-093A-4A52-A636-1E6252D974BB}" name="2029-30" dataDxfId="2756" totalsRowDxfId="2755" dataCellStyle="Normal 2 2 2" totalsRowCellStyle="Normal 2 2 2"/>
    <tableColumn id="17" xr3:uid="{469A9521-0434-41FC-981A-C27EA77121A1}" name="2030-31" dataDxfId="2754" totalsRowDxfId="2753" dataCellStyle="Normal 2 2 2" totalsRowCellStyle="Normal 2 2 2"/>
    <tableColumn id="18" xr3:uid="{F9EE5887-6AAE-4F0E-9089-F83B1042CF2A}" name="2031-32" dataDxfId="2752" totalsRowDxfId="2751" dataCellStyle="Normal 2 2 2" totalsRowCellStyle="Normal 2 2 2"/>
    <tableColumn id="19" xr3:uid="{CD2315F3-E225-4D7F-86BF-A80A2AAF4391}" name="2032-33" dataDxfId="2750" totalsRowDxfId="2749" dataCellStyle="Normal 2 2 2" totalsRowCellStyle="Normal 2 2 2"/>
    <tableColumn id="20" xr3:uid="{AC30FC89-BF36-4023-8675-C58E1E5D6951}" name="2033-34" dataDxfId="2748" totalsRowDxfId="2747" dataCellStyle="Normal 2 2 2" totalsRowCellStyle="Normal 2 2 2"/>
    <tableColumn id="21" xr3:uid="{7AF098A4-A700-4150-A2BB-F6F5AFCA5837}" name="2034-35" dataDxfId="2746" totalsRowDxfId="2745" dataCellStyle="Normal 2 2 2" totalsRowCellStyle="Normal 2 2 2"/>
    <tableColumn id="22" xr3:uid="{E9488950-F5B1-40F5-A41C-033323D3B118}" name="2035-36" dataDxfId="2744" totalsRowDxfId="2743" dataCellStyle="Normal 2 2 2" totalsRowCellStyle="Normal 2 2 2"/>
    <tableColumn id="23" xr3:uid="{009C6320-B41E-482F-9711-D1A32134C9B6}" name="2036-37" dataDxfId="2742" totalsRowDxfId="2741" dataCellStyle="Normal 2 2 2" totalsRowCellStyle="Normal 2 2 2"/>
    <tableColumn id="24" xr3:uid="{5F35AA74-9D21-4CBE-9963-47AD3D42721B}" name="2037-38" dataDxfId="2740" totalsRowDxfId="2739" dataCellStyle="Normal 2 2 2" totalsRowCellStyle="Normal 2 2 2"/>
    <tableColumn id="25" xr3:uid="{276A6C02-3DB9-4830-A865-8171469B111C}" name="2038-39" dataDxfId="2738" totalsRowDxfId="2737" dataCellStyle="Normal 2 2 2" totalsRowCellStyle="Normal 2 2 2"/>
    <tableColumn id="26" xr3:uid="{B21E4E23-30ED-4744-BE1E-A06F1E323F7E}" name="2039-40" dataDxfId="2736" totalsRowDxfId="2735" dataCellStyle="Normal 2 2 2" totalsRowCellStyle="Normal 2 2 2"/>
    <tableColumn id="27" xr3:uid="{278FBA31-9540-4DA7-8916-E9279572D4B4}" name="2040-41" dataDxfId="2734" totalsRowDxfId="2733" dataCellStyle="Normal 2 2 2" totalsRowCellStyle="Normal 2 2 2"/>
    <tableColumn id="28" xr3:uid="{4777A1CC-FC44-46FA-AF23-055BC0F22160}" name="2041-42" dataDxfId="2732" totalsRowDxfId="2731" dataCellStyle="Normal 2 2 2" totalsRowCellStyle="Normal 2 2 2"/>
    <tableColumn id="29" xr3:uid="{988FB9F8-12FB-4F97-993D-174F4F1CD3BA}" name="2042-43" dataDxfId="2730" totalsRowDxfId="2729" dataCellStyle="Normal 2 2 2" totalsRowCellStyle="Normal 2 2 2"/>
    <tableColumn id="30" xr3:uid="{B6900706-2744-4D5F-8015-4E6E6A4A85C7}" name="2043-44" dataDxfId="2728" totalsRowDxfId="2727" dataCellStyle="Normal 2 2 2" totalsRowCellStyle="Normal 2 2 2"/>
    <tableColumn id="31" xr3:uid="{9445F783-4EE1-4720-BDBF-B956C3CF775A}" name="2044-45" dataDxfId="2726" totalsRowDxfId="2725" dataCellStyle="Normal 2 2 2" totalsRowCellStyle="Normal 2 2 2"/>
    <tableColumn id="32" xr3:uid="{DC77855C-4DD6-49D5-9741-3DBF19397322}" name="2045-46" dataDxfId="2724" totalsRowDxfId="2723" dataCellStyle="Normal 2 2 2" totalsRowCellStyle="Normal 2 2 2"/>
    <tableColumn id="33" xr3:uid="{1B73BB53-86B9-42F4-B787-DE9A1E04CDCB}" name="2046-47" dataDxfId="2722" totalsRowDxfId="2721" dataCellStyle="Normal 2 2 2" totalsRowCellStyle="Normal 2 2 2"/>
    <tableColumn id="34" xr3:uid="{3E1EC169-EFCF-44A3-B529-67F5846A0B93}" name="2047-48" dataDxfId="2720" totalsRowDxfId="2719" dataCellStyle="Normal 2 2 2" totalsRowCellStyle="Normal 2 2 2"/>
    <tableColumn id="35" xr3:uid="{2B4536D4-6C64-4ED3-9602-5E08E02E44E8}" name="2048-49" dataDxfId="2718" totalsRowDxfId="2717" dataCellStyle="Normal 2 2 2" totalsRowCellStyle="Normal 2 2 2"/>
    <tableColumn id="36" xr3:uid="{3F4B9AE0-B972-4DE8-9CCF-B3F98341F2A4}" name="2049-50" dataDxfId="2716" totalsRowDxfId="2715" dataCellStyle="Normal 2 2 2" totalsRowCellStyle="Normal 2 2 2"/>
    <tableColumn id="37" xr3:uid="{B66C6A6B-4759-48D6-837C-AF38CFEB7F0B}" name="2050-51" dataDxfId="2714" totalsRowDxfId="2713" dataCellStyle="Normal 2 2 2" totalsRowCellStyle="Normal 2 2 2"/>
    <tableColumn id="38" xr3:uid="{616D5D13-6DBE-4A67-A0EC-D25BE0BE79A1}" name="2051-52" dataDxfId="2712" totalsRowDxfId="2711" dataCellStyle="Normal 2 2 2" totalsRowCellStyle="Normal 2 2 2"/>
    <tableColumn id="39" xr3:uid="{29054EA6-5E1B-4592-BD78-8C2A820391EF}" name="2052-53" dataDxfId="2710" totalsRowDxfId="2709" dataCellStyle="Normal 2 2 2" totalsRowCellStyle="Normal 2 2 2"/>
    <tableColumn id="40" xr3:uid="{89637E0A-0DCA-4C1C-B9DF-1B1E14234580}" name="2053-54" dataDxfId="2708" totalsRowDxfId="2707" dataCellStyle="Normal 2 2 2" totalsRowCellStyle="Normal 2 2 2"/>
    <tableColumn id="41" xr3:uid="{B517DCBD-B58A-4D28-AC82-0B22CDAF59B9}" name="2054-55" dataDxfId="2706" totalsRowDxfId="2705" dataCellStyle="Normal 2 2 2" totalsRowCellStyle="Normal 2 2 2"/>
    <tableColumn id="42" xr3:uid="{703AD2BB-7B8B-4A05-BCEC-FAA6F104ACE6}" name="2055-56" dataDxfId="2704" totalsRowDxfId="2703" dataCellStyle="Normal 2 2 2" totalsRowCellStyle="Normal 2 2 2"/>
    <tableColumn id="43" xr3:uid="{262516B9-5CB9-4273-933C-EFE963454B79}" name="2056-57" dataDxfId="2702" totalsRowDxfId="2701" dataCellStyle="Normal 2 2 2" totalsRowCellStyle="Normal 2 2 2"/>
    <tableColumn id="44" xr3:uid="{897738EB-4E92-4D2F-A443-7F757A156AB1}" name="2057-58" dataDxfId="2700" totalsRowDxfId="2699" dataCellStyle="Normal 2 2 2" totalsRowCellStyle="Normal 2 2 2"/>
    <tableColumn id="45" xr3:uid="{AD4A9A98-75CB-4764-9B27-9DCBDC2143A8}" name="2058-59" dataDxfId="2698" totalsRowDxfId="2697" dataCellStyle="Normal 2 2 2" totalsRowCellStyle="Normal 2 2 2"/>
    <tableColumn id="46" xr3:uid="{5F0C2838-FD95-4D29-9D1B-AA382AA53B9D}" name="2059-60" dataDxfId="2696" totalsRowDxfId="2695" dataCellStyle="Normal 2 2 2" totalsRowCellStyle="Normal 2 2 2"/>
    <tableColumn id="47" xr3:uid="{2ECF2468-B917-4C12-8DAD-19457FF31787}" name="2060-61" dataDxfId="2694" totalsRowDxfId="2693" dataCellStyle="Normal 2 2 2" totalsRowCellStyle="Normal 2 2 2"/>
    <tableColumn id="48" xr3:uid="{2A808C27-D7D8-42E2-9919-62044B60CE63}" name="2061-62" dataDxfId="2692" totalsRowDxfId="2691" dataCellStyle="Normal 2 2 2" totalsRowCellStyle="Normal 2 2 2"/>
    <tableColumn id="49" xr3:uid="{6568134A-78AF-4199-B215-3A055A4E3C2C}" name="2062-63" dataDxfId="2690" totalsRowDxfId="2689" dataCellStyle="Normal 2 2 2" totalsRowCellStyle="Normal 2 2 2"/>
    <tableColumn id="50" xr3:uid="{DAD726B9-CB37-45BB-A380-0F00C5C45BE1}" name="2063-64" dataDxfId="2688" totalsRowDxfId="2687" dataCellStyle="Normal 2 2 2" totalsRowCellStyle="Normal 2 2 2"/>
    <tableColumn id="51" xr3:uid="{85039DBD-B453-480D-98A0-EAB31221E049}" name="2064-65" dataDxfId="2686" totalsRowDxfId="2685" dataCellStyle="Normal 2 2 2" totalsRowCellStyle="Normal 2 2 2"/>
    <tableColumn id="52" xr3:uid="{DC3B24F2-790C-47D8-83D0-DE67855F4092}" name="2065-66" dataDxfId="2684" totalsRowDxfId="2683" dataCellStyle="Normal 2 2 2" totalsRowCellStyle="Normal 2 2 2"/>
    <tableColumn id="53" xr3:uid="{31C931BE-54F0-4134-8574-2AC9CB213972}" name="2066-67" dataDxfId="2682" totalsRowDxfId="2681" dataCellStyle="Normal 2 2 2" totalsRowCellStyle="Normal 2 2 2"/>
    <tableColumn id="54" xr3:uid="{256669FF-5FDE-49F0-8857-C83D4F35ACE3}" name="2067-68" dataDxfId="2680" totalsRowDxfId="2679" dataCellStyle="Normal 2 2 2" totalsRowCellStyle="Normal 2 2 2"/>
    <tableColumn id="55" xr3:uid="{E21F217B-908B-47E2-8C69-E1E497531884}" name="2068-69" dataDxfId="2678" totalsRowDxfId="2677" dataCellStyle="Normal 2 2 2" totalsRowCellStyle="Normal 2 2 2"/>
    <tableColumn id="56" xr3:uid="{702001A3-2199-47C7-8D19-A6785C607A75}" name="2069-70" dataDxfId="2676" totalsRowDxfId="2675" dataCellStyle="Normal 2 2 2" totalsRowCellStyle="Normal 2 2 2"/>
    <tableColumn id="57" xr3:uid="{1BD03D0F-E10D-4F9E-9C80-2EDBC81A3B62}" name="2070-71" dataDxfId="2674" totalsRowDxfId="2673" dataCellStyle="Normal 2 2 2" totalsRowCellStyle="Normal 2 2 2"/>
    <tableColumn id="58" xr3:uid="{82F2157B-0D3A-41A9-A022-542AB2CA5B03}" name="2071-72" dataDxfId="2672" totalsRowDxfId="2671" dataCellStyle="Normal 2 2 2" totalsRowCellStyle="Normal 2 2 2"/>
    <tableColumn id="59" xr3:uid="{5FFB0E71-BD56-4EA3-9A1B-C32D1CA73719}" name="2072-73" dataDxfId="2670" totalsRowDxfId="2669" dataCellStyle="Normal 2 2 2" totalsRowCellStyle="Normal 2 2 2"/>
    <tableColumn id="60" xr3:uid="{D603A48E-2979-43C1-B4B9-D1FD7F43171E}" name="2073-74" dataDxfId="2668" totalsRowDxfId="2667" dataCellStyle="Normal 2 2 2" totalsRowCellStyle="Normal 2 2 2"/>
    <tableColumn id="61" xr3:uid="{59FD0C2C-022F-4B86-B7BB-1EC53CA29BFD}" name="2074-75" dataDxfId="2666" totalsRowDxfId="2665" dataCellStyle="Normal 2 2 2" totalsRowCellStyle="Normal 2 2 2"/>
    <tableColumn id="62" xr3:uid="{FB348AAD-3C2B-4AC0-AC8C-0053F79BD477}" name="2075-76" dataDxfId="2664" totalsRowDxfId="2663" dataCellStyle="Normal 2 2 2" totalsRowCellStyle="Normal 2 2 2"/>
    <tableColumn id="63" xr3:uid="{CC28FE7F-9410-4319-86C9-C8A48FCA7A28}" name="2076-77" dataDxfId="2662" totalsRowDxfId="2661" dataCellStyle="Normal 2 2 2" totalsRowCellStyle="Normal 2 2 2"/>
    <tableColumn id="64" xr3:uid="{1A370E78-9B60-4AA8-AF74-7BE0D41F4796}" name="2077-78" dataDxfId="2660" totalsRowDxfId="2659" dataCellStyle="Normal 2 2 2" totalsRowCellStyle="Normal 2 2 2"/>
    <tableColumn id="65" xr3:uid="{45B5F1C9-18DC-40DE-AC2C-A112AB692C58}" name="2078-79" dataDxfId="2658" totalsRowDxfId="2657" dataCellStyle="Normal 2 2 2" totalsRowCellStyle="Normal 2 2 2"/>
    <tableColumn id="66" xr3:uid="{E7B5CABF-5CEF-42C9-B28D-0E00B4D9596E}" name="2079-80" dataDxfId="2656" totalsRowDxfId="2655" dataCellStyle="Normal 2 2 2" totalsRowCellStyle="Normal 2 2 2"/>
    <tableColumn id="67" xr3:uid="{B420CB68-885E-4FC3-926E-FC22CCDE6237}" name="2080-81" dataDxfId="2654" totalsRowDxfId="2653" dataCellStyle="Normal 2 2 2" totalsRowCellStyle="Normal 2 2 2"/>
    <tableColumn id="68" xr3:uid="{D857690D-1D27-4548-8327-61395B691B3D}" name="2081-82" dataDxfId="2652" totalsRowDxfId="2651" dataCellStyle="Normal 2 2 2" totalsRowCellStyle="Normal 2 2 2"/>
    <tableColumn id="69" xr3:uid="{5E354B0E-9AFE-4E69-8749-334DF0F40DD2}" name="2082-83" dataDxfId="2650" totalsRowDxfId="2649" dataCellStyle="Normal 2 2 2" totalsRowCellStyle="Normal 2 2 2"/>
    <tableColumn id="70" xr3:uid="{7EE3D3F1-5A20-421A-8644-117B28026F39}" name="2083-84" dataDxfId="2648" totalsRowDxfId="2647" dataCellStyle="Normal 2 2 2" totalsRowCellStyle="Normal 2 2 2"/>
    <tableColumn id="71" xr3:uid="{DA51A85E-7CB4-4415-93D2-649B323202A1}" name="2084-85" dataDxfId="2646" totalsRowDxfId="2645" dataCellStyle="Normal 2 2 2" totalsRowCellStyle="Normal 2 2 2"/>
    <tableColumn id="72" xr3:uid="{270A393F-0A98-49A6-B8C5-9C690BD1E3F8}" name="2085-86" dataDxfId="2644" totalsRowDxfId="2643" dataCellStyle="Normal 2 2 2" totalsRowCellStyle="Normal 2 2 2"/>
    <tableColumn id="73" xr3:uid="{46ECB3DA-6F90-4AD5-9A4E-2E80C948121A}" name="2086-87" dataDxfId="2642" totalsRowDxfId="2641" dataCellStyle="Normal 2 2 2" totalsRowCellStyle="Normal 2 2 2"/>
    <tableColumn id="74" xr3:uid="{BEB82866-7D30-4F9B-AC4E-9B7836914D26}" name="2087-88" dataDxfId="2640" totalsRowDxfId="2639" dataCellStyle="Normal 2 2 2" totalsRowCellStyle="Normal 2 2 2"/>
    <tableColumn id="75" xr3:uid="{5E5455CC-754C-4400-B062-EF19F0DE96E0}" name="2088-89" dataDxfId="2638" totalsRowDxfId="2637" dataCellStyle="Normal 2 2 2" totalsRowCellStyle="Normal 2 2 2"/>
    <tableColumn id="76" xr3:uid="{79886848-9488-497D-9163-FFD5B0460FAE}" name="2089-90" dataDxfId="2636" totalsRowDxfId="2635" dataCellStyle="Normal 2 2 2" totalsRowCellStyle="Normal 2 2 2"/>
    <tableColumn id="77" xr3:uid="{7DA6B499-7BB7-4BAD-ACB1-8B92AB9A9020}" name="2090-91" dataDxfId="2634" totalsRowDxfId="2633" dataCellStyle="Normal 2 2 2" totalsRowCellStyle="Normal 2 2 2"/>
    <tableColumn id="78" xr3:uid="{659F0255-9750-492E-9CC6-83A827CB2D65}" name="2091-92" dataDxfId="2632" totalsRowDxfId="2631" dataCellStyle="Normal 2 2 2" totalsRowCellStyle="Normal 2 2 2"/>
    <tableColumn id="79" xr3:uid="{6A75D267-A9D2-4420-BA80-F76121C41AB1}" name="2092-93" dataDxfId="2630" totalsRowDxfId="2629" dataCellStyle="Normal 2 2 2" totalsRowCellStyle="Normal 2 2 2"/>
    <tableColumn id="80" xr3:uid="{8A91D8B5-32C2-4E23-9DDE-127F7538F97A}" name="2093-94" dataDxfId="2628" totalsRowDxfId="2627" dataCellStyle="Normal 2 2 2" totalsRowCellStyle="Normal 2 2 2"/>
    <tableColumn id="81" xr3:uid="{0E58A59A-B231-46AE-931D-8783AC1C656D}" name="2094-95" dataDxfId="2626" totalsRowDxfId="2625" dataCellStyle="Normal 2 2 2" totalsRowCellStyle="Normal 2 2 2"/>
    <tableColumn id="82" xr3:uid="{74E607DA-5DEC-4530-A35F-8E1EC5E3A897}" name="2095-96" dataDxfId="2624" totalsRowDxfId="2623" dataCellStyle="Normal 2 2 2" totalsRowCellStyle="Normal 2 2 2"/>
    <tableColumn id="83" xr3:uid="{F7814E05-E48A-477F-93F9-394E069C6CA1}" name="2096-97" dataDxfId="2622" totalsRowDxfId="2621" dataCellStyle="Normal 2 2 2" totalsRowCellStyle="Normal 2 2 2"/>
    <tableColumn id="84" xr3:uid="{6F9F83DC-3B58-4B3B-B50B-9D8F278246E9}" name="2097-98" dataDxfId="2620" totalsRowDxfId="2619" dataCellStyle="Normal 2 2 2" totalsRowCellStyle="Normal 2 2 2"/>
    <tableColumn id="85" xr3:uid="{26ADC411-0B00-406F-B5B5-45419B2D903F}" name="2098-99" dataDxfId="2618" totalsRowDxfId="2617" dataCellStyle="Normal 2 2 2" totalsRowCellStyle="Normal 2 2 2"/>
    <tableColumn id="86" xr3:uid="{21580FAE-3A4F-4648-BEFD-AC0B5FB57297}" name="2099-100" dataDxfId="2616" totalsRowDxfId="2615" dataCellStyle="Normal 2 2 2" totalsRowCellStyle="Normal 2 2 2"/>
  </tableColumns>
  <tableStyleInfo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6ED25B3C-501F-4182-9C4D-5FE666CD699D}" name="TBL3a_DYAABL_10_ESWHRT" displayName="TBL3a_DYAABL_10_ESWHRT" ref="B23:CI92" totalsRowShown="0" headerRowDxfId="2515" dataDxfId="2514" tableBorderDxfId="2513" headerRowCellStyle="Normal 2 2 2">
  <autoFilter ref="B23:CI92" xr:uid="{D893CB9E-6419-4938-B8EA-592538CC25DE}"/>
  <tableColumns count="86">
    <tableColumn id="1" xr3:uid="{F3C2E9E1-D0D6-455D-9B78-267EC8CD626C}" name="WRMP24 reference" dataDxfId="2512" dataCellStyle="Normal 2 2 2"/>
    <tableColumn id="2" xr3:uid="{5B0C42F2-BAD4-400A-ACE1-4DB9E2AF3923}" name="Component" dataDxfId="2511" dataCellStyle="Normal 2 2 2"/>
    <tableColumn id="3" xr3:uid="{D84D9F35-8201-4A41-A5D0-0AD8279CA107}" name="Derivation" dataDxfId="2510" dataCellStyle="Normal 2 2 2"/>
    <tableColumn id="4" xr3:uid="{CA0EDE96-5853-4BFF-ABE0-FA607D0BE967}" name="Unit" dataDxfId="2509" dataCellStyle="Normal 2 2 2"/>
    <tableColumn id="5" xr3:uid="{8762D071-294A-4162-8BEE-31BCB2F6EBCD}" name="Decimal places" dataDxfId="2508" dataCellStyle="Normal 2 2 2"/>
    <tableColumn id="6" xr3:uid="{BAA9611B-1B91-444D-8DCA-9073704F0210}" name="2019-20" dataDxfId="2507"/>
    <tableColumn id="7" xr3:uid="{055CEF78-F414-4C84-9818-4DAACBB50A7D}" name="2020-21" dataDxfId="2506"/>
    <tableColumn id="8" xr3:uid="{6DAE4FE1-D7FF-495E-BFFE-7534A4A038C1}" name="2021-22" dataDxfId="2505"/>
    <tableColumn id="9" xr3:uid="{B9AA6D1F-4A7E-4C19-B256-3567495CE2E7}" name="2022-23" dataDxfId="2504"/>
    <tableColumn id="10" xr3:uid="{1CE98A47-79F8-4E1B-B05E-8B6D7F2088F5}" name="2023-24" dataDxfId="2503"/>
    <tableColumn id="11" xr3:uid="{EE84A71F-6981-4C5C-B470-B2984DC1B3A7}" name="2024-25" dataDxfId="2502"/>
    <tableColumn id="12" xr3:uid="{60D647B5-1542-449B-AB57-D51F5E4B162B}" name="2025-26" dataDxfId="2501"/>
    <tableColumn id="13" xr3:uid="{A400649D-3037-4AF5-94F5-9D8EB4C96626}" name="2026-27" dataDxfId="2500"/>
    <tableColumn id="14" xr3:uid="{C69D49AB-4398-493A-A680-31620551B6C2}" name="2027-28" dataDxfId="2499"/>
    <tableColumn id="15" xr3:uid="{A8E0EF38-DDEB-456D-BA86-27993A45FEE9}" name="2028-29" dataDxfId="2498"/>
    <tableColumn id="16" xr3:uid="{45913C06-ABB2-42F4-AE96-E607B97B115C}" name="2029-30" dataDxfId="2497"/>
    <tableColumn id="17" xr3:uid="{422496FA-E8C3-4042-9EFB-99A6201CAC3C}" name="2030-31" dataDxfId="2496"/>
    <tableColumn id="18" xr3:uid="{F36B3300-A182-4C5F-8894-E1F1611D22C0}" name="2031-32" dataDxfId="2495"/>
    <tableColumn id="19" xr3:uid="{2593DBB7-425F-470C-B111-0CFFE78CFD14}" name="2032-33" dataDxfId="2494"/>
    <tableColumn id="20" xr3:uid="{8EF6A073-311A-4FA7-82DB-C6B5552DCB74}" name="2033-34" dataDxfId="2493"/>
    <tableColumn id="21" xr3:uid="{792DFEBB-E183-4489-92E9-2B58962450F3}" name="2034-35" dataDxfId="2492"/>
    <tableColumn id="22" xr3:uid="{F60408DC-CA8C-498B-B393-303A3B1D458B}" name="2035-36" dataDxfId="2491"/>
    <tableColumn id="23" xr3:uid="{0849CFA6-1A10-48D7-ADA9-4AF712C6C9AC}" name="2036-37" dataDxfId="2490"/>
    <tableColumn id="24" xr3:uid="{7751412B-E592-4BE2-B6B6-24630BF92037}" name="2037-38" dataDxfId="2489"/>
    <tableColumn id="25" xr3:uid="{57F95F95-B4BA-409A-AB60-A12053896C25}" name="2038-39" dataDxfId="2488"/>
    <tableColumn id="26" xr3:uid="{10A31884-0922-4859-82CE-678B24432E6B}" name="2039-40" dataDxfId="2487"/>
    <tableColumn id="27" xr3:uid="{030005B2-6DCE-44A5-A329-BC07AE7B9537}" name="2040-41" dataDxfId="2486"/>
    <tableColumn id="28" xr3:uid="{3E0D4FFC-ED52-4B6E-8525-CA5840D668E8}" name="2041-42" dataDxfId="2485"/>
    <tableColumn id="29" xr3:uid="{2BA90AFB-A007-4DF6-A8EF-7573BBB73B6F}" name="2042-43" dataDxfId="2484"/>
    <tableColumn id="30" xr3:uid="{D63244ED-FB38-46E9-9EDB-9207B685F50D}" name="2043-44" dataDxfId="2483"/>
    <tableColumn id="31" xr3:uid="{B5316629-D80D-4A5D-B516-85E892EEB536}" name="2044-45" dataDxfId="2482"/>
    <tableColumn id="32" xr3:uid="{9EC29567-DCF0-4E3E-9ECB-F3427306AE2E}" name="2045-46" dataDxfId="2481"/>
    <tableColumn id="33" xr3:uid="{287C8C78-E0A6-4DD0-810A-BEBD671B7144}" name="2046-47" dataDxfId="2480"/>
    <tableColumn id="34" xr3:uid="{E6463148-8BC5-444D-BBEC-D8E5FD522E47}" name="2047-48" dataDxfId="2479"/>
    <tableColumn id="35" xr3:uid="{24E4DF20-051C-4F02-81EF-4F3F244BD021}" name="2048-49" dataDxfId="2478"/>
    <tableColumn id="36" xr3:uid="{4EB5A9B2-B42A-403E-8CC6-5A0D0B07CF73}" name="2049-50" dataDxfId="2477"/>
    <tableColumn id="37" xr3:uid="{A117106D-EA83-4D28-AA56-CACA36F2D8F7}" name="2050-51" dataDxfId="2476"/>
    <tableColumn id="38" xr3:uid="{EEA63767-819C-4471-8352-2DFA85F76FFF}" name="2051-52" dataDxfId="2475"/>
    <tableColumn id="39" xr3:uid="{2533758A-8D04-49E9-8060-BFB1E6C5752A}" name="2052-53" dataDxfId="2474"/>
    <tableColumn id="40" xr3:uid="{B1147ABF-0DDB-4739-83D2-8B84EA85AAE2}" name="2053-54" dataDxfId="2473"/>
    <tableColumn id="41" xr3:uid="{91F67804-1D54-43AC-920E-C640AE808E39}" name="2054-55" dataDxfId="2472"/>
    <tableColumn id="42" xr3:uid="{43548FF4-E68C-4C51-A6D1-2FF39384A342}" name="2055-56" dataDxfId="2471"/>
    <tableColumn id="43" xr3:uid="{D0ED5422-A44E-40D6-81CF-44E393A9F455}" name="2056-57" dataDxfId="2470"/>
    <tableColumn id="44" xr3:uid="{363BA6FD-707E-43AB-A5EC-4E1BB2039F7F}" name="2057-58" dataDxfId="2469"/>
    <tableColumn id="45" xr3:uid="{38D5C15D-CF55-46FE-93C1-6C27BD77ABF6}" name="2058-59" dataDxfId="2468"/>
    <tableColumn id="46" xr3:uid="{445ABF0C-EAA0-445A-86DF-0EFAE053C081}" name="2059-60" dataDxfId="2467"/>
    <tableColumn id="47" xr3:uid="{0D29497D-0453-4B43-9023-364056CE7AF2}" name="2060-61" dataDxfId="2466"/>
    <tableColumn id="48" xr3:uid="{D2191AF5-01BD-4F7F-A415-6516019C6F05}" name="2061-62" dataDxfId="2465"/>
    <tableColumn id="49" xr3:uid="{858FDC03-CFE2-48C5-813A-7B9658C63D8F}" name="2062-63" dataDxfId="2464"/>
    <tableColumn id="50" xr3:uid="{85D2B75D-5901-4332-901B-5A0374DFF722}" name="2063-64" dataDxfId="2463"/>
    <tableColumn id="51" xr3:uid="{CA872E63-5707-419E-B349-C7E9BEB91FA5}" name="2064-65" dataDxfId="2462"/>
    <tableColumn id="52" xr3:uid="{7ABD8C2A-71F5-4A8C-8E10-1FBF564D5487}" name="2065-66" dataDxfId="2461"/>
    <tableColumn id="53" xr3:uid="{5760FF1D-06AE-4AED-8B88-854621CF5D76}" name="2066-67" dataDxfId="2460"/>
    <tableColumn id="54" xr3:uid="{7E140BA0-57E6-40A1-8027-A12CDE5522BC}" name="2067-68" dataDxfId="2459"/>
    <tableColumn id="55" xr3:uid="{36655A69-D392-42B2-8A63-F79200132612}" name="2068-69" dataDxfId="2458"/>
    <tableColumn id="56" xr3:uid="{9C274B98-A28B-4537-8209-BD147A6F7790}" name="2069-70" dataDxfId="2457"/>
    <tableColumn id="57" xr3:uid="{143DB8CD-6E09-4A88-B2CE-3A6F40DB28C1}" name="2070-71" dataDxfId="2456"/>
    <tableColumn id="58" xr3:uid="{2028FE3B-8DEC-4AA3-A975-AAC4237781FA}" name="2071-72" dataDxfId="2455"/>
    <tableColumn id="59" xr3:uid="{021CEB09-9464-4374-99EB-B6EEE785B28A}" name="2072-73" dataDxfId="2454"/>
    <tableColumn id="60" xr3:uid="{B0871865-6C3A-4B7B-A864-108A01B2DE16}" name="2073-74" dataDxfId="2453"/>
    <tableColumn id="61" xr3:uid="{7F5611A3-58FF-4A28-968F-91F0C48B5E25}" name="2074-75" dataDxfId="2452"/>
    <tableColumn id="62" xr3:uid="{24EEB571-FD5B-49BE-95AF-AC4566D7E60B}" name="2075-76" dataDxfId="2451"/>
    <tableColumn id="63" xr3:uid="{851D108A-042A-46CD-BF31-664E326BF504}" name="2076-77" dataDxfId="2450"/>
    <tableColumn id="64" xr3:uid="{840BF113-C4CA-4F30-85D7-CB7FB04698AC}" name="2077-78" dataDxfId="2449"/>
    <tableColumn id="65" xr3:uid="{DF729F81-50D3-4E92-B5A0-0C9857789978}" name="2078-79" dataDxfId="2448"/>
    <tableColumn id="66" xr3:uid="{A7ED5776-766B-4DB0-8ADE-B91000009692}" name="2079-80" dataDxfId="2447"/>
    <tableColumn id="67" xr3:uid="{24061C92-4189-4B19-885C-8003598B2A0E}" name="2080-81" dataDxfId="2446"/>
    <tableColumn id="68" xr3:uid="{B05F6E43-1167-4013-831D-9971D816CA3A}" name="2081-82" dataDxfId="2445"/>
    <tableColumn id="69" xr3:uid="{BEF3BFB0-2642-43C1-AE7D-23EE05A9EF80}" name="2082-83" dataDxfId="2444"/>
    <tableColumn id="70" xr3:uid="{EE25B04B-8B8E-484E-AB72-9E0ED314579A}" name="2083-84" dataDxfId="2443"/>
    <tableColumn id="71" xr3:uid="{7E3DB5A3-1720-4860-A055-603FDBECF0AA}" name="2084-85" dataDxfId="2442"/>
    <tableColumn id="72" xr3:uid="{1EB776C7-1F8E-4C29-9E15-E0D01E651AE4}" name="2085-86" dataDxfId="2441"/>
    <tableColumn id="73" xr3:uid="{79421029-B161-46B0-9127-F8237B421308}" name="2086-87" dataDxfId="2440"/>
    <tableColumn id="74" xr3:uid="{B0463CA8-963A-44F1-9DE7-8018EEFDC4DF}" name="2087-88" dataDxfId="2439"/>
    <tableColumn id="75" xr3:uid="{547D091C-2574-45D5-9A03-02356956B910}" name="2088-89" dataDxfId="2438"/>
    <tableColumn id="76" xr3:uid="{D042FAA4-E759-453D-9FE5-28E37AB96EEF}" name="2089-90" dataDxfId="2437"/>
    <tableColumn id="77" xr3:uid="{E83846D1-066E-4450-8E41-93B3C9261C7B}" name="2090-91" dataDxfId="2436"/>
    <tableColumn id="78" xr3:uid="{39EBB0AF-FE9B-4DB6-BC59-2A9F2D3970A9}" name="2091-92" dataDxfId="2435"/>
    <tableColumn id="79" xr3:uid="{21FAF04D-8FF6-4E3D-B454-D5CD87634D52}" name="2092-93" dataDxfId="2434"/>
    <tableColumn id="80" xr3:uid="{406F5B5E-45BF-4CFD-AFF6-BAD6B1648961}" name="2093-94" dataDxfId="2433"/>
    <tableColumn id="81" xr3:uid="{3DD342C1-78F3-48DC-9A06-EB1975FF2323}" name="2094-95" dataDxfId="2432"/>
    <tableColumn id="82" xr3:uid="{94DA10B9-457A-4B7E-A2DF-50415FF97AD5}" name="2095-96" dataDxfId="2431"/>
    <tableColumn id="83" xr3:uid="{2E71581A-7982-467D-B6F2-FB3A3D5BFC1A}" name="2096-97" dataDxfId="2430"/>
    <tableColumn id="84" xr3:uid="{22832C90-1659-4F39-AA8A-B7872E69A9CC}" name="2097-98" dataDxfId="2429"/>
    <tableColumn id="85" xr3:uid="{E697C3F7-E1ED-4E0B-82BF-8DAFFE0ED067}" name="2098-99" dataDxfId="2428"/>
    <tableColumn id="86" xr3:uid="{B1F155D6-D120-4AC8-A4E4-BE5CCAAA6C84}" name="2099-100" dataDxfId="2427"/>
  </tableColumns>
  <tableStyleInfo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2DB00005-8D9B-4414-9F68-C9C21EB45DEA}" name="TBL3b_DYAAOpt_11_ESWHRT" displayName="TBL3b_DYAAOpt_11_ESWHRT" ref="B94:CI119" totalsRowCount="1" headerRowDxfId="2426" dataDxfId="2424" headerRowBorderDxfId="2425" tableBorderDxfId="2423" headerRowCellStyle="Normal 2 2 2" dataCellStyle="Normal 2 2 2">
  <autoFilter ref="B94:CI118" xr:uid="{D5EFB056-0F2B-4E27-8197-E2FB749A3A50}"/>
  <tableColumns count="86">
    <tableColumn id="1" xr3:uid="{F2548F59-3788-40F5-B861-69E04B0C40E8}" name="WRMP24 reference" dataDxfId="2422" totalsRowDxfId="2421" dataCellStyle="Normal 2 2 2"/>
    <tableColumn id="2" xr3:uid="{8922261F-B914-498B-924B-072BE5E30800}" name="Option type" dataDxfId="2420" totalsRowDxfId="2419" dataCellStyle="Normal 2 2 2"/>
    <tableColumn id="3" xr3:uid="{FDEAC656-214F-4782-9E58-94AB30AC2360}" name="Cat ID" dataDxfId="2418" totalsRowDxfId="2417" dataCellStyle="Normal 2 2 2"/>
    <tableColumn id="4" xr3:uid="{B9ECA3AC-FCA1-4A1E-8526-BA45E39913B2}" name="Unit" dataDxfId="2416" totalsRowDxfId="2415" dataCellStyle="Normal 2 2 2"/>
    <tableColumn id="5" xr3:uid="{6A7E642D-8084-476C-9573-D31FFB643126}" name="Decimal places" dataDxfId="2414" totalsRowDxfId="2413" dataCellStyle="Normal 2 2 2"/>
    <tableColumn id="6" xr3:uid="{7BB6EA02-ACD7-476E-B3B9-19805598233C}" name="2019-20" dataDxfId="2412" totalsRowDxfId="2411" dataCellStyle="Normal 2 2 2"/>
    <tableColumn id="7" xr3:uid="{7FE6CB74-9BED-4685-9329-2B59C4545202}" name="2020-21" dataDxfId="2410" totalsRowDxfId="2409" dataCellStyle="Normal 2 2 2"/>
    <tableColumn id="8" xr3:uid="{24C59181-460D-456A-8639-8D4C4BC5008F}" name="2021-22" dataDxfId="2408" totalsRowDxfId="2407" dataCellStyle="Normal 2 2 2"/>
    <tableColumn id="9" xr3:uid="{88865E62-CF1C-4519-9140-E615BBC8D54E}" name="2022-23" dataDxfId="2406" totalsRowDxfId="2405" dataCellStyle="Normal 2 2 2"/>
    <tableColumn id="10" xr3:uid="{14DE670F-2455-47FB-B9B8-7E40DDFCD69D}" name="2023-24" dataDxfId="2404" totalsRowDxfId="2403" dataCellStyle="Normal 2 2 2"/>
    <tableColumn id="11" xr3:uid="{BF419F43-FBAA-4297-B7F0-97446A802F3A}" name="2024-25" dataDxfId="2402" totalsRowDxfId="2401" dataCellStyle="Normal 2 2 2"/>
    <tableColumn id="12" xr3:uid="{B5C2F0E7-D76C-4EC4-9387-C782DD735DA9}" name="2025-26" dataDxfId="2400" totalsRowDxfId="2399" dataCellStyle="Normal 2 2 2"/>
    <tableColumn id="13" xr3:uid="{79B3726D-36EF-4AF4-96AC-D212DCD4F336}" name="2026-27" dataDxfId="2398" totalsRowDxfId="2397" dataCellStyle="Normal 2 2 2"/>
    <tableColumn id="14" xr3:uid="{CCB2683A-B44E-4FF4-BE42-23C956FA8A54}" name="2027-28" dataDxfId="2396" totalsRowDxfId="2395" dataCellStyle="Normal 2 2 2"/>
    <tableColumn id="15" xr3:uid="{0326871E-40C9-424C-926E-9E0527D19CEF}" name="2028-29" dataDxfId="2394" totalsRowDxfId="2393" dataCellStyle="Normal 2 2 2"/>
    <tableColumn id="16" xr3:uid="{33591827-5B50-4A04-9DE5-4820C05E413B}" name="2029-30" dataDxfId="2392" totalsRowDxfId="2391" dataCellStyle="Normal 2 2 2"/>
    <tableColumn id="17" xr3:uid="{4C5407B9-48C6-4BF4-B2E1-46F817F84547}" name="2030-31" dataDxfId="2390" totalsRowDxfId="2389" dataCellStyle="Normal 2 2 2"/>
    <tableColumn id="18" xr3:uid="{C4D86E92-893B-487F-BA73-1661608592A2}" name="2031-32" dataDxfId="2388" totalsRowDxfId="2387" dataCellStyle="Normal 2 2 2"/>
    <tableColumn id="19" xr3:uid="{6581C3D3-4676-4866-8ED6-470DE63488F0}" name="2032-33" dataDxfId="2386" totalsRowDxfId="2385" dataCellStyle="Normal 2 2 2"/>
    <tableColumn id="20" xr3:uid="{C62A73EF-A06D-4B90-B2B7-058E1145B599}" name="2033-34" dataDxfId="2384" totalsRowDxfId="2383" dataCellStyle="Normal 2 2 2"/>
    <tableColumn id="21" xr3:uid="{E15354B8-69C4-42C7-8BEA-325EDF96C50A}" name="2034-35" dataDxfId="2382" totalsRowDxfId="2381" dataCellStyle="Normal 2 2 2"/>
    <tableColumn id="22" xr3:uid="{D4771DBA-EE47-4841-8C0B-7CB7B42F72D6}" name="2035-36" dataDxfId="2380" totalsRowDxfId="2379" dataCellStyle="Normal 2 2 2"/>
    <tableColumn id="23" xr3:uid="{C633979C-32C1-4416-97D5-A15A39024EDA}" name="2036-37" dataDxfId="2378" totalsRowDxfId="2377" dataCellStyle="Normal 2 2 2"/>
    <tableColumn id="24" xr3:uid="{B67D4227-8D34-4E10-9A9D-E930F94D287C}" name="2037-38" dataDxfId="2376" totalsRowDxfId="2375" dataCellStyle="Normal 2 2 2"/>
    <tableColumn id="25" xr3:uid="{122DDAB3-C487-439C-AB7A-BD633473CC78}" name="2038-39" dataDxfId="2374" totalsRowDxfId="2373" dataCellStyle="Normal 2 2 2"/>
    <tableColumn id="26" xr3:uid="{B6E4FD9C-3118-45FA-8432-E42FA4B49ADB}" name="2039-40" dataDxfId="2372" totalsRowDxfId="2371" dataCellStyle="Normal 2 2 2"/>
    <tableColumn id="27" xr3:uid="{F0954705-96B9-4750-8164-0FA19A33E135}" name="2040-41" dataDxfId="2370" totalsRowDxfId="2369" dataCellStyle="Normal 2 2 2"/>
    <tableColumn id="28" xr3:uid="{9B9D69FE-22FF-469F-A5B0-4A31DC746A45}" name="2041-42" dataDxfId="2368" totalsRowDxfId="2367" dataCellStyle="Normal 2 2 2"/>
    <tableColumn id="29" xr3:uid="{A28B3482-B508-4713-8825-52F881B29842}" name="2042-43" dataDxfId="2366" totalsRowDxfId="2365" dataCellStyle="Normal 2 2 2"/>
    <tableColumn id="30" xr3:uid="{7CC926AC-5F68-49AD-932F-45021996DCBF}" name="2043-44" dataDxfId="2364" totalsRowDxfId="2363" dataCellStyle="Normal 2 2 2"/>
    <tableColumn id="31" xr3:uid="{E76C3BF1-AC63-4EC1-8C44-94A8A47A4EA1}" name="2044-45" dataDxfId="2362" totalsRowDxfId="2361" dataCellStyle="Normal 2 2 2"/>
    <tableColumn id="32" xr3:uid="{329C9E68-AB02-4689-BDC8-9E438F558A16}" name="2045-46" dataDxfId="2360" totalsRowDxfId="2359" dataCellStyle="Normal 2 2 2"/>
    <tableColumn id="33" xr3:uid="{0E01C9FA-6F28-4C67-A39B-E450D2626985}" name="2046-47" dataDxfId="2358" totalsRowDxfId="2357" dataCellStyle="Normal 2 2 2"/>
    <tableColumn id="34" xr3:uid="{ACBD57E5-ACA9-4F23-981E-67479D959D22}" name="2047-48" dataDxfId="2356" totalsRowDxfId="2355" dataCellStyle="Normal 2 2 2"/>
    <tableColumn id="35" xr3:uid="{D5E2867C-CD7D-4D79-B70C-8A0D7928D388}" name="2048-49" dataDxfId="2354" totalsRowDxfId="2353" dataCellStyle="Normal 2 2 2"/>
    <tableColumn id="36" xr3:uid="{C25DA05D-F16C-470E-B1B8-C0997B9D7476}" name="2049-50" dataDxfId="2352" totalsRowDxfId="2351" dataCellStyle="Normal 2 2 2"/>
    <tableColumn id="37" xr3:uid="{5A5F871B-63F9-49BC-9832-6A80055E0459}" name="2050-51" dataDxfId="2350" totalsRowDxfId="2349" dataCellStyle="Normal 2 2 2"/>
    <tableColumn id="38" xr3:uid="{1C2E53BA-99A8-4968-820A-D59CDECFCCBA}" name="2051-52" dataDxfId="2348" totalsRowDxfId="2347" dataCellStyle="Normal 2 2 2"/>
    <tableColumn id="39" xr3:uid="{22727B6B-F05E-4346-8336-CED23EC2BB96}" name="2052-53" dataDxfId="2346" totalsRowDxfId="2345" dataCellStyle="Normal 2 2 2"/>
    <tableColumn id="40" xr3:uid="{110E5241-B397-4252-97C4-8923AB08B106}" name="2053-54" dataDxfId="2344" totalsRowDxfId="2343" dataCellStyle="Normal 2 2 2"/>
    <tableColumn id="41" xr3:uid="{D661CF2F-82D7-462B-8E7B-C4FE7EEF31BE}" name="2054-55" dataDxfId="2342" totalsRowDxfId="2341" dataCellStyle="Normal 2 2 2"/>
    <tableColumn id="42" xr3:uid="{2A234AD9-A682-41F1-8478-F8B1996A2B26}" name="2055-56" dataDxfId="2340" totalsRowDxfId="2339" dataCellStyle="Normal 2 2 2"/>
    <tableColumn id="43" xr3:uid="{5C8024EA-2B3A-4128-899A-834ABB8802E9}" name="2056-57" dataDxfId="2338" totalsRowDxfId="2337" dataCellStyle="Normal 2 2 2"/>
    <tableColumn id="44" xr3:uid="{9215122B-F122-4928-9265-7E22E84C23B9}" name="2057-58" dataDxfId="2336" totalsRowDxfId="2335" dataCellStyle="Normal 2 2 2"/>
    <tableColumn id="45" xr3:uid="{3FF1C894-43DE-468D-BAEB-08E2A48B609D}" name="2058-59" dataDxfId="2334" totalsRowDxfId="2333" dataCellStyle="Normal 2 2 2"/>
    <tableColumn id="46" xr3:uid="{50FBA004-033B-49B2-8951-BD42566C508A}" name="2059-60" dataDxfId="2332" totalsRowDxfId="2331" dataCellStyle="Normal 2 2 2"/>
    <tableColumn id="47" xr3:uid="{A849956A-D384-4FD7-B017-7AEA74B098BD}" name="2060-61" dataDxfId="2330" totalsRowDxfId="2329" dataCellStyle="Normal 2 2 2"/>
    <tableColumn id="48" xr3:uid="{404C2E5F-8C92-4F46-93F1-98B7A7E733DA}" name="2061-62" dataDxfId="2328" totalsRowDxfId="2327" dataCellStyle="Normal 2 2 2"/>
    <tableColumn id="49" xr3:uid="{38323209-FF84-4131-8DE3-F512753B9E73}" name="2062-63" dataDxfId="2326" totalsRowDxfId="2325" dataCellStyle="Normal 2 2 2"/>
    <tableColumn id="50" xr3:uid="{E2671108-403F-4E3F-972E-085F8EF6542C}" name="2063-64" dataDxfId="2324" totalsRowDxfId="2323" dataCellStyle="Normal 2 2 2"/>
    <tableColumn id="51" xr3:uid="{2062BF9E-6DF8-4D35-961F-62EAFE9910B0}" name="2064-65" dataDxfId="2322" totalsRowDxfId="2321" dataCellStyle="Normal 2 2 2"/>
    <tableColumn id="52" xr3:uid="{A6C63CC9-90D3-4E08-BF72-E2BC8851F996}" name="2065-66" dataDxfId="2320" totalsRowDxfId="2319" dataCellStyle="Normal 2 2 2"/>
    <tableColumn id="53" xr3:uid="{757EF1AF-5152-44C4-90D0-CE6C2613891E}" name="2066-67" dataDxfId="2318" totalsRowDxfId="2317" dataCellStyle="Normal 2 2 2"/>
    <tableColumn id="54" xr3:uid="{E18186A9-E1CA-42E3-912E-8ED9D6A6EA92}" name="2067-68" dataDxfId="2316" totalsRowDxfId="2315" dataCellStyle="Normal 2 2 2"/>
    <tableColumn id="55" xr3:uid="{19228147-7BA5-4BC2-916C-A3CF74957D42}" name="2068-69" dataDxfId="2314" totalsRowDxfId="2313" dataCellStyle="Normal 2 2 2"/>
    <tableColumn id="56" xr3:uid="{F23B90EC-5656-4D19-A9FA-D902ABA42E05}" name="2069-70" dataDxfId="2312" totalsRowDxfId="2311" dataCellStyle="Normal 2 2 2"/>
    <tableColumn id="57" xr3:uid="{C0427030-4501-4551-A00E-6DF846F93163}" name="2070-71" dataDxfId="2310" totalsRowDxfId="2309" dataCellStyle="Normal 2 2 2"/>
    <tableColumn id="58" xr3:uid="{34F046DD-C6BA-4B20-BDF8-A546DAF740F3}" name="2071-72" dataDxfId="2308" totalsRowDxfId="2307" dataCellStyle="Normal 2 2 2"/>
    <tableColumn id="59" xr3:uid="{99545116-CEB4-42B6-B5C0-5BEB82F477CF}" name="2072-73" dataDxfId="2306" totalsRowDxfId="2305" dataCellStyle="Normal 2 2 2"/>
    <tableColumn id="60" xr3:uid="{04595949-837F-4C14-8470-AFA8E4049D53}" name="2073-74" dataDxfId="2304" totalsRowDxfId="2303" dataCellStyle="Normal 2 2 2"/>
    <tableColumn id="61" xr3:uid="{B6D763F1-DCDE-4843-AD8D-C7CBF180DA99}" name="2074-75" dataDxfId="2302" totalsRowDxfId="2301" dataCellStyle="Normal 2 2 2"/>
    <tableColumn id="62" xr3:uid="{FD87E92D-AB1D-4032-B822-3C7C358BFB0E}" name="2075-76" dataDxfId="2300" totalsRowDxfId="2299" dataCellStyle="Normal 2 2 2"/>
    <tableColumn id="63" xr3:uid="{B46D5E03-1384-4F45-A495-82E300A5F228}" name="2076-77" dataDxfId="2298" totalsRowDxfId="2297" dataCellStyle="Normal 2 2 2"/>
    <tableColumn id="64" xr3:uid="{9F2F7CA6-DD62-4507-BFBC-A64F75D4276A}" name="2077-78" dataDxfId="2296" totalsRowDxfId="2295" dataCellStyle="Normal 2 2 2"/>
    <tableColumn id="65" xr3:uid="{162410D6-6C83-44C4-BFC0-FBDEE5239AA4}" name="2078-79" dataDxfId="2294" totalsRowDxfId="2293" dataCellStyle="Normal 2 2 2"/>
    <tableColumn id="66" xr3:uid="{DD383040-9A13-4D0D-B068-15C926010AF9}" name="2079-80" dataDxfId="2292" totalsRowDxfId="2291" dataCellStyle="Normal 2 2 2"/>
    <tableColumn id="67" xr3:uid="{EE0336B9-B219-4144-AEE2-8BC30D9E2207}" name="2080-81" dataDxfId="2290" totalsRowDxfId="2289" dataCellStyle="Normal 2 2 2"/>
    <tableColumn id="68" xr3:uid="{6B3DC689-CF66-46D6-A72B-933059E8E10C}" name="2081-82" dataDxfId="2288" totalsRowDxfId="2287" dataCellStyle="Normal 2 2 2"/>
    <tableColumn id="69" xr3:uid="{8102574A-DB62-4B28-BACE-42F7FB2FD339}" name="2082-83" dataDxfId="2286" totalsRowDxfId="2285" dataCellStyle="Normal 2 2 2"/>
    <tableColumn id="70" xr3:uid="{0AA30265-A569-4E85-AA9D-2D63BFE92C19}" name="2083-84" dataDxfId="2284" totalsRowDxfId="2283" dataCellStyle="Normal 2 2 2"/>
    <tableColumn id="71" xr3:uid="{215DA58C-B810-42E9-9904-2236E2B3D172}" name="2084-85" dataDxfId="2282" totalsRowDxfId="2281" dataCellStyle="Normal 2 2 2"/>
    <tableColumn id="72" xr3:uid="{0FACFE39-8015-4526-BB42-3143A31D40B3}" name="2085-86" dataDxfId="2280" totalsRowDxfId="2279" dataCellStyle="Normal 2 2 2"/>
    <tableColumn id="73" xr3:uid="{B63B3B14-4B65-4FFA-8674-1EFF459F1F50}" name="2086-87" dataDxfId="2278" totalsRowDxfId="2277" dataCellStyle="Normal 2 2 2"/>
    <tableColumn id="74" xr3:uid="{941B222F-775E-4B44-931D-A8B20FE8D441}" name="2087-88" dataDxfId="2276" totalsRowDxfId="2275" dataCellStyle="Normal 2 2 2"/>
    <tableColumn id="75" xr3:uid="{D649C658-FB43-4FB4-BB6D-90D58E0FE379}" name="2088-89" dataDxfId="2274" totalsRowDxfId="2273" dataCellStyle="Normal 2 2 2"/>
    <tableColumn id="76" xr3:uid="{F8D5C5C9-A2F0-40FC-BA75-1CBBD62C4EB2}" name="2089-90" dataDxfId="2272" totalsRowDxfId="2271" dataCellStyle="Normal 2 2 2"/>
    <tableColumn id="77" xr3:uid="{F5C1EC92-F2BF-4E77-A4A9-64BF14077E76}" name="2090-91" dataDxfId="2270" totalsRowDxfId="2269" dataCellStyle="Normal 2 2 2"/>
    <tableColumn id="78" xr3:uid="{6C1F2CCE-57A6-48BB-9DD8-45C3EDA257B1}" name="2091-92" dataDxfId="2268" totalsRowDxfId="2267" dataCellStyle="Normal 2 2 2"/>
    <tableColumn id="79" xr3:uid="{B237AD8B-3ADF-492C-AE66-D4742665A23A}" name="2092-93" dataDxfId="2266" totalsRowDxfId="2265" dataCellStyle="Normal 2 2 2"/>
    <tableColumn id="80" xr3:uid="{2DA6E1B0-EBFD-48E4-A626-5BF4214A05F1}" name="2093-94" dataDxfId="2264" totalsRowDxfId="2263" dataCellStyle="Normal 2 2 2"/>
    <tableColumn id="81" xr3:uid="{E09A8EC6-B642-4EDB-84A7-0C78F500F19E}" name="2094-95" dataDxfId="2262" totalsRowDxfId="2261" dataCellStyle="Normal 2 2 2"/>
    <tableColumn id="82" xr3:uid="{8502BC3F-BF7F-4DA4-8509-4C3DE84524ED}" name="2095-96" dataDxfId="2260" totalsRowDxfId="2259" dataCellStyle="Normal 2 2 2"/>
    <tableColumn id="83" xr3:uid="{8B63FB6F-8C0F-4F1C-8953-692B7876CD82}" name="2096-97" dataDxfId="2258" totalsRowDxfId="2257" dataCellStyle="Normal 2 2 2"/>
    <tableColumn id="84" xr3:uid="{4A6F991C-9293-4501-B73B-90DFC303EE1C}" name="2097-98" dataDxfId="2256" totalsRowDxfId="2255" dataCellStyle="Normal 2 2 2"/>
    <tableColumn id="85" xr3:uid="{D13F7E38-1DBD-4BCF-94F5-069286622307}" name="2098-99" dataDxfId="2254" totalsRowDxfId="2253" dataCellStyle="Normal 2 2 2"/>
    <tableColumn id="86" xr3:uid="{837271CA-8303-4F9A-8400-720442745AA6}" name="2099-100" dataDxfId="2252" totalsRowDxfId="2251" dataCellStyle="Normal 2 2 2"/>
  </tableColumns>
  <tableStyleInfo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682C4314-E133-4B56-971C-071041F2EFF3}" name="TBL3c_DYAAFP_12_ESWHRT" displayName="TBL3c_DYAAFP_12_ESWHRT" ref="B121:CI182" totalsRowShown="0" headerRowDxfId="2250" dataDxfId="2249" tableBorderDxfId="2248" headerRowCellStyle="Normal 2 2 2" dataCellStyle="Normal 2 2 2">
  <autoFilter ref="B121:CI182" xr:uid="{5F73F099-EB99-4DA0-8AAC-6F08AB2562CA}"/>
  <tableColumns count="86">
    <tableColumn id="1" xr3:uid="{5C2385AF-2967-40D5-8C8B-7D8500492AE3}" name="WRMP24 reference" dataDxfId="2247" dataCellStyle="Normal 2 2 2"/>
    <tableColumn id="2" xr3:uid="{55852A77-4297-498A-910B-3C47BA11AAAD}" name="Component" dataDxfId="2246" dataCellStyle="Normal 2 2 2"/>
    <tableColumn id="3" xr3:uid="{EEA4C8C3-AD90-4503-83E0-46BA86A2850D}" name="Derivation" dataDxfId="2245" dataCellStyle="Normal 2 2 2"/>
    <tableColumn id="4" xr3:uid="{493328F5-2B21-427B-B429-FC91EF70E383}" name="Unit" dataDxfId="2244" dataCellStyle="Normal 2 2 2"/>
    <tableColumn id="5" xr3:uid="{220571FF-D265-4B1A-B422-137AEA1BB8AC}" name="Decimal places" dataDxfId="2243" dataCellStyle="Normal 2 2 2"/>
    <tableColumn id="6" xr3:uid="{668D298F-3023-4072-A907-0D264DD12B50}" name="2019-20" dataDxfId="2242" dataCellStyle="Normal 2 2 2"/>
    <tableColumn id="7" xr3:uid="{E86A0EA0-FB4C-47E1-86B9-D3883E3626EA}" name="2020-21" dataDxfId="2241" dataCellStyle="Normal 2 2 2"/>
    <tableColumn id="8" xr3:uid="{3CA8F697-80A1-4B85-A735-725C56B42C51}" name="2021-22" dataDxfId="2240" dataCellStyle="Normal 2 2 2"/>
    <tableColumn id="9" xr3:uid="{52F697F9-4584-47EF-AB93-3B6330F7B017}" name="2022-23" dataDxfId="2239" dataCellStyle="Normal 2 2 2"/>
    <tableColumn id="10" xr3:uid="{9F6C7C65-DDF9-43C0-AF2F-2C86FFA0889E}" name="2023-24" dataDxfId="2238" dataCellStyle="Normal 2 2 2"/>
    <tableColumn id="11" xr3:uid="{808EFAD1-F9B9-4D1B-8F98-98DEA85E9260}" name="2024-25" dataDxfId="2237" dataCellStyle="Normal 2 2 2"/>
    <tableColumn id="12" xr3:uid="{87C6FA91-1808-4978-8434-305067AC7697}" name="2025-26" dataDxfId="2236" dataCellStyle="Normal 2 2 2"/>
    <tableColumn id="13" xr3:uid="{2769774B-E73D-431D-8C0E-FBDF04EF05FA}" name="2026-27" dataDxfId="2235" dataCellStyle="Normal 2 2 2"/>
    <tableColumn id="14" xr3:uid="{99BA6E19-3B8F-4F75-869C-B68A079BE535}" name="2027-28" dataDxfId="2234" dataCellStyle="Normal 2 2 2"/>
    <tableColumn id="15" xr3:uid="{E4A44BC1-0717-401E-96B9-4D7FCE883078}" name="2028-29" dataDxfId="2233" dataCellStyle="Normal 2 2 2"/>
    <tableColumn id="16" xr3:uid="{248D4F68-7681-422B-BFC3-E2307D5B8A0B}" name="2029-30" dataDxfId="2232" dataCellStyle="Normal 2 2 2"/>
    <tableColumn id="17" xr3:uid="{53DAE949-D498-4B94-B3C6-B041162638E0}" name="2030-31" dataDxfId="2231" dataCellStyle="Normal 2 2 2"/>
    <tableColumn id="18" xr3:uid="{1B68DCD7-F61E-45D5-A845-73E015ADA2C4}" name="2031-32" dataDxfId="2230" dataCellStyle="Normal 2 2 2"/>
    <tableColumn id="19" xr3:uid="{A8F9FA6B-A1A4-485F-B813-1A6D59BB893C}" name="2032-33" dataDxfId="2229" dataCellStyle="Normal 2 2 2"/>
    <tableColumn id="20" xr3:uid="{D6A009AD-824C-48FB-8CC7-DDA2644353D8}" name="2033-34" dataDxfId="2228" dataCellStyle="Normal 2 2 2"/>
    <tableColumn id="21" xr3:uid="{04CF0807-BC3E-4EC1-B1BF-75B94ADA85A6}" name="2034-35" dataDxfId="2227" dataCellStyle="Normal 2 2 2"/>
    <tableColumn id="22" xr3:uid="{25F358AE-C3F6-444F-94B9-F5EFF7608A5C}" name="2035-36" dataDxfId="2226" dataCellStyle="Normal 2 2 2"/>
    <tableColumn id="23" xr3:uid="{FEAE74D8-9AE8-4AA2-8D4F-0B0845E4B824}" name="2036-37" dataDxfId="2225" dataCellStyle="Normal 2 2 2"/>
    <tableColumn id="24" xr3:uid="{6C0B6393-06C3-430A-AF17-584697E9E935}" name="2037-38" dataDxfId="2224" dataCellStyle="Normal 2 2 2"/>
    <tableColumn id="25" xr3:uid="{3E4D5887-86FD-45CA-A22E-B5EA69336CB0}" name="2038-39" dataDxfId="2223" dataCellStyle="Normal 2 2 2"/>
    <tableColumn id="26" xr3:uid="{B13B3336-2E04-4F66-90B3-20F5F58F0C9D}" name="2039-40" dataDxfId="2222" dataCellStyle="Normal 2 2 2"/>
    <tableColumn id="27" xr3:uid="{B721B430-27E4-4EBD-BA07-BE850B4B305E}" name="2040-41" dataDxfId="2221" dataCellStyle="Normal 2 2 2"/>
    <tableColumn id="28" xr3:uid="{9DB5C737-CE66-4FF5-8CF9-BE9A53409687}" name="2041-42" dataDxfId="2220" dataCellStyle="Normal 2 2 2"/>
    <tableColumn id="29" xr3:uid="{349414D6-9BBD-4DF0-AE2A-726F4D0B0ED2}" name="2042-43" dataDxfId="2219" dataCellStyle="Normal 2 2 2"/>
    <tableColumn id="30" xr3:uid="{517D9E18-7F2F-4C23-AA77-9226915783A8}" name="2043-44" dataDxfId="2218" dataCellStyle="Normal 2 2 2"/>
    <tableColumn id="31" xr3:uid="{A910A35E-950C-4F0E-94BE-AFC21E027A21}" name="2044-45" dataDxfId="2217" dataCellStyle="Normal 2 2 2"/>
    <tableColumn id="32" xr3:uid="{5A91D32F-0A11-42EA-A8DB-1C7E500306F5}" name="2045-46" dataDxfId="2216" dataCellStyle="Normal 2 2 2"/>
    <tableColumn id="33" xr3:uid="{70822825-1530-4DC6-BCEC-AF7E6A1F7684}" name="2046-47" dataDxfId="2215" dataCellStyle="Normal 2 2 2"/>
    <tableColumn id="34" xr3:uid="{B0C0E5D0-4A5C-433E-8297-0640B542EEFA}" name="2047-48" dataDxfId="2214" dataCellStyle="Normal 2 2 2"/>
    <tableColumn id="35" xr3:uid="{F7FA6469-0D26-4817-97EE-417DF51AD6B0}" name="2048-49" dataDxfId="2213" dataCellStyle="Normal 2 2 2"/>
    <tableColumn id="36" xr3:uid="{1C98EFD1-81DE-420C-975C-CDB22512A6F5}" name="2049-50" dataDxfId="2212" dataCellStyle="Normal 2 2 2"/>
    <tableColumn id="37" xr3:uid="{563E3D08-E103-4432-B5FB-476109B42F9B}" name="2050-51" dataDxfId="2211" dataCellStyle="Normal 2 2 2"/>
    <tableColumn id="38" xr3:uid="{A88E4A7F-56B2-4FA8-AC3E-E768CB53256E}" name="2051-52" dataDxfId="2210" dataCellStyle="Normal 2 2 2"/>
    <tableColumn id="39" xr3:uid="{A0D20036-F479-4ADE-882D-1E4380DA7159}" name="2052-53" dataDxfId="2209" dataCellStyle="Normal 2 2 2"/>
    <tableColumn id="40" xr3:uid="{6E4823AB-8C75-4CEA-93C0-EE39A39807C0}" name="2053-54" dataDxfId="2208" dataCellStyle="Normal 2 2 2"/>
    <tableColumn id="41" xr3:uid="{86FE4C25-150D-46FC-A3BF-A4320E92BC48}" name="2054-55" dataDxfId="2207" dataCellStyle="Normal 2 2 2"/>
    <tableColumn id="42" xr3:uid="{0B111059-AA10-428C-9CE6-8EFCF0AA835E}" name="2055-56" dataDxfId="2206" dataCellStyle="Normal 2 2 2"/>
    <tableColumn id="43" xr3:uid="{8FB9F11A-635B-49FE-9C4E-CAB88180BBDA}" name="2056-57" dataDxfId="2205" dataCellStyle="Normal 2 2 2"/>
    <tableColumn id="44" xr3:uid="{677FF002-0EB8-4E64-9637-1A22D7D6FDFE}" name="2057-58" dataDxfId="2204" dataCellStyle="Normal 2 2 2"/>
    <tableColumn id="45" xr3:uid="{37BA099E-A2EF-40B3-85AC-D82A833ABFB4}" name="2058-59" dataDxfId="2203" dataCellStyle="Normal 2 2 2"/>
    <tableColumn id="46" xr3:uid="{715F6011-6DC7-409F-BDC7-ED185C2C10B9}" name="2059-60" dataDxfId="2202" dataCellStyle="Normal 2 2 2"/>
    <tableColumn id="47" xr3:uid="{DD990B0C-583F-413B-89B9-AA8B023AC411}" name="2060-61" dataDxfId="2201" dataCellStyle="Normal 2 2 2"/>
    <tableColumn id="48" xr3:uid="{9CFDA3D3-192A-4197-828C-0F9620498AAB}" name="2061-62" dataDxfId="2200" dataCellStyle="Normal 2 2 2"/>
    <tableColumn id="49" xr3:uid="{F6859819-10C8-484E-BED8-77C206BA8D51}" name="2062-63" dataDxfId="2199" dataCellStyle="Normal 2 2 2"/>
    <tableColumn id="50" xr3:uid="{B403A462-B69F-4CB9-B602-8881DCCDE6FE}" name="2063-64" dataDxfId="2198" dataCellStyle="Normal 2 2 2"/>
    <tableColumn id="51" xr3:uid="{2E3D118B-F090-46C9-AEDC-FFF39E89B6B4}" name="2064-65" dataDxfId="2197" dataCellStyle="Normal 2 2 2"/>
    <tableColumn id="52" xr3:uid="{F7E1428D-7E39-4F6D-99C7-6ED72A3E09F6}" name="2065-66" dataDxfId="2196" dataCellStyle="Normal 2 2 2"/>
    <tableColumn id="53" xr3:uid="{2894D477-BABB-436A-A67A-A3FCF34A0FE4}" name="2066-67" dataDxfId="2195" dataCellStyle="Normal 2 2 2"/>
    <tableColumn id="54" xr3:uid="{ADC681BF-3EAF-4DF2-832A-79C46C5AF1F7}" name="2067-68" dataDxfId="2194" dataCellStyle="Normal 2 2 2"/>
    <tableColumn id="55" xr3:uid="{00C0EF22-757D-42C6-98CB-0E21BD98E471}" name="2068-69" dataDxfId="2193" dataCellStyle="Normal 2 2 2"/>
    <tableColumn id="56" xr3:uid="{E2D67E54-9D3B-4AB7-8C1E-1868E1DB30B0}" name="2069-70" dataDxfId="2192" dataCellStyle="Normal 2 2 2"/>
    <tableColumn id="57" xr3:uid="{2AB187F9-FC61-4838-BA65-780E76B0000D}" name="2070-71" dataDxfId="2191" dataCellStyle="Normal 2 2 2"/>
    <tableColumn id="58" xr3:uid="{C7D07FA0-D78E-4E8C-BD3E-1ACABA4A9C6C}" name="2071-72" dataDxfId="2190" dataCellStyle="Normal 2 2 2"/>
    <tableColumn id="59" xr3:uid="{98B02A04-6F64-41E1-9B52-FFA81D5E80D5}" name="2072-73" dataDxfId="2189" dataCellStyle="Normal 2 2 2"/>
    <tableColumn id="60" xr3:uid="{0EBC0127-11DE-4DA2-98C1-9B7EA126A82D}" name="2073-74" dataDxfId="2188" dataCellStyle="Normal 2 2 2"/>
    <tableColumn id="61" xr3:uid="{1280A692-85CE-44E0-9806-AA275EB524E2}" name="2074-75" dataDxfId="2187" dataCellStyle="Normal 2 2 2"/>
    <tableColumn id="62" xr3:uid="{A1241E6B-52DC-420E-B348-76B0292EB8C0}" name="2075-76" dataDxfId="2186" dataCellStyle="Normal 2 2 2"/>
    <tableColumn id="63" xr3:uid="{9DF21310-D676-42F2-83F8-746BC09BD7C3}" name="2076-77" dataDxfId="2185" dataCellStyle="Normal 2 2 2"/>
    <tableColumn id="64" xr3:uid="{262F66DC-33F6-40D7-AED5-783F7E85080C}" name="2077-78" dataDxfId="2184" dataCellStyle="Normal 2 2 2"/>
    <tableColumn id="65" xr3:uid="{3E3386CA-B84D-4C68-BD56-D1A939DF279E}" name="2078-79" dataDxfId="2183" dataCellStyle="Normal 2 2 2"/>
    <tableColumn id="66" xr3:uid="{3B00E5A0-5E2B-48C0-B089-7D70C053632C}" name="2079-80" dataDxfId="2182" dataCellStyle="Normal 2 2 2"/>
    <tableColumn id="67" xr3:uid="{34635D5C-FB77-4F36-978C-357C2D81C9A7}" name="2080-81" dataDxfId="2181" dataCellStyle="Normal 2 2 2"/>
    <tableColumn id="68" xr3:uid="{1965CA14-64EB-4915-BBE7-8583D9F880DC}" name="2081-82" dataDxfId="2180" dataCellStyle="Normal 2 2 2"/>
    <tableColumn id="69" xr3:uid="{122A63A7-6289-44CE-AC0C-98DFEA7C4063}" name="2082-83" dataDxfId="2179" dataCellStyle="Normal 2 2 2"/>
    <tableColumn id="70" xr3:uid="{ADF892B2-0DBE-47D0-BEAD-0197FCFB619F}" name="2083-84" dataDxfId="2178" dataCellStyle="Normal 2 2 2"/>
    <tableColumn id="71" xr3:uid="{6607AC28-5E1D-452C-BACD-99CCCA5E96C8}" name="2084-85" dataDxfId="2177" dataCellStyle="Normal 2 2 2"/>
    <tableColumn id="72" xr3:uid="{8E886756-CC4B-41DC-BD25-B1EF3419F229}" name="2085-86" dataDxfId="2176" dataCellStyle="Normal 2 2 2"/>
    <tableColumn id="73" xr3:uid="{1F02D050-722B-429D-8E1A-3292A0788C2B}" name="2086-87" dataDxfId="2175" dataCellStyle="Normal 2 2 2"/>
    <tableColumn id="74" xr3:uid="{70B8E556-AA9A-4573-BC3D-4E1A4758E3CC}" name="2087-88" dataDxfId="2174" dataCellStyle="Normal 2 2 2"/>
    <tableColumn id="75" xr3:uid="{F2637767-CBC0-44F5-B2C9-1EA13744D840}" name="2088-89" dataDxfId="2173" dataCellStyle="Normal 2 2 2"/>
    <tableColumn id="76" xr3:uid="{1E29B245-0384-40FC-8D52-6B4B2447149A}" name="2089-90" dataDxfId="2172" dataCellStyle="Normal 2 2 2"/>
    <tableColumn id="77" xr3:uid="{50FCD8BE-7362-4A03-8777-62F2C1717063}" name="2090-91" dataDxfId="2171" dataCellStyle="Normal 2 2 2"/>
    <tableColumn id="78" xr3:uid="{692BE072-E855-47AD-B108-41483443590B}" name="2091-92" dataDxfId="2170" dataCellStyle="Normal 2 2 2"/>
    <tableColumn id="79" xr3:uid="{8D4D1D62-82C1-4C3B-80F1-A64F15C0E995}" name="2092-93" dataDxfId="2169" dataCellStyle="Normal 2 2 2"/>
    <tableColumn id="80" xr3:uid="{ABC02B88-68E7-4088-A50C-BE6EA1ABC244}" name="2093-94" dataDxfId="2168" dataCellStyle="Normal 2 2 2"/>
    <tableColumn id="81" xr3:uid="{6DA4CBAC-D6B0-426A-9D2B-E1E15A663A68}" name="2094-95" dataDxfId="2167" dataCellStyle="Normal 2 2 2"/>
    <tableColumn id="82" xr3:uid="{57D370D3-CDE1-479E-B59D-02EE18E9EB70}" name="2095-96" dataDxfId="2166" dataCellStyle="Normal 2 2 2"/>
    <tableColumn id="83" xr3:uid="{7C391C2F-29F3-4419-8EC2-F602F6E549EB}" name="2096-97" dataDxfId="2165" dataCellStyle="Normal 2 2 2"/>
    <tableColumn id="84" xr3:uid="{9AE60A60-F4EA-4912-B23E-33F20255010D}" name="2097-98" dataDxfId="2164" dataCellStyle="Normal 2 2 2"/>
    <tableColumn id="85" xr3:uid="{19112E41-A5C3-444B-9983-468E9B09D513}" name="2098-99" dataDxfId="2163" dataCellStyle="Normal 2 2 2"/>
    <tableColumn id="86" xr3:uid="{C6CAF688-AC8C-4188-AE12-C9C16150512B}" name="2099-100" dataDxfId="2162" dataCellStyle="Normal 2 2 2"/>
  </tableColumns>
  <tableStyleInfo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C96F1B00-1474-403A-8A7D-EF939896E1C9}" name="TBL3d_DYCPBL_13_ESWHRT" displayName="TBL3d_DYCPBL_13_ESWHRT" ref="B204:CI272" totalsRowShown="0" headerRowDxfId="2161" dataDxfId="2160" tableBorderDxfId="2159" headerRowCellStyle="Normal 2 2 2">
  <autoFilter ref="B204:CI272" xr:uid="{EF444EF1-EE1B-4FAA-8C28-6DC5D0EEB936}"/>
  <tableColumns count="86">
    <tableColumn id="1" xr3:uid="{2E9181CD-22A8-4689-BF9E-8AEEC964061E}" name="WRMP24 reference" dataDxfId="2158" dataCellStyle="Normal 2 2 2"/>
    <tableColumn id="2" xr3:uid="{8F2385CF-3D18-4116-AE0F-0DC37D8F30D5}" name="Component" dataDxfId="2157" dataCellStyle="Normal 2 2 2"/>
    <tableColumn id="3" xr3:uid="{0F16426D-0340-4028-8A68-9910476EF09B}" name="Derivation" dataDxfId="2156" dataCellStyle="Normal 2 2 2"/>
    <tableColumn id="4" xr3:uid="{B13538AE-86BE-4F5C-918B-94123C02F819}" name="Unit" dataDxfId="2155" dataCellStyle="Normal 2 2 2"/>
    <tableColumn id="5" xr3:uid="{307A6DB6-594F-484C-A5AF-9AA9C00EDB03}" name="Decimal places" dataDxfId="2154" dataCellStyle="Normal 2 2 2"/>
    <tableColumn id="6" xr3:uid="{06E709ED-3A87-4FE8-84F0-75698F5558E9}" name="2019-20" dataDxfId="2153"/>
    <tableColumn id="7" xr3:uid="{4C38F7BF-CC5D-47A1-AC60-3C0442AF2B99}" name="2020-21" dataDxfId="2152" dataCellStyle="Normal 2 2 2"/>
    <tableColumn id="8" xr3:uid="{0533448F-7651-4E59-B7FC-4FF75EEC68DF}" name="2021-22" dataDxfId="2151" dataCellStyle="Normal 2 2 2"/>
    <tableColumn id="9" xr3:uid="{06C743FE-7D12-479E-BFE8-D71E8A4A889E}" name="2022-23" dataDxfId="2150" dataCellStyle="Normal 2 2 2"/>
    <tableColumn id="10" xr3:uid="{6418A84B-8207-40D5-9E85-0BC7B821778A}" name="2023-24" dataDxfId="2149" dataCellStyle="Normal 2 2 2"/>
    <tableColumn id="11" xr3:uid="{410AAFAA-688C-4ED3-9D6C-4470D400C49D}" name="2024-25" dataDxfId="2148" dataCellStyle="Normal 2 2 2"/>
    <tableColumn id="12" xr3:uid="{4A77C12B-7F1F-4A3E-AB70-0114B607E724}" name="2025-26" dataDxfId="2147"/>
    <tableColumn id="13" xr3:uid="{3D6F9C5E-D089-4969-815F-DBAAF3849A58}" name="2026-27" dataDxfId="2146"/>
    <tableColumn id="14" xr3:uid="{F64C084E-5DCD-44DA-B4BD-1A2E3F63EAE0}" name="2027-28" dataDxfId="2145"/>
    <tableColumn id="15" xr3:uid="{BEFDB492-314A-4862-B5D4-C9F5B31D1598}" name="2028-29" dataDxfId="2144"/>
    <tableColumn id="16" xr3:uid="{9427482A-AEF2-4B72-8E7E-FE4C4E9D6DEC}" name="2029-30" dataDxfId="2143"/>
    <tableColumn id="17" xr3:uid="{3615DD2C-DBAE-40D2-830E-51BF1C84FBF0}" name="2030-31" dataDxfId="2142"/>
    <tableColumn id="18" xr3:uid="{748AEF97-847D-424D-BA54-B229B2A8103B}" name="2031-32" dataDxfId="2141"/>
    <tableColumn id="19" xr3:uid="{75516C35-ED65-4755-9F2B-2D5CC04DF52C}" name="2032-33" dataDxfId="2140"/>
    <tableColumn id="20" xr3:uid="{176BC6AA-4521-4361-9D6E-277675D5CB8A}" name="2033-34" dataDxfId="2139"/>
    <tableColumn id="21" xr3:uid="{5EDB77F3-2FCB-4584-ACC8-A688D7882EE9}" name="2034-35" dataDxfId="2138"/>
    <tableColumn id="22" xr3:uid="{75A21BA5-BDCD-4AA2-9B04-1C1B89104EF6}" name="2035-36" dataDxfId="2137"/>
    <tableColumn id="23" xr3:uid="{3812AD85-7A47-4D21-9386-85E8E0BE9908}" name="2036-37" dataDxfId="2136"/>
    <tableColumn id="24" xr3:uid="{AA9BC27C-82B0-46E8-A568-16313839847C}" name="2037-38" dataDxfId="2135"/>
    <tableColumn id="25" xr3:uid="{104957E2-F9C9-404C-83C4-9AD8D236758D}" name="2038-39" dataDxfId="2134"/>
    <tableColumn id="26" xr3:uid="{8A0E5C43-6BE8-4CD4-B0DB-3A6629D06094}" name="2039-40" dataDxfId="2133"/>
    <tableColumn id="27" xr3:uid="{B1614A63-72D7-4927-B6D0-4A58A41FD7E0}" name="2040-41" dataDxfId="2132"/>
    <tableColumn id="28" xr3:uid="{574E00F3-5393-4633-8009-28D9D75945A0}" name="2041-42" dataDxfId="2131"/>
    <tableColumn id="29" xr3:uid="{AC63E6A7-C137-40E2-82A0-D6D34FFF2A50}" name="2042-43" dataDxfId="2130"/>
    <tableColumn id="30" xr3:uid="{7969E02A-2DE1-4254-88BC-6AE7EFD16766}" name="2043-44" dataDxfId="2129"/>
    <tableColumn id="31" xr3:uid="{D22CBC59-3C53-46BE-B74D-ED50076D0E52}" name="2044-45" dataDxfId="2128"/>
    <tableColumn id="32" xr3:uid="{E1FF4C53-43D8-4449-928F-9E082C61F2ED}" name="2045-46" dataDxfId="2127"/>
    <tableColumn id="33" xr3:uid="{0A1E5B5F-26A3-4409-A452-6E208D89486B}" name="2046-47" dataDxfId="2126"/>
    <tableColumn id="34" xr3:uid="{3C17D453-8B45-480E-BCED-A161F24DB0F8}" name="2047-48" dataDxfId="2125"/>
    <tableColumn id="35" xr3:uid="{60632AEA-9412-40AF-ACBD-4C88BCC7940D}" name="2048-49" dataDxfId="2124"/>
    <tableColumn id="36" xr3:uid="{4852D562-7D15-4858-82FE-CE63137F787F}" name="2049-50" dataDxfId="2123"/>
    <tableColumn id="37" xr3:uid="{C4597DA3-B33C-4677-8CAB-D5E0BA3BBF57}" name="2050-51" dataDxfId="2122"/>
    <tableColumn id="38" xr3:uid="{8573EF9E-AA3E-4A4B-8314-81EA1769B4AC}" name="2051-52" dataDxfId="2121"/>
    <tableColumn id="39" xr3:uid="{B49B035B-FB25-40DF-92CB-6C1217FC00C9}" name="2052-53" dataDxfId="2120"/>
    <tableColumn id="40" xr3:uid="{BE41EC7C-7C16-4800-8749-EC05B6D9EC88}" name="2053-54" dataDxfId="2119"/>
    <tableColumn id="41" xr3:uid="{127A5C04-557B-47E2-BD03-E2EF33FF82AC}" name="2054-55" dataDxfId="2118"/>
    <tableColumn id="42" xr3:uid="{01D0EDB7-7B73-4004-8708-A3308E4643E5}" name="2055-56" dataDxfId="2117"/>
    <tableColumn id="43" xr3:uid="{7CBF79F3-F65C-4A84-B54C-29B0DC7DDDC0}" name="2056-57" dataDxfId="2116"/>
    <tableColumn id="44" xr3:uid="{5E2063BC-0D0F-4476-A3DA-E7913824FC07}" name="2057-58" dataDxfId="2115"/>
    <tableColumn id="45" xr3:uid="{7A00031A-B3E1-44A0-8371-819B18D70167}" name="2058-59" dataDxfId="2114"/>
    <tableColumn id="46" xr3:uid="{A2C577A7-2690-480D-B2EF-7D2C10FE3D3D}" name="2059-60" dataDxfId="2113"/>
    <tableColumn id="47" xr3:uid="{80E9C4DD-FABB-4F64-8DD5-ACEB846AF328}" name="2060-61" dataDxfId="2112"/>
    <tableColumn id="48" xr3:uid="{EE78027C-5C1A-4B32-9013-D54F23CA82DB}" name="2061-62" dataDxfId="2111"/>
    <tableColumn id="49" xr3:uid="{1C90F4C1-2ABF-440F-B7FD-D5BDF618ED33}" name="2062-63" dataDxfId="2110"/>
    <tableColumn id="50" xr3:uid="{26A1D9C2-BD62-4ABF-92C7-DAF356936740}" name="2063-64" dataDxfId="2109"/>
    <tableColumn id="51" xr3:uid="{061E33D5-60B3-47E6-A86E-CBAFD39A61B9}" name="2064-65" dataDxfId="2108"/>
    <tableColumn id="52" xr3:uid="{DA6B9B10-80CE-40C4-887F-FF18B3A95D61}" name="2065-66" dataDxfId="2107"/>
    <tableColumn id="53" xr3:uid="{83A755B7-BC83-4972-B1A0-49E20FF0223D}" name="2066-67" dataDxfId="2106"/>
    <tableColumn id="54" xr3:uid="{355EE239-7906-422C-B98D-720FD34B3878}" name="2067-68" dataDxfId="2105"/>
    <tableColumn id="55" xr3:uid="{C8B77E72-970E-4A7E-B3F2-027CAF5F0925}" name="2068-69" dataDxfId="2104"/>
    <tableColumn id="56" xr3:uid="{41F3AB17-95D7-4E05-8A8D-7049626828F0}" name="2069-70" dataDxfId="2103"/>
    <tableColumn id="57" xr3:uid="{FEDA59A6-1C69-4ED4-94F7-491F39A70D52}" name="2070-71" dataDxfId="2102"/>
    <tableColumn id="58" xr3:uid="{1207A1D8-3CDE-4206-8EE0-565BBD879E28}" name="2071-72" dataDxfId="2101"/>
    <tableColumn id="59" xr3:uid="{C1C78DBB-2959-497C-87B1-1806E6D513F3}" name="2072-73" dataDxfId="2100"/>
    <tableColumn id="60" xr3:uid="{E2BFFB1B-3902-4C6A-B04A-027A4A191516}" name="2073-74" dataDxfId="2099"/>
    <tableColumn id="61" xr3:uid="{7AFD8F21-F460-4409-BB9C-30461F73C749}" name="2074-75" dataDxfId="2098"/>
    <tableColumn id="62" xr3:uid="{F350CE6F-9C96-4252-BE49-7992B256B2B3}" name="2075-76" dataDxfId="2097"/>
    <tableColumn id="63" xr3:uid="{05DCF964-091C-46DB-8084-B5EB16BBF297}" name="2076-77" dataDxfId="2096"/>
    <tableColumn id="64" xr3:uid="{7BF80FF6-4DD2-422C-9AEC-0AD04FCF2CF2}" name="2077-78" dataDxfId="2095"/>
    <tableColumn id="65" xr3:uid="{83241A12-0927-4C63-86F5-105B1C9CD013}" name="2078-79" dataDxfId="2094"/>
    <tableColumn id="66" xr3:uid="{6D68A6F5-1FF5-4571-9B71-E28277B3C40E}" name="2079-80" dataDxfId="2093"/>
    <tableColumn id="67" xr3:uid="{911735B4-E096-4A37-B817-E718F43F33AD}" name="2080-81" dataDxfId="2092"/>
    <tableColumn id="68" xr3:uid="{30496B39-D740-4DB4-B2A7-4512C7F871F4}" name="2081-82" dataDxfId="2091"/>
    <tableColumn id="69" xr3:uid="{EBA210D3-DFE0-44B3-8F5A-02CC1642DEE9}" name="2082-83" dataDxfId="2090"/>
    <tableColumn id="70" xr3:uid="{C1A7488A-8D76-4F24-8565-A092CC8388A3}" name="2083-84" dataDxfId="2089"/>
    <tableColumn id="71" xr3:uid="{5523178E-5698-42DA-B620-AD302093B215}" name="2084-85" dataDxfId="2088"/>
    <tableColumn id="72" xr3:uid="{8AC23BCD-F7BB-4C1C-A655-10858C6F6241}" name="2085-86" dataDxfId="2087"/>
    <tableColumn id="73" xr3:uid="{30F629E9-C336-4DD6-8EAF-12ED81D1F3BD}" name="2086-87" dataDxfId="2086"/>
    <tableColumn id="74" xr3:uid="{632C1957-7D54-47AC-850A-2763DD220ED5}" name="2087-88" dataDxfId="2085"/>
    <tableColumn id="75" xr3:uid="{9D1D7ECE-FFFB-4B35-BA32-73680D57F5D3}" name="2088-89" dataDxfId="2084"/>
    <tableColumn id="76" xr3:uid="{03C0C04F-6D76-4911-B0DB-4521E57391BB}" name="2089-90" dataDxfId="2083"/>
    <tableColumn id="77" xr3:uid="{D38D2BF5-6EC9-4C2F-A274-273B1B291CFD}" name="2090-91" dataDxfId="2082"/>
    <tableColumn id="78" xr3:uid="{356F7665-C3FF-4ECE-AF83-0BB4192B5AB8}" name="2091-92" dataDxfId="2081"/>
    <tableColumn id="79" xr3:uid="{4B479FD4-765C-45BB-A9BB-82CA9A0C8E44}" name="2092-93" dataDxfId="2080"/>
    <tableColumn id="80" xr3:uid="{5A6B7A95-EFB0-47F7-B17C-C563C5B71C33}" name="2093-94" dataDxfId="2079"/>
    <tableColumn id="81" xr3:uid="{1C214B27-2DEB-4FFE-A13C-C7BFE0790D44}" name="2094-95" dataDxfId="2078"/>
    <tableColumn id="82" xr3:uid="{13BCADE7-FC4E-44D4-9C63-6CE8651E3DF6}" name="2095-96" dataDxfId="2077"/>
    <tableColumn id="83" xr3:uid="{07D905D8-ABE2-4745-B50C-4C542D95B08B}" name="2096-97" dataDxfId="2076"/>
    <tableColumn id="84" xr3:uid="{41E9F76A-AE56-43EF-AE64-0B176BA91D68}" name="2097-98" dataDxfId="2075"/>
    <tableColumn id="85" xr3:uid="{4402A966-74C1-4002-9AFF-0BB4E01F8DEC}" name="2098-99" dataDxfId="2074"/>
    <tableColumn id="86" xr3:uid="{C13FEC56-328D-4074-B599-EED5933140FB}" name="2099-100" dataDxfId="2073"/>
  </tableColumns>
  <tableStyleInfo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B9379244-AB39-4E26-B359-129B9364FF61}" name="TBL3e_DYCPOpt_14_ESWHRT" displayName="TBL3e_DYCPOpt_14_ESWHRT" ref="B275:CJ300" totalsRowCount="1" headerRowDxfId="2072" dataDxfId="2070" headerRowBorderDxfId="2071" tableBorderDxfId="2069" headerRowCellStyle="Normal 2 2 2" dataCellStyle="Normal 2 2 2">
  <autoFilter ref="B275:CJ299" xr:uid="{B33704DC-CAA1-4030-BE9C-FA3044FC1D63}"/>
  <tableColumns count="87">
    <tableColumn id="1" xr3:uid="{815C56F9-DA8D-465B-B058-A028A032843A}" name="WRMP24 reference" dataDxfId="2068" totalsRowDxfId="2067" dataCellStyle="Normal 2 2 2"/>
    <tableColumn id="2" xr3:uid="{DD915728-B269-487C-941F-A4B57E5BC2B3}" name="Option type" dataDxfId="2066" totalsRowDxfId="2065" dataCellStyle="Normal 2 2 2"/>
    <tableColumn id="3" xr3:uid="{8583835F-2539-46B3-A379-5C07ECE39D41}" name="Cat ID" dataDxfId="2064" totalsRowDxfId="2063" dataCellStyle="Normal 2 2 2"/>
    <tableColumn id="4" xr3:uid="{315A7704-E9B6-4837-A8EC-4353C5B7632B}" name="Unit" dataDxfId="2062" totalsRowDxfId="2061" dataCellStyle="Normal 2 2 2"/>
    <tableColumn id="5" xr3:uid="{32503C07-EB65-42D6-96D8-592FF051465F}" name="Decimal places" dataDxfId="2060" totalsRowDxfId="2059" dataCellStyle="Normal 2 2 2"/>
    <tableColumn id="6" xr3:uid="{EA74BE6D-DF3B-4B1F-8114-CAABD48E5270}" name="2019-20" dataDxfId="2058" totalsRowDxfId="2057" dataCellStyle="Normal 2 2 2"/>
    <tableColumn id="7" xr3:uid="{A35FF2C5-44B8-4F6A-BEA1-240E0DF9B1FA}" name="2020-21" dataDxfId="2056" totalsRowDxfId="2055" dataCellStyle="Normal 2 2 2"/>
    <tableColumn id="8" xr3:uid="{CB6F1BA3-B9D0-4FA7-B3F4-FB0FF6B026C6}" name="2021-22" dataDxfId="2054" totalsRowDxfId="2053" dataCellStyle="Normal 2 2 2"/>
    <tableColumn id="9" xr3:uid="{41B704D6-897A-44AB-9D16-B8EB3B2CEB65}" name="2022-23" dataDxfId="2052" totalsRowDxfId="2051" dataCellStyle="Normal 2 2 2"/>
    <tableColumn id="10" xr3:uid="{BCA0BBCB-DB52-4CAA-90BF-68EAFA148791}" name="2023-24" dataDxfId="2050" totalsRowDxfId="2049" dataCellStyle="Normal 2 2 2"/>
    <tableColumn id="11" xr3:uid="{EC02B0FE-826B-4CAA-AA57-6A4D442F1347}" name="2024-25" dataDxfId="2048" totalsRowDxfId="2047" dataCellStyle="Normal 2 2 2"/>
    <tableColumn id="12" xr3:uid="{84316E31-D30E-4FB5-B5B8-80F9CFA07D5D}" name="2025-26" dataDxfId="2046" totalsRowDxfId="2045" dataCellStyle="Normal 2 2 2"/>
    <tableColumn id="13" xr3:uid="{A70F841C-0D59-4F4C-B34B-75B5525776B9}" name="2026-27" dataDxfId="2044" totalsRowDxfId="2043" dataCellStyle="Normal 2 2 2"/>
    <tableColumn id="14" xr3:uid="{E57F165F-3862-4ECC-A6DC-26810EBAAAFE}" name="2027-28" dataDxfId="2042" totalsRowDxfId="2041" dataCellStyle="Normal 2 2 2"/>
    <tableColumn id="15" xr3:uid="{ACE483BF-8C95-4965-A775-41436B100F11}" name="2028-29" dataDxfId="2040" totalsRowDxfId="2039" dataCellStyle="Normal 2 2 2"/>
    <tableColumn id="16" xr3:uid="{0EE4A70C-6F3A-4924-94AF-84C7418D910C}" name="2029-30" dataDxfId="2038" totalsRowDxfId="2037" dataCellStyle="Normal 2 2 2"/>
    <tableColumn id="17" xr3:uid="{37FB0565-28BE-4C8E-A6BE-5DCA222B5562}" name="2030-31" dataDxfId="2036" totalsRowDxfId="2035" dataCellStyle="Normal 2 2 2"/>
    <tableColumn id="18" xr3:uid="{0173D427-B8BE-46B9-8A3F-C6699A57EA11}" name="2031-32" dataDxfId="2034" totalsRowDxfId="2033" dataCellStyle="Normal 2 2 2"/>
    <tableColumn id="19" xr3:uid="{DA7AD93A-C14F-45A1-9A53-40147248A691}" name="2032-33" dataDxfId="2032" totalsRowDxfId="2031" dataCellStyle="Normal 2 2 2"/>
    <tableColumn id="20" xr3:uid="{4EC7EC8B-EABF-49A3-9A89-99CA63728DD2}" name="2033-34" dataDxfId="2030" totalsRowDxfId="2029" dataCellStyle="Normal 2 2 2"/>
    <tableColumn id="21" xr3:uid="{F0AC4D30-6406-44B5-A6D7-C064EF9C07F7}" name="2034-35" dataDxfId="2028" totalsRowDxfId="2027" dataCellStyle="Normal 2 2 2"/>
    <tableColumn id="22" xr3:uid="{EBBCC492-7C50-4D1E-8BF5-B34C04047BF6}" name="2035-36" dataDxfId="2026" totalsRowDxfId="2025" dataCellStyle="Normal 2 2 2"/>
    <tableColumn id="23" xr3:uid="{29E74546-1D8E-43DB-809D-F769B47961AD}" name="2036-37" dataDxfId="2024" totalsRowDxfId="2023" dataCellStyle="Normal 2 2 2"/>
    <tableColumn id="24" xr3:uid="{067273B7-7196-43E3-9A47-CAFAFA0826AB}" name="2037-38" dataDxfId="2022" totalsRowDxfId="2021" dataCellStyle="Normal 2 2 2"/>
    <tableColumn id="25" xr3:uid="{656BC8FF-20E8-4564-B0ED-61CF0D52C7CC}" name="2038-39" dataDxfId="2020" totalsRowDxfId="2019" dataCellStyle="Normal 2 2 2"/>
    <tableColumn id="26" xr3:uid="{368D9AFF-670D-421E-8DE3-D0547E5C13B5}" name="2039-40" dataDxfId="2018" totalsRowDxfId="2017" dataCellStyle="Normal 2 2 2"/>
    <tableColumn id="27" xr3:uid="{399EBC6B-4C60-404D-901B-84EA7AEFAB93}" name="2040-41" dataDxfId="2016" totalsRowDxfId="2015" dataCellStyle="Normal 2 2 2"/>
    <tableColumn id="28" xr3:uid="{A0F0DA95-D0AD-497A-A849-6A3D157C3A04}" name="2041-42" dataDxfId="2014" totalsRowDxfId="2013" dataCellStyle="Normal 2 2 2"/>
    <tableColumn id="29" xr3:uid="{B3824C49-44F6-47EC-B00D-A27E71EF83BC}" name="2042-43" dataDxfId="2012" totalsRowDxfId="2011" dataCellStyle="Normal 2 2 2"/>
    <tableColumn id="30" xr3:uid="{8FB367F3-FBE2-4CC9-B256-D86B6623846E}" name="2043-44" dataDxfId="2010" totalsRowDxfId="2009" dataCellStyle="Normal 2 2 2"/>
    <tableColumn id="31" xr3:uid="{E456AB86-24B1-4C01-831C-9D8965C44675}" name="2044-45" dataDxfId="2008" totalsRowDxfId="2007" dataCellStyle="Normal 2 2 2"/>
    <tableColumn id="32" xr3:uid="{02444850-65BF-4D56-8A40-B9D97E7565E6}" name="2045-46" dataDxfId="2006" totalsRowDxfId="2005" dataCellStyle="Normal 2 2 2"/>
    <tableColumn id="33" xr3:uid="{058D511C-ACA0-4A6B-B212-B6D2BDEB99D2}" name="2046-47" dataDxfId="2004" totalsRowDxfId="2003" dataCellStyle="Normal 2 2 2"/>
    <tableColumn id="34" xr3:uid="{ED6CF176-866F-46BD-BE40-749C1069141E}" name="2047-48" dataDxfId="2002" totalsRowDxfId="2001" dataCellStyle="Normal 2 2 2"/>
    <tableColumn id="35" xr3:uid="{41180565-CBD8-450F-8D1A-E07F87C30910}" name="2048-49" dataDxfId="2000" totalsRowDxfId="1999" dataCellStyle="Normal 2 2 2"/>
    <tableColumn id="36" xr3:uid="{5F2ABED0-1C02-4A31-8423-FCE7FFFF2C92}" name="2049-50" dataDxfId="1998" totalsRowDxfId="1997" dataCellStyle="Normal 2 2 2"/>
    <tableColumn id="37" xr3:uid="{5AAFA9DE-E7B8-4491-88F3-9E40873E7DA8}" name="2050-51" dataDxfId="1996" totalsRowDxfId="1995" dataCellStyle="Normal 2 2 2"/>
    <tableColumn id="38" xr3:uid="{A6EAD375-4E1C-445A-87A8-15EC7E257456}" name="2051-52" dataDxfId="1994" totalsRowDxfId="1993" dataCellStyle="Normal 2 2 2"/>
    <tableColumn id="39" xr3:uid="{69197570-9569-4494-9E5A-AB36DDC8A592}" name="2052-53" dataDxfId="1992" totalsRowDxfId="1991" dataCellStyle="Normal 2 2 2"/>
    <tableColumn id="40" xr3:uid="{606F6DE1-5402-4DBD-AA88-AA878E627B5D}" name="2053-54" dataDxfId="1990" totalsRowDxfId="1989" dataCellStyle="Normal 2 2 2"/>
    <tableColumn id="41" xr3:uid="{557336B6-B615-45DF-BE1C-C521DDF2BF59}" name="2054-55" dataDxfId="1988" totalsRowDxfId="1987" dataCellStyle="Normal 2 2 2"/>
    <tableColumn id="42" xr3:uid="{4FE22640-0D7B-4C14-B012-1D5FB1C681B4}" name="2055-56" dataDxfId="1986" totalsRowDxfId="1985" dataCellStyle="Normal 2 2 2"/>
    <tableColumn id="43" xr3:uid="{BA4EDCED-837D-40C7-933F-E21050491B52}" name="2056-57" dataDxfId="1984" totalsRowDxfId="1983" dataCellStyle="Normal 2 2 2"/>
    <tableColumn id="44" xr3:uid="{11D2F0E0-403F-4802-8274-D16F2B5B959D}" name="2057-58" dataDxfId="1982" totalsRowDxfId="1981" dataCellStyle="Normal 2 2 2"/>
    <tableColumn id="45" xr3:uid="{28E430B9-976C-4F0F-BB8E-EB22C37F8E53}" name="2058-59" dataDxfId="1980" totalsRowDxfId="1979" dataCellStyle="Normal 2 2 2"/>
    <tableColumn id="46" xr3:uid="{DF5845C6-D32C-44F4-883E-B37DCF55AA71}" name="2059-60" dataDxfId="1978" totalsRowDxfId="1977" dataCellStyle="Normal 2 2 2"/>
    <tableColumn id="47" xr3:uid="{DB565E06-1AB5-44AD-9669-D1225EC4AD8A}" name="2060-61" dataDxfId="1976" totalsRowDxfId="1975" dataCellStyle="Normal 2 2 2"/>
    <tableColumn id="48" xr3:uid="{A6E47E52-8665-4211-B0D6-F6248EEFEA57}" name="2061-62" dataDxfId="1974" totalsRowDxfId="1973" dataCellStyle="Normal 2 2 2"/>
    <tableColumn id="49" xr3:uid="{B3A8099D-C4A1-4B5E-AEBE-1520FF5A99F1}" name="2062-63" dataDxfId="1972" totalsRowDxfId="1971" dataCellStyle="Normal 2 2 2"/>
    <tableColumn id="50" xr3:uid="{AC4CE780-6E4C-4DFF-8931-641D631BB37D}" name="2063-64" dataDxfId="1970" totalsRowDxfId="1969" dataCellStyle="Normal 2 2 2"/>
    <tableColumn id="51" xr3:uid="{FE1E5A8F-DBC7-4EDF-B2F5-808AEBBC87E6}" name="2064-65" dataDxfId="1968" totalsRowDxfId="1967" dataCellStyle="Normal 2 2 2"/>
    <tableColumn id="52" xr3:uid="{E7EAFD75-517D-4BD7-8CB0-AAA114DFB0A7}" name="2065-66" dataDxfId="1966" totalsRowDxfId="1965" dataCellStyle="Normal 2 2 2"/>
    <tableColumn id="53" xr3:uid="{B4B90141-E24B-4AAA-8BC2-128BE112E962}" name="2066-67" dataDxfId="1964" totalsRowDxfId="1963" dataCellStyle="Normal 2 2 2"/>
    <tableColumn id="54" xr3:uid="{D1BD2763-B60B-4952-9F02-5BD28329A67A}" name="2067-68" dataDxfId="1962" totalsRowDxfId="1961" dataCellStyle="Normal 2 2 2"/>
    <tableColumn id="55" xr3:uid="{569785AD-D606-4519-B7E2-2530F4646575}" name="2068-69" dataDxfId="1960" totalsRowDxfId="1959" dataCellStyle="Normal 2 2 2"/>
    <tableColumn id="56" xr3:uid="{85E6CEC4-7173-4E7F-94A4-AA3E981174BA}" name="2069-70" dataDxfId="1958" totalsRowDxfId="1957" dataCellStyle="Normal 2 2 2"/>
    <tableColumn id="57" xr3:uid="{F65994D0-56FD-4461-9522-B76BA2B326F2}" name="2070-71" dataDxfId="1956" totalsRowDxfId="1955" dataCellStyle="Normal 2 2 2"/>
    <tableColumn id="58" xr3:uid="{59CEF05D-276C-457F-9326-88E9B2FC2DDD}" name="2071-72" dataDxfId="1954" totalsRowDxfId="1953" dataCellStyle="Normal 2 2 2"/>
    <tableColumn id="59" xr3:uid="{3925E68E-C64A-4FC8-B927-7A4BA01E87C1}" name="2072-73" dataDxfId="1952" totalsRowDxfId="1951" dataCellStyle="Normal 2 2 2"/>
    <tableColumn id="60" xr3:uid="{EE28E9E9-61E8-4C10-B397-5C350CCFE9AE}" name="2073-74" dataDxfId="1950" totalsRowDxfId="1949" dataCellStyle="Normal 2 2 2"/>
    <tableColumn id="61" xr3:uid="{A8C35DAA-0B79-4BAB-AF2F-732C1AD660E8}" name="2074-75" dataDxfId="1948" totalsRowDxfId="1947" dataCellStyle="Normal 2 2 2"/>
    <tableColumn id="62" xr3:uid="{90046F66-9A41-4E5F-AC4B-528F7BCC0888}" name="2075-76" dataDxfId="1946" totalsRowDxfId="1945" dataCellStyle="Normal 2 2 2"/>
    <tableColumn id="63" xr3:uid="{06C62C1E-6629-4072-819B-9912A0BBECC0}" name="2076-77" dataDxfId="1944" totalsRowDxfId="1943" dataCellStyle="Normal 2 2 2"/>
    <tableColumn id="64" xr3:uid="{2CFB58D3-C99F-41DC-AE64-90AE04572DA0}" name="2077-78" dataDxfId="1942" totalsRowDxfId="1941" dataCellStyle="Normal 2 2 2"/>
    <tableColumn id="65" xr3:uid="{FFB56BE3-685A-435A-A7F7-446526297CB1}" name="2078-79" dataDxfId="1940" totalsRowDxfId="1939" dataCellStyle="Normal 2 2 2"/>
    <tableColumn id="66" xr3:uid="{14786E45-9E24-43B9-9A67-315C86BB310F}" name="2079-80" dataDxfId="1938" totalsRowDxfId="1937" dataCellStyle="Normal 2 2 2"/>
    <tableColumn id="67" xr3:uid="{E4AAB8AF-064D-4C25-B780-D92FA122D34A}" name="2080-81" dataDxfId="1936" totalsRowDxfId="1935" dataCellStyle="Normal 2 2 2"/>
    <tableColumn id="68" xr3:uid="{C20403C5-B04E-46E9-AEC9-9A1E7049B50A}" name="2081-82" dataDxfId="1934" totalsRowDxfId="1933" dataCellStyle="Normal 2 2 2"/>
    <tableColumn id="69" xr3:uid="{D8229C49-4791-4FE6-8AD1-C1A040706853}" name="2082-83" dataDxfId="1932" totalsRowDxfId="1931" dataCellStyle="Normal 2 2 2"/>
    <tableColumn id="70" xr3:uid="{512E29F8-DE67-4BEC-BF80-C60E1FEA0CAB}" name="2083-84" dataDxfId="1930" totalsRowDxfId="1929" dataCellStyle="Normal 2 2 2"/>
    <tableColumn id="71" xr3:uid="{F473F8FE-CB72-48F2-ACDA-E61409B8D65D}" name="2084-85" dataDxfId="1928" totalsRowDxfId="1927" dataCellStyle="Normal 2 2 2"/>
    <tableColumn id="72" xr3:uid="{F68D04B2-FB9D-49CC-BD21-965391E3F17E}" name="2085-86" dataDxfId="1926" totalsRowDxfId="1925" dataCellStyle="Normal 2 2 2"/>
    <tableColumn id="73" xr3:uid="{F8C12ED7-8E80-42D6-B45D-9C7208574FF3}" name="2086-87" dataDxfId="1924" totalsRowDxfId="1923" dataCellStyle="Normal 2 2 2"/>
    <tableColumn id="74" xr3:uid="{2047641E-43BB-40C1-984C-ABB9CF717F8F}" name="2087-88" dataDxfId="1922" totalsRowDxfId="1921" dataCellStyle="Normal 2 2 2"/>
    <tableColumn id="75" xr3:uid="{5CE42F89-EAE8-4B1F-8FA5-BD79A5C40DF0}" name="2088-89" dataDxfId="1920" totalsRowDxfId="1919" dataCellStyle="Normal 2 2 2"/>
    <tableColumn id="76" xr3:uid="{AFC14B8E-4B69-48EF-AD97-A7358B31BD71}" name="2089-90" dataDxfId="1918" totalsRowDxfId="1917" dataCellStyle="Normal 2 2 2"/>
    <tableColumn id="77" xr3:uid="{5B6CAABD-560E-4778-A952-BC2F4F9D0791}" name="2090-91" dataDxfId="1916" totalsRowDxfId="1915" dataCellStyle="Normal 2 2 2"/>
    <tableColumn id="78" xr3:uid="{61A845B1-D834-4196-AF89-4809BE269E0C}" name="2091-92" dataDxfId="1914" totalsRowDxfId="1913" dataCellStyle="Normal 2 2 2"/>
    <tableColumn id="79" xr3:uid="{298D0BC4-9D23-4A66-ADC2-7401DB3A3081}" name="2092-93" dataDxfId="1912" totalsRowDxfId="1911" dataCellStyle="Normal 2 2 2"/>
    <tableColumn id="80" xr3:uid="{0F5F5EB0-8935-4280-B321-6E0FA4D89C12}" name="2093-94" dataDxfId="1910" totalsRowDxfId="1909" dataCellStyle="Normal 2 2 2"/>
    <tableColumn id="81" xr3:uid="{B75B2324-7647-4F32-B586-F3286273DEBB}" name="2094-95" dataDxfId="1908" totalsRowDxfId="1907" dataCellStyle="Normal 2 2 2"/>
    <tableColumn id="82" xr3:uid="{6C7EE26B-1455-440C-8B80-A0E8653866DA}" name="2095-96" dataDxfId="1906" totalsRowDxfId="1905" dataCellStyle="Normal 2 2 2"/>
    <tableColumn id="83" xr3:uid="{581EA1BA-AB82-4132-9856-3A9FACA43872}" name="2096-97" dataDxfId="1904" totalsRowDxfId="1903" dataCellStyle="Normal 2 2 2"/>
    <tableColumn id="84" xr3:uid="{A7B2E4CC-C516-4C5D-898F-DAB56D76C78B}" name="2097-98" dataDxfId="1902" totalsRowDxfId="1901" dataCellStyle="Normal 2 2 2"/>
    <tableColumn id="85" xr3:uid="{183A5738-E547-45FF-9DA1-A51509CA5830}" name="2098-99" dataDxfId="1900" totalsRowDxfId="1899" dataCellStyle="Normal 2 2 2"/>
    <tableColumn id="86" xr3:uid="{A782FBA0-46EB-4FB8-923C-06DDD95369BD}" name="2099-100" dataDxfId="1898" totalsRowDxfId="1897" dataCellStyle="Normal 2 2 2"/>
    <tableColumn id="87" xr3:uid="{E91D1BA3-9C33-4D58-9BC3-DB5D02BDDAD5}" name="2099-101" dataDxfId="1896" totalsRowDxfId="1895" dataCellStyle="Normal 2 2 2"/>
  </tableColumns>
  <tableStyleInfo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E7BB5F2A-FE17-4D93-AF61-B5EF84D1D6C5}" name="TBL3f_DYCPFP_15_ESWHRT" displayName="TBL3f_DYCPFP_15_ESWHRT" ref="B302:CI362" totalsRowShown="0" headerRowDxfId="1894" dataDxfId="1893" tableBorderDxfId="1892" headerRowCellStyle="Normal 2 2 2" dataCellStyle="Normal 2 2 2">
  <autoFilter ref="B302:CI362" xr:uid="{32E764BE-BE3E-4B03-A38E-34B0BA9403F0}"/>
  <tableColumns count="86">
    <tableColumn id="1" xr3:uid="{BD512060-E1BB-4861-86F5-1300A0AE862A}" name="WRMP24 reference" dataDxfId="1891" dataCellStyle="Normal 2 2 2"/>
    <tableColumn id="2" xr3:uid="{DD866182-CE99-40E4-85AC-C78B36100A7F}" name="Component" dataDxfId="1890" dataCellStyle="Normal 2 2 2"/>
    <tableColumn id="3" xr3:uid="{3F765C2D-811B-46FE-B74F-3088052BC9B5}" name="Derivation" dataDxfId="1889" dataCellStyle="Normal 2 2 2"/>
    <tableColumn id="4" xr3:uid="{88415AAC-F4DF-4003-BFE6-F5BB21026B5E}" name="Unit" dataDxfId="1888" dataCellStyle="Normal 2 2 2"/>
    <tableColumn id="5" xr3:uid="{65B13C44-3DBC-487E-96B5-3EB214D88856}" name="Decimal places" dataDxfId="1887" dataCellStyle="Normal 2 2 2"/>
    <tableColumn id="6" xr3:uid="{CB2B1040-6C9E-46CC-98DD-320968A4FC41}" name="2019-20" dataDxfId="1886" dataCellStyle="Normal 2 2 2"/>
    <tableColumn id="7" xr3:uid="{5BB9FA6A-A468-40FA-AE44-919791C264E5}" name="2020-21" dataDxfId="1885" dataCellStyle="Normal 2 2 2"/>
    <tableColumn id="8" xr3:uid="{3D7A4486-DC21-4BD9-A0AD-D60F500D5869}" name="2021-22" dataDxfId="1884" dataCellStyle="Normal 2 2 2"/>
    <tableColumn id="9" xr3:uid="{F3046E3D-77DD-4016-9411-A048BC2CC473}" name="2022-23" dataDxfId="1883" dataCellStyle="Normal 2 2 2"/>
    <tableColumn id="10" xr3:uid="{C6A6066B-ACA2-4AAE-B610-5835F107D3BE}" name="2023-24" dataDxfId="1882" dataCellStyle="Normal 2 2 2"/>
    <tableColumn id="11" xr3:uid="{F9832CE4-EBD6-495A-904D-40F9BB9AF5D3}" name="2024-25" dataDxfId="1881" dataCellStyle="Normal 2 2 2"/>
    <tableColumn id="12" xr3:uid="{A6286CD8-EEBC-4C7E-9A45-0EECFF3A6F2A}" name="2025-26" dataDxfId="1880" dataCellStyle="Normal 2 2 2"/>
    <tableColumn id="13" xr3:uid="{5C36456B-7491-4127-A3ED-9EC7947F36D2}" name="2026-27" dataDxfId="1879" dataCellStyle="Normal 2 2 2"/>
    <tableColumn id="14" xr3:uid="{F96E0962-18D1-4EB6-8F3D-981BA00956C8}" name="2027-28" dataDxfId="1878" dataCellStyle="Normal 2 2 2"/>
    <tableColumn id="15" xr3:uid="{D289BA08-A167-42E7-A258-EC950DF6C6F7}" name="2028-29" dataDxfId="1877" dataCellStyle="Normal 2 2 2"/>
    <tableColumn id="16" xr3:uid="{E9FBEE24-73AD-4BB6-A4CF-45C58B78C0C2}" name="2029-30" dataDxfId="1876" dataCellStyle="Normal 2 2 2"/>
    <tableColumn id="17" xr3:uid="{EEFC8D55-8343-433C-B56D-C6AC60625FD4}" name="2030-31" dataDxfId="1875" dataCellStyle="Normal 2 2 2"/>
    <tableColumn id="18" xr3:uid="{88F51475-234B-43F0-AA34-D480A0457981}" name="2031-32" dataDxfId="1874" dataCellStyle="Normal 2 2 2"/>
    <tableColumn id="19" xr3:uid="{A93FCE02-2ACC-4348-80DA-6D0F2367C217}" name="2032-33" dataDxfId="1873" dataCellStyle="Normal 2 2 2"/>
    <tableColumn id="20" xr3:uid="{4C3DF474-74BD-4612-84C7-DE810DFB797A}" name="2033-34" dataDxfId="1872" dataCellStyle="Normal 2 2 2"/>
    <tableColumn id="21" xr3:uid="{D2A083F0-C4B0-42F4-B3E7-63ECC5B88F47}" name="2034-35" dataDxfId="1871" dataCellStyle="Normal 2 2 2"/>
    <tableColumn id="22" xr3:uid="{766D70AA-F8AB-452C-BBAE-EE327DC323D3}" name="2035-36" dataDxfId="1870" dataCellStyle="Normal 2 2 2"/>
    <tableColumn id="23" xr3:uid="{0E7EC3C3-945D-4548-B22A-0CF0E87E6DF6}" name="2036-37" dataDxfId="1869" dataCellStyle="Normal 2 2 2"/>
    <tableColumn id="24" xr3:uid="{D04599BD-4EEC-4573-80AC-7718097C7CBF}" name="2037-38" dataDxfId="1868" dataCellStyle="Normal 2 2 2"/>
    <tableColumn id="25" xr3:uid="{49A58445-30FF-4A74-A06E-D9636832FA97}" name="2038-39" dataDxfId="1867" dataCellStyle="Normal 2 2 2"/>
    <tableColumn id="26" xr3:uid="{A1B05625-7505-4584-B607-FE3D2A0577C3}" name="2039-40" dataDxfId="1866" dataCellStyle="Normal 2 2 2"/>
    <tableColumn id="27" xr3:uid="{A063AD99-D1B8-4664-8817-8C8B1E6422CD}" name="2040-41" dataDxfId="1865" dataCellStyle="Normal 2 2 2"/>
    <tableColumn id="28" xr3:uid="{F82B8144-244A-46C6-A713-DB5DD03932D8}" name="2041-42" dataDxfId="1864" dataCellStyle="Normal 2 2 2"/>
    <tableColumn id="29" xr3:uid="{70EF6D56-9B24-44C6-86B1-7C37F54CBD45}" name="2042-43" dataDxfId="1863" dataCellStyle="Normal 2 2 2"/>
    <tableColumn id="30" xr3:uid="{B8E5A54F-5D54-48E9-98C9-E8FAF6D3A0FB}" name="2043-44" dataDxfId="1862" dataCellStyle="Normal 2 2 2"/>
    <tableColumn id="31" xr3:uid="{17923C62-483E-4187-A2A2-490B00DC237D}" name="2044-45" dataDxfId="1861" dataCellStyle="Normal 2 2 2"/>
    <tableColumn id="32" xr3:uid="{E657F545-0B5C-43A5-A762-25286411239F}" name="2045-46" dataDxfId="1860" dataCellStyle="Normal 2 2 2"/>
    <tableColumn id="33" xr3:uid="{8FB1C2BA-875E-4246-B072-5A04838BBEF9}" name="2046-47" dataDxfId="1859" dataCellStyle="Normal 2 2 2"/>
    <tableColumn id="34" xr3:uid="{603C4450-FAC0-418E-B4D2-0A6EDB5052FA}" name="2047-48" dataDxfId="1858" dataCellStyle="Normal 2 2 2"/>
    <tableColumn id="35" xr3:uid="{85FC7718-71A5-4D76-B4C6-323760F75C0F}" name="2048-49" dataDxfId="1857" dataCellStyle="Normal 2 2 2"/>
    <tableColumn id="36" xr3:uid="{89BD9CC8-951A-4B10-AC16-C74BDC9FF40F}" name="2049-50" dataDxfId="1856" dataCellStyle="Normal 2 2 2"/>
    <tableColumn id="37" xr3:uid="{63C158B5-591D-4019-A287-5AAD72F0DDBA}" name="2050-51" dataDxfId="1855" dataCellStyle="Normal 2 2 2"/>
    <tableColumn id="38" xr3:uid="{90085220-494C-4D5B-8245-5822B9476280}" name="2051-52" dataDxfId="1854" dataCellStyle="Normal 2 2 2"/>
    <tableColumn id="39" xr3:uid="{229B59BB-33C5-4BF8-B3C0-084175EB8B0A}" name="2052-53" dataDxfId="1853" dataCellStyle="Normal 2 2 2"/>
    <tableColumn id="40" xr3:uid="{45009198-42EC-4199-97DF-FEE9EA7FE864}" name="2053-54" dataDxfId="1852" dataCellStyle="Normal 2 2 2"/>
    <tableColumn id="41" xr3:uid="{65C65D1E-332E-4DE4-8372-05ACA1D6301A}" name="2054-55" dataDxfId="1851" dataCellStyle="Normal 2 2 2"/>
    <tableColumn id="42" xr3:uid="{DACC22F4-5B5E-4298-B587-0FE4E027FC37}" name="2055-56" dataDxfId="1850" dataCellStyle="Normal 2 2 2"/>
    <tableColumn id="43" xr3:uid="{04424C4D-B1E0-43CC-9A2B-2CE2FD62F70C}" name="2056-57" dataDxfId="1849" dataCellStyle="Normal 2 2 2"/>
    <tableColumn id="44" xr3:uid="{DB3BE66B-DE2F-4317-B660-2860E91A1F9A}" name="2057-58" dataDxfId="1848" dataCellStyle="Normal 2 2 2"/>
    <tableColumn id="45" xr3:uid="{CC8A985D-1D2A-44F6-8D58-508CB883C63A}" name="2058-59" dataDxfId="1847" dataCellStyle="Normal 2 2 2"/>
    <tableColumn id="46" xr3:uid="{0C4C879A-3180-49D9-9765-5708AB152A48}" name="2059-60" dataDxfId="1846" dataCellStyle="Normal 2 2 2"/>
    <tableColumn id="47" xr3:uid="{2F63E087-4202-4F01-B75D-91BFC8FDD4D7}" name="2060-61" dataDxfId="1845" dataCellStyle="Normal 2 2 2"/>
    <tableColumn id="48" xr3:uid="{5B3D4846-130D-4184-907E-1D7EF7D50D2F}" name="2061-62" dataDxfId="1844" dataCellStyle="Normal 2 2 2"/>
    <tableColumn id="49" xr3:uid="{4AB18645-2A48-404C-93E9-801B9679D74D}" name="2062-63" dataDxfId="1843" dataCellStyle="Normal 2 2 2"/>
    <tableColumn id="50" xr3:uid="{F802C953-5BBB-4E54-A0BC-3B03AAFAD906}" name="2063-64" dataDxfId="1842" dataCellStyle="Normal 2 2 2"/>
    <tableColumn id="51" xr3:uid="{7FDBF479-9A6B-417E-BDEE-4D81A6F78588}" name="2064-65" dataDxfId="1841" dataCellStyle="Normal 2 2 2"/>
    <tableColumn id="52" xr3:uid="{56CAA21E-CBDF-4006-880F-4843C034D161}" name="2065-66" dataDxfId="1840" dataCellStyle="Normal 2 2 2"/>
    <tableColumn id="53" xr3:uid="{7A09E2BD-6A64-4E7F-81D4-211284136E46}" name="2066-67" dataDxfId="1839" dataCellStyle="Normal 2 2 2"/>
    <tableColumn id="54" xr3:uid="{356EACC4-76C3-4D52-94AA-3020B67EA1F9}" name="2067-68" dataDxfId="1838" dataCellStyle="Normal 2 2 2"/>
    <tableColumn id="55" xr3:uid="{541B0575-F8B3-4B79-AB8D-AB811984057E}" name="2068-69" dataDxfId="1837" dataCellStyle="Normal 2 2 2"/>
    <tableColumn id="56" xr3:uid="{442674AA-21ED-4758-9006-CF31D9F13C38}" name="2069-70" dataDxfId="1836" dataCellStyle="Normal 2 2 2"/>
    <tableColumn id="57" xr3:uid="{2F34F898-DE92-4AD3-B4CC-BE85F1B5A4A9}" name="2070-71" dataDxfId="1835" dataCellStyle="Normal 2 2 2"/>
    <tableColumn id="58" xr3:uid="{D209C524-3224-4DAB-B2BC-6D82EA47072C}" name="2071-72" dataDxfId="1834" dataCellStyle="Normal 2 2 2"/>
    <tableColumn id="59" xr3:uid="{DEB2800E-B445-4B9D-98EF-ABCBD2F943A8}" name="2072-73" dataDxfId="1833" dataCellStyle="Normal 2 2 2"/>
    <tableColumn id="60" xr3:uid="{A1134792-0D4E-4085-AA3E-99A85E755E43}" name="2073-74" dataDxfId="1832" dataCellStyle="Normal 2 2 2"/>
    <tableColumn id="61" xr3:uid="{8BBD7E04-8056-41B9-B26B-861B6E8639B5}" name="2074-75" dataDxfId="1831" dataCellStyle="Normal 2 2 2"/>
    <tableColumn id="62" xr3:uid="{05B5E561-EBBD-4BC2-B278-B15D80997FCA}" name="2075-76" dataDxfId="1830" dataCellStyle="Normal 2 2 2"/>
    <tableColumn id="63" xr3:uid="{410E8B20-8157-4F6E-AB8B-9EC4D9AA3500}" name="2076-77" dataDxfId="1829" dataCellStyle="Normal 2 2 2"/>
    <tableColumn id="64" xr3:uid="{626C4429-0AF6-4976-8C46-57D655B4D75F}" name="2077-78" dataDxfId="1828" dataCellStyle="Normal 2 2 2"/>
    <tableColumn id="65" xr3:uid="{1165FCBF-A827-4AFD-8D18-E1512B54CD57}" name="2078-79" dataDxfId="1827" dataCellStyle="Normal 2 2 2"/>
    <tableColumn id="66" xr3:uid="{0B4CFB00-EC13-44D9-85D9-8349598315B6}" name="2079-80" dataDxfId="1826" dataCellStyle="Normal 2 2 2"/>
    <tableColumn id="67" xr3:uid="{BDDB3D7D-6476-4F75-8DA1-F9E56D30A96D}" name="2080-81" dataDxfId="1825" dataCellStyle="Normal 2 2 2"/>
    <tableColumn id="68" xr3:uid="{01260330-363E-4DE2-B49A-2DEBF8BC743E}" name="2081-82" dataDxfId="1824" dataCellStyle="Normal 2 2 2"/>
    <tableColumn id="69" xr3:uid="{722CA5DD-1B81-4343-A9B2-BE24995E52C7}" name="2082-83" dataDxfId="1823" dataCellStyle="Normal 2 2 2"/>
    <tableColumn id="70" xr3:uid="{5E719D20-742B-422B-AD08-52A47F0DC827}" name="2083-84" dataDxfId="1822" dataCellStyle="Normal 2 2 2"/>
    <tableColumn id="71" xr3:uid="{4A6A072A-8C47-45F1-83E3-709A8B1EA550}" name="2084-85" dataDxfId="1821" dataCellStyle="Normal 2 2 2"/>
    <tableColumn id="72" xr3:uid="{3B8950C8-4B97-41DB-9E4D-47082506B319}" name="2085-86" dataDxfId="1820" dataCellStyle="Normal 2 2 2"/>
    <tableColumn id="73" xr3:uid="{28E2DE06-0868-46DC-AFF2-DE99F3B395B1}" name="2086-87" dataDxfId="1819" dataCellStyle="Normal 2 2 2"/>
    <tableColumn id="74" xr3:uid="{C409C061-F22D-42ED-8E34-CF7A9B893BE7}" name="2087-88" dataDxfId="1818" dataCellStyle="Normal 2 2 2"/>
    <tableColumn id="75" xr3:uid="{6C3185B5-C355-4691-BEFE-0516769C58B6}" name="2088-89" dataDxfId="1817" dataCellStyle="Normal 2 2 2"/>
    <tableColumn id="76" xr3:uid="{F045249A-EB63-4545-9C0C-D4E85E93029F}" name="2089-90" dataDxfId="1816" dataCellStyle="Normal 2 2 2"/>
    <tableColumn id="77" xr3:uid="{D05F7EB1-79F4-4D62-B8F2-B9C1B41DEBBA}" name="2090-91" dataDxfId="1815" dataCellStyle="Normal 2 2 2"/>
    <tableColumn id="78" xr3:uid="{90E0A6F7-4762-4B83-AF37-92F4042A9AAD}" name="2091-92" dataDxfId="1814" dataCellStyle="Normal 2 2 2"/>
    <tableColumn id="79" xr3:uid="{BD13F267-2B4A-4674-95AA-0DC3802F4FDF}" name="2092-93" dataDxfId="1813" dataCellStyle="Normal 2 2 2"/>
    <tableColumn id="80" xr3:uid="{61F6C161-252E-4AF3-BBAB-ABEBE12CD4EF}" name="2093-94" dataDxfId="1812" dataCellStyle="Normal 2 2 2"/>
    <tableColumn id="81" xr3:uid="{FCDBC97C-D11A-4D05-B387-A7459A9EF590}" name="2094-95" dataDxfId="1811" dataCellStyle="Normal 2 2 2"/>
    <tableColumn id="82" xr3:uid="{6A66DF2E-D226-4A84-9E3F-02D8123DA496}" name="2095-96" dataDxfId="1810" dataCellStyle="Normal 2 2 2"/>
    <tableColumn id="83" xr3:uid="{7C2EBF49-B573-4CCD-A4DA-D81B877595CD}" name="2096-97" dataDxfId="1809" dataCellStyle="Normal 2 2 2"/>
    <tableColumn id="84" xr3:uid="{C1B8C301-C236-437B-B326-CB144E2898EA}" name="2097-98" dataDxfId="1808" dataCellStyle="Normal 2 2 2"/>
    <tableColumn id="85" xr3:uid="{E4B65D1B-3A14-4106-B3C9-CF4E205A085D}" name="2098-99" dataDxfId="1807" dataCellStyle="Normal 2 2 2"/>
    <tableColumn id="86" xr3:uid="{4E5B3690-4E40-4DC4-85B6-08AD963F4F40}" name="2099-100" dataDxfId="1806" dataCellStyle="Normal 2 2 2"/>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2000000}" name="TBL1c_UnusedLic" displayName="TBL1c_UnusedLic" ref="B50:L54" totalsRowShown="0" headerRowDxfId="4687" headerRowBorderDxfId="4686" tableBorderDxfId="4685" totalsRowBorderDxfId="4684" headerRowCellStyle="Normal 2">
  <autoFilter ref="B50:L54" xr:uid="{00000000-0009-0000-0100-000003000000}"/>
  <tableColumns count="11">
    <tableColumn id="2" xr3:uid="{00000000-0010-0000-0200-000002000000}" name="WRMP24 Reference" dataDxfId="4683"/>
    <tableColumn id="3" xr3:uid="{00000000-0010-0000-0200-000003000000}" name="Derivation" dataDxfId="4682"/>
    <tableColumn id="4" xr3:uid="{00000000-0010-0000-0200-000004000000}" name="Licence number" dataDxfId="4681"/>
    <tableColumn id="5" xr3:uid="{00000000-0010-0000-0200-000005000000}" name="Source name" dataDxfId="4680"/>
    <tableColumn id="6" xr3:uid="{00000000-0010-0000-0200-000006000000}" name="Source type" dataDxfId="4679"/>
    <tableColumn id="7" xr3:uid="{00000000-0010-0000-0200-000007000000}" name="WRZ Code" dataDxfId="4678"/>
    <tableColumn id="8" xr3:uid="{00000000-0010-0000-0200-000008000000}" name="DYAA deployable output (Ml/d)" dataDxfId="4677"/>
    <tableColumn id="1" xr3:uid="{00000000-0010-0000-0200-000001000000}" name="DYCP deployable output (Ml/d)" dataDxfId="4676">
      <calculatedColumnFormula>SUM(I52:I54)</calculatedColumnFormula>
    </tableColumn>
    <tableColumn id="9" xr3:uid="{00000000-0010-0000-0200-000009000000}" name="Annual licensed quantity (Ml/d)" dataDxfId="4675"/>
    <tableColumn id="10" xr3:uid="{00000000-0010-0000-0200-00000A000000}" name="Reason licence is unused" dataDxfId="4674"/>
    <tableColumn id="11" xr3:uid="{00000000-0010-0000-0200-00000B000000}" name="Additional notes (if desired)" dataDxfId="4673"/>
  </tableColumns>
  <tableStyleInfo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0403433C-C8BA-4914-852E-F4A404C4830E}" name="TBL3a_DYAABL_10_ESWNCT" displayName="TBL3a_DYAABL_10_ESWNCT" ref="B23:CJ92" totalsRowCount="1" headerRowDxfId="1697" dataDxfId="1696" tableBorderDxfId="1695" headerRowCellStyle="Normal 2 2 2">
  <autoFilter ref="B23:CJ91" xr:uid="{D893CB9E-6419-4938-B8EA-592538CC25DE}"/>
  <tableColumns count="87">
    <tableColumn id="1" xr3:uid="{786E7038-8884-4F7E-9AF9-66CE0643A792}" name="WRMP24 reference" dataDxfId="1694" totalsRowDxfId="1693" dataCellStyle="Normal 2 2 2"/>
    <tableColumn id="2" xr3:uid="{91F1F19B-3D09-4987-8CE3-490DC1C639BB}" name="Component" dataDxfId="1692" totalsRowDxfId="1691" dataCellStyle="Normal 2 2 2"/>
    <tableColumn id="3" xr3:uid="{1747A98F-9236-4A8E-A5A7-946B0737EE3A}" name="Derivation" dataDxfId="1690" totalsRowDxfId="1689" dataCellStyle="Normal 2 2 2"/>
    <tableColumn id="4" xr3:uid="{0BD67691-3B82-4065-9869-E75599B52316}" name="Unit" dataDxfId="1688" totalsRowDxfId="1687" dataCellStyle="Normal 2 2 2"/>
    <tableColumn id="5" xr3:uid="{C148F6CB-AD24-44AA-85F0-9D0374744D63}" name="Decimal places" dataDxfId="1686" totalsRowDxfId="1685" dataCellStyle="Normal 2 2 2"/>
    <tableColumn id="6" xr3:uid="{463EF554-933C-46BA-9F50-6E96EDA82516}" name="2019-20" dataDxfId="1684" totalsRowDxfId="1683"/>
    <tableColumn id="7" xr3:uid="{01BD1A50-8A65-4C9E-B3C2-BAAEA002BFDB}" name="2020-21" dataDxfId="1682" totalsRowDxfId="1681"/>
    <tableColumn id="8" xr3:uid="{5D89F3F5-9E3F-4A71-8A9A-763E0E1E1BD8}" name="2021-22" dataDxfId="1680" totalsRowDxfId="1679"/>
    <tableColumn id="9" xr3:uid="{B79DF604-923D-44F5-9CE0-D0F115959A76}" name="2022-23" dataDxfId="1678" totalsRowDxfId="1677"/>
    <tableColumn id="10" xr3:uid="{ECBF4469-CA78-434F-90CE-46874FB373BE}" name="2023-24" dataDxfId="1676" totalsRowDxfId="1675"/>
    <tableColumn id="11" xr3:uid="{EC03FBA9-92E2-4D37-AF6E-5D3BED06E2F8}" name="2024-25" dataDxfId="1674" totalsRowDxfId="1673"/>
    <tableColumn id="12" xr3:uid="{8812EF50-C75F-44E0-BB9C-3EF33DE96B1B}" name="2025-26" dataDxfId="1672" totalsRowDxfId="1671"/>
    <tableColumn id="13" xr3:uid="{9FD4C5F4-58D4-4F16-A93C-2FA3D743F794}" name="2026-27" dataDxfId="1670" totalsRowDxfId="1669"/>
    <tableColumn id="14" xr3:uid="{BD7E9A3E-3F84-47BD-B3AA-E6CE7E703ED3}" name="2027-28" dataDxfId="1668" totalsRowDxfId="1667"/>
    <tableColumn id="15" xr3:uid="{B588763B-2047-4DF5-B21C-277398341925}" name="2028-29" dataDxfId="1666" totalsRowDxfId="1665"/>
    <tableColumn id="16" xr3:uid="{9B40987C-9FDD-4C49-A0CA-83ECF3DE3E21}" name="2029-30" dataDxfId="1664" totalsRowDxfId="1663"/>
    <tableColumn id="17" xr3:uid="{C9DB6F05-8FA2-41D0-9715-4E1327DA7C05}" name="2030-31" dataDxfId="1662" totalsRowDxfId="1661"/>
    <tableColumn id="18" xr3:uid="{513F6AFB-2FC2-46F4-BD79-A0F245C3C4E3}" name="2031-32" dataDxfId="1660" totalsRowDxfId="1659"/>
    <tableColumn id="19" xr3:uid="{084AB6DC-CFD7-4277-8DDA-C6F6BE76BED6}" name="2032-33" dataDxfId="1658" totalsRowDxfId="1657"/>
    <tableColumn id="20" xr3:uid="{46C553F6-F021-4478-AB0A-940BF96D0462}" name="2033-34" dataDxfId="1656" totalsRowDxfId="1655"/>
    <tableColumn id="21" xr3:uid="{10F6FE29-C646-4AC5-BEAC-98981C2B3883}" name="2034-35" dataDxfId="1654" totalsRowDxfId="1653"/>
    <tableColumn id="22" xr3:uid="{FABFCE3A-27E1-47CD-929B-186C69682857}" name="2035-36" dataDxfId="1652" totalsRowDxfId="1651"/>
    <tableColumn id="23" xr3:uid="{7D5EA685-6515-4987-BF8A-9187CA29DB5E}" name="2036-37" dataDxfId="1650" totalsRowDxfId="1649"/>
    <tableColumn id="24" xr3:uid="{BEBE7BA5-E56F-4585-BFEB-06DAC8462C92}" name="2037-38" dataDxfId="1648" totalsRowDxfId="1647"/>
    <tableColumn id="25" xr3:uid="{2640A164-4376-423D-B3DE-43A1E4BE86AD}" name="2038-39" dataDxfId="1646" totalsRowDxfId="1645"/>
    <tableColumn id="26" xr3:uid="{EED1179C-2481-4432-803F-F93BCA72B0D8}" name="2039-40" dataDxfId="1644" totalsRowDxfId="1643"/>
    <tableColumn id="27" xr3:uid="{3A7E0945-A945-4879-A970-C304305875A5}" name="2040-41" dataDxfId="1642" totalsRowDxfId="1641"/>
    <tableColumn id="28" xr3:uid="{239C47B2-D00F-41EA-8494-861F2D86838A}" name="2041-42" dataDxfId="1640" totalsRowDxfId="1639"/>
    <tableColumn id="29" xr3:uid="{219E43C6-4DCC-4774-887F-22398703DB6E}" name="2042-43" dataDxfId="1638" totalsRowDxfId="1637"/>
    <tableColumn id="30" xr3:uid="{4459986D-7497-43D0-8267-2E4601C0CE54}" name="2043-44" dataDxfId="1636" totalsRowDxfId="1635"/>
    <tableColumn id="31" xr3:uid="{4CDAA0FE-9D13-4581-83CE-86C45B3F572D}" name="2044-45" dataDxfId="1634" totalsRowDxfId="1633"/>
    <tableColumn id="32" xr3:uid="{E64DC65A-A18A-4045-9B21-C330B14B363A}" name="2045-46" dataDxfId="1632" totalsRowDxfId="1631"/>
    <tableColumn id="33" xr3:uid="{E97282C6-5DB2-4D34-B4DA-229DE9A1B565}" name="2046-47" dataDxfId="1630" totalsRowDxfId="1629"/>
    <tableColumn id="34" xr3:uid="{0E6CCEB7-5801-4913-B60C-359B93656847}" name="2047-48" dataDxfId="1628" totalsRowDxfId="1627"/>
    <tableColumn id="35" xr3:uid="{DCBF2344-27FD-4602-B650-5C74B15645B2}" name="2048-49" dataDxfId="1626" totalsRowDxfId="1625"/>
    <tableColumn id="36" xr3:uid="{693D0F2D-D74E-4BD7-9BDE-F398ECB32037}" name="2049-50" dataDxfId="1624" totalsRowDxfId="1623"/>
    <tableColumn id="37" xr3:uid="{CD384B4C-E9EE-4398-9606-809AB9096877}" name="2050-51" dataDxfId="1622" totalsRowDxfId="1621"/>
    <tableColumn id="38" xr3:uid="{7A1532AB-87E9-4689-8AE2-D1988C182EC4}" name="2051-52" dataDxfId="1620" totalsRowDxfId="1619"/>
    <tableColumn id="39" xr3:uid="{B250027B-F067-4EB9-A81E-75FA7636BAA4}" name="2052-53" dataDxfId="1618" totalsRowDxfId="1617"/>
    <tableColumn id="40" xr3:uid="{0DBF1BF1-7CB1-46D2-8703-E4799B7288C6}" name="2053-54" dataDxfId="1616" totalsRowDxfId="1615"/>
    <tableColumn id="41" xr3:uid="{155F06DB-4B80-457E-911B-AC7102059021}" name="2054-55" dataDxfId="1614" totalsRowDxfId="1613"/>
    <tableColumn id="42" xr3:uid="{AB14A099-39F1-42F6-B14E-4AE38541D56F}" name="2055-56" dataDxfId="1612" totalsRowDxfId="1611"/>
    <tableColumn id="43" xr3:uid="{E56642AE-AFA3-45A3-A7F0-6F15D01E7B2D}" name="2056-57" dataDxfId="1610" totalsRowDxfId="1609"/>
    <tableColumn id="44" xr3:uid="{0CC059C7-D62E-4713-B4F9-E4E79683B921}" name="2057-58" dataDxfId="1608" totalsRowDxfId="1607"/>
    <tableColumn id="45" xr3:uid="{4608873E-4604-4442-A9E1-055DBB051F88}" name="2058-59" dataDxfId="1606" totalsRowDxfId="1605"/>
    <tableColumn id="46" xr3:uid="{E0D3829F-BEB3-4BB4-A265-E6628E6C3ADD}" name="2059-60" dataDxfId="1604" totalsRowDxfId="1603"/>
    <tableColumn id="47" xr3:uid="{067E9B3F-8FDB-4C2A-9FFF-01ACC42B2484}" name="2060-61" dataDxfId="1602" totalsRowDxfId="1601"/>
    <tableColumn id="48" xr3:uid="{3EECC1BC-F63A-4BF5-A639-E02F7C1F8019}" name="2061-62" dataDxfId="1600" totalsRowDxfId="1599"/>
    <tableColumn id="49" xr3:uid="{FB71346C-F3D2-43D9-A4EB-9CF0577BF7E4}" name="2062-63" dataDxfId="1598" totalsRowDxfId="1597"/>
    <tableColumn id="50" xr3:uid="{A1B6F994-5E94-4F36-82CC-B55092FDC67E}" name="2063-64" dataDxfId="1596" totalsRowDxfId="1595"/>
    <tableColumn id="51" xr3:uid="{DA9B1543-3338-4A16-AB9C-472E9C58F5EF}" name="2064-65" dataDxfId="1594" totalsRowDxfId="1593"/>
    <tableColumn id="52" xr3:uid="{7D666E64-42BA-4E63-86B1-F98C044CF897}" name="2065-66" dataDxfId="1592" totalsRowDxfId="1591"/>
    <tableColumn id="53" xr3:uid="{BC886085-2DE6-49F4-A950-EA546FD5D263}" name="2066-67" dataDxfId="1590" totalsRowDxfId="1589"/>
    <tableColumn id="54" xr3:uid="{DB1213AE-630F-41A6-9473-0771C67A4D24}" name="2067-68" dataDxfId="1588" totalsRowDxfId="1587"/>
    <tableColumn id="55" xr3:uid="{BEF32406-40A4-4A0B-B139-E29981762C0C}" name="2068-69" dataDxfId="1586" totalsRowDxfId="1585"/>
    <tableColumn id="56" xr3:uid="{465E37B4-544C-41DD-8172-853CD0F56F1C}" name="2069-70" dataDxfId="1584" totalsRowDxfId="1583"/>
    <tableColumn id="57" xr3:uid="{926E2DF3-9A5B-43A4-AEB2-2D8F85C84D3A}" name="2070-71" dataDxfId="1582" totalsRowDxfId="1581"/>
    <tableColumn id="58" xr3:uid="{604CA0B7-633A-45B2-AC1D-0D539AD8FF92}" name="2071-72" dataDxfId="1580" totalsRowDxfId="1579"/>
    <tableColumn id="59" xr3:uid="{AA1A76EE-2014-420D-BA25-0F42003C1F3D}" name="2072-73" dataDxfId="1578" totalsRowDxfId="1577"/>
    <tableColumn id="60" xr3:uid="{D359974B-656C-4990-B0B0-FDCCF158E0F2}" name="2073-74" dataDxfId="1576" totalsRowDxfId="1575"/>
    <tableColumn id="61" xr3:uid="{A4B5321B-8A21-408C-92E3-8AF39F2E998D}" name="2074-75" dataDxfId="1574" totalsRowDxfId="1573"/>
    <tableColumn id="62" xr3:uid="{5D89C282-EC37-4CFB-8D2F-94B8878BA163}" name="2075-76" dataDxfId="1572" totalsRowDxfId="1571"/>
    <tableColumn id="63" xr3:uid="{B7F2A3A5-D657-4583-B7B4-6CBD6F6C3DAA}" name="2076-77" dataDxfId="1570" totalsRowDxfId="1569"/>
    <tableColumn id="64" xr3:uid="{B95670AE-C5E0-4280-9A02-D94AA8DA79E3}" name="2077-78" dataDxfId="1568" totalsRowDxfId="1567"/>
    <tableColumn id="65" xr3:uid="{83B8AE73-4E1E-4177-8F42-D57F0780CBB6}" name="2078-79" dataDxfId="1566" totalsRowDxfId="1565"/>
    <tableColumn id="66" xr3:uid="{AF9818A4-47CB-4AEC-88F3-D5729E3610FA}" name="2079-80" dataDxfId="1564" totalsRowDxfId="1563"/>
    <tableColumn id="67" xr3:uid="{D6201307-2FFA-4C26-A327-83A6A089B08D}" name="2080-81" dataDxfId="1562" totalsRowDxfId="1561"/>
    <tableColumn id="68" xr3:uid="{0EB88EBC-90B7-4702-A407-BD9EA6F0E2AA}" name="2081-82" dataDxfId="1560" totalsRowDxfId="1559"/>
    <tableColumn id="69" xr3:uid="{872CEA56-1144-4E0A-B80C-E996FE79B182}" name="2082-83" dataDxfId="1558" totalsRowDxfId="1557"/>
    <tableColumn id="70" xr3:uid="{713FE47A-F7A3-4801-9CA0-3B5C3746782A}" name="2083-84" dataDxfId="1556" totalsRowDxfId="1555"/>
    <tableColumn id="71" xr3:uid="{704D8491-43AB-4270-A682-CAD1F4204307}" name="2084-85" dataDxfId="1554" totalsRowDxfId="1553"/>
    <tableColumn id="72" xr3:uid="{D77A44B5-A990-4841-9B35-8DEB2717CCAB}" name="2085-86" dataDxfId="1552" totalsRowDxfId="1551"/>
    <tableColumn id="73" xr3:uid="{2A641EE3-58F3-4E77-988C-1CB8C19A48BD}" name="2086-87" dataDxfId="1550" totalsRowDxfId="1549"/>
    <tableColumn id="74" xr3:uid="{8E028798-54BD-4AD4-B331-940D1AB746A4}" name="2087-88" dataDxfId="1548" totalsRowDxfId="1547"/>
    <tableColumn id="75" xr3:uid="{5CC8EFD3-6494-4F1D-9681-DB8237D7800F}" name="2088-89" dataDxfId="1546" totalsRowDxfId="1545"/>
    <tableColumn id="76" xr3:uid="{447C592B-A40D-4ED6-9372-B14C6F512C6B}" name="2089-90" dataDxfId="1544" totalsRowDxfId="1543"/>
    <tableColumn id="77" xr3:uid="{956D51CA-6592-445B-815D-FC05C352B558}" name="2090-91" dataDxfId="1542" totalsRowDxfId="1541"/>
    <tableColumn id="78" xr3:uid="{8D0DA1C7-0054-4682-9859-FD2AEB112B53}" name="2091-92" dataDxfId="1540" totalsRowDxfId="1539"/>
    <tableColumn id="79" xr3:uid="{914D847E-8AB9-4646-A021-E8AEDCB3071D}" name="2092-93" dataDxfId="1538" totalsRowDxfId="1537"/>
    <tableColumn id="80" xr3:uid="{55CA4DDF-FD12-464B-8F29-4D6E2FB961B7}" name="2093-94" dataDxfId="1536" totalsRowDxfId="1535"/>
    <tableColumn id="81" xr3:uid="{4F51118B-85EF-40C7-811B-B05AEAE6B599}" name="2094-95" dataDxfId="1534" totalsRowDxfId="1533"/>
    <tableColumn id="82" xr3:uid="{A6644602-E827-4F95-8647-BCBD93501291}" name="2095-96" dataDxfId="1532" totalsRowDxfId="1531"/>
    <tableColumn id="83" xr3:uid="{3EA0E584-B0B9-42E3-B458-9D9D677297DD}" name="2096-97" dataDxfId="1530" totalsRowDxfId="1529"/>
    <tableColumn id="84" xr3:uid="{A0628F28-3084-4081-9477-814A800F8B52}" name="2097-98" dataDxfId="1528" totalsRowDxfId="1527"/>
    <tableColumn id="85" xr3:uid="{E9BC9B90-7DC6-412A-A6C1-246CC1356FC8}" name="2098-99" dataDxfId="1526" totalsRowDxfId="1525"/>
    <tableColumn id="86" xr3:uid="{B2F57455-3E50-4E0D-9153-45A7772BE98D}" name="2099-100" dataDxfId="1524" totalsRowDxfId="1523"/>
    <tableColumn id="87" xr3:uid="{2FB50DAA-8616-4257-9825-933BE6DCD43C}" name="2099-101" dataDxfId="1522" totalsRowDxfId="1521"/>
  </tableColumns>
  <tableStyleInfo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 xr:uid="{CD81F73C-FEAB-4A4C-979D-11E6B6589363}" name="TBL3b_DYAAOpt_11_ESWNCT" displayName="TBL3b_DYAAOpt_11_ESWNCT" ref="B94:CJ119" totalsRowCount="1" headerRowDxfId="1520" dataDxfId="1518" headerRowBorderDxfId="1519" tableBorderDxfId="1517" headerRowCellStyle="Normal 2 2 2" dataCellStyle="Normal 2 2 2">
  <autoFilter ref="B94:CJ118" xr:uid="{D5EFB056-0F2B-4E27-8197-E2FB749A3A50}"/>
  <tableColumns count="87">
    <tableColumn id="1" xr3:uid="{3E1B5551-94B8-415E-B149-8ECF0786D5AE}" name="WRMP24 reference" dataDxfId="1516" totalsRowDxfId="1515" dataCellStyle="Normal 2 2 2"/>
    <tableColumn id="2" xr3:uid="{E37B92F4-0FEC-4C62-8CBC-AF7BAFF2DA04}" name="Option type" dataDxfId="1514" totalsRowDxfId="1513" dataCellStyle="Normal 2 2 2"/>
    <tableColumn id="3" xr3:uid="{E618B135-5BE4-4A16-AF33-19733303993E}" name="Cat ID" dataDxfId="1512" totalsRowDxfId="1511" dataCellStyle="Normal 2 2 2"/>
    <tableColumn id="4" xr3:uid="{3390FC6F-C90C-4198-8B8F-456C9EDDFFD0}" name="Unit" dataDxfId="1510" totalsRowDxfId="1509" dataCellStyle="Normal 2 2 2"/>
    <tableColumn id="5" xr3:uid="{FC3DDD1A-7BCB-49F9-ACE4-919A2F03CA62}" name="Decimal places" dataDxfId="1508" totalsRowDxfId="1507" dataCellStyle="Normal 2 2 2"/>
    <tableColumn id="6" xr3:uid="{A0810BBA-1F69-45DA-9833-7627D57A839A}" name="2019-20" dataDxfId="1506" totalsRowDxfId="1505" dataCellStyle="Normal 2 2 2"/>
    <tableColumn id="7" xr3:uid="{66E8E255-E974-4C15-B218-2B7E069B299D}" name="2020-21" dataDxfId="1504" totalsRowDxfId="1503" dataCellStyle="Normal 2 2 2"/>
    <tableColumn id="8" xr3:uid="{099BFCB5-847F-49B3-9D5B-A4A3E18EE674}" name="2021-22" dataDxfId="1502" totalsRowDxfId="1501" dataCellStyle="Normal 2 2 2"/>
    <tableColumn id="9" xr3:uid="{8740D79D-3E86-4AAD-91D5-616B8595E379}" name="2022-23" dataDxfId="1500" totalsRowDxfId="1499" dataCellStyle="Normal 2 2 2"/>
    <tableColumn id="10" xr3:uid="{6CA5E7E1-462E-4272-9BA0-8BF0067721ED}" name="2023-24" dataDxfId="1498" totalsRowDxfId="1497" dataCellStyle="Normal 2 2 2"/>
    <tableColumn id="11" xr3:uid="{E492FF14-8784-4A44-A848-009E1B40DA1D}" name="2024-25" dataDxfId="1496" totalsRowDxfId="1495" dataCellStyle="Normal 2 2 2"/>
    <tableColumn id="12" xr3:uid="{A779A68F-9281-4948-9C4E-2C46189139EC}" name="2025-26" dataDxfId="1494" totalsRowDxfId="1493" dataCellStyle="Normal 2 2 2"/>
    <tableColumn id="13" xr3:uid="{E6FB785D-D428-405B-9ED3-F1EFFA40CFAB}" name="2026-27" dataDxfId="1492" totalsRowDxfId="1491" dataCellStyle="Normal 2 2 2"/>
    <tableColumn id="14" xr3:uid="{C85BE902-7CA7-450F-9FB1-9AF237AC2ED4}" name="2027-28" dataDxfId="1490" totalsRowDxfId="1489" dataCellStyle="Normal 2 2 2"/>
    <tableColumn id="15" xr3:uid="{49F1D58E-76AD-4344-B1C7-213DCA7384E0}" name="2028-29" dataDxfId="1488" totalsRowDxfId="1487" dataCellStyle="Normal 2 2 2"/>
    <tableColumn id="16" xr3:uid="{44CE1B7A-C217-43FC-B6DC-6E6BB685FA46}" name="2029-30" dataDxfId="1486" totalsRowDxfId="1485" dataCellStyle="Normal 2 2 2"/>
    <tableColumn id="17" xr3:uid="{E629BEEC-E764-4D13-918A-A8CAD06EB9BC}" name="2030-31" dataDxfId="1484" totalsRowDxfId="1483" dataCellStyle="Normal 2 2 2"/>
    <tableColumn id="18" xr3:uid="{C8C40D9D-B7E4-4C85-8E8E-77EFEF720039}" name="2031-32" dataDxfId="1482" totalsRowDxfId="1481" dataCellStyle="Normal 2 2 2"/>
    <tableColumn id="19" xr3:uid="{1CDC3CFC-D2F2-4C47-B3EB-A62D1B6A9929}" name="2032-33" dataDxfId="1480" totalsRowDxfId="1479" dataCellStyle="Normal 2 2 2"/>
    <tableColumn id="20" xr3:uid="{A0A8908E-C203-4116-AC6A-953B54A57C67}" name="2033-34" dataDxfId="1478" totalsRowDxfId="1477" dataCellStyle="Normal 2 2 2"/>
    <tableColumn id="21" xr3:uid="{D6B35BC2-409E-43CA-BCC6-1598EAF1F37F}" name="2034-35" dataDxfId="1476" totalsRowDxfId="1475" dataCellStyle="Normal 2 2 2"/>
    <tableColumn id="22" xr3:uid="{6909EB54-D4F8-41AC-B614-E4DADC6AFB66}" name="2035-36" dataDxfId="1474" totalsRowDxfId="1473" dataCellStyle="Normal 2 2 2"/>
    <tableColumn id="23" xr3:uid="{BDB5BA9A-8C24-452C-9596-618A51FCE8C1}" name="2036-37" dataDxfId="1472" totalsRowDxfId="1471" dataCellStyle="Normal 2 2 2"/>
    <tableColumn id="24" xr3:uid="{AB89A976-CC6D-4433-BED9-17B43F120DE2}" name="2037-38" dataDxfId="1470" totalsRowDxfId="1469" dataCellStyle="Normal 2 2 2"/>
    <tableColumn id="25" xr3:uid="{D243573B-BB89-4628-9095-6DF8D5DBDADA}" name="2038-39" dataDxfId="1468" totalsRowDxfId="1467" dataCellStyle="Normal 2 2 2"/>
    <tableColumn id="26" xr3:uid="{1F3D4AE8-5694-45F1-9154-CBC3181C8FEE}" name="2039-40" dataDxfId="1466" totalsRowDxfId="1465" dataCellStyle="Normal 2 2 2"/>
    <tableColumn id="27" xr3:uid="{96C89832-BB38-482D-8673-4C04485879E6}" name="2040-41" dataDxfId="1464" totalsRowDxfId="1463" dataCellStyle="Normal 2 2 2"/>
    <tableColumn id="28" xr3:uid="{D4FD2D7A-90A7-4F3C-8856-94802EEB125A}" name="2041-42" dataDxfId="1462" totalsRowDxfId="1461" dataCellStyle="Normal 2 2 2"/>
    <tableColumn id="29" xr3:uid="{F40C88E1-4D56-428D-A583-26E0C0995D65}" name="2042-43" dataDxfId="1460" totalsRowDxfId="1459" dataCellStyle="Normal 2 2 2"/>
    <tableColumn id="30" xr3:uid="{257264A9-B58A-426F-A210-90AC2BDCEEEA}" name="2043-44" dataDxfId="1458" totalsRowDxfId="1457" dataCellStyle="Normal 2 2 2"/>
    <tableColumn id="31" xr3:uid="{87F60C89-0C2A-423E-9DB5-247C58907432}" name="2044-45" dataDxfId="1456" totalsRowDxfId="1455" dataCellStyle="Normal 2 2 2"/>
    <tableColumn id="32" xr3:uid="{F6FC0C35-E514-4C91-A40A-81CEA64493F2}" name="2045-46" dataDxfId="1454" totalsRowDxfId="1453" dataCellStyle="Normal 2 2 2"/>
    <tableColumn id="33" xr3:uid="{6451372F-D62B-4D3E-AF73-A93BA9BC9B69}" name="2046-47" dataDxfId="1452" totalsRowDxfId="1451" dataCellStyle="Normal 2 2 2"/>
    <tableColumn id="34" xr3:uid="{8DB36C28-5BEC-4036-A5FB-D15106FB15B0}" name="2047-48" dataDxfId="1450" totalsRowDxfId="1449" dataCellStyle="Normal 2 2 2"/>
    <tableColumn id="35" xr3:uid="{5CCB6C10-DD7D-4B45-A088-F576E01C255E}" name="2048-49" dataDxfId="1448" totalsRowDxfId="1447" dataCellStyle="Normal 2 2 2"/>
    <tableColumn id="36" xr3:uid="{B1D60FAA-BE36-446B-ADF5-15E393074FB5}" name="2049-50" dataDxfId="1446" totalsRowDxfId="1445" dataCellStyle="Normal 2 2 2"/>
    <tableColumn id="37" xr3:uid="{BEB14E1F-F529-4015-B9B3-317A5B1AF7F0}" name="2050-51" dataDxfId="1444" totalsRowDxfId="1443" dataCellStyle="Normal 2 2 2"/>
    <tableColumn id="38" xr3:uid="{A2E65453-7E2B-4036-8314-633576AC060B}" name="2051-52" dataDxfId="1442" totalsRowDxfId="1441" dataCellStyle="Normal 2 2 2"/>
    <tableColumn id="39" xr3:uid="{A1CE00E6-32D0-411E-8D45-3BC6E5A9654D}" name="2052-53" dataDxfId="1440" totalsRowDxfId="1439" dataCellStyle="Normal 2 2 2"/>
    <tableColumn id="40" xr3:uid="{17AEEF58-7D26-429D-AB6A-5064FBEC601D}" name="2053-54" dataDxfId="1438" totalsRowDxfId="1437" dataCellStyle="Normal 2 2 2"/>
    <tableColumn id="41" xr3:uid="{8011FD33-64DF-496B-894C-AA95C3C0C76D}" name="2054-55" dataDxfId="1436" totalsRowDxfId="1435" dataCellStyle="Normal 2 2 2"/>
    <tableColumn id="42" xr3:uid="{FEA191D4-E5ED-420C-8AA4-A6F8B4D8B3C7}" name="2055-56" dataDxfId="1434" totalsRowDxfId="1433" dataCellStyle="Normal 2 2 2"/>
    <tableColumn id="43" xr3:uid="{AAC140E6-DDF6-4D22-B95E-FF28787FFBC4}" name="2056-57" dataDxfId="1432" totalsRowDxfId="1431" dataCellStyle="Normal 2 2 2"/>
    <tableColumn id="44" xr3:uid="{B53D8E16-9474-4AFB-8B1F-1E03807EBFDE}" name="2057-58" dataDxfId="1430" totalsRowDxfId="1429" dataCellStyle="Normal 2 2 2"/>
    <tableColumn id="45" xr3:uid="{2C2EA511-A562-4BF2-AE19-158BC97FFB7C}" name="2058-59" dataDxfId="1428" totalsRowDxfId="1427" dataCellStyle="Normal 2 2 2"/>
    <tableColumn id="46" xr3:uid="{A1ABC2C8-D1FC-42D8-A0B0-EA6259C39B30}" name="2059-60" dataDxfId="1426" totalsRowDxfId="1425" dataCellStyle="Normal 2 2 2"/>
    <tableColumn id="47" xr3:uid="{A8DC78D7-F033-485B-B7E9-FE862BFD7609}" name="2060-61" dataDxfId="1424" totalsRowDxfId="1423" dataCellStyle="Normal 2 2 2"/>
    <tableColumn id="48" xr3:uid="{F67A20D0-54BF-4647-898F-6293C1C4F6C9}" name="2061-62" dataDxfId="1422" totalsRowDxfId="1421" dataCellStyle="Normal 2 2 2"/>
    <tableColumn id="49" xr3:uid="{907D7913-9847-4E38-A708-A6F506DAC6CD}" name="2062-63" dataDxfId="1420" totalsRowDxfId="1419" dataCellStyle="Normal 2 2 2"/>
    <tableColumn id="50" xr3:uid="{5BF9CC2D-58DE-4279-BBAE-8076AED453B9}" name="2063-64" dataDxfId="1418" totalsRowDxfId="1417" dataCellStyle="Normal 2 2 2"/>
    <tableColumn id="51" xr3:uid="{040CD42D-633B-4DDA-970E-08296D28CF34}" name="2064-65" dataDxfId="1416" totalsRowDxfId="1415" dataCellStyle="Normal 2 2 2"/>
    <tableColumn id="52" xr3:uid="{B66CAF35-6D69-4F1A-8574-8FD20F0EC1DB}" name="2065-66" dataDxfId="1414" totalsRowDxfId="1413" dataCellStyle="Normal 2 2 2"/>
    <tableColumn id="53" xr3:uid="{A23E4229-6173-44EE-8FF3-2D3E41164B37}" name="2066-67" dataDxfId="1412" totalsRowDxfId="1411" dataCellStyle="Normal 2 2 2"/>
    <tableColumn id="54" xr3:uid="{E5DAB376-C560-4080-9B84-46A309EFF16A}" name="2067-68" dataDxfId="1410" totalsRowDxfId="1409" dataCellStyle="Normal 2 2 2"/>
    <tableColumn id="55" xr3:uid="{600A4F64-2EB9-4D63-9925-6749E5FCF09D}" name="2068-69" dataDxfId="1408" totalsRowDxfId="1407" dataCellStyle="Normal 2 2 2"/>
    <tableColumn id="56" xr3:uid="{252637C1-7950-4032-809A-5C5CE9812A6E}" name="2069-70" dataDxfId="1406" totalsRowDxfId="1405" dataCellStyle="Normal 2 2 2"/>
    <tableColumn id="57" xr3:uid="{24620B2A-76AE-4D96-B61E-0B47D9273BDD}" name="2070-71" dataDxfId="1404" totalsRowDxfId="1403" dataCellStyle="Normal 2 2 2"/>
    <tableColumn id="58" xr3:uid="{3FBCFD60-B62F-4E28-9D96-44E550F03832}" name="2071-72" dataDxfId="1402" totalsRowDxfId="1401" dataCellStyle="Normal 2 2 2"/>
    <tableColumn id="59" xr3:uid="{DE29C0DA-0D23-4BC8-A42D-D5226A547F7F}" name="2072-73" dataDxfId="1400" totalsRowDxfId="1399" dataCellStyle="Normal 2 2 2"/>
    <tableColumn id="60" xr3:uid="{9E34F7FE-7FFE-4D11-B818-FF94BC615D9A}" name="2073-74" dataDxfId="1398" totalsRowDxfId="1397" dataCellStyle="Normal 2 2 2"/>
    <tableColumn id="61" xr3:uid="{5253028E-3598-47F8-8485-05158C274D41}" name="2074-75" dataDxfId="1396" totalsRowDxfId="1395" dataCellStyle="Normal 2 2 2"/>
    <tableColumn id="62" xr3:uid="{49C87C0C-24B2-467C-9A6E-21B18FC3EF95}" name="2075-76" dataDxfId="1394" totalsRowDxfId="1393" dataCellStyle="Normal 2 2 2"/>
    <tableColumn id="63" xr3:uid="{54F3763B-263A-4296-A9E0-FBD1DF4F992D}" name="2076-77" dataDxfId="1392" totalsRowDxfId="1391" dataCellStyle="Normal 2 2 2"/>
    <tableColumn id="64" xr3:uid="{40E4C5FC-CCE5-4788-B639-D91F11C3BF72}" name="2077-78" dataDxfId="1390" totalsRowDxfId="1389" dataCellStyle="Normal 2 2 2"/>
    <tableColumn id="65" xr3:uid="{FA1AA3EA-C3F8-4BB2-8058-39AED97E7D01}" name="2078-79" dataDxfId="1388" totalsRowDxfId="1387" dataCellStyle="Normal 2 2 2"/>
    <tableColumn id="66" xr3:uid="{DFBEF43E-1ACA-4409-A655-6C6DBA9F3C58}" name="2079-80" dataDxfId="1386" totalsRowDxfId="1385" dataCellStyle="Normal 2 2 2"/>
    <tableColumn id="67" xr3:uid="{3D22CEC7-2917-4991-B74C-DE7E38076453}" name="2080-81" dataDxfId="1384" totalsRowDxfId="1383" dataCellStyle="Normal 2 2 2"/>
    <tableColumn id="68" xr3:uid="{91A0E31C-9134-413B-BEB5-40B7BA5D7AA0}" name="2081-82" dataDxfId="1382" totalsRowDxfId="1381" dataCellStyle="Normal 2 2 2"/>
    <tableColumn id="69" xr3:uid="{FBAD3A62-4E21-4F42-B0F2-FB16C01233C3}" name="2082-83" dataDxfId="1380" totalsRowDxfId="1379" dataCellStyle="Normal 2 2 2"/>
    <tableColumn id="70" xr3:uid="{4CC170F3-C07F-42E8-A663-5BCFA2959994}" name="2083-84" dataDxfId="1378" totalsRowDxfId="1377" dataCellStyle="Normal 2 2 2"/>
    <tableColumn id="71" xr3:uid="{D8A148EF-1C0C-4AC3-B98F-0D9B168DCE70}" name="2084-85" dataDxfId="1376" totalsRowDxfId="1375" dataCellStyle="Normal 2 2 2"/>
    <tableColumn id="72" xr3:uid="{4A5A2B0D-0E0D-4009-87E7-D2622F22FCE5}" name="2085-86" dataDxfId="1374" totalsRowDxfId="1373" dataCellStyle="Normal 2 2 2"/>
    <tableColumn id="73" xr3:uid="{0404F057-4473-48D2-842F-6331F2868080}" name="2086-87" dataDxfId="1372" totalsRowDxfId="1371" dataCellStyle="Normal 2 2 2"/>
    <tableColumn id="74" xr3:uid="{F95C9516-BB77-4B56-B44E-235B1ED81268}" name="2087-88" dataDxfId="1370" totalsRowDxfId="1369" dataCellStyle="Normal 2 2 2"/>
    <tableColumn id="75" xr3:uid="{B594F1B6-4AB2-48B3-A2C3-D0C47D878648}" name="2088-89" dataDxfId="1368" totalsRowDxfId="1367" dataCellStyle="Normal 2 2 2"/>
    <tableColumn id="76" xr3:uid="{C7555BE6-4009-4DA2-B90B-6E9B48D6E4DB}" name="2089-90" dataDxfId="1366" totalsRowDxfId="1365" dataCellStyle="Normal 2 2 2"/>
    <tableColumn id="77" xr3:uid="{78E3B22F-0F47-40CB-BED7-72DAD1148F96}" name="2090-91" dataDxfId="1364" totalsRowDxfId="1363" dataCellStyle="Normal 2 2 2"/>
    <tableColumn id="78" xr3:uid="{33452617-4C8A-4C29-805A-BADE9D02770B}" name="2091-92" dataDxfId="1362" totalsRowDxfId="1361" dataCellStyle="Normal 2 2 2"/>
    <tableColumn id="79" xr3:uid="{F8195B72-26D6-4A1E-BF1D-05A5EC951F33}" name="2092-93" dataDxfId="1360" totalsRowDxfId="1359" dataCellStyle="Normal 2 2 2"/>
    <tableColumn id="80" xr3:uid="{279B0897-A6CD-4AAE-BA49-C9175B153456}" name="2093-94" dataDxfId="1358" totalsRowDxfId="1357" dataCellStyle="Normal 2 2 2"/>
    <tableColumn id="81" xr3:uid="{255C7575-EE00-4F90-9229-E493E1BD67F1}" name="2094-95" dataDxfId="1356" totalsRowDxfId="1355" dataCellStyle="Normal 2 2 2"/>
    <tableColumn id="82" xr3:uid="{4D128EFD-432E-4A71-A963-9D7043477A39}" name="2095-96" dataDxfId="1354" totalsRowDxfId="1353" dataCellStyle="Normal 2 2 2"/>
    <tableColumn id="83" xr3:uid="{09A52BAA-D23E-4935-820C-A25DCE5B6C36}" name="2096-97" dataDxfId="1352" totalsRowDxfId="1351" dataCellStyle="Normal 2 2 2"/>
    <tableColumn id="84" xr3:uid="{1805203C-C0AB-4A63-8A9B-990C34530196}" name="2097-98" dataDxfId="1350" totalsRowDxfId="1349" dataCellStyle="Normal 2 2 2"/>
    <tableColumn id="85" xr3:uid="{FA65A0C1-3077-45EF-BD03-743A5D21C588}" name="2098-99" dataDxfId="1348" totalsRowDxfId="1347" dataCellStyle="Normal 2 2 2"/>
    <tableColumn id="86" xr3:uid="{A05E768A-B6C8-4C88-99EB-E77FD323950E}" name="2099-100" dataDxfId="1346" totalsRowDxfId="1345" dataCellStyle="Normal 2 2 2"/>
    <tableColumn id="87" xr3:uid="{9B83B5E0-C138-45FD-B276-31980A242299}" name="2099-101" dataDxfId="1344" totalsRowDxfId="1343" dataCellStyle="Normal 2 2 2"/>
  </tableColumns>
  <tableStyleInfo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 xr:uid="{958A842C-3002-4FCC-A5D4-5807083C1720}" name="TBL3c_DYAAFP_12_ESWNCT" displayName="TBL3c_DYAAFP_12_ESWNCT" ref="B121:CJ181" totalsRowShown="0" headerRowDxfId="1342" dataDxfId="1341" tableBorderDxfId="1340" headerRowCellStyle="Normal 2 2 2" dataCellStyle="Normal 2 2 2">
  <autoFilter ref="B121:CJ181" xr:uid="{5F73F099-EB99-4DA0-8AAC-6F08AB2562CA}"/>
  <tableColumns count="87">
    <tableColumn id="1" xr3:uid="{8236AACC-A6C0-4732-BD87-DDB99C344CF9}" name="WRMP24 reference" dataDxfId="1339" dataCellStyle="Normal 2 2 2"/>
    <tableColumn id="2" xr3:uid="{4F9D065C-4F90-44AE-B8F8-F5FB7AB5C434}" name="Component" dataDxfId="1338" dataCellStyle="Normal 2 2 2"/>
    <tableColumn id="3" xr3:uid="{1AD51FC7-3346-4783-B753-0FEF2526152B}" name="Derivation" dataDxfId="1337" dataCellStyle="Normal 2 2 2"/>
    <tableColumn id="4" xr3:uid="{DA371085-BBE7-4F05-A42C-D688EA3D9946}" name="Unit" dataDxfId="1336" dataCellStyle="Normal 2 2 2"/>
    <tableColumn id="5" xr3:uid="{B975C726-0B3D-4080-99F2-4B6E323968FB}" name="Decimal places" dataDxfId="1335" dataCellStyle="Normal 2 2 2"/>
    <tableColumn id="6" xr3:uid="{2A7B7179-6111-44CD-9F15-4954887C0ACA}" name="2019-20" dataDxfId="1334" dataCellStyle="Normal 2 2 2"/>
    <tableColumn id="7" xr3:uid="{226C537F-7628-40BD-B099-FCA3831035C8}" name="2020-21" dataDxfId="1333" dataCellStyle="Normal 2 2 2"/>
    <tableColumn id="8" xr3:uid="{74FA2ABA-1AAE-4B77-B183-54421EE6C956}" name="2021-22" dataDxfId="1332" dataCellStyle="Normal 2 2 2"/>
    <tableColumn id="9" xr3:uid="{5B9D28D5-96B8-46EB-A6CB-F06BBDD7902A}" name="2022-23" dataDxfId="1331" dataCellStyle="Normal 2 2 2"/>
    <tableColumn id="10" xr3:uid="{F0514739-4655-4028-84C9-2013A2DCF722}" name="2023-24" dataDxfId="1330" dataCellStyle="Normal 2 2 2"/>
    <tableColumn id="11" xr3:uid="{63D142DF-9706-4F9C-97A1-CD292CE435AE}" name="2024-25" dataDxfId="1329" dataCellStyle="Normal 2 2 2"/>
    <tableColumn id="12" xr3:uid="{C997B82B-0304-4F46-83AC-574F8CCE97AA}" name="2025-26" dataDxfId="1328" dataCellStyle="Normal 2 2 2"/>
    <tableColumn id="13" xr3:uid="{C6831D31-B7D4-411A-B6F4-DB102482FBA2}" name="2026-27" dataDxfId="1327" dataCellStyle="Normal 2 2 2"/>
    <tableColumn id="14" xr3:uid="{952A6AA4-E7DF-415F-B3DB-02B728F2F7F0}" name="2027-28" dataDxfId="1326" dataCellStyle="Normal 2 2 2"/>
    <tableColumn id="15" xr3:uid="{6A058479-52F9-4569-AA22-C636B869418E}" name="2028-29" dataDxfId="1325" dataCellStyle="Normal 2 2 2"/>
    <tableColumn id="16" xr3:uid="{753DCFE6-1D6A-4FAD-80F8-AA14350D0C5A}" name="2029-30" dataDxfId="1324" dataCellStyle="Normal 2 2 2"/>
    <tableColumn id="17" xr3:uid="{B6AF80DF-9F8A-4B3A-83E3-C3248BDC3AEC}" name="2030-31" dataDxfId="1323" dataCellStyle="Normal 2 2 2"/>
    <tableColumn id="18" xr3:uid="{5A0CF228-B499-48BE-A026-AB547150236D}" name="2031-32" dataDxfId="1322" dataCellStyle="Normal 2 2 2"/>
    <tableColumn id="19" xr3:uid="{49909731-57DA-4523-BCF0-9A1190460268}" name="2032-33" dataDxfId="1321" dataCellStyle="Normal 2 2 2"/>
    <tableColumn id="20" xr3:uid="{051AEFAD-7198-4021-81F2-1BFEC6285274}" name="2033-34" dataDxfId="1320" dataCellStyle="Normal 2 2 2"/>
    <tableColumn id="21" xr3:uid="{9BADF0B7-BA02-4FA9-9B29-AD3005781646}" name="2034-35" dataDxfId="1319" dataCellStyle="Normal 2 2 2"/>
    <tableColumn id="22" xr3:uid="{28FEA0A8-F22E-4F93-855D-948310220FBB}" name="2035-36" dataDxfId="1318" dataCellStyle="Normal 2 2 2"/>
    <tableColumn id="23" xr3:uid="{E565F7D1-7BA6-49CF-AFF0-2BFFFAAC3E64}" name="2036-37" dataDxfId="1317" dataCellStyle="Normal 2 2 2"/>
    <tableColumn id="24" xr3:uid="{A117ED9D-8803-4503-9C9C-7862F52FDA1A}" name="2037-38" dataDxfId="1316" dataCellStyle="Normal 2 2 2"/>
    <tableColumn id="25" xr3:uid="{07D9DAA1-BDBC-4EE5-B27E-EBA69B13BA7E}" name="2038-39" dataDxfId="1315" dataCellStyle="Normal 2 2 2"/>
    <tableColumn id="26" xr3:uid="{6B1F53B0-4B64-4C44-9533-93A4A098D227}" name="2039-40" dataDxfId="1314" dataCellStyle="Normal 2 2 2"/>
    <tableColumn id="27" xr3:uid="{52EF281C-19F2-47E1-A841-A1F8A590821B}" name="2040-41" dataDxfId="1313" dataCellStyle="Normal 2 2 2"/>
    <tableColumn id="28" xr3:uid="{896C58DD-2EBB-4943-B156-30CDCCD1B92C}" name="2041-42" dataDxfId="1312" dataCellStyle="Normal 2 2 2"/>
    <tableColumn id="29" xr3:uid="{30DA1D4F-46BC-455F-8413-354CE3584B39}" name="2042-43" dataDxfId="1311" dataCellStyle="Normal 2 2 2"/>
    <tableColumn id="30" xr3:uid="{0C36DFCD-C4FE-4569-84A0-798C09C8C08C}" name="2043-44" dataDxfId="1310" dataCellStyle="Normal 2 2 2"/>
    <tableColumn id="31" xr3:uid="{ABE22C6E-434C-4814-9229-9BDAA1386386}" name="2044-45" dataDxfId="1309" dataCellStyle="Normal 2 2 2"/>
    <tableColumn id="32" xr3:uid="{FC8277E2-E2F6-4134-A923-4AE32A855318}" name="2045-46" dataDxfId="1308" dataCellStyle="Normal 2 2 2"/>
    <tableColumn id="33" xr3:uid="{D924F29D-6E0C-4C46-8407-66F1FA359726}" name="2046-47" dataDxfId="1307" dataCellStyle="Normal 2 2 2"/>
    <tableColumn id="34" xr3:uid="{1ADBC26E-C090-4DA5-AD00-1CF86CEDDA28}" name="2047-48" dataDxfId="1306" dataCellStyle="Normal 2 2 2"/>
    <tableColumn id="35" xr3:uid="{EBA5E1F2-9521-4A6A-AC8B-3CD424EF9F70}" name="2048-49" dataDxfId="1305" dataCellStyle="Normal 2 2 2"/>
    <tableColumn id="36" xr3:uid="{3838E512-40CD-47AC-8FB0-50EE9BC2C835}" name="2049-50" dataDxfId="1304" dataCellStyle="Normal 2 2 2"/>
    <tableColumn id="37" xr3:uid="{88085B6E-F736-4D18-9312-0B72E45B55C8}" name="2050-51" dataDxfId="1303" dataCellStyle="Normal 2 2 2"/>
    <tableColumn id="38" xr3:uid="{680012C3-BAC9-40AB-AC90-49B105F389D2}" name="2051-52" dataDxfId="1302" dataCellStyle="Normal 2 2 2"/>
    <tableColumn id="39" xr3:uid="{14697CCD-6A8C-4D69-B6D1-0B9D7C216EE7}" name="2052-53" dataDxfId="1301" dataCellStyle="Normal 2 2 2"/>
    <tableColumn id="40" xr3:uid="{FC3D0273-00EA-4BB2-BF5E-544D9B3B7E38}" name="2053-54" dataDxfId="1300" dataCellStyle="Normal 2 2 2"/>
    <tableColumn id="41" xr3:uid="{3BFC38E6-EC57-4262-A229-A6553CA54EBD}" name="2054-55" dataDxfId="1299" dataCellStyle="Normal 2 2 2"/>
    <tableColumn id="42" xr3:uid="{D93B4C1F-43A6-48A8-97F5-FF9F6E8A88A7}" name="2055-56" dataDxfId="1298" dataCellStyle="Normal 2 2 2"/>
    <tableColumn id="43" xr3:uid="{6C41A450-D8A3-427C-9C3F-975915BDAB06}" name="2056-57" dataDxfId="1297" dataCellStyle="Normal 2 2 2"/>
    <tableColumn id="44" xr3:uid="{A9BCEBC7-C589-4833-953D-D5CB74B2D47E}" name="2057-58" dataDxfId="1296" dataCellStyle="Normal 2 2 2"/>
    <tableColumn id="45" xr3:uid="{B06DEF2C-0B3B-432F-9F1D-D0CA747C2A2E}" name="2058-59" dataDxfId="1295" dataCellStyle="Normal 2 2 2"/>
    <tableColumn id="46" xr3:uid="{5D8AC877-C145-4C38-9749-03F9F538BBB7}" name="2059-60" dataDxfId="1294" dataCellStyle="Normal 2 2 2"/>
    <tableColumn id="47" xr3:uid="{7CD84D30-A043-4920-9E4A-2B35D944136D}" name="2060-61" dataDxfId="1293" dataCellStyle="Normal 2 2 2"/>
    <tableColumn id="48" xr3:uid="{27D1BEEB-E038-43BC-8732-758D3957A360}" name="2061-62" dataDxfId="1292" dataCellStyle="Normal 2 2 2"/>
    <tableColumn id="49" xr3:uid="{3AE53E1D-D2FE-495C-9FAD-6AB0FFBE0784}" name="2062-63" dataDxfId="1291" dataCellStyle="Normal 2 2 2"/>
    <tableColumn id="50" xr3:uid="{CC718C92-9675-4F21-B68F-4F7C00FD5446}" name="2063-64" dataDxfId="1290" dataCellStyle="Normal 2 2 2"/>
    <tableColumn id="51" xr3:uid="{B1DBCC3A-0C30-4879-8046-564546CC14A9}" name="2064-65" dataDxfId="1289" dataCellStyle="Normal 2 2 2"/>
    <tableColumn id="52" xr3:uid="{607B61A1-E053-4807-9C60-6D67FB420922}" name="2065-66" dataDxfId="1288" dataCellStyle="Normal 2 2 2"/>
    <tableColumn id="53" xr3:uid="{65938A62-FC7E-48A5-A056-B00367E64A49}" name="2066-67" dataDxfId="1287" dataCellStyle="Normal 2 2 2"/>
    <tableColumn id="54" xr3:uid="{91BEBB02-0E14-42F1-896B-E3CB22BA91F7}" name="2067-68" dataDxfId="1286" dataCellStyle="Normal 2 2 2"/>
    <tableColumn id="55" xr3:uid="{C7258D22-4FA3-4971-A540-2C00882270C3}" name="2068-69" dataDxfId="1285" dataCellStyle="Normal 2 2 2"/>
    <tableColumn id="56" xr3:uid="{E201AE29-2966-4743-8D5F-E4464914B9D1}" name="2069-70" dataDxfId="1284" dataCellStyle="Normal 2 2 2"/>
    <tableColumn id="57" xr3:uid="{DB79BD29-3CEB-44B4-BFCC-E9BF822B43FC}" name="2070-71" dataDxfId="1283" dataCellStyle="Normal 2 2 2"/>
    <tableColumn id="58" xr3:uid="{FF7832FD-4699-4CC2-8046-7DEAB0048AB5}" name="2071-72" dataDxfId="1282" dataCellStyle="Normal 2 2 2"/>
    <tableColumn id="59" xr3:uid="{4810CD2E-EC37-4B91-8FFB-46343E3C2D2C}" name="2072-73" dataDxfId="1281" dataCellStyle="Normal 2 2 2"/>
    <tableColumn id="60" xr3:uid="{0DFF18FD-C60A-4E1B-96F6-FBDDF1367EBB}" name="2073-74" dataDxfId="1280" dataCellStyle="Normal 2 2 2"/>
    <tableColumn id="61" xr3:uid="{CB1AD5ED-9764-435A-93CC-39CE3A5AFD8C}" name="2074-75" dataDxfId="1279" dataCellStyle="Normal 2 2 2"/>
    <tableColumn id="62" xr3:uid="{3DC4D46C-456A-4450-B0DA-BA099B0C1526}" name="2075-76" dataDxfId="1278" dataCellStyle="Normal 2 2 2"/>
    <tableColumn id="63" xr3:uid="{954ACE2E-22D4-4D37-B5B3-2C54D9ECF9FB}" name="2076-77" dataDxfId="1277" dataCellStyle="Normal 2 2 2"/>
    <tableColumn id="64" xr3:uid="{E38A22F5-2A52-4CE0-87EB-1297432CBEC8}" name="2077-78" dataDxfId="1276" dataCellStyle="Normal 2 2 2"/>
    <tableColumn id="65" xr3:uid="{87755E7C-76B5-49AC-B10E-F22DCDCE43F8}" name="2078-79" dataDxfId="1275" dataCellStyle="Normal 2 2 2"/>
    <tableColumn id="66" xr3:uid="{00AACE0C-1B8A-4D46-BCBE-6FC696F93C3B}" name="2079-80" dataDxfId="1274" dataCellStyle="Normal 2 2 2"/>
    <tableColumn id="67" xr3:uid="{A3D6FB1B-FA50-4F61-8009-98FE74009950}" name="2080-81" dataDxfId="1273" dataCellStyle="Normal 2 2 2"/>
    <tableColumn id="68" xr3:uid="{3F52DF0C-2B9A-4D0A-ABE3-871C81D6959F}" name="2081-82" dataDxfId="1272" dataCellStyle="Normal 2 2 2"/>
    <tableColumn id="69" xr3:uid="{549BCD9E-0C89-42F3-BB56-19252970E340}" name="2082-83" dataDxfId="1271" dataCellStyle="Normal 2 2 2"/>
    <tableColumn id="70" xr3:uid="{028788E2-14E9-4D82-8FF3-BB4B5E847FE7}" name="2083-84" dataDxfId="1270" dataCellStyle="Normal 2 2 2"/>
    <tableColumn id="71" xr3:uid="{AF580B55-A8B8-404C-9F1D-CEF4EFA67D2A}" name="2084-85" dataDxfId="1269" dataCellStyle="Normal 2 2 2"/>
    <tableColumn id="72" xr3:uid="{1314B254-309B-4DAA-BB4C-8CBA8DB972E3}" name="2085-86" dataDxfId="1268" dataCellStyle="Normal 2 2 2"/>
    <tableColumn id="73" xr3:uid="{8036D09B-203C-45FF-9237-BEE0E858DF1D}" name="2086-87" dataDxfId="1267" dataCellStyle="Normal 2 2 2"/>
    <tableColumn id="74" xr3:uid="{71FFB7CC-AB92-4727-B5A6-F9363795C50E}" name="2087-88" dataDxfId="1266" dataCellStyle="Normal 2 2 2"/>
    <tableColumn id="75" xr3:uid="{42270362-7C5C-4CAA-9746-D466E5FC84B3}" name="2088-89" dataDxfId="1265" dataCellStyle="Normal 2 2 2"/>
    <tableColumn id="76" xr3:uid="{55E06648-7349-4116-9572-2F1F09CBD753}" name="2089-90" dataDxfId="1264" dataCellStyle="Normal 2 2 2"/>
    <tableColumn id="77" xr3:uid="{9D8F3B27-0BDC-4080-8DD2-29670EC427F1}" name="2090-91" dataDxfId="1263" dataCellStyle="Normal 2 2 2"/>
    <tableColumn id="78" xr3:uid="{1B8E1BBA-8218-465A-A684-2F7D3DC0D061}" name="2091-92" dataDxfId="1262" dataCellStyle="Normal 2 2 2"/>
    <tableColumn id="79" xr3:uid="{2EE89181-31DE-4CBD-949E-41C0237E79CA}" name="2092-93" dataDxfId="1261" dataCellStyle="Normal 2 2 2"/>
    <tableColumn id="80" xr3:uid="{B54F954B-6948-4EDC-B79D-CC73681E67E2}" name="2093-94" dataDxfId="1260" dataCellStyle="Normal 2 2 2"/>
    <tableColumn id="81" xr3:uid="{4FEA0380-0261-4778-B238-ACD0805AF18C}" name="2094-95" dataDxfId="1259" dataCellStyle="Normal 2 2 2"/>
    <tableColumn id="82" xr3:uid="{CD0FCB77-12E1-499D-B3A1-B420CD2582BF}" name="2095-96" dataDxfId="1258" dataCellStyle="Normal 2 2 2"/>
    <tableColumn id="83" xr3:uid="{F6A2357A-0D0B-40BE-A5E1-52617090DA7A}" name="2096-97" dataDxfId="1257" dataCellStyle="Normal 2 2 2"/>
    <tableColumn id="84" xr3:uid="{561970E1-5A01-4E7B-831A-2C731570E7CB}" name="2097-98" dataDxfId="1256" dataCellStyle="Normal 2 2 2"/>
    <tableColumn id="85" xr3:uid="{CFBD8B3D-9F63-46F5-845E-E3F8BF8C7D1A}" name="2098-99" dataDxfId="1255" dataCellStyle="Normal 2 2 2"/>
    <tableColumn id="86" xr3:uid="{6981DA10-CC45-4CF7-8B36-8DF79B401685}" name="2099-100" dataDxfId="1254" dataCellStyle="Normal 2 2 2"/>
    <tableColumn id="87" xr3:uid="{3F319965-E033-4054-A10D-AB798BD098BF}" name="2099-101" dataDxfId="1253" dataCellStyle="Normal 2 2 2"/>
  </tableColumns>
  <tableStyleInfo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 xr:uid="{6131F330-ABF2-4BEC-8F83-A9D72F6B5C7A}" name="TBL3d_DYCPBL_13_ESWNCT" displayName="TBL3d_DYCPBL_13_ESWNCT" ref="B204:CJ272" totalsRowShown="0" headerRowDxfId="1252" dataDxfId="1251" tableBorderDxfId="1250" headerRowCellStyle="Normal 2 2 2">
  <autoFilter ref="B204:CJ272" xr:uid="{EF444EF1-EE1B-4FAA-8C28-6DC5D0EEB936}"/>
  <tableColumns count="87">
    <tableColumn id="1" xr3:uid="{AE5093E1-0EB9-4E29-8516-42E40B08C27D}" name="WRMP24 reference" dataDxfId="1249" dataCellStyle="Normal 2 2 2"/>
    <tableColumn id="2" xr3:uid="{3184E837-1D35-41FC-8AD8-8C963CD87959}" name="Component" dataDxfId="1248" dataCellStyle="Normal 2 2 2"/>
    <tableColumn id="3" xr3:uid="{3E102160-2F3F-419B-B427-10099A7FC54F}" name="Derivation" dataDxfId="1247" dataCellStyle="Normal 2 2 2"/>
    <tableColumn id="4" xr3:uid="{7C387516-AFD4-4B74-A191-3A357CE4157E}" name="Unit" dataDxfId="1246" dataCellStyle="Normal 2 2 2"/>
    <tableColumn id="5" xr3:uid="{5FDDF503-4D13-4919-821F-601DAEDE93E4}" name="Decimal places" dataDxfId="1245" dataCellStyle="Normal 2 2 2"/>
    <tableColumn id="6" xr3:uid="{3F200717-014F-4DD1-A0EA-5AA19687B58E}" name="2019-20" dataDxfId="1244"/>
    <tableColumn id="7" xr3:uid="{85055FE6-37FF-4E40-BC28-5D19C72AADE5}" name="2020-21" dataDxfId="1243" dataCellStyle="Normal 2 2 2"/>
    <tableColumn id="8" xr3:uid="{36D3EBFB-BD25-47B5-9B2D-1EED0B950D88}" name="2021-22" dataDxfId="1242" dataCellStyle="Normal 2 2 2"/>
    <tableColumn id="9" xr3:uid="{0BF7E076-6672-450D-A2AC-A5F9FC9079AF}" name="2022-23" dataDxfId="1241" dataCellStyle="Normal 2 2 2"/>
    <tableColumn id="10" xr3:uid="{64BE5773-8233-4B3B-AB99-0B628CDDB703}" name="2023-24" dataDxfId="1240" dataCellStyle="Normal 2 2 2"/>
    <tableColumn id="11" xr3:uid="{1EB9A03D-144F-40A7-A33B-6446F8A78429}" name="2024-25" dataDxfId="1239" dataCellStyle="Normal 2 2 2"/>
    <tableColumn id="12" xr3:uid="{7E0A0822-58CB-4E6A-B4D1-A46EB2B97DF0}" name="2025-26" dataDxfId="1238"/>
    <tableColumn id="13" xr3:uid="{C49855E5-FAD2-42D2-859F-06A4B5BB1E65}" name="2026-27" dataDxfId="1237"/>
    <tableColumn id="14" xr3:uid="{B4469034-66AB-4ADF-B4D5-F4C3BC6800C6}" name="2027-28" dataDxfId="1236"/>
    <tableColumn id="15" xr3:uid="{C5AE05C4-0214-41E8-BACE-869F5042FE78}" name="2028-29" dataDxfId="1235"/>
    <tableColumn id="16" xr3:uid="{5753C854-E47C-4B12-B351-8E3A8061472D}" name="2029-30" dataDxfId="1234"/>
    <tableColumn id="17" xr3:uid="{C1E46DDB-EB0B-40A0-B3A6-583B54558B6C}" name="2030-31" dataDxfId="1233"/>
    <tableColumn id="18" xr3:uid="{3761DF22-2148-40BF-9EF6-E012C1D2F561}" name="2031-32" dataDxfId="1232"/>
    <tableColumn id="19" xr3:uid="{C23352EE-52A0-4657-A9AB-6337304FA72C}" name="2032-33" dataDxfId="1231"/>
    <tableColumn id="20" xr3:uid="{C4921B77-3535-4B0E-A8F5-FE3831124479}" name="2033-34" dataDxfId="1230"/>
    <tableColumn id="21" xr3:uid="{4C5026E2-8433-45D5-ADEF-4BCB63F0E5EB}" name="2034-35" dataDxfId="1229"/>
    <tableColumn id="22" xr3:uid="{DFF8F855-9C0D-4E3D-AA4C-27FFE9BDEFDA}" name="2035-36" dataDxfId="1228"/>
    <tableColumn id="23" xr3:uid="{F17F8F8F-C271-46F0-89BA-4A938FBC78ED}" name="2036-37" dataDxfId="1227"/>
    <tableColumn id="24" xr3:uid="{4BCB0F57-01BE-41E1-8511-F8D3E7B1ECD1}" name="2037-38" dataDxfId="1226"/>
    <tableColumn id="25" xr3:uid="{9B7DA176-F73D-447A-BCFF-0797E147D9A4}" name="2038-39" dataDxfId="1225"/>
    <tableColumn id="26" xr3:uid="{FE6697ED-246C-4BD3-91F5-C59AD727579A}" name="2039-40" dataDxfId="1224"/>
    <tableColumn id="27" xr3:uid="{326FE55E-FE75-4A13-9314-20F640A3F647}" name="2040-41" dataDxfId="1223"/>
    <tableColumn id="28" xr3:uid="{2013FD70-FCD1-4420-B149-F1F171FBC6B9}" name="2041-42" dataDxfId="1222"/>
    <tableColumn id="29" xr3:uid="{5F75537D-97F5-4D1B-AF91-AEBA22774911}" name="2042-43" dataDxfId="1221"/>
    <tableColumn id="30" xr3:uid="{21A4D9D0-F902-42FD-9FFE-D41E41C47D9A}" name="2043-44" dataDxfId="1220"/>
    <tableColumn id="31" xr3:uid="{E6C87054-9F13-4C82-A8EB-4235205B3C89}" name="2044-45" dataDxfId="1219"/>
    <tableColumn id="32" xr3:uid="{1DDDEC57-4819-4779-97CA-054E636036D4}" name="2045-46" dataDxfId="1218"/>
    <tableColumn id="33" xr3:uid="{32BC3BE5-2ADC-4DBC-8327-6D501E753696}" name="2046-47" dataDxfId="1217"/>
    <tableColumn id="34" xr3:uid="{8454CF6F-55AA-4A0D-AD06-5EA5136F958A}" name="2047-48" dataDxfId="1216"/>
    <tableColumn id="35" xr3:uid="{AC538B32-921D-45C3-8CF7-8785C992AC13}" name="2048-49" dataDxfId="1215"/>
    <tableColumn id="36" xr3:uid="{43988370-5D06-4A51-8F03-6030525898F5}" name="2049-50" dataDxfId="1214"/>
    <tableColumn id="37" xr3:uid="{FB2C9C35-334F-42E6-8ED5-7C0E0CCBF254}" name="2050-51" dataDxfId="1213"/>
    <tableColumn id="38" xr3:uid="{EFED4418-BF2F-4102-BBA8-6AA52E6D255A}" name="2051-52" dataDxfId="1212"/>
    <tableColumn id="39" xr3:uid="{EAA1DBA2-6F81-4304-81E1-06C348653901}" name="2052-53" dataDxfId="1211"/>
    <tableColumn id="40" xr3:uid="{7062EA40-23D0-423D-9521-805818852CCA}" name="2053-54" dataDxfId="1210"/>
    <tableColumn id="41" xr3:uid="{06B42E0E-0505-4C4B-B842-AB2780659789}" name="2054-55" dataDxfId="1209"/>
    <tableColumn id="42" xr3:uid="{56F8CE38-5514-4996-9E17-B980A7A5F0EA}" name="2055-56" dataDxfId="1208"/>
    <tableColumn id="43" xr3:uid="{EFCDA5EE-A9B9-448D-9CF0-B5A251C098E4}" name="2056-57" dataDxfId="1207"/>
    <tableColumn id="44" xr3:uid="{DDBCA267-FF4A-40E8-80EA-2A132D82742E}" name="2057-58" dataDxfId="1206"/>
    <tableColumn id="45" xr3:uid="{2AD17CF3-9878-4815-A2EC-FB35639F3850}" name="2058-59" dataDxfId="1205"/>
    <tableColumn id="46" xr3:uid="{AAB77B95-2053-45E9-8476-DB08842EEEDF}" name="2059-60" dataDxfId="1204"/>
    <tableColumn id="47" xr3:uid="{3175C1F9-5168-4192-86B5-64BD6055C956}" name="2060-61" dataDxfId="1203"/>
    <tableColumn id="48" xr3:uid="{4E375B77-A859-40FC-A31C-4ABD950FC0C3}" name="2061-62" dataDxfId="1202"/>
    <tableColumn id="49" xr3:uid="{02E42281-2537-4CB3-95C6-66B6F8FB2B41}" name="2062-63" dataDxfId="1201"/>
    <tableColumn id="50" xr3:uid="{6ECA9A79-15D5-4158-B8C4-15517BD46CF6}" name="2063-64" dataDxfId="1200"/>
    <tableColumn id="51" xr3:uid="{4AE4330F-2723-4EDB-AB24-80493C99EB95}" name="2064-65" dataDxfId="1199"/>
    <tableColumn id="52" xr3:uid="{D03BDAE2-A3AC-45E2-B6CD-C3F5D281E0FB}" name="2065-66" dataDxfId="1198"/>
    <tableColumn id="53" xr3:uid="{5B7AD603-834F-4849-B35E-D827D4912982}" name="2066-67" dataDxfId="1197"/>
    <tableColumn id="54" xr3:uid="{591EB6EC-4A4D-4EC4-8FFF-0AA8DD73773F}" name="2067-68" dataDxfId="1196"/>
    <tableColumn id="55" xr3:uid="{E2E23B93-68DD-4FF0-96CA-8B2B8B78D8CA}" name="2068-69" dataDxfId="1195"/>
    <tableColumn id="56" xr3:uid="{C4CB0F14-3DD2-4A57-B51C-8A5B3963533E}" name="2069-70" dataDxfId="1194"/>
    <tableColumn id="57" xr3:uid="{13D38449-152D-4631-89C2-A2AD558DA9A4}" name="2070-71" dataDxfId="1193"/>
    <tableColumn id="58" xr3:uid="{929DD08D-145D-4C32-A3FD-990198DC0F31}" name="2071-72" dataDxfId="1192"/>
    <tableColumn id="59" xr3:uid="{2D13F4C8-A92A-45C3-86E7-7EBC18D74748}" name="2072-73" dataDxfId="1191"/>
    <tableColumn id="60" xr3:uid="{B59151D7-52FD-4208-B57D-5FF5FFF06AF5}" name="2073-74" dataDxfId="1190"/>
    <tableColumn id="61" xr3:uid="{F161BD8E-E40A-442D-A9EC-356EFD334234}" name="2074-75" dataDxfId="1189"/>
    <tableColumn id="62" xr3:uid="{591AF178-8458-4EA4-BFF2-44A75E7431BF}" name="2075-76" dataDxfId="1188"/>
    <tableColumn id="63" xr3:uid="{93D97801-EA91-44C6-860D-9BC056C8011B}" name="2076-77" dataDxfId="1187"/>
    <tableColumn id="64" xr3:uid="{CC064603-537F-4CA3-AD87-FF41133CAE28}" name="2077-78" dataDxfId="1186"/>
    <tableColumn id="65" xr3:uid="{21FBC952-3B83-4C3B-83DB-945A4050FBA8}" name="2078-79" dataDxfId="1185"/>
    <tableColumn id="66" xr3:uid="{FD805BFE-9052-4189-8570-6F12B6B49140}" name="2079-80" dataDxfId="1184"/>
    <tableColumn id="67" xr3:uid="{53641F47-9FA5-4B3C-91CA-11078EF3F721}" name="2080-81" dataDxfId="1183"/>
    <tableColumn id="68" xr3:uid="{80713FA4-8259-4E03-B6E9-C73CA10942CD}" name="2081-82" dataDxfId="1182"/>
    <tableColumn id="69" xr3:uid="{64190A9B-3B39-4287-A5A2-468C6255CD7F}" name="2082-83" dataDxfId="1181"/>
    <tableColumn id="70" xr3:uid="{2CE78CD0-42D4-4530-85A2-7C48F4913924}" name="2083-84" dataDxfId="1180"/>
    <tableColumn id="71" xr3:uid="{13EE4FA0-40C4-4E6D-B4DE-120180A6A993}" name="2084-85" dataDxfId="1179"/>
    <tableColumn id="72" xr3:uid="{700C58DA-0016-43C6-A4A3-95CF457C75E8}" name="2085-86" dataDxfId="1178"/>
    <tableColumn id="73" xr3:uid="{2B0EFA8D-8010-433D-A981-649C5399257D}" name="2086-87" dataDxfId="1177"/>
    <tableColumn id="74" xr3:uid="{D0813C42-0B23-419A-B33E-C54D96A5FAD5}" name="2087-88" dataDxfId="1176"/>
    <tableColumn id="75" xr3:uid="{975CAD8A-9C34-4163-9D97-46D1B6894341}" name="2088-89" dataDxfId="1175"/>
    <tableColumn id="76" xr3:uid="{31B73E44-E8ED-4A54-AFD3-5DB601E65094}" name="2089-90" dataDxfId="1174"/>
    <tableColumn id="77" xr3:uid="{3B1799EF-DB0C-4A3E-ABB0-F0B6260DBC8F}" name="2090-91" dataDxfId="1173"/>
    <tableColumn id="78" xr3:uid="{178F9D3E-C400-438B-81E1-990B4FAE5DF6}" name="2091-92" dataDxfId="1172"/>
    <tableColumn id="79" xr3:uid="{9CC3C5C3-2D0A-40EA-B1A1-3870E58B221F}" name="2092-93" dataDxfId="1171"/>
    <tableColumn id="80" xr3:uid="{E62B64A5-6D70-4BB5-B76F-A7E1D43846E8}" name="2093-94" dataDxfId="1170"/>
    <tableColumn id="81" xr3:uid="{FAEAD7DE-7A1C-4BE7-8517-67C2F94E2608}" name="2094-95" dataDxfId="1169"/>
    <tableColumn id="82" xr3:uid="{C967C378-4696-404A-A0C5-A5D121D139F2}" name="2095-96" dataDxfId="1168"/>
    <tableColumn id="83" xr3:uid="{662C1AC8-D232-49B9-9284-92528B962A4D}" name="2096-97" dataDxfId="1167"/>
    <tableColumn id="84" xr3:uid="{4683C98E-0802-43C4-8B53-E8023DEE1856}" name="2097-98" dataDxfId="1166"/>
    <tableColumn id="85" xr3:uid="{8078B5EE-4526-4E48-ABD7-6947F76C59D3}" name="2098-99" dataDxfId="1165"/>
    <tableColumn id="86" xr3:uid="{ABEA196D-472D-4030-BCFE-BD1A1F0643AE}" name="2099-100" dataDxfId="1164"/>
    <tableColumn id="87" xr3:uid="{0A4E908C-ACBD-4BE1-B7AC-8E0A6A72E770}" name="2099-101" dataDxfId="1163"/>
  </tableColumns>
  <tableStyleInfo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 xr:uid="{13FF6E7C-5D95-4600-B073-7E7DA2E07C80}" name="TBL3e_DYCPOpt_14_ESWNCT" displayName="TBL3e_DYCPOpt_14_ESWNCT" ref="B275:CJ299" totalsRowShown="0" headerRowDxfId="1162" dataDxfId="1160" headerRowBorderDxfId="1161" tableBorderDxfId="1159" headerRowCellStyle="Normal 2 2 2" dataCellStyle="Normal 2 2 2">
  <autoFilter ref="B275:CJ299" xr:uid="{B33704DC-CAA1-4030-BE9C-FA3044FC1D63}"/>
  <tableColumns count="87">
    <tableColumn id="1" xr3:uid="{45ADA1ED-E33B-4ACF-B54E-7052433854AB}" name="WRMP24 reference" dataDxfId="1158" dataCellStyle="Normal 2 2 2"/>
    <tableColumn id="2" xr3:uid="{768AE69F-8BE7-40D0-9A83-FB5E717E608E}" name="Option type" dataDxfId="1157" dataCellStyle="Normal 2 2 2"/>
    <tableColumn id="3" xr3:uid="{F7EEA989-EC19-424F-B1B4-A45B0928202D}" name="Cat ID" dataDxfId="1156" dataCellStyle="Normal 2 2 2"/>
    <tableColumn id="4" xr3:uid="{A43C31F3-A8E2-4025-94C1-BFED48700625}" name="Unit" dataDxfId="1155" dataCellStyle="Normal 2 2 2"/>
    <tableColumn id="5" xr3:uid="{2C4366EA-89EB-4568-93A7-18D684EFA1D2}" name="Decimal places" dataDxfId="1154" dataCellStyle="Normal 2 2 2"/>
    <tableColumn id="6" xr3:uid="{0EB0123E-83E3-4123-9061-24874753076C}" name="2019-20" dataDxfId="1153" dataCellStyle="Normal 2 2 2"/>
    <tableColumn id="7" xr3:uid="{97E5F577-8A46-4C14-A702-5B8DF16175E0}" name="2020-21" dataDxfId="1152" dataCellStyle="Normal 2 2 2"/>
    <tableColumn id="8" xr3:uid="{34CFB06E-D475-4C79-B6E7-C08FA0258E1A}" name="2021-22" dataDxfId="1151" dataCellStyle="Normal 2 2 2"/>
    <tableColumn id="9" xr3:uid="{BE4BCBE3-25C9-49D1-B407-83E006D97864}" name="2022-23" dataDxfId="1150" dataCellStyle="Normal 2 2 2"/>
    <tableColumn id="10" xr3:uid="{E9811D8A-5929-4DAD-9EA3-9CDA7E09DB51}" name="2023-24" dataDxfId="1149" dataCellStyle="Normal 2 2 2"/>
    <tableColumn id="11" xr3:uid="{4BB0EC3B-AC1B-4147-A8BD-E964D3F42B82}" name="2024-25" dataDxfId="1148" dataCellStyle="Normal 2 2 2"/>
    <tableColumn id="12" xr3:uid="{07AC3EE3-FE71-4EB1-8658-C5F21D00BF5C}" name="2025-26" dataDxfId="1147" dataCellStyle="Normal 2 2 2"/>
    <tableColumn id="13" xr3:uid="{D81F7F82-83AE-4337-809D-D67D32B124D5}" name="2026-27" dataDxfId="1146" dataCellStyle="Normal 2 2 2"/>
    <tableColumn id="14" xr3:uid="{9B382DA5-D22D-4CF7-8079-8A43EA63BDCA}" name="2027-28" dataDxfId="1145" dataCellStyle="Normal 2 2 2"/>
    <tableColumn id="15" xr3:uid="{B6308172-3060-4AC1-9D3D-7027298D047A}" name="2028-29" dataDxfId="1144" dataCellStyle="Normal 2 2 2"/>
    <tableColumn id="16" xr3:uid="{1846E3BD-4B2B-41F3-AE27-70C17316DE29}" name="2029-30" dataDxfId="1143" dataCellStyle="Normal 2 2 2"/>
    <tableColumn id="17" xr3:uid="{7A32366A-EF20-40BC-A2E1-9A353C9DAE5E}" name="2030-31" dataDxfId="1142" dataCellStyle="Normal 2 2 2"/>
    <tableColumn id="18" xr3:uid="{BA620196-D31A-45C0-83F7-C62EF7E1BFF0}" name="2031-32" dataDxfId="1141" dataCellStyle="Normal 2 2 2"/>
    <tableColumn id="19" xr3:uid="{FDEFCB5C-FAB6-4EA9-BFA5-74F99AC73F55}" name="2032-33" dataDxfId="1140" dataCellStyle="Normal 2 2 2"/>
    <tableColumn id="20" xr3:uid="{5477D0B1-C2A7-4117-BA7C-F28CCD7495AB}" name="2033-34" dataDxfId="1139" dataCellStyle="Normal 2 2 2"/>
    <tableColumn id="21" xr3:uid="{97EF2BA6-D060-41DB-BCEA-4F12311724BB}" name="2034-35" dataDxfId="1138" dataCellStyle="Normal 2 2 2"/>
    <tableColumn id="22" xr3:uid="{9223F162-01E2-4A69-8DC1-4B0E68DC8F11}" name="2035-36" dataDxfId="1137" dataCellStyle="Normal 2 2 2"/>
    <tableColumn id="23" xr3:uid="{3FAFCD3D-D94D-4E53-A033-0117E0E3FB3C}" name="2036-37" dataDxfId="1136" dataCellStyle="Normal 2 2 2"/>
    <tableColumn id="24" xr3:uid="{48CAA4E9-2392-4BC9-9FF1-6C51A2DC105C}" name="2037-38" dataDxfId="1135" dataCellStyle="Normal 2 2 2"/>
    <tableColumn id="25" xr3:uid="{C276979E-A919-4D47-B93D-445A9007C26D}" name="2038-39" dataDxfId="1134" dataCellStyle="Normal 2 2 2"/>
    <tableColumn id="26" xr3:uid="{D435F521-04C3-40F5-82B9-AF8E26265139}" name="2039-40" dataDxfId="1133" dataCellStyle="Normal 2 2 2"/>
    <tableColumn id="27" xr3:uid="{11838AF2-F99E-4E62-B21A-A51E2407A94A}" name="2040-41" dataDxfId="1132" dataCellStyle="Normal 2 2 2"/>
    <tableColumn id="28" xr3:uid="{C5280CFE-BD2F-4B40-92EF-CE1C5843987A}" name="2041-42" dataDxfId="1131" dataCellStyle="Normal 2 2 2"/>
    <tableColumn id="29" xr3:uid="{7DD3576F-DDD1-43E8-90FD-B5700062234D}" name="2042-43" dataDxfId="1130" dataCellStyle="Normal 2 2 2"/>
    <tableColumn id="30" xr3:uid="{5000F2F9-0A50-4901-B949-C297A81CBE77}" name="2043-44" dataDxfId="1129" dataCellStyle="Normal 2 2 2"/>
    <tableColumn id="31" xr3:uid="{6AF555B6-469F-45B8-9C13-96702C67F9DF}" name="2044-45" dataDxfId="1128" dataCellStyle="Normal 2 2 2"/>
    <tableColumn id="32" xr3:uid="{68D571F8-A55A-49CD-9B3C-299D2D48DBB9}" name="2045-46" dataDxfId="1127" dataCellStyle="Normal 2 2 2"/>
    <tableColumn id="33" xr3:uid="{7FA1E3E0-72B4-4247-9586-0178F52EBEC0}" name="2046-47" dataDxfId="1126" dataCellStyle="Normal 2 2 2"/>
    <tableColumn id="34" xr3:uid="{EA2D7259-5794-4AEC-B633-592575A05FFD}" name="2047-48" dataDxfId="1125" dataCellStyle="Normal 2 2 2"/>
    <tableColumn id="35" xr3:uid="{6D93F3BB-BA21-4BCF-A74F-8DA4EE35DE5D}" name="2048-49" dataDxfId="1124" dataCellStyle="Normal 2 2 2"/>
    <tableColumn id="36" xr3:uid="{5482F1B5-EB9E-49FA-9630-227B457C039B}" name="2049-50" dataDxfId="1123" dataCellStyle="Normal 2 2 2"/>
    <tableColumn id="37" xr3:uid="{8091706F-2C34-4FBB-B636-777ECCB15B11}" name="2050-51" dataDxfId="1122" dataCellStyle="Normal 2 2 2"/>
    <tableColumn id="38" xr3:uid="{65C47A1C-87A9-4227-8AFE-AA4D3CC2EDDE}" name="2051-52" dataDxfId="1121" dataCellStyle="Normal 2 2 2"/>
    <tableColumn id="39" xr3:uid="{351039B9-F975-4AE9-A12C-4ABA8372267D}" name="2052-53" dataDxfId="1120" dataCellStyle="Normal 2 2 2"/>
    <tableColumn id="40" xr3:uid="{A2677C0F-2EF2-4C5D-B8AE-8765A780B781}" name="2053-54" dataDxfId="1119" dataCellStyle="Normal 2 2 2"/>
    <tableColumn id="41" xr3:uid="{D879AC74-20A0-4A4A-A1EB-9957F56287B4}" name="2054-55" dataDxfId="1118" dataCellStyle="Normal 2 2 2"/>
    <tableColumn id="42" xr3:uid="{E4FDEAF3-720A-4199-B265-C61A822B6991}" name="2055-56" dataDxfId="1117" dataCellStyle="Normal 2 2 2"/>
    <tableColumn id="43" xr3:uid="{5E01280A-E484-4798-85B3-372323D0A1BD}" name="2056-57" dataDxfId="1116" dataCellStyle="Normal 2 2 2"/>
    <tableColumn id="44" xr3:uid="{32F15B8D-C75F-444F-9C70-80FE4B8EB689}" name="2057-58" dataDxfId="1115" dataCellStyle="Normal 2 2 2"/>
    <tableColumn id="45" xr3:uid="{58A4706C-B40A-479D-8D61-B3C651EEF558}" name="2058-59" dataDxfId="1114" dataCellStyle="Normal 2 2 2"/>
    <tableColumn id="46" xr3:uid="{4DC19A75-4DC9-49EF-B962-908423D81FB7}" name="2059-60" dataDxfId="1113" dataCellStyle="Normal 2 2 2"/>
    <tableColumn id="47" xr3:uid="{AC54F563-1F86-4654-B4DB-2FE933FC69D6}" name="2060-61" dataDxfId="1112" dataCellStyle="Normal 2 2 2"/>
    <tableColumn id="48" xr3:uid="{F0D26867-D951-4FA7-9DD0-182C6D3D1EE4}" name="2061-62" dataDxfId="1111" dataCellStyle="Normal 2 2 2"/>
    <tableColumn id="49" xr3:uid="{6AF5DB24-08F0-403F-B9EF-CC21E77C2EDC}" name="2062-63" dataDxfId="1110" dataCellStyle="Normal 2 2 2"/>
    <tableColumn id="50" xr3:uid="{FAFFC8C2-0B65-43DA-86E6-94BA0EA05940}" name="2063-64" dataDxfId="1109" dataCellStyle="Normal 2 2 2"/>
    <tableColumn id="51" xr3:uid="{40DD2349-CF10-447C-AD2B-98C6579ACD5B}" name="2064-65" dataDxfId="1108" dataCellStyle="Normal 2 2 2"/>
    <tableColumn id="52" xr3:uid="{86E9B8F6-10A6-4716-AF74-42B8D0983CE9}" name="2065-66" dataDxfId="1107" dataCellStyle="Normal 2 2 2"/>
    <tableColumn id="53" xr3:uid="{DC3363AF-143C-41C7-8272-7748A85ECD68}" name="2066-67" dataDxfId="1106" dataCellStyle="Normal 2 2 2"/>
    <tableColumn id="54" xr3:uid="{35E2D3B3-76FD-47EE-A2AD-77A5B30F00BB}" name="2067-68" dataDxfId="1105" dataCellStyle="Normal 2 2 2"/>
    <tableColumn id="55" xr3:uid="{B1F64C12-95D4-4599-94C8-7DBF1D823207}" name="2068-69" dataDxfId="1104" dataCellStyle="Normal 2 2 2"/>
    <tableColumn id="56" xr3:uid="{57081AE6-E918-4524-9DA2-215A6F405BAD}" name="2069-70" dataDxfId="1103" dataCellStyle="Normal 2 2 2"/>
    <tableColumn id="57" xr3:uid="{0CD1E927-C639-451B-84B8-23A2B7739719}" name="2070-71" dataDxfId="1102" dataCellStyle="Normal 2 2 2"/>
    <tableColumn id="58" xr3:uid="{FFCFD07F-61E0-4AD6-8381-E416B994CA74}" name="2071-72" dataDxfId="1101" dataCellStyle="Normal 2 2 2"/>
    <tableColumn id="59" xr3:uid="{91042F59-0A7D-4694-965B-84D810DC98D1}" name="2072-73" dataDxfId="1100" dataCellStyle="Normal 2 2 2"/>
    <tableColumn id="60" xr3:uid="{2707C02A-9EFA-4C41-9886-CBCE07DBA25D}" name="2073-74" dataDxfId="1099" dataCellStyle="Normal 2 2 2"/>
    <tableColumn id="61" xr3:uid="{1B5E3616-48BD-43EB-B124-5DF8611AAF5E}" name="2074-75" dataDxfId="1098" dataCellStyle="Normal 2 2 2"/>
    <tableColumn id="62" xr3:uid="{B58322ED-40E5-4CEA-88F5-20EB2CEF3D65}" name="2075-76" dataDxfId="1097" dataCellStyle="Normal 2 2 2"/>
    <tableColumn id="63" xr3:uid="{1DAF23EF-2890-498D-97D2-02D675A2FC24}" name="2076-77" dataDxfId="1096" dataCellStyle="Normal 2 2 2"/>
    <tableColumn id="64" xr3:uid="{F1798635-3CAB-4CEE-A908-7465F8C986DE}" name="2077-78" dataDxfId="1095" dataCellStyle="Normal 2 2 2"/>
    <tableColumn id="65" xr3:uid="{44AB72F3-21BA-4240-98E9-E78E3FFACE74}" name="2078-79" dataDxfId="1094" dataCellStyle="Normal 2 2 2"/>
    <tableColumn id="66" xr3:uid="{4F54BB50-1370-42B7-8B80-9B952C6B6B05}" name="2079-80" dataDxfId="1093" dataCellStyle="Normal 2 2 2"/>
    <tableColumn id="67" xr3:uid="{40FD41EA-CBD9-46F0-BF12-18EA8829AFF5}" name="2080-81" dataDxfId="1092" dataCellStyle="Normal 2 2 2"/>
    <tableColumn id="68" xr3:uid="{62AF79EA-B8BB-4E48-A007-82C7153F3234}" name="2081-82" dataDxfId="1091" dataCellStyle="Normal 2 2 2"/>
    <tableColumn id="69" xr3:uid="{52B4FB54-F0A5-46D8-B89B-92170820EE41}" name="2082-83" dataDxfId="1090" dataCellStyle="Normal 2 2 2"/>
    <tableColumn id="70" xr3:uid="{0E4E2257-26B4-4685-9219-4DDB70616C9B}" name="2083-84" dataDxfId="1089" dataCellStyle="Normal 2 2 2"/>
    <tableColumn id="71" xr3:uid="{0B3BDB56-96DA-4155-8758-B1B0A5DAC567}" name="2084-85" dataDxfId="1088" dataCellStyle="Normal 2 2 2"/>
    <tableColumn id="72" xr3:uid="{DA1CC91D-BB9E-47EA-88C0-693B1A9041C9}" name="2085-86" dataDxfId="1087" dataCellStyle="Normal 2 2 2"/>
    <tableColumn id="73" xr3:uid="{19BB123A-35A1-402D-AED4-A7A91C5C8FEB}" name="2086-87" dataDxfId="1086" dataCellStyle="Normal 2 2 2"/>
    <tableColumn id="74" xr3:uid="{5F77EA6A-B92C-415C-8CCD-7C22B89D547C}" name="2087-88" dataDxfId="1085" dataCellStyle="Normal 2 2 2"/>
    <tableColumn id="75" xr3:uid="{970B89C3-A66E-4559-A209-4362C6C4E770}" name="2088-89" dataDxfId="1084" dataCellStyle="Normal 2 2 2"/>
    <tableColumn id="76" xr3:uid="{4C0FDC4E-9332-4AE9-BC56-6AADFDBFE775}" name="2089-90" dataDxfId="1083" dataCellStyle="Normal 2 2 2"/>
    <tableColumn id="77" xr3:uid="{E5E08C3B-EE16-4800-9348-A01C7E000BDA}" name="2090-91" dataDxfId="1082" dataCellStyle="Normal 2 2 2"/>
    <tableColumn id="78" xr3:uid="{D9E3E375-CB24-4C8D-86D0-F17B5D83C49A}" name="2091-92" dataDxfId="1081" dataCellStyle="Normal 2 2 2"/>
    <tableColumn id="79" xr3:uid="{309BA446-33A5-4391-B89C-EA2667CEEE46}" name="2092-93" dataDxfId="1080" dataCellStyle="Normal 2 2 2"/>
    <tableColumn id="80" xr3:uid="{0D3B705C-69E4-4F24-9CD6-158E34AA3C49}" name="2093-94" dataDxfId="1079" dataCellStyle="Normal 2 2 2"/>
    <tableColumn id="81" xr3:uid="{69A9095A-5C41-4892-A751-A48CA6AA3849}" name="2094-95" dataDxfId="1078" dataCellStyle="Normal 2 2 2"/>
    <tableColumn id="82" xr3:uid="{385C1B73-56AC-4FF3-A393-21721E5F4B94}" name="2095-96" dataDxfId="1077" dataCellStyle="Normal 2 2 2"/>
    <tableColumn id="83" xr3:uid="{496BE4EC-2515-4244-B491-85080CC2B902}" name="2096-97" dataDxfId="1076" dataCellStyle="Normal 2 2 2"/>
    <tableColumn id="84" xr3:uid="{69F2C925-6C9D-4A84-8131-0589AE25770B}" name="2097-98" dataDxfId="1075" dataCellStyle="Normal 2 2 2"/>
    <tableColumn id="85" xr3:uid="{CB4F4B13-C989-4C46-AD9F-DE6D738819C9}" name="2098-99" dataDxfId="1074" dataCellStyle="Normal 2 2 2"/>
    <tableColumn id="86" xr3:uid="{44E95091-078B-4AF7-B3CE-2BD68894BFBE}" name="2099-100" dataDxfId="1073" dataCellStyle="Normal 2 2 2"/>
    <tableColumn id="87" xr3:uid="{70A6EA0B-920E-4857-BC35-D99A1EB88B1F}" name="2099-101" dataDxfId="1072" dataCellStyle="Normal 2 2 2"/>
  </tableColumns>
  <tableStyleInfo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 xr:uid="{CC3B29D8-A3AB-4EDA-B310-746B408C987B}" name="TBL3f_DYCPFP_15_ESWNCT" displayName="TBL3f_DYCPFP_15_ESWNCT" ref="B302:CI362" totalsRowShown="0" headerRowDxfId="1071" dataDxfId="1070" tableBorderDxfId="1069" headerRowCellStyle="Normal 2 2 2" dataCellStyle="Normal 2 2 2">
  <autoFilter ref="B302:CI362" xr:uid="{32E764BE-BE3E-4B03-A38E-34B0BA9403F0}"/>
  <tableColumns count="86">
    <tableColumn id="1" xr3:uid="{5D532CAB-0021-40B8-A5C7-83F458BAF62E}" name="WRMP24 reference" dataDxfId="1068" dataCellStyle="Normal 2 2 2"/>
    <tableColumn id="2" xr3:uid="{934EA85B-18AE-4C61-8577-9532C4F24205}" name="Component" dataDxfId="1067" dataCellStyle="Normal 2 2 2"/>
    <tableColumn id="3" xr3:uid="{7B7167A7-ED32-4CFD-AE44-0921B76CC8C8}" name="Derivation" dataDxfId="1066" dataCellStyle="Normal 2 2 2"/>
    <tableColumn id="4" xr3:uid="{D05D99BD-6F94-478D-AE1D-2AD14D841446}" name="Unit" dataDxfId="1065" dataCellStyle="Normal 2 2 2"/>
    <tableColumn id="5" xr3:uid="{D9D4E0EB-8E47-46E6-97E4-45FF242D8E8D}" name="Decimal places" dataDxfId="1064" dataCellStyle="Normal 2 2 2"/>
    <tableColumn id="6" xr3:uid="{A881D2C9-15F4-441E-8388-31CF688E47C7}" name="2019-20" dataDxfId="1063" dataCellStyle="Normal 2 2 2"/>
    <tableColumn id="7" xr3:uid="{B0529152-F823-467C-BCCF-9E9CAFF64CF4}" name="2020-21" dataDxfId="1062" dataCellStyle="Normal 2 2 2"/>
    <tableColumn id="8" xr3:uid="{4CECE3BA-F9D9-4B9A-A84E-3D625B720D3C}" name="2021-22" dataDxfId="1061" dataCellStyle="Normal 2 2 2"/>
    <tableColumn id="9" xr3:uid="{BA9EEF98-7F89-44EE-B729-FBDC84FCB7FF}" name="2022-23" dataDxfId="1060" dataCellStyle="Normal 2 2 2"/>
    <tableColumn id="10" xr3:uid="{C0F8C0F2-1B63-44B5-88AC-FE34BBDA1049}" name="2023-24" dataDxfId="1059" dataCellStyle="Normal 2 2 2"/>
    <tableColumn id="11" xr3:uid="{68B9ADFB-5EF3-4CB2-9408-2822F53F19E4}" name="2024-25" dataDxfId="1058" dataCellStyle="Normal 2 2 2"/>
    <tableColumn id="12" xr3:uid="{8A3E37CA-FE49-4BF3-BA2B-87BFAC338FD8}" name="2025-26" dataDxfId="1057" dataCellStyle="Normal 2 2 2"/>
    <tableColumn id="13" xr3:uid="{D65DCB80-D733-4217-AB59-D78FED2ECDE2}" name="2026-27" dataDxfId="1056" dataCellStyle="Normal 2 2 2"/>
    <tableColumn id="14" xr3:uid="{C528877C-78B9-4DEA-9C1A-C566183F308B}" name="2027-28" dataDxfId="1055" dataCellStyle="Normal 2 2 2"/>
    <tableColumn id="15" xr3:uid="{4A2215E1-D45A-40F3-9E04-D3EA9BBA4B94}" name="2028-29" dataDxfId="1054" dataCellStyle="Normal 2 2 2"/>
    <tableColumn id="16" xr3:uid="{1AC97CBE-0B36-4687-A80A-EFE7AC0EB974}" name="2029-30" dataDxfId="1053" dataCellStyle="Normal 2 2 2"/>
    <tableColumn id="17" xr3:uid="{9928DE45-EA94-4AB6-B59F-ABE7C2BA8105}" name="2030-31" dataDxfId="1052" dataCellStyle="Normal 2 2 2"/>
    <tableColumn id="18" xr3:uid="{C09456AA-F304-41D8-B7A6-CE02AA4FC924}" name="2031-32" dataDxfId="1051" dataCellStyle="Normal 2 2 2"/>
    <tableColumn id="19" xr3:uid="{3798017B-BB25-4F75-86B3-CA684B327296}" name="2032-33" dataDxfId="1050" dataCellStyle="Normal 2 2 2"/>
    <tableColumn id="20" xr3:uid="{E7FF1215-EBE6-4556-821C-C6B52F16335D}" name="2033-34" dataDxfId="1049" dataCellStyle="Normal 2 2 2"/>
    <tableColumn id="21" xr3:uid="{4033EC8C-D037-4943-B3C5-CFB41C3A259C}" name="2034-35" dataDxfId="1048" dataCellStyle="Normal 2 2 2"/>
    <tableColumn id="22" xr3:uid="{1E1B2469-37B9-4C33-B26E-94A99C264377}" name="2035-36" dataDxfId="1047" dataCellStyle="Normal 2 2 2"/>
    <tableColumn id="23" xr3:uid="{D4A22765-165F-4182-9A72-E64FCAFCB469}" name="2036-37" dataDxfId="1046" dataCellStyle="Normal 2 2 2"/>
    <tableColumn id="24" xr3:uid="{74B29C26-1427-4E5F-A09B-4B152BA626C1}" name="2037-38" dataDxfId="1045" dataCellStyle="Normal 2 2 2"/>
    <tableColumn id="25" xr3:uid="{43E2DAF7-68A4-4739-BA2A-C78CE4887DDD}" name="2038-39" dataDxfId="1044" dataCellStyle="Normal 2 2 2"/>
    <tableColumn id="26" xr3:uid="{2AC9511E-AA44-4FD7-AA1B-F2384EA7759B}" name="2039-40" dataDxfId="1043" dataCellStyle="Normal 2 2 2"/>
    <tableColumn id="27" xr3:uid="{883A238E-296D-4C89-8A02-25F07A9EBDC4}" name="2040-41" dataDxfId="1042" dataCellStyle="Normal 2 2 2"/>
    <tableColumn id="28" xr3:uid="{20DEA299-1990-4F17-8478-FF26CE577F50}" name="2041-42" dataDxfId="1041" dataCellStyle="Normal 2 2 2"/>
    <tableColumn id="29" xr3:uid="{5E6D4E86-E84F-4D66-91DE-CCBF700DD29D}" name="2042-43" dataDxfId="1040" dataCellStyle="Normal 2 2 2"/>
    <tableColumn id="30" xr3:uid="{008BEEAF-7E83-4088-A91E-EBA4F16941DD}" name="2043-44" dataDxfId="1039" dataCellStyle="Normal 2 2 2"/>
    <tableColumn id="31" xr3:uid="{37A8BC60-0E2F-4389-A9FA-88007087D6ED}" name="2044-45" dataDxfId="1038" dataCellStyle="Normal 2 2 2"/>
    <tableColumn id="32" xr3:uid="{3CBC9DC1-F2F2-44DB-947F-8659553EFC47}" name="2045-46" dataDxfId="1037" dataCellStyle="Normal 2 2 2"/>
    <tableColumn id="33" xr3:uid="{3B329425-8116-4A3C-9363-115E8DFA4A5E}" name="2046-47" dataDxfId="1036" dataCellStyle="Normal 2 2 2"/>
    <tableColumn id="34" xr3:uid="{43500B45-8624-42B7-AB57-ACCD90A4A081}" name="2047-48" dataDxfId="1035" dataCellStyle="Normal 2 2 2"/>
    <tableColumn id="35" xr3:uid="{3BD323CF-0275-4B73-9DA0-52D92B53CE0B}" name="2048-49" dataDxfId="1034" dataCellStyle="Normal 2 2 2"/>
    <tableColumn id="36" xr3:uid="{A5842F60-3A7E-4498-9EFB-12166B0E1574}" name="2049-50" dataDxfId="1033" dataCellStyle="Normal 2 2 2"/>
    <tableColumn id="37" xr3:uid="{F54E4139-4B61-483D-8F1A-8F5814263EFD}" name="2050-51" dataDxfId="1032" dataCellStyle="Normal 2 2 2"/>
    <tableColumn id="38" xr3:uid="{5A42A7A5-6933-4040-9749-53FF53532883}" name="2051-52" dataDxfId="1031" dataCellStyle="Normal 2 2 2"/>
    <tableColumn id="39" xr3:uid="{F1E2F13D-045C-441C-A82F-1928960AFB38}" name="2052-53" dataDxfId="1030" dataCellStyle="Normal 2 2 2"/>
    <tableColumn id="40" xr3:uid="{7D58C8F4-DDF0-4723-A3A2-9376D939F065}" name="2053-54" dataDxfId="1029" dataCellStyle="Normal 2 2 2"/>
    <tableColumn id="41" xr3:uid="{E1D87122-1DDC-4123-AA77-933DECF775C8}" name="2054-55" dataDxfId="1028" dataCellStyle="Normal 2 2 2"/>
    <tableColumn id="42" xr3:uid="{B4E4CCCD-C9FA-413A-9AD6-49ECCCA037BA}" name="2055-56" dataDxfId="1027" dataCellStyle="Normal 2 2 2"/>
    <tableColumn id="43" xr3:uid="{C6E6AB89-5421-40E4-A1CB-825A74024E0B}" name="2056-57" dataDxfId="1026" dataCellStyle="Normal 2 2 2"/>
    <tableColumn id="44" xr3:uid="{58C98D3A-9DBB-4793-8448-E4644079EBD8}" name="2057-58" dataDxfId="1025" dataCellStyle="Normal 2 2 2"/>
    <tableColumn id="45" xr3:uid="{EC37E692-702F-485F-A795-C0FA28A8F3F8}" name="2058-59" dataDxfId="1024" dataCellStyle="Normal 2 2 2"/>
    <tableColumn id="46" xr3:uid="{4BCCED9C-A92C-491C-A5FC-9A2DF6BA1649}" name="2059-60" dataDxfId="1023" dataCellStyle="Normal 2 2 2"/>
    <tableColumn id="47" xr3:uid="{91FBC7F5-E734-416B-8D54-DB2ED2CBFD9A}" name="2060-61" dataDxfId="1022" dataCellStyle="Normal 2 2 2"/>
    <tableColumn id="48" xr3:uid="{71FF7710-EF22-4F23-A45F-665A26879D58}" name="2061-62" dataDxfId="1021" dataCellStyle="Normal 2 2 2"/>
    <tableColumn id="49" xr3:uid="{EAABC656-2CC0-40B7-B5B8-618823B612D8}" name="2062-63" dataDxfId="1020" dataCellStyle="Normal 2 2 2"/>
    <tableColumn id="50" xr3:uid="{BEAEE3E3-57C1-4F70-A91D-6D67587E2BCE}" name="2063-64" dataDxfId="1019" dataCellStyle="Normal 2 2 2"/>
    <tableColumn id="51" xr3:uid="{3AD76FAE-7AC3-489F-96D1-902CACAD127C}" name="2064-65" dataDxfId="1018" dataCellStyle="Normal 2 2 2"/>
    <tableColumn id="52" xr3:uid="{44A403F2-3433-4453-BA7C-80E1FFFC4B25}" name="2065-66" dataDxfId="1017" dataCellStyle="Normal 2 2 2"/>
    <tableColumn id="53" xr3:uid="{7C4475EC-4077-4E66-8E38-D307FF8AEDC5}" name="2066-67" dataDxfId="1016" dataCellStyle="Normal 2 2 2"/>
    <tableColumn id="54" xr3:uid="{745B38E6-3D8A-4ED1-8B23-FB5B9CECE9EF}" name="2067-68" dataDxfId="1015" dataCellStyle="Normal 2 2 2"/>
    <tableColumn id="55" xr3:uid="{A470CCD2-B9FE-48B9-8CC2-26D4F875EEAB}" name="2068-69" dataDxfId="1014" dataCellStyle="Normal 2 2 2"/>
    <tableColumn id="56" xr3:uid="{A1DE85B0-8C00-492F-91C6-73038D504B96}" name="2069-70" dataDxfId="1013" dataCellStyle="Normal 2 2 2"/>
    <tableColumn id="57" xr3:uid="{220CF02D-1984-4A02-AE34-B04D363C133D}" name="2070-71" dataDxfId="1012" dataCellStyle="Normal 2 2 2"/>
    <tableColumn id="58" xr3:uid="{AFEA6629-DF59-4FF3-8C3F-8CB5D44E5F64}" name="2071-72" dataDxfId="1011" dataCellStyle="Normal 2 2 2"/>
    <tableColumn id="59" xr3:uid="{97E48FE1-E4FE-4EE0-A24A-40CFAD144EE5}" name="2072-73" dataDxfId="1010" dataCellStyle="Normal 2 2 2"/>
    <tableColumn id="60" xr3:uid="{90FDE491-C241-4281-80C0-3713A4E65D2B}" name="2073-74" dataDxfId="1009" dataCellStyle="Normal 2 2 2"/>
    <tableColumn id="61" xr3:uid="{15AC8F55-71E4-4066-8A77-D9BD11465A16}" name="2074-75" dataDxfId="1008" dataCellStyle="Normal 2 2 2"/>
    <tableColumn id="62" xr3:uid="{DA1BFC09-EF4D-4597-B8E7-7758080CA9CE}" name="2075-76" dataDxfId="1007" dataCellStyle="Normal 2 2 2"/>
    <tableColumn id="63" xr3:uid="{0B607202-B4C8-4F26-84A1-E636DB051937}" name="2076-77" dataDxfId="1006" dataCellStyle="Normal 2 2 2"/>
    <tableColumn id="64" xr3:uid="{6A14B6DC-8EFF-4475-9AF9-34F786FCBC7F}" name="2077-78" dataDxfId="1005" dataCellStyle="Normal 2 2 2"/>
    <tableColumn id="65" xr3:uid="{E125C9C6-01E4-4054-B136-48E3B741096D}" name="2078-79" dataDxfId="1004" dataCellStyle="Normal 2 2 2"/>
    <tableColumn id="66" xr3:uid="{7C62645B-D5E5-48D2-8FF9-29EEC48BBD90}" name="2079-80" dataDxfId="1003" dataCellStyle="Normal 2 2 2"/>
    <tableColumn id="67" xr3:uid="{3423848D-7D46-4E1E-BB82-B84CA81BBA78}" name="2080-81" dataDxfId="1002" dataCellStyle="Normal 2 2 2"/>
    <tableColumn id="68" xr3:uid="{C3E6A412-A5B5-409F-A823-CE2979CD4304}" name="2081-82" dataDxfId="1001" dataCellStyle="Normal 2 2 2"/>
    <tableColumn id="69" xr3:uid="{F4A8C5C6-1995-4FE1-96F6-3FE64BA41BE9}" name="2082-83" dataDxfId="1000" dataCellStyle="Normal 2 2 2"/>
    <tableColumn id="70" xr3:uid="{502B1750-90BA-4059-B382-37521908ACE9}" name="2083-84" dataDxfId="999" dataCellStyle="Normal 2 2 2"/>
    <tableColumn id="71" xr3:uid="{6ABC4E02-EE1A-445F-9ADE-32857BA60EFC}" name="2084-85" dataDxfId="998" dataCellStyle="Normal 2 2 2"/>
    <tableColumn id="72" xr3:uid="{313916A5-D102-4B78-B84B-8DBA480C295A}" name="2085-86" dataDxfId="997" dataCellStyle="Normal 2 2 2"/>
    <tableColumn id="73" xr3:uid="{67359925-5760-486B-8E45-540B42093825}" name="2086-87" dataDxfId="996" dataCellStyle="Normal 2 2 2"/>
    <tableColumn id="74" xr3:uid="{76433860-4A15-4074-8A2E-AE510D6A70FA}" name="2087-88" dataDxfId="995" dataCellStyle="Normal 2 2 2"/>
    <tableColumn id="75" xr3:uid="{BEA7892D-050F-49E7-A170-2BF8E4DB7378}" name="2088-89" dataDxfId="994" dataCellStyle="Normal 2 2 2"/>
    <tableColumn id="76" xr3:uid="{C90C2ACF-5994-4B6F-AC82-7E4F1C0AB4EA}" name="2089-90" dataDxfId="993" dataCellStyle="Normal 2 2 2"/>
    <tableColumn id="77" xr3:uid="{77DE623E-40CF-4231-8A8C-CDD00F6A2B9D}" name="2090-91" dataDxfId="992" dataCellStyle="Normal 2 2 2"/>
    <tableColumn id="78" xr3:uid="{CF5AAFA5-AA7C-4E66-978F-93E79D0596A2}" name="2091-92" dataDxfId="991" dataCellStyle="Normal 2 2 2"/>
    <tableColumn id="79" xr3:uid="{F351A61B-9579-4638-9B10-C100B79B020D}" name="2092-93" dataDxfId="990" dataCellStyle="Normal 2 2 2"/>
    <tableColumn id="80" xr3:uid="{50122A9C-327A-45A3-BC58-56A7E8291D1B}" name="2093-94" dataDxfId="989" dataCellStyle="Normal 2 2 2"/>
    <tableColumn id="81" xr3:uid="{F8E08373-2A6F-4147-83C1-659B325E9054}" name="2094-95" dataDxfId="988" dataCellStyle="Normal 2 2 2"/>
    <tableColumn id="82" xr3:uid="{DB31A08B-59D7-492A-B22E-2C4314EEBEE0}" name="2095-96" dataDxfId="987" dataCellStyle="Normal 2 2 2"/>
    <tableColumn id="83" xr3:uid="{830B6E69-F004-4026-9B84-8E9E8205F2C4}" name="2096-97" dataDxfId="986" dataCellStyle="Normal 2 2 2"/>
    <tableColumn id="84" xr3:uid="{C16E7D3C-7F99-4D59-B142-0F0475A6563C}" name="2097-98" dataDxfId="985" dataCellStyle="Normal 2 2 2"/>
    <tableColumn id="85" xr3:uid="{ED331F1B-B412-4DE6-A6D8-FDC9D5BDAE80}" name="2098-99" dataDxfId="984" dataCellStyle="Normal 2 2 2"/>
    <tableColumn id="86" xr3:uid="{90D5D9AC-5310-4E83-B12A-116F22F18A6B}" name="2099-100" dataDxfId="983" dataCellStyle="Normal 2 2 2"/>
  </tableColumns>
  <tableStyleInfo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11000000}" name="TBL4_OptApp" displayName="TBL4_OptApp" ref="B5:BA315" totalsRowShown="0" headerRowDxfId="971" dataDxfId="969" headerRowBorderDxfId="970" tableBorderDxfId="968">
  <autoFilter ref="B5:BA315" xr:uid="{00000000-000C-0000-FFFF-FFFF11000000}"/>
  <tableColumns count="52">
    <tableColumn id="42" xr3:uid="{00000000-0010-0000-1100-00002A000000}" name="WRMP24 Reference" dataDxfId="967" totalsRowDxfId="966">
      <calculatedColumnFormula>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calculatedColumnFormula>
    </tableColumn>
    <tableColumn id="1" xr3:uid="{00000000-0010-0000-1100-000001000000}" name="Option ID" dataDxfId="965" totalsRowDxfId="964"/>
    <tableColumn id="2" xr3:uid="{00000000-0010-0000-1100-000002000000}" name="Option Name" dataDxfId="963" totalsRowDxfId="962"/>
    <tableColumn id="3" xr3:uid="{00000000-0010-0000-1100-000003000000}" name="Option type_x000a_Defined List" dataDxfId="961" totalsRowDxfId="960"/>
    <tableColumn id="4" xr3:uid="{00000000-0010-0000-1100-000004000000}" name="Option Group" dataDxfId="959" totalsRowDxfId="958">
      <calculatedColumnFormula>VLOOKUP(TBL4_OptApp[[#This Row],[Option type
Defined List]],'Option Typs_Grps'!B$2:C$47, 2, FALSE)</calculatedColumnFormula>
    </tableColumn>
    <tableColumn id="5" xr3:uid="{00000000-0010-0000-1100-000005000000}" name="WRZ(s) benefitting from option_x000a__x000a_Defined codes, accept multiples using &quot;,&quot; separator, or &quot;Company Wide&quot;" dataDxfId="957" totalsRowDxfId="956"/>
    <tableColumn id="6" xr3:uid="{00000000-0010-0000-1100-000006000000}" name="Option status_x000a_Defined" dataDxfId="955" totalsRowDxfId="954"/>
    <tableColumn id="7" xr3:uid="{00000000-0010-0000-1100-000007000000}" name="Third Party Option Flag_x000a_Y/N" dataDxfId="953" totalsRowDxfId="952"/>
    <tableColumn id="19" xr3:uid="{00000000-0010-0000-1100-000013000000}" name="Partnership Option TOTEX - all parties _x000a_(where applicable)_x000a__x000a_" dataDxfId="951" totalsRowDxfId="950"/>
    <tableColumn id="8" xr3:uid="{00000000-0010-0000-1100-000008000000}" name="Interdependent Options_x000a_(State one or more option IDs)" dataDxfId="949" totalsRowDxfId="948"/>
    <tableColumn id="9" xr3:uid="{00000000-0010-0000-1100-000009000000}" name="Preferred (Most Likely) Programme Y/N" dataDxfId="947" totalsRowDxfId="946"/>
    <tableColumn id="53" xr3:uid="{A0005DEE-892E-4007-944B-E306DF203F2D}" name="Least Cost Programme Y/N" dataDxfId="945" totalsRowDxfId="944"/>
    <tableColumn id="30" xr3:uid="{00000000-0010-0000-1100-00001E000000}" name="Ofwat Core Programme Y/N" dataDxfId="943" totalsRowDxfId="942"/>
    <tableColumn id="10" xr3:uid="{00000000-0010-0000-1100-00000A000000}" name="Alternative Programme 1 [NSR]_x000a_Y/N" dataDxfId="941" totalsRowDxfId="940"/>
    <tableColumn id="11" xr3:uid="{00000000-0010-0000-1100-00000B000000}" name="Alternative Programme 2 [High PCC] Y/N" dataDxfId="939" totalsRowDxfId="938"/>
    <tableColumn id="12" xr3:uid="{00000000-0010-0000-1100-00000C000000}" name="Alternative Programme 3 - [High ED]_x000a_Y/N" dataDxfId="937" totalsRowDxfId="936"/>
    <tableColumn id="43" xr3:uid="{DAC8E6A9-C3FD-4FD7-A43E-1C2CA410E8F8}" name="Alternative Programme 4 - [Habs Regs]_x000a_Y/N" dataDxfId="935" totalsRowDxfId="934"/>
    <tableColumn id="13" xr3:uid="{00000000-0010-0000-1100-00000D000000}" name="Reason for option rejection" dataDxfId="933" totalsRowDxfId="932"/>
    <tableColumn id="14" xr3:uid="{00000000-0010-0000-1100-00000E000000}" name="WRZ transfer is from_x000a_Defined List" dataDxfId="931" totalsRowDxfId="930"/>
    <tableColumn id="15" xr3:uid="{00000000-0010-0000-1100-00000F000000}" name="WRZ transfer is to_x000a_Defined List" dataDxfId="929" totalsRowDxfId="928"/>
    <tableColumn id="16" xr3:uid="{00000000-0010-0000-1100-000010000000}" name="Gains in WAFU / Savings in Demand on full implementation (Ml/d)" dataDxfId="927" totalsRowDxfId="926"/>
    <tableColumn id="17" xr3:uid="{00000000-0010-0000-1100-000011000000}" name="Option benefits lead-in time (Years)" dataDxfId="925" totalsRowDxfId="924"/>
    <tableColumn id="18" xr3:uid="{00000000-0010-0000-1100-000012000000}" name="First year of option use in preferred programme (year)_x000a_(Preferred programme (most likely) only)" dataDxfId="923" totalsRowDxfId="922"/>
    <tableColumn id="20" xr3:uid="{00000000-0010-0000-1100-000014000000}" name="Totex expenditure prior to option in use (£m)" dataDxfId="921" totalsRowDxfId="920"/>
    <tableColumn id="21" xr3:uid="{00000000-0010-0000-1100-000015000000}" name="Totex expenditure per annum post option in use under maximum utilisation scenario (£m)" dataDxfId="919" totalsRowDxfId="918"/>
    <tableColumn id="22" xr3:uid="{00000000-0010-0000-1100-000016000000}" name="Average totex expenditure per annum post option in use (£m)" dataDxfId="917" totalsRowDxfId="916"/>
    <tableColumn id="23" xr3:uid="{00000000-0010-0000-1100-000017000000}" name="Average option utilisation used for average totex expenditure and operational carbon forecasts (Ml/d)" dataDxfId="915" totalsRowDxfId="914"/>
    <tableColumn id="24" xr3:uid="{00000000-0010-0000-1100-000018000000}" name="Maximum option utilisation across the planning period (Ml/d)" dataDxfId="913" totalsRowDxfId="912"/>
    <tableColumn id="25" xr3:uid="{00000000-0010-0000-1100-000019000000}" name="Embodied carbon emissions_x000a_(tCO2 equivalent)" dataDxfId="911" totalsRowDxfId="910"/>
    <tableColumn id="26" xr3:uid="{00000000-0010-0000-1100-00001A000000}" name="Operational carbon emissions under maximum utilisation scenario_x000a_(tCO2 equivalent per annum)" dataDxfId="909" totalsRowDxfId="908"/>
    <tableColumn id="27" xr3:uid="{00000000-0010-0000-1100-00001B000000}" name="Average operational carbon emissions_x000a_(tCO2 equivalent per annum)" dataDxfId="907" totalsRowDxfId="906"/>
    <tableColumn id="31" xr3:uid="{00000000-0010-0000-1100-00001F000000}" name="Total Carbon Cost (£M)" dataDxfId="905" totalsRowDxfId="904"/>
    <tableColumn id="28" xr3:uid="{00000000-0010-0000-1100-00001C000000}" name="Average Incremental Cost (AIC)_x000a_(p/m3)" dataDxfId="903" totalsRowDxfId="902"/>
    <tableColumn id="29" xr3:uid="{00000000-0010-0000-1100-00001D000000}" name="Total NPC (£m)" dataDxfId="901" totalsRowDxfId="900"/>
    <tableColumn id="32" xr3:uid="{00000000-0010-0000-1100-000020000000}" name="Natural capital impact of option_x000a_(£NPV)" dataDxfId="899" totalsRowDxfId="898"/>
    <tableColumn id="33" xr3:uid="{00000000-0010-0000-1100-000021000000}" name="B&amp;H_x000a_Non-monetised metric where applicable (Net Habitats Units (total restoration))" dataDxfId="897" totalsRowDxfId="896"/>
    <tableColumn id="46" xr3:uid="{4A8C01AF-D108-482F-8D8F-1EEC2C838BF6}" name="B&amp;H_x000a_Monetised metric where applicable (£M)" dataDxfId="895" totalsRowDxfId="894"/>
    <tableColumn id="34" xr3:uid="{00000000-0010-0000-1100-000022000000}" name="CR_x000a_Non-monetised metric where applicable (define units)" dataDxfId="893" totalsRowDxfId="892"/>
    <tableColumn id="47" xr3:uid="{77099D82-1AA7-4127-AA50-01D215569141}" name="CR_x000a_Monetised metric where applicable (£M)" dataDxfId="891" totalsRowDxfId="890"/>
    <tableColumn id="35" xr3:uid="{00000000-0010-0000-1100-000023000000}" name="NHR_x000a_Non-monetised metric where applicable (define units)" dataDxfId="889" totalsRowDxfId="888"/>
    <tableColumn id="48" xr3:uid="{08427DD3-AD43-4E16-9DE1-5807D4B8096C}" name="NHR_x000a_Monetised metric where applicable (£M)" dataDxfId="887" totalsRowDxfId="886"/>
    <tableColumn id="36" xr3:uid="{00000000-0010-0000-1100-000024000000}" name="WP_x000a_Non-monetised metric where applicable (define units)" dataDxfId="885" totalsRowDxfId="884"/>
    <tableColumn id="49" xr3:uid="{E59A5819-9EBC-499D-AD22-55212115671F}" name="WP_x000a_Monetised metric where applicable (£M)" dataDxfId="883" totalsRowDxfId="882"/>
    <tableColumn id="37" xr3:uid="{00000000-0010-0000-1100-000025000000}" name="WReg_x000a_Non-monetised metric where applicable (define units)" dataDxfId="881" totalsRowDxfId="880"/>
    <tableColumn id="50" xr3:uid="{49D26A71-CE50-4764-89E4-CC423CBAA87F}" name="WReg_x000a_Monetised metric where applicable (£M)" dataDxfId="879" totalsRowDxfId="878"/>
    <tableColumn id="38" xr3:uid="{00000000-0010-0000-1100-000026000000}" name="R&amp;T_x000a_Non-monetised metric where applicable (define units)" dataDxfId="877" totalsRowDxfId="876"/>
    <tableColumn id="51" xr3:uid="{DCBCC0E7-3EFA-4EBD-A954-5A07475E6D8B}" name="R&amp;T_x000a_Monetised metric where applicable (£M)" dataDxfId="875" totalsRowDxfId="874"/>
    <tableColumn id="39" xr3:uid="{00000000-0010-0000-1100-000027000000}" name="Freeform column 1" dataDxfId="873" totalsRowDxfId="872"/>
    <tableColumn id="40" xr3:uid="{00000000-0010-0000-1100-000028000000}" name="Freeform column 2" dataDxfId="871" totalsRowDxfId="870"/>
    <tableColumn id="41" xr3:uid="{00000000-0010-0000-1100-000029000000}" name="Freeform column 3" dataDxfId="869" totalsRowDxfId="868"/>
    <tableColumn id="45" xr3:uid="{1D63ED90-D625-4445-B507-FB8396358EFA}" name="Freeform column 4" dataDxfId="867" totalsRowDxfId="866"/>
    <tableColumn id="52" xr3:uid="{EEAF03C2-18AD-41EE-92BC-16E82CC84984}" name="Freeform column 5" dataDxfId="865" totalsRowDxfId="864"/>
  </tableColumns>
  <tableStyleInfo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12000000}" name="TBL5_OptBen" displayName="TBL5_OptBen" ref="B5:CO404" totalsRowShown="0" headerRowDxfId="815" dataDxfId="813" headerRowBorderDxfId="814" tableBorderDxfId="812">
  <autoFilter ref="B5:CO404" xr:uid="{00000000-000C-0000-FFFF-FFFF12000000}"/>
  <tableColumns count="92">
    <tableColumn id="1" xr3:uid="{00000000-0010-0000-1200-000001000000}" name="WRMP24 Reference" dataDxfId="811" totalsRowDxfId="810">
      <calculatedColumnFormula>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calculatedColumnFormula>
    </tableColumn>
    <tableColumn id="2" xr3:uid="{00000000-0010-0000-1200-000002000000}" name="Option name" dataDxfId="809" totalsRowDxfId="808"/>
    <tableColumn id="3" xr3:uid="{00000000-0010-0000-1200-000003000000}" name="Option ID" dataDxfId="807" totalsRowDxfId="806"/>
    <tableColumn id="4" xr3:uid="{00000000-0010-0000-1200-000004000000}" name="Option Type (defined list)" dataDxfId="805" totalsRowDxfId="804"/>
    <tableColumn id="5" xr3:uid="{00000000-0010-0000-1200-000005000000}" name="Option Group" dataDxfId="803" totalsRowDxfId="802">
      <calculatedColumnFormula>VLOOKUP(TBL5_OptBen[[#This Row],[Option Type (defined list)]],'Option Typs_Grps'!B$2:C$47, 2, FALSE)</calculatedColumnFormula>
    </tableColumn>
    <tableColumn id="6" xr3:uid="{00000000-0010-0000-1200-000006000000}" name="Sub-option (Y/N)" dataDxfId="801" totalsRowDxfId="800"/>
    <tableColumn id="7" xr3:uid="{00000000-0010-0000-1200-000007000000}" name="Preferred (most likely), Least Cost, Ofwat Core or Alternative Programme" dataDxfId="799" totalsRowDxfId="798"/>
    <tableColumn id="8" xr3:uid="{00000000-0010-0000-1200-000008000000}" name="WRZ (defined list)" dataDxfId="797" totalsRowDxfId="796"/>
    <tableColumn id="91" xr3:uid="{00000000-0010-0000-1200-00005B000000}" name="Unit" dataDxfId="795" totalsRowDxfId="794"/>
    <tableColumn id="90" xr3:uid="{00000000-0010-0000-1200-00005A000000}" name="Decimal places" dataDxfId="793" totalsRowDxfId="792"/>
    <tableColumn id="89" xr3:uid="{00000000-0010-0000-1200-000059000000}" name="2019-20" dataDxfId="791" totalsRowDxfId="790"/>
    <tableColumn id="87" xr3:uid="{00000000-0010-0000-1200-000057000000}" name="2020-21" dataDxfId="789" totalsRowDxfId="788"/>
    <tableColumn id="88" xr3:uid="{00000000-0010-0000-1200-000058000000}" name="2021-22" dataDxfId="787" totalsRowDxfId="786"/>
    <tableColumn id="9" xr3:uid="{00000000-0010-0000-1200-000009000000}" name="2022-23" dataDxfId="785" totalsRowDxfId="784"/>
    <tableColumn id="10" xr3:uid="{00000000-0010-0000-1200-00000A000000}" name="2023-24" dataDxfId="783" totalsRowDxfId="782"/>
    <tableColumn id="11" xr3:uid="{00000000-0010-0000-1200-00000B000000}" name="2024-25" dataDxfId="781" totalsRowDxfId="780"/>
    <tableColumn id="12" xr3:uid="{00000000-0010-0000-1200-00000C000000}" name="2025-26" dataDxfId="779" totalsRowDxfId="778"/>
    <tableColumn id="13" xr3:uid="{00000000-0010-0000-1200-00000D000000}" name="2026-27" dataDxfId="777" totalsRowDxfId="776"/>
    <tableColumn id="14" xr3:uid="{00000000-0010-0000-1200-00000E000000}" name="2027-28" dataDxfId="775" totalsRowDxfId="774"/>
    <tableColumn id="15" xr3:uid="{00000000-0010-0000-1200-00000F000000}" name="2028-29" dataDxfId="773" totalsRowDxfId="772"/>
    <tableColumn id="16" xr3:uid="{00000000-0010-0000-1200-000010000000}" name="2029-30" dataDxfId="771" totalsRowDxfId="770"/>
    <tableColumn id="17" xr3:uid="{00000000-0010-0000-1200-000011000000}" name="2030-31" dataDxfId="769" totalsRowDxfId="768"/>
    <tableColumn id="18" xr3:uid="{00000000-0010-0000-1200-000012000000}" name="2031-32" dataDxfId="767" totalsRowDxfId="766"/>
    <tableColumn id="19" xr3:uid="{00000000-0010-0000-1200-000013000000}" name="2032-33" dataDxfId="765" totalsRowDxfId="764"/>
    <tableColumn id="20" xr3:uid="{00000000-0010-0000-1200-000014000000}" name="2033-34" dataDxfId="763" totalsRowDxfId="762"/>
    <tableColumn id="21" xr3:uid="{00000000-0010-0000-1200-000015000000}" name="2034-35" dataDxfId="761" totalsRowDxfId="760"/>
    <tableColumn id="22" xr3:uid="{00000000-0010-0000-1200-000016000000}" name="2035-36" dataDxfId="759" totalsRowDxfId="758"/>
    <tableColumn id="23" xr3:uid="{00000000-0010-0000-1200-000017000000}" name="2036-37" dataDxfId="757" totalsRowDxfId="756"/>
    <tableColumn id="24" xr3:uid="{00000000-0010-0000-1200-000018000000}" name="2037-38" dataDxfId="755" totalsRowDxfId="754"/>
    <tableColumn id="25" xr3:uid="{00000000-0010-0000-1200-000019000000}" name="2038-39" dataDxfId="753" totalsRowDxfId="752"/>
    <tableColumn id="26" xr3:uid="{00000000-0010-0000-1200-00001A000000}" name="2039-40" dataDxfId="751" totalsRowDxfId="750"/>
    <tableColumn id="27" xr3:uid="{00000000-0010-0000-1200-00001B000000}" name="2040-41" dataDxfId="749" totalsRowDxfId="748"/>
    <tableColumn id="28" xr3:uid="{00000000-0010-0000-1200-00001C000000}" name="2041-42" dataDxfId="747" totalsRowDxfId="746"/>
    <tableColumn id="29" xr3:uid="{00000000-0010-0000-1200-00001D000000}" name="2042-43" dataDxfId="745" totalsRowDxfId="744"/>
    <tableColumn id="30" xr3:uid="{00000000-0010-0000-1200-00001E000000}" name="2043-44" dataDxfId="743" totalsRowDxfId="742"/>
    <tableColumn id="31" xr3:uid="{00000000-0010-0000-1200-00001F000000}" name="2044-45" dataDxfId="741" totalsRowDxfId="740"/>
    <tableColumn id="32" xr3:uid="{00000000-0010-0000-1200-000020000000}" name="2045-46" dataDxfId="739" totalsRowDxfId="738"/>
    <tableColumn id="33" xr3:uid="{00000000-0010-0000-1200-000021000000}" name="2046-47" dataDxfId="737" totalsRowDxfId="736"/>
    <tableColumn id="34" xr3:uid="{00000000-0010-0000-1200-000022000000}" name="2047-48" dataDxfId="735" totalsRowDxfId="734"/>
    <tableColumn id="35" xr3:uid="{00000000-0010-0000-1200-000023000000}" name="2048-49" dataDxfId="733" totalsRowDxfId="732"/>
    <tableColumn id="36" xr3:uid="{00000000-0010-0000-1200-000024000000}" name="2049-50" dataDxfId="731" totalsRowDxfId="730"/>
    <tableColumn id="37" xr3:uid="{00000000-0010-0000-1200-000025000000}" name="2050-51" dataDxfId="729" totalsRowDxfId="728"/>
    <tableColumn id="38" xr3:uid="{00000000-0010-0000-1200-000026000000}" name="2051-52" dataDxfId="727" totalsRowDxfId="726"/>
    <tableColumn id="39" xr3:uid="{00000000-0010-0000-1200-000027000000}" name="2052-53" dataDxfId="725" totalsRowDxfId="724"/>
    <tableColumn id="40" xr3:uid="{00000000-0010-0000-1200-000028000000}" name="2053-54" dataDxfId="723" totalsRowDxfId="722"/>
    <tableColumn id="41" xr3:uid="{00000000-0010-0000-1200-000029000000}" name="2054-55" dataDxfId="721" totalsRowDxfId="720"/>
    <tableColumn id="42" xr3:uid="{00000000-0010-0000-1200-00002A000000}" name="2055-56" dataDxfId="719" totalsRowDxfId="718"/>
    <tableColumn id="43" xr3:uid="{00000000-0010-0000-1200-00002B000000}" name="2056-57" dataDxfId="717" totalsRowDxfId="716"/>
    <tableColumn id="44" xr3:uid="{00000000-0010-0000-1200-00002C000000}" name="2057-58" dataDxfId="715" totalsRowDxfId="714"/>
    <tableColumn id="45" xr3:uid="{00000000-0010-0000-1200-00002D000000}" name="2058-59" dataDxfId="713" totalsRowDxfId="712"/>
    <tableColumn id="46" xr3:uid="{00000000-0010-0000-1200-00002E000000}" name="2059-60" dataDxfId="711" totalsRowDxfId="710"/>
    <tableColumn id="47" xr3:uid="{00000000-0010-0000-1200-00002F000000}" name="2060-61" dataDxfId="709" totalsRowDxfId="708"/>
    <tableColumn id="48" xr3:uid="{00000000-0010-0000-1200-000030000000}" name="2061-62" dataDxfId="707" totalsRowDxfId="706"/>
    <tableColumn id="49" xr3:uid="{00000000-0010-0000-1200-000031000000}" name="2062-63" dataDxfId="705" totalsRowDxfId="704"/>
    <tableColumn id="50" xr3:uid="{00000000-0010-0000-1200-000032000000}" name="2063-64" dataDxfId="703" totalsRowDxfId="702"/>
    <tableColumn id="51" xr3:uid="{00000000-0010-0000-1200-000033000000}" name="2064-65" dataDxfId="701" totalsRowDxfId="700"/>
    <tableColumn id="52" xr3:uid="{00000000-0010-0000-1200-000034000000}" name="2065-66" dataDxfId="699" totalsRowDxfId="698"/>
    <tableColumn id="53" xr3:uid="{00000000-0010-0000-1200-000035000000}" name="2066-67" dataDxfId="697" totalsRowDxfId="696"/>
    <tableColumn id="54" xr3:uid="{00000000-0010-0000-1200-000036000000}" name="2067-68" dataDxfId="695" totalsRowDxfId="694"/>
    <tableColumn id="55" xr3:uid="{00000000-0010-0000-1200-000037000000}" name="2068-69" dataDxfId="693" totalsRowDxfId="692"/>
    <tableColumn id="56" xr3:uid="{00000000-0010-0000-1200-000038000000}" name="2069-70" dataDxfId="691" totalsRowDxfId="690"/>
    <tableColumn id="57" xr3:uid="{00000000-0010-0000-1200-000039000000}" name="2070-71" dataDxfId="689" totalsRowDxfId="688"/>
    <tableColumn id="58" xr3:uid="{00000000-0010-0000-1200-00003A000000}" name="2071-72" dataDxfId="687" totalsRowDxfId="686"/>
    <tableColumn id="59" xr3:uid="{00000000-0010-0000-1200-00003B000000}" name="2072-73" dataDxfId="685" totalsRowDxfId="684"/>
    <tableColumn id="60" xr3:uid="{00000000-0010-0000-1200-00003C000000}" name="2073-74" dataDxfId="683" totalsRowDxfId="682"/>
    <tableColumn id="61" xr3:uid="{00000000-0010-0000-1200-00003D000000}" name="2074-75" dataDxfId="681" totalsRowDxfId="680"/>
    <tableColumn id="62" xr3:uid="{00000000-0010-0000-1200-00003E000000}" name="2075-76" dataDxfId="679" totalsRowDxfId="678"/>
    <tableColumn id="63" xr3:uid="{00000000-0010-0000-1200-00003F000000}" name="2076-77" dataDxfId="677" totalsRowDxfId="676"/>
    <tableColumn id="64" xr3:uid="{00000000-0010-0000-1200-000040000000}" name="2077-78" dataDxfId="675" totalsRowDxfId="674"/>
    <tableColumn id="65" xr3:uid="{00000000-0010-0000-1200-000041000000}" name="2078-79" dataDxfId="673" totalsRowDxfId="672"/>
    <tableColumn id="66" xr3:uid="{00000000-0010-0000-1200-000042000000}" name="2079-80" dataDxfId="671" totalsRowDxfId="670"/>
    <tableColumn id="67" xr3:uid="{00000000-0010-0000-1200-000043000000}" name="2080-81" dataDxfId="669" totalsRowDxfId="668"/>
    <tableColumn id="68" xr3:uid="{00000000-0010-0000-1200-000044000000}" name="2081-82" dataDxfId="667" totalsRowDxfId="666"/>
    <tableColumn id="69" xr3:uid="{00000000-0010-0000-1200-000045000000}" name="2082-83" dataDxfId="665" totalsRowDxfId="664"/>
    <tableColumn id="70" xr3:uid="{00000000-0010-0000-1200-000046000000}" name="2083-84" dataDxfId="663" totalsRowDxfId="662"/>
    <tableColumn id="71" xr3:uid="{00000000-0010-0000-1200-000047000000}" name="2084-85" dataDxfId="661" totalsRowDxfId="660"/>
    <tableColumn id="72" xr3:uid="{00000000-0010-0000-1200-000048000000}" name="2085-86" dataDxfId="659" totalsRowDxfId="658"/>
    <tableColumn id="73" xr3:uid="{00000000-0010-0000-1200-000049000000}" name="2086-87" dataDxfId="657" totalsRowDxfId="656"/>
    <tableColumn id="74" xr3:uid="{00000000-0010-0000-1200-00004A000000}" name="2087-88" dataDxfId="655" totalsRowDxfId="654"/>
    <tableColumn id="75" xr3:uid="{00000000-0010-0000-1200-00004B000000}" name="2088-89" dataDxfId="653" totalsRowDxfId="652"/>
    <tableColumn id="76" xr3:uid="{00000000-0010-0000-1200-00004C000000}" name="2089-90" dataDxfId="651" totalsRowDxfId="650"/>
    <tableColumn id="77" xr3:uid="{00000000-0010-0000-1200-00004D000000}" name="2090-91" dataDxfId="649" totalsRowDxfId="648"/>
    <tableColumn id="78" xr3:uid="{00000000-0010-0000-1200-00004E000000}" name="2091-92" dataDxfId="647" totalsRowDxfId="646"/>
    <tableColumn id="79" xr3:uid="{00000000-0010-0000-1200-00004F000000}" name="2092-93" dataDxfId="645" totalsRowDxfId="644"/>
    <tableColumn id="80" xr3:uid="{00000000-0010-0000-1200-000050000000}" name="2093-94" dataDxfId="643" totalsRowDxfId="642"/>
    <tableColumn id="81" xr3:uid="{00000000-0010-0000-1200-000051000000}" name="2094-95" dataDxfId="641" totalsRowDxfId="640"/>
    <tableColumn id="82" xr3:uid="{00000000-0010-0000-1200-000052000000}" name="2095-96" dataDxfId="639" totalsRowDxfId="638"/>
    <tableColumn id="83" xr3:uid="{00000000-0010-0000-1200-000053000000}" name="2096-97" dataDxfId="637" totalsRowDxfId="636"/>
    <tableColumn id="84" xr3:uid="{00000000-0010-0000-1200-000054000000}" name="2097-98" dataDxfId="635" totalsRowDxfId="634"/>
    <tableColumn id="85" xr3:uid="{00000000-0010-0000-1200-000055000000}" name="2098-99" dataDxfId="633" totalsRowDxfId="632"/>
    <tableColumn id="86" xr3:uid="{00000000-0010-0000-1200-000056000000}" name="2099-100" dataDxfId="631" totalsRowDxfId="630"/>
    <tableColumn id="92" xr3:uid="{E3F1EF46-2ADC-4AED-BE01-7635C90B1055}" name="2099-101" dataDxfId="629" totalsRowDxfId="628"/>
  </tableColumns>
  <tableStyleInfo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00000000-000C-0000-FFFF-FFFF13000000}" name="TBL8a_Base_Totex" displayName="TBL8a_Base_Totex" ref="B6:AA10" totalsRowCount="1" headerRowDxfId="627" dataDxfId="625" headerRowBorderDxfId="626" tableBorderDxfId="624" headerRowCellStyle="Normal 2 2 2">
  <autoFilter ref="B6:AA9" xr:uid="{00000000-0009-0000-0100-000018000000}"/>
  <tableColumns count="26">
    <tableColumn id="1" xr3:uid="{00000000-0010-0000-1300-000001000000}" name="Reference" dataDxfId="623" totalsRowDxfId="622"/>
    <tableColumn id="2" xr3:uid="{00000000-0010-0000-1300-000002000000}" name="Expenditure element" dataDxfId="621" totalsRowDxfId="620" dataCellStyle="Normal 2 2 2"/>
    <tableColumn id="3" xr3:uid="{00000000-0010-0000-1300-000003000000}" name="Expenditure type" dataDxfId="619" totalsRowDxfId="618" dataCellStyle="Normal 2 2 2"/>
    <tableColumn id="4" xr3:uid="{00000000-0010-0000-1300-000004000000}" name="Unit" dataDxfId="617" totalsRowDxfId="616" dataCellStyle="Normal 2 2 2"/>
    <tableColumn id="5" xr3:uid="{00000000-0010-0000-1300-000005000000}" name="Decimal places" dataDxfId="615" totalsRowDxfId="614" dataCellStyle="Normal 2 2 2"/>
    <tableColumn id="6" xr3:uid="{00000000-0010-0000-1300-000006000000}" name="2019-20" dataDxfId="613" totalsRowDxfId="612"/>
    <tableColumn id="7" xr3:uid="{00000000-0010-0000-1300-000007000000}" name="2020-21" dataDxfId="611" totalsRowDxfId="610"/>
    <tableColumn id="8" xr3:uid="{00000000-0010-0000-1300-000008000000}" name="2021-22" dataDxfId="609" totalsRowDxfId="608"/>
    <tableColumn id="9" xr3:uid="{00000000-0010-0000-1300-000009000000}" name="2022-23" dataDxfId="607" totalsRowDxfId="606"/>
    <tableColumn id="10" xr3:uid="{00000000-0010-0000-1300-00000A000000}" name="2023-24" dataDxfId="605" totalsRowDxfId="604"/>
    <tableColumn id="11" xr3:uid="{00000000-0010-0000-1300-00000B000000}" name="2024-25" dataDxfId="603" totalsRowDxfId="602"/>
    <tableColumn id="12" xr3:uid="{00000000-0010-0000-1300-00000C000000}" name="2025-26" dataDxfId="601" totalsRowDxfId="600"/>
    <tableColumn id="13" xr3:uid="{00000000-0010-0000-1300-00000D000000}" name="2026-27" dataDxfId="599" totalsRowDxfId="598"/>
    <tableColumn id="14" xr3:uid="{00000000-0010-0000-1300-00000E000000}" name="2027-28" dataDxfId="597" totalsRowDxfId="596"/>
    <tableColumn id="15" xr3:uid="{00000000-0010-0000-1300-00000F000000}" name="2028-29" dataDxfId="595" totalsRowDxfId="594"/>
    <tableColumn id="16" xr3:uid="{00000000-0010-0000-1300-000010000000}" name="2029-30" dataDxfId="593" totalsRowDxfId="592"/>
    <tableColumn id="17" xr3:uid="{00000000-0010-0000-1300-000011000000}" name="2030-31 _x000a_to _x000a_2034-35" dataDxfId="591" totalsRowDxfId="590"/>
    <tableColumn id="18" xr3:uid="{00000000-0010-0000-1300-000012000000}" name="2035-36 _x000a_to _x000a_2039-40" dataDxfId="589" totalsRowDxfId="588"/>
    <tableColumn id="19" xr3:uid="{00000000-0010-0000-1300-000013000000}" name="2040-41 _x000a_to _x000a_2044-45" dataDxfId="587" totalsRowDxfId="586"/>
    <tableColumn id="20" xr3:uid="{00000000-0010-0000-1300-000014000000}" name="2045-46 _x000a_to _x000a_2049-50" dataDxfId="585" totalsRowDxfId="584"/>
    <tableColumn id="21" xr3:uid="{00000000-0010-0000-1300-000015000000}" name="2050-51 _x000a_to _x000a_2054-55" dataDxfId="583" totalsRowDxfId="582"/>
    <tableColumn id="22" xr3:uid="{00000000-0010-0000-1300-000016000000}" name="2055-56 _x000a_to _x000a_2059-60" dataDxfId="581" totalsRowDxfId="580"/>
    <tableColumn id="23" xr3:uid="{00000000-0010-0000-1300-000017000000}" name="2060-61 _x000a_to _x000a_2064-65" dataDxfId="579" totalsRowDxfId="578"/>
    <tableColumn id="24" xr3:uid="{00000000-0010-0000-1300-000018000000}" name="2065-66 _x000a_to _x000a_2069-70" dataDxfId="577" totalsRowDxfId="576"/>
    <tableColumn id="25" xr3:uid="{00000000-0010-0000-1300-000019000000}" name="2070-71 _x000a_to _x000a_2074-75" dataDxfId="575" totalsRowDxfId="574"/>
    <tableColumn id="26" xr3:uid="{00000000-0010-0000-1300-00001A000000}" name="2075-76 _x000a_to _x000a_2079-80" dataDxfId="573" totalsRowDxfId="572"/>
  </tableColumns>
  <tableStyleInfo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14000000}" name="TBL8b_SDB_Expenditure" displayName="TBL8b_SDB_Expenditure" ref="B12:AA29" totalsRowCount="1" headerRowDxfId="571" dataDxfId="569" headerRowBorderDxfId="570" tableBorderDxfId="568" headerRowCellStyle="Normal 2 2 2" dataCellStyle="Normal 7">
  <autoFilter ref="B12:AA28" xr:uid="{00000000-0009-0000-0100-000019000000}"/>
  <tableColumns count="26">
    <tableColumn id="1" xr3:uid="{00000000-0010-0000-1400-000001000000}" name="Reference" dataDxfId="567" totalsRowDxfId="566" dataCellStyle="Normal 2 2 2"/>
    <tableColumn id="2" xr3:uid="{00000000-0010-0000-1400-000002000000}" name="Expenditure element" dataDxfId="565" totalsRowDxfId="564" dataCellStyle="Normal 2 2 2"/>
    <tableColumn id="3" xr3:uid="{00000000-0010-0000-1400-000003000000}" name="Expenditure type" dataDxfId="563" totalsRowDxfId="562" dataCellStyle="Normal 2 2 2"/>
    <tableColumn id="4" xr3:uid="{00000000-0010-0000-1400-000004000000}" name="Unit" dataDxfId="561" totalsRowDxfId="560" dataCellStyle="Normal 2 2 2"/>
    <tableColumn id="5" xr3:uid="{00000000-0010-0000-1400-000005000000}" name="Decimal places" dataDxfId="559" totalsRowDxfId="558" dataCellStyle="Normal 2 2 2"/>
    <tableColumn id="6" xr3:uid="{00000000-0010-0000-1400-000006000000}" name="2019-20" dataDxfId="557" totalsRowDxfId="556" dataCellStyle="Normal 7"/>
    <tableColumn id="7" xr3:uid="{00000000-0010-0000-1400-000007000000}" name="2020-21" dataDxfId="555" totalsRowDxfId="554" dataCellStyle="Normal 7"/>
    <tableColumn id="8" xr3:uid="{00000000-0010-0000-1400-000008000000}" name="2021-22" dataDxfId="553" totalsRowDxfId="552" dataCellStyle="Normal 7"/>
    <tableColumn id="9" xr3:uid="{00000000-0010-0000-1400-000009000000}" name="2022-23" dataDxfId="551" totalsRowDxfId="550" dataCellStyle="Normal 7"/>
    <tableColumn id="10" xr3:uid="{00000000-0010-0000-1400-00000A000000}" name="2023-24" dataDxfId="549" totalsRowDxfId="548" dataCellStyle="Normal 7"/>
    <tableColumn id="11" xr3:uid="{00000000-0010-0000-1400-00000B000000}" name="2024-25" dataDxfId="547" totalsRowDxfId="546" dataCellStyle="Normal 7"/>
    <tableColumn id="12" xr3:uid="{00000000-0010-0000-1400-00000C000000}" name="2025-26" dataDxfId="545" totalsRowDxfId="544" dataCellStyle="Normal 7"/>
    <tableColumn id="13" xr3:uid="{00000000-0010-0000-1400-00000D000000}" name="2026-27" dataDxfId="543" totalsRowDxfId="542" dataCellStyle="Normal 7"/>
    <tableColumn id="14" xr3:uid="{00000000-0010-0000-1400-00000E000000}" name="2027-28" dataDxfId="541" totalsRowDxfId="540" dataCellStyle="Normal 7"/>
    <tableColumn id="15" xr3:uid="{00000000-0010-0000-1400-00000F000000}" name="2028-29" dataDxfId="539" totalsRowDxfId="538" dataCellStyle="Normal 7"/>
    <tableColumn id="16" xr3:uid="{00000000-0010-0000-1400-000010000000}" name="2029-30" dataDxfId="537" totalsRowDxfId="536" dataCellStyle="Normal 7"/>
    <tableColumn id="17" xr3:uid="{00000000-0010-0000-1400-000011000000}" name="2030-31 _x000a_to _x000a_2034-35" dataDxfId="535" totalsRowDxfId="534" dataCellStyle="Normal 7"/>
    <tableColumn id="18" xr3:uid="{00000000-0010-0000-1400-000012000000}" name="2035-36 _x000a_to _x000a_2039-40" dataDxfId="533" totalsRowDxfId="532" dataCellStyle="Normal 7"/>
    <tableColumn id="19" xr3:uid="{00000000-0010-0000-1400-000013000000}" name="2040-41 _x000a_to _x000a_2044-45" dataDxfId="531" totalsRowDxfId="530" dataCellStyle="Normal 7"/>
    <tableColumn id="20" xr3:uid="{00000000-0010-0000-1400-000014000000}" name="2045-46 _x000a_to _x000a_2049-50" dataDxfId="529" totalsRowDxfId="528" dataCellStyle="Normal 7"/>
    <tableColumn id="21" xr3:uid="{00000000-0010-0000-1400-000015000000}" name="2050-51 _x000a_to _x000a_2054-55" dataDxfId="527" totalsRowDxfId="526" dataCellStyle="Normal 7"/>
    <tableColumn id="22" xr3:uid="{00000000-0010-0000-1400-000016000000}" name="2055-56 _x000a_to _x000a_2059-60" dataDxfId="525" totalsRowDxfId="524" dataCellStyle="Normal 7"/>
    <tableColumn id="23" xr3:uid="{00000000-0010-0000-1400-000017000000}" name="2060-61 _x000a_to _x000a_2064-65" dataDxfId="523" totalsRowDxfId="522" dataCellStyle="Normal 7"/>
    <tableColumn id="24" xr3:uid="{00000000-0010-0000-1400-000018000000}" name="2065-66 _x000a_to _x000a_2069-70" dataDxfId="521" totalsRowDxfId="520" dataCellStyle="Normal 7"/>
    <tableColumn id="25" xr3:uid="{00000000-0010-0000-1400-000019000000}" name="2070-71 _x000a_to _x000a_2074-75" dataDxfId="519" totalsRowDxfId="518" dataCellStyle="Normal 7"/>
    <tableColumn id="26" xr3:uid="{00000000-0010-0000-1400-00001A000000}" name="2075-76 _x000a_to _x000a_2079-80" dataDxfId="517" totalsRowDxfId="516" dataCellStyle="Normal 7"/>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3000000}" name="TBL1d_DrouLic" displayName="TBL1d_DrouLic" ref="B58:L61" totalsRowShown="0" headerRowDxfId="4672" headerRowBorderDxfId="4671" tableBorderDxfId="4670" totalsRowBorderDxfId="4669" headerRowCellStyle="Normal 2">
  <autoFilter ref="B58:L61" xr:uid="{00000000-0009-0000-0100-000004000000}"/>
  <tableColumns count="11">
    <tableColumn id="2" xr3:uid="{00000000-0010-0000-0300-000002000000}" name="WRMP24 Reference" dataDxfId="4668"/>
    <tableColumn id="3" xr3:uid="{00000000-0010-0000-0300-000003000000}" name="Derivation" dataDxfId="4667"/>
    <tableColumn id="4" xr3:uid="{00000000-0010-0000-0300-000004000000}" name="Licence number" dataDxfId="4666"/>
    <tableColumn id="5" xr3:uid="{00000000-0010-0000-0300-000005000000}" name="Source name" dataDxfId="4665"/>
    <tableColumn id="6" xr3:uid="{00000000-0010-0000-0300-000006000000}" name="Source type" dataDxfId="4664"/>
    <tableColumn id="7" xr3:uid="{00000000-0010-0000-0300-000007000000}" name="WRZ Code" dataDxfId="4663"/>
    <tableColumn id="8" xr3:uid="{00000000-0010-0000-0300-000008000000}" name="DYAA deployable output (Ml/d)" dataDxfId="4662"/>
    <tableColumn id="1" xr3:uid="{00000000-0010-0000-0300-000001000000}" name="DYCP deployable output (Ml/d)" dataDxfId="4661">
      <calculatedColumnFormula>SUM(I60:I61)</calculatedColumnFormula>
    </tableColumn>
    <tableColumn id="9" xr3:uid="{00000000-0010-0000-0300-000009000000}" name="Annual licensed quantity (Ml/d)" dataDxfId="4660"/>
    <tableColumn id="10" xr3:uid="{00000000-0010-0000-0300-00000A000000}" name="Reason licence is unused" dataDxfId="4659"/>
    <tableColumn id="11" xr3:uid="{00000000-0010-0000-0300-00000B000000}" name="Additional notes (if desired)" dataDxfId="4658"/>
  </tableColumns>
  <tableStyleInfo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00000000-000C-0000-FFFF-FFFF15000000}" name="TBL8c_Metering_Expenditure" displayName="TBL8c_Metering_Expenditure" ref="B31:AA72" totalsRowCount="1" headerRowDxfId="515" dataDxfId="513" headerRowBorderDxfId="514" tableBorderDxfId="512" headerRowCellStyle="Normal 2 2 2" dataCellStyle="Normal 7">
  <autoFilter ref="B31:AA71" xr:uid="{00000000-0009-0000-0100-00001A000000}"/>
  <tableColumns count="26">
    <tableColumn id="1" xr3:uid="{00000000-0010-0000-1500-000001000000}" name="Reference" dataDxfId="511" totalsRowDxfId="510" dataCellStyle="Normal 2 2 2"/>
    <tableColumn id="2" xr3:uid="{00000000-0010-0000-1500-000002000000}" name="Expenditure element" dataDxfId="509" totalsRowDxfId="508" dataCellStyle="Normal 2 2 2"/>
    <tableColumn id="3" xr3:uid="{00000000-0010-0000-1500-000003000000}" name="Expenditure type" dataDxfId="507" totalsRowDxfId="506" dataCellStyle="Normal 2 2 2"/>
    <tableColumn id="4" xr3:uid="{00000000-0010-0000-1500-000004000000}" name="Unit" dataDxfId="505" totalsRowDxfId="504" dataCellStyle="Normal 2 2 2"/>
    <tableColumn id="5" xr3:uid="{00000000-0010-0000-1500-000005000000}" name="Decimal places" dataDxfId="503" totalsRowDxfId="502" dataCellStyle="Normal 2 2 2"/>
    <tableColumn id="6" xr3:uid="{00000000-0010-0000-1500-000006000000}" name="2019-20" dataDxfId="501" totalsRowDxfId="500" dataCellStyle="Normal 7"/>
    <tableColumn id="7" xr3:uid="{00000000-0010-0000-1500-000007000000}" name="2020-21" dataDxfId="499" totalsRowDxfId="498" dataCellStyle="Normal 7"/>
    <tableColumn id="8" xr3:uid="{00000000-0010-0000-1500-000008000000}" name="2021-22" dataDxfId="497" totalsRowDxfId="496" dataCellStyle="Normal 7"/>
    <tableColumn id="9" xr3:uid="{00000000-0010-0000-1500-000009000000}" name="2022-23" dataDxfId="495" totalsRowDxfId="494" dataCellStyle="Normal 7"/>
    <tableColumn id="10" xr3:uid="{00000000-0010-0000-1500-00000A000000}" name="2023-24" dataDxfId="493" totalsRowDxfId="492" dataCellStyle="Normal 7"/>
    <tableColumn id="11" xr3:uid="{00000000-0010-0000-1500-00000B000000}" name="2024-25" dataDxfId="491" totalsRowDxfId="490" dataCellStyle="Normal 7"/>
    <tableColumn id="12" xr3:uid="{00000000-0010-0000-1500-00000C000000}" name="2025-26" dataDxfId="489" totalsRowDxfId="488" dataCellStyle="Normal 7"/>
    <tableColumn id="13" xr3:uid="{00000000-0010-0000-1500-00000D000000}" name="2026-27" dataDxfId="487" totalsRowDxfId="486" dataCellStyle="Normal 7"/>
    <tableColumn id="14" xr3:uid="{00000000-0010-0000-1500-00000E000000}" name="2027-28" dataDxfId="485" totalsRowDxfId="484" dataCellStyle="Normal 7"/>
    <tableColumn id="15" xr3:uid="{00000000-0010-0000-1500-00000F000000}" name="2028-29" dataDxfId="483" totalsRowDxfId="482" dataCellStyle="Normal 7"/>
    <tableColumn id="16" xr3:uid="{00000000-0010-0000-1500-000010000000}" name="2029-30" dataDxfId="481" totalsRowDxfId="480" dataCellStyle="Normal 7"/>
    <tableColumn id="17" xr3:uid="{00000000-0010-0000-1500-000011000000}" name="2030-31 _x000a_to _x000a_2034-35" dataDxfId="479" totalsRowDxfId="478" dataCellStyle="Normal 7"/>
    <tableColumn id="18" xr3:uid="{00000000-0010-0000-1500-000012000000}" name="2035-36 _x000a_to _x000a_2039-40" dataDxfId="477" totalsRowDxfId="476" dataCellStyle="Normal 7"/>
    <tableColumn id="19" xr3:uid="{00000000-0010-0000-1500-000013000000}" name="2040-41 _x000a_to _x000a_2044-45" dataDxfId="475" totalsRowDxfId="474" dataCellStyle="Normal 7"/>
    <tableColumn id="20" xr3:uid="{00000000-0010-0000-1500-000014000000}" name="2045-46 _x000a_to _x000a_2049-50" dataDxfId="473" totalsRowDxfId="472" dataCellStyle="Normal 7"/>
    <tableColumn id="21" xr3:uid="{00000000-0010-0000-1500-000015000000}" name="2050-51 _x000a_to _x000a_2054-55" dataDxfId="471" totalsRowDxfId="470" dataCellStyle="Normal 7"/>
    <tableColumn id="22" xr3:uid="{00000000-0010-0000-1500-000016000000}" name="2055-56 _x000a_to _x000a_2059-60" dataDxfId="469" totalsRowDxfId="468" dataCellStyle="Normal 7"/>
    <tableColumn id="23" xr3:uid="{00000000-0010-0000-1500-000017000000}" name="2060-61 _x000a_to _x000a_2064-65" dataDxfId="467" totalsRowDxfId="466" dataCellStyle="Normal 7"/>
    <tableColumn id="24" xr3:uid="{00000000-0010-0000-1500-000018000000}" name="2065-66 _x000a_to _x000a_2069-70" dataDxfId="465" totalsRowDxfId="464" dataCellStyle="Normal 7"/>
    <tableColumn id="25" xr3:uid="{00000000-0010-0000-1500-000019000000}" name="2070-71 _x000a_to _x000a_2074-75" dataDxfId="463" totalsRowDxfId="462" dataCellStyle="Normal 7"/>
    <tableColumn id="26" xr3:uid="{00000000-0010-0000-1500-00001A000000}" name="2075-76 _x000a_to _x000a_2079-80" dataDxfId="461" totalsRowDxfId="460" dataCellStyle="Normal 7"/>
  </tableColumns>
  <tableStyleInfo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00000000-000C-0000-FFFF-FFFF16000000}" name="TBL8d_Total_Enhancement" displayName="TBL8d_Total_Enhancement" ref="B74:AA77" totalsRowShown="0" headerRowDxfId="459" dataDxfId="457" headerRowBorderDxfId="458" tableBorderDxfId="456" headerRowCellStyle="Normal 2 2 2" dataCellStyle="Normal 7">
  <autoFilter ref="B74:AA77" xr:uid="{00000000-0009-0000-0100-00001B000000}"/>
  <tableColumns count="26">
    <tableColumn id="1" xr3:uid="{00000000-0010-0000-1600-000001000000}" name="Reference" dataDxfId="455" dataCellStyle="Normal 2 2 2"/>
    <tableColumn id="2" xr3:uid="{00000000-0010-0000-1600-000002000000}" name="Expenditure element" dataDxfId="454" dataCellStyle="Normal 2 2 2"/>
    <tableColumn id="3" xr3:uid="{00000000-0010-0000-1600-000003000000}" name="Expenditure type" dataDxfId="453" dataCellStyle="Normal 2 2 2"/>
    <tableColumn id="4" xr3:uid="{00000000-0010-0000-1600-000004000000}" name="Unit" dataDxfId="452" dataCellStyle="Normal 2 2 2"/>
    <tableColumn id="5" xr3:uid="{00000000-0010-0000-1600-000005000000}" name="Decimal places" dataDxfId="451" dataCellStyle="Normal 2 2 2"/>
    <tableColumn id="6" xr3:uid="{00000000-0010-0000-1600-000006000000}" name="2019-20" dataDxfId="450" dataCellStyle="Normal 7"/>
    <tableColumn id="7" xr3:uid="{00000000-0010-0000-1600-000007000000}" name="2020-21" dataDxfId="449" dataCellStyle="Normal 7"/>
    <tableColumn id="8" xr3:uid="{00000000-0010-0000-1600-000008000000}" name="2021-22" dataDxfId="448" dataCellStyle="Normal 7"/>
    <tableColumn id="9" xr3:uid="{00000000-0010-0000-1600-000009000000}" name="2022-23" dataDxfId="447" dataCellStyle="Normal 7"/>
    <tableColumn id="10" xr3:uid="{00000000-0010-0000-1600-00000A000000}" name="2023-24" dataDxfId="446" dataCellStyle="Normal 7"/>
    <tableColumn id="11" xr3:uid="{00000000-0010-0000-1600-00000B000000}" name="2024-25" dataDxfId="445" dataCellStyle="Normal 7"/>
    <tableColumn id="12" xr3:uid="{00000000-0010-0000-1600-00000C000000}" name="2025-26" dataDxfId="444" dataCellStyle="Normal 7"/>
    <tableColumn id="13" xr3:uid="{00000000-0010-0000-1600-00000D000000}" name="2026-27" dataDxfId="443" dataCellStyle="Normal 7"/>
    <tableColumn id="14" xr3:uid="{00000000-0010-0000-1600-00000E000000}" name="2027-28" dataDxfId="442" dataCellStyle="Normal 7"/>
    <tableColumn id="15" xr3:uid="{00000000-0010-0000-1600-00000F000000}" name="2028-29" dataDxfId="441" dataCellStyle="Normal 7"/>
    <tableColumn id="16" xr3:uid="{00000000-0010-0000-1600-000010000000}" name="2029-30" dataDxfId="440" dataCellStyle="Normal 7"/>
    <tableColumn id="17" xr3:uid="{00000000-0010-0000-1600-000011000000}" name="2030-31 _x000a_to _x000a_2034-35" dataDxfId="439" dataCellStyle="Normal 7"/>
    <tableColumn id="18" xr3:uid="{00000000-0010-0000-1600-000012000000}" name="2035-36 _x000a_to _x000a_2039-40" dataDxfId="438" dataCellStyle="Normal 7"/>
    <tableColumn id="19" xr3:uid="{00000000-0010-0000-1600-000013000000}" name="2040-41 _x000a_to _x000a_2044-45" dataDxfId="437" dataCellStyle="Normal 7"/>
    <tableColumn id="20" xr3:uid="{00000000-0010-0000-1600-000014000000}" name="2045-46 _x000a_to _x000a_2049-50" dataDxfId="436" dataCellStyle="Normal 7"/>
    <tableColumn id="21" xr3:uid="{00000000-0010-0000-1600-000015000000}" name="2050-51 _x000a_to _x000a_2054-55" dataDxfId="435" dataCellStyle="Normal 7"/>
    <tableColumn id="22" xr3:uid="{00000000-0010-0000-1600-000016000000}" name="2055-56 _x000a_to _x000a_2059-60" dataDxfId="434" dataCellStyle="Normal 7"/>
    <tableColumn id="23" xr3:uid="{00000000-0010-0000-1600-000017000000}" name="2060-61 _x000a_to _x000a_2064-65" dataDxfId="433" dataCellStyle="Normal 7"/>
    <tableColumn id="24" xr3:uid="{00000000-0010-0000-1600-000018000000}" name="2065-66 _x000a_to _x000a_2069-70" dataDxfId="432" dataCellStyle="Normal 7"/>
    <tableColumn id="25" xr3:uid="{00000000-0010-0000-1600-000019000000}" name="2070-71 _x000a_to _x000a_2074-75" dataDxfId="431" dataCellStyle="Normal 7"/>
    <tableColumn id="26" xr3:uid="{00000000-0010-0000-1600-00001A000000}" name="2075-76 _x000a_to _x000a_2079-80" dataDxfId="430" dataCellStyle="Normal 7"/>
  </tableColumns>
  <tableStyleInfo name="TableStyleMedium2"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00000000-000C-0000-FFFF-FFFF17000000}" name="TBL8e_Supply_Demand_Benefit" displayName="TBL8e_Supply_Demand_Benefit" ref="B80:AA92" totalsRowShown="0" headerRowDxfId="429" dataDxfId="427" headerRowBorderDxfId="428" tableBorderDxfId="426" headerRowCellStyle="Normal 2 2 2" dataCellStyle="Normal 7">
  <autoFilter ref="B80:AA92" xr:uid="{00000000-0009-0000-0100-00001C000000}"/>
  <tableColumns count="26">
    <tableColumn id="1" xr3:uid="{00000000-0010-0000-1700-000001000000}" name="Reference" dataDxfId="425" dataCellStyle="Normal 2 2 2"/>
    <tableColumn id="2" xr3:uid="{00000000-0010-0000-1700-000002000000}" name="Benefit element" dataDxfId="424" dataCellStyle="Normal 2 2 2"/>
    <tableColumn id="3" xr3:uid="{00000000-0010-0000-1700-000003000000}" name="Expenditure type" dataDxfId="423" dataCellStyle="Normal 2 2 2"/>
    <tableColumn id="4" xr3:uid="{00000000-0010-0000-1700-000004000000}" name="Unit" dataDxfId="422" dataCellStyle="Normal 2 2 2"/>
    <tableColumn id="5" xr3:uid="{00000000-0010-0000-1700-000005000000}" name="Decimal places" dataDxfId="421" dataCellStyle="Normal 2 2 2"/>
    <tableColumn id="6" xr3:uid="{00000000-0010-0000-1700-000006000000}" name="2019-20" dataDxfId="420" dataCellStyle="Normal 7"/>
    <tableColumn id="7" xr3:uid="{00000000-0010-0000-1700-000007000000}" name="2020-21" dataDxfId="419" dataCellStyle="Normal 7"/>
    <tableColumn id="8" xr3:uid="{00000000-0010-0000-1700-000008000000}" name="2021-22" dataDxfId="418" dataCellStyle="Normal 7"/>
    <tableColumn id="9" xr3:uid="{00000000-0010-0000-1700-000009000000}" name="2022-23" dataDxfId="417" dataCellStyle="Normal 7"/>
    <tableColumn id="10" xr3:uid="{00000000-0010-0000-1700-00000A000000}" name="2023-24" dataDxfId="416" dataCellStyle="Normal 7"/>
    <tableColumn id="11" xr3:uid="{00000000-0010-0000-1700-00000B000000}" name="2024-25" dataDxfId="415" dataCellStyle="Normal 7"/>
    <tableColumn id="12" xr3:uid="{00000000-0010-0000-1700-00000C000000}" name="2025-26" dataDxfId="414" dataCellStyle="Normal 7"/>
    <tableColumn id="13" xr3:uid="{00000000-0010-0000-1700-00000D000000}" name="2026-27" dataDxfId="413" dataCellStyle="Normal 7"/>
    <tableColumn id="14" xr3:uid="{00000000-0010-0000-1700-00000E000000}" name="2027-28" dataDxfId="412" dataCellStyle="Normal 7"/>
    <tableColumn id="15" xr3:uid="{00000000-0010-0000-1700-00000F000000}" name="2028-29" dataDxfId="411" dataCellStyle="Normal 7"/>
    <tableColumn id="16" xr3:uid="{00000000-0010-0000-1700-000010000000}" name="2029-30" dataDxfId="410" dataCellStyle="Normal 7"/>
    <tableColumn id="17" xr3:uid="{00000000-0010-0000-1700-000011000000}" name="2030-31 _x000a_to _x000a_2034-35" dataDxfId="409" dataCellStyle="Normal 7"/>
    <tableColumn id="18" xr3:uid="{00000000-0010-0000-1700-000012000000}" name="2035-36 _x000a_to _x000a_2039-40" dataDxfId="408" dataCellStyle="Normal 7"/>
    <tableColumn id="19" xr3:uid="{00000000-0010-0000-1700-000013000000}" name="2040-41 _x000a_to _x000a_2044-45" dataDxfId="407" dataCellStyle="Normal 7"/>
    <tableColumn id="20" xr3:uid="{00000000-0010-0000-1700-000014000000}" name="2045-46 _x000a_to _x000a_2049-50" dataDxfId="406" dataCellStyle="Normal 7"/>
    <tableColumn id="21" xr3:uid="{00000000-0010-0000-1700-000015000000}" name="2050-51 _x000a_to _x000a_2054-55" dataDxfId="405" dataCellStyle="Normal 7"/>
    <tableColumn id="22" xr3:uid="{00000000-0010-0000-1700-000016000000}" name="2055-56 _x000a_to _x000a_2059-60" dataDxfId="404" dataCellStyle="Normal 7"/>
    <tableColumn id="23" xr3:uid="{00000000-0010-0000-1700-000017000000}" name="2060-61 _x000a_to _x000a_2064-65" dataDxfId="403" dataCellStyle="Normal 7"/>
    <tableColumn id="24" xr3:uid="{00000000-0010-0000-1700-000018000000}" name="2065-66 _x000a_to _x000a_2069-70" dataDxfId="402" dataCellStyle="Normal 7"/>
    <tableColumn id="25" xr3:uid="{00000000-0010-0000-1700-000019000000}" name="2070-71 _x000a_to _x000a_2074-75" dataDxfId="401" dataCellStyle="Normal 7"/>
    <tableColumn id="26" xr3:uid="{00000000-0010-0000-1700-00001A000000}" name="2075-76 _x000a_to _x000a_2079-80" dataDxfId="400" dataCellStyle="Normal 7"/>
  </tableColumns>
  <tableStyleInfo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18000000}" name="TBL8f_Leakage_Totex" displayName="TBL8f_Leakage_Totex" ref="B95:AA97" totalsRowShown="0" headerRowDxfId="399" dataDxfId="397" headerRowBorderDxfId="398" tableBorderDxfId="396" headerRowCellStyle="Normal 2 2 2">
  <autoFilter ref="B95:AA97" xr:uid="{00000000-0009-0000-0100-00001D000000}"/>
  <tableColumns count="26">
    <tableColumn id="1" xr3:uid="{00000000-0010-0000-1800-000001000000}" name="Reference" dataDxfId="395"/>
    <tableColumn id="2" xr3:uid="{00000000-0010-0000-1800-000002000000}" name="Expenditure element" dataDxfId="394"/>
    <tableColumn id="3" xr3:uid="{00000000-0010-0000-1800-000003000000}" name="Expenditure type" dataDxfId="393"/>
    <tableColumn id="4" xr3:uid="{00000000-0010-0000-1800-000004000000}" name="Unit" dataDxfId="392"/>
    <tableColumn id="5" xr3:uid="{00000000-0010-0000-1800-000005000000}" name="Decimal places" dataDxfId="391"/>
    <tableColumn id="6" xr3:uid="{00000000-0010-0000-1800-000006000000}" name="2019-20" dataDxfId="390"/>
    <tableColumn id="7" xr3:uid="{00000000-0010-0000-1800-000007000000}" name="2020-21" dataDxfId="389"/>
    <tableColumn id="8" xr3:uid="{00000000-0010-0000-1800-000008000000}" name="2021-22" dataDxfId="388"/>
    <tableColumn id="9" xr3:uid="{00000000-0010-0000-1800-000009000000}" name="2022-23" dataDxfId="387"/>
    <tableColumn id="10" xr3:uid="{00000000-0010-0000-1800-00000A000000}" name="2023-24" dataDxfId="386"/>
    <tableColumn id="11" xr3:uid="{00000000-0010-0000-1800-00000B000000}" name="2024-25" dataDxfId="385" dataCellStyle="Normal 7"/>
    <tableColumn id="12" xr3:uid="{00000000-0010-0000-1800-00000C000000}" name="2025-26" dataDxfId="384">
      <calculatedColumnFormula>M20</calculatedColumnFormula>
    </tableColumn>
    <tableColumn id="13" xr3:uid="{00000000-0010-0000-1800-00000D000000}" name="2026-27" dataDxfId="383"/>
    <tableColumn id="14" xr3:uid="{00000000-0010-0000-1800-00000E000000}" name="2027-28" dataDxfId="382"/>
    <tableColumn id="15" xr3:uid="{00000000-0010-0000-1800-00000F000000}" name="2028-29" dataDxfId="381"/>
    <tableColumn id="16" xr3:uid="{00000000-0010-0000-1800-000010000000}" name="2029-30" dataDxfId="380"/>
    <tableColumn id="17" xr3:uid="{00000000-0010-0000-1800-000011000000}" name="2030-31 _x000a_to _x000a_2034-35" dataDxfId="379"/>
    <tableColumn id="18" xr3:uid="{00000000-0010-0000-1800-000012000000}" name="2035-36 _x000a_to _x000a_2039-40" dataDxfId="378"/>
    <tableColumn id="19" xr3:uid="{00000000-0010-0000-1800-000013000000}" name="2040-41 _x000a_to _x000a_2044-45" dataDxfId="377"/>
    <tableColumn id="20" xr3:uid="{00000000-0010-0000-1800-000014000000}" name="2045-46 _x000a_to _x000a_2049-50" dataDxfId="376"/>
    <tableColumn id="21" xr3:uid="{00000000-0010-0000-1800-000015000000}" name="2050-51 _x000a_to _x000a_2054-55" dataDxfId="375"/>
    <tableColumn id="22" xr3:uid="{00000000-0010-0000-1800-000016000000}" name="2055-56 _x000a_to _x000a_2059-60" dataDxfId="374"/>
    <tableColumn id="23" xr3:uid="{00000000-0010-0000-1800-000017000000}" name="2060-61 _x000a_to _x000a_2064-65" dataDxfId="373"/>
    <tableColumn id="24" xr3:uid="{00000000-0010-0000-1800-000018000000}" name="2065-66 _x000a_to _x000a_2069-70" dataDxfId="372"/>
    <tableColumn id="25" xr3:uid="{00000000-0010-0000-1800-000019000000}" name="2070-71 _x000a_to _x000a_2074-75" dataDxfId="371"/>
    <tableColumn id="26" xr3:uid="{00000000-0010-0000-1800-00001A000000}" name="2075-76 _x000a_to _x000a_2079-80" dataDxfId="370"/>
  </tableColumns>
  <tableStyleInfo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1119FEBC-09E9-4D5E-8510-3C152A759602}" name="TBL8a_Base_Totex11" displayName="TBL8a_Base_Totex11" ref="B104:AA107" totalsRowShown="0" headerRowDxfId="369" dataDxfId="367" headerRowBorderDxfId="368" tableBorderDxfId="366" headerRowCellStyle="Normal 2 2 2">
  <autoFilter ref="B104:AA107" xr:uid="{EF79BEA6-135F-4C2F-8B16-EE5C5550AAC7}"/>
  <tableColumns count="26">
    <tableColumn id="1" xr3:uid="{4D0347B7-AE15-41C1-ACD8-64762FBB572A}" name="Reference" dataDxfId="365"/>
    <tableColumn id="2" xr3:uid="{53E41608-C3B9-4ED1-8104-5DFB7132AE47}" name="Expenditure element" dataDxfId="364" dataCellStyle="Normal 2 2 2"/>
    <tableColumn id="3" xr3:uid="{A98BAEF6-C5A0-46D9-BD7C-B4ADF6737844}" name="Expenditure type" dataDxfId="363" dataCellStyle="Normal 2 2 2"/>
    <tableColumn id="4" xr3:uid="{8FF71942-5749-4D95-9E58-629B37762768}" name="Unit" dataDxfId="362" dataCellStyle="Normal 2 2 2"/>
    <tableColumn id="5" xr3:uid="{7FAF1E5F-9599-4CEA-8314-D88FF4823B62}" name="Decimal places" dataDxfId="361" dataCellStyle="Normal 2 2 2"/>
    <tableColumn id="6" xr3:uid="{6AED532F-D00B-4E1C-9F65-F3AB9C93B1DF}" name="2019-20" dataDxfId="360"/>
    <tableColumn id="7" xr3:uid="{045A12B5-5C67-428D-8076-F977FE9C3B09}" name="2020-21" dataDxfId="359"/>
    <tableColumn id="8" xr3:uid="{18A6DD70-F2A9-468F-A436-4B2944C14E97}" name="2021-22" dataDxfId="358"/>
    <tableColumn id="9" xr3:uid="{0A089896-9159-4A1D-8020-3FAD7E15F36D}" name="2022-23" dataDxfId="357"/>
    <tableColumn id="10" xr3:uid="{336E46FB-62D6-425A-9A99-C05A29926BB1}" name="2023-24" dataDxfId="356"/>
    <tableColumn id="11" xr3:uid="{77AD7FA0-6FA5-4C45-B056-05785C0F8926}" name="2024-25" dataDxfId="355"/>
    <tableColumn id="12" xr3:uid="{02D0574D-92F3-4DDB-BCD7-A453FD055F4D}" name="2025-26" dataDxfId="354"/>
    <tableColumn id="13" xr3:uid="{A2E64D0F-FC3C-4752-92B7-B4B11CAADF74}" name="2026-27" dataDxfId="353"/>
    <tableColumn id="14" xr3:uid="{2E0CCD20-56CB-4F45-92FD-367A4F80DD01}" name="2027-28" dataDxfId="352"/>
    <tableColumn id="15" xr3:uid="{20F6C9C8-D6DD-4072-9267-AFD97922F3B8}" name="2028-29" dataDxfId="351"/>
    <tableColumn id="16" xr3:uid="{9C4039B1-D31A-461C-873E-29B0510607A0}" name="2029-30" dataDxfId="350"/>
    <tableColumn id="17" xr3:uid="{89FB3660-83EE-432A-AFAA-538097EFF6E5}" name="2030-31 _x000a_to _x000a_2034-35" dataDxfId="349"/>
    <tableColumn id="18" xr3:uid="{C06790F9-3A74-49D0-8A75-94D14B70A91A}" name="2035-36 _x000a_to _x000a_2039-40" dataDxfId="348"/>
    <tableColumn id="19" xr3:uid="{708FAC88-C7C8-4562-A0EC-5EE2D524D0E5}" name="2040-41 _x000a_to _x000a_2044-45" dataDxfId="347"/>
    <tableColumn id="20" xr3:uid="{9E221974-B6C2-4EE5-BAF7-6EA8D13369B6}" name="2045-46 _x000a_to _x000a_2049-50" dataDxfId="346"/>
    <tableColumn id="21" xr3:uid="{91C72E82-D1B5-461A-B03A-77887CDDF0A7}" name="2050-51 _x000a_to _x000a_2054-55" dataDxfId="345"/>
    <tableColumn id="22" xr3:uid="{09F4558F-4309-45BC-BDB3-CF40CAD2E53B}" name="2055-56 _x000a_to _x000a_2059-60" dataDxfId="344"/>
    <tableColumn id="23" xr3:uid="{4E6DB8FC-9C02-43F9-991A-49FBA35F4948}" name="2060-61 _x000a_to _x000a_2064-65" dataDxfId="343"/>
    <tableColumn id="24" xr3:uid="{6CC22120-94DD-4346-B640-C772FA6CB8AF}" name="2065-66 _x000a_to _x000a_2069-70" dataDxfId="342"/>
    <tableColumn id="25" xr3:uid="{F680CD45-93B1-4AEF-AABB-152F48900439}" name="2070-71 _x000a_to _x000a_2074-75" dataDxfId="341"/>
    <tableColumn id="26" xr3:uid="{3955A7E8-2867-4D4E-AC0F-B31AC32B1BF9}" name="2075-76 _x000a_to _x000a_2079-80" dataDxfId="340"/>
  </tableColumns>
  <tableStyleInfo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6F420335-1248-4AEF-BB39-48F7565FB3C8}" name="TBL8b_SDB_Expenditure12" displayName="TBL8b_SDB_Expenditure12" ref="B110:AA126" totalsRowShown="0" headerRowDxfId="339" dataDxfId="337" headerRowBorderDxfId="338" tableBorderDxfId="336" headerRowCellStyle="Normal 2 2 2" dataCellStyle="Normal 7">
  <autoFilter ref="B110:AA126" xr:uid="{39BC11F0-DDDF-4383-9E80-72A31D595B9F}"/>
  <tableColumns count="26">
    <tableColumn id="1" xr3:uid="{EB74B0D1-584C-4CFD-B665-41C569BA0917}" name="Reference" dataDxfId="335" dataCellStyle="Normal 2 2 2"/>
    <tableColumn id="2" xr3:uid="{EB789574-3974-4C63-BEAE-E33A869A9854}" name="Expenditure element" dataDxfId="334" dataCellStyle="Normal 2 2 2"/>
    <tableColumn id="3" xr3:uid="{7EF031D9-21F3-4FE1-BED0-F0C87D0514BE}" name="Expenditure type" dataDxfId="333" dataCellStyle="Normal 2 2 2"/>
    <tableColumn id="4" xr3:uid="{47410566-4C60-4DEB-9600-89AA3BFE33FF}" name="Unit" dataDxfId="332" dataCellStyle="Normal 2 2 2"/>
    <tableColumn id="5" xr3:uid="{7E9834BA-1B8C-4DB8-B930-61AC72C2C013}" name="Decimal places" dataDxfId="331" dataCellStyle="Normal 2 2 2"/>
    <tableColumn id="6" xr3:uid="{A269111E-260E-4A8A-A9B0-C0570A1DB235}" name="2019-20" dataDxfId="330" dataCellStyle="Normal 7"/>
    <tableColumn id="7" xr3:uid="{A2DC3167-C4F6-44D8-B36C-9EF139B049F4}" name="2020-21" dataDxfId="329" dataCellStyle="Normal 7"/>
    <tableColumn id="8" xr3:uid="{91E1E105-EF26-4340-9ABE-6DEC6E08F4AE}" name="2021-22" dataDxfId="328" dataCellStyle="Normal 7"/>
    <tableColumn id="9" xr3:uid="{8B2F7D35-5950-4C79-BCC9-6D86F9C07A16}" name="2022-23" dataDxfId="327" dataCellStyle="Normal 7"/>
    <tableColumn id="10" xr3:uid="{68FAA3CE-AEE8-4C75-AB70-D7A5849BDF1D}" name="2023-24" dataDxfId="326" dataCellStyle="Normal 7"/>
    <tableColumn id="11" xr3:uid="{6D350EC9-1756-4FE7-ABCA-7BCB97E23266}" name="2024-25" dataDxfId="325" dataCellStyle="Normal 7"/>
    <tableColumn id="12" xr3:uid="{AE1841F4-F437-4C5C-B5C2-1D2EBCCAE8FF}" name="2025-26" dataDxfId="324" dataCellStyle="Normal 7"/>
    <tableColumn id="13" xr3:uid="{A4E6591A-C319-45AD-A129-2A76A02440FB}" name="2026-27" dataDxfId="323" dataCellStyle="Normal 7"/>
    <tableColumn id="14" xr3:uid="{3E539939-9FC2-4091-9F44-A55F3AA09B62}" name="2027-28" dataDxfId="322" dataCellStyle="Normal 7"/>
    <tableColumn id="15" xr3:uid="{73C6C4CD-FBF5-48E6-96E9-8C008E483D38}" name="2028-29" dataDxfId="321" dataCellStyle="Normal 7"/>
    <tableColumn id="16" xr3:uid="{CE806C78-3757-48E9-8B16-D8457251DC07}" name="2029-30" dataDxfId="320" dataCellStyle="Normal 7"/>
    <tableColumn id="17" xr3:uid="{32A8ABDC-9A8D-4391-A919-9A8D36AC98C6}" name="2030-31 _x000a_to _x000a_2034-35" dataDxfId="319" dataCellStyle="Normal 7"/>
    <tableColumn id="18" xr3:uid="{2B163815-9CED-4C05-AD0A-01D46879E47C}" name="2035-36 _x000a_to _x000a_2039-40" dataDxfId="318" dataCellStyle="Normal 7"/>
    <tableColumn id="19" xr3:uid="{95D018E8-6928-4938-AAD4-E3880AFA9352}" name="2040-41 _x000a_to _x000a_2044-45" dataDxfId="317" dataCellStyle="Normal 7"/>
    <tableColumn id="20" xr3:uid="{F14CE7DE-9FD2-45E2-AF1F-A9EEEA503E2A}" name="2045-46 _x000a_to _x000a_2049-50" dataDxfId="316" dataCellStyle="Normal 7"/>
    <tableColumn id="21" xr3:uid="{3E096A4B-2449-485B-9187-A8173C204F5C}" name="2050-51 _x000a_to _x000a_2054-55" dataDxfId="315" dataCellStyle="Normal 7"/>
    <tableColumn id="22" xr3:uid="{2A110A12-CE1C-4D85-99FA-91A4DB847936}" name="2055-56 _x000a_to _x000a_2059-60" dataDxfId="314" dataCellStyle="Normal 7"/>
    <tableColumn id="23" xr3:uid="{5E77D2B7-724B-45C9-AA81-A80F594C6037}" name="2060-61 _x000a_to _x000a_2064-65" dataDxfId="313" dataCellStyle="Normal 7"/>
    <tableColumn id="24" xr3:uid="{301760AA-A49A-48C4-8813-542E4E67E5CA}" name="2065-66 _x000a_to _x000a_2069-70" dataDxfId="312" dataCellStyle="Normal 7"/>
    <tableColumn id="25" xr3:uid="{C5DB63BC-532C-4F75-847A-13610A479211}" name="2070-71 _x000a_to _x000a_2074-75" dataDxfId="311" dataCellStyle="Normal 7"/>
    <tableColumn id="26" xr3:uid="{95F763B3-565E-4C7C-9EB2-B1CD52726FBE}" name="2075-76 _x000a_to _x000a_2079-80" dataDxfId="310" dataCellStyle="Normal 7"/>
  </tableColumns>
  <tableStyleInfo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34AC0949-A84F-4BC6-8B5F-1393A82BA888}" name="TBL8c_Metering_Expenditure23" displayName="TBL8c_Metering_Expenditure23" ref="B129:AA169" totalsRowShown="0" headerRowDxfId="309" dataDxfId="307" headerRowBorderDxfId="308" tableBorderDxfId="306" headerRowCellStyle="Normal 2 2 2" dataCellStyle="Normal 7">
  <autoFilter ref="B129:AA169" xr:uid="{DE522DA6-E828-4B67-840C-0F56D135564C}"/>
  <tableColumns count="26">
    <tableColumn id="1" xr3:uid="{B008C963-6FFB-44CF-9543-C11DB4DE0581}" name="Reference" dataDxfId="305" dataCellStyle="Normal 2 2 2"/>
    <tableColumn id="2" xr3:uid="{B2166931-3219-4A16-8C45-8C39BB8DE5A3}" name="Expenditure element" dataDxfId="304" dataCellStyle="Normal 2 2 2"/>
    <tableColumn id="3" xr3:uid="{29183883-8559-4884-AF11-8B400562AE64}" name="Expenditure type" dataDxfId="303" dataCellStyle="Normal 2 2 2"/>
    <tableColumn id="4" xr3:uid="{0396CD3A-0F5D-4FA1-BADA-C2FA0E10651F}" name="Unit" dataDxfId="302" dataCellStyle="Normal 2 2 2"/>
    <tableColumn id="5" xr3:uid="{073B3198-B5BF-4BD6-813A-41C1958D700B}" name="Decimal places" dataDxfId="301" dataCellStyle="Normal 2 2 2"/>
    <tableColumn id="6" xr3:uid="{081F26C2-D029-4284-B441-62183FEEFF7F}" name="2019-20" dataDxfId="300" dataCellStyle="Normal 7"/>
    <tableColumn id="7" xr3:uid="{3A21F3CE-7FC0-4E93-A30D-A7E7EBC6E00B}" name="2020-21" dataDxfId="299" dataCellStyle="Normal 7"/>
    <tableColumn id="8" xr3:uid="{F6934701-3EA3-42DE-AE0A-E29DAB0CC0FD}" name="2021-22" dataDxfId="298" dataCellStyle="Normal 7"/>
    <tableColumn id="9" xr3:uid="{E7E56A13-277E-4C6E-B4B3-5044A0EB71E3}" name="2022-23" dataDxfId="297" dataCellStyle="Normal 7"/>
    <tableColumn id="10" xr3:uid="{1CE62FCD-D393-4AEF-B2D6-7422C8CD5CD0}" name="2023-24" dataDxfId="296" dataCellStyle="Normal 7"/>
    <tableColumn id="11" xr3:uid="{A54A83C3-676B-44DF-9E42-45310270CE23}" name="2024-25" dataDxfId="295" dataCellStyle="Normal 7"/>
    <tableColumn id="12" xr3:uid="{4850138B-57A5-4DCF-8A26-0817658B9597}" name="2025-26" dataDxfId="294" dataCellStyle="Normal 7"/>
    <tableColumn id="13" xr3:uid="{C07CB483-0E65-4A72-8F24-F8D8E9761DBC}" name="2026-27" dataDxfId="293" dataCellStyle="Normal 7"/>
    <tableColumn id="14" xr3:uid="{F9440127-A86B-4F0C-93FC-25E093C12843}" name="2027-28" dataDxfId="292" dataCellStyle="Normal 7"/>
    <tableColumn id="15" xr3:uid="{7E2B8964-16BE-48A7-B5A8-497EA616E07D}" name="2028-29" dataDxfId="291" dataCellStyle="Normal 7"/>
    <tableColumn id="16" xr3:uid="{018C5DB0-0435-4B3D-A3B0-FB654E3D2B70}" name="2029-30" dataDxfId="290" dataCellStyle="Normal 7"/>
    <tableColumn id="17" xr3:uid="{0E58A903-27A2-406A-A23F-E3197F1A5D5C}" name="2030-31 _x000a_to _x000a_2034-35" dataDxfId="289" dataCellStyle="Normal 7"/>
    <tableColumn id="18" xr3:uid="{DF97D62A-E24D-4219-8152-02BE839447FE}" name="2035-36 _x000a_to _x000a_2039-40" dataDxfId="288" dataCellStyle="Normal 7"/>
    <tableColumn id="19" xr3:uid="{26970FB6-5A47-4751-A113-C60D61B394A3}" name="2040-41 _x000a_to _x000a_2044-45" dataDxfId="287" dataCellStyle="Normal 7"/>
    <tableColumn id="20" xr3:uid="{16FA5799-608E-4EA3-A278-D7DC88DE894E}" name="2045-46 _x000a_to _x000a_2049-50" dataDxfId="286" dataCellStyle="Normal 7"/>
    <tableColumn id="21" xr3:uid="{F60ABEEC-C28D-4CE8-AF1A-0E999A9B3338}" name="2050-51 _x000a_to _x000a_2054-55" dataDxfId="285" dataCellStyle="Normal 7"/>
    <tableColumn id="22" xr3:uid="{774E37A6-8B17-4BE0-A5A8-39B4F9DE9496}" name="2055-56 _x000a_to _x000a_2059-60" dataDxfId="284" dataCellStyle="Normal 7"/>
    <tableColumn id="23" xr3:uid="{BDA17A46-9839-45A5-A215-CC5BFBEA03F7}" name="2060-61 _x000a_to _x000a_2064-65" dataDxfId="283" dataCellStyle="Normal 7"/>
    <tableColumn id="24" xr3:uid="{913BD0A0-9B38-45DB-8C83-8BF2A783B0B5}" name="2065-66 _x000a_to _x000a_2069-70" dataDxfId="282" dataCellStyle="Normal 7"/>
    <tableColumn id="25" xr3:uid="{1D834264-E9F5-46BB-8E60-82EE018D0F21}" name="2070-71 _x000a_to _x000a_2074-75" dataDxfId="281" dataCellStyle="Normal 7"/>
    <tableColumn id="26" xr3:uid="{8FC1129C-9C96-4992-8336-0A1454237DB1}" name="2075-76 _x000a_to _x000a_2079-80" dataDxfId="280" dataCellStyle="Normal 7"/>
  </tableColumns>
  <tableStyleInfo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2A910549-8445-4C03-90D5-9D6381E729C4}" name="TBL8d_Total_Enhancement31" displayName="TBL8d_Total_Enhancement31" ref="B172:AA175" totalsRowShown="0" headerRowDxfId="279" dataDxfId="277" headerRowBorderDxfId="278" tableBorderDxfId="276" headerRowCellStyle="Normal 2 2 2" dataCellStyle="Normal 7">
  <autoFilter ref="B172:AA175" xr:uid="{762CDBEF-72BE-4513-AD42-D5B5203C541D}"/>
  <tableColumns count="26">
    <tableColumn id="1" xr3:uid="{E9554599-8BC7-4077-B2CA-EA24B8FDFBD9}" name="Reference" dataDxfId="275" dataCellStyle="Normal 2 2 2"/>
    <tableColumn id="2" xr3:uid="{A120778C-59AE-4ACA-A0C1-3FDB094E6673}" name="Expenditure element" dataDxfId="274" dataCellStyle="Normal 2 2 2"/>
    <tableColumn id="3" xr3:uid="{930A208E-DC78-4FEA-A3F5-87BE1EC30C44}" name="Expenditure type" dataDxfId="273" dataCellStyle="Normal 2 2 2"/>
    <tableColumn id="4" xr3:uid="{0875EF4C-1196-4F2D-A6D1-4E95DD313489}" name="Unit" dataDxfId="272" dataCellStyle="Normal 2 2 2"/>
    <tableColumn id="5" xr3:uid="{4EBF2468-00EF-4C7F-89B7-3680083DBE70}" name="Decimal places" dataDxfId="271" dataCellStyle="Normal 2 2 2"/>
    <tableColumn id="6" xr3:uid="{00EDADC6-C24C-4D3C-88C1-9E090BEC1C08}" name="2019-20" dataDxfId="270" dataCellStyle="Normal 7"/>
    <tableColumn id="7" xr3:uid="{E53544A4-FCC1-43BA-A515-88767FB2D797}" name="2020-21" dataDxfId="269" dataCellStyle="Normal 7"/>
    <tableColumn id="8" xr3:uid="{F61F6CC8-ED2E-415A-8930-D046E4046601}" name="2021-22" dataDxfId="268" dataCellStyle="Normal 7"/>
    <tableColumn id="9" xr3:uid="{DAD2A46A-2ABE-46D6-A6DF-FDE1E0DD08C0}" name="2022-23" dataDxfId="267" dataCellStyle="Normal 7"/>
    <tableColumn id="10" xr3:uid="{A25B343D-031B-488A-87F2-5C69582DD114}" name="2023-24" dataDxfId="266" dataCellStyle="Normal 7"/>
    <tableColumn id="11" xr3:uid="{6D4BC5DC-5AB7-4CF2-B34F-22160E23175D}" name="2024-25" dataDxfId="265" dataCellStyle="Normal 7"/>
    <tableColumn id="12" xr3:uid="{898BA3ED-710A-4934-A337-E56C3E44BE98}" name="2025-26" dataDxfId="264" dataCellStyle="Normal 7"/>
    <tableColumn id="13" xr3:uid="{9776D23B-F0F0-46F3-9614-A53D50A98A82}" name="2026-27" dataDxfId="263" dataCellStyle="Normal 7"/>
    <tableColumn id="14" xr3:uid="{B1ED99ED-6224-49A8-9DAC-58498D6CBEBB}" name="2027-28" dataDxfId="262" dataCellStyle="Normal 7"/>
    <tableColumn id="15" xr3:uid="{3E1BC1D2-CD03-4BB1-9508-0C7B8376E005}" name="2028-29" dataDxfId="261" dataCellStyle="Normal 7"/>
    <tableColumn id="16" xr3:uid="{4706A67E-67BD-472E-A2A8-B88F34BB6C9F}" name="2029-30" dataDxfId="260" dataCellStyle="Normal 7"/>
    <tableColumn id="17" xr3:uid="{5B0165C9-CE20-4373-B285-41A1288EDE71}" name="2030-31 _x000a_to _x000a_2034-35" dataDxfId="259" dataCellStyle="Normal 7"/>
    <tableColumn id="18" xr3:uid="{0EFC79D0-B783-45D2-9ADD-C165B38CDCAC}" name="2035-36 _x000a_to _x000a_2039-40" dataDxfId="258" dataCellStyle="Normal 7"/>
    <tableColumn id="19" xr3:uid="{660719E8-4271-44BA-85FF-835BEB399B56}" name="2040-41 _x000a_to _x000a_2044-45" dataDxfId="257" dataCellStyle="Normal 7"/>
    <tableColumn id="20" xr3:uid="{E5FF99E0-3567-48B0-A849-6C36FD235F87}" name="2045-46 _x000a_to _x000a_2049-50" dataDxfId="256" dataCellStyle="Normal 7"/>
    <tableColumn id="21" xr3:uid="{2B475A97-6EB2-4EEF-B45E-17714AB11C54}" name="2050-51 _x000a_to _x000a_2054-55" dataDxfId="255" dataCellStyle="Normal 7"/>
    <tableColumn id="22" xr3:uid="{64A8F1DE-C87D-4EB3-BA4F-4D8693079F98}" name="2055-56 _x000a_to _x000a_2059-60" dataDxfId="254" dataCellStyle="Normal 7"/>
    <tableColumn id="23" xr3:uid="{40B9AAC3-DB03-4014-8553-297DAC415689}" name="2060-61 _x000a_to _x000a_2064-65" dataDxfId="253" dataCellStyle="Normal 7"/>
    <tableColumn id="24" xr3:uid="{986DD51D-8005-4818-8A0C-82D9DF531525}" name="2065-66 _x000a_to _x000a_2069-70" dataDxfId="252" dataCellStyle="Normal 7"/>
    <tableColumn id="25" xr3:uid="{843E9BA8-3721-41D8-8A9C-ADBAD52295BC}" name="2070-71 _x000a_to _x000a_2074-75" dataDxfId="251" dataCellStyle="Normal 7"/>
    <tableColumn id="26" xr3:uid="{525574A5-3A2C-44EF-ABCC-C8C071A99058}" name="2075-76 _x000a_to _x000a_2079-80" dataDxfId="250" dataCellStyle="Normal 7"/>
  </tableColumns>
  <tableStyleInfo name="TableStyleMedium2"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C3A32A28-8C32-4C71-BE60-43026A2ED948}" name="TBL8e_Supply_Demand_Benefit32" displayName="TBL8e_Supply_Demand_Benefit32" ref="B178:AA190" totalsRowShown="0" headerRowDxfId="249" dataDxfId="247" headerRowBorderDxfId="248" tableBorderDxfId="246" headerRowCellStyle="Normal 2 2 2" dataCellStyle="Normal 7">
  <autoFilter ref="B178:AA190" xr:uid="{F95B937A-AE12-4261-81EC-9F60DE0754BF}"/>
  <tableColumns count="26">
    <tableColumn id="1" xr3:uid="{5C572A41-8E2A-47CD-A27E-F75C84125C47}" name="Reference" dataDxfId="245" dataCellStyle="Normal 2 2 2"/>
    <tableColumn id="2" xr3:uid="{C4A66D66-69A7-46B5-8E14-CDBAA57BF24C}" name="Benefit element" dataDxfId="244" dataCellStyle="Normal 2 2 2"/>
    <tableColumn id="3" xr3:uid="{67405CA4-6832-479C-B95C-E022DDFCE9C1}" name="Expenditure type" dataDxfId="243" dataCellStyle="Normal 2 2 2"/>
    <tableColumn id="4" xr3:uid="{AF992BC4-85CE-4001-A349-8130C228F4BA}" name="Unit" dataDxfId="242" dataCellStyle="Normal 2 2 2"/>
    <tableColumn id="5" xr3:uid="{01CE8FF1-10C8-4962-AE75-39745035002E}" name="Decimal places" dataDxfId="241" dataCellStyle="Normal 2 2 2"/>
    <tableColumn id="6" xr3:uid="{B354EA3F-F083-4D46-8C73-8FCB0BC669AC}" name="2019-20" dataDxfId="240" dataCellStyle="Normal 7"/>
    <tableColumn id="7" xr3:uid="{0E0C28A1-6748-409D-865C-2F9FA2F0E4BD}" name="2020-21" dataDxfId="239" dataCellStyle="Normal 7"/>
    <tableColumn id="8" xr3:uid="{FE231F18-BB00-46C5-A4FF-E771B49504A4}" name="2021-22" dataDxfId="238" dataCellStyle="Normal 7"/>
    <tableColumn id="9" xr3:uid="{55562159-F0A8-4299-8E9F-7767021031BC}" name="2022-23" dataDxfId="237" dataCellStyle="Normal 7"/>
    <tableColumn id="10" xr3:uid="{C68B2370-BFF3-4CD4-9BD3-E6B424A5865F}" name="2023-24" dataDxfId="236" dataCellStyle="Normal 7"/>
    <tableColumn id="11" xr3:uid="{94C9BA42-15A1-42B2-9655-E531E36221CB}" name="2024-25" dataDxfId="235" dataCellStyle="Normal 7"/>
    <tableColumn id="12" xr3:uid="{E241E641-DFBE-4C17-A388-F51FDDC28D73}" name="2025-26" dataDxfId="234" dataCellStyle="Normal 7"/>
    <tableColumn id="13" xr3:uid="{BB6F0E4A-9377-4A8E-BEED-4F7F589ADDF6}" name="2026-27" dataDxfId="233" dataCellStyle="Normal 7"/>
    <tableColumn id="14" xr3:uid="{9F22B4DB-B731-49A7-89E1-CFB2327AA250}" name="2027-28" dataDxfId="232" dataCellStyle="Normal 7"/>
    <tableColumn id="15" xr3:uid="{7856917D-EC2A-4F0C-9672-28915205B467}" name="2028-29" dataDxfId="231" dataCellStyle="Normal 7"/>
    <tableColumn id="16" xr3:uid="{A106143B-63B2-4F35-81CD-BA0A1F6CC44A}" name="2029-30" dataDxfId="230" dataCellStyle="Normal 7"/>
    <tableColumn id="17" xr3:uid="{F3BF758A-82B1-4E0C-9E60-ED847DDEEFBE}" name="2030-31 _x000a_to _x000a_2034-35" dataDxfId="229" dataCellStyle="Normal 7"/>
    <tableColumn id="18" xr3:uid="{B6B85600-309C-4BDC-A326-64595347803B}" name="2035-36 _x000a_to _x000a_2039-40" dataDxfId="228" dataCellStyle="Normal 7"/>
    <tableColumn id="19" xr3:uid="{09ED8E77-1155-4799-9EDF-EA9AF6E55BB0}" name="2040-41 _x000a_to _x000a_2044-45" dataDxfId="227" dataCellStyle="Normal 7"/>
    <tableColumn id="20" xr3:uid="{ECCF4064-9ABF-45F6-AA43-E28AFFCAB393}" name="2045-46 _x000a_to _x000a_2049-50" dataDxfId="226" dataCellStyle="Normal 7"/>
    <tableColumn id="21" xr3:uid="{2F6790FB-1B02-4975-BBAC-DA5F774AF317}" name="2050-51 _x000a_to _x000a_2054-55" dataDxfId="225" dataCellStyle="Normal 7"/>
    <tableColumn id="22" xr3:uid="{423551FD-8EF6-4EE0-8AA5-825CA8551F85}" name="2055-56 _x000a_to _x000a_2059-60" dataDxfId="224" dataCellStyle="Normal 7"/>
    <tableColumn id="23" xr3:uid="{FE94CA50-23D9-440A-899F-C3388CE1F219}" name="2060-61 _x000a_to _x000a_2064-65" dataDxfId="223" dataCellStyle="Normal 7"/>
    <tableColumn id="24" xr3:uid="{A1FC5834-5362-4799-B6F1-8BC931CF3739}" name="2065-66 _x000a_to _x000a_2069-70" dataDxfId="222" dataCellStyle="Normal 7"/>
    <tableColumn id="25" xr3:uid="{094FF674-088C-4BC2-A94A-732DC021C74D}" name="2070-71 _x000a_to _x000a_2074-75" dataDxfId="221" dataCellStyle="Normal 7"/>
    <tableColumn id="26" xr3:uid="{3C5C5739-5B09-495B-A7D1-7D7459BD60CC}" name="2075-76 _x000a_to _x000a_2079-80" dataDxfId="220" dataCellStyle="Normal 7"/>
  </tableColumns>
  <tableStyleInfo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2C4DABB2-E864-4BD0-9798-8A1EFAA02BD2}" name="TBL8f_Leakage_Totex33" displayName="TBL8f_Leakage_Totex33" ref="B193:AA195" totalsRowShown="0" headerRowDxfId="219" dataDxfId="217" headerRowBorderDxfId="218" tableBorderDxfId="216" headerRowCellStyle="Normal 2 2 2">
  <autoFilter ref="B193:AA195" xr:uid="{0C983A2F-62CF-4D7C-B647-DB8719023589}"/>
  <tableColumns count="26">
    <tableColumn id="1" xr3:uid="{E65342DF-7F0A-4CA9-A97D-2126779B4564}" name="Reference" dataDxfId="215"/>
    <tableColumn id="2" xr3:uid="{9F6728C6-CBA9-4641-9CF4-B3C69BDEE7C1}" name="Expenditure element" dataDxfId="214"/>
    <tableColumn id="3" xr3:uid="{FEA2419B-8E97-481A-B735-66E431147C5E}" name="Expenditure type" dataDxfId="213"/>
    <tableColumn id="4" xr3:uid="{B36DC7C0-6A5C-47F5-809B-806C2D8F0779}" name="Unit" dataDxfId="212"/>
    <tableColumn id="5" xr3:uid="{122BAFC0-9D10-4FE9-9F2A-84D12878FC56}" name="Decimal places" dataDxfId="211"/>
    <tableColumn id="6" xr3:uid="{B53BC6D0-2BC8-4578-8C7F-3F255FC68240}" name="2019-20" dataDxfId="210"/>
    <tableColumn id="7" xr3:uid="{8F9972C7-FD90-49D3-90FA-58673B0A07F8}" name="2020-21" dataDxfId="209"/>
    <tableColumn id="8" xr3:uid="{E90CD332-1E16-4417-8666-84325A76EEC5}" name="2021-22" dataDxfId="208"/>
    <tableColumn id="9" xr3:uid="{7373A8E6-B07E-4586-A233-A590337A0AF1}" name="2022-23" dataDxfId="207"/>
    <tableColumn id="10" xr3:uid="{59482A4C-C316-445F-947A-E6E09CCD0773}" name="2023-24" dataDxfId="206"/>
    <tableColumn id="11" xr3:uid="{BEE78610-CE95-452C-9BD2-9DB798BAEBD1}" name="2024-25" dataDxfId="205" dataCellStyle="Normal 7"/>
    <tableColumn id="12" xr3:uid="{47C31C0D-0808-4EC4-B767-4AF9D3F91A74}" name="2025-26" dataDxfId="204">
      <calculatedColumnFormula>M96</calculatedColumnFormula>
    </tableColumn>
    <tableColumn id="13" xr3:uid="{B0D5461F-459D-4D29-B06E-D8AEB4020218}" name="2026-27" dataDxfId="203">
      <calculatedColumnFormula>N96</calculatedColumnFormula>
    </tableColumn>
    <tableColumn id="14" xr3:uid="{31CB2ED4-EC28-4F37-88DD-8CABDD8B5D11}" name="2027-28" dataDxfId="202">
      <calculatedColumnFormula>O96</calculatedColumnFormula>
    </tableColumn>
    <tableColumn id="15" xr3:uid="{51030E15-9EFC-4DBE-AB79-6E2A1B582D49}" name="2028-29" dataDxfId="201">
      <calculatedColumnFormula>P96</calculatedColumnFormula>
    </tableColumn>
    <tableColumn id="16" xr3:uid="{FDB5B08F-3C8D-4DEE-98E0-F6A4A7125B5A}" name="2029-30" dataDxfId="200">
      <calculatedColumnFormula>Q96</calculatedColumnFormula>
    </tableColumn>
    <tableColumn id="17" xr3:uid="{BB225256-FFAF-4C22-A3D2-AD9490F3533F}" name="2030-31 _x000a_to _x000a_2034-35" dataDxfId="199">
      <calculatedColumnFormula>R96</calculatedColumnFormula>
    </tableColumn>
    <tableColumn id="18" xr3:uid="{D09361D8-7500-42B2-81BE-6586334B5DDD}" name="2035-36 _x000a_to _x000a_2039-40" dataDxfId="198">
      <calculatedColumnFormula>S96</calculatedColumnFormula>
    </tableColumn>
    <tableColumn id="19" xr3:uid="{263C6464-4F97-4C68-9A56-C287B21C7FB7}" name="2040-41 _x000a_to _x000a_2044-45" dataDxfId="197">
      <calculatedColumnFormula>T96</calculatedColumnFormula>
    </tableColumn>
    <tableColumn id="20" xr3:uid="{52106377-95B2-4BA8-A1BB-4C5812196CED}" name="2045-46 _x000a_to _x000a_2049-50" dataDxfId="196">
      <calculatedColumnFormula>U96</calculatedColumnFormula>
    </tableColumn>
    <tableColumn id="21" xr3:uid="{0D103868-A0C0-468E-AD5B-FC9606FA8C3C}" name="2050-51 _x000a_to _x000a_2054-55" dataDxfId="195"/>
    <tableColumn id="22" xr3:uid="{A21E616B-7335-4FFF-8008-1FDF7D740908}" name="2055-56 _x000a_to _x000a_2059-60" dataDxfId="194"/>
    <tableColumn id="23" xr3:uid="{44055BBD-5E9B-492E-8E9B-BB9718F93284}" name="2060-61 _x000a_to _x000a_2064-65" dataDxfId="193"/>
    <tableColumn id="24" xr3:uid="{5EA6082B-B042-4D3F-9CC9-48EEDC342BA5}" name="2065-66 _x000a_to _x000a_2069-70" dataDxfId="192"/>
    <tableColumn id="25" xr3:uid="{AC590362-3BE0-4FCE-AC7C-555BB5E91C05}" name="2070-71 _x000a_to _x000a_2074-75" dataDxfId="191"/>
    <tableColumn id="26" xr3:uid="{217174CA-3A15-4BCA-8809-6304F5923FA7}" name="2075-76 _x000a_to _x000a_2079-80" dataDxfId="190"/>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4000000}" name="TBL1e_NewLic" displayName="TBL1e_NewLic" ref="B65:L68" totalsRowShown="0" headerRowDxfId="4657" headerRowBorderDxfId="4656" tableBorderDxfId="4655" totalsRowBorderDxfId="4654" headerRowCellStyle="Normal 2">
  <autoFilter ref="B65:L68" xr:uid="{00000000-0009-0000-0100-000005000000}"/>
  <tableColumns count="11">
    <tableColumn id="2" xr3:uid="{00000000-0010-0000-0400-000002000000}" name="WRMP24 Reference"/>
    <tableColumn id="3" xr3:uid="{00000000-0010-0000-0400-000003000000}" name="Derivation"/>
    <tableColumn id="4" xr3:uid="{00000000-0010-0000-0400-000004000000}" name="Licence number"/>
    <tableColumn id="5" xr3:uid="{00000000-0010-0000-0400-000005000000}" name="Source name"/>
    <tableColumn id="6" xr3:uid="{00000000-0010-0000-0400-000006000000}" name="Source type"/>
    <tableColumn id="7" xr3:uid="{00000000-0010-0000-0400-000007000000}" name="WRZ Code" dataDxfId="4653"/>
    <tableColumn id="8" xr3:uid="{00000000-0010-0000-0400-000008000000}" name="DYAA deployable output (Ml/d)" dataDxfId="4652"/>
    <tableColumn id="1" xr3:uid="{00000000-0010-0000-0400-000001000000}" name="DYCP deployable output (Ml/d)" dataDxfId="4651">
      <calculatedColumnFormula>SUM(I67:I68)</calculatedColumnFormula>
    </tableColumn>
    <tableColumn id="9" xr3:uid="{00000000-0010-0000-0400-000009000000}" name="Annual licensed quantity (Ml/d)" dataDxfId="4650"/>
    <tableColumn id="10" xr3:uid="{00000000-0010-0000-0400-00000A000000}" name="Status of licence" dataDxfId="4649"/>
    <tableColumn id="11" xr3:uid="{00000000-0010-0000-0400-00000B000000}" name="Additional notes (if desired)"/>
  </tableColumns>
  <tableStyleInfo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6C894C0F-B624-4CAC-AB7C-891FCD7E0C3D}" name="TBL8a_Base_Totex39" displayName="TBL8a_Base_Totex39" ref="B202:AA205" totalsRowShown="0" headerRowDxfId="189" dataDxfId="187" headerRowBorderDxfId="188" tableBorderDxfId="186" headerRowCellStyle="Normal 2 2 2">
  <autoFilter ref="B202:AA205" xr:uid="{FDECB16F-280A-4418-A784-4D9C97056A97}"/>
  <tableColumns count="26">
    <tableColumn id="1" xr3:uid="{1679125B-25E7-43E7-836C-54D86BB62B61}" name="Reference" dataDxfId="185"/>
    <tableColumn id="2" xr3:uid="{FFF31F53-7FDB-480B-8AFF-0FFAC9117ACC}" name="Expenditure element" dataDxfId="184" dataCellStyle="Normal 2 2 2"/>
    <tableColumn id="3" xr3:uid="{881CFE18-15ED-4621-B80D-5CBCD13959D2}" name="Expenditure type" dataDxfId="183" dataCellStyle="Normal 2 2 2"/>
    <tableColumn id="4" xr3:uid="{AA51CEF6-49A5-46D8-AE73-166F65F563CC}" name="Unit" dataDxfId="182" dataCellStyle="Normal 2 2 2"/>
    <tableColumn id="5" xr3:uid="{3DD0996D-4AB5-404C-B18B-6FC14DD362CF}" name="Decimal places" dataDxfId="181" dataCellStyle="Normal 2 2 2"/>
    <tableColumn id="6" xr3:uid="{67240F8C-823D-4191-B4FF-B5566BE1B8F0}" name="2019-20" dataDxfId="180"/>
    <tableColumn id="7" xr3:uid="{AD905531-0707-4E2B-9368-578E36C8AE16}" name="2020-21" dataDxfId="179"/>
    <tableColumn id="8" xr3:uid="{15BF0973-B2FD-4F0B-A912-040E098BC865}" name="2021-22" dataDxfId="178"/>
    <tableColumn id="9" xr3:uid="{EE0F2337-FCF1-45DA-A816-8DF63D008CB7}" name="2022-23" dataDxfId="177"/>
    <tableColumn id="10" xr3:uid="{0C7B7027-3220-4C08-A37B-7B7BC6438F87}" name="2023-24" dataDxfId="176"/>
    <tableColumn id="11" xr3:uid="{66D8784C-6650-4874-A6F9-7CB33FC5E096}" name="2024-25" dataDxfId="175"/>
    <tableColumn id="12" xr3:uid="{31779D30-5912-439F-941A-9FB81339FD0B}" name="2025-26" dataDxfId="174"/>
    <tableColumn id="13" xr3:uid="{DC1744FE-88A9-422E-91BE-41E940EF1D8F}" name="2026-27" dataDxfId="173"/>
    <tableColumn id="14" xr3:uid="{258A2966-4831-495A-8C6A-32632D3B4F63}" name="2027-28" dataDxfId="172"/>
    <tableColumn id="15" xr3:uid="{0A3436D8-AB92-4A4F-A197-B811229A69F0}" name="2028-29" dataDxfId="171"/>
    <tableColumn id="16" xr3:uid="{DDE24F75-1BE9-4A15-A5A5-E02F4FF2DBD1}" name="2029-30" dataDxfId="170"/>
    <tableColumn id="17" xr3:uid="{857ECFC3-945A-4E97-9B56-67FE7B9415D0}" name="2030-31 _x000a_to _x000a_2034-35" dataDxfId="169"/>
    <tableColumn id="18" xr3:uid="{8203BA2A-D9FB-4871-A38E-690BC7E3B65C}" name="2035-36 _x000a_to _x000a_2039-40" dataDxfId="168"/>
    <tableColumn id="19" xr3:uid="{F946E443-54D6-4A4E-B022-5F175705F8C2}" name="2040-41 _x000a_to _x000a_2044-45" dataDxfId="167"/>
    <tableColumn id="20" xr3:uid="{1D846DBA-AAB9-45E0-BC37-ED54FF24DD61}" name="2045-46 _x000a_to _x000a_2049-50" dataDxfId="166"/>
    <tableColumn id="21" xr3:uid="{34482116-77E5-4021-9EFD-C4E9C80F4AD9}" name="2050-51 _x000a_to _x000a_2054-55" dataDxfId="165"/>
    <tableColumn id="22" xr3:uid="{2A59EE77-299F-4A19-92C9-6F01E9ED44AE}" name="2055-56 _x000a_to _x000a_2059-60" dataDxfId="164"/>
    <tableColumn id="23" xr3:uid="{57B3E9D3-0D04-43BA-9E22-E99B77A74108}" name="2060-61 _x000a_to _x000a_2064-65" dataDxfId="163"/>
    <tableColumn id="24" xr3:uid="{ADFB3B20-D239-4649-9F9E-3BB385B9AEBE}" name="2065-66 _x000a_to _x000a_2069-70" dataDxfId="162"/>
    <tableColumn id="25" xr3:uid="{04506A77-845A-4480-B7CA-4FDED0932CC5}" name="2070-71 _x000a_to _x000a_2074-75" dataDxfId="161"/>
    <tableColumn id="26" xr3:uid="{A621BF50-F858-425E-A975-1139A88245C4}" name="2075-76 _x000a_to _x000a_2079-80" dataDxfId="160"/>
  </tableColumns>
  <tableStyleInfo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B67501C7-5C43-4890-A3D5-BBBC315F8E40}" name="TBL8b_SDB_Expenditure40" displayName="TBL8b_SDB_Expenditure40" ref="B208:AA224" totalsRowShown="0" headerRowDxfId="159" dataDxfId="157" headerRowBorderDxfId="158" tableBorderDxfId="156" headerRowCellStyle="Normal 2 2 2" dataCellStyle="Normal 7">
  <autoFilter ref="B208:AA224" xr:uid="{FB9857FC-0739-4882-BBF5-719F87DEB517}"/>
  <tableColumns count="26">
    <tableColumn id="1" xr3:uid="{1B9CE265-4C3F-4671-80A2-2AE24687BE3E}" name="Reference" dataDxfId="155" dataCellStyle="Normal 2 2 2"/>
    <tableColumn id="2" xr3:uid="{3C87890B-3840-43E5-B37B-8AFE12B89B63}" name="Expenditure element" dataDxfId="154" dataCellStyle="Normal 2 2 2"/>
    <tableColumn id="3" xr3:uid="{1DE7C019-AE43-42B7-BE34-DBF57DE40FCD}" name="Expenditure type" dataDxfId="153" dataCellStyle="Normal 2 2 2"/>
    <tableColumn id="4" xr3:uid="{D8C2EDDA-96B4-4BDC-B959-AD0E6E7E3CBF}" name="Unit" dataDxfId="152" dataCellStyle="Normal 2 2 2"/>
    <tableColumn id="5" xr3:uid="{89AF0176-F93E-406B-9A93-8CDDC06D2735}" name="Decimal places" dataDxfId="151" dataCellStyle="Normal 2 2 2"/>
    <tableColumn id="6" xr3:uid="{13A6E047-A5F7-4D2F-A2A9-35E6BBDD4E91}" name="2019-20" dataDxfId="150" dataCellStyle="Normal 7"/>
    <tableColumn id="7" xr3:uid="{F9DA680D-6A46-48B1-98F2-AB3F159F839F}" name="2020-21" dataDxfId="149" dataCellStyle="Normal 7"/>
    <tableColumn id="8" xr3:uid="{E2E8E6E5-B521-406A-8033-8072CDB6AAE9}" name="2021-22" dataDxfId="148" dataCellStyle="Normal 7"/>
    <tableColumn id="9" xr3:uid="{2D771EBB-E5A0-4C6B-9F2F-EA9451D7C8CA}" name="2022-23" dataDxfId="147" dataCellStyle="Normal 7"/>
    <tableColumn id="10" xr3:uid="{217EEFF5-6F22-4760-A755-D7C054BFACE7}" name="2023-24" dataDxfId="146" dataCellStyle="Normal 7"/>
    <tableColumn id="11" xr3:uid="{D277837A-6D6E-46A8-90B6-2B6AFFA5FBE9}" name="2024-25" dataDxfId="145" dataCellStyle="Normal 7"/>
    <tableColumn id="12" xr3:uid="{1EE9B05A-0F3B-44CE-B2C7-85B32142EABD}" name="2025-26" dataDxfId="144" dataCellStyle="Normal 7"/>
    <tableColumn id="13" xr3:uid="{19436D2A-28DA-486D-9688-DCB47ADA01AB}" name="2026-27" dataDxfId="143" dataCellStyle="Normal 7"/>
    <tableColumn id="14" xr3:uid="{819B39CB-E822-4779-B368-AA9636BFC921}" name="2027-28" dataDxfId="142" dataCellStyle="Normal 7"/>
    <tableColumn id="15" xr3:uid="{600D13C9-E9BE-4DAC-BF9E-0FA99B98D556}" name="2028-29" dataDxfId="141" dataCellStyle="Normal 7"/>
    <tableColumn id="16" xr3:uid="{E9F03C66-4567-4318-A306-086783FA7588}" name="2029-30" dataDxfId="140" dataCellStyle="Normal 7"/>
    <tableColumn id="17" xr3:uid="{AFCB10BF-F24A-44BB-9274-D9EC301A9E94}" name="2030-31 _x000a_to _x000a_2034-35" dataDxfId="139" dataCellStyle="Normal 7"/>
    <tableColumn id="18" xr3:uid="{A6DC2AAB-D0DA-4EE0-88AB-ED92E42C873F}" name="2035-36 _x000a_to _x000a_2039-40" dataDxfId="138" dataCellStyle="Normal 7"/>
    <tableColumn id="19" xr3:uid="{B04EFD61-C969-4202-B892-203D45424FF4}" name="2040-41 _x000a_to _x000a_2044-45" dataDxfId="137" dataCellStyle="Normal 7"/>
    <tableColumn id="20" xr3:uid="{B8590E16-6E04-4940-98AC-F541B96A09D1}" name="2045-46 _x000a_to _x000a_2049-50" dataDxfId="136" dataCellStyle="Normal 7"/>
    <tableColumn id="21" xr3:uid="{CBD5E4EC-EC70-4E9B-8BB7-295210BF0950}" name="2050-51 _x000a_to _x000a_2054-55" dataDxfId="135" dataCellStyle="Normal 7"/>
    <tableColumn id="22" xr3:uid="{91C66681-AE78-45FC-AC86-273B97EFAB39}" name="2055-56 _x000a_to _x000a_2059-60" dataDxfId="134" dataCellStyle="Normal 7"/>
    <tableColumn id="23" xr3:uid="{A98E5400-4743-4E19-A76B-CF60352866A4}" name="2060-61 _x000a_to _x000a_2064-65" dataDxfId="133" dataCellStyle="Normal 7"/>
    <tableColumn id="24" xr3:uid="{477363E5-68B6-4A45-B5D4-590CA49F6AA3}" name="2065-66 _x000a_to _x000a_2069-70" dataDxfId="132" dataCellStyle="Normal 7"/>
    <tableColumn id="25" xr3:uid="{C69DD1C7-0E5A-4B78-8ACE-03B4D214D98A}" name="2070-71 _x000a_to _x000a_2074-75" dataDxfId="131" dataCellStyle="Normal 7"/>
    <tableColumn id="26" xr3:uid="{50729BC4-4676-48C4-8536-15DC2AAE08D5}" name="2075-76 _x000a_to _x000a_2079-80" dataDxfId="130" dataCellStyle="Normal 7"/>
  </tableColumns>
  <tableStyleInfo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92791E3D-3D08-4D55-AF51-8F8E883C3FC4}" name="TBL8c_Metering_Expenditure41" displayName="TBL8c_Metering_Expenditure41" ref="B227:AA267" totalsRowShown="0" headerRowDxfId="129" dataDxfId="127" headerRowBorderDxfId="128" tableBorderDxfId="126" headerRowCellStyle="Normal 2 2 2" dataCellStyle="Normal 7">
  <autoFilter ref="B227:AA267" xr:uid="{C9B1FF4B-475D-40EB-A1F6-E35BA556109E}"/>
  <tableColumns count="26">
    <tableColumn id="1" xr3:uid="{C5886C0C-C1E4-488D-8E47-7163836B1682}" name="Reference" dataDxfId="125" dataCellStyle="Normal 2 2 2"/>
    <tableColumn id="2" xr3:uid="{179E1789-54A3-41C6-AC4E-8721DF9B4201}" name="Expenditure element" dataDxfId="124" dataCellStyle="Normal 2 2 2"/>
    <tableColumn id="3" xr3:uid="{8E131DA4-ABD1-4BA5-96F1-663C6D0E3A7C}" name="Expenditure type" dataDxfId="123" dataCellStyle="Normal 2 2 2"/>
    <tableColumn id="4" xr3:uid="{F22E717E-ABE5-41B2-96E2-7216844D83E6}" name="Unit" dataDxfId="122" dataCellStyle="Normal 2 2 2"/>
    <tableColumn id="5" xr3:uid="{A7482E9B-5084-4B94-8C37-0B8FE5912615}" name="Decimal places" dataDxfId="121" dataCellStyle="Normal 2 2 2"/>
    <tableColumn id="6" xr3:uid="{FAC485C1-1392-40FA-A12A-2059F394F15E}" name="2019-20" dataDxfId="120" dataCellStyle="Normal 7"/>
    <tableColumn id="7" xr3:uid="{DC590456-4FE2-4D38-A028-1BD6ACFC060F}" name="2020-21" dataDxfId="119" dataCellStyle="Normal 7"/>
    <tableColumn id="8" xr3:uid="{4F07C383-8B39-463B-BCC5-6000D0294C3B}" name="2021-22" dataDxfId="118" dataCellStyle="Normal 7"/>
    <tableColumn id="9" xr3:uid="{95557DC3-EDDA-43FC-83EF-B826489476DC}" name="2022-23" dataDxfId="117" dataCellStyle="Normal 7"/>
    <tableColumn id="10" xr3:uid="{AF0A8D46-B13A-4DF8-8E7D-E2D96A4CEB08}" name="2023-24" dataDxfId="116" dataCellStyle="Normal 7"/>
    <tableColumn id="11" xr3:uid="{FE64A2FD-39A9-4159-AC87-002ECAB23E5F}" name="2024-25" dataDxfId="115" dataCellStyle="Normal 7"/>
    <tableColumn id="12" xr3:uid="{6128273F-75C3-4287-8798-0ADE4D024C8D}" name="2025-26" dataDxfId="114" dataCellStyle="Normal 7"/>
    <tableColumn id="13" xr3:uid="{599E1744-BBA4-46DD-8325-D449BB7AA921}" name="2026-27" dataDxfId="113" dataCellStyle="Normal 7"/>
    <tableColumn id="14" xr3:uid="{09EA03E1-4391-4C71-9156-0D43736FD281}" name="2027-28" dataDxfId="112" dataCellStyle="Normal 7"/>
    <tableColumn id="15" xr3:uid="{577C814F-3D58-4F6E-B020-6609BA0C15C8}" name="2028-29" dataDxfId="111" dataCellStyle="Normal 7"/>
    <tableColumn id="16" xr3:uid="{06D0A987-668A-49FE-BB1F-8DFA2BEE53EC}" name="2029-30" dataDxfId="110" dataCellStyle="Normal 7"/>
    <tableColumn id="17" xr3:uid="{7851A9F9-1931-4566-963D-170E0106C6BD}" name="2030-31 _x000a_to _x000a_2034-35" dataDxfId="109" dataCellStyle="Normal 7"/>
    <tableColumn id="18" xr3:uid="{C5888078-FFBD-4BD9-A5E2-91024F464EAC}" name="2035-36 _x000a_to _x000a_2039-40" dataDxfId="108" dataCellStyle="Normal 7"/>
    <tableColumn id="19" xr3:uid="{42F4E36D-B7D8-4992-9419-CB8220911B1C}" name="2040-41 _x000a_to _x000a_2044-45" dataDxfId="107" dataCellStyle="Normal 7"/>
    <tableColumn id="20" xr3:uid="{997A61C4-BAFE-4F46-9916-FB0D1CBF9BEE}" name="2045-46 _x000a_to _x000a_2049-50" dataDxfId="106" dataCellStyle="Normal 7"/>
    <tableColumn id="21" xr3:uid="{03CF1F46-C9E4-4F7B-88F2-9DB06539B948}" name="2050-51 _x000a_to _x000a_2054-55" dataDxfId="105" dataCellStyle="Normal 7"/>
    <tableColumn id="22" xr3:uid="{8CD0ECFE-EAA1-4654-A4D1-A4335DFEDBBE}" name="2055-56 _x000a_to _x000a_2059-60" dataDxfId="104" dataCellStyle="Normal 7"/>
    <tableColumn id="23" xr3:uid="{6DAAE1AE-8F3D-4EA9-B78B-0F579FBFE873}" name="2060-61 _x000a_to _x000a_2064-65" dataDxfId="103" dataCellStyle="Normal 7"/>
    <tableColumn id="24" xr3:uid="{77FF0FD7-422D-4C01-A6BC-5F7EC2A9516B}" name="2065-66 _x000a_to _x000a_2069-70" dataDxfId="102" dataCellStyle="Normal 7"/>
    <tableColumn id="25" xr3:uid="{0CBC9BFE-BA5C-4E89-B7F7-C41006EDA5D1}" name="2070-71 _x000a_to _x000a_2074-75" dataDxfId="101" dataCellStyle="Normal 7"/>
    <tableColumn id="26" xr3:uid="{61C19BA6-24D7-4F43-ABE7-7F36B9B5B702}" name="2075-76 _x000a_to _x000a_2079-80" dataDxfId="100" dataCellStyle="Normal 7"/>
  </tableColumns>
  <tableStyleInfo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9FE57D03-D5CB-4DFE-AAE8-ABF4A4706EEF}" name="TBL8d_Total_Enhancement42" displayName="TBL8d_Total_Enhancement42" ref="B270:AA273" totalsRowShown="0" headerRowDxfId="99" dataDxfId="97" headerRowBorderDxfId="98" tableBorderDxfId="96" headerRowCellStyle="Normal 2 2 2" dataCellStyle="Normal 7">
  <autoFilter ref="B270:AA273" xr:uid="{4CF459F2-C474-4BB8-869D-60ACC22B7857}"/>
  <tableColumns count="26">
    <tableColumn id="1" xr3:uid="{EE45A856-F127-4792-803D-7496D7139936}" name="Reference" dataDxfId="95" dataCellStyle="Normal 2 2 2"/>
    <tableColumn id="2" xr3:uid="{67722B59-A011-49A4-8AC2-676C51BF9408}" name="Expenditure element" dataDxfId="94" dataCellStyle="Normal 2 2 2"/>
    <tableColumn id="3" xr3:uid="{9112B06B-4761-434B-8257-BD2AA89E3EFF}" name="Expenditure type" dataDxfId="93" dataCellStyle="Normal 2 2 2"/>
    <tableColumn id="4" xr3:uid="{1B67601D-7AC9-466F-B11F-5AC89082C5F8}" name="Unit" dataDxfId="92" dataCellStyle="Normal 2 2 2"/>
    <tableColumn id="5" xr3:uid="{FD457873-30DB-4491-9A11-DDFA022F85F4}" name="Decimal places" dataDxfId="91" dataCellStyle="Normal 2 2 2"/>
    <tableColumn id="6" xr3:uid="{9007035A-B3E2-40D1-B812-AAF5522F22EE}" name="2019-20" dataDxfId="90" dataCellStyle="Normal 7"/>
    <tableColumn id="7" xr3:uid="{6B6484EC-BEC0-4991-861F-6A1BCCB01273}" name="2020-21" dataDxfId="89" dataCellStyle="Normal 7"/>
    <tableColumn id="8" xr3:uid="{26C97BF0-A27D-409E-AD15-1DB96C218ECC}" name="2021-22" dataDxfId="88" dataCellStyle="Normal 7"/>
    <tableColumn id="9" xr3:uid="{B2AA353A-5A4B-4CA3-B930-39FE0206B94F}" name="2022-23" dataDxfId="87" dataCellStyle="Normal 7"/>
    <tableColumn id="10" xr3:uid="{3C136CA9-867A-4529-B9DF-023D16933900}" name="2023-24" dataDxfId="86" dataCellStyle="Normal 7"/>
    <tableColumn id="11" xr3:uid="{3FAEECCE-4A4F-4ACC-AB4B-44009FFAE489}" name="2024-25" dataDxfId="85" dataCellStyle="Normal 7"/>
    <tableColumn id="12" xr3:uid="{6AEE9A8D-8709-433B-BDCD-A6E564DA0173}" name="2025-26" dataDxfId="84" dataCellStyle="Normal 7"/>
    <tableColumn id="13" xr3:uid="{54BB9B4E-E5E5-451C-956D-CFB86CE70B1D}" name="2026-27" dataDxfId="83" dataCellStyle="Normal 7"/>
    <tableColumn id="14" xr3:uid="{2993A82C-1977-434D-A2AA-9CFEE07E0EC3}" name="2027-28" dataDxfId="82" dataCellStyle="Normal 7"/>
    <tableColumn id="15" xr3:uid="{D601F7B9-2D0A-48FC-8110-7E3178B0DA4E}" name="2028-29" dataDxfId="81" dataCellStyle="Normal 7"/>
    <tableColumn id="16" xr3:uid="{06BC2018-DC7D-47B8-B08A-8D8AD7F39965}" name="2029-30" dataDxfId="80" dataCellStyle="Normal 7"/>
    <tableColumn id="17" xr3:uid="{77AE6891-52A7-43A9-A42C-3EAAC47EBAD5}" name="2030-31 _x000a_to _x000a_2034-35" dataDxfId="79" dataCellStyle="Normal 7"/>
    <tableColumn id="18" xr3:uid="{812BEE8C-622C-4541-BA8F-F2090680F12E}" name="2035-36 _x000a_to _x000a_2039-40" dataDxfId="78" dataCellStyle="Normal 7"/>
    <tableColumn id="19" xr3:uid="{A1C49DCE-20DA-475D-B539-F1FEA2C71FBA}" name="2040-41 _x000a_to _x000a_2044-45" dataDxfId="77" dataCellStyle="Normal 7"/>
    <tableColumn id="20" xr3:uid="{DA327627-2FE9-4797-B75B-3E5133706ED2}" name="2045-46 _x000a_to _x000a_2049-50" dataDxfId="76" dataCellStyle="Normal 7"/>
    <tableColumn id="21" xr3:uid="{27239E09-CC85-4114-A208-991C13798ECA}" name="2050-51 _x000a_to _x000a_2054-55" dataDxfId="75" dataCellStyle="Normal 7"/>
    <tableColumn id="22" xr3:uid="{07738456-282C-4B75-8074-F072E8303519}" name="2055-56 _x000a_to _x000a_2059-60" dataDxfId="74" dataCellStyle="Normal 7"/>
    <tableColumn id="23" xr3:uid="{3F08F5D3-2B8A-403F-B3C2-14E516925A60}" name="2060-61 _x000a_to _x000a_2064-65" dataDxfId="73" dataCellStyle="Normal 7"/>
    <tableColumn id="24" xr3:uid="{59A3B2E2-F582-435A-8EAD-D974D76CBE36}" name="2065-66 _x000a_to _x000a_2069-70" dataDxfId="72" dataCellStyle="Normal 7"/>
    <tableColumn id="25" xr3:uid="{1A284FE9-45C7-4712-BFC3-978E611B2562}" name="2070-71 _x000a_to _x000a_2074-75" dataDxfId="71" dataCellStyle="Normal 7"/>
    <tableColumn id="26" xr3:uid="{F582A1B5-5D94-4869-BD5D-46D485061572}" name="2075-76 _x000a_to _x000a_2079-80" dataDxfId="70" dataCellStyle="Normal 7"/>
  </tableColumns>
  <tableStyleInfo name="TableStyleMedium2"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830FFB44-89CB-4D84-BA7C-E1D171E41BD4}" name="TBL8e_Supply_Demand_Benefit43" displayName="TBL8e_Supply_Demand_Benefit43" ref="B276:AA288" totalsRowShown="0" headerRowDxfId="69" dataDxfId="67" headerRowBorderDxfId="68" tableBorderDxfId="66" headerRowCellStyle="Normal 2 2 2" dataCellStyle="Normal 7">
  <autoFilter ref="B276:AA288" xr:uid="{2E01C521-FA6F-49D6-B1FD-BCB97C9166C6}"/>
  <tableColumns count="26">
    <tableColumn id="1" xr3:uid="{90021DC4-6507-40A4-B747-49746BF84A2E}" name="Reference" dataDxfId="65" dataCellStyle="Normal 2 2 2"/>
    <tableColumn id="2" xr3:uid="{BFE7AE9F-FFAC-488A-B3BB-BAB96F643403}" name="Benefit element" dataDxfId="64" dataCellStyle="Normal 2 2 2"/>
    <tableColumn id="3" xr3:uid="{B9C883E6-BB08-46A1-A327-0508999D331C}" name="Expenditure type" dataDxfId="63" dataCellStyle="Normal 2 2 2"/>
    <tableColumn id="4" xr3:uid="{6DD01A11-3A02-4BA7-ADC6-8D21FCB9D002}" name="Unit" dataDxfId="62" dataCellStyle="Normal 2 2 2"/>
    <tableColumn id="5" xr3:uid="{AFA39B99-C1A4-403E-B426-BF8EDE9A8069}" name="Decimal places" dataDxfId="61" dataCellStyle="Normal 2 2 2"/>
    <tableColumn id="6" xr3:uid="{FEF38FD3-BCDA-446E-9E8A-6F4443B0474A}" name="2019-20" dataDxfId="60" dataCellStyle="Normal 7"/>
    <tableColumn id="7" xr3:uid="{D9E9E848-142C-40DA-9317-05058F3CA8F2}" name="2020-21" dataDxfId="59" dataCellStyle="Normal 7"/>
    <tableColumn id="8" xr3:uid="{29709C6F-1D70-46E3-9F68-9B951F884420}" name="2021-22" dataDxfId="58" dataCellStyle="Normal 7"/>
    <tableColumn id="9" xr3:uid="{BACD3FF0-CA15-479E-B199-2FD613933D6C}" name="2022-23" dataDxfId="57" dataCellStyle="Normal 7"/>
    <tableColumn id="10" xr3:uid="{EF0569F7-CE34-4B42-A363-26B3FE019F3B}" name="2023-24" dataDxfId="56" dataCellStyle="Normal 7"/>
    <tableColumn id="11" xr3:uid="{EA091D15-B316-46D9-A787-FDD4321B0B91}" name="2024-25" dataDxfId="55" dataCellStyle="Normal 7"/>
    <tableColumn id="12" xr3:uid="{180ADF85-40CB-4226-AF53-AFAEFE9FD26F}" name="2025-26" dataDxfId="54" dataCellStyle="Normal 7"/>
    <tableColumn id="13" xr3:uid="{02FB99D4-8035-4897-B279-D17784511111}" name="2026-27" dataDxfId="53" dataCellStyle="Normal 7"/>
    <tableColumn id="14" xr3:uid="{461F36F6-E8F0-431D-A941-F3081B979373}" name="2027-28" dataDxfId="52" dataCellStyle="Normal 7"/>
    <tableColumn id="15" xr3:uid="{40A7B87E-ECEA-4AD3-9AB0-D7952DABA381}" name="2028-29" dataDxfId="51" dataCellStyle="Normal 7"/>
    <tableColumn id="16" xr3:uid="{D5DF050A-7F73-40C1-8B38-0CB34E25CCF9}" name="2029-30" dataDxfId="50" dataCellStyle="Normal 7"/>
    <tableColumn id="17" xr3:uid="{50CCC109-7136-43C1-9AB5-685BD5D5263E}" name="2030-31 _x000a_to _x000a_2034-35" dataDxfId="49" dataCellStyle="Normal 7"/>
    <tableColumn id="18" xr3:uid="{C0DA6AA6-A91F-40D1-8281-A3962EF7DA47}" name="2035-36 _x000a_to _x000a_2039-40" dataDxfId="48" dataCellStyle="Normal 7"/>
    <tableColumn id="19" xr3:uid="{B1F05035-D416-4F4B-86F0-012A05F16587}" name="2040-41 _x000a_to _x000a_2044-45" dataDxfId="47" dataCellStyle="Normal 7"/>
    <tableColumn id="20" xr3:uid="{D1AD8C38-FD69-4D56-876E-B9104E07C645}" name="2045-46 _x000a_to _x000a_2049-50" dataDxfId="46" dataCellStyle="Normal 7"/>
    <tableColumn id="21" xr3:uid="{99F9B385-FAAA-48EB-82E8-DEBB0BF9D1B0}" name="2050-51 _x000a_to _x000a_2054-55" dataDxfId="45" dataCellStyle="Normal 7"/>
    <tableColumn id="22" xr3:uid="{4927DF31-BF92-42D4-8926-4B8E6135A412}" name="2055-56 _x000a_to _x000a_2059-60" dataDxfId="44" dataCellStyle="Normal 7"/>
    <tableColumn id="23" xr3:uid="{512656C2-95F9-4D9B-B13F-37C188B68CD7}" name="2060-61 _x000a_to _x000a_2064-65" dataDxfId="43" dataCellStyle="Normal 7"/>
    <tableColumn id="24" xr3:uid="{D56BFBB3-C849-42B9-BBA3-F1699929063E}" name="2065-66 _x000a_to _x000a_2069-70" dataDxfId="42" dataCellStyle="Normal 7"/>
    <tableColumn id="25" xr3:uid="{230801BB-5930-484B-8991-850279EF90AD}" name="2070-71 _x000a_to _x000a_2074-75" dataDxfId="41" dataCellStyle="Normal 7"/>
    <tableColumn id="26" xr3:uid="{11AE67C0-0CB4-4B70-BA10-A964BE01878C}" name="2075-76 _x000a_to _x000a_2079-80" dataDxfId="40" dataCellStyle="Normal 7"/>
  </tableColumns>
  <tableStyleInfo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1FDD7F59-A8DA-4E54-AF10-26CAD95173C3}" name="TBL8f_Leakage_Totex3313" displayName="TBL8f_Leakage_Totex3313" ref="B291:AA293" totalsRowShown="0" headerRowDxfId="39" dataDxfId="37" headerRowBorderDxfId="38" tableBorderDxfId="36" headerRowCellStyle="Normal 2 2 2">
  <autoFilter ref="B291:AA293" xr:uid="{1FDD7F59-A8DA-4E54-AF10-26CAD95173C3}"/>
  <tableColumns count="26">
    <tableColumn id="1" xr3:uid="{44778A75-175C-4BB9-A0F4-AAF9B70B5117}" name="Reference" dataDxfId="35"/>
    <tableColumn id="2" xr3:uid="{EBC57170-3B18-4BFD-AFA4-BD6CEB9BC464}" name="Expenditure element" dataDxfId="34"/>
    <tableColumn id="3" xr3:uid="{0B1F6112-C435-433A-A1DD-A9CE99C660A9}" name="Expenditure type" dataDxfId="33"/>
    <tableColumn id="4" xr3:uid="{983AAF40-3C68-4FE5-A6D3-4AC19AB8C0E0}" name="Unit" dataDxfId="32"/>
    <tableColumn id="5" xr3:uid="{6615C5DE-B3E3-4AF3-AAE5-1659859C8429}" name="Decimal places" dataDxfId="31"/>
    <tableColumn id="6" xr3:uid="{2B08FC6F-8179-40A0-8103-A836BA76BAF3}" name="2019-20" dataDxfId="30"/>
    <tableColumn id="7" xr3:uid="{EBDBD582-8526-4071-B859-76362D50AA5A}" name="2020-21" dataDxfId="29"/>
    <tableColumn id="8" xr3:uid="{712AA260-41F2-4AF6-9938-FB061B740A1F}" name="2021-22" dataDxfId="28"/>
    <tableColumn id="9" xr3:uid="{716B1050-2E2C-4B7F-A9BD-E821C5A8D3C0}" name="2022-23" dataDxfId="27"/>
    <tableColumn id="10" xr3:uid="{F0858CBC-F02F-48BB-B7B7-5D2007FD74EF}" name="2023-24" dataDxfId="26"/>
    <tableColumn id="11" xr3:uid="{DC3B163A-A470-4D17-92F9-2453A32F2DEB}" name="2024-25" dataDxfId="25" dataCellStyle="Normal 7"/>
    <tableColumn id="12" xr3:uid="{79DAFFBC-4306-41D9-B8F2-0E49FC348A34}" name="2025-26" dataDxfId="24">
      <calculatedColumnFormula>M194</calculatedColumnFormula>
    </tableColumn>
    <tableColumn id="13" xr3:uid="{FDC77795-C76A-46D3-83F7-EF7F4D875F10}" name="2026-27" dataDxfId="23">
      <calculatedColumnFormula>N194</calculatedColumnFormula>
    </tableColumn>
    <tableColumn id="14" xr3:uid="{66037E27-EBB8-4A67-93EF-DBBE1CFFCCE6}" name="2027-28" dataDxfId="22">
      <calculatedColumnFormula>O194</calculatedColumnFormula>
    </tableColumn>
    <tableColumn id="15" xr3:uid="{B57AA591-5909-441B-95B9-56E378A7EBFF}" name="2028-29" dataDxfId="21">
      <calculatedColumnFormula>P194</calculatedColumnFormula>
    </tableColumn>
    <tableColumn id="16" xr3:uid="{67F0BEF8-950E-4F54-8DEA-1048896B44EA}" name="2029-30" dataDxfId="20">
      <calculatedColumnFormula>Q194</calculatedColumnFormula>
    </tableColumn>
    <tableColumn id="17" xr3:uid="{851DAD2E-2FB6-4BF7-9A9F-B9C0B0F3CBC7}" name="2030-31 _x000a_to _x000a_2034-35" dataDxfId="19">
      <calculatedColumnFormula>R194</calculatedColumnFormula>
    </tableColumn>
    <tableColumn id="18" xr3:uid="{F56E151E-8B4F-4404-A07C-02E68BFDB59A}" name="2035-36 _x000a_to _x000a_2039-40" dataDxfId="18">
      <calculatedColumnFormula>S194</calculatedColumnFormula>
    </tableColumn>
    <tableColumn id="19" xr3:uid="{CBE683BF-29A0-4F58-9B7F-D37AF7085429}" name="2040-41 _x000a_to _x000a_2044-45" dataDxfId="17">
      <calculatedColumnFormula>T194</calculatedColumnFormula>
    </tableColumn>
    <tableColumn id="20" xr3:uid="{893B22EC-A246-48F7-B94F-2F0E5D92EE14}" name="2045-46 _x000a_to _x000a_2049-50" dataDxfId="16">
      <calculatedColumnFormula>U194</calculatedColumnFormula>
    </tableColumn>
    <tableColumn id="21" xr3:uid="{E0B666A6-2002-4E34-B18C-DB4CF2789D55}" name="2050-51 _x000a_to _x000a_2054-55" dataDxfId="15"/>
    <tableColumn id="22" xr3:uid="{F5488C6D-9DBE-4787-8047-AD2FEBF874A6}" name="2055-56 _x000a_to _x000a_2059-60" dataDxfId="14"/>
    <tableColumn id="23" xr3:uid="{76AD6EF4-2312-4DB7-B4B3-D7134A14EC76}" name="2060-61 _x000a_to _x000a_2064-65" dataDxfId="13"/>
    <tableColumn id="24" xr3:uid="{946F977E-3F06-4FEF-AC19-9C6402DC9DF2}" name="2065-66 _x000a_to _x000a_2069-70" dataDxfId="12"/>
    <tableColumn id="25" xr3:uid="{21EAB9F6-1E48-4597-9548-1D07F52DE582}" name="2070-71 _x000a_to _x000a_2074-75" dataDxfId="11"/>
    <tableColumn id="26" xr3:uid="{F72DE52F-D187-4BD1-834D-EC04CD920B2F}" name="2075-76 _x000a_to _x000a_2079-80" dataDxfId="10"/>
  </tableColumns>
  <tableStyleInfo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79B3E692-8EF3-454B-85C6-1957D60D325D}" name="tblWRZ44" displayName="tblWRZ44" ref="E2:J133" totalsRowShown="0" headerRowDxfId="9" dataDxfId="7" headerRowBorderDxfId="8" tableBorderDxfId="6">
  <autoFilter ref="E2:J133" xr:uid="{79B3E692-8EF3-454B-85C6-1957D60D325D}"/>
  <tableColumns count="6">
    <tableColumn id="1" xr3:uid="{198661D9-D262-4361-873A-5D59AD45EE50}" name="COMPANY" dataDxfId="5"/>
    <tableColumn id="2" xr3:uid="{5612D87C-4942-458B-A632-94E6E98E5542}" name="WRZ_NAME" dataDxfId="4"/>
    <tableColumn id="3" xr3:uid="{E25D601E-F8E3-493A-BE15-28A8E8D11EB6}" name="RZ_ID" dataDxfId="3"/>
    <tableColumn id="4" xr3:uid="{E5FEC7D8-8216-4235-A461-CB48AA69BFDA}" name="WC id" dataDxfId="2"/>
    <tableColumn id="5" xr3:uid="{526192E8-8224-49B8-AA52-E027017647D2}" name="WRZ id" dataDxfId="1"/>
    <tableColumn id="6" xr3:uid="{23FCED85-2D78-4435-A564-233893996877}" name="Combined id" dataDxfId="0"/>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5000000}" name="TBL1f_RawXfer" displayName="TBL1f_RawXfer" ref="B72:L75" totalsRowShown="0" headerRowDxfId="4648" tableBorderDxfId="4647" headerRowCellStyle="Normal 2">
  <autoFilter ref="B72:L75" xr:uid="{00000000-0009-0000-0100-000006000000}"/>
  <tableColumns count="11">
    <tableColumn id="2" xr3:uid="{00000000-0010-0000-0500-000002000000}" name="WRMP24 Reference"/>
    <tableColumn id="3" xr3:uid="{00000000-0010-0000-0500-000003000000}" name="Derivation"/>
    <tableColumn id="4" xr3:uid="{00000000-0010-0000-0500-000004000000}" name="Transfer name"/>
    <tableColumn id="5" xr3:uid="{00000000-0010-0000-0500-000005000000}" name="End date of agreement (dd/mm/yyyy)"/>
    <tableColumn id="6" xr3:uid="{00000000-0010-0000-0500-000006000000}" name="WRZ Code From"/>
    <tableColumn id="7" xr3:uid="{00000000-0010-0000-0500-000007000000}" name="WRZ Code To" dataDxfId="4646"/>
    <tableColumn id="8" xr3:uid="{00000000-0010-0000-0500-000008000000}" name="DYAA deployable output (Ml/d)" dataDxfId="4645"/>
    <tableColumn id="1" xr3:uid="{00000000-0010-0000-0500-000001000000}" name="DYCP deployable output (Ml/d)"/>
    <tableColumn id="9" xr3:uid="{00000000-0010-0000-0500-000009000000}" name="Annual limit (Ml/d)" dataDxfId="4644"/>
    <tableColumn id="10" xr3:uid="{00000000-0010-0000-0500-00000A000000}" name="Changes to agreement during drought" dataDxfId="4643"/>
    <tableColumn id="11" xr3:uid="{00000000-0010-0000-0500-00000B000000}" name="Additional notes (if desired)"/>
  </tableColumns>
  <tableStyleInfo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6000000}" name="TBL1g_PotXfer" displayName="TBL1g_PotXfer" ref="B79:L97" totalsRowShown="0" headerRowDxfId="4642" tableBorderDxfId="4641" headerRowCellStyle="Normal 2">
  <autoFilter ref="B79:L97" xr:uid="{00000000-0009-0000-0100-000007000000}"/>
  <tableColumns count="11">
    <tableColumn id="2" xr3:uid="{00000000-0010-0000-0600-000002000000}" name="WRMP24 Reference"/>
    <tableColumn id="3" xr3:uid="{00000000-0010-0000-0600-000003000000}" name="Derivation"/>
    <tableColumn id="4" xr3:uid="{00000000-0010-0000-0600-000004000000}" name="Transfer name"/>
    <tableColumn id="5" xr3:uid="{00000000-0010-0000-0600-000005000000}" name="End date of agreement (dd/mm/yyyy)"/>
    <tableColumn id="6" xr3:uid="{00000000-0010-0000-0600-000006000000}" name="WRZ Code From"/>
    <tableColumn id="7" xr3:uid="{00000000-0010-0000-0600-000007000000}" name="WRZ Code To" dataDxfId="4640"/>
    <tableColumn id="8" xr3:uid="{00000000-0010-0000-0600-000008000000}" name="DYAA deployable output (Ml/d)" dataDxfId="4639"/>
    <tableColumn id="1" xr3:uid="{00000000-0010-0000-0600-000001000000}" name="DYCP deployable output (Ml/d)"/>
    <tableColumn id="9" xr3:uid="{00000000-0010-0000-0600-000009000000}" name="Annual limit (Ml/d)" dataDxfId="4638"/>
    <tableColumn id="10" xr3:uid="{00000000-0010-0000-0600-00000A000000}" name="Changes to agreement during drought" dataDxfId="4637"/>
    <tableColumn id="11" xr3:uid="{00000000-0010-0000-0600-00000B000000}" name="Additional notes (if desired)"/>
  </tableColumns>
  <tableStyleInfo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7000000}" name="TBL2a_WCKey" displayName="TBL2a_WCKey" ref="B7:AF12" totalsRowShown="0" headerRowDxfId="4636" tableBorderDxfId="4635" headerRowCellStyle="Normal 2">
  <autoFilter ref="B7:AF12" xr:uid="{00000000-0009-0000-0100-000008000000}"/>
  <tableColumns count="31">
    <tableColumn id="1" xr3:uid="{00000000-0010-0000-0700-000001000000}" name="WRMP24 Reference"/>
    <tableColumn id="2" xr3:uid="{00000000-0010-0000-0700-000002000000}" name="Component"/>
    <tableColumn id="3" xr3:uid="{00000000-0010-0000-0700-000003000000}" name="Derivation"/>
    <tableColumn id="4" xr3:uid="{00000000-0010-0000-0700-000004000000}" name="Unit"/>
    <tableColumn id="5" xr3:uid="{00000000-0010-0000-0700-000005000000}" name="Decimal places" dataDxfId="4634"/>
    <tableColumn id="6" xr3:uid="{00000000-0010-0000-0700-000006000000}" name="2019-20" dataDxfId="4633"/>
    <tableColumn id="7" xr3:uid="{00000000-0010-0000-0700-000007000000}" name="2020-21" dataDxfId="4632"/>
    <tableColumn id="8" xr3:uid="{00000000-0010-0000-0700-000008000000}" name="2021-22" dataDxfId="4631"/>
    <tableColumn id="9" xr3:uid="{00000000-0010-0000-0700-000009000000}" name="2022-23" dataDxfId="4630"/>
    <tableColumn id="10" xr3:uid="{00000000-0010-0000-0700-00000A000000}" name="2023-24" dataDxfId="4629"/>
    <tableColumn id="11" xr3:uid="{00000000-0010-0000-0700-00000B000000}" name="2024-25" dataDxfId="4628"/>
    <tableColumn id="12" xr3:uid="{00000000-0010-0000-0700-00000C000000}" name="2025-26" dataDxfId="4627"/>
    <tableColumn id="13" xr3:uid="{00000000-0010-0000-0700-00000D000000}" name="2026-27" dataDxfId="4626"/>
    <tableColumn id="14" xr3:uid="{00000000-0010-0000-0700-00000E000000}" name="2027-28" dataDxfId="4625"/>
    <tableColumn id="15" xr3:uid="{00000000-0010-0000-0700-00000F000000}" name="2028-29" dataDxfId="4624"/>
    <tableColumn id="16" xr3:uid="{00000000-0010-0000-0700-000010000000}" name="2029-30" dataDxfId="4623"/>
    <tableColumn id="23" xr3:uid="{00000000-0010-0000-0700-000017000000}" name="2034-35" dataDxfId="4622"/>
    <tableColumn id="24" xr3:uid="{00000000-0010-0000-0700-000018000000}" name="2039-40" dataDxfId="4621"/>
    <tableColumn id="25" xr3:uid="{00000000-0010-0000-0700-000019000000}" name="2044-45" dataDxfId="4620"/>
    <tableColumn id="26" xr3:uid="{00000000-0010-0000-0700-00001A000000}" name="2049-50" dataDxfId="4619"/>
    <tableColumn id="27" xr3:uid="{00000000-0010-0000-0700-00001B000000}" name="2054-55" dataDxfId="4618"/>
    <tableColumn id="28" xr3:uid="{00000000-0010-0000-0700-00001C000000}" name="2059-60" dataDxfId="4617"/>
    <tableColumn id="20" xr3:uid="{00000000-0010-0000-0700-000014000000}" name="2064-65" dataDxfId="4616"/>
    <tableColumn id="21" xr3:uid="{00000000-0010-0000-0700-000015000000}" name="2069-70" dataDxfId="4615"/>
    <tableColumn id="22" xr3:uid="{00000000-0010-0000-0700-000016000000}" name="2074-75" dataDxfId="4614"/>
    <tableColumn id="29" xr3:uid="{00000000-0010-0000-0700-00001D000000}" name="2079-80" dataDxfId="4613"/>
    <tableColumn id="30" xr3:uid="{00000000-0010-0000-0700-00001E000000}" name="2084-85" dataDxfId="4612"/>
    <tableColumn id="31" xr3:uid="{00000000-0010-0000-0700-00001F000000}" name="2089-90" dataDxfId="4611"/>
    <tableColumn id="17" xr3:uid="{00000000-0010-0000-0700-000011000000}" name="2094-95" dataDxfId="4610"/>
    <tableColumn id="18" xr3:uid="{00000000-0010-0000-0700-000012000000}" name="2099-100" dataDxfId="4609"/>
    <tableColumn id="19" xr3:uid="{00000000-0010-0000-0700-000013000000}" name="Column1" dataDxfId="4608"/>
  </tableColumns>
  <tableStyleInfo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8000000}" name="TBL2b_WCMicroFP" displayName="TBL2b_WCMicroFP" ref="B18:CJ38" totalsRowShown="0" headerRowDxfId="4607" dataDxfId="4606" tableBorderDxfId="4605" headerRowCellStyle="Normal 2">
  <autoFilter ref="B18:CJ38" xr:uid="{00000000-0009-0000-0100-000009000000}"/>
  <tableColumns count="87">
    <tableColumn id="1" xr3:uid="{00000000-0010-0000-0800-000001000000}" name="WRMP24 Reference" dataDxfId="4604"/>
    <tableColumn id="2" xr3:uid="{00000000-0010-0000-0800-000002000000}" name="Component" dataDxfId="4603"/>
    <tableColumn id="3" xr3:uid="{00000000-0010-0000-0800-000003000000}" name="Derivation" dataDxfId="4602"/>
    <tableColumn id="4" xr3:uid="{00000000-0010-0000-0800-000004000000}" name="Unit" dataDxfId="4601"/>
    <tableColumn id="5" xr3:uid="{00000000-0010-0000-0800-000005000000}" name="Decimal places" dataDxfId="4600"/>
    <tableColumn id="6" xr3:uid="{00000000-0010-0000-0800-000006000000}" name="2019-20" dataDxfId="4599"/>
    <tableColumn id="7" xr3:uid="{00000000-0010-0000-0800-000007000000}" name="2020-21" dataDxfId="4598"/>
    <tableColumn id="8" xr3:uid="{00000000-0010-0000-0800-000008000000}" name="2021-22" dataDxfId="4597"/>
    <tableColumn id="9" xr3:uid="{00000000-0010-0000-0800-000009000000}" name="2022-23" dataDxfId="4596"/>
    <tableColumn id="10" xr3:uid="{00000000-0010-0000-0800-00000A000000}" name="2023-24" dataDxfId="4595"/>
    <tableColumn id="11" xr3:uid="{00000000-0010-0000-0800-00000B000000}" name="2024-25" dataDxfId="4594"/>
    <tableColumn id="12" xr3:uid="{00000000-0010-0000-0800-00000C000000}" name="2025-26" dataDxfId="4593"/>
    <tableColumn id="13" xr3:uid="{00000000-0010-0000-0800-00000D000000}" name="2026-27" dataDxfId="4592"/>
    <tableColumn id="14" xr3:uid="{00000000-0010-0000-0800-00000E000000}" name="2027-28" dataDxfId="4591"/>
    <tableColumn id="15" xr3:uid="{00000000-0010-0000-0800-00000F000000}" name="2028-29" dataDxfId="4590"/>
    <tableColumn id="16" xr3:uid="{00000000-0010-0000-0800-000010000000}" name="2029-30" dataDxfId="4589"/>
    <tableColumn id="17" xr3:uid="{00000000-0010-0000-0800-000011000000}" name="2030-31" dataDxfId="4588"/>
    <tableColumn id="18" xr3:uid="{00000000-0010-0000-0800-000012000000}" name="2031-32" dataDxfId="4587"/>
    <tableColumn id="19" xr3:uid="{00000000-0010-0000-0800-000013000000}" name="2032-33" dataDxfId="4586"/>
    <tableColumn id="20" xr3:uid="{00000000-0010-0000-0800-000014000000}" name="2033-34" dataDxfId="4585"/>
    <tableColumn id="21" xr3:uid="{00000000-0010-0000-0800-000015000000}" name="2034-35" dataDxfId="4584"/>
    <tableColumn id="22" xr3:uid="{00000000-0010-0000-0800-000016000000}" name="2035-36" dataDxfId="4583"/>
    <tableColumn id="23" xr3:uid="{00000000-0010-0000-0800-000017000000}" name="2036-37" dataDxfId="4582"/>
    <tableColumn id="24" xr3:uid="{00000000-0010-0000-0800-000018000000}" name="2037-38" dataDxfId="4581"/>
    <tableColumn id="25" xr3:uid="{00000000-0010-0000-0800-000019000000}" name="2038-39" dataDxfId="4580"/>
    <tableColumn id="26" xr3:uid="{00000000-0010-0000-0800-00001A000000}" name="2039-40" dataDxfId="4579"/>
    <tableColumn id="27" xr3:uid="{00000000-0010-0000-0800-00001B000000}" name="2040-41" dataDxfId="4578"/>
    <tableColumn id="28" xr3:uid="{00000000-0010-0000-0800-00001C000000}" name="2041-42" dataDxfId="4577"/>
    <tableColumn id="29" xr3:uid="{00000000-0010-0000-0800-00001D000000}" name="2042-43" dataDxfId="4576"/>
    <tableColumn id="30" xr3:uid="{00000000-0010-0000-0800-00001E000000}" name="2043-44" dataDxfId="4575"/>
    <tableColumn id="31" xr3:uid="{00000000-0010-0000-0800-00001F000000}" name="2044-45" dataDxfId="4574"/>
    <tableColumn id="32" xr3:uid="{00000000-0010-0000-0800-000020000000}" name="2045-46" dataDxfId="4573"/>
    <tableColumn id="33" xr3:uid="{00000000-0010-0000-0800-000021000000}" name="2046-47" dataDxfId="4572"/>
    <tableColumn id="34" xr3:uid="{00000000-0010-0000-0800-000022000000}" name="2047-48" dataDxfId="4571"/>
    <tableColumn id="35" xr3:uid="{00000000-0010-0000-0800-000023000000}" name="2048-49" dataDxfId="4570"/>
    <tableColumn id="36" xr3:uid="{00000000-0010-0000-0800-000024000000}" name="2049-50" dataDxfId="4569"/>
    <tableColumn id="37" xr3:uid="{00000000-0010-0000-0800-000025000000}" name="2050-51" dataDxfId="4568"/>
    <tableColumn id="38" xr3:uid="{00000000-0010-0000-0800-000026000000}" name="2051-52" dataDxfId="4567"/>
    <tableColumn id="39" xr3:uid="{00000000-0010-0000-0800-000027000000}" name="2052-53" dataDxfId="4566"/>
    <tableColumn id="40" xr3:uid="{00000000-0010-0000-0800-000028000000}" name="2053-54" dataDxfId="4565"/>
    <tableColumn id="41" xr3:uid="{00000000-0010-0000-0800-000029000000}" name="2054-55" dataDxfId="4564"/>
    <tableColumn id="42" xr3:uid="{00000000-0010-0000-0800-00002A000000}" name="2055-56" dataDxfId="4563"/>
    <tableColumn id="43" xr3:uid="{00000000-0010-0000-0800-00002B000000}" name="2056-57" dataDxfId="4562"/>
    <tableColumn id="44" xr3:uid="{00000000-0010-0000-0800-00002C000000}" name="2057-58" dataDxfId="4561"/>
    <tableColumn id="45" xr3:uid="{00000000-0010-0000-0800-00002D000000}" name="2058-59" dataDxfId="4560"/>
    <tableColumn id="46" xr3:uid="{00000000-0010-0000-0800-00002E000000}" name="2059-60" dataDxfId="4559"/>
    <tableColumn id="47" xr3:uid="{00000000-0010-0000-0800-00002F000000}" name="2060-61" dataDxfId="4558"/>
    <tableColumn id="48" xr3:uid="{00000000-0010-0000-0800-000030000000}" name="2061-62" dataDxfId="4557"/>
    <tableColumn id="49" xr3:uid="{00000000-0010-0000-0800-000031000000}" name="2062-63" dataDxfId="4556"/>
    <tableColumn id="50" xr3:uid="{00000000-0010-0000-0800-000032000000}" name="2063-64" dataDxfId="4555"/>
    <tableColumn id="51" xr3:uid="{00000000-0010-0000-0800-000033000000}" name="2064-65" dataDxfId="4554"/>
    <tableColumn id="52" xr3:uid="{00000000-0010-0000-0800-000034000000}" name="2065-66" dataDxfId="4553"/>
    <tableColumn id="53" xr3:uid="{00000000-0010-0000-0800-000035000000}" name="2066-67" dataDxfId="4552"/>
    <tableColumn id="54" xr3:uid="{00000000-0010-0000-0800-000036000000}" name="2067-68" dataDxfId="4551"/>
    <tableColumn id="55" xr3:uid="{00000000-0010-0000-0800-000037000000}" name="2068-69" dataDxfId="4550"/>
    <tableColumn id="56" xr3:uid="{00000000-0010-0000-0800-000038000000}" name="2069-70" dataDxfId="4549"/>
    <tableColumn id="57" xr3:uid="{00000000-0010-0000-0800-000039000000}" name="2070-71" dataDxfId="4548"/>
    <tableColumn id="58" xr3:uid="{00000000-0010-0000-0800-00003A000000}" name="2071-72" dataDxfId="4547"/>
    <tableColumn id="59" xr3:uid="{00000000-0010-0000-0800-00003B000000}" name="2072-73" dataDxfId="4546"/>
    <tableColumn id="60" xr3:uid="{00000000-0010-0000-0800-00003C000000}" name="2073-74" dataDxfId="4545"/>
    <tableColumn id="61" xr3:uid="{00000000-0010-0000-0800-00003D000000}" name="2074-75" dataDxfId="4544"/>
    <tableColumn id="62" xr3:uid="{00000000-0010-0000-0800-00003E000000}" name="2075-76" dataDxfId="4543"/>
    <tableColumn id="63" xr3:uid="{00000000-0010-0000-0800-00003F000000}" name="2076-77" dataDxfId="4542"/>
    <tableColumn id="64" xr3:uid="{00000000-0010-0000-0800-000040000000}" name="2077-78" dataDxfId="4541"/>
    <tableColumn id="65" xr3:uid="{00000000-0010-0000-0800-000041000000}" name="2078-79" dataDxfId="4540"/>
    <tableColumn id="66" xr3:uid="{00000000-0010-0000-0800-000042000000}" name="2079-80" dataDxfId="4539"/>
    <tableColumn id="67" xr3:uid="{00000000-0010-0000-0800-000043000000}" name="2080-81" dataDxfId="4538"/>
    <tableColumn id="68" xr3:uid="{00000000-0010-0000-0800-000044000000}" name="2081-82" dataDxfId="4537"/>
    <tableColumn id="69" xr3:uid="{00000000-0010-0000-0800-000045000000}" name="2082-83" dataDxfId="4536"/>
    <tableColumn id="70" xr3:uid="{00000000-0010-0000-0800-000046000000}" name="2083-84" dataDxfId="4535"/>
    <tableColumn id="71" xr3:uid="{00000000-0010-0000-0800-000047000000}" name="2084-85" dataDxfId="4534"/>
    <tableColumn id="72" xr3:uid="{00000000-0010-0000-0800-000048000000}" name="2085-86" dataDxfId="4533"/>
    <tableColumn id="73" xr3:uid="{00000000-0010-0000-0800-000049000000}" name="2086-87" dataDxfId="4532"/>
    <tableColumn id="74" xr3:uid="{00000000-0010-0000-0800-00004A000000}" name="2087-88" dataDxfId="4531"/>
    <tableColumn id="75" xr3:uid="{00000000-0010-0000-0800-00004B000000}" name="2088-89" dataDxfId="4530"/>
    <tableColumn id="76" xr3:uid="{00000000-0010-0000-0800-00004C000000}" name="2089-90" dataDxfId="4529"/>
    <tableColumn id="77" xr3:uid="{00000000-0010-0000-0800-00004D000000}" name="2090-91" dataDxfId="4528"/>
    <tableColumn id="78" xr3:uid="{00000000-0010-0000-0800-00004E000000}" name="2091-92" dataDxfId="4527"/>
    <tableColumn id="79" xr3:uid="{00000000-0010-0000-0800-00004F000000}" name="2092-93" dataDxfId="4526"/>
    <tableColumn id="80" xr3:uid="{00000000-0010-0000-0800-000050000000}" name="2093-94" dataDxfId="4525"/>
    <tableColumn id="81" xr3:uid="{00000000-0010-0000-0800-000051000000}" name="2094-95" dataDxfId="4524"/>
    <tableColumn id="82" xr3:uid="{00000000-0010-0000-0800-000052000000}" name="2095-96" dataDxfId="4523"/>
    <tableColumn id="83" xr3:uid="{00000000-0010-0000-0800-000053000000}" name="2096-97" dataDxfId="4522"/>
    <tableColumn id="84" xr3:uid="{00000000-0010-0000-0800-000054000000}" name="2097-98" dataDxfId="4521"/>
    <tableColumn id="85" xr3:uid="{00000000-0010-0000-0800-000055000000}" name="2098-99" dataDxfId="4520"/>
    <tableColumn id="86" xr3:uid="{00000000-0010-0000-0800-000056000000}" name="2099-100" dataDxfId="4519"/>
    <tableColumn id="87" xr3:uid="{00000000-0010-0000-0800-000057000000}" name="2100-01" dataDxfId="4518"/>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E6" personId="{00000000-0000-0000-0000-000000000000}" id="{5247B3C2-1E78-499E-9974-FFEFF0A5FA16}">
    <text>Do not delete default inserted input lines.  These are required to generate the autosum of all additional rows added.  Additional rows which the user enters can be deleted.
If additional lines are required please insert into middle of group to ensure automatic calculations pick up all data. Please ensure that you check the yellow shaded calculated cells to ensure they take account of added rows and correctly sum the totals. You can add notes in column L to provide additional explanation if desired.
DO NOT DELETE DEFAULT INPUT ROWS - If unrequired leave blank.
For individual licences - Please list only individual licences (i.e. not used in conjunctive use systems).
For Drought Only Licences -  Please only list licences where DO would confidently be impacted. Ensure licences are not double counted, licences should either be in Unused licences or Drought Only licences and not in both.</text>
  </threadedComment>
  <threadedComment ref="K65" personId="{00000000-0000-0000-0000-000000000000}" id="{5A4D96EC-81EE-4ED1-858A-7C0E0F15FAB1}">
    <text xml:space="preserve">Please state if a licence has been applied for, approved, granted, awaiting mobilisation, or other specified status.
</text>
  </threadedComment>
  <threadedComment ref="E97" dT="2024-07-18T21:30:56.70" personId="{00000000-0000-0000-0000-000000000000}" id="{0607883B-3793-4A10-BE15-782FF735D0C3}">
    <text xml:space="preserve">Current dates are not before February 2028 and must end at the latest 31st December 3031.
</text>
  </threadedComment>
</ThreadedComments>
</file>

<file path=xl/threadedComments/threadedComment2.xml><?xml version="1.0" encoding="utf-8"?>
<ThreadedComments xmlns="http://schemas.microsoft.com/office/spreadsheetml/2018/threadedcomments" xmlns:x="http://schemas.openxmlformats.org/spreadsheetml/2006/main">
  <threadedComment ref="D29" dT="2024-05-14T14:07:35.86" personId="{00000000-0000-0000-0000-000000000000}" id="{D8EA7ACE-29D9-4A78-A0DF-1BB352EE417F}">
    <text>Walpole WTW (Blyth) to Halesworth area (NCZ) - TREATED WATER = 1.35 Mld  Confirmed no NAVs in Blyth now.</text>
  </threadedComment>
  <threadedComment ref="P97" dT="2023-08-06T19:46:09.37" personId="{00000000-0000-0000-0000-000000000000}" id="{55F6708E-222B-4E22-9C18-070929C16042}">
    <text>Barsham_WTW_Saxmundham_Tower_A15 Potable Water Transfer</text>
  </threadedComment>
  <threadedComment ref="N99" dT="2023-08-06T19:29:04.26" personId="{00000000-0000-0000-0000-000000000000}" id="{DEF7734E-378D-4BA6-859F-1C1592F1707D}">
    <text>Temporary reduction of Walpole WTW export</text>
  </threadedComment>
  <threadedComment ref="O99" dT="2023-08-06T19:29:10.61" personId="{00000000-0000-0000-0000-000000000000}" id="{81D8DD51-33E3-4BBC-80D2-552A9DF916F0}">
    <text>Temporary reduction of Walpole WTW export</text>
  </threadedComment>
</ThreadedComments>
</file>

<file path=xl/threadedComments/threadedComment3.xml><?xml version="1.0" encoding="utf-8"?>
<ThreadedComments xmlns="http://schemas.microsoft.com/office/spreadsheetml/2018/threadedcomments" xmlns:x="http://schemas.openxmlformats.org/spreadsheetml/2006/main">
  <threadedComment ref="D26" dT="2023-08-06T20:18:37.84" personId="{00000000-0000-0000-0000-000000000000}" id="{FB3D10CB-0C6A-45A1-98C3-A78B376FD941}">
    <text>Bulk raw water import to Chigwell WTWs now included in Aquator model and assessment of DO (6BL)</text>
  </threadedComment>
  <threadedComment ref="D27" dT="2023-08-06T20:19:12.19" personId="{00000000-0000-0000-0000-000000000000}" id="{EA4EFFB3-83CD-4D41-878A-3E6D17769740}">
    <text>(NESBWI2) Anglian Water (Cressing)</text>
  </threadedComment>
  <threadedComment ref="M28" dT="2023-08-06T20:20:28.11" personId="{00000000-0000-0000-0000-000000000000}" id="{4B0ED8F9-3B99-4B5F-B5EA-634FDD7F1DE7}">
    <text>TWU water sharing agreement</text>
  </threadedComment>
  <threadedComment ref="D29" dT="2023-08-06T20:21:57.14" personId="{00000000-0000-0000-0000-000000000000}" id="{1B35D65F-BEAA-4717-B139-411BCFEC871E}">
    <text>Export to AWS (3.05 Ml/d) and NAVS (6.88 Ml/d). 
Lower Thames Crossing Project expected export of 1.5 Mld between 2026/27 and  2033/34 inclusive (but specific dates still TBC).</text>
  </threadedComment>
  <threadedComment ref="I29" dT="2024-07-18T21:51:14.04" personId="{00000000-0000-0000-0000-000000000000}" id="{7F6E4ECB-8FE3-43CF-B7B2-AB62C7037407}">
    <text xml:space="preserve">Export to NAVs - please note this export increases over the planning horizon </text>
  </threadedComment>
  <threadedComment ref="O29" dT="2024-03-26T16:14:24.86" personId="{00000000-0000-0000-0000-000000000000}" id="{7B5C685D-DF56-4051-B52F-707CD668E44D}">
    <text>Lower Thames Crossing Project expected export of 1.5 Mld via Gun Hill main. Current dates are not before February 2028 and must end at the latest 31st December 3031 (but specific dates still TBC).</text>
  </threadedComment>
  <threadedComment ref="P29" dT="2024-07-18T21:34:50.18" personId="{00000000-0000-0000-0000-000000000000}" id="{71D6538E-C20A-44D2-8AB1-7AAAEAE1274D}">
    <text>Lower Thames Crossing Project expected export of 1.5 Mld via Gun Hill main. Current dates are not before February 2028 and must end at the latest 31st December 3031 (but specific dates still TBC).</text>
  </threadedComment>
  <threadedComment ref="Q29" dT="2024-07-18T21:34:56.28" personId="{00000000-0000-0000-0000-000000000000}" id="{0035789C-E854-47AB-B430-FCAD59B1B784}">
    <text>Lower Thames Crossing Project expected export of 1.5 Mld via Gun Hill main. Current dates are not before February 2028 and must end at the latest 31st December 3031 (but specific dates still TBC).</text>
  </threadedComment>
  <threadedComment ref="R29" dT="2024-07-18T21:35:04.12" personId="{00000000-0000-0000-0000-000000000000}" id="{12A6387C-FEF5-4A46-8FAB-35D5EE17FB1C}">
    <text>Lower Thames Crossing Project expected export of 1.5 Mld via Gun Hill main. Current dates are not before February 2028 and must end at the latest 31st December 3031 (but specific dates still TBC).</text>
  </threadedComment>
  <threadedComment ref="S29" dT="2024-07-18T21:35:14.45" personId="{00000000-0000-0000-0000-000000000000}" id="{43BFBD7C-4D6F-4183-A146-D1BA4795E486}">
    <text>Lower Thames Crossing Project expected export of 1.5 Mld via Gun Hill main. Current dates are not before February 2028 and must end at the latest 31st December 3031 (but specific dates still TBC).</text>
  </threadedComment>
  <threadedComment ref="R34" dT="2023-08-06T20:34:33.90" personId="{00000000-0000-0000-0000-000000000000}" id="{17284B5D-89B6-4DA8-8C9A-1790B77ECA2A}">
    <text>AMP7 HOFs on Roman River (8Mld) and Lower River Stour (Judas Gap (5 Mld) and northern channel (2 Mld))</text>
  </threadedComment>
  <threadedComment ref="AB35" dT="2023-08-06T20:35:27.37" personId="{00000000-0000-0000-0000-000000000000}" id="{CBC9895E-0B44-4440-8F5E-7C226449F59A}">
    <text>ESW BAU+ scenario</text>
  </threadedComment>
  <threadedComment ref="D39" dT="2023-08-06T20:16:55.52" personId="{00000000-0000-0000-0000-000000000000}" id="{A1026D9A-127B-4EE0-9DFD-81408AD4700A}">
    <text>All Process losses now included in the Essex WRZ Aquator model and included in assessment of DO.</text>
  </threadedComment>
  <threadedComment ref="D40" dT="2023-08-06T20:38:16.24" personId="{00000000-0000-0000-0000-000000000000}" id="{7D054AA8-65B5-411D-8B6D-C2F7026268B7}">
    <text>Disbenefit of 1 in 200 year outage entered in 9.1FP</text>
  </threadedComment>
  <threadedComment ref="O98" dT="2023-08-06T20:27:27.05" personId="{00000000-0000-0000-0000-000000000000}" id="{FA1EBBEB-4276-4F02-9951-F87D8D55E1AE}">
    <text>Use of existing Linford Well raw water by Lower Thames Crossing Project. Current (26/03/24) - not before February 2028, and must end at latest 31 December 2031.</text>
  </threadedComment>
  <threadedComment ref="I101" dT="2023-08-06T21:00:14.52" personId="{00000000-0000-0000-0000-000000000000}" id="{A29E7AB7-FDE0-4266-89E0-126257908124}">
    <text>Benefit of 1 in 200 yr DO = 16.2 Mld)</text>
  </threadedComment>
  <threadedComment ref="O101" dT="2023-08-06T21:01:16.94" personId="{00000000-0000-0000-0000-000000000000}" id="{B62387A8-25D4-4D9D-93F1-94915D39E4A8}">
    <text>New Linford WTW = 10 Mld</text>
  </threadedComment>
  <threadedComment ref="R101" dT="2023-08-06T21:02:12.26" personId="{00000000-0000-0000-0000-000000000000}" id="{6D220730-4A77-4541-9C0B-426778A18A1F}">
    <text>AbbertonRWPS_and_Langford_Clarifier = 8 Mld</text>
  </threadedComment>
  <threadedComment ref="S101" dT="2023-08-06T21:04:12.05" personId="{00000000-0000-0000-0000-000000000000}" id="{5B667F29-C83C-4783-A81A-3B2988DD61DA}">
    <text>Resilient to 1 in 500 yr drought (i.e., Benefit of 1 in 20 year DO stops)</text>
  </threadedComment>
  <threadedComment ref="O105" dT="2023-08-06T20:55:03.97" personId="{00000000-0000-0000-0000-000000000000}" id="{CBAD623A-8F17-4B80-8EE0-04758CB17B10}">
    <text>5% process loss from new Linford WTW - output constrained by 3.5 Mld until existing well returned by Lower Thames Crossing project. [=(10-3.5)*0.05]</text>
  </threadedComment>
  <threadedComment ref="V105" dT="2023-08-06T20:57:02.60" personId="{00000000-0000-0000-0000-000000000000}" id="{E07A7EC9-25D7-4FDA-AC41-470115A26A62}">
    <text>New Linford WTW at full capacity 10 Mld [=10*0.05]</text>
  </threadedComment>
  <threadedComment ref="I106" dT="2023-08-06T21:07:51.79" personId="{00000000-0000-0000-0000-000000000000}" id="{9BA35F72-71E0-41BF-8FCE-79752FAAE9F1}">
    <text>1 in 200 year outage = 5.7 Mld</text>
  </threadedComment>
  <threadedComment ref="Q106" dT="2023-08-06T21:09:49.74" personId="{00000000-0000-0000-0000-000000000000}" id="{E68FD1C0-92C6-47D8-8137-6A84720C0EE1}">
    <text>New outage redcutions schemes operational: Langford Nitrate Scheme = -2.75 Mld; Langham nitrate scheme = -0.9 Mld; Langford UV = -0.2 Mld. [=5.7-2.75-0.2-0.9]</text>
  </threadedComment>
  <threadedComment ref="S106" dT="2023-08-06T21:08:23.31" personId="{00000000-0000-0000-0000-000000000000}" id="{C4414B4B-A87B-4E82-B496-CED12FA69BF0}">
    <text>1 in 200 year outage stops. Outage reduction from new schemes continues</text>
  </threadedComment>
  <threadedComment ref="R215" dT="2023-08-06T20:34:33.90" personId="{00000000-0000-0000-0000-000000000000}" id="{3DBE0FB6-CA9C-463E-AF34-AD05309EECAE}">
    <text>AMP7 HOFs on Roman River (8Mld) and Lower River Stour (Judas Gap (5 Mld) and northern channel (2 Mld)) - included for DYCP as HOFs rather than annual licence changes</text>
  </threadedComment>
  <threadedComment ref="AB216" dT="2023-08-06T20:35:27.37" personId="{00000000-0000-0000-0000-000000000000}" id="{39A344D5-9362-414F-B1BE-2E69AB2A9D4E}">
    <text>ESW BAU+ scenario - included for DYCP as based on HOFs rather than annual licence changes</text>
  </threadedComment>
  <threadedComment ref="O279" dT="2023-08-06T20:27:27.05" personId="{00000000-0000-0000-0000-000000000000}" id="{B1BAC1D9-9932-4761-883E-E5375AA1D97B}">
    <text>Use of existing Linford Well raw water by Lower Thames Crossing Project 2027/28 (when new Linford WTW operational, until expected end of LTC project in 2033/34, although this is still TBC).</text>
  </threadedComment>
  <threadedComment ref="O282" dT="2023-08-07T20:32:37.71" personId="{00000000-0000-0000-0000-000000000000}" id="{AFE55FE5-7E22-47DB-BA1A-758D72FC9C12}">
    <text>New Linford WTW = 10 Mld</text>
  </threadedComment>
</ThreadedComments>
</file>

<file path=xl/threadedComments/threadedComment4.xml><?xml version="1.0" encoding="utf-8"?>
<ThreadedComments xmlns="http://schemas.microsoft.com/office/spreadsheetml/2018/threadedcomments" xmlns:x="http://schemas.openxmlformats.org/spreadsheetml/2006/main">
  <threadedComment ref="D26" dT="2023-06-17T19:13:48.81" personId="{00000000-0000-0000-0000-000000000000}" id="{A29DC0B2-DAE7-4563-9977-76D281DCC98C}">
    <text>Bleach Green (N/C) to Syleham (Hartismere) - RAW WATER. Profiled with licence caps and ED reduction.</text>
  </threadedComment>
  <threadedComment ref="D29" dT="2024-05-14T14:08:27.91" personId="{00000000-0000-0000-0000-000000000000}" id="{8FD5F576-7157-4A5F-9034-AC1BDBB7B7BE}">
    <text>NAVs x4 @0.2 Ml/d</text>
  </threadedComment>
  <threadedComment ref="P97" dT="2023-08-06T07:02:33.98" personId="{00000000-0000-0000-0000-000000000000}" id="{49F87CDF-2CB6-4A47-97AF-426069465D7C}">
    <text>HoltonWTW_EyeAirfield Potable Water Transfer</text>
  </threadedComment>
  <threadedComment ref="M101" dT="2023-08-08T10:53:56.02" personId="{00000000-0000-0000-0000-000000000000}" id="{695AFB3B-0DD9-478F-A01A-930F462DDFC3}">
    <text>Reg19 derogation to defer No Det SR on all GW sources</text>
  </threadedComment>
  <threadedComment ref="T278" dT="2023-08-08T13:21:55.84" personId="{00000000-0000-0000-0000-000000000000}" id="{3FEF7F06-E0EC-427F-AFB5-8AA97EE04447}">
    <text>HoltonWTW_EyeAirfield Potable Water Transfer</text>
  </threadedComment>
</ThreadedComments>
</file>

<file path=xl/threadedComments/threadedComment5.xml><?xml version="1.0" encoding="utf-8"?>
<ThreadedComments xmlns="http://schemas.microsoft.com/office/spreadsheetml/2018/threadedcomments" xmlns:x="http://schemas.openxmlformats.org/spreadsheetml/2006/main">
  <threadedComment ref="D27" dT="2023-08-07T20:40:18.47" personId="{00000000-0000-0000-0000-000000000000}" id="{7EFD8AAF-BB3E-4989-9928-3F614F355E08}">
    <text>Walpole WTW (Blyth) to Halesworth area (NCZ) - TREATED WATER = 1.35 Mld</text>
  </threadedComment>
  <threadedComment ref="I28" dT="2023-08-07T20:44:37.80" personId="{00000000-0000-0000-0000-000000000000}" id="{4F47F8A7-3466-4ECF-B22F-6C181AC618E0}">
    <text>Bleach Green BHs 2Mld (NCZ) to Syleham WTW (Hartismere); capped to 1.46 Mld in 2030/31, and then to 0.73 Mld from 2040. Plus; Halesworth BH (NCZ) to Walpole WTW (Blyth) at 1.38 Mld, then capped at 1.37 Mld from 30/31, then to 1.30 Mld from 2040/41.</text>
  </threadedComment>
  <threadedComment ref="R28" dT="2023-08-07T20:44:51.31" personId="{00000000-0000-0000-0000-000000000000}" id="{2F61D197-DA01-413C-8ECC-F8146A748117}">
    <text>Bleach Green BHs 2Mld (NCZ) to Syleham WTW (Hartismere); capped to 1.46 Mld in 2030/31, and then to 0.73 Mld from 2040. Plus; Halesworth BH (NCZ) to Walpole WTW (Blyth) at 1.38 Mld, then capped at 1.37 Mld from 30/31, then to 1.30 Mld from 2040/41.</text>
  </threadedComment>
  <threadedComment ref="AB28" dT="2023-08-07T20:45:07.39" personId="{00000000-0000-0000-0000-000000000000}" id="{60B1AA04-146F-415C-A99A-E7344FD4EE63}">
    <text>Bleach Green BHs 2Mld (NCZ) to Syleham WTW (Hartismere); capped to 1.46 Mld in 2030/31, and then to 0.73 Mld from 2040. Plus; Halesworth BH (NCZ) to Walpole WTW (Blyth) at 1.38 Mld, then capped at 1.37 Mld from 30/31, then to 1.30 Mld from 2040/41.</text>
  </threadedComment>
  <threadedComment ref="D29" dT="2023-08-07T20:45:51.49" personId="{00000000-0000-0000-0000-000000000000}" id="{B91FE516-CAE9-41CB-9DFC-95E5EC400929}">
    <text>AWS exports x 2 (0.37Ml/d) plus 1 NAV 0.06Ml/d</text>
  </threadedComment>
  <threadedComment ref="D33" dT="2023-08-07T20:49:12.53" personId="{00000000-0000-0000-0000-000000000000}" id="{06EA0113-6C65-4371-A03B-4B08C79C35A3}">
    <text>No climate change impact because Shipmeadow intake on the River Waveney supported with WAGS to minium flow of 18/16 Mld.</text>
  </threadedComment>
  <threadedComment ref="I34" dT="2023-08-07T20:50:54.91" personId="{00000000-0000-0000-0000-000000000000}" id="{598FABA8-FF9C-43B9-9B9B-6D22A35A4589}">
    <text>Barsham No.2 &amp; Puddingmoor No Det SR</text>
  </threadedComment>
  <threadedComment ref="N34" dT="2023-08-07T20:53:58.34" personId="{00000000-0000-0000-0000-000000000000}" id="{50BFD2ED-9325-435E-AF00-AD66712E6890}">
    <text>Holton &amp; Halesworth</text>
  </threadedComment>
  <threadedComment ref="R34" personId="{00000000-0000-0000-0000-000000000000}" id="{5A20FF94-3269-4E54-B64B-EAEC3ED60D01}">
    <text>All other GW No Det SRs implemented, plus No Det SR  reduction at Shipmeadow on River Waveney from 20.5 to 18.</text>
  </threadedComment>
  <threadedComment ref="T34" dT="2023-08-08T08:11:58.59" personId="{00000000-0000-0000-0000-000000000000}" id="{DD7D2634-0FD7-4636-B1E9-62AEA0541499}">
    <text>Further 2 Mld loss of abstraction at Shipmeadow on River Waveney.</text>
  </threadedComment>
  <threadedComment ref="D39" dT="2023-08-08T08:09:41.96" personId="{00000000-0000-0000-0000-000000000000}" id="{C2D295A8-D859-4A27-88CF-351BEF63AA7D}">
    <text>Reduces over planning horizon with sustainability reduction implementation.</text>
  </threadedComment>
  <threadedComment ref="N97" dT="2023-08-08T12:47:49.55" personId="{00000000-0000-0000-0000-000000000000}" id="{1880DB6E-3E4E-472A-BD4F-69730763FE40}">
    <text>Temporary reduction of Walpole WTW export to Halesworth distribution area</text>
  </threadedComment>
  <threadedComment ref="O97" dT="2023-08-08T12:47:54.22" personId="{00000000-0000-0000-0000-000000000000}" id="{896D7C4B-20AE-4949-AB3E-02DB08C3C160}">
    <text>Temporary reduction of Walpole WTW export to Halesworth distribution area</text>
  </threadedComment>
  <threadedComment ref="P99" dT="2023-08-07T21:07:30.34" personId="{00000000-0000-0000-0000-000000000000}" id="{7DC1CCCD-B4C2-4453-B5C7-2536B6E505AB}">
    <text>Barsham_WTW_Saxmundham_Tower_A15 Potable Water Transfer to Blyth, plus, HoltonWTW_EyeAirfield Potable Water Transfer to Hartismere.</text>
  </threadedComment>
  <threadedComment ref="R101" dT="2023-08-07T21:21:49.37" personId="{00000000-0000-0000-0000-000000000000}" id="{E1472FE8-D19D-4674-B41A-80FA0A58D8DE}">
    <text>Bungay_to_BarshamWTW_pipeline = 1 Mld</text>
  </threadedComment>
  <threadedComment ref="T101" dT="2023-08-07T21:23:22.85" personId="{00000000-0000-0000-0000-000000000000}" id="{21A05F1B-3734-4787-A568-DC3EC472380A}">
    <text>Plus Lowestoft Reuse (=1+11)</text>
  </threadedComment>
  <threadedComment ref="AB101" dT="2023-08-07T21:24:18.53" personId="{00000000-0000-0000-0000-000000000000}" id="{BFA5DAE5-8BB9-4FF6-A9AC-ACAF686B58D5}">
    <text>Plus North Suffolk Winter Storage 7500 and Transfer = 19.9 Mld. (=1+11+19.9)</text>
  </threadedComment>
  <threadedComment ref="Q106" dT="2023-08-07T21:15:18.46" personId="{00000000-0000-0000-0000-000000000000}" id="{E650967C-758C-45F8-B98B-A69537DDE57C}">
    <text>Barsham_Nitrate_Scheme</text>
  </threadedComment>
  <threadedComment ref="R215" dT="2023-08-31T20:24:09.01" personId="{00000000-0000-0000-0000-000000000000}" id="{C11AF437-F118-4BD0-A035-45DE14E77168}">
    <text xml:space="preserve">No Det SR  reduction at Shipmeadow on River Waveney from 20.5 to 18.
</text>
  </threadedComment>
  <threadedComment ref="T215" dT="2023-08-31T20:24:33.68" personId="{00000000-0000-0000-0000-000000000000}" id="{769C0731-4A3C-4D8A-B37E-9F004EAE6F16}">
    <text>Further 2 Mld loss of abstraction at Shipmeadow on River Waveney.</text>
  </threadedComment>
  <threadedComment ref="T280" dT="2023-08-08T13:22:05.19" personId="{00000000-0000-0000-0000-000000000000}" id="{8B5BDD0E-2DDA-42B0-B820-9BA2BB5E6F44}">
    <text>HoltonWTW_EyeAirfield Potable Water Transfer</text>
  </threadedComment>
</ThreadedComments>
</file>

<file path=xl/threadedComments/threadedComment6.xml><?xml version="1.0" encoding="utf-8"?>
<ThreadedComments xmlns="http://schemas.microsoft.com/office/spreadsheetml/2018/threadedcomments" xmlns:x="http://schemas.openxmlformats.org/spreadsheetml/2006/main">
  <threadedComment ref="AJ5" dT="2023-09-19T12:30:21.74" personId="{00000000-0000-0000-0000-000000000000}" id="{DCACB9A4-32C5-4E14-8A76-AA96E5BFF17C}">
    <text>Monetised (£NPV) impact of the option on natural capital e.g. change to land use, recreation. (assumes 30 years of benefits)</text>
  </threadedComment>
</ThreadedComments>
</file>

<file path=xl/threadedComments/threadedComment7.xml><?xml version="1.0" encoding="utf-8"?>
<ThreadedComments xmlns="http://schemas.microsoft.com/office/spreadsheetml/2018/threadedcomments" xmlns:x="http://schemas.openxmlformats.org/spreadsheetml/2006/main">
  <threadedComment ref="T8" dT="2023-09-19T08:33:15.22" personId="{00000000-0000-0000-0000-000000000000}" id="{31E62967-3915-48C2-A13F-AA6C61D05D0F}">
    <text xml:space="preserve">Figures are -ve because they are an increase to raw water and process losses, and so are a reduction to WAFU. </text>
  </threadedComment>
  <threadedComment ref="U8" dT="2023-09-19T08:33:15.22" personId="{00000000-0000-0000-0000-000000000000}" id="{5A01B310-DA9D-4BC2-9A00-E4F7D4298CF5}">
    <text xml:space="preserve">Figures are -ve because they are an increase to raw water and process losses, and so are a reduction to WAFU. </text>
  </threadedComment>
  <threadedComment ref="V8" dT="2023-09-19T08:33:15.22" personId="{00000000-0000-0000-0000-000000000000}" id="{B72B8872-12F6-49E7-8EFA-3986CA536463}">
    <text xml:space="preserve">Figures are -ve because they are an increase to raw water and process losses, and so are a reduction to WAFU. </text>
  </threadedComment>
  <threadedComment ref="W8" dT="2023-09-19T08:33:15.22" personId="{00000000-0000-0000-0000-000000000000}" id="{C8E4A139-1BB3-4773-A5EB-29A63CD9B7A1}">
    <text xml:space="preserve">Figures are -ve because they are an increase to raw water and process losses, and so are a reduction to WAFU. </text>
  </threadedComment>
  <threadedComment ref="X8" dT="2023-09-19T08:33:15.22" personId="{00000000-0000-0000-0000-000000000000}" id="{46DCB147-6983-4079-8011-C6D19DF1B977}">
    <text xml:space="preserve">Figures are -ve because they are an increase to raw water and process losses, and so are a reduction to WAFU. </text>
  </threadedComment>
  <threadedComment ref="Y8" dT="2023-09-19T08:33:15.22" personId="{00000000-0000-0000-0000-000000000000}" id="{D8CBB866-86A8-41F8-81B6-C4EED5F39433}">
    <text xml:space="preserve">Figures are -ve because they are an increase to raw water and process losses, and so are a reduction to WAFU. </text>
  </threadedComment>
  <threadedComment ref="Z8" dT="2023-09-19T08:33:15.22" personId="{00000000-0000-0000-0000-000000000000}" id="{DFD8112D-A2D0-4EC3-BB22-5E678943FAC4}">
    <text xml:space="preserve">Figures are -ve because they are an increase to raw water and process losses, and so are a reduction to WAFU. </text>
  </threadedComment>
  <threadedComment ref="AA8" dT="2023-09-19T08:33:15.22" personId="{00000000-0000-0000-0000-000000000000}" id="{AE3B8982-7B16-450E-BF29-2F7C9DEBBFE2}">
    <text xml:space="preserve">Figures are -ve because they are an increase to raw water and process losses, and so are a reduction to WAFU. </text>
  </threadedComment>
  <threadedComment ref="AB8" dT="2023-09-19T08:33:15.22" personId="{00000000-0000-0000-0000-000000000000}" id="{E10683BD-9CF7-4446-A7EB-A1A4B31A293B}">
    <text xml:space="preserve">Figures are -ve because they are an increase to raw water and process losses, and so are a reduction to WAFU. </text>
  </threadedComment>
  <threadedComment ref="AC8" dT="2023-09-19T08:33:15.22" personId="{00000000-0000-0000-0000-000000000000}" id="{A60A9FF3-185E-4BCB-ACF1-5C3E6E7EA3F1}">
    <text xml:space="preserve">Figures are -ve because they are an increase to raw water and process losses, and so are a reduction to WAFU. </text>
  </threadedComment>
  <threadedComment ref="AD8" dT="2023-09-19T08:33:15.22" personId="{00000000-0000-0000-0000-000000000000}" id="{44629034-C639-4925-A24C-2FE4086EA0FD}">
    <text xml:space="preserve">Figures are -ve because they are an increase to raw water and process losses, and so are a reduction to WAFU. </text>
  </threadedComment>
  <threadedComment ref="AE8" dT="2023-09-19T08:33:15.22" personId="{00000000-0000-0000-0000-000000000000}" id="{260BD320-189E-469C-908E-0F43A90A8621}">
    <text xml:space="preserve">Figures are -ve because they are an increase to raw water and process losses, and so are a reduction to WAFU. </text>
  </threadedComment>
  <threadedComment ref="AF8" dT="2023-09-19T08:33:15.22" personId="{00000000-0000-0000-0000-000000000000}" id="{A9BC7428-5593-4957-BC91-CF9D569638D9}">
    <text xml:space="preserve">Figures are -ve because they are an increase to raw water and process losses, and so are a reduction to WAFU. </text>
  </threadedComment>
  <threadedComment ref="AG8" dT="2023-09-19T08:33:15.22" personId="{00000000-0000-0000-0000-000000000000}" id="{6B1B4F63-5C00-4095-B59C-CA393AD35759}">
    <text xml:space="preserve">Figures are -ve because they are an increase to raw water and process losses, and so are a reduction to WAFU. </text>
  </threadedComment>
  <threadedComment ref="AH8" dT="2023-09-19T08:33:15.22" personId="{00000000-0000-0000-0000-000000000000}" id="{89B82D72-E487-44DD-A87C-B02523A7A7E9}">
    <text xml:space="preserve">Figures are -ve because they are an increase to raw water and process losses, and so are a reduction to WAFU. </text>
  </threadedComment>
  <threadedComment ref="AI8" dT="2023-09-19T08:33:15.22" personId="{00000000-0000-0000-0000-000000000000}" id="{642A2519-4100-49E3-B8DF-78A8FB7CB247}">
    <text xml:space="preserve">Figures are -ve because they are an increase to raw water and process losses, and so are a reduction to WAFU. </text>
  </threadedComment>
  <threadedComment ref="AJ8" dT="2023-09-19T08:33:15.22" personId="{00000000-0000-0000-0000-000000000000}" id="{389412A7-5F2A-4650-98ED-75B03B3000AE}">
    <text xml:space="preserve">Figures are -ve because they are an increase to raw water and process losses, and so are a reduction to WAFU. </text>
  </threadedComment>
  <threadedComment ref="AK8" dT="2023-09-19T08:33:15.22" personId="{00000000-0000-0000-0000-000000000000}" id="{717205FB-1BC3-41FC-ABF7-7368B0471D38}">
    <text xml:space="preserve">Figures are -ve because they are an increase to raw water and process losses, and so are a reduction to WAFU. </text>
  </threadedComment>
  <threadedComment ref="AL8" dT="2023-09-19T08:33:15.22" personId="{00000000-0000-0000-0000-000000000000}" id="{172EDF21-336A-440C-910C-9EE3F3F4A3C3}">
    <text xml:space="preserve">Figures are -ve because they are an increase to raw water and process losses, and so are a reduction to WAFU. </text>
  </threadedComment>
  <threadedComment ref="AM8" dT="2023-09-19T08:33:15.22" personId="{00000000-0000-0000-0000-000000000000}" id="{1444E59E-375A-40C4-A1BF-8F3BF8F717D8}">
    <text xml:space="preserve">Figures are -ve because they are an increase to raw water and process losses, and so are a reduction to WAFU. </text>
  </threadedComment>
  <threadedComment ref="AN8" dT="2023-09-19T08:33:15.22" personId="{00000000-0000-0000-0000-000000000000}" id="{B2F02AAD-C55B-4E33-9671-532D95825477}">
    <text xml:space="preserve">Figures are -ve because they are an increase to raw water and process losses, and so are a reduction to WAFU. </text>
  </threadedComment>
  <threadedComment ref="AO8" dT="2023-09-19T08:33:15.22" personId="{00000000-0000-0000-0000-000000000000}" id="{5D0847EF-6CA4-4B9E-9E44-A80AE0CFA1D4}">
    <text xml:space="preserve">Figures are -ve because they are an increase to raw water and process losses, and so are a reduction to WAFU. </text>
  </threadedComment>
  <threadedComment ref="AP8" dT="2023-09-19T08:33:15.22" personId="{00000000-0000-0000-0000-000000000000}" id="{A15EF154-02A6-484A-8394-B0223B6C81B3}">
    <text xml:space="preserve">Figures are -ve because they are an increase to raw water and process losses, and so are a reduction to WAFU. </text>
  </threadedComment>
  <threadedComment ref="T9" dT="2023-09-19T08:33:15.22" personId="{00000000-0000-0000-0000-000000000000}" id="{3D9D0803-B304-4213-B9D3-2D60B07BC615}">
    <text xml:space="preserve">Figures are -ve because they are an increase to raw water and process losses, and so are a reduction to WAFU. </text>
  </threadedComment>
  <threadedComment ref="U9" dT="2023-09-19T08:33:15.22" personId="{00000000-0000-0000-0000-000000000000}" id="{7AECDCE8-E100-491F-9968-94A95CB1A502}">
    <text xml:space="preserve">Figures are -ve because they are an increase to raw water and process losses, and so are a reduction to WAFU. </text>
  </threadedComment>
  <threadedComment ref="V9" dT="2023-09-19T08:33:15.22" personId="{00000000-0000-0000-0000-000000000000}" id="{5BB2A670-E5E5-4EF7-8903-6407AC4F6EF1}">
    <text xml:space="preserve">Figures are -ve because they are an increase to raw water and process losses, and so are a reduction to WAFU. </text>
  </threadedComment>
  <threadedComment ref="W9" dT="2023-09-19T08:33:15.22" personId="{00000000-0000-0000-0000-000000000000}" id="{FBCB2B10-E9E3-4EC9-A95B-593832C295D8}">
    <text xml:space="preserve">Figures are -ve because they are an increase to raw water and process losses, and so are a reduction to WAFU. </text>
  </threadedComment>
  <threadedComment ref="X9" dT="2023-09-19T08:33:15.22" personId="{00000000-0000-0000-0000-000000000000}" id="{7B628F5E-DE40-4FF5-A07C-5FE046B09AD1}">
    <text xml:space="preserve">Figures are -ve because they are an increase to raw water and process losses, and so are a reduction to WAFU. </text>
  </threadedComment>
  <threadedComment ref="Y9" dT="2023-09-19T08:33:15.22" personId="{00000000-0000-0000-0000-000000000000}" id="{D33DF5F2-6466-43CB-B245-5A133466B1A3}">
    <text xml:space="preserve">Figures are -ve because they are an increase to raw water and process losses, and so are a reduction to WAFU. </text>
  </threadedComment>
  <threadedComment ref="Z9" dT="2023-09-19T08:33:15.22" personId="{00000000-0000-0000-0000-000000000000}" id="{61475253-7791-4CAE-A32A-2F16E432C050}">
    <text xml:space="preserve">Figures are -ve because they are an increase to raw water and process losses, and so are a reduction to WAFU. </text>
  </threadedComment>
  <threadedComment ref="AA9" dT="2023-09-19T08:33:15.22" personId="{00000000-0000-0000-0000-000000000000}" id="{524A6930-97A2-4D21-B8B5-B8DE2E74083D}">
    <text xml:space="preserve">Figures are -ve because they are an increase to raw water and process losses, and so are a reduction to WAFU. </text>
  </threadedComment>
  <threadedComment ref="AB9" dT="2023-09-19T08:33:15.22" personId="{00000000-0000-0000-0000-000000000000}" id="{2AC9CF20-D2BB-4551-A383-8D2DFF484482}">
    <text xml:space="preserve">Figures are -ve because they are an increase to raw water and process losses, and so are a reduction to WAFU. </text>
  </threadedComment>
  <threadedComment ref="AC9" dT="2023-09-19T08:33:15.22" personId="{00000000-0000-0000-0000-000000000000}" id="{61CCD6DD-FBC8-427A-AB3D-FDC53E436354}">
    <text xml:space="preserve">Figures are -ve because they are an increase to raw water and process losses, and so are a reduction to WAFU. </text>
  </threadedComment>
  <threadedComment ref="AD9" dT="2023-09-19T08:33:15.22" personId="{00000000-0000-0000-0000-000000000000}" id="{DE7A0754-565A-4BE0-9757-2DD8642B9AB7}">
    <text xml:space="preserve">Figures are -ve because they are an increase to raw water and process losses, and so are a reduction to WAFU. </text>
  </threadedComment>
  <threadedComment ref="AE9" dT="2023-09-19T08:33:15.22" personId="{00000000-0000-0000-0000-000000000000}" id="{F4E7EA84-AA09-461C-BB70-C69423F03418}">
    <text xml:space="preserve">Figures are -ve because they are an increase to raw water and process losses, and so are a reduction to WAFU. </text>
  </threadedComment>
  <threadedComment ref="AF9" dT="2023-09-19T08:33:15.22" personId="{00000000-0000-0000-0000-000000000000}" id="{E1B40A9F-2C93-4DB4-B143-C68E72C97A51}">
    <text xml:space="preserve">Figures are -ve because they are an increase to raw water and process losses, and so are a reduction to WAFU. </text>
  </threadedComment>
  <threadedComment ref="AG9" dT="2023-09-19T08:33:15.22" personId="{00000000-0000-0000-0000-000000000000}" id="{07F02811-4EAB-47FB-87F5-63032C75740C}">
    <text xml:space="preserve">Figures are -ve because they are an increase to raw water and process losses, and so are a reduction to WAFU. </text>
  </threadedComment>
  <threadedComment ref="AH9" dT="2023-09-19T08:33:15.22" personId="{00000000-0000-0000-0000-000000000000}" id="{0E7AB2E9-147F-4D68-8A64-EDEE815732AB}">
    <text xml:space="preserve">Figures are -ve because they are an increase to raw water and process losses, and so are a reduction to WAFU. </text>
  </threadedComment>
  <threadedComment ref="AI9" dT="2023-09-19T08:33:15.22" personId="{00000000-0000-0000-0000-000000000000}" id="{B0DBE0B5-877E-4264-94E1-72E89EDC2D74}">
    <text xml:space="preserve">Figures are -ve because they are an increase to raw water and process losses, and so are a reduction to WAFU. </text>
  </threadedComment>
  <threadedComment ref="AJ9" dT="2023-09-19T08:33:15.22" personId="{00000000-0000-0000-0000-000000000000}" id="{18FB3277-7D05-4600-BD8C-03420D9A24B7}">
    <text xml:space="preserve">Figures are -ve because they are an increase to raw water and process losses, and so are a reduction to WAFU. </text>
  </threadedComment>
  <threadedComment ref="AK9" dT="2023-09-19T08:33:15.22" personId="{00000000-0000-0000-0000-000000000000}" id="{69001726-4917-4A7A-A984-A2AFC839269A}">
    <text xml:space="preserve">Figures are -ve because they are an increase to raw water and process losses, and so are a reduction to WAFU. </text>
  </threadedComment>
  <threadedComment ref="AL9" dT="2023-09-19T08:33:15.22" personId="{00000000-0000-0000-0000-000000000000}" id="{70D100B7-4BEB-462C-890D-B87389927437}">
    <text xml:space="preserve">Figures are -ve because they are an increase to raw water and process losses, and so are a reduction to WAFU. </text>
  </threadedComment>
  <threadedComment ref="AM9" dT="2023-09-19T08:33:15.22" personId="{00000000-0000-0000-0000-000000000000}" id="{C247043F-F284-4EDB-9E5D-F8353772B68A}">
    <text xml:space="preserve">Figures are -ve because they are an increase to raw water and process losses, and so are a reduction to WAFU. </text>
  </threadedComment>
  <threadedComment ref="AN9" dT="2023-09-19T08:33:15.22" personId="{00000000-0000-0000-0000-000000000000}" id="{3806CA81-28F1-4B80-8C71-19824422D151}">
    <text xml:space="preserve">Figures are -ve because they are an increase to raw water and process losses, and so are a reduction to WAFU. </text>
  </threadedComment>
  <threadedComment ref="AO9" dT="2023-09-19T08:33:15.22" personId="{00000000-0000-0000-0000-000000000000}" id="{2307A6A4-695C-4EB4-A4BB-B16CD692E99C}">
    <text xml:space="preserve">Figures are -ve because they are an increase to raw water and process losses, and so are a reduction to WAFU. </text>
  </threadedComment>
  <threadedComment ref="AP9" dT="2023-09-19T08:33:15.22" personId="{00000000-0000-0000-0000-000000000000}" id="{B809B383-BA92-4FC3-B47A-F636A803F8D1}">
    <text xml:space="preserve">Figures are -ve because they are an increase to raw water and process losses, and so are a reduction to WAFU. </text>
  </threadedComment>
  <threadedComment ref="T10" dT="2023-09-19T08:33:15.22" personId="{00000000-0000-0000-0000-000000000000}" id="{B7CAE499-848B-4279-BAA8-43834E4547C9}">
    <text xml:space="preserve">Figures are -ve because they are an increase to raw water and process losses, and so are a reduction to WAFU. </text>
  </threadedComment>
  <threadedComment ref="U10" dT="2023-09-19T08:33:15.22" personId="{00000000-0000-0000-0000-000000000000}" id="{FC324F95-783F-4459-818F-655F9FC09752}">
    <text xml:space="preserve">Figures are -ve because they are an increase to raw water and process losses, and so are a reduction to WAFU. </text>
  </threadedComment>
  <threadedComment ref="V10" dT="2023-09-19T08:33:15.22" personId="{00000000-0000-0000-0000-000000000000}" id="{FC6BED8D-3B1C-4319-8CAF-5F3FA15A955A}">
    <text xml:space="preserve">Figures are -ve because they are an increase to raw water and process losses, and so are a reduction to WAFU. </text>
  </threadedComment>
  <threadedComment ref="W10" dT="2023-09-19T08:33:15.22" personId="{00000000-0000-0000-0000-000000000000}" id="{369BC254-7E94-4203-9E5B-DC0227C7A28D}">
    <text xml:space="preserve">Figures are -ve because they are an increase to raw water and process losses, and so are a reduction to WAFU. </text>
  </threadedComment>
  <threadedComment ref="X10" dT="2023-09-19T08:33:15.22" personId="{00000000-0000-0000-0000-000000000000}" id="{6EBE4C90-EAED-4984-BF47-D0BF258ADB51}">
    <text xml:space="preserve">Figures are -ve because they are an increase to raw water and process losses, and so are a reduction to WAFU. </text>
  </threadedComment>
  <threadedComment ref="Y10" dT="2023-09-19T08:33:15.22" personId="{00000000-0000-0000-0000-000000000000}" id="{74B024EA-660A-437B-A956-6030BB33CCF4}">
    <text xml:space="preserve">Figures are -ve because they are an increase to raw water and process losses, and so are a reduction to WAFU. </text>
  </threadedComment>
  <threadedComment ref="Z10" dT="2023-09-19T08:33:15.22" personId="{00000000-0000-0000-0000-000000000000}" id="{CC3865A4-5707-45D3-A48B-0008534A5435}">
    <text xml:space="preserve">Figures are -ve because they are an increase to raw water and process losses, and so are a reduction to WAFU. </text>
  </threadedComment>
  <threadedComment ref="AA10" dT="2023-09-19T08:33:15.22" personId="{00000000-0000-0000-0000-000000000000}" id="{AF9F9FC0-F2AB-4C66-BAE6-195DBAA34B42}">
    <text xml:space="preserve">Figures are -ve because they are an increase to raw water and process losses, and so are a reduction to WAFU. </text>
  </threadedComment>
  <threadedComment ref="AB10" dT="2023-09-19T08:33:15.22" personId="{00000000-0000-0000-0000-000000000000}" id="{AF7995F5-EDA7-49B3-9736-5AEF2D4DB6F1}">
    <text xml:space="preserve">Figures are -ve because they are an increase to raw water and process losses, and so are a reduction to WAFU. </text>
  </threadedComment>
  <threadedComment ref="AC10" dT="2023-09-19T08:33:15.22" personId="{00000000-0000-0000-0000-000000000000}" id="{F860984A-419B-4883-8DBC-320B2BAB7B9F}">
    <text xml:space="preserve">Figures are -ve because they are an increase to raw water and process losses, and so are a reduction to WAFU. </text>
  </threadedComment>
  <threadedComment ref="AD10" dT="2023-09-19T08:33:15.22" personId="{00000000-0000-0000-0000-000000000000}" id="{00D90626-D409-49C6-AF8B-69E81DA7D5BD}">
    <text xml:space="preserve">Figures are -ve because they are an increase to raw water and process losses, and so are a reduction to WAFU. </text>
  </threadedComment>
  <threadedComment ref="AE10" dT="2023-09-19T08:33:15.22" personId="{00000000-0000-0000-0000-000000000000}" id="{3ABEB0C2-9793-4273-9ACD-00704498B27B}">
    <text xml:space="preserve">Figures are -ve because they are an increase to raw water and process losses, and so are a reduction to WAFU. </text>
  </threadedComment>
  <threadedComment ref="AF10" dT="2023-09-19T08:33:15.22" personId="{00000000-0000-0000-0000-000000000000}" id="{7F930A46-B9E7-42D1-BA29-00895FB92ED0}">
    <text xml:space="preserve">Figures are -ve because they are an increase to raw water and process losses, and so are a reduction to WAFU. </text>
  </threadedComment>
  <threadedComment ref="AG10" dT="2023-09-19T08:33:15.22" personId="{00000000-0000-0000-0000-000000000000}" id="{815B6AF2-D550-49D6-BFA1-3B92418D6EBB}">
    <text xml:space="preserve">Figures are -ve because they are an increase to raw water and process losses, and so are a reduction to WAFU. </text>
  </threadedComment>
  <threadedComment ref="AH10" dT="2023-09-19T08:33:15.22" personId="{00000000-0000-0000-0000-000000000000}" id="{B0106BF5-BE0B-456D-AAF6-3FA04D2D6419}">
    <text xml:space="preserve">Figures are -ve because they are an increase to raw water and process losses, and so are a reduction to WAFU. </text>
  </threadedComment>
  <threadedComment ref="AI10" dT="2023-09-19T08:33:15.22" personId="{00000000-0000-0000-0000-000000000000}" id="{471965DC-2534-4DD8-9454-E6298D2C0932}">
    <text xml:space="preserve">Figures are -ve because they are an increase to raw water and process losses, and so are a reduction to WAFU. </text>
  </threadedComment>
  <threadedComment ref="AJ10" dT="2023-09-19T08:33:15.22" personId="{00000000-0000-0000-0000-000000000000}" id="{51967DF5-8632-440C-A6DD-6A37F5E88607}">
    <text xml:space="preserve">Figures are -ve because they are an increase to raw water and process losses, and so are a reduction to WAFU. </text>
  </threadedComment>
  <threadedComment ref="AK10" dT="2023-09-19T08:33:15.22" personId="{00000000-0000-0000-0000-000000000000}" id="{BDD79EE4-AB8D-46A0-8A72-F06CFE51C69C}">
    <text xml:space="preserve">Figures are -ve because they are an increase to raw water and process losses, and so are a reduction to WAFU. </text>
  </threadedComment>
  <threadedComment ref="AL10" dT="2023-09-19T08:33:15.22" personId="{00000000-0000-0000-0000-000000000000}" id="{E8318D9E-4D11-4864-97DC-429806E00DDF}">
    <text xml:space="preserve">Figures are -ve because they are an increase to raw water and process losses, and so are a reduction to WAFU. </text>
  </threadedComment>
  <threadedComment ref="AM10" dT="2023-09-19T08:33:15.22" personId="{00000000-0000-0000-0000-000000000000}" id="{ADE390AA-4767-4DFD-B8E9-B0714D36C26A}">
    <text xml:space="preserve">Figures are -ve because they are an increase to raw water and process losses, and so are a reduction to WAFU. </text>
  </threadedComment>
  <threadedComment ref="AN10" dT="2023-09-19T08:33:15.22" personId="{00000000-0000-0000-0000-000000000000}" id="{D8D95C18-9CEA-4192-9186-AE161F39FF1F}">
    <text xml:space="preserve">Figures are -ve because they are an increase to raw water and process losses, and so are a reduction to WAFU. </text>
  </threadedComment>
  <threadedComment ref="AO10" dT="2023-09-19T08:33:15.22" personId="{00000000-0000-0000-0000-000000000000}" id="{148C8FC0-A02A-4A11-AC11-427E0D55B8C2}">
    <text xml:space="preserve">Figures are -ve because they are an increase to raw water and process losses, and so are a reduction to WAFU. </text>
  </threadedComment>
  <threadedComment ref="AP10" dT="2023-09-19T08:33:15.22" personId="{00000000-0000-0000-0000-000000000000}" id="{248D68ED-6F61-4093-BCCB-0687FBE4BCEC}">
    <text xml:space="preserve">Figures are -ve because they are an increase to raw water and process losses, and so are a reduction to WAFU. </text>
  </threadedComment>
  <threadedComment ref="T11" dT="2023-09-19T08:33:15.22" personId="{00000000-0000-0000-0000-000000000000}" id="{FC129BA1-B83E-43DA-91B2-79F5380DA216}">
    <text xml:space="preserve">Figures are -ve because they are an increase to raw water and process losses, and so are a reduction to WAFU. </text>
  </threadedComment>
  <threadedComment ref="U11" dT="2023-09-19T08:33:15.22" personId="{00000000-0000-0000-0000-000000000000}" id="{41066236-7DC3-477A-A01D-B2A058F8CAFD}">
    <text xml:space="preserve">Figures are -ve because they are an increase to raw water and process losses, and so are a reduction to WAFU. </text>
  </threadedComment>
  <threadedComment ref="V11" dT="2023-09-19T08:33:15.22" personId="{00000000-0000-0000-0000-000000000000}" id="{7F6E2C74-18C9-49F8-9036-590FC757F2EB}">
    <text xml:space="preserve">Figures are -ve because they are an increase to raw water and process losses, and so are a reduction to WAFU. </text>
  </threadedComment>
  <threadedComment ref="W11" dT="2023-09-19T08:33:15.22" personId="{00000000-0000-0000-0000-000000000000}" id="{B26341B5-A0BC-44CA-8753-98553F213F83}">
    <text xml:space="preserve">Figures are -ve because they are an increase to raw water and process losses, and so are a reduction to WAFU. </text>
  </threadedComment>
  <threadedComment ref="X11" dT="2023-09-19T08:33:15.22" personId="{00000000-0000-0000-0000-000000000000}" id="{9FE5EEB9-59DB-4BDD-877F-F08111EE0113}">
    <text xml:space="preserve">Figures are -ve because they are an increase to raw water and process losses, and so are a reduction to WAFU. </text>
  </threadedComment>
  <threadedComment ref="Y11" dT="2023-09-19T08:33:15.22" personId="{00000000-0000-0000-0000-000000000000}" id="{DBE330A1-63F2-430B-A6D6-157B1BD8A568}">
    <text xml:space="preserve">Figures are -ve because they are an increase to raw water and process losses, and so are a reduction to WAFU. </text>
  </threadedComment>
  <threadedComment ref="Z11" dT="2023-09-19T08:33:15.22" personId="{00000000-0000-0000-0000-000000000000}" id="{09062421-77E2-486A-A97E-EE06B09E7CBA}">
    <text xml:space="preserve">Figures are -ve because they are an increase to raw water and process losses, and so are a reduction to WAFU. </text>
  </threadedComment>
  <threadedComment ref="AA11" dT="2023-09-19T08:33:15.22" personId="{00000000-0000-0000-0000-000000000000}" id="{51A26F22-AC32-4AF6-AFB7-9DE73842E115}">
    <text xml:space="preserve">Figures are -ve because they are an increase to raw water and process losses, and so are a reduction to WAFU. </text>
  </threadedComment>
  <threadedComment ref="AB11" dT="2023-09-19T08:33:15.22" personId="{00000000-0000-0000-0000-000000000000}" id="{FFC6990C-97AC-4BA8-B6B9-DF2B556921F0}">
    <text xml:space="preserve">Figures are -ve because they are an increase to raw water and process losses, and so are a reduction to WAFU. </text>
  </threadedComment>
  <threadedComment ref="AC11" dT="2023-09-19T08:33:15.22" personId="{00000000-0000-0000-0000-000000000000}" id="{F04BBC9D-93AB-41C5-8201-CFB508AD1432}">
    <text xml:space="preserve">Figures are -ve because they are an increase to raw water and process losses, and so are a reduction to WAFU. </text>
  </threadedComment>
  <threadedComment ref="AD11" dT="2023-09-19T08:33:15.22" personId="{00000000-0000-0000-0000-000000000000}" id="{DD0AC895-D481-4D99-98C9-7D92AD62774D}">
    <text xml:space="preserve">Figures are -ve because they are an increase to raw water and process losses, and so are a reduction to WAFU. </text>
  </threadedComment>
  <threadedComment ref="AE11" dT="2023-09-19T08:33:15.22" personId="{00000000-0000-0000-0000-000000000000}" id="{1AD7E92B-DAAA-4C69-8522-1F42BD070340}">
    <text xml:space="preserve">Figures are -ve because they are an increase to raw water and process losses, and so are a reduction to WAFU. </text>
  </threadedComment>
  <threadedComment ref="AF11" dT="2023-09-19T08:33:15.22" personId="{00000000-0000-0000-0000-000000000000}" id="{A97D0866-BA66-402E-9153-79D7B7D1829F}">
    <text xml:space="preserve">Figures are -ve because they are an increase to raw water and process losses, and so are a reduction to WAFU. </text>
  </threadedComment>
  <threadedComment ref="AG11" dT="2023-09-19T08:33:15.22" personId="{00000000-0000-0000-0000-000000000000}" id="{1A3CCB52-9ADF-4652-BB34-43828FF29825}">
    <text xml:space="preserve">Figures are -ve because they are an increase to raw water and process losses, and so are a reduction to WAFU. </text>
  </threadedComment>
  <threadedComment ref="AH11" dT="2023-09-19T08:33:15.22" personId="{00000000-0000-0000-0000-000000000000}" id="{9F51B09E-A2B7-44E5-A101-2A027B23BC68}">
    <text xml:space="preserve">Figures are -ve because they are an increase to raw water and process losses, and so are a reduction to WAFU. </text>
  </threadedComment>
  <threadedComment ref="AI11" dT="2023-09-19T08:33:15.22" personId="{00000000-0000-0000-0000-000000000000}" id="{5444FA1E-DC6E-459A-8394-407DB2F4A67B}">
    <text xml:space="preserve">Figures are -ve because they are an increase to raw water and process losses, and so are a reduction to WAFU. </text>
  </threadedComment>
  <threadedComment ref="AJ11" dT="2023-09-19T08:33:15.22" personId="{00000000-0000-0000-0000-000000000000}" id="{493A0496-E4A8-4A58-A82A-028AD1818596}">
    <text xml:space="preserve">Figures are -ve because they are an increase to raw water and process losses, and so are a reduction to WAFU. </text>
  </threadedComment>
  <threadedComment ref="AK11" dT="2023-09-19T08:33:15.22" personId="{00000000-0000-0000-0000-000000000000}" id="{ED01892E-3811-423E-8909-C00BB311073E}">
    <text xml:space="preserve">Figures are -ve because they are an increase to raw water and process losses, and so are a reduction to WAFU. </text>
  </threadedComment>
  <threadedComment ref="AL11" dT="2023-09-19T08:33:15.22" personId="{00000000-0000-0000-0000-000000000000}" id="{AA2A19E9-1514-4B7B-AA49-283A1790D7F6}">
    <text xml:space="preserve">Figures are -ve because they are an increase to raw water and process losses, and so are a reduction to WAFU. </text>
  </threadedComment>
  <threadedComment ref="AM11" dT="2023-09-19T08:33:15.22" personId="{00000000-0000-0000-0000-000000000000}" id="{9272B387-0E1E-4128-8C22-D16D85410A8B}">
    <text xml:space="preserve">Figures are -ve because they are an increase to raw water and process losses, and so are a reduction to WAFU. </text>
  </threadedComment>
  <threadedComment ref="AN11" dT="2023-09-19T08:33:15.22" personId="{00000000-0000-0000-0000-000000000000}" id="{82EC5A9F-CBD7-4929-B14A-91EFBC2FD394}">
    <text xml:space="preserve">Figures are -ve because they are an increase to raw water and process losses, and so are a reduction to WAFU. </text>
  </threadedComment>
  <threadedComment ref="AO11" dT="2023-09-19T08:33:15.22" personId="{00000000-0000-0000-0000-000000000000}" id="{8638B642-01F5-4E55-A38C-06C3C78C84D3}">
    <text xml:space="preserve">Figures are -ve because they are an increase to raw water and process losses, and so are a reduction to WAFU. </text>
  </threadedComment>
  <threadedComment ref="AP11" dT="2023-09-19T08:33:15.22" personId="{00000000-0000-0000-0000-000000000000}" id="{399AB334-2D2C-4393-BE9A-F1E7F4F7C8D5}">
    <text xml:space="preserve">Figures are -ve because they are an increase to raw water and process losses, and so are a reduction to WAFU. </text>
  </threadedComment>
  <threadedComment ref="T12" dT="2023-09-19T08:33:15.22" personId="{00000000-0000-0000-0000-000000000000}" id="{4FF1A888-1332-432F-8C06-B4B0EEB27425}">
    <text xml:space="preserve">Figures are -ve because they are an increase to raw water and process losses, and so are a reduction to WAFU. </text>
  </threadedComment>
  <threadedComment ref="U12" dT="2023-09-19T08:33:15.22" personId="{00000000-0000-0000-0000-000000000000}" id="{4CA9F441-2703-4723-B160-8607E5429897}">
    <text xml:space="preserve">Figures are -ve because they are an increase to raw water and process losses, and so are a reduction to WAFU. </text>
  </threadedComment>
  <threadedComment ref="V12" dT="2023-09-19T08:33:15.22" personId="{00000000-0000-0000-0000-000000000000}" id="{A229C8E0-2ECF-4203-909A-03D2F6770D5E}">
    <text xml:space="preserve">Figures are -ve because they are an increase to raw water and process losses, and so are a reduction to WAFU. </text>
  </threadedComment>
  <threadedComment ref="W12" dT="2023-09-19T08:33:15.22" personId="{00000000-0000-0000-0000-000000000000}" id="{79808F56-9C43-437B-9148-28EEA06D4809}">
    <text xml:space="preserve">Figures are -ve because they are an increase to raw water and process losses, and so are a reduction to WAFU. </text>
  </threadedComment>
  <threadedComment ref="X12" dT="2023-09-19T08:33:15.22" personId="{00000000-0000-0000-0000-000000000000}" id="{9E961A8F-F35D-4DCB-8DA0-FB71F6549A2D}">
    <text xml:space="preserve">Figures are -ve because they are an increase to raw water and process losses, and so are a reduction to WAFU. </text>
  </threadedComment>
  <threadedComment ref="Y12" dT="2023-09-19T08:33:15.22" personId="{00000000-0000-0000-0000-000000000000}" id="{19C74A09-EA09-4BE1-ADB1-C451FB096691}">
    <text xml:space="preserve">Figures are -ve because they are an increase to raw water and process losses, and so are a reduction to WAFU. </text>
  </threadedComment>
  <threadedComment ref="Z12" dT="2023-09-19T08:33:15.22" personId="{00000000-0000-0000-0000-000000000000}" id="{88A719E9-CEC1-43E7-8A34-7D8C7BEA9FA1}">
    <text xml:space="preserve">Figures are -ve because they are an increase to raw water and process losses, and so are a reduction to WAFU. </text>
  </threadedComment>
  <threadedComment ref="AA12" dT="2023-09-19T08:33:15.22" personId="{00000000-0000-0000-0000-000000000000}" id="{86A194BD-F073-4AE0-B2B8-1E53F0547BEB}">
    <text xml:space="preserve">Figures are -ve because they are an increase to raw water and process losses, and so are a reduction to WAFU. </text>
  </threadedComment>
  <threadedComment ref="AB12" dT="2023-09-19T08:33:15.22" personId="{00000000-0000-0000-0000-000000000000}" id="{EF59328B-4386-4547-9C6B-D9EB4A1F2444}">
    <text xml:space="preserve">Figures are -ve because they are an increase to raw water and process losses, and so are a reduction to WAFU. </text>
  </threadedComment>
  <threadedComment ref="AC12" dT="2023-09-19T08:33:15.22" personId="{00000000-0000-0000-0000-000000000000}" id="{5812F5D6-D182-49D6-9283-4FCA2F3573C9}">
    <text xml:space="preserve">Figures are -ve because they are an increase to raw water and process losses, and so are a reduction to WAFU. </text>
  </threadedComment>
  <threadedComment ref="AD12" dT="2023-09-19T08:33:15.22" personId="{00000000-0000-0000-0000-000000000000}" id="{035A0DF4-30FF-4F72-8161-EF741DE18831}">
    <text xml:space="preserve">Figures are -ve because they are an increase to raw water and process losses, and so are a reduction to WAFU. </text>
  </threadedComment>
  <threadedComment ref="AE12" dT="2023-09-19T08:33:15.22" personId="{00000000-0000-0000-0000-000000000000}" id="{0286C623-DFF3-4C7B-A830-25E87A76F297}">
    <text xml:space="preserve">Figures are -ve because they are an increase to raw water and process losses, and so are a reduction to WAFU. </text>
  </threadedComment>
  <threadedComment ref="AF12" dT="2023-09-19T08:33:15.22" personId="{00000000-0000-0000-0000-000000000000}" id="{A2556477-3EDA-4C6B-9C03-BBB18E8052A9}">
    <text xml:space="preserve">Figures are -ve because they are an increase to raw water and process losses, and so are a reduction to WAFU. </text>
  </threadedComment>
  <threadedComment ref="AG12" dT="2023-09-19T08:33:15.22" personId="{00000000-0000-0000-0000-000000000000}" id="{61062958-467D-4647-A0FF-A43EBF9B542A}">
    <text xml:space="preserve">Figures are -ve because they are an increase to raw water and process losses, and so are a reduction to WAFU. </text>
  </threadedComment>
  <threadedComment ref="AH12" dT="2023-09-19T08:33:15.22" personId="{00000000-0000-0000-0000-000000000000}" id="{E0B04F52-5C89-4C93-B7D6-9441F1545FB5}">
    <text xml:space="preserve">Figures are -ve because they are an increase to raw water and process losses, and so are a reduction to WAFU. </text>
  </threadedComment>
  <threadedComment ref="AI12" dT="2023-09-19T08:33:15.22" personId="{00000000-0000-0000-0000-000000000000}" id="{BCDCEC15-6EF4-4A96-93DC-404B055575BC}">
    <text xml:space="preserve">Figures are -ve because they are an increase to raw water and process losses, and so are a reduction to WAFU. </text>
  </threadedComment>
  <threadedComment ref="AJ12" dT="2023-09-19T08:33:15.22" personId="{00000000-0000-0000-0000-000000000000}" id="{1FCE9958-5EE0-4EF9-9126-A0D647352DDF}">
    <text xml:space="preserve">Figures are -ve because they are an increase to raw water and process losses, and so are a reduction to WAFU. </text>
  </threadedComment>
  <threadedComment ref="AK12" dT="2023-09-19T08:33:15.22" personId="{00000000-0000-0000-0000-000000000000}" id="{608439D5-8236-4698-8F38-35DF7AD8054B}">
    <text xml:space="preserve">Figures are -ve because they are an increase to raw water and process losses, and so are a reduction to WAFU. </text>
  </threadedComment>
  <threadedComment ref="AL12" dT="2023-09-19T08:33:15.22" personId="{00000000-0000-0000-0000-000000000000}" id="{A5E6361E-E3C1-41A5-861C-9127613AA6EF}">
    <text xml:space="preserve">Figures are -ve because they are an increase to raw water and process losses, and so are a reduction to WAFU. </text>
  </threadedComment>
  <threadedComment ref="AM12" dT="2023-09-19T08:33:15.22" personId="{00000000-0000-0000-0000-000000000000}" id="{A067A75D-7A63-4CAD-8E91-56E53C6293E3}">
    <text xml:space="preserve">Figures are -ve because they are an increase to raw water and process losses, and so are a reduction to WAFU. </text>
  </threadedComment>
  <threadedComment ref="AN12" dT="2023-09-19T08:33:15.22" personId="{00000000-0000-0000-0000-000000000000}" id="{F1C3334A-3DCE-4D50-8E0E-14CE51526528}">
    <text xml:space="preserve">Figures are -ve because they are an increase to raw water and process losses, and so are a reduction to WAFU. </text>
  </threadedComment>
  <threadedComment ref="AO12" dT="2023-09-19T08:33:15.22" personId="{00000000-0000-0000-0000-000000000000}" id="{3B68E7A2-1D3A-4678-83C6-026A487DCBF7}">
    <text xml:space="preserve">Figures are -ve because they are an increase to raw water and process losses, and so are a reduction to WAFU. </text>
  </threadedComment>
  <threadedComment ref="AP12" dT="2023-09-19T08:33:15.22" personId="{00000000-0000-0000-0000-000000000000}" id="{6CF0E31E-5F30-47CE-85A9-619C8EA2BF2A}">
    <text xml:space="preserve">Figures are -ve because they are an increase to raw water and process losses, and so are a reduction to WAFU. </text>
  </threadedComment>
  <threadedComment ref="T13" dT="2023-09-19T08:33:15.22" personId="{00000000-0000-0000-0000-000000000000}" id="{BA8D672D-8047-4DD5-85BB-44061E9782F5}">
    <text xml:space="preserve">Figures are -ve because they are an increase to raw water and process losses, and so are a reduction to WAFU. </text>
  </threadedComment>
  <threadedComment ref="U13" dT="2023-09-19T08:33:15.22" personId="{00000000-0000-0000-0000-000000000000}" id="{FF3FB826-D968-492B-98A7-ADD1A80540A1}">
    <text xml:space="preserve">Figures are -ve because they are an increase to raw water and process losses, and so are a reduction to WAFU. </text>
  </threadedComment>
  <threadedComment ref="V13" dT="2023-09-19T08:33:15.22" personId="{00000000-0000-0000-0000-000000000000}" id="{6F9DB863-93E7-4F69-9964-326EDF115D40}">
    <text xml:space="preserve">Figures are -ve because they are an increase to raw water and process losses, and so are a reduction to WAFU. </text>
  </threadedComment>
  <threadedComment ref="W13" dT="2023-09-19T08:33:15.22" personId="{00000000-0000-0000-0000-000000000000}" id="{AF975F68-7DDA-4D81-94D2-B4A344F5E7CB}">
    <text xml:space="preserve">Figures are -ve because they are an increase to raw water and process losses, and so are a reduction to WAFU. </text>
  </threadedComment>
  <threadedComment ref="X13" dT="2023-09-19T08:33:15.22" personId="{00000000-0000-0000-0000-000000000000}" id="{50FBBC25-87AF-47AE-9AE1-EDA4087C9926}">
    <text xml:space="preserve">Figures are -ve because they are an increase to raw water and process losses, and so are a reduction to WAFU. </text>
  </threadedComment>
  <threadedComment ref="Y13" dT="2023-09-19T08:33:15.22" personId="{00000000-0000-0000-0000-000000000000}" id="{0C6350A4-6294-40E3-A206-6A532FD00BB6}">
    <text xml:space="preserve">Figures are -ve because they are an increase to raw water and process losses, and so are a reduction to WAFU. </text>
  </threadedComment>
  <threadedComment ref="Z13" dT="2023-09-19T08:33:15.22" personId="{00000000-0000-0000-0000-000000000000}" id="{64BC5D92-27CA-4D37-82B0-2EF5588AE1E1}">
    <text xml:space="preserve">Figures are -ve because they are an increase to raw water and process losses, and so are a reduction to WAFU. </text>
  </threadedComment>
  <threadedComment ref="AA13" dT="2023-09-19T08:33:15.22" personId="{00000000-0000-0000-0000-000000000000}" id="{3ACC1E45-F483-406D-AE00-747655AC1644}">
    <text xml:space="preserve">Figures are -ve because they are an increase to raw water and process losses, and so are a reduction to WAFU. </text>
  </threadedComment>
  <threadedComment ref="AB13" dT="2023-09-19T08:33:15.22" personId="{00000000-0000-0000-0000-000000000000}" id="{21A55153-ADF1-4AFB-B39B-80C2347A30E3}">
    <text xml:space="preserve">Figures are -ve because they are an increase to raw water and process losses, and so are a reduction to WAFU. </text>
  </threadedComment>
  <threadedComment ref="AC13" dT="2023-09-19T08:33:15.22" personId="{00000000-0000-0000-0000-000000000000}" id="{21CBD01C-82C4-4E51-8C8B-693FFF756928}">
    <text xml:space="preserve">Figures are -ve because they are an increase to raw water and process losses, and so are a reduction to WAFU. </text>
  </threadedComment>
  <threadedComment ref="AD13" dT="2023-09-19T08:33:15.22" personId="{00000000-0000-0000-0000-000000000000}" id="{EC24990F-1E8B-4C96-BE10-7E6C159B54BA}">
    <text xml:space="preserve">Figures are -ve because they are an increase to raw water and process losses, and so are a reduction to WAFU. </text>
  </threadedComment>
  <threadedComment ref="AE13" dT="2023-09-19T08:33:15.22" personId="{00000000-0000-0000-0000-000000000000}" id="{8EA04C83-2AA0-4B0A-BE92-457BD99D83CD}">
    <text xml:space="preserve">Figures are -ve because they are an increase to raw water and process losses, and so are a reduction to WAFU. </text>
  </threadedComment>
  <threadedComment ref="AF13" dT="2023-09-19T08:33:15.22" personId="{00000000-0000-0000-0000-000000000000}" id="{1E69F667-88EB-4CC9-815D-C61A56BFBC6F}">
    <text xml:space="preserve">Figures are -ve because they are an increase to raw water and process losses, and so are a reduction to WAFU. </text>
  </threadedComment>
  <threadedComment ref="AG13" dT="2023-09-19T08:33:15.22" personId="{00000000-0000-0000-0000-000000000000}" id="{34111505-269E-4ABE-A103-8A12A110E92B}">
    <text xml:space="preserve">Figures are -ve because they are an increase to raw water and process losses, and so are a reduction to WAFU. </text>
  </threadedComment>
  <threadedComment ref="AH13" dT="2023-09-19T08:33:15.22" personId="{00000000-0000-0000-0000-000000000000}" id="{3ACA14E8-FE2B-48BA-A346-9F7406F899DB}">
    <text xml:space="preserve">Figures are -ve because they are an increase to raw water and process losses, and so are a reduction to WAFU. </text>
  </threadedComment>
  <threadedComment ref="AI13" dT="2023-09-19T08:33:15.22" personId="{00000000-0000-0000-0000-000000000000}" id="{09BC377E-EEFB-495F-A358-9E0FDA6E24A6}">
    <text xml:space="preserve">Figures are -ve because they are an increase to raw water and process losses, and so are a reduction to WAFU. </text>
  </threadedComment>
  <threadedComment ref="AJ13" dT="2023-09-19T08:33:15.22" personId="{00000000-0000-0000-0000-000000000000}" id="{E4161129-D02F-44BF-89F6-44A2743BF07D}">
    <text xml:space="preserve">Figures are -ve because they are an increase to raw water and process losses, and so are a reduction to WAFU. </text>
  </threadedComment>
  <threadedComment ref="AK13" dT="2023-09-19T08:33:15.22" personId="{00000000-0000-0000-0000-000000000000}" id="{9C709A77-E940-4CA2-9F7E-6C998E83A654}">
    <text xml:space="preserve">Figures are -ve because they are an increase to raw water and process losses, and so are a reduction to WAFU. </text>
  </threadedComment>
  <threadedComment ref="AL13" dT="2023-09-19T08:33:15.22" personId="{00000000-0000-0000-0000-000000000000}" id="{EC906AEA-B717-42BE-A315-7DEC9D8DD2DE}">
    <text xml:space="preserve">Figures are -ve because they are an increase to raw water and process losses, and so are a reduction to WAFU. </text>
  </threadedComment>
  <threadedComment ref="AM13" dT="2023-09-19T08:33:15.22" personId="{00000000-0000-0000-0000-000000000000}" id="{11D76E49-08B7-4ADB-967C-F17AA8AE5252}">
    <text xml:space="preserve">Figures are -ve because they are an increase to raw water and process losses, and so are a reduction to WAFU. </text>
  </threadedComment>
  <threadedComment ref="AN13" dT="2023-09-19T08:33:15.22" personId="{00000000-0000-0000-0000-000000000000}" id="{CCAFBF31-E8D0-46A5-A47E-87B4B6D3FB64}">
    <text xml:space="preserve">Figures are -ve because they are an increase to raw water and process losses, and so are a reduction to WAFU. </text>
  </threadedComment>
  <threadedComment ref="AO13" dT="2023-09-19T08:33:15.22" personId="{00000000-0000-0000-0000-000000000000}" id="{0517E558-3116-4616-9335-AA7A5C41A419}">
    <text xml:space="preserve">Figures are -ve because they are an increase to raw water and process losses, and so are a reduction to WAFU. </text>
  </threadedComment>
  <threadedComment ref="AP13" dT="2023-09-19T08:33:15.22" personId="{00000000-0000-0000-0000-000000000000}" id="{3291FF6E-1CD5-4E05-AE41-B945DFE21D68}">
    <text xml:space="preserve">Figures are -ve because they are an increase to raw water and process losses, and so are a reduction to WAFU. </text>
  </threadedComment>
  <threadedComment ref="T14" dT="2023-09-19T08:33:15.22" personId="{00000000-0000-0000-0000-000000000000}" id="{70F9924A-977D-422D-9E28-F54590C48F02}">
    <text xml:space="preserve">Figures are -ve because they are an increase to raw water and process losses, and so are a reduction to WAFU. </text>
  </threadedComment>
  <threadedComment ref="U14" dT="2023-09-19T08:33:15.22" personId="{00000000-0000-0000-0000-000000000000}" id="{96DD1F9E-485B-437B-B32D-9F09DE30C226}">
    <text xml:space="preserve">Figures are -ve because they are an increase to raw water and process losses, and so are a reduction to WAFU. </text>
  </threadedComment>
  <threadedComment ref="V14" dT="2023-09-19T08:33:15.22" personId="{00000000-0000-0000-0000-000000000000}" id="{1EED2278-AA99-4234-A1D7-B99F200C19CA}">
    <text xml:space="preserve">Figures are -ve because they are an increase to raw water and process losses, and so are a reduction to WAFU. </text>
  </threadedComment>
  <threadedComment ref="W14" dT="2023-09-19T08:33:15.22" personId="{00000000-0000-0000-0000-000000000000}" id="{26F0FD67-E158-463E-9379-8987A745607A}">
    <text xml:space="preserve">Figures are -ve because they are an increase to raw water and process losses, and so are a reduction to WAFU. </text>
  </threadedComment>
  <threadedComment ref="X14" dT="2023-09-19T08:33:15.22" personId="{00000000-0000-0000-0000-000000000000}" id="{71F429D2-7A23-452F-8727-B0924B3EE0B4}">
    <text xml:space="preserve">Figures are -ve because they are an increase to raw water and process losses, and so are a reduction to WAFU. </text>
  </threadedComment>
  <threadedComment ref="Y14" dT="2023-09-19T08:33:15.22" personId="{00000000-0000-0000-0000-000000000000}" id="{3C751E1C-1565-4D3B-8EB2-3E2FACB121F6}">
    <text xml:space="preserve">Figures are -ve because they are an increase to raw water and process losses, and so are a reduction to WAFU. </text>
  </threadedComment>
  <threadedComment ref="Z14" dT="2023-09-19T08:33:15.22" personId="{00000000-0000-0000-0000-000000000000}" id="{BDD79E2F-149C-466A-986B-EA4B8326F8A8}">
    <text xml:space="preserve">Figures are -ve because they are an increase to raw water and process losses, and so are a reduction to WAFU. </text>
  </threadedComment>
  <threadedComment ref="AA14" dT="2023-09-19T08:33:15.22" personId="{00000000-0000-0000-0000-000000000000}" id="{1F335114-5F79-4CA2-9349-DB3F557EAEA5}">
    <text xml:space="preserve">Figures are -ve because they are an increase to raw water and process losses, and so are a reduction to WAFU. </text>
  </threadedComment>
  <threadedComment ref="AB14" dT="2023-09-19T08:33:15.22" personId="{00000000-0000-0000-0000-000000000000}" id="{7294DB8B-50C8-4FCC-A489-DDB2403D0059}">
    <text xml:space="preserve">Figures are -ve because they are an increase to raw water and process losses, and so are a reduction to WAFU. </text>
  </threadedComment>
  <threadedComment ref="AC14" dT="2023-09-19T08:33:15.22" personId="{00000000-0000-0000-0000-000000000000}" id="{3185F5B3-6D8C-4825-9F0B-413255299A1B}">
    <text xml:space="preserve">Figures are -ve because they are an increase to raw water and process losses, and so are a reduction to WAFU. </text>
  </threadedComment>
  <threadedComment ref="AD14" dT="2023-09-19T08:33:15.22" personId="{00000000-0000-0000-0000-000000000000}" id="{295F35B6-D763-4A71-8168-F880730EE35C}">
    <text xml:space="preserve">Figures are -ve because they are an increase to raw water and process losses, and so are a reduction to WAFU. </text>
  </threadedComment>
  <threadedComment ref="AE14" dT="2023-09-19T08:33:15.22" personId="{00000000-0000-0000-0000-000000000000}" id="{71D50860-EB71-4CEA-8831-0CA6E5744F9B}">
    <text xml:space="preserve">Figures are -ve because they are an increase to raw water and process losses, and so are a reduction to WAFU. </text>
  </threadedComment>
  <threadedComment ref="AF14" dT="2023-09-19T08:33:15.22" personId="{00000000-0000-0000-0000-000000000000}" id="{0CBDD94D-644E-4670-9720-2877097098AD}">
    <text xml:space="preserve">Figures are -ve because they are an increase to raw water and process losses, and so are a reduction to WAFU. </text>
  </threadedComment>
  <threadedComment ref="AG14" dT="2023-09-19T08:33:15.22" personId="{00000000-0000-0000-0000-000000000000}" id="{2601FA3C-4E22-492E-B49B-A81266143A07}">
    <text xml:space="preserve">Figures are -ve because they are an increase to raw water and process losses, and so are a reduction to WAFU. </text>
  </threadedComment>
  <threadedComment ref="AH14" dT="2023-09-19T08:33:15.22" personId="{00000000-0000-0000-0000-000000000000}" id="{DC405B21-7AC7-4762-85A9-0BAE930A2216}">
    <text xml:space="preserve">Figures are -ve because they are an increase to raw water and process losses, and so are a reduction to WAFU. </text>
  </threadedComment>
  <threadedComment ref="AI14" dT="2023-09-19T08:33:15.22" personId="{00000000-0000-0000-0000-000000000000}" id="{55F3C152-26B7-4C7D-AC5D-B74B7CB3B263}">
    <text xml:space="preserve">Figures are -ve because they are an increase to raw water and process losses, and so are a reduction to WAFU. </text>
  </threadedComment>
  <threadedComment ref="AJ14" dT="2023-09-19T08:33:15.22" personId="{00000000-0000-0000-0000-000000000000}" id="{158EC371-D02E-471E-B8BA-860D8751F91D}">
    <text xml:space="preserve">Figures are -ve because they are an increase to raw water and process losses, and so are a reduction to WAFU. </text>
  </threadedComment>
  <threadedComment ref="AK14" dT="2023-09-19T08:33:15.22" personId="{00000000-0000-0000-0000-000000000000}" id="{7C679D20-D3C7-48FB-A73D-F404F7F9338D}">
    <text xml:space="preserve">Figures are -ve because they are an increase to raw water and process losses, and so are a reduction to WAFU. </text>
  </threadedComment>
  <threadedComment ref="AL14" dT="2023-09-19T08:33:15.22" personId="{00000000-0000-0000-0000-000000000000}" id="{154B546D-8989-4DEC-90E1-DE5872CD220E}">
    <text xml:space="preserve">Figures are -ve because they are an increase to raw water and process losses, and so are a reduction to WAFU. </text>
  </threadedComment>
  <threadedComment ref="AM14" dT="2023-09-19T08:33:15.22" personId="{00000000-0000-0000-0000-000000000000}" id="{B7C33EDA-52E6-4EE3-A253-282F8B9A6577}">
    <text xml:space="preserve">Figures are -ve because they are an increase to raw water and process losses, and so are a reduction to WAFU. </text>
  </threadedComment>
  <threadedComment ref="AN14" dT="2023-09-19T08:33:15.22" personId="{00000000-0000-0000-0000-000000000000}" id="{CF3D09FA-7C4D-4C02-AF6B-C25082381612}">
    <text xml:space="preserve">Figures are -ve because they are an increase to raw water and process losses, and so are a reduction to WAFU. </text>
  </threadedComment>
  <threadedComment ref="AO14" dT="2023-09-19T08:33:15.22" personId="{00000000-0000-0000-0000-000000000000}" id="{E1E4E599-3915-4D2D-99EA-4C39151FDB44}">
    <text xml:space="preserve">Figures are -ve because they are an increase to raw water and process losses, and so are a reduction to WAFU. </text>
  </threadedComment>
  <threadedComment ref="AP14" dT="2023-09-19T08:33:15.22" personId="{00000000-0000-0000-0000-000000000000}" id="{761E9DDE-3F6C-49FA-BE66-BFD01264BB49}">
    <text xml:space="preserve">Figures are -ve because they are an increase to raw water and process losses, and so are a reduction to WAFU. </text>
  </threadedComment>
  <threadedComment ref="T15" dT="2023-09-19T08:33:15.22" personId="{00000000-0000-0000-0000-000000000000}" id="{65A0CE5E-055D-460E-9766-8B6CD92CF98A}">
    <text xml:space="preserve">Figures are -ve because they are an increase to raw water and process losses, and so are a reduction to WAFU. </text>
  </threadedComment>
  <threadedComment ref="U15" dT="2023-09-19T08:33:15.22" personId="{00000000-0000-0000-0000-000000000000}" id="{09FE698B-57CD-4F51-8513-710E23C270C0}">
    <text xml:space="preserve">Figures are -ve because they are an increase to raw water and process losses, and so are a reduction to WAFU. </text>
  </threadedComment>
  <threadedComment ref="V15" dT="2023-09-19T08:33:15.22" personId="{00000000-0000-0000-0000-000000000000}" id="{FFE8F0AF-EEC7-4B23-8E02-5128A908D28C}">
    <text xml:space="preserve">Figures are -ve because they are an increase to raw water and process losses, and so are a reduction to WAFU. </text>
  </threadedComment>
  <threadedComment ref="W15" dT="2023-09-19T08:33:15.22" personId="{00000000-0000-0000-0000-000000000000}" id="{FF4BF471-7F7C-4D15-8C71-6578FD88E7C5}">
    <text xml:space="preserve">Figures are -ve because they are an increase to raw water and process losses, and so are a reduction to WAFU. </text>
  </threadedComment>
  <threadedComment ref="X15" dT="2023-09-19T08:33:15.22" personId="{00000000-0000-0000-0000-000000000000}" id="{74DDAD39-B47E-4226-BEB1-CA84C3AB1A9F}">
    <text xml:space="preserve">Figures are -ve because they are an increase to raw water and process losses, and so are a reduction to WAFU. </text>
  </threadedComment>
  <threadedComment ref="Y15" dT="2023-09-19T08:33:15.22" personId="{00000000-0000-0000-0000-000000000000}" id="{A272E4F7-74C1-44B7-ABEE-FDB726AFE579}">
    <text xml:space="preserve">Figures are -ve because they are an increase to raw water and process losses, and so are a reduction to WAFU. </text>
  </threadedComment>
  <threadedComment ref="Z15" dT="2023-09-19T08:33:15.22" personId="{00000000-0000-0000-0000-000000000000}" id="{8219CE04-AE1F-4B01-BF97-564BCEDA70EC}">
    <text xml:space="preserve">Figures are -ve because they are an increase to raw water and process losses, and so are a reduction to WAFU. </text>
  </threadedComment>
  <threadedComment ref="AA15" dT="2023-09-19T08:33:15.22" personId="{00000000-0000-0000-0000-000000000000}" id="{B377FF1C-F91D-4592-BCF0-82E62C450815}">
    <text xml:space="preserve">Figures are -ve because they are an increase to raw water and process losses, and so are a reduction to WAFU. </text>
  </threadedComment>
  <threadedComment ref="AB15" dT="2023-09-19T08:33:15.22" personId="{00000000-0000-0000-0000-000000000000}" id="{F8A9FCF2-10C8-4EF0-85BD-3AC1FC1A12DC}">
    <text xml:space="preserve">Figures are -ve because they are an increase to raw water and process losses, and so are a reduction to WAFU. </text>
  </threadedComment>
  <threadedComment ref="AC15" dT="2023-09-19T08:33:15.22" personId="{00000000-0000-0000-0000-000000000000}" id="{FB64E585-4F3A-4AF2-BCCA-38FAA4C0DF46}">
    <text xml:space="preserve">Figures are -ve because they are an increase to raw water and process losses, and so are a reduction to WAFU. </text>
  </threadedComment>
  <threadedComment ref="AD15" dT="2023-09-19T08:33:15.22" personId="{00000000-0000-0000-0000-000000000000}" id="{F458D7EE-36F5-4D4A-BE98-F51BFA95FC44}">
    <text xml:space="preserve">Figures are -ve because they are an increase to raw water and process losses, and so are a reduction to WAFU. </text>
  </threadedComment>
  <threadedComment ref="AE15" dT="2023-09-19T08:33:15.22" personId="{00000000-0000-0000-0000-000000000000}" id="{9604FCB2-97C4-4B34-8115-308F160DD85B}">
    <text xml:space="preserve">Figures are -ve because they are an increase to raw water and process losses, and so are a reduction to WAFU. </text>
  </threadedComment>
  <threadedComment ref="AF15" dT="2023-09-19T08:33:15.22" personId="{00000000-0000-0000-0000-000000000000}" id="{6E1827B2-984A-4D82-9E96-CAC1D9CA2B0C}">
    <text xml:space="preserve">Figures are -ve because they are an increase to raw water and process losses, and so are a reduction to WAFU. </text>
  </threadedComment>
  <threadedComment ref="AG15" dT="2023-09-19T08:33:15.22" personId="{00000000-0000-0000-0000-000000000000}" id="{5A39E4E3-AAD6-4303-AD53-D7335470E0D3}">
    <text xml:space="preserve">Figures are -ve because they are an increase to raw water and process losses, and so are a reduction to WAFU. </text>
  </threadedComment>
  <threadedComment ref="AH15" dT="2023-09-19T08:33:15.22" personId="{00000000-0000-0000-0000-000000000000}" id="{C2B6E3CE-52F8-44F6-844F-15082A1B4A05}">
    <text xml:space="preserve">Figures are -ve because they are an increase to raw water and process losses, and so are a reduction to WAFU. </text>
  </threadedComment>
  <threadedComment ref="AI15" dT="2023-09-19T08:33:15.22" personId="{00000000-0000-0000-0000-000000000000}" id="{F7C9E8FE-49EA-4661-9E09-F5AEBA6D86DC}">
    <text xml:space="preserve">Figures are -ve because they are an increase to raw water and process losses, and so are a reduction to WAFU. </text>
  </threadedComment>
  <threadedComment ref="AJ15" dT="2023-09-19T08:33:15.22" personId="{00000000-0000-0000-0000-000000000000}" id="{EE669C4B-FA8E-43E0-A17C-314E94F52F59}">
    <text xml:space="preserve">Figures are -ve because they are an increase to raw water and process losses, and so are a reduction to WAFU. </text>
  </threadedComment>
  <threadedComment ref="AK15" dT="2023-09-19T08:33:15.22" personId="{00000000-0000-0000-0000-000000000000}" id="{5D02E304-185D-4562-A7D3-561D39CD0037}">
    <text xml:space="preserve">Figures are -ve because they are an increase to raw water and process losses, and so are a reduction to WAFU. </text>
  </threadedComment>
  <threadedComment ref="AL15" dT="2023-09-19T08:33:15.22" personId="{00000000-0000-0000-0000-000000000000}" id="{97B6B9F5-0959-4A3F-A993-3E1BB320A326}">
    <text xml:space="preserve">Figures are -ve because they are an increase to raw water and process losses, and so are a reduction to WAFU. </text>
  </threadedComment>
  <threadedComment ref="AM15" dT="2023-09-19T08:33:15.22" personId="{00000000-0000-0000-0000-000000000000}" id="{B2EC1F6D-F442-4C68-AFF4-58C647D6FB1B}">
    <text xml:space="preserve">Figures are -ve because they are an increase to raw water and process losses, and so are a reduction to WAFU. </text>
  </threadedComment>
  <threadedComment ref="AN15" dT="2023-09-19T08:33:15.22" personId="{00000000-0000-0000-0000-000000000000}" id="{FE553565-3570-42CF-93D1-B7CE6B147787}">
    <text xml:space="preserve">Figures are -ve because they are an increase to raw water and process losses, and so are a reduction to WAFU. </text>
  </threadedComment>
  <threadedComment ref="AO15" dT="2023-09-19T08:33:15.22" personId="{00000000-0000-0000-0000-000000000000}" id="{0D81447C-1674-416B-89A9-466CBB52ADA1}">
    <text xml:space="preserve">Figures are -ve because they are an increase to raw water and process losses, and so are a reduction to WAFU. </text>
  </threadedComment>
  <threadedComment ref="AP15" dT="2023-09-19T08:33:15.22" personId="{00000000-0000-0000-0000-000000000000}" id="{1066A662-1990-48C5-AFE6-7F9FD473E818}">
    <text xml:space="preserve">Figures are -ve because they are an increase to raw water and process losses, and so are a reduction to WAFU. </text>
  </threadedComment>
  <threadedComment ref="U95" dT="2023-09-19T08:37:22.57" personId="{00000000-0000-0000-0000-000000000000}" id="{0D30EBA7-F4B2-49CA-87CF-BA627B79BEA3}">
    <text>Figures are negative because they are an increase to potable water exports from this WRZ and so are a reduction in WAFU</text>
  </threadedComment>
  <threadedComment ref="V95" dT="2023-09-19T08:37:22.57" personId="{00000000-0000-0000-0000-000000000000}" id="{CA6828D1-A9C6-4EED-BCDA-4AA8BD72BD6E}">
    <text>Figures are negative because they are an increase to potable water exports from this WRZ and so are a reduction in WAFU</text>
  </threadedComment>
  <threadedComment ref="W95" dT="2023-09-19T08:37:22.57" personId="{00000000-0000-0000-0000-000000000000}" id="{E357563C-11DB-4DD3-892A-EF5171FE0805}">
    <text>Figures are negative because they are an increase to potable water exports from this WRZ and so are a reduction in WAFU</text>
  </threadedComment>
  <threadedComment ref="X95" dT="2023-09-19T08:37:22.57" personId="{00000000-0000-0000-0000-000000000000}" id="{C37B1E84-C016-40CE-8674-1491F568A668}">
    <text>Figures are negative because they are an increase to potable water exports from this WRZ and so are a reduction in WAFU</text>
  </threadedComment>
  <threadedComment ref="Y95" dT="2023-09-19T08:37:22.57" personId="{00000000-0000-0000-0000-000000000000}" id="{AAB81C44-C7A6-405B-9FF1-710941520FC3}">
    <text>Figures are negative because they are an increase to potable water exports from this WRZ and so are a reduction in WAFU</text>
  </threadedComment>
  <threadedComment ref="Z95" dT="2023-09-19T08:37:22.57" personId="{00000000-0000-0000-0000-000000000000}" id="{83A72354-2456-421C-BB6F-7718B9330CC9}">
    <text>Figures are negative because they are an increase to potable water exports from this WRZ and so are a reduction in WAFU</text>
  </threadedComment>
  <threadedComment ref="AA95" dT="2023-09-19T08:37:22.57" personId="{00000000-0000-0000-0000-000000000000}" id="{53C09FE2-EC53-4777-8750-214142A6EFB8}">
    <text>Figures are negative because they are an increase to potable water exports from this WRZ and so are a reduction in WAFU</text>
  </threadedComment>
  <threadedComment ref="AB95" dT="2023-09-19T08:37:22.57" personId="{00000000-0000-0000-0000-000000000000}" id="{D23BB44D-2311-4397-9D41-B32ECBF72361}">
    <text>Figures are negative because they are an increase to potable water exports from this WRZ and so are a reduction in WAFU</text>
  </threadedComment>
  <threadedComment ref="AC95" dT="2023-09-19T08:37:22.57" personId="{00000000-0000-0000-0000-000000000000}" id="{E988C83E-2A36-447C-8C8B-6A82D0BCFA2A}">
    <text>Figures are negative because they are an increase to potable water exports from this WRZ and so are a reduction in WAFU</text>
  </threadedComment>
  <threadedComment ref="AD95" dT="2023-09-19T08:37:22.57" personId="{00000000-0000-0000-0000-000000000000}" id="{618054E2-BE3A-45E5-8199-F089198DDFE7}">
    <text>Figures are negative because they are an increase to potable water exports from this WRZ and so are a reduction in WAFU</text>
  </threadedComment>
  <threadedComment ref="AE95" dT="2023-09-19T08:37:22.57" personId="{00000000-0000-0000-0000-000000000000}" id="{5EC8BCAD-0564-4596-A359-44A70E0BD418}">
    <text>Figures are negative because they are an increase to potable water exports from this WRZ and so are a reduction in WAFU</text>
  </threadedComment>
  <threadedComment ref="AF95" dT="2023-09-19T08:37:22.57" personId="{00000000-0000-0000-0000-000000000000}" id="{123426B7-758D-4CAE-B66B-110A7470D282}">
    <text>Figures are negative because they are an increase to potable water exports from this WRZ and so are a reduction in WAFU</text>
  </threadedComment>
  <threadedComment ref="AG95" dT="2023-09-19T08:37:22.57" personId="{00000000-0000-0000-0000-000000000000}" id="{79097C78-454A-4D2F-B8A0-E3994C97014B}">
    <text>Figures are negative because they are an increase to potable water exports from this WRZ and so are a reduction in WAFU</text>
  </threadedComment>
  <threadedComment ref="AH95" dT="2023-09-19T08:37:22.57" personId="{00000000-0000-0000-0000-000000000000}" id="{055F665E-4F9E-4D6F-8061-A14E352C7625}">
    <text>Figures are negative because they are an increase to potable water exports from this WRZ and so are a reduction in WAFU</text>
  </threadedComment>
  <threadedComment ref="AI95" dT="2023-09-19T08:37:22.57" personId="{00000000-0000-0000-0000-000000000000}" id="{942BE686-94C3-4362-8114-FF62C34DF2DE}">
    <text>Figures are negative because they are an increase to potable water exports from this WRZ and so are a reduction in WAFU</text>
  </threadedComment>
  <threadedComment ref="AJ95" dT="2023-09-19T08:37:22.57" personId="{00000000-0000-0000-0000-000000000000}" id="{1FC6A136-1299-4A94-80CF-F8D1B075D382}">
    <text>Figures are negative because they are an increase to potable water exports from this WRZ and so are a reduction in WAFU</text>
  </threadedComment>
  <threadedComment ref="AK95" dT="2023-09-19T08:37:22.57" personId="{00000000-0000-0000-0000-000000000000}" id="{6B176E5C-85F4-4588-8FC6-07D67FD07F30}">
    <text>Figures are negative because they are an increase to potable water exports from this WRZ and so are a reduction in WAFU</text>
  </threadedComment>
  <threadedComment ref="AL95" dT="2023-09-19T08:37:22.57" personId="{00000000-0000-0000-0000-000000000000}" id="{1D58D5DC-F330-468F-A6F6-BBC9900E7FCD}">
    <text>Figures are negative because they are an increase to potable water exports from this WRZ and so are a reduction in WAFU</text>
  </threadedComment>
  <threadedComment ref="AM95" dT="2023-09-19T08:37:22.57" personId="{00000000-0000-0000-0000-000000000000}" id="{2076F20E-6C44-4419-AC7A-F8358CEDD91A}">
    <text>Figures are negative because they are an increase to potable water exports from this WRZ and so are a reduction in WAFU</text>
  </threadedComment>
  <threadedComment ref="AN95" dT="2023-09-19T08:37:22.57" personId="{00000000-0000-0000-0000-000000000000}" id="{8640BDCC-18B5-43DA-9D88-11C0D0A0D8EC}">
    <text>Figures are negative because they are an increase to potable water exports from this WRZ and so are a reduction in WAFU</text>
  </threadedComment>
  <threadedComment ref="AO95" dT="2023-09-19T08:37:22.57" personId="{00000000-0000-0000-0000-000000000000}" id="{5F8125AD-7A56-49A3-8AD0-5731617D8534}">
    <text>Figures are negative because they are an increase to potable water exports from this WRZ and so are a reduction in WAFU</text>
  </threadedComment>
  <threadedComment ref="AP95" dT="2023-09-19T08:37:22.57" personId="{00000000-0000-0000-0000-000000000000}" id="{8A1F86DB-7A5A-4651-850F-95584065B60F}">
    <text>Figures are negative because they are an increase to potable water exports from this WRZ and so are a reduction in WAFU</text>
  </threadedComment>
  <threadedComment ref="U96" dT="2023-09-19T08:37:22.57" personId="{00000000-0000-0000-0000-000000000000}" id="{C58E70AC-64A3-4B89-99FF-98871E2FC4E2}">
    <text>Figures are negative because they are an increase to potable water exports from this WRZ and so are a reduction in WAFU</text>
  </threadedComment>
  <threadedComment ref="V96" dT="2023-09-19T08:37:22.57" personId="{00000000-0000-0000-0000-000000000000}" id="{1F142775-E882-4A5A-8C24-1902D26B93D0}">
    <text>Figures are negative because they are an increase to potable water exports from this WRZ and so are a reduction in WAFU</text>
  </threadedComment>
  <threadedComment ref="W96" dT="2023-09-19T08:37:22.57" personId="{00000000-0000-0000-0000-000000000000}" id="{F10ADD7A-89A9-4CF5-825B-2CC295753ADC}">
    <text>Figures are negative because they are an increase to potable water exports from this WRZ and so are a reduction in WAFU</text>
  </threadedComment>
  <threadedComment ref="X96" dT="2023-09-19T08:37:22.57" personId="{00000000-0000-0000-0000-000000000000}" id="{C2CCC9C3-6108-4F94-8448-6B8128DAED6B}">
    <text>Figures are negative because they are an increase to potable water exports from this WRZ and so are a reduction in WAFU</text>
  </threadedComment>
  <threadedComment ref="Y96" dT="2023-09-19T08:37:22.57" personId="{00000000-0000-0000-0000-000000000000}" id="{B7740EA2-4F71-4C37-88CD-13EFCBC45172}">
    <text>Figures are negative because they are an increase to potable water exports from this WRZ and so are a reduction in WAFU</text>
  </threadedComment>
  <threadedComment ref="Z96" dT="2023-09-19T08:37:22.57" personId="{00000000-0000-0000-0000-000000000000}" id="{F2AF4852-CB8C-4CBC-8D69-55FF7D46A7E6}">
    <text>Figures are negative because they are an increase to potable water exports from this WRZ and so are a reduction in WAFU</text>
  </threadedComment>
  <threadedComment ref="AA96" dT="2023-09-19T08:37:22.57" personId="{00000000-0000-0000-0000-000000000000}" id="{26A19A1B-945E-4704-8FA8-E75DF84CA410}">
    <text>Figures are negative because they are an increase to potable water exports from this WRZ and so are a reduction in WAFU</text>
  </threadedComment>
  <threadedComment ref="AB96" dT="2023-09-19T08:37:22.57" personId="{00000000-0000-0000-0000-000000000000}" id="{2CDA9C89-5B28-4FBB-B208-8E74AFB1AC89}">
    <text>Figures are negative because they are an increase to potable water exports from this WRZ and so are a reduction in WAFU</text>
  </threadedComment>
  <threadedComment ref="AC96" dT="2023-09-19T08:37:22.57" personId="{00000000-0000-0000-0000-000000000000}" id="{5297D70C-B26A-4136-8777-666AA66ADF40}">
    <text>Figures are negative because they are an increase to potable water exports from this WRZ and so are a reduction in WAFU</text>
  </threadedComment>
  <threadedComment ref="AD96" dT="2023-09-19T08:37:22.57" personId="{00000000-0000-0000-0000-000000000000}" id="{94377A08-A8DE-428C-A6AA-066DBB3A9C6F}">
    <text>Figures are negative because they are an increase to potable water exports from this WRZ and so are a reduction in WAFU</text>
  </threadedComment>
  <threadedComment ref="AE96" dT="2023-09-19T08:37:22.57" personId="{00000000-0000-0000-0000-000000000000}" id="{4451E48C-2790-4607-8413-7C783878294B}">
    <text>Figures are negative because they are an increase to potable water exports from this WRZ and so are a reduction in WAFU</text>
  </threadedComment>
  <threadedComment ref="AF96" dT="2023-09-19T08:37:22.57" personId="{00000000-0000-0000-0000-000000000000}" id="{9ADA780C-6214-4316-BC9E-BE331BA27385}">
    <text>Figures are negative because they are an increase to potable water exports from this WRZ and so are a reduction in WAFU</text>
  </threadedComment>
  <threadedComment ref="AG96" dT="2023-09-19T08:37:22.57" personId="{00000000-0000-0000-0000-000000000000}" id="{6B27BFC0-BB12-437E-963C-EDA5FD28F082}">
    <text>Figures are negative because they are an increase to potable water exports from this WRZ and so are a reduction in WAFU</text>
  </threadedComment>
  <threadedComment ref="AH96" dT="2023-09-19T08:37:22.57" personId="{00000000-0000-0000-0000-000000000000}" id="{D56CA996-ABB6-4D84-9B34-667215342A5C}">
    <text>Figures are negative because they are an increase to potable water exports from this WRZ and so are a reduction in WAFU</text>
  </threadedComment>
  <threadedComment ref="AI96" dT="2023-09-19T08:37:22.57" personId="{00000000-0000-0000-0000-000000000000}" id="{A44E9B39-1CA5-4B9E-AAE2-56AF4C7F1223}">
    <text>Figures are negative because they are an increase to potable water exports from this WRZ and so are a reduction in WAFU</text>
  </threadedComment>
  <threadedComment ref="AJ96" dT="2023-09-19T08:37:22.57" personId="{00000000-0000-0000-0000-000000000000}" id="{74ADB240-58F7-48DA-899A-C363B3CEFAED}">
    <text>Figures are negative because they are an increase to potable water exports from this WRZ and so are a reduction in WAFU</text>
  </threadedComment>
  <threadedComment ref="AK96" dT="2023-09-19T08:37:22.57" personId="{00000000-0000-0000-0000-000000000000}" id="{F47FD837-0945-4EC2-BB6B-9AF123772F53}">
    <text>Figures are negative because they are an increase to potable water exports from this WRZ and so are a reduction in WAFU</text>
  </threadedComment>
  <threadedComment ref="AL96" dT="2023-09-19T08:37:22.57" personId="{00000000-0000-0000-0000-000000000000}" id="{57833A95-A160-40E8-9957-2C63714E7A7A}">
    <text>Figures are negative because they are an increase to potable water exports from this WRZ and so are a reduction in WAFU</text>
  </threadedComment>
  <threadedComment ref="AM96" dT="2023-09-19T08:37:22.57" personId="{00000000-0000-0000-0000-000000000000}" id="{ED8B60B5-FC7D-4AEB-9630-A4322E30BBDC}">
    <text>Figures are negative because they are an increase to potable water exports from this WRZ and so are a reduction in WAFU</text>
  </threadedComment>
  <threadedComment ref="AN96" dT="2023-09-19T08:37:22.57" personId="{00000000-0000-0000-0000-000000000000}" id="{78EFB3AA-52FB-483A-875E-EFC81583BAB2}">
    <text>Figures are negative because they are an increase to potable water exports from this WRZ and so are a reduction in WAFU</text>
  </threadedComment>
  <threadedComment ref="AO96" dT="2023-09-19T08:37:22.57" personId="{00000000-0000-0000-0000-000000000000}" id="{F6DAC8AB-AE8C-4C2E-B13E-6B9055A8B841}">
    <text>Figures are negative because they are an increase to potable water exports from this WRZ and so are a reduction in WAFU</text>
  </threadedComment>
  <threadedComment ref="AP96" dT="2023-09-19T08:37:22.57" personId="{00000000-0000-0000-0000-000000000000}" id="{F4C3039E-FC49-4EC0-9A25-C4F66E062385}">
    <text>Figures are negative because they are an increase to potable water exports from this WRZ and so are a reduction in WAFU</text>
  </threadedComment>
  <threadedComment ref="U97" dT="2023-09-19T08:37:22.57" personId="{00000000-0000-0000-0000-000000000000}" id="{C05C97E1-5E18-4DF2-853D-34F42CAF5B7A}">
    <text>Figures are negative because they are an increase to potable water exports from this WRZ and so are a reduction in WAFU</text>
  </threadedComment>
  <threadedComment ref="V97" dT="2023-09-19T08:37:22.57" personId="{00000000-0000-0000-0000-000000000000}" id="{1FE27163-484D-490B-ADA7-D21908FEBE69}">
    <text>Figures are negative because they are an increase to potable water exports from this WRZ and so are a reduction in WAFU</text>
  </threadedComment>
  <threadedComment ref="W97" dT="2023-09-19T08:37:22.57" personId="{00000000-0000-0000-0000-000000000000}" id="{66F908DB-F325-4D61-BCF8-965AFFA10288}">
    <text>Figures are negative because they are an increase to potable water exports from this WRZ and so are a reduction in WAFU</text>
  </threadedComment>
  <threadedComment ref="X97" dT="2023-09-19T08:37:22.57" personId="{00000000-0000-0000-0000-000000000000}" id="{6591173D-67B2-42D7-8E6A-405BA55C8237}">
    <text>Figures are negative because they are an increase to potable water exports from this WRZ and so are a reduction in WAFU</text>
  </threadedComment>
  <threadedComment ref="Y97" dT="2023-09-19T08:37:22.57" personId="{00000000-0000-0000-0000-000000000000}" id="{90FB186D-E348-4794-A745-93BB7094553F}">
    <text>Figures are negative because they are an increase to potable water exports from this WRZ and so are a reduction in WAFU</text>
  </threadedComment>
  <threadedComment ref="Z97" dT="2023-09-19T08:37:22.57" personId="{00000000-0000-0000-0000-000000000000}" id="{14EB6F16-8210-4813-8D9E-E593B6EAA524}">
    <text>Figures are negative because they are an increase to potable water exports from this WRZ and so are a reduction in WAFU</text>
  </threadedComment>
  <threadedComment ref="AA97" dT="2023-09-19T08:37:22.57" personId="{00000000-0000-0000-0000-000000000000}" id="{78F44295-A1BB-44DD-8AA6-8A6909ABC1E5}">
    <text>Figures are negative because they are an increase to potable water exports from this WRZ and so are a reduction in WAFU</text>
  </threadedComment>
  <threadedComment ref="AB97" dT="2023-09-19T08:37:22.57" personId="{00000000-0000-0000-0000-000000000000}" id="{1E66F5BA-B363-4BD3-8433-B413EA85C1D5}">
    <text>Figures are negative because they are an increase to potable water exports from this WRZ and so are a reduction in WAFU</text>
  </threadedComment>
  <threadedComment ref="AC97" dT="2023-09-19T08:37:22.57" personId="{00000000-0000-0000-0000-000000000000}" id="{7AF4B269-AE2E-421D-8E5E-131170429A9A}">
    <text>Figures are negative because they are an increase to potable water exports from this WRZ and so are a reduction in WAFU</text>
  </threadedComment>
  <threadedComment ref="AD97" dT="2023-09-19T08:37:22.57" personId="{00000000-0000-0000-0000-000000000000}" id="{CDF03623-504E-4ACF-B226-C9BB2BA5CEFE}">
    <text>Figures are negative because they are an increase to potable water exports from this WRZ and so are a reduction in WAFU</text>
  </threadedComment>
  <threadedComment ref="AE97" dT="2023-09-19T08:37:22.57" personId="{00000000-0000-0000-0000-000000000000}" id="{0B6AE0F5-CF66-4022-BF33-43D189BC86E3}">
    <text>Figures are negative because they are an increase to potable water exports from this WRZ and so are a reduction in WAFU</text>
  </threadedComment>
  <threadedComment ref="AF97" dT="2023-09-19T08:37:22.57" personId="{00000000-0000-0000-0000-000000000000}" id="{E0F12B33-5ED6-4A97-93E7-5C415DE982CB}">
    <text>Figures are negative because they are an increase to potable water exports from this WRZ and so are a reduction in WAFU</text>
  </threadedComment>
  <threadedComment ref="AG97" dT="2023-09-19T08:37:22.57" personId="{00000000-0000-0000-0000-000000000000}" id="{7A373ECC-49AD-4527-8212-3260C56451B7}">
    <text>Figures are negative because they are an increase to potable water exports from this WRZ and so are a reduction in WAFU</text>
  </threadedComment>
  <threadedComment ref="AH97" dT="2023-09-19T08:37:22.57" personId="{00000000-0000-0000-0000-000000000000}" id="{2B9D8AE4-D5D8-4E18-93B4-A1BA9A45DB8D}">
    <text>Figures are negative because they are an increase to potable water exports from this WRZ and so are a reduction in WAFU</text>
  </threadedComment>
  <threadedComment ref="AI97" dT="2023-09-19T08:37:22.57" personId="{00000000-0000-0000-0000-000000000000}" id="{D6019C41-672C-4676-8D44-23E1642F15D9}">
    <text>Figures are negative because they are an increase to potable water exports from this WRZ and so are a reduction in WAFU</text>
  </threadedComment>
  <threadedComment ref="AJ97" dT="2023-09-19T08:37:22.57" personId="{00000000-0000-0000-0000-000000000000}" id="{BC554243-F58E-4BEC-8031-70400429617C}">
    <text>Figures are negative because they are an increase to potable water exports from this WRZ and so are a reduction in WAFU</text>
  </threadedComment>
  <threadedComment ref="AK97" dT="2023-09-19T08:37:22.57" personId="{00000000-0000-0000-0000-000000000000}" id="{0C1E3E0E-31AB-4E1E-BB8E-771523DD2505}">
    <text>Figures are negative because they are an increase to potable water exports from this WRZ and so are a reduction in WAFU</text>
  </threadedComment>
  <threadedComment ref="AL97" dT="2023-09-19T08:37:22.57" personId="{00000000-0000-0000-0000-000000000000}" id="{34BEE192-6806-4358-A40B-333E49F0341C}">
    <text>Figures are negative because they are an increase to potable water exports from this WRZ and so are a reduction in WAFU</text>
  </threadedComment>
  <threadedComment ref="AM97" dT="2023-09-19T08:37:22.57" personId="{00000000-0000-0000-0000-000000000000}" id="{76AB6C5A-4DC1-4F63-BE73-801F74CCC0BB}">
    <text>Figures are negative because they are an increase to potable water exports from this WRZ and so are a reduction in WAFU</text>
  </threadedComment>
  <threadedComment ref="AN97" dT="2023-09-19T08:37:22.57" personId="{00000000-0000-0000-0000-000000000000}" id="{C900AD4C-6AF4-495F-8D1A-429806A61973}">
    <text>Figures are negative because they are an increase to potable water exports from this WRZ and so are a reduction in WAFU</text>
  </threadedComment>
  <threadedComment ref="AO97" dT="2023-09-19T08:37:22.57" personId="{00000000-0000-0000-0000-000000000000}" id="{3E29EFB2-9DE3-46E6-9DEA-1E7760BF1A2F}">
    <text>Figures are negative because they are an increase to potable water exports from this WRZ and so are a reduction in WAFU</text>
  </threadedComment>
  <threadedComment ref="AP97" dT="2023-09-19T08:37:22.57" personId="{00000000-0000-0000-0000-000000000000}" id="{85552136-D765-4C74-B8A6-3A31C1F9D45C}">
    <text>Figures are negative because they are an increase to potable water exports from this WRZ and so are a reduction in WAFU</text>
  </threadedComment>
  <threadedComment ref="U98" dT="2023-09-19T08:37:22.57" personId="{00000000-0000-0000-0000-000000000000}" id="{3EA55247-6D45-4568-98ED-007B056F6534}">
    <text>Figures are negative because they are an increase to potable water exports from this WRZ and so are a reduction in WAFU</text>
  </threadedComment>
  <threadedComment ref="V98" dT="2023-09-19T08:37:22.57" personId="{00000000-0000-0000-0000-000000000000}" id="{B3ADAAE1-4BB9-46E1-84A6-5F233090335B}">
    <text>Figures are negative because they are an increase to potable water exports from this WRZ and so are a reduction in WAFU</text>
  </threadedComment>
  <threadedComment ref="W98" dT="2023-09-19T08:37:22.57" personId="{00000000-0000-0000-0000-000000000000}" id="{A26C3853-6236-47D0-9A6D-DC8D93C278AA}">
    <text>Figures are negative because they are an increase to potable water exports from this WRZ and so are a reduction in WAFU</text>
  </threadedComment>
  <threadedComment ref="X98" dT="2023-09-19T08:37:22.57" personId="{00000000-0000-0000-0000-000000000000}" id="{D0FC4957-E74A-4891-A180-8850205C5F70}">
    <text>Figures are negative because they are an increase to potable water exports from this WRZ and so are a reduction in WAFU</text>
  </threadedComment>
  <threadedComment ref="Y98" dT="2023-09-19T08:37:22.57" personId="{00000000-0000-0000-0000-000000000000}" id="{0B4A67EA-2838-4AE4-8D9C-E8418E911194}">
    <text>Figures are negative because they are an increase to potable water exports from this WRZ and so are a reduction in WAFU</text>
  </threadedComment>
  <threadedComment ref="Z98" dT="2023-09-19T08:37:22.57" personId="{00000000-0000-0000-0000-000000000000}" id="{A19B0E3F-2842-4035-9EF2-B93E25B8E0E2}">
    <text>Figures are negative because they are an increase to potable water exports from this WRZ and so are a reduction in WAFU</text>
  </threadedComment>
  <threadedComment ref="AA98" dT="2023-09-19T08:37:22.57" personId="{00000000-0000-0000-0000-000000000000}" id="{1DB788AB-D11B-48B0-B6AD-33E01B14147E}">
    <text>Figures are negative because they are an increase to potable water exports from this WRZ and so are a reduction in WAFU</text>
  </threadedComment>
  <threadedComment ref="AB98" dT="2023-09-19T08:37:22.57" personId="{00000000-0000-0000-0000-000000000000}" id="{021AD9F1-9DEB-4C2E-9600-1265C0E3262D}">
    <text>Figures are negative because they are an increase to potable water exports from this WRZ and so are a reduction in WAFU</text>
  </threadedComment>
  <threadedComment ref="AC98" dT="2023-09-19T08:37:22.57" personId="{00000000-0000-0000-0000-000000000000}" id="{73CAA778-5A18-4310-B424-9759692CBBB5}">
    <text>Figures are negative because they are an increase to potable water exports from this WRZ and so are a reduction in WAFU</text>
  </threadedComment>
  <threadedComment ref="AD98" dT="2023-09-19T08:37:22.57" personId="{00000000-0000-0000-0000-000000000000}" id="{BF6E2B96-920A-44DE-8B48-09CE51ED7578}">
    <text>Figures are negative because they are an increase to potable water exports from this WRZ and so are a reduction in WAFU</text>
  </threadedComment>
  <threadedComment ref="AE98" dT="2023-09-19T08:37:22.57" personId="{00000000-0000-0000-0000-000000000000}" id="{108451B1-BCAC-43D9-B09A-D1391FA14FC1}">
    <text>Figures are negative because they are an increase to potable water exports from this WRZ and so are a reduction in WAFU</text>
  </threadedComment>
  <threadedComment ref="AF98" dT="2023-09-19T08:37:22.57" personId="{00000000-0000-0000-0000-000000000000}" id="{F732B775-AE2B-4E19-B480-073459D01EF2}">
    <text>Figures are negative because they are an increase to potable water exports from this WRZ and so are a reduction in WAFU</text>
  </threadedComment>
  <threadedComment ref="AG98" dT="2023-09-19T08:37:22.57" personId="{00000000-0000-0000-0000-000000000000}" id="{6CC316BC-A9C9-49BD-8A06-2179CEA06A84}">
    <text>Figures are negative because they are an increase to potable water exports from this WRZ and so are a reduction in WAFU</text>
  </threadedComment>
  <threadedComment ref="AH98" dT="2023-09-19T08:37:22.57" personId="{00000000-0000-0000-0000-000000000000}" id="{C4B8B487-52D1-4825-A9B8-439DA2202937}">
    <text>Figures are negative because they are an increase to potable water exports from this WRZ and so are a reduction in WAFU</text>
  </threadedComment>
  <threadedComment ref="AI98" dT="2023-09-19T08:37:22.57" personId="{00000000-0000-0000-0000-000000000000}" id="{C5371B48-9DE6-4B47-B16C-C5D0655C5A26}">
    <text>Figures are negative because they are an increase to potable water exports from this WRZ and so are a reduction in WAFU</text>
  </threadedComment>
  <threadedComment ref="AJ98" dT="2023-09-19T08:37:22.57" personId="{00000000-0000-0000-0000-000000000000}" id="{129F7CD2-4FE6-453B-AD62-F44E3EE94B93}">
    <text>Figures are negative because they are an increase to potable water exports from this WRZ and so are a reduction in WAFU</text>
  </threadedComment>
  <threadedComment ref="AK98" dT="2023-09-19T08:37:22.57" personId="{00000000-0000-0000-0000-000000000000}" id="{54CA0DD2-4918-4DB5-B6F0-F3B33868D69D}">
    <text>Figures are negative because they are an increase to potable water exports from this WRZ and so are a reduction in WAFU</text>
  </threadedComment>
  <threadedComment ref="AL98" dT="2023-09-19T08:37:22.57" personId="{00000000-0000-0000-0000-000000000000}" id="{018D5A94-FFBA-421A-9904-EC693432BE81}">
    <text>Figures are negative because they are an increase to potable water exports from this WRZ and so are a reduction in WAFU</text>
  </threadedComment>
  <threadedComment ref="AM98" dT="2023-09-19T08:37:22.57" personId="{00000000-0000-0000-0000-000000000000}" id="{EC2E0064-9062-4CA6-BEAD-CAA89BCB1DEC}">
    <text>Figures are negative because they are an increase to potable water exports from this WRZ and so are a reduction in WAFU</text>
  </threadedComment>
  <threadedComment ref="AN98" dT="2023-09-19T08:37:22.57" personId="{00000000-0000-0000-0000-000000000000}" id="{B3C6758F-8A5C-4CBF-B534-4272A6CE007C}">
    <text>Figures are negative because they are an increase to potable water exports from this WRZ and so are a reduction in WAFU</text>
  </threadedComment>
  <threadedComment ref="AO98" dT="2023-09-19T08:37:22.57" personId="{00000000-0000-0000-0000-000000000000}" id="{AE690613-EC79-4E69-A7BB-6BC2A9357400}">
    <text>Figures are negative because they are an increase to potable water exports from this WRZ and so are a reduction in WAFU</text>
  </threadedComment>
  <threadedComment ref="AP98" dT="2023-09-19T08:37:22.57" personId="{00000000-0000-0000-0000-000000000000}" id="{086309F0-23BC-4AC3-99F5-C105236CAF96}">
    <text>Figures are negative because they are an increase to potable water exports from this WRZ and so are a reduction in WAFU</text>
  </threadedComment>
  <threadedComment ref="U99" dT="2023-09-19T08:37:22.57" personId="{00000000-0000-0000-0000-000000000000}" id="{E1181B2E-CCBC-4DDE-82D4-A0BAC0DBBF1F}">
    <text>Figures are negative because they are an increase to potable water exports from this WRZ and so are a reduction in WAFU</text>
  </threadedComment>
  <threadedComment ref="V99" dT="2023-09-19T08:37:22.57" personId="{00000000-0000-0000-0000-000000000000}" id="{C5E28356-1B12-4011-BEF2-BC77E3487192}">
    <text>Figures are negative because they are an increase to potable water exports from this WRZ and so are a reduction in WAFU</text>
  </threadedComment>
  <threadedComment ref="W99" dT="2023-09-19T08:37:22.57" personId="{00000000-0000-0000-0000-000000000000}" id="{6695275C-889D-496E-BA9F-C4B4884A9342}">
    <text>Figures are negative because they are an increase to potable water exports from this WRZ and so are a reduction in WAFU</text>
  </threadedComment>
  <threadedComment ref="X99" dT="2023-09-19T08:37:22.57" personId="{00000000-0000-0000-0000-000000000000}" id="{93D6EA63-0369-455D-80A0-0A6AEC2C2328}">
    <text>Figures are negative because they are an increase to potable water exports from this WRZ and so are a reduction in WAFU</text>
  </threadedComment>
  <threadedComment ref="Y99" dT="2023-09-19T08:37:22.57" personId="{00000000-0000-0000-0000-000000000000}" id="{4F5E03BE-1BBB-49AB-BF10-DE3863EA9B63}">
    <text>Figures are negative because they are an increase to potable water exports from this WRZ and so are a reduction in WAFU</text>
  </threadedComment>
  <threadedComment ref="Z99" dT="2023-09-19T08:37:22.57" personId="{00000000-0000-0000-0000-000000000000}" id="{45E81B3D-0B83-4DE0-905B-4363BE40C98F}">
    <text>Figures are negative because they are an increase to potable water exports from this WRZ and so are a reduction in WAFU</text>
  </threadedComment>
  <threadedComment ref="AA99" dT="2023-09-19T08:37:22.57" personId="{00000000-0000-0000-0000-000000000000}" id="{B3DAFCAB-C2F3-4AC8-9439-304F5B590E3D}">
    <text>Figures are negative because they are an increase to potable water exports from this WRZ and so are a reduction in WAFU</text>
  </threadedComment>
  <threadedComment ref="AB99" dT="2023-09-19T08:37:22.57" personId="{00000000-0000-0000-0000-000000000000}" id="{83091695-CAD2-4357-81A4-07530DADAA8A}">
    <text>Figures are negative because they are an increase to potable water exports from this WRZ and so are a reduction in WAFU</text>
  </threadedComment>
  <threadedComment ref="AC99" dT="2023-09-19T08:37:22.57" personId="{00000000-0000-0000-0000-000000000000}" id="{915707C1-592C-476F-A3E2-2EAA91F053F4}">
    <text>Figures are negative because they are an increase to potable water exports from this WRZ and so are a reduction in WAFU</text>
  </threadedComment>
  <threadedComment ref="AD99" dT="2023-09-19T08:37:22.57" personId="{00000000-0000-0000-0000-000000000000}" id="{759243DC-9215-40A7-A37B-7BF3E693298F}">
    <text>Figures are negative because they are an increase to potable water exports from this WRZ and so are a reduction in WAFU</text>
  </threadedComment>
  <threadedComment ref="AE99" dT="2023-09-19T08:37:22.57" personId="{00000000-0000-0000-0000-000000000000}" id="{F8A6808C-23F0-4A26-8DCC-CC143A4831C5}">
    <text>Figures are negative because they are an increase to potable water exports from this WRZ and so are a reduction in WAFU</text>
  </threadedComment>
  <threadedComment ref="AF99" dT="2023-09-19T08:37:22.57" personId="{00000000-0000-0000-0000-000000000000}" id="{397D8AA8-8E41-490D-9D70-4A638CF1C738}">
    <text>Figures are negative because they are an increase to potable water exports from this WRZ and so are a reduction in WAFU</text>
  </threadedComment>
  <threadedComment ref="AG99" dT="2023-09-19T08:37:22.57" personId="{00000000-0000-0000-0000-000000000000}" id="{2839EAF1-FABA-4CB4-8DED-3223070ED30D}">
    <text>Figures are negative because they are an increase to potable water exports from this WRZ and so are a reduction in WAFU</text>
  </threadedComment>
  <threadedComment ref="AH99" dT="2023-09-19T08:37:22.57" personId="{00000000-0000-0000-0000-000000000000}" id="{4D90184F-B856-4DE5-8239-5B0E658712BA}">
    <text>Figures are negative because they are an increase to potable water exports from this WRZ and so are a reduction in WAFU</text>
  </threadedComment>
  <threadedComment ref="AI99" dT="2023-09-19T08:37:22.57" personId="{00000000-0000-0000-0000-000000000000}" id="{87ED9FBD-BD5D-4734-9B96-0E9EE3915633}">
    <text>Figures are negative because they are an increase to potable water exports from this WRZ and so are a reduction in WAFU</text>
  </threadedComment>
  <threadedComment ref="AJ99" dT="2023-09-19T08:37:22.57" personId="{00000000-0000-0000-0000-000000000000}" id="{BF3E343B-1EB3-42CF-A23C-6554E23400BF}">
    <text>Figures are negative because they are an increase to potable water exports from this WRZ and so are a reduction in WAFU</text>
  </threadedComment>
  <threadedComment ref="AK99" dT="2023-09-19T08:37:22.57" personId="{00000000-0000-0000-0000-000000000000}" id="{28E19D8C-174F-4825-AE86-EA229467FD74}">
    <text>Figures are negative because they are an increase to potable water exports from this WRZ and so are a reduction in WAFU</text>
  </threadedComment>
  <threadedComment ref="AL99" dT="2023-09-19T08:37:22.57" personId="{00000000-0000-0000-0000-000000000000}" id="{F5153310-3C8C-45E1-9D9C-16081444EB0E}">
    <text>Figures are negative because they are an increase to potable water exports from this WRZ and so are a reduction in WAFU</text>
  </threadedComment>
  <threadedComment ref="AM99" dT="2023-09-19T08:37:22.57" personId="{00000000-0000-0000-0000-000000000000}" id="{2F24F2D5-9A68-4AE8-B81C-0E64D1E32F58}">
    <text>Figures are negative because they are an increase to potable water exports from this WRZ and so are a reduction in WAFU</text>
  </threadedComment>
  <threadedComment ref="AN99" dT="2023-09-19T08:37:22.57" personId="{00000000-0000-0000-0000-000000000000}" id="{C5D57B25-2E3A-4BD4-BB00-C548B1F3D5CB}">
    <text>Figures are negative because they are an increase to potable water exports from this WRZ and so are a reduction in WAFU</text>
  </threadedComment>
  <threadedComment ref="AO99" dT="2023-09-19T08:37:22.57" personId="{00000000-0000-0000-0000-000000000000}" id="{B36E8C79-CF7E-4DE0-89AA-FB11592D540A}">
    <text>Figures are negative because they are an increase to potable water exports from this WRZ and so are a reduction in WAFU</text>
  </threadedComment>
  <threadedComment ref="AP99" dT="2023-09-19T08:37:22.57" personId="{00000000-0000-0000-0000-000000000000}" id="{4B1B0323-D3F6-48AD-8AAF-6C33A1287CB2}">
    <text>Figures are negative because they are an increase to potable water exports from this WRZ and so are a reduction in WAFU</text>
  </threadedComment>
  <threadedComment ref="U100" dT="2023-09-19T08:37:22.57" personId="{00000000-0000-0000-0000-000000000000}" id="{96F5505F-973E-417B-B049-20F35A3F7152}">
    <text>Figures are negative because they are an increase to potable water exports from this WRZ and so are a reduction in WAFU</text>
  </threadedComment>
  <threadedComment ref="V100" dT="2023-09-19T08:37:22.57" personId="{00000000-0000-0000-0000-000000000000}" id="{B7E659A3-F3B4-4783-BEC6-5B6C8437FE8F}">
    <text>Figures are negative because they are an increase to potable water exports from this WRZ and so are a reduction in WAFU</text>
  </threadedComment>
  <threadedComment ref="W100" dT="2023-09-19T08:37:22.57" personId="{00000000-0000-0000-0000-000000000000}" id="{8361B975-7FB4-4E78-BE05-4A7DADCA96A2}">
    <text>Figures are negative because they are an increase to potable water exports from this WRZ and so are a reduction in WAFU</text>
  </threadedComment>
  <threadedComment ref="X100" dT="2023-09-19T08:37:22.57" personId="{00000000-0000-0000-0000-000000000000}" id="{B0DEA7B6-723B-4669-BDB7-F82DE4070B7A}">
    <text>Figures are negative because they are an increase to potable water exports from this WRZ and so are a reduction in WAFU</text>
  </threadedComment>
  <threadedComment ref="Y100" dT="2023-09-19T08:37:22.57" personId="{00000000-0000-0000-0000-000000000000}" id="{13D0C226-7889-47EC-8E61-60ADA93CFC14}">
    <text>Figures are negative because they are an increase to potable water exports from this WRZ and so are a reduction in WAFU</text>
  </threadedComment>
  <threadedComment ref="Z100" dT="2023-09-19T08:37:22.57" personId="{00000000-0000-0000-0000-000000000000}" id="{DF10B168-0C7B-43D3-86AC-BD91423FA735}">
    <text>Figures are negative because they are an increase to potable water exports from this WRZ and so are a reduction in WAFU</text>
  </threadedComment>
  <threadedComment ref="AA100" dT="2023-09-19T08:37:22.57" personId="{00000000-0000-0000-0000-000000000000}" id="{B2FF3FE4-F376-4ABA-9F2D-16DFDC49EE2A}">
    <text>Figures are negative because they are an increase to potable water exports from this WRZ and so are a reduction in WAFU</text>
  </threadedComment>
  <threadedComment ref="AB100" dT="2023-09-19T08:37:22.57" personId="{00000000-0000-0000-0000-000000000000}" id="{1742E31A-6DFC-4E22-9777-D7F6BFFAAC00}">
    <text>Figures are negative because they are an increase to potable water exports from this WRZ and so are a reduction in WAFU</text>
  </threadedComment>
  <threadedComment ref="AC100" dT="2023-09-19T08:37:22.57" personId="{00000000-0000-0000-0000-000000000000}" id="{35BA6ECB-10F6-4A5B-8EF8-DCABBD4AE5BF}">
    <text>Figures are negative because they are an increase to potable water exports from this WRZ and so are a reduction in WAFU</text>
  </threadedComment>
  <threadedComment ref="AD100" dT="2023-09-19T08:37:22.57" personId="{00000000-0000-0000-0000-000000000000}" id="{B24A46C6-CC79-47C2-B6FB-AE33FE2E9C35}">
    <text>Figures are negative because they are an increase to potable water exports from this WRZ and so are a reduction in WAFU</text>
  </threadedComment>
  <threadedComment ref="AE100" dT="2023-09-19T08:37:22.57" personId="{00000000-0000-0000-0000-000000000000}" id="{E8D2323F-31FF-4BE8-9E3A-0781F7AC8D70}">
    <text>Figures are negative because they are an increase to potable water exports from this WRZ and so are a reduction in WAFU</text>
  </threadedComment>
  <threadedComment ref="AF100" dT="2023-09-19T08:37:22.57" personId="{00000000-0000-0000-0000-000000000000}" id="{1697D01C-3769-43EC-A925-77BBAA9999D2}">
    <text>Figures are negative because they are an increase to potable water exports from this WRZ and so are a reduction in WAFU</text>
  </threadedComment>
  <threadedComment ref="AG100" dT="2023-09-19T08:37:22.57" personId="{00000000-0000-0000-0000-000000000000}" id="{6E0742A9-6CA5-4388-AFB3-CA6B41C17F97}">
    <text>Figures are negative because they are an increase to potable water exports from this WRZ and so are a reduction in WAFU</text>
  </threadedComment>
  <threadedComment ref="AH100" dT="2023-09-19T08:37:22.57" personId="{00000000-0000-0000-0000-000000000000}" id="{6C9BBD34-BC67-45C9-9771-5A66252D9C2B}">
    <text>Figures are negative because they are an increase to potable water exports from this WRZ and so are a reduction in WAFU</text>
  </threadedComment>
  <threadedComment ref="AI100" dT="2023-09-19T08:37:22.57" personId="{00000000-0000-0000-0000-000000000000}" id="{BB435BC4-8912-42A3-AF85-1E38615D9070}">
    <text>Figures are negative because they are an increase to potable water exports from this WRZ and so are a reduction in WAFU</text>
  </threadedComment>
  <threadedComment ref="AJ100" dT="2023-09-19T08:37:22.57" personId="{00000000-0000-0000-0000-000000000000}" id="{2354010C-B891-4EE3-AB92-2E92B5AC023E}">
    <text>Figures are negative because they are an increase to potable water exports from this WRZ and so are a reduction in WAFU</text>
  </threadedComment>
  <threadedComment ref="AK100" dT="2023-09-19T08:37:22.57" personId="{00000000-0000-0000-0000-000000000000}" id="{8C6D9325-C266-48D4-989E-40F4FC218A67}">
    <text>Figures are negative because they are an increase to potable water exports from this WRZ and so are a reduction in WAFU</text>
  </threadedComment>
  <threadedComment ref="AL100" dT="2023-09-19T08:37:22.57" personId="{00000000-0000-0000-0000-000000000000}" id="{218C083F-BA55-4140-9CBF-2DA8C1CBFCCC}">
    <text>Figures are negative because they are an increase to potable water exports from this WRZ and so are a reduction in WAFU</text>
  </threadedComment>
  <threadedComment ref="AM100" dT="2023-09-19T08:37:22.57" personId="{00000000-0000-0000-0000-000000000000}" id="{4F0598B3-2807-4563-A3C4-D844556D5EC6}">
    <text>Figures are negative because they are an increase to potable water exports from this WRZ and so are a reduction in WAFU</text>
  </threadedComment>
  <threadedComment ref="AN100" dT="2023-09-19T08:37:22.57" personId="{00000000-0000-0000-0000-000000000000}" id="{2B3A6A3C-00FD-48B5-933C-2425FED73707}">
    <text>Figures are negative because they are an increase to potable water exports from this WRZ and so are a reduction in WAFU</text>
  </threadedComment>
  <threadedComment ref="AO100" dT="2023-09-19T08:37:22.57" personId="{00000000-0000-0000-0000-000000000000}" id="{FBA691B8-903D-4212-BC3E-D33D4623F547}">
    <text>Figures are negative because they are an increase to potable water exports from this WRZ and so are a reduction in WAFU</text>
  </threadedComment>
  <threadedComment ref="AP100" dT="2023-09-19T08:37:22.57" personId="{00000000-0000-0000-0000-000000000000}" id="{F45501BE-9960-4F49-9030-39F13072CBE6}">
    <text>Figures are negative because they are an increase to potable water exports from this WRZ and so are a reduction in WAFU</text>
  </threadedComment>
  <threadedComment ref="U101" dT="2023-09-19T08:37:22.57" personId="{00000000-0000-0000-0000-000000000000}" id="{97D68407-56C0-41EF-AAA0-4EB031AFA00D}">
    <text>Figures are negative because they are an increase to potable water exports from this WRZ and so are a reduction in WAFU</text>
  </threadedComment>
  <threadedComment ref="V101" dT="2023-09-19T08:37:22.57" personId="{00000000-0000-0000-0000-000000000000}" id="{8B7D45F5-2456-4AE4-8D28-ECD561F33DB9}">
    <text>Figures are negative because they are an increase to potable water exports from this WRZ and so are a reduction in WAFU</text>
  </threadedComment>
  <threadedComment ref="W101" dT="2023-09-19T08:37:22.57" personId="{00000000-0000-0000-0000-000000000000}" id="{35E4A90E-332C-4422-9E98-212640E42214}">
    <text>Figures are negative because they are an increase to potable water exports from this WRZ and so are a reduction in WAFU</text>
  </threadedComment>
  <threadedComment ref="X101" dT="2023-09-19T08:37:22.57" personId="{00000000-0000-0000-0000-000000000000}" id="{FBC4C7ED-1F11-405D-BB36-BEFE4583C6F4}">
    <text>Figures are negative because they are an increase to potable water exports from this WRZ and so are a reduction in WAFU</text>
  </threadedComment>
  <threadedComment ref="Y101" dT="2023-09-19T08:37:22.57" personId="{00000000-0000-0000-0000-000000000000}" id="{35FC6594-080E-4688-AA03-7454363CF121}">
    <text>Figures are negative because they are an increase to potable water exports from this WRZ and so are a reduction in WAFU</text>
  </threadedComment>
  <threadedComment ref="Z101" dT="2023-09-19T08:37:22.57" personId="{00000000-0000-0000-0000-000000000000}" id="{1CBA698E-ED77-4D24-8259-0A64404DBAF7}">
    <text>Figures are negative because they are an increase to potable water exports from this WRZ and so are a reduction in WAFU</text>
  </threadedComment>
  <threadedComment ref="AA101" dT="2023-09-19T08:37:22.57" personId="{00000000-0000-0000-0000-000000000000}" id="{E7669149-0066-47FC-A52D-670B913DAE9D}">
    <text>Figures are negative because they are an increase to potable water exports from this WRZ and so are a reduction in WAFU</text>
  </threadedComment>
  <threadedComment ref="AB101" dT="2023-09-19T08:37:22.57" personId="{00000000-0000-0000-0000-000000000000}" id="{462A89FA-A61F-4FC9-8935-3CC95948201B}">
    <text>Figures are negative because they are an increase to potable water exports from this WRZ and so are a reduction in WAFU</text>
  </threadedComment>
  <threadedComment ref="AC101" dT="2023-09-19T08:37:22.57" personId="{00000000-0000-0000-0000-000000000000}" id="{FD8A120C-8795-427C-940F-746FA937F99B}">
    <text>Figures are negative because they are an increase to potable water exports from this WRZ and so are a reduction in WAFU</text>
  </threadedComment>
  <threadedComment ref="AD101" dT="2023-09-19T08:37:22.57" personId="{00000000-0000-0000-0000-000000000000}" id="{09A39736-0779-43D7-BAD2-3C2A97B7808B}">
    <text>Figures are negative because they are an increase to potable water exports from this WRZ and so are a reduction in WAFU</text>
  </threadedComment>
  <threadedComment ref="AE101" dT="2023-09-19T08:37:22.57" personId="{00000000-0000-0000-0000-000000000000}" id="{BE881A1A-DC3E-401C-9563-333A651A7111}">
    <text>Figures are negative because they are an increase to potable water exports from this WRZ and so are a reduction in WAFU</text>
  </threadedComment>
  <threadedComment ref="AF101" dT="2023-09-19T08:37:22.57" personId="{00000000-0000-0000-0000-000000000000}" id="{538C1612-5095-4265-A31F-968E30695DFA}">
    <text>Figures are negative because they are an increase to potable water exports from this WRZ and so are a reduction in WAFU</text>
  </threadedComment>
  <threadedComment ref="AG101" dT="2023-09-19T08:37:22.57" personId="{00000000-0000-0000-0000-000000000000}" id="{401CCE29-0FD5-49E3-B7B8-3D68C16C61CF}">
    <text>Figures are negative because they are an increase to potable water exports from this WRZ and so are a reduction in WAFU</text>
  </threadedComment>
  <threadedComment ref="AH101" dT="2023-09-19T08:37:22.57" personId="{00000000-0000-0000-0000-000000000000}" id="{B184994F-472B-4F6C-B960-4D3AFE916B7D}">
    <text>Figures are negative because they are an increase to potable water exports from this WRZ and so are a reduction in WAFU</text>
  </threadedComment>
  <threadedComment ref="AI101" dT="2023-09-19T08:37:22.57" personId="{00000000-0000-0000-0000-000000000000}" id="{C6B810A3-7C30-45A7-A015-CD12E5277286}">
    <text>Figures are negative because they are an increase to potable water exports from this WRZ and so are a reduction in WAFU</text>
  </threadedComment>
  <threadedComment ref="AJ101" dT="2023-09-19T08:37:22.57" personId="{00000000-0000-0000-0000-000000000000}" id="{28B71745-2D85-4D40-B85B-2E873BF0FE70}">
    <text>Figures are negative because they are an increase to potable water exports from this WRZ and so are a reduction in WAFU</text>
  </threadedComment>
  <threadedComment ref="AK101" dT="2023-09-19T08:37:22.57" personId="{00000000-0000-0000-0000-000000000000}" id="{DA27F0A1-FDB0-4D35-BF60-3BDAE2A5E830}">
    <text>Figures are negative because they are an increase to potable water exports from this WRZ and so are a reduction in WAFU</text>
  </threadedComment>
  <threadedComment ref="AL101" dT="2023-09-19T08:37:22.57" personId="{00000000-0000-0000-0000-000000000000}" id="{5C40B4BE-E24E-401E-B3CC-1B01F8844976}">
    <text>Figures are negative because they are an increase to potable water exports from this WRZ and so are a reduction in WAFU</text>
  </threadedComment>
  <threadedComment ref="AM101" dT="2023-09-19T08:37:22.57" personId="{00000000-0000-0000-0000-000000000000}" id="{DD30FA7E-0A1B-4ECC-B06C-65998794D821}">
    <text>Figures are negative because they are an increase to potable water exports from this WRZ and so are a reduction in WAFU</text>
  </threadedComment>
  <threadedComment ref="AN101" dT="2023-09-19T08:37:22.57" personId="{00000000-0000-0000-0000-000000000000}" id="{9A0FB4B7-DACD-46A4-AD0F-508B46E266F8}">
    <text>Figures are negative because they are an increase to potable water exports from this WRZ and so are a reduction in WAFU</text>
  </threadedComment>
  <threadedComment ref="AO101" dT="2023-09-19T08:37:22.57" personId="{00000000-0000-0000-0000-000000000000}" id="{0033CA36-D73F-4951-A106-FA34CB269EB7}">
    <text>Figures are negative because they are an increase to potable water exports from this WRZ and so are a reduction in WAFU</text>
  </threadedComment>
  <threadedComment ref="AP101" dT="2023-09-19T08:37:22.57" personId="{00000000-0000-0000-0000-000000000000}" id="{3A703B23-B748-424B-9CED-B9B5004F25D0}">
    <text>Figures are negative because they are an increase to potable water exports from this WRZ and so are a reduction in WAFU</text>
  </threadedComment>
  <threadedComment ref="U102" dT="2023-09-19T08:37:22.57" personId="{00000000-0000-0000-0000-000000000000}" id="{0E5D311E-2168-4B23-855E-168C93D5ED2A}">
    <text>Figures are negative because they are an increase to potable water exports from this WRZ and so are a reduction in WAFU</text>
  </threadedComment>
  <threadedComment ref="V102" dT="2023-09-19T08:37:22.57" personId="{00000000-0000-0000-0000-000000000000}" id="{C0A6EF2F-C49F-4CE2-9D27-44F4FF6D70AE}">
    <text>Figures are negative because they are an increase to potable water exports from this WRZ and so are a reduction in WAFU</text>
  </threadedComment>
  <threadedComment ref="W102" dT="2023-09-19T08:37:22.57" personId="{00000000-0000-0000-0000-000000000000}" id="{854DB67F-5576-401E-B727-D894B2DC53C5}">
    <text>Figures are negative because they are an increase to potable water exports from this WRZ and so are a reduction in WAFU</text>
  </threadedComment>
  <threadedComment ref="X102" dT="2023-09-19T08:37:22.57" personId="{00000000-0000-0000-0000-000000000000}" id="{AB7623A0-5F48-4270-B707-9AD167999950}">
    <text>Figures are negative because they are an increase to potable water exports from this WRZ and so are a reduction in WAFU</text>
  </threadedComment>
  <threadedComment ref="Y102" dT="2023-09-19T08:37:22.57" personId="{00000000-0000-0000-0000-000000000000}" id="{192B4137-1851-4AE8-8EC0-DDF004D94A26}">
    <text>Figures are negative because they are an increase to potable water exports from this WRZ and so are a reduction in WAFU</text>
  </threadedComment>
  <threadedComment ref="Z102" dT="2023-09-19T08:37:22.57" personId="{00000000-0000-0000-0000-000000000000}" id="{CF2763CB-CA73-4AD2-B0F1-A8719B72D2D8}">
    <text>Figures are negative because they are an increase to potable water exports from this WRZ and so are a reduction in WAFU</text>
  </threadedComment>
  <threadedComment ref="AA102" dT="2023-09-19T08:37:22.57" personId="{00000000-0000-0000-0000-000000000000}" id="{73470746-1C88-4AAB-8BDD-B0EE7E88F6B7}">
    <text>Figures are negative because they are an increase to potable water exports from this WRZ and so are a reduction in WAFU</text>
  </threadedComment>
  <threadedComment ref="AB102" dT="2023-09-19T08:37:22.57" personId="{00000000-0000-0000-0000-000000000000}" id="{9D447B03-C609-4721-8CBD-9727A52BF847}">
    <text>Figures are negative because they are an increase to potable water exports from this WRZ and so are a reduction in WAFU</text>
  </threadedComment>
  <threadedComment ref="AC102" dT="2023-09-19T08:37:22.57" personId="{00000000-0000-0000-0000-000000000000}" id="{0DC009F9-6D97-41A0-BE0B-B9BA25E6C6E0}">
    <text>Figures are negative because they are an increase to potable water exports from this WRZ and so are a reduction in WAFU</text>
  </threadedComment>
  <threadedComment ref="AD102" dT="2023-09-19T08:37:22.57" personId="{00000000-0000-0000-0000-000000000000}" id="{17C6D4A1-0CD6-49DB-94B6-603AFEF1FD25}">
    <text>Figures are negative because they are an increase to potable water exports from this WRZ and so are a reduction in WAFU</text>
  </threadedComment>
  <threadedComment ref="AE102" dT="2023-09-19T08:37:22.57" personId="{00000000-0000-0000-0000-000000000000}" id="{4744C767-6882-4686-BBBC-C81D317B20E2}">
    <text>Figures are negative because they are an increase to potable water exports from this WRZ and so are a reduction in WAFU</text>
  </threadedComment>
  <threadedComment ref="AF102" dT="2023-09-19T08:37:22.57" personId="{00000000-0000-0000-0000-000000000000}" id="{1A8DD381-8A55-4A26-BF5C-8C7E603FD866}">
    <text>Figures are negative because they are an increase to potable water exports from this WRZ and so are a reduction in WAFU</text>
  </threadedComment>
  <threadedComment ref="AG102" dT="2023-09-19T08:37:22.57" personId="{00000000-0000-0000-0000-000000000000}" id="{433DA12E-6B2E-416F-A53C-AB3D36D3E406}">
    <text>Figures are negative because they are an increase to potable water exports from this WRZ and so are a reduction in WAFU</text>
  </threadedComment>
  <threadedComment ref="AH102" dT="2023-09-19T08:37:22.57" personId="{00000000-0000-0000-0000-000000000000}" id="{7617E4FE-2E48-48B1-A7E3-4BEF13F6CE4E}">
    <text>Figures are negative because they are an increase to potable water exports from this WRZ and so are a reduction in WAFU</text>
  </threadedComment>
  <threadedComment ref="AI102" dT="2023-09-19T08:37:22.57" personId="{00000000-0000-0000-0000-000000000000}" id="{D1B18A1E-7EA0-4578-9518-57A22F552F1B}">
    <text>Figures are negative because they are an increase to potable water exports from this WRZ and so are a reduction in WAFU</text>
  </threadedComment>
  <threadedComment ref="AJ102" dT="2023-09-19T08:37:22.57" personId="{00000000-0000-0000-0000-000000000000}" id="{BB3FD5FF-891E-445B-A979-49A816609AB6}">
    <text>Figures are negative because they are an increase to potable water exports from this WRZ and so are a reduction in WAFU</text>
  </threadedComment>
  <threadedComment ref="AK102" dT="2023-09-19T08:37:22.57" personId="{00000000-0000-0000-0000-000000000000}" id="{33A2931B-94CF-4314-B603-A257852BE4E5}">
    <text>Figures are negative because they are an increase to potable water exports from this WRZ and so are a reduction in WAFU</text>
  </threadedComment>
  <threadedComment ref="AL102" dT="2023-09-19T08:37:22.57" personId="{00000000-0000-0000-0000-000000000000}" id="{CE9D0739-F522-408E-A55D-80EE0EC97371}">
    <text>Figures are negative because they are an increase to potable water exports from this WRZ and so are a reduction in WAFU</text>
  </threadedComment>
  <threadedComment ref="AM102" dT="2023-09-19T08:37:22.57" personId="{00000000-0000-0000-0000-000000000000}" id="{A355DBB7-B52B-4D15-8EFE-03695C1E7AF2}">
    <text>Figures are negative because they are an increase to potable water exports from this WRZ and so are a reduction in WAFU</text>
  </threadedComment>
  <threadedComment ref="AN102" dT="2023-09-19T08:37:22.57" personId="{00000000-0000-0000-0000-000000000000}" id="{2CB11518-C888-4C9D-853C-B6F97B03F54E}">
    <text>Figures are negative because they are an increase to potable water exports from this WRZ and so are a reduction in WAFU</text>
  </threadedComment>
  <threadedComment ref="AO102" dT="2023-09-19T08:37:22.57" personId="{00000000-0000-0000-0000-000000000000}" id="{368B2644-2EE6-41A2-BA11-991A9BA806E5}">
    <text>Figures are negative because they are an increase to potable water exports from this WRZ and so are a reduction in WAFU</text>
  </threadedComment>
  <threadedComment ref="AP102" dT="2023-09-19T08:37:22.57" personId="{00000000-0000-0000-0000-000000000000}" id="{12749F1C-F797-4DCA-AF42-45D8A5769883}">
    <text>Figures are negative because they are an increase to potable water exports from this WRZ and so are a reduction in WAFU</text>
  </threadedComment>
  <threadedComment ref="U103" dT="2023-09-19T08:37:22.57" personId="{00000000-0000-0000-0000-000000000000}" id="{61AA4AC7-E126-41F0-B06D-9CC9A70E8046}">
    <text>Figures are negative because they are an increase to potable water exports from this WRZ and so are a reduction in WAFU</text>
  </threadedComment>
  <threadedComment ref="V103" dT="2023-09-19T08:37:22.57" personId="{00000000-0000-0000-0000-000000000000}" id="{470193BE-D4B6-4E3C-AB8C-2CDAEE5F3D28}">
    <text>Figures are negative because they are an increase to potable water exports from this WRZ and so are a reduction in WAFU</text>
  </threadedComment>
  <threadedComment ref="W103" dT="2023-09-19T08:37:22.57" personId="{00000000-0000-0000-0000-000000000000}" id="{AA5B0BA8-2566-40C8-B221-6177D3E3D18F}">
    <text>Figures are negative because they are an increase to potable water exports from this WRZ and so are a reduction in WAFU</text>
  </threadedComment>
  <threadedComment ref="X103" dT="2023-09-19T08:37:22.57" personId="{00000000-0000-0000-0000-000000000000}" id="{1E60645C-CE2A-4031-AA8F-74AAA1B09670}">
    <text>Figures are negative because they are an increase to potable water exports from this WRZ and so are a reduction in WAFU</text>
  </threadedComment>
  <threadedComment ref="Y103" dT="2023-09-19T08:37:22.57" personId="{00000000-0000-0000-0000-000000000000}" id="{577C7A1D-7B0D-431F-B4FF-C3DE5316807B}">
    <text>Figures are negative because they are an increase to potable water exports from this WRZ and so are a reduction in WAFU</text>
  </threadedComment>
  <threadedComment ref="Z103" dT="2023-09-19T08:37:22.57" personId="{00000000-0000-0000-0000-000000000000}" id="{AD518D0C-D809-4DA0-9A8B-D638AEB6FE34}">
    <text>Figures are negative because they are an increase to potable water exports from this WRZ and so are a reduction in WAFU</text>
  </threadedComment>
  <threadedComment ref="AA103" dT="2023-09-19T08:37:22.57" personId="{00000000-0000-0000-0000-000000000000}" id="{5ACF2F24-FDEA-42B5-A1AC-F1FA197C0FEE}">
    <text>Figures are negative because they are an increase to potable water exports from this WRZ and so are a reduction in WAFU</text>
  </threadedComment>
  <threadedComment ref="AB103" dT="2023-09-19T08:37:22.57" personId="{00000000-0000-0000-0000-000000000000}" id="{F0B0C8DE-C8F1-4894-A50B-1387212F4C7A}">
    <text>Figures are negative because they are an increase to potable water exports from this WRZ and so are a reduction in WAFU</text>
  </threadedComment>
  <threadedComment ref="AC103" dT="2023-09-19T08:37:22.57" personId="{00000000-0000-0000-0000-000000000000}" id="{204BC790-8F3C-4D2A-B05B-7CB5652EA118}">
    <text>Figures are negative because they are an increase to potable water exports from this WRZ and so are a reduction in WAFU</text>
  </threadedComment>
  <threadedComment ref="AD103" dT="2023-09-19T08:37:22.57" personId="{00000000-0000-0000-0000-000000000000}" id="{1A64BB2B-A244-478E-81BF-8292B19E6E38}">
    <text>Figures are negative because they are an increase to potable water exports from this WRZ and so are a reduction in WAFU</text>
  </threadedComment>
  <threadedComment ref="AE103" dT="2023-09-19T08:37:22.57" personId="{00000000-0000-0000-0000-000000000000}" id="{3317A55A-EBED-4F13-ABDA-A93E86D8C699}">
    <text>Figures are negative because they are an increase to potable water exports from this WRZ and so are a reduction in WAFU</text>
  </threadedComment>
  <threadedComment ref="AF103" dT="2023-09-19T08:37:22.57" personId="{00000000-0000-0000-0000-000000000000}" id="{2D7CEB15-6EC0-4EA7-966B-354BF8F233A0}">
    <text>Figures are negative because they are an increase to potable water exports from this WRZ and so are a reduction in WAFU</text>
  </threadedComment>
  <threadedComment ref="AG103" dT="2023-09-19T08:37:22.57" personId="{00000000-0000-0000-0000-000000000000}" id="{16B319F5-143D-42D8-A8CB-0704023DF101}">
    <text>Figures are negative because they are an increase to potable water exports from this WRZ and so are a reduction in WAFU</text>
  </threadedComment>
  <threadedComment ref="AH103" dT="2023-09-19T08:37:22.57" personId="{00000000-0000-0000-0000-000000000000}" id="{59E458C8-2E80-427E-8E7D-74BC832BECBC}">
    <text>Figures are negative because they are an increase to potable water exports from this WRZ and so are a reduction in WAFU</text>
  </threadedComment>
  <threadedComment ref="AI103" dT="2023-09-19T08:37:22.57" personId="{00000000-0000-0000-0000-000000000000}" id="{FD0AD35D-A8C1-496B-9899-E750A3B1B27C}">
    <text>Figures are negative because they are an increase to potable water exports from this WRZ and so are a reduction in WAFU</text>
  </threadedComment>
  <threadedComment ref="AJ103" dT="2023-09-19T08:37:22.57" personId="{00000000-0000-0000-0000-000000000000}" id="{8B13A285-CFC4-4E5D-B8DD-2A03A272FD4C}">
    <text>Figures are negative because they are an increase to potable water exports from this WRZ and so are a reduction in WAFU</text>
  </threadedComment>
  <threadedComment ref="AK103" dT="2023-09-19T08:37:22.57" personId="{00000000-0000-0000-0000-000000000000}" id="{D9E96AED-749D-49BD-B920-8DED6E7994F7}">
    <text>Figures are negative because they are an increase to potable water exports from this WRZ and so are a reduction in WAFU</text>
  </threadedComment>
  <threadedComment ref="AL103" dT="2023-09-19T08:37:22.57" personId="{00000000-0000-0000-0000-000000000000}" id="{87F27941-DE08-4F50-86A3-57B364C0F52C}">
    <text>Figures are negative because they are an increase to potable water exports from this WRZ and so are a reduction in WAFU</text>
  </threadedComment>
  <threadedComment ref="AM103" dT="2023-09-19T08:37:22.57" personId="{00000000-0000-0000-0000-000000000000}" id="{3860FFCF-E3B6-4A80-9FF0-01CB1E0944E9}">
    <text>Figures are negative because they are an increase to potable water exports from this WRZ and so are a reduction in WAFU</text>
  </threadedComment>
  <threadedComment ref="AN103" dT="2023-09-19T08:37:22.57" personId="{00000000-0000-0000-0000-000000000000}" id="{C242FB7B-A4C0-49EC-BD1E-7334636DAFD1}">
    <text>Figures are negative because they are an increase to potable water exports from this WRZ and so are a reduction in WAFU</text>
  </threadedComment>
  <threadedComment ref="AO103" dT="2023-09-19T08:37:22.57" personId="{00000000-0000-0000-0000-000000000000}" id="{AA7357B2-88A2-4527-8F0D-8B5C0638902B}">
    <text>Figures are negative because they are an increase to potable water exports from this WRZ and so are a reduction in WAFU</text>
  </threadedComment>
  <threadedComment ref="AP103" dT="2023-09-19T08:37:22.57" personId="{00000000-0000-0000-0000-000000000000}" id="{CB47BBB6-E712-4E1A-9017-CCA9737549D9}">
    <text>Figures are negative because they are an increase to potable water exports from this WRZ and so are a reduction in WAFU</text>
  </threadedComment>
  <threadedComment ref="U104" dT="2023-09-19T08:37:22.57" personId="{00000000-0000-0000-0000-000000000000}" id="{AF6C03F6-A45F-4D0D-BB77-FEE10B968D6E}">
    <text>Figures are negative because they are an increase to potable water exports from this WRZ and so are a reduction in WAFU</text>
  </threadedComment>
  <threadedComment ref="V104" dT="2023-09-19T08:37:22.57" personId="{00000000-0000-0000-0000-000000000000}" id="{16CBFF89-0FA5-4C64-8770-0000A1A40528}">
    <text>Figures are negative because they are an increase to potable water exports from this WRZ and so are a reduction in WAFU</text>
  </threadedComment>
  <threadedComment ref="W104" dT="2023-09-19T08:37:22.57" personId="{00000000-0000-0000-0000-000000000000}" id="{A563486C-0EC0-47B0-84FC-CC3B3EC305F4}">
    <text>Figures are negative because they are an increase to potable water exports from this WRZ and so are a reduction in WAFU</text>
  </threadedComment>
  <threadedComment ref="X104" dT="2023-09-19T08:37:22.57" personId="{00000000-0000-0000-0000-000000000000}" id="{AD04B273-614F-40F4-8B23-029D0DDBC99A}">
    <text>Figures are negative because they are an increase to potable water exports from this WRZ and so are a reduction in WAFU</text>
  </threadedComment>
  <threadedComment ref="Y104" dT="2023-09-19T08:37:22.57" personId="{00000000-0000-0000-0000-000000000000}" id="{FA0274F1-791D-4A42-A332-397C89DC0D15}">
    <text>Figures are negative because they are an increase to potable water exports from this WRZ and so are a reduction in WAFU</text>
  </threadedComment>
  <threadedComment ref="Z104" dT="2023-09-19T08:37:22.57" personId="{00000000-0000-0000-0000-000000000000}" id="{BCD97C2F-8F47-4CC4-A34B-FD1A6B73B2C6}">
    <text>Figures are negative because they are an increase to potable water exports from this WRZ and so are a reduction in WAFU</text>
  </threadedComment>
  <threadedComment ref="AA104" dT="2023-09-19T08:37:22.57" personId="{00000000-0000-0000-0000-000000000000}" id="{8FD1001E-726F-4FE0-9CA9-8C466359CBA8}">
    <text>Figures are negative because they are an increase to potable water exports from this WRZ and so are a reduction in WAFU</text>
  </threadedComment>
  <threadedComment ref="AB104" dT="2023-09-19T08:37:22.57" personId="{00000000-0000-0000-0000-000000000000}" id="{803B340E-9B79-46BE-B9F9-99F97F2037EB}">
    <text>Figures are negative because they are an increase to potable water exports from this WRZ and so are a reduction in WAFU</text>
  </threadedComment>
  <threadedComment ref="AC104" dT="2023-09-19T08:37:22.57" personId="{00000000-0000-0000-0000-000000000000}" id="{684C9D01-DCBA-43D7-B309-0502BDD277D1}">
    <text>Figures are negative because they are an increase to potable water exports from this WRZ and so are a reduction in WAFU</text>
  </threadedComment>
  <threadedComment ref="AD104" dT="2023-09-19T08:37:22.57" personId="{00000000-0000-0000-0000-000000000000}" id="{9439B40C-470B-481C-89A9-C0447A8C3FF4}">
    <text>Figures are negative because they are an increase to potable water exports from this WRZ and so are a reduction in WAFU</text>
  </threadedComment>
  <threadedComment ref="AE104" dT="2023-09-19T08:37:22.57" personId="{00000000-0000-0000-0000-000000000000}" id="{21A0A264-2CA8-4283-95A7-A973218C9C6F}">
    <text>Figures are negative because they are an increase to potable water exports from this WRZ and so are a reduction in WAFU</text>
  </threadedComment>
  <threadedComment ref="AF104" dT="2023-09-19T08:37:22.57" personId="{00000000-0000-0000-0000-000000000000}" id="{4FF29952-E854-495C-8083-D335DA48B6CC}">
    <text>Figures are negative because they are an increase to potable water exports from this WRZ and so are a reduction in WAFU</text>
  </threadedComment>
  <threadedComment ref="AG104" dT="2023-09-19T08:37:22.57" personId="{00000000-0000-0000-0000-000000000000}" id="{2E59EBCA-5505-4EBB-B78E-2E2FFAC37555}">
    <text>Figures are negative because they are an increase to potable water exports from this WRZ and so are a reduction in WAFU</text>
  </threadedComment>
  <threadedComment ref="AH104" dT="2023-09-19T08:37:22.57" personId="{00000000-0000-0000-0000-000000000000}" id="{E5AB446A-258F-434A-A074-A68CEE5E5670}">
    <text>Figures are negative because they are an increase to potable water exports from this WRZ and so are a reduction in WAFU</text>
  </threadedComment>
  <threadedComment ref="AI104" dT="2023-09-19T08:37:22.57" personId="{00000000-0000-0000-0000-000000000000}" id="{E40623CE-1FD9-4A8D-857A-3170FF0739BF}">
    <text>Figures are negative because they are an increase to potable water exports from this WRZ and so are a reduction in WAFU</text>
  </threadedComment>
  <threadedComment ref="AJ104" dT="2023-09-19T08:37:22.57" personId="{00000000-0000-0000-0000-000000000000}" id="{2A5914D7-0CD9-4622-98B1-2604D65D6F6D}">
    <text>Figures are negative because they are an increase to potable water exports from this WRZ and so are a reduction in WAFU</text>
  </threadedComment>
  <threadedComment ref="AK104" dT="2023-09-19T08:37:22.57" personId="{00000000-0000-0000-0000-000000000000}" id="{729755BA-6B19-4478-A3A3-646C0E7C620E}">
    <text>Figures are negative because they are an increase to potable water exports from this WRZ and so are a reduction in WAFU</text>
  </threadedComment>
  <threadedComment ref="AL104" dT="2023-09-19T08:37:22.57" personId="{00000000-0000-0000-0000-000000000000}" id="{24FEA18C-3865-47FA-932A-A8552600995C}">
    <text>Figures are negative because they are an increase to potable water exports from this WRZ and so are a reduction in WAFU</text>
  </threadedComment>
  <threadedComment ref="AM104" dT="2023-09-19T08:37:22.57" personId="{00000000-0000-0000-0000-000000000000}" id="{ED6A43B6-9667-48CE-8C16-E60831132433}">
    <text>Figures are negative because they are an increase to potable water exports from this WRZ and so are a reduction in WAFU</text>
  </threadedComment>
  <threadedComment ref="AN104" dT="2023-09-19T08:37:22.57" personId="{00000000-0000-0000-0000-000000000000}" id="{A249EF56-9E4C-4DAE-BCEE-902A2F167444}">
    <text>Figures are negative because they are an increase to potable water exports from this WRZ and so are a reduction in WAFU</text>
  </threadedComment>
  <threadedComment ref="AO104" dT="2023-09-19T08:37:22.57" personId="{00000000-0000-0000-0000-000000000000}" id="{48E84601-3EE3-49AC-A32E-DC7012214EA9}">
    <text>Figures are negative because they are an increase to potable water exports from this WRZ and so are a reduction in WAFU</text>
  </threadedComment>
  <threadedComment ref="AP104" dT="2023-09-19T08:37:22.57" personId="{00000000-0000-0000-0000-000000000000}" id="{437DAC6E-2010-4D0C-B7B1-D760659431ED}">
    <text>Figures are negative because they are an increase to potable water exports from this WRZ and so are a reduction in WAFU</text>
  </threadedComment>
  <threadedComment ref="U105" dT="2023-09-19T08:37:22.57" personId="{00000000-0000-0000-0000-000000000000}" id="{D0539629-185F-48F7-AD57-3DDB221870F6}">
    <text>Figures are negative because they are an increase to potable water exports from this WRZ and so are a reduction in WAFU</text>
  </threadedComment>
  <threadedComment ref="V105" dT="2023-09-19T08:37:22.57" personId="{00000000-0000-0000-0000-000000000000}" id="{98E3FEB3-CA84-4D62-8FBF-1D648FB4246D}">
    <text>Figures are negative because they are an increase to potable water exports from this WRZ and so are a reduction in WAFU</text>
  </threadedComment>
  <threadedComment ref="W105" dT="2023-09-19T08:37:22.57" personId="{00000000-0000-0000-0000-000000000000}" id="{81FE07BC-BEBD-4782-A1BE-3DA0B3EFF412}">
    <text>Figures are negative because they are an increase to potable water exports from this WRZ and so are a reduction in WAFU</text>
  </threadedComment>
  <threadedComment ref="X105" dT="2023-09-19T08:37:22.57" personId="{00000000-0000-0000-0000-000000000000}" id="{6C335CB2-B5C4-44BB-AFDE-52337FC4B98B}">
    <text>Figures are negative because they are an increase to potable water exports from this WRZ and so are a reduction in WAFU</text>
  </threadedComment>
  <threadedComment ref="Y105" dT="2023-09-19T08:37:22.57" personId="{00000000-0000-0000-0000-000000000000}" id="{1D7FE90C-79E0-4352-A6AB-4998450A9617}">
    <text>Figures are negative because they are an increase to potable water exports from this WRZ and so are a reduction in WAFU</text>
  </threadedComment>
  <threadedComment ref="Z105" dT="2023-09-19T08:37:22.57" personId="{00000000-0000-0000-0000-000000000000}" id="{836413D5-3321-41AE-9210-FEB80FF9C8FA}">
    <text>Figures are negative because they are an increase to potable water exports from this WRZ and so are a reduction in WAFU</text>
  </threadedComment>
  <threadedComment ref="AA105" dT="2023-09-19T08:37:22.57" personId="{00000000-0000-0000-0000-000000000000}" id="{07179357-023E-4165-BD60-461EE7E091A5}">
    <text>Figures are negative because they are an increase to potable water exports from this WRZ and so are a reduction in WAFU</text>
  </threadedComment>
  <threadedComment ref="AB105" dT="2023-09-19T08:37:22.57" personId="{00000000-0000-0000-0000-000000000000}" id="{A4682334-7CA9-49C4-B512-CF7FEC808272}">
    <text>Figures are negative because they are an increase to potable water exports from this WRZ and so are a reduction in WAFU</text>
  </threadedComment>
  <threadedComment ref="AC105" dT="2023-09-19T08:37:22.57" personId="{00000000-0000-0000-0000-000000000000}" id="{0E15E30D-3EC6-4597-8CFA-B635D01B21B8}">
    <text>Figures are negative because they are an increase to potable water exports from this WRZ and so are a reduction in WAFU</text>
  </threadedComment>
  <threadedComment ref="AD105" dT="2023-09-19T08:37:22.57" personId="{00000000-0000-0000-0000-000000000000}" id="{9DFCBB6B-F1B7-4CFC-8EDC-10A95FCB5839}">
    <text>Figures are negative because they are an increase to potable water exports from this WRZ and so are a reduction in WAFU</text>
  </threadedComment>
  <threadedComment ref="AE105" dT="2023-09-19T08:37:22.57" personId="{00000000-0000-0000-0000-000000000000}" id="{CE6FB43C-79F9-4E5B-8099-0E6CD14CF070}">
    <text>Figures are negative because they are an increase to potable water exports from this WRZ and so are a reduction in WAFU</text>
  </threadedComment>
  <threadedComment ref="AF105" dT="2023-09-19T08:37:22.57" personId="{00000000-0000-0000-0000-000000000000}" id="{525C17E9-34BE-480C-BCEA-CA7CE8CF1C5B}">
    <text>Figures are negative because they are an increase to potable water exports from this WRZ and so are a reduction in WAFU</text>
  </threadedComment>
  <threadedComment ref="AG105" dT="2023-09-19T08:37:22.57" personId="{00000000-0000-0000-0000-000000000000}" id="{0F25E9FF-01F7-424F-BB4C-CE3FF5B6289D}">
    <text>Figures are negative because they are an increase to potable water exports from this WRZ and so are a reduction in WAFU</text>
  </threadedComment>
  <threadedComment ref="AH105" dT="2023-09-19T08:37:22.57" personId="{00000000-0000-0000-0000-000000000000}" id="{EE7DB97E-FA74-4E91-B244-83CAD6AE4B63}">
    <text>Figures are negative because they are an increase to potable water exports from this WRZ and so are a reduction in WAFU</text>
  </threadedComment>
  <threadedComment ref="AI105" dT="2023-09-19T08:37:22.57" personId="{00000000-0000-0000-0000-000000000000}" id="{A268CA3A-0DC2-44E6-B6B1-D28D2B1B86A0}">
    <text>Figures are negative because they are an increase to potable water exports from this WRZ and so are a reduction in WAFU</text>
  </threadedComment>
  <threadedComment ref="AJ105" dT="2023-09-19T08:37:22.57" personId="{00000000-0000-0000-0000-000000000000}" id="{5E0139AE-9A38-4994-A073-5F1A3DE5E162}">
    <text>Figures are negative because they are an increase to potable water exports from this WRZ and so are a reduction in WAFU</text>
  </threadedComment>
  <threadedComment ref="AK105" dT="2023-09-19T08:37:22.57" personId="{00000000-0000-0000-0000-000000000000}" id="{15B36B80-367A-4896-84A1-A96BCAFEF068}">
    <text>Figures are negative because they are an increase to potable water exports from this WRZ and so are a reduction in WAFU</text>
  </threadedComment>
  <threadedComment ref="AL105" dT="2023-09-19T08:37:22.57" personId="{00000000-0000-0000-0000-000000000000}" id="{CB1B2806-F2FB-48C3-905E-588B46E9F2E4}">
    <text>Figures are negative because they are an increase to potable water exports from this WRZ and so are a reduction in WAFU</text>
  </threadedComment>
  <threadedComment ref="AM105" dT="2023-09-19T08:37:22.57" personId="{00000000-0000-0000-0000-000000000000}" id="{40B4AE01-F605-47E3-B716-ECF7B5387987}">
    <text>Figures are negative because they are an increase to potable water exports from this WRZ and so are a reduction in WAFU</text>
  </threadedComment>
  <threadedComment ref="AN105" dT="2023-09-19T08:37:22.57" personId="{00000000-0000-0000-0000-000000000000}" id="{13A671F5-FEC0-4192-9D03-A95AA1BC7FFB}">
    <text>Figures are negative because they are an increase to potable water exports from this WRZ and so are a reduction in WAFU</text>
  </threadedComment>
  <threadedComment ref="AO105" dT="2023-09-19T08:37:22.57" personId="{00000000-0000-0000-0000-000000000000}" id="{C5B947CF-0347-4634-B161-6447B8221418}">
    <text>Figures are negative because they are an increase to potable water exports from this WRZ and so are a reduction in WAFU</text>
  </threadedComment>
  <threadedComment ref="AP105" dT="2023-09-19T08:37:22.57" personId="{00000000-0000-0000-0000-000000000000}" id="{6B7DC2AD-54FD-4118-A9EC-3E48E251173C}">
    <text>Figures are negative because they are an increase to potable water exports from this WRZ and so are a reduction in WAFU</text>
  </threadedComment>
  <threadedComment ref="U106" dT="2023-09-19T08:37:22.57" personId="{00000000-0000-0000-0000-000000000000}" id="{86C831AF-00BA-448E-85E7-9A2E04781E83}">
    <text>Figures are negative because they are an increase to potable water exports from this WRZ and so are a reduction in WAFU</text>
  </threadedComment>
  <threadedComment ref="V106" dT="2023-09-19T08:37:22.57" personId="{00000000-0000-0000-0000-000000000000}" id="{882CC3ED-4D6C-4F22-8761-02FCE27F0353}">
    <text>Figures are negative because they are an increase to potable water exports from this WRZ and so are a reduction in WAFU</text>
  </threadedComment>
  <threadedComment ref="W106" dT="2023-09-19T08:37:22.57" personId="{00000000-0000-0000-0000-000000000000}" id="{3D0D007A-31CD-4CAE-B570-BA77F9766615}">
    <text>Figures are negative because they are an increase to potable water exports from this WRZ and so are a reduction in WAFU</text>
  </threadedComment>
  <threadedComment ref="X106" dT="2023-09-19T08:37:22.57" personId="{00000000-0000-0000-0000-000000000000}" id="{0E50BB89-0BD7-4775-BFF4-C35098D912A8}">
    <text>Figures are negative because they are an increase to potable water exports from this WRZ and so are a reduction in WAFU</text>
  </threadedComment>
  <threadedComment ref="Y106" dT="2023-09-19T08:37:22.57" personId="{00000000-0000-0000-0000-000000000000}" id="{2F73945B-651B-44FD-B15F-CF534F282528}">
    <text>Figures are negative because they are an increase to potable water exports from this WRZ and so are a reduction in WAFU</text>
  </threadedComment>
  <threadedComment ref="Z106" dT="2023-09-19T08:37:22.57" personId="{00000000-0000-0000-0000-000000000000}" id="{F6B38398-049E-4043-AA94-A04C26E12168}">
    <text>Figures are negative because they are an increase to potable water exports from this WRZ and so are a reduction in WAFU</text>
  </threadedComment>
  <threadedComment ref="AA106" dT="2023-09-19T08:37:22.57" personId="{00000000-0000-0000-0000-000000000000}" id="{E2D0D955-ACAC-4FCE-B9AC-70245DB8CB21}">
    <text>Figures are negative because they are an increase to potable water exports from this WRZ and so are a reduction in WAFU</text>
  </threadedComment>
  <threadedComment ref="AB106" dT="2023-09-19T08:37:22.57" personId="{00000000-0000-0000-0000-000000000000}" id="{D5D6EF81-448F-4384-9FA3-AF7BD2ADEFFA}">
    <text>Figures are negative because they are an increase to potable water exports from this WRZ and so are a reduction in WAFU</text>
  </threadedComment>
  <threadedComment ref="AC106" dT="2023-09-19T08:37:22.57" personId="{00000000-0000-0000-0000-000000000000}" id="{580DB0E6-825F-49E5-BA38-2DA40072D28A}">
    <text>Figures are negative because they are an increase to potable water exports from this WRZ and so are a reduction in WAFU</text>
  </threadedComment>
  <threadedComment ref="AD106" dT="2023-09-19T08:37:22.57" personId="{00000000-0000-0000-0000-000000000000}" id="{DFC5F7C4-BBA9-43F6-823F-E5DAE10ABD1A}">
    <text>Figures are negative because they are an increase to potable water exports from this WRZ and so are a reduction in WAFU</text>
  </threadedComment>
  <threadedComment ref="AE106" dT="2023-09-19T08:37:22.57" personId="{00000000-0000-0000-0000-000000000000}" id="{46798F56-7CC3-4379-A75B-44DAD10C62C9}">
    <text>Figures are negative because they are an increase to potable water exports from this WRZ and so are a reduction in WAFU</text>
  </threadedComment>
  <threadedComment ref="AF106" dT="2023-09-19T08:37:22.57" personId="{00000000-0000-0000-0000-000000000000}" id="{3DFB4466-F624-4454-AB23-29FAC02DB545}">
    <text>Figures are negative because they are an increase to potable water exports from this WRZ and so are a reduction in WAFU</text>
  </threadedComment>
  <threadedComment ref="AG106" dT="2023-09-19T08:37:22.57" personId="{00000000-0000-0000-0000-000000000000}" id="{F6BBF1B3-56DC-48E0-9123-965F4433EC2E}">
    <text>Figures are negative because they are an increase to potable water exports from this WRZ and so are a reduction in WAFU</text>
  </threadedComment>
  <threadedComment ref="AH106" dT="2023-09-19T08:37:22.57" personId="{00000000-0000-0000-0000-000000000000}" id="{1C1CD700-9B68-4941-BDB9-E086D6562F13}">
    <text>Figures are negative because they are an increase to potable water exports from this WRZ and so are a reduction in WAFU</text>
  </threadedComment>
  <threadedComment ref="AI106" dT="2023-09-19T08:37:22.57" personId="{00000000-0000-0000-0000-000000000000}" id="{1CE2A394-0D1C-4E10-ABEA-BBA35BFDA33C}">
    <text>Figures are negative because they are an increase to potable water exports from this WRZ and so are a reduction in WAFU</text>
  </threadedComment>
  <threadedComment ref="AJ106" dT="2023-09-19T08:37:22.57" personId="{00000000-0000-0000-0000-000000000000}" id="{2E97E962-275D-495D-A540-21F0746FD022}">
    <text>Figures are negative because they are an increase to potable water exports from this WRZ and so are a reduction in WAFU</text>
  </threadedComment>
  <threadedComment ref="AK106" dT="2023-09-19T08:37:22.57" personId="{00000000-0000-0000-0000-000000000000}" id="{E8E2C04D-984C-4272-B39B-31AC0538EAAE}">
    <text>Figures are negative because they are an increase to potable water exports from this WRZ and so are a reduction in WAFU</text>
  </threadedComment>
  <threadedComment ref="AL106" dT="2023-09-19T08:37:22.57" personId="{00000000-0000-0000-0000-000000000000}" id="{333CE027-F437-4FB8-9F42-E8FF7C32D73E}">
    <text>Figures are negative because they are an increase to potable water exports from this WRZ and so are a reduction in WAFU</text>
  </threadedComment>
  <threadedComment ref="AM106" dT="2023-09-19T08:37:22.57" personId="{00000000-0000-0000-0000-000000000000}" id="{CE3BDC30-113A-4157-9F19-183A04F96FCE}">
    <text>Figures are negative because they are an increase to potable water exports from this WRZ and so are a reduction in WAFU</text>
  </threadedComment>
  <threadedComment ref="AN106" dT="2023-09-19T08:37:22.57" personId="{00000000-0000-0000-0000-000000000000}" id="{A86217BB-D526-4D48-B56F-052CEF8567EF}">
    <text>Figures are negative because they are an increase to potable water exports from this WRZ and so are a reduction in WAFU</text>
  </threadedComment>
  <threadedComment ref="AO106" dT="2023-09-19T08:37:22.57" personId="{00000000-0000-0000-0000-000000000000}" id="{6C849F66-85C7-484B-BBF3-75268F2F0720}">
    <text>Figures are negative because they are an increase to potable water exports from this WRZ and so are a reduction in WAFU</text>
  </threadedComment>
  <threadedComment ref="AP106" dT="2023-09-19T08:37:22.57" personId="{00000000-0000-0000-0000-000000000000}" id="{0DD205B6-ACDF-4F5A-B711-48DBC534C2B3}">
    <text>Figures are negative because they are an increase to potable water exports from this WRZ and so are a reduction in WAFU</text>
  </threadedComment>
  <threadedComment ref="U107" dT="2023-09-19T08:37:22.57" personId="{00000000-0000-0000-0000-000000000000}" id="{CCD89473-FD23-4FC5-A348-B0B78673B938}">
    <text>Figures are negative because they are an increase to potable water exports from this WRZ and so are a reduction in WAFU</text>
  </threadedComment>
  <threadedComment ref="V107" dT="2023-09-19T08:37:22.57" personId="{00000000-0000-0000-0000-000000000000}" id="{FCB63578-95CA-446E-AFD7-72B204C28283}">
    <text>Figures are negative because they are an increase to potable water exports from this WRZ and so are a reduction in WAFU</text>
  </threadedComment>
  <threadedComment ref="W107" dT="2023-09-19T08:37:22.57" personId="{00000000-0000-0000-0000-000000000000}" id="{0407BCF2-C2AB-44BB-9363-D48FF2A8A3CF}">
    <text>Figures are negative because they are an increase to potable water exports from this WRZ and so are a reduction in WAFU</text>
  </threadedComment>
  <threadedComment ref="X107" dT="2023-09-19T08:37:22.57" personId="{00000000-0000-0000-0000-000000000000}" id="{1286B11F-01A9-4D9F-9684-F6F502611A66}">
    <text>Figures are negative because they are an increase to potable water exports from this WRZ and so are a reduction in WAFU</text>
  </threadedComment>
  <threadedComment ref="Y107" dT="2023-09-19T08:37:22.57" personId="{00000000-0000-0000-0000-000000000000}" id="{63A26471-35FB-4026-8518-A26433275802}">
    <text>Figures are negative because they are an increase to potable water exports from this WRZ and so are a reduction in WAFU</text>
  </threadedComment>
  <threadedComment ref="Z107" dT="2023-09-19T08:37:22.57" personId="{00000000-0000-0000-0000-000000000000}" id="{CD287E91-2D06-457A-96D1-5B18E83FB844}">
    <text>Figures are negative because they are an increase to potable water exports from this WRZ and so are a reduction in WAFU</text>
  </threadedComment>
  <threadedComment ref="AA107" dT="2023-09-19T08:37:22.57" personId="{00000000-0000-0000-0000-000000000000}" id="{7685658E-A57B-4DE1-86E2-53AEAC8BA7CC}">
    <text>Figures are negative because they are an increase to potable water exports from this WRZ and so are a reduction in WAFU</text>
  </threadedComment>
  <threadedComment ref="AB107" dT="2023-09-19T08:37:22.57" personId="{00000000-0000-0000-0000-000000000000}" id="{16EF06B8-E762-43C9-BD31-8FF6F6335885}">
    <text>Figures are negative because they are an increase to potable water exports from this WRZ and so are a reduction in WAFU</text>
  </threadedComment>
  <threadedComment ref="AC107" dT="2023-09-19T08:37:22.57" personId="{00000000-0000-0000-0000-000000000000}" id="{4783BB97-F8FF-4CC9-853D-104441D99D67}">
    <text>Figures are negative because they are an increase to potable water exports from this WRZ and so are a reduction in WAFU</text>
  </threadedComment>
  <threadedComment ref="AD107" dT="2023-09-19T08:37:22.57" personId="{00000000-0000-0000-0000-000000000000}" id="{4F02B6EE-9275-4966-9D36-213694E10964}">
    <text>Figures are negative because they are an increase to potable water exports from this WRZ and so are a reduction in WAFU</text>
  </threadedComment>
  <threadedComment ref="AE107" dT="2023-09-19T08:37:22.57" personId="{00000000-0000-0000-0000-000000000000}" id="{9E19DA6E-3EE0-4BAD-B7AD-49EF80C56100}">
    <text>Figures are negative because they are an increase to potable water exports from this WRZ and so are a reduction in WAFU</text>
  </threadedComment>
  <threadedComment ref="AF107" dT="2023-09-19T08:37:22.57" personId="{00000000-0000-0000-0000-000000000000}" id="{319A36C4-5857-4F10-B933-F3CCB6BBEC3D}">
    <text>Figures are negative because they are an increase to potable water exports from this WRZ and so are a reduction in WAFU</text>
  </threadedComment>
  <threadedComment ref="AG107" dT="2023-09-19T08:37:22.57" personId="{00000000-0000-0000-0000-000000000000}" id="{3DA8CEFF-8CD9-4047-9280-31A5EE3D3719}">
    <text>Figures are negative because they are an increase to potable water exports from this WRZ and so are a reduction in WAFU</text>
  </threadedComment>
  <threadedComment ref="AH107" dT="2023-09-19T08:37:22.57" personId="{00000000-0000-0000-0000-000000000000}" id="{9E2888CA-2438-468E-B559-0BAC758C00D2}">
    <text>Figures are negative because they are an increase to potable water exports from this WRZ and so are a reduction in WAFU</text>
  </threadedComment>
  <threadedComment ref="AI107" dT="2023-09-19T08:37:22.57" personId="{00000000-0000-0000-0000-000000000000}" id="{434B254E-67AD-485A-9369-8B3B282A5E00}">
    <text>Figures are negative because they are an increase to potable water exports from this WRZ and so are a reduction in WAFU</text>
  </threadedComment>
  <threadedComment ref="AJ107" dT="2023-09-19T08:37:22.57" personId="{00000000-0000-0000-0000-000000000000}" id="{062AAF41-89F6-42BB-A3F2-B4775081508C}">
    <text>Figures are negative because they are an increase to potable water exports from this WRZ and so are a reduction in WAFU</text>
  </threadedComment>
  <threadedComment ref="AK107" dT="2023-09-19T08:37:22.57" personId="{00000000-0000-0000-0000-000000000000}" id="{3368E81A-FD73-487F-B2E2-EFF5E6AA90E2}">
    <text>Figures are negative because they are an increase to potable water exports from this WRZ and so are a reduction in WAFU</text>
  </threadedComment>
  <threadedComment ref="AL107" dT="2023-09-19T08:37:22.57" personId="{00000000-0000-0000-0000-000000000000}" id="{06C743FC-64BA-4D60-84E5-0650D3367671}">
    <text>Figures are negative because they are an increase to potable water exports from this WRZ and so are a reduction in WAFU</text>
  </threadedComment>
  <threadedComment ref="AM107" dT="2023-09-19T08:37:22.57" personId="{00000000-0000-0000-0000-000000000000}" id="{7B70632F-6867-49F4-9BD2-FEC2E0E721BB}">
    <text>Figures are negative because they are an increase to potable water exports from this WRZ and so are a reduction in WAFU</text>
  </threadedComment>
  <threadedComment ref="AN107" dT="2023-09-19T08:37:22.57" personId="{00000000-0000-0000-0000-000000000000}" id="{721F51ED-304A-49A1-BD38-B1571722017A}">
    <text>Figures are negative because they are an increase to potable water exports from this WRZ and so are a reduction in WAFU</text>
  </threadedComment>
  <threadedComment ref="AO107" dT="2023-09-19T08:37:22.57" personId="{00000000-0000-0000-0000-000000000000}" id="{D31175E3-D848-4CF8-8FD3-8892438E0E6E}">
    <text>Figures are negative because they are an increase to potable water exports from this WRZ and so are a reduction in WAFU</text>
  </threadedComment>
  <threadedComment ref="AP107" dT="2023-09-19T08:37:22.57" personId="{00000000-0000-0000-0000-000000000000}" id="{2124C522-AA58-416F-9215-6BC838CC0C8D}">
    <text>Figures are negative because they are an increase to potable water exports from this WRZ and so are a reduction in WAFU</text>
  </threadedComment>
  <threadedComment ref="U108" dT="2023-09-19T08:37:22.57" personId="{00000000-0000-0000-0000-000000000000}" id="{86660ABD-75FE-43A3-9C20-2B1AA320CEE6}">
    <text>Figures are negative because they are an increase to potable water exports from this WRZ and so are a reduction in WAFU</text>
  </threadedComment>
  <threadedComment ref="V108" dT="2023-09-19T08:37:22.57" personId="{00000000-0000-0000-0000-000000000000}" id="{83CB35DE-3C0D-4F72-A0E6-4F4B025D2C94}">
    <text>Figures are negative because they are an increase to potable water exports from this WRZ and so are a reduction in WAFU</text>
  </threadedComment>
  <threadedComment ref="W108" dT="2023-09-19T08:37:22.57" personId="{00000000-0000-0000-0000-000000000000}" id="{2F600DE6-E115-4FEB-A915-D1396152E865}">
    <text>Figures are negative because they are an increase to potable water exports from this WRZ and so are a reduction in WAFU</text>
  </threadedComment>
  <threadedComment ref="X108" dT="2023-09-19T08:37:22.57" personId="{00000000-0000-0000-0000-000000000000}" id="{7DA6C8D2-7BA3-4646-A5DD-36B844972590}">
    <text>Figures are negative because they are an increase to potable water exports from this WRZ and so are a reduction in WAFU</text>
  </threadedComment>
  <threadedComment ref="Y108" dT="2023-09-19T08:37:22.57" personId="{00000000-0000-0000-0000-000000000000}" id="{61D7A3C0-CC7A-438A-8695-F01E66CA700A}">
    <text>Figures are negative because they are an increase to potable water exports from this WRZ and so are a reduction in WAFU</text>
  </threadedComment>
  <threadedComment ref="Z108" dT="2023-09-19T08:37:22.57" personId="{00000000-0000-0000-0000-000000000000}" id="{1B7BBE4C-27D7-4365-BB50-59AE89E3C2A5}">
    <text>Figures are negative because they are an increase to potable water exports from this WRZ and so are a reduction in WAFU</text>
  </threadedComment>
  <threadedComment ref="AA108" dT="2023-09-19T08:37:22.57" personId="{00000000-0000-0000-0000-000000000000}" id="{2EA50423-7904-4C56-BEAF-42B9133C203F}">
    <text>Figures are negative because they are an increase to potable water exports from this WRZ and so are a reduction in WAFU</text>
  </threadedComment>
  <threadedComment ref="AB108" dT="2023-09-19T08:37:22.57" personId="{00000000-0000-0000-0000-000000000000}" id="{5A749869-D5BE-49EE-87B1-64B7D82F3CEF}">
    <text>Figures are negative because they are an increase to potable water exports from this WRZ and so are a reduction in WAFU</text>
  </threadedComment>
  <threadedComment ref="AC108" dT="2023-09-19T08:37:22.57" personId="{00000000-0000-0000-0000-000000000000}" id="{B2325457-4944-4D45-AEA9-F78135536A13}">
    <text>Figures are negative because they are an increase to potable water exports from this WRZ and so are a reduction in WAFU</text>
  </threadedComment>
  <threadedComment ref="AD108" dT="2023-09-19T08:37:22.57" personId="{00000000-0000-0000-0000-000000000000}" id="{DB4E73EC-13C2-4452-89CD-7F7C00CD5B82}">
    <text>Figures are negative because they are an increase to potable water exports from this WRZ and so are a reduction in WAFU</text>
  </threadedComment>
  <threadedComment ref="AE108" dT="2023-09-19T08:37:22.57" personId="{00000000-0000-0000-0000-000000000000}" id="{7DBDAEC5-4058-444A-B4CA-2B99E4FD6BFF}">
    <text>Figures are negative because they are an increase to potable water exports from this WRZ and so are a reduction in WAFU</text>
  </threadedComment>
  <threadedComment ref="AF108" dT="2023-09-19T08:37:22.57" personId="{00000000-0000-0000-0000-000000000000}" id="{DCEFD918-A817-4CD1-B02F-CAE7A983CA0E}">
    <text>Figures are negative because they are an increase to potable water exports from this WRZ and so are a reduction in WAFU</text>
  </threadedComment>
  <threadedComment ref="AG108" dT="2023-09-19T08:37:22.57" personId="{00000000-0000-0000-0000-000000000000}" id="{1D240A23-4982-45DA-AE15-86AA6D0E9C9A}">
    <text>Figures are negative because they are an increase to potable water exports from this WRZ and so are a reduction in WAFU</text>
  </threadedComment>
  <threadedComment ref="AH108" dT="2023-09-19T08:37:22.57" personId="{00000000-0000-0000-0000-000000000000}" id="{68953B6C-5D1F-4E5A-B013-375118DCFD66}">
    <text>Figures are negative because they are an increase to potable water exports from this WRZ and so are a reduction in WAFU</text>
  </threadedComment>
  <threadedComment ref="AI108" dT="2023-09-19T08:37:22.57" personId="{00000000-0000-0000-0000-000000000000}" id="{9657BEAE-E544-43E7-9E50-07F1303D5C4B}">
    <text>Figures are negative because they are an increase to potable water exports from this WRZ and so are a reduction in WAFU</text>
  </threadedComment>
  <threadedComment ref="AJ108" dT="2023-09-19T08:37:22.57" personId="{00000000-0000-0000-0000-000000000000}" id="{510ED9E7-AE79-4D2B-BD76-20CCEDA519B9}">
    <text>Figures are negative because they are an increase to potable water exports from this WRZ and so are a reduction in WAFU</text>
  </threadedComment>
  <threadedComment ref="AK108" dT="2023-09-19T08:37:22.57" personId="{00000000-0000-0000-0000-000000000000}" id="{91278FEB-CCAD-4AAE-B51C-1E97A947C777}">
    <text>Figures are negative because they are an increase to potable water exports from this WRZ and so are a reduction in WAFU</text>
  </threadedComment>
  <threadedComment ref="AL108" dT="2023-09-19T08:37:22.57" personId="{00000000-0000-0000-0000-000000000000}" id="{97E1A139-EA73-4FD8-B809-E84633AE6C0E}">
    <text>Figures are negative because they are an increase to potable water exports from this WRZ and so are a reduction in WAFU</text>
  </threadedComment>
  <threadedComment ref="AM108" dT="2023-09-19T08:37:22.57" personId="{00000000-0000-0000-0000-000000000000}" id="{1DA3B7A2-1F14-4A65-AAF2-54793DB2D5D0}">
    <text>Figures are negative because they are an increase to potable water exports from this WRZ and so are a reduction in WAFU</text>
  </threadedComment>
  <threadedComment ref="AN108" dT="2023-09-19T08:37:22.57" personId="{00000000-0000-0000-0000-000000000000}" id="{66C57D72-1E68-4596-9514-A574ED087C18}">
    <text>Figures are negative because they are an increase to potable water exports from this WRZ and so are a reduction in WAFU</text>
  </threadedComment>
  <threadedComment ref="AO108" dT="2023-09-19T08:37:22.57" personId="{00000000-0000-0000-0000-000000000000}" id="{C7EA61ED-F5A8-445E-9B8D-ED2AC9D99C68}">
    <text>Figures are negative because they are an increase to potable water exports from this WRZ and so are a reduction in WAFU</text>
  </threadedComment>
  <threadedComment ref="AP108" dT="2023-09-19T08:37:22.57" personId="{00000000-0000-0000-0000-000000000000}" id="{8DDD141C-6AF0-4C87-9DE5-5B1AC8C9E7F8}">
    <text>Figures are negative because they are an increase to potable water exports from this WRZ and so are a reduction in WAFU</text>
  </threadedComment>
  <threadedComment ref="Y109" dT="2023-09-19T08:37:22.57" personId="{00000000-0000-0000-0000-000000000000}" id="{B7904565-F7BF-4E3D-A3C2-059741164FA4}">
    <text>Figures are negative because they are an increase to potable water exports from this WRZ and so are a reduction in WAFU</text>
  </threadedComment>
  <threadedComment ref="Z109" dT="2023-09-19T08:37:22.57" personId="{00000000-0000-0000-0000-000000000000}" id="{CCB363F0-15C5-4562-BAD5-DD75CF9DD921}">
    <text>Figures are negative because they are an increase to potable water exports from this WRZ and so are a reduction in WAFU</text>
  </threadedComment>
  <threadedComment ref="AA109" dT="2023-09-19T08:37:22.57" personId="{00000000-0000-0000-0000-000000000000}" id="{C1A0FAED-C5F7-44F7-9CD1-292BC142B81C}">
    <text>Figures are negative because they are an increase to potable water exports from this WRZ and so are a reduction in WAFU</text>
  </threadedComment>
  <threadedComment ref="AB109" dT="2023-09-19T08:37:22.57" personId="{00000000-0000-0000-0000-000000000000}" id="{401B14A8-315B-48A6-BB05-D17373B6227A}">
    <text>Figures are negative because they are an increase to potable water exports from this WRZ and so are a reduction in WAFU</text>
  </threadedComment>
  <threadedComment ref="N112" dT="2023-09-19T08:53:47.10" personId="{00000000-0000-0000-0000-000000000000}" id="{FB145C2C-5EE7-428D-AD19-102E1454858D}">
    <text>Figure is -ve because it is an increase in outage under the 1 in 200 yr drought resilience period, and so is a reduction to WAFU</text>
  </threadedComment>
  <threadedComment ref="O112" dT="2023-09-19T08:53:47.10" personId="{00000000-0000-0000-0000-000000000000}" id="{C127DCD6-939D-4322-A241-C07A990EE7FA}">
    <text>Figure is -ve because it is an increase in outage under the 1 in 200 yr drought resilience period, and so is a reduction to WAFU</text>
  </threadedComment>
  <threadedComment ref="P112" dT="2023-09-19T08:53:47.10" personId="{00000000-0000-0000-0000-000000000000}" id="{60D22506-4CAA-4FC3-82AD-7174154A1380}">
    <text>Figure is -ve because it is an increase in outage under the 1 in 200 yr drought resilience period, and so is a reduction to WAFU</text>
  </threadedComment>
  <threadedComment ref="Q112" dT="2023-09-19T08:53:47.10" personId="{00000000-0000-0000-0000-000000000000}" id="{9CE440C0-2B3D-47CF-B32C-4AF4D6133F8C}">
    <text>Figure is -ve because it is an increase in outage under the 1 in 200 yr drought resilience period, and so is a reduction to WAFU</text>
  </threadedComment>
  <threadedComment ref="R112" dT="2023-09-19T08:53:47.10" personId="{00000000-0000-0000-0000-000000000000}" id="{0ECE37BE-51FA-490D-81DB-1C72C1353D34}">
    <text>Figure is -ve because it is an increase in outage under the 1 in 200 yr drought resilience period, and so is a reduction to WAFU</text>
  </threadedComment>
  <threadedComment ref="S112" dT="2023-09-19T08:53:47.10" personId="{00000000-0000-0000-0000-000000000000}" id="{EF5DF322-5327-41DA-B812-394D679731F1}">
    <text>Figure is -ve because it is an increase in outage under the 1 in 200 yr drought resilience period, and so is a reduction to WAFU</text>
  </threadedComment>
  <threadedComment ref="T112" dT="2023-09-19T08:53:47.10" personId="{00000000-0000-0000-0000-000000000000}" id="{45B0BB90-0DF7-48C2-8A47-38D3C76AE046}">
    <text>Figure is -ve because it is an increase in outage under the 1 in 200 yr drought resilience period, and so is a reduction to WAFU</text>
  </threadedComment>
  <threadedComment ref="U112" dT="2023-09-19T08:53:47.10" personId="{00000000-0000-0000-0000-000000000000}" id="{B9BC2CAF-2FBD-499E-8982-5805F5F22D34}">
    <text>Figure is -ve because it is an increase in outage under the 1 in 200 yr drought resilience period, and so is a reduction to WAFU</text>
  </threadedComment>
  <threadedComment ref="V112" dT="2023-09-19T08:53:47.10" personId="{00000000-0000-0000-0000-000000000000}" id="{47C99A32-F4DA-4664-9350-BC70A24C72B2}">
    <text>Figure is -ve because it is an increase in outage under the 1 in 200 yr drought resilience period, and so is a reduction to WAFU</text>
  </threadedComment>
  <threadedComment ref="W112" dT="2023-09-19T08:53:47.10" personId="{00000000-0000-0000-0000-000000000000}" id="{D198E1AA-9FCD-4965-83C8-1EA27F1AD2C8}">
    <text>Figure is -ve because it is an increase in outage under the 1 in 200 yr drought resilience period, and so is a reduction to WAFU</text>
  </threadedComment>
  <threadedComment ref="S128" dT="2023-09-19T08:26:20.05" personId="{00000000-0000-0000-0000-000000000000}" id="{75AC41DF-2D81-4ED7-85D4-E7B1AA47438E}">
    <text>Figure is -ve because it is a reduction to a potable water import, and so is a reduction in WAFU.</text>
  </threadedComment>
  <threadedComment ref="T128" dT="2023-09-19T08:26:20.05" personId="{00000000-0000-0000-0000-000000000000}" id="{5A820C33-1828-4FB7-9CBE-6D9D42B58A0A}">
    <text>Figure is -ve because it is a reduction to a potable water import, and so is a reduction in WAFU.</text>
  </threadedComment>
  <threadedComment ref="S129" dT="2023-09-19T08:26:20.05" personId="{00000000-0000-0000-0000-000000000000}" id="{4B34FEDE-8F4D-4D6B-8DA5-B4F07EC67619}">
    <text>Figure is -ve because it is a reduction to a potable water import, and so is a reduction in WAFU.</text>
  </threadedComment>
  <threadedComment ref="T129" dT="2023-09-19T08:26:20.05" personId="{00000000-0000-0000-0000-000000000000}" id="{FD4A1033-0F6B-48B5-9074-0CB61648AFAB}">
    <text>Figure is -ve because it is a reduction to a potable water import, and so is a reduction in WAFU.</text>
  </threadedComment>
  <threadedComment ref="S130" dT="2023-09-19T08:26:20.05" personId="{00000000-0000-0000-0000-000000000000}" id="{2F4606AF-CFB5-479F-B97A-D996FBD119A2}">
    <text>Figure is -ve because it is a reduction to a potable water import, and so is a reduction in WAFU.</text>
  </threadedComment>
  <threadedComment ref="T130" dT="2023-09-19T08:26:20.05" personId="{00000000-0000-0000-0000-000000000000}" id="{2B531414-D918-47A7-8C6D-B5FEF982A75C}">
    <text>Figure is -ve because it is a reduction to a potable water import, and so is a reduction in WAFU.</text>
  </threadedComment>
  <threadedComment ref="S131" dT="2023-09-19T08:26:20.05" personId="{00000000-0000-0000-0000-000000000000}" id="{4DE5FA4A-1025-46C5-A8F2-04BE2C6FB697}">
    <text>Figure is -ve because it is a reduction to a potable water import, and so is a reduction in WAFU.</text>
  </threadedComment>
  <threadedComment ref="T131" dT="2023-09-19T08:26:20.05" personId="{00000000-0000-0000-0000-000000000000}" id="{3DEB15ED-5E65-440E-83C0-C121EAA564EB}">
    <text>Figure is -ve because it is a reduction to a potable water import, and so is a reduction in WAFU.</text>
  </threadedComment>
  <threadedComment ref="S132" dT="2023-09-19T08:26:20.05" personId="{00000000-0000-0000-0000-000000000000}" id="{462E4C6D-C153-4E9C-8823-3B71701CF24E}">
    <text>Figure is -ve because it is a reduction to a potable water import, and so is a reduction in WAFU.</text>
  </threadedComment>
  <threadedComment ref="T132" dT="2023-09-19T08:26:20.05" personId="{00000000-0000-0000-0000-000000000000}" id="{928A6D15-E44C-46CA-9487-549B0A244ECB}">
    <text>Figure is -ve because it is a reduction to a potable water import, and so is a reduction in WAFU.</text>
  </threadedComment>
  <threadedComment ref="S133" dT="2023-09-19T08:26:20.05" personId="{00000000-0000-0000-0000-000000000000}" id="{95216E3A-40A0-458E-8CDE-AC7E498C55AE}">
    <text>Figure is -ve because it is a reduction to a potable water import, and so is a reduction in WAFU.</text>
  </threadedComment>
  <threadedComment ref="T133" dT="2023-09-19T08:26:20.05" personId="{00000000-0000-0000-0000-000000000000}" id="{C9852D68-7B30-4179-BD84-037494F4EECC}">
    <text>Figure is -ve because it is a reduction to a potable water import, and so is a reduction in WAFU.</text>
  </threadedComment>
  <threadedComment ref="S134" dT="2023-09-19T08:26:20.05" personId="{00000000-0000-0000-0000-000000000000}" id="{57827B1B-083A-45C5-B0F8-C70A0A3F9FCA}">
    <text>Figure is -ve because it is a reduction to a potable water import, and so is a reduction in WAFU.</text>
  </threadedComment>
  <threadedComment ref="T134" dT="2023-09-19T08:26:20.05" personId="{00000000-0000-0000-0000-000000000000}" id="{4281448B-7D7D-4D68-B003-23210B78E151}">
    <text>Figure is -ve because it is a reduction to a potable water import, and so is a reduction in WAFU.</text>
  </threadedComment>
  <threadedComment ref="T137" dT="2023-09-19T08:35:22.40" personId="{00000000-0000-0000-0000-000000000000}" id="{FBF81328-EFA2-4C0C-AF63-3B99E12BA267}">
    <text>Figures are negative because they are an increase to raw water exports and so a reduction in WAFU.</text>
  </threadedComment>
  <threadedComment ref="U137" dT="2023-09-19T08:35:22.40" personId="{00000000-0000-0000-0000-000000000000}" id="{273FECA8-A718-42A9-A3EF-C2729E267133}">
    <text>Figures are negative because they are an increase to raw water exports and so a reduction in WAFU.</text>
  </threadedComment>
  <threadedComment ref="V137" dT="2023-09-19T08:35:22.40" personId="{00000000-0000-0000-0000-000000000000}" id="{DABC6840-3F0E-42D9-A303-5FD919F3A66F}">
    <text>Figures are negative because they are an increase to raw water exports and so a reduction in WAFU.</text>
  </threadedComment>
  <threadedComment ref="W137" dT="2023-09-19T08:35:22.40" personId="{00000000-0000-0000-0000-000000000000}" id="{73ECB639-D6F8-47A7-A6F4-ED932B49EDBD}">
    <text>Figures are negative because they are an increase to raw water exports and so a reduction in WAFU.</text>
  </threadedComment>
  <threadedComment ref="X137" dT="2023-09-19T08:35:22.40" personId="{00000000-0000-0000-0000-000000000000}" id="{D520326C-979C-4A70-B957-1B161AD23A72}">
    <text>Figures are negative because they are an increase to raw water exports and so a reduction in WAFU.</text>
  </threadedComment>
  <threadedComment ref="Y137" dT="2023-09-19T08:35:22.40" personId="{00000000-0000-0000-0000-000000000000}" id="{D282D424-C3D6-4E5B-8A84-1EEFE7D86D49}">
    <text>Figures are negative because they are an increase to raw water exports and so a reduction in WAFU.</text>
  </threadedComment>
  <threadedComment ref="Z137" dT="2023-09-19T08:35:22.40" personId="{00000000-0000-0000-0000-000000000000}" id="{0E20EEB1-60EE-43FD-A928-23170A74EC80}">
    <text>Figures are negative because they are an increase to raw water exports and so a reduction in WAFU.</text>
  </threadedComment>
  <threadedComment ref="T138" dT="2023-09-19T08:35:22.40" personId="{00000000-0000-0000-0000-000000000000}" id="{7B1D8724-9CCF-4876-95DE-39890967D3E0}">
    <text>Figures are negative because they are an increase to raw water exports and so a reduction in WAFU.</text>
  </threadedComment>
  <threadedComment ref="U138" dT="2023-09-19T08:35:22.40" personId="{00000000-0000-0000-0000-000000000000}" id="{99CDA12D-37BA-4AF8-9F9D-C9C933F67073}">
    <text>Figures are negative because they are an increase to raw water exports and so a reduction in WAFU.</text>
  </threadedComment>
  <threadedComment ref="V138" dT="2023-09-19T08:35:22.40" personId="{00000000-0000-0000-0000-000000000000}" id="{4C222F90-611C-4DA9-8A5A-26C2EB5F7F8D}">
    <text>Figures are negative because they are an increase to raw water exports and so a reduction in WAFU.</text>
  </threadedComment>
  <threadedComment ref="W138" dT="2023-09-19T08:35:22.40" personId="{00000000-0000-0000-0000-000000000000}" id="{013AC61B-B3C1-46F7-B225-CB3ED1EC7F9E}">
    <text>Figures are negative because they are an increase to raw water exports and so a reduction in WAFU.</text>
  </threadedComment>
  <threadedComment ref="X138" dT="2023-09-19T08:35:22.40" personId="{00000000-0000-0000-0000-000000000000}" id="{40F245E2-1F63-4275-9B45-3959642350E6}">
    <text>Figures are negative because they are an increase to raw water exports and so a reduction in WAFU.</text>
  </threadedComment>
  <threadedComment ref="Y138" dT="2023-09-19T08:35:22.40" personId="{00000000-0000-0000-0000-000000000000}" id="{6B8A52B7-F36D-465B-8F12-6D211A23F16A}">
    <text>Figures are negative because they are an increase to raw water exports and so a reduction in WAFU.</text>
  </threadedComment>
  <threadedComment ref="Z138" dT="2023-09-19T08:35:22.40" personId="{00000000-0000-0000-0000-000000000000}" id="{223FF515-346E-47F1-948C-3AAEFF92B145}">
    <text>Figures are negative because they are an increase to raw water exports and so a reduction in WAFU.</text>
  </threadedComment>
  <threadedComment ref="T139" dT="2023-09-19T08:35:22.40" personId="{00000000-0000-0000-0000-000000000000}" id="{E5F01429-8B4D-484D-AB6D-364CBFCDB6F7}">
    <text>Figures are negative because they are an increase to raw water exports and so a reduction in WAFU.</text>
  </threadedComment>
  <threadedComment ref="U139" dT="2023-09-19T08:35:22.40" personId="{00000000-0000-0000-0000-000000000000}" id="{F4A336EA-8C59-4403-B00D-F6C4F782FCA0}">
    <text>Figures are negative because they are an increase to raw water exports and so a reduction in WAFU.</text>
  </threadedComment>
  <threadedComment ref="V139" dT="2023-09-19T08:35:22.40" personId="{00000000-0000-0000-0000-000000000000}" id="{8AA6971F-241F-44C3-A996-A1A8E7AEF2DC}">
    <text>Figures are negative because they are an increase to raw water exports and so a reduction in WAFU.</text>
  </threadedComment>
  <threadedComment ref="W139" dT="2023-09-19T08:35:22.40" personId="{00000000-0000-0000-0000-000000000000}" id="{2A96AFC9-F136-4765-BEB8-2427C563169D}">
    <text>Figures are negative because they are an increase to raw water exports and so a reduction in WAFU.</text>
  </threadedComment>
  <threadedComment ref="X139" dT="2023-09-19T08:35:22.40" personId="{00000000-0000-0000-0000-000000000000}" id="{76061F58-345A-4FB2-B97F-D30F88645303}">
    <text>Figures are negative because they are an increase to raw water exports and so a reduction in WAFU.</text>
  </threadedComment>
  <threadedComment ref="Y139" dT="2023-09-19T08:35:22.40" personId="{00000000-0000-0000-0000-000000000000}" id="{1DDBE774-1992-4B41-AC12-F8C1D25473DD}">
    <text>Figures are negative because they are an increase to raw water exports and so a reduction in WAFU.</text>
  </threadedComment>
  <threadedComment ref="Z139" dT="2023-09-19T08:35:22.40" personId="{00000000-0000-0000-0000-000000000000}" id="{063F99BD-3F12-46E7-85AD-0AF84FAED5EF}">
    <text>Figures are negative because they are an increase to raw water exports and so a reduction in WAFU.</text>
  </threadedComment>
  <threadedComment ref="T140" dT="2023-09-19T08:35:22.40" personId="{00000000-0000-0000-0000-000000000000}" id="{5148D8B8-FCCD-48B8-AFB8-B0B2BE476EBA}">
    <text>Figures are negative because they are an increase to raw water exports and so a reduction in WAFU.</text>
  </threadedComment>
  <threadedComment ref="U140" dT="2023-09-19T08:35:22.40" personId="{00000000-0000-0000-0000-000000000000}" id="{4644CCD5-415B-4CEE-BC14-F07CB63B4B83}">
    <text>Figures are negative because they are an increase to raw water exports and so a reduction in WAFU.</text>
  </threadedComment>
  <threadedComment ref="V140" dT="2023-09-19T08:35:22.40" personId="{00000000-0000-0000-0000-000000000000}" id="{9049A3BF-4FF4-4611-953D-DEE1BDB696A0}">
    <text>Figures are negative because they are an increase to raw water exports and so a reduction in WAFU.</text>
  </threadedComment>
  <threadedComment ref="W140" dT="2023-09-19T08:35:22.40" personId="{00000000-0000-0000-0000-000000000000}" id="{2C265F40-06A2-4437-A126-05065140082A}">
    <text>Figures are negative because they are an increase to raw water exports and so a reduction in WAFU.</text>
  </threadedComment>
  <threadedComment ref="X140" dT="2023-09-19T08:35:22.40" personId="{00000000-0000-0000-0000-000000000000}" id="{5A457877-55C3-480B-A330-FCD270604505}">
    <text>Figures are negative because they are an increase to raw water exports and so a reduction in WAFU.</text>
  </threadedComment>
  <threadedComment ref="Y140" dT="2023-09-19T08:35:22.40" personId="{00000000-0000-0000-0000-000000000000}" id="{CC49B535-6FE0-4506-8A82-15FB87815629}">
    <text>Figures are negative because they are an increase to raw water exports and so a reduction in WAFU.</text>
  </threadedComment>
  <threadedComment ref="Z140" dT="2023-09-19T08:35:22.40" personId="{00000000-0000-0000-0000-000000000000}" id="{BE5CA06B-F3C7-4A7D-B223-03802A581945}">
    <text>Figures are negative because they are an increase to raw water exports and so a reduction in WAFU.</text>
  </threadedComment>
  <threadedComment ref="T141" dT="2023-09-19T08:35:22.40" personId="{00000000-0000-0000-0000-000000000000}" id="{4803621E-532C-418A-8FCA-C4E96A64661F}">
    <text>Figures are negative because they are an increase to raw water exports and so a reduction in WAFU.</text>
  </threadedComment>
  <threadedComment ref="U141" dT="2023-09-19T08:35:22.40" personId="{00000000-0000-0000-0000-000000000000}" id="{FA60AD5E-D2AD-4179-87EA-1A729FAE5D37}">
    <text>Figures are negative because they are an increase to raw water exports and so a reduction in WAFU.</text>
  </threadedComment>
  <threadedComment ref="V141" dT="2023-09-19T08:35:22.40" personId="{00000000-0000-0000-0000-000000000000}" id="{939C8032-3BFD-4A61-9CB1-7CD467BE65F8}">
    <text>Figures are negative because they are an increase to raw water exports and so a reduction in WAFU.</text>
  </threadedComment>
  <threadedComment ref="W141" dT="2023-09-19T08:35:22.40" personId="{00000000-0000-0000-0000-000000000000}" id="{27C410C1-C305-4625-B22B-F443E9D0F452}">
    <text>Figures are negative because they are an increase to raw water exports and so a reduction in WAFU.</text>
  </threadedComment>
  <threadedComment ref="X141" dT="2023-09-19T08:35:22.40" personId="{00000000-0000-0000-0000-000000000000}" id="{20559BAA-99B0-4D0E-B0DD-CC4420E9F7A3}">
    <text>Figures are negative because they are an increase to raw water exports and so a reduction in WAFU.</text>
  </threadedComment>
  <threadedComment ref="Y141" dT="2023-09-19T08:35:22.40" personId="{00000000-0000-0000-0000-000000000000}" id="{BEE2172F-3E62-41B7-90BC-160C050C8782}">
    <text>Figures are negative because they are an increase to raw water exports and so a reduction in WAFU.</text>
  </threadedComment>
  <threadedComment ref="Z141" dT="2023-09-19T08:35:22.40" personId="{00000000-0000-0000-0000-000000000000}" id="{D6A85960-2EF7-4B37-B508-535294B53EFC}">
    <text>Figures are negative because they are an increase to raw water exports and so a reduction in WAFU.</text>
  </threadedComment>
  <threadedComment ref="T142" dT="2023-09-19T08:35:22.40" personId="{00000000-0000-0000-0000-000000000000}" id="{E50699E8-9F73-477E-8BF3-8E06E0D2A262}">
    <text>Figures are negative because they are an increase to raw water exports and so a reduction in WAFU.</text>
  </threadedComment>
  <threadedComment ref="U142" dT="2023-09-19T08:35:22.40" personId="{00000000-0000-0000-0000-000000000000}" id="{A83E0C73-BCA7-4A9B-9486-942387C2AED5}">
    <text>Figures are negative because they are an increase to raw water exports and so a reduction in WAFU.</text>
  </threadedComment>
  <threadedComment ref="V142" dT="2023-09-19T08:35:22.40" personId="{00000000-0000-0000-0000-000000000000}" id="{50458F78-8F5A-480C-A08D-4B8F05A3E2EE}">
    <text>Figures are negative because they are an increase to raw water exports and so a reduction in WAFU.</text>
  </threadedComment>
  <threadedComment ref="W142" dT="2023-09-19T08:35:22.40" personId="{00000000-0000-0000-0000-000000000000}" id="{B7EB7187-774D-45B2-8C74-342BEFAF73AA}">
    <text>Figures are negative because they are an increase to raw water exports and so a reduction in WAFU.</text>
  </threadedComment>
  <threadedComment ref="X142" dT="2023-09-19T08:35:22.40" personId="{00000000-0000-0000-0000-000000000000}" id="{720A96B8-9C78-427C-A08A-036AC401DF1C}">
    <text>Figures are negative because they are an increase to raw water exports and so a reduction in WAFU.</text>
  </threadedComment>
  <threadedComment ref="Y142" dT="2023-09-19T08:35:22.40" personId="{00000000-0000-0000-0000-000000000000}" id="{AD8292D6-5988-4D99-AA3E-CE4818D8A8E6}">
    <text>Figures are negative because they are an increase to raw water exports and so a reduction in WAFU.</text>
  </threadedComment>
  <threadedComment ref="Z142" dT="2023-09-19T08:35:22.40" personId="{00000000-0000-0000-0000-000000000000}" id="{9C426A5D-DA89-4C52-8BEF-B73D34DD186E}">
    <text>Figures are negative because they are an increase to raw water exports and so a reduction in WAFU.</text>
  </threadedComment>
  <threadedComment ref="T143" dT="2023-09-19T08:35:22.40" personId="{00000000-0000-0000-0000-000000000000}" id="{968AA922-09F0-4D0E-9234-D94130D050FE}">
    <text>Figures are negative because they are an increase to raw water exports and so a reduction in WAFU.</text>
  </threadedComment>
  <threadedComment ref="U143" dT="2023-09-19T08:35:22.40" personId="{00000000-0000-0000-0000-000000000000}" id="{DA99DCCB-4724-4721-8029-5E7350085190}">
    <text>Figures are negative because they are an increase to raw water exports and so a reduction in WAFU.</text>
  </threadedComment>
  <threadedComment ref="V143" dT="2023-09-19T08:35:22.40" personId="{00000000-0000-0000-0000-000000000000}" id="{4682C159-0977-4AB4-8AD9-8655D807DA9F}">
    <text>Figures are negative because they are an increase to raw water exports and so a reduction in WAFU.</text>
  </threadedComment>
  <threadedComment ref="W143" dT="2023-09-19T08:35:22.40" personId="{00000000-0000-0000-0000-000000000000}" id="{B7682752-2C1A-4041-83A5-25F7F576998D}">
    <text>Figures are negative because they are an increase to raw water exports and so a reduction in WAFU.</text>
  </threadedComment>
  <threadedComment ref="X143" dT="2023-09-19T08:35:22.40" personId="{00000000-0000-0000-0000-000000000000}" id="{CCA22A22-6FFA-4F01-8CA1-38CCE441B6B3}">
    <text>Figures are negative because they are an increase to raw water exports and so a reduction in WAFU.</text>
  </threadedComment>
  <threadedComment ref="Y143" dT="2023-09-19T08:35:22.40" personId="{00000000-0000-0000-0000-000000000000}" id="{CF7AED95-8653-4B49-B3A3-2FD781D866EF}">
    <text>Figures are negative because they are an increase to raw water exports and so a reduction in WAFU.</text>
  </threadedComment>
  <threadedComment ref="Z143" dT="2023-09-19T08:35:22.40" personId="{00000000-0000-0000-0000-000000000000}" id="{4B3FB6A1-29DE-41B6-90DF-AAD11EC2ACC6}">
    <text>Figures are negative because they are an increase to raw water exports and so a reduction in WAFU.</text>
  </threadedComment>
  <threadedComment ref="T144" dT="2023-09-19T08:35:22.40" personId="{00000000-0000-0000-0000-000000000000}" id="{A3004021-33D5-4FF0-86F0-74FDB2B5E343}">
    <text>Figures are negative because they are an increase to raw water exports and so a reduction in WAFU.</text>
  </threadedComment>
  <threadedComment ref="U144" dT="2023-09-19T08:35:22.40" personId="{00000000-0000-0000-0000-000000000000}" id="{E06F7F13-287F-40A7-B723-280CFAA60BB5}">
    <text>Figures are negative because they are an increase to raw water exports and so a reduction in WAFU.</text>
  </threadedComment>
  <threadedComment ref="V144" dT="2023-09-19T08:35:22.40" personId="{00000000-0000-0000-0000-000000000000}" id="{FB9D4332-E5EC-48AC-9AD9-459867A5E474}">
    <text>Figures are negative because they are an increase to raw water exports and so a reduction in WAFU.</text>
  </threadedComment>
  <threadedComment ref="W144" dT="2023-09-19T08:35:22.40" personId="{00000000-0000-0000-0000-000000000000}" id="{71E905BE-55A3-4616-8F77-F9BEB5E6BB05}">
    <text>Figures are negative because they are an increase to raw water exports and so a reduction in WAFU.</text>
  </threadedComment>
  <threadedComment ref="X144" dT="2023-09-19T08:35:22.40" personId="{00000000-0000-0000-0000-000000000000}" id="{50221A62-5D6E-407F-8912-C54757855B5D}">
    <text>Figures are negative because they are an increase to raw water exports and so a reduction in WAFU.</text>
  </threadedComment>
  <threadedComment ref="Y144" dT="2023-09-19T08:35:22.40" personId="{00000000-0000-0000-0000-000000000000}" id="{445D6A28-E7BD-4DDC-A019-7C36D464C645}">
    <text>Figures are negative because they are an increase to raw water exports and so a reduction in WAFU.</text>
  </threadedComment>
  <threadedComment ref="Z144" dT="2023-09-19T08:35:22.40" personId="{00000000-0000-0000-0000-000000000000}" id="{135E7BF0-BE05-4249-BE0C-D048033A75A7}">
    <text>Figures are negative because they are an increase to raw water exports and so a reduction in WAFU.</text>
  </threadedComment>
</ThreadedComments>
</file>

<file path=xl/threadedComments/threadedComment8.xml><?xml version="1.0" encoding="utf-8"?>
<ThreadedComments xmlns="http://schemas.microsoft.com/office/spreadsheetml/2018/threadedcomments" xmlns:x="http://schemas.openxmlformats.org/spreadsheetml/2006/main">
  <threadedComment ref="C5" personId="{00000000-0000-0000-0000-000000000000}" id="{2DDB3A65-2A5A-4BFB-A576-9CA82DE198FC}">
    <text>This should be aligned to options flagged in your alternative programme in tables 4 and 5.</text>
  </threadedComment>
  <threadedComment ref="I6" personId="{00000000-0000-0000-0000-000000000000}" id="{06665ACA-E762-402A-8286-CBA5985D8FCC}">
    <text/>
  </threadedComment>
  <threadedComment ref="M18" personId="{00000000-0000-0000-0000-000000000000}" id="{E384774C-8057-4734-9965-9E9FD2D306FA}">
    <text>Lowestoft Reuse removed from 2032/33. NSR 3500 added from 2033/34.</text>
  </threadedComment>
  <threadedComment ref="N18" personId="{00000000-0000-0000-0000-000000000000}" id="{7818EB8B-A2BC-4B0A-88CA-6BA0217BA513}">
    <text>Lowestoft Reuse removed. NSR 3500 added for whole AMP</text>
  </threadedComment>
  <threadedComment ref="O18" personId="{00000000-0000-0000-0000-000000000000}" id="{FA434942-65A5-4F54-99DF-60B4212629B2}">
    <text>Lowestoft reuse removed. NSR added for whole AMP</text>
  </threadedComment>
  <threadedComment ref="P18" dT="2023-08-25T10:14:55.81" personId="{00000000-0000-0000-0000-000000000000}" id="{171183AD-7F89-469E-BA30-9A9631461571}">
    <text>Lowestoft Reuse removed. NSR 2300 added. Caister Reuse added from 2045/46.</text>
  </threadedComment>
  <threadedComment ref="M51" personId="{00000000-0000-0000-0000-000000000000}" id="{4B9EE30B-C99A-4C03-B1B3-3C87EFDC3C90}">
    <text>Southend Reuse Phase A  added from 2032/33</text>
  </threadedComment>
  <threadedComment ref="N51" dT="2023-08-25T10:46:57.00" personId="{00000000-0000-0000-0000-000000000000}" id="{ADE443C9-7FB1-4EA2-999D-FAA3AB209574}">
    <text>Southend Reuse Phase A added for whole AMP</text>
  </threadedComment>
  <threadedComment ref="O51" dT="2023-08-25T10:41:32.09" personId="{00000000-0000-0000-0000-000000000000}" id="{F68AA988-1EB0-47BE-83F4-ABCA775766EA}">
    <text>Southend Reuse &amp; Caister Reuse added &amp; remove NSR 7500 for whole AMP.</text>
  </threadedComment>
  <threadedComment ref="P51" dT="2023-08-25T10:52:40.96" personId="{00000000-0000-0000-0000-000000000000}" id="{B0545A69-504A-4351-951C-16BDAE45A4B6}">
    <text>Southend Reuse, Caister Reuse and Corton desal added &amp; remove NSR 7500 for whole AMP.</text>
  </threadedComment>
  <threadedComment ref="O77" dT="2023-08-25T12:29:22.23" personId="{00000000-0000-0000-0000-000000000000}" id="{D8032634-5920-48CA-AD6B-23AED481FF06}">
    <text>Adjusted to use High ED SRs instead of BAU+</text>
  </threadedComment>
  <threadedComment ref="P77" dT="2023-08-25T12:29:33.79" personId="{00000000-0000-0000-0000-000000000000}" id="{8595EB34-AD20-4BDC-8E78-0A27A40B6396}">
    <text>Adjusted to use High ED SRs instead of BAU+</text>
  </threadedComment>
  <threadedComment ref="O84" dT="2023-08-26T21:48:52.05" personId="{00000000-0000-0000-0000-000000000000}" id="{C781AB24-71E5-46D5-BFB0-2AF4609134A8}">
    <text>Addition of Canvey Island Desal 190Mld and Caister Water Reuse for whole AMP.</text>
  </threadedComment>
  <threadedComment ref="P84" dT="2023-08-26T21:49:10.75" personId="{00000000-0000-0000-0000-000000000000}" id="{68E3BB9D-1551-408F-99E0-F80DBCCFDD86}">
    <text>Addition of Canvey Island Desal 190Mld and Caister Water Reuse for whole AMP. Plus, Southend Reuse and Corton BW Desal from 2045/46.</text>
  </threadedComment>
  <threadedComment ref="M117" dT="2023-08-26T20:49:47.96" personId="{00000000-0000-0000-0000-000000000000}" id="{8BB0ED6C-532A-4606-9FFC-E2B30F19A0F8}">
    <text xml:space="preserve">Lowestoft brought forward to 2030/31. Caister added in 3032/33. </text>
  </threadedComment>
  <threadedComment ref="O117" dT="2023-08-26T20:50:30.17" personId="{00000000-0000-0000-0000-000000000000}" id="{58EA0199-AFD0-4FA9-8BB9-29762A332D6E}">
    <text>Change from Revised draft to Draft Final: North Suffolk Reservoir 5000 replaces North Suffolk Reservoir 3500 in 2040/41</text>
  </threadedComment>
  <threadedComment ref="O183" personId="{00000000-0000-0000-0000-000000000000}" id="{36EAA395-8565-455F-B9C2-94B6B7D36E49}">
    <text>North Suffolk Reservoir removed from 40/41</text>
  </threadedComment>
  <threadedComment ref="P183" personId="{00000000-0000-0000-0000-000000000000}" id="{1D7AAD80-33F9-4AD3-B959-C33D39821A72}">
    <text>Without Caister reuse and NSR</text>
  </threadedComment>
</ThreadedComments>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wrepp@cyfoethnaturiolcymru.gov.uk" TargetMode="External"/><Relationship Id="rId1" Type="http://schemas.openxmlformats.org/officeDocument/2006/relationships/hyperlink" Target="mailto:water-company-plan@environment-agency.gov.uk"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6.xml"/><Relationship Id="rId1" Type="http://schemas.openxmlformats.org/officeDocument/2006/relationships/printerSettings" Target="../printerSettings/printerSettings12.bin"/><Relationship Id="rId5" Type="http://schemas.microsoft.com/office/2017/10/relationships/threadedComment" Target="../threadedComments/threadedComment8.xml"/><Relationship Id="rId4" Type="http://schemas.openxmlformats.org/officeDocument/2006/relationships/comments" Target="../comments8.xml"/></Relationships>
</file>

<file path=xl/worksheets/_rels/sheet13.xml.rels><?xml version="1.0" encoding="UTF-8" standalone="yes"?>
<Relationships xmlns="http://schemas.openxmlformats.org/package/2006/relationships"><Relationship Id="rId8" Type="http://schemas.openxmlformats.org/officeDocument/2006/relationships/table" Target="../tables/table44.xml"/><Relationship Id="rId13" Type="http://schemas.openxmlformats.org/officeDocument/2006/relationships/table" Target="../tables/table49.xml"/><Relationship Id="rId18" Type="http://schemas.openxmlformats.org/officeDocument/2006/relationships/table" Target="../tables/table54.xml"/><Relationship Id="rId3" Type="http://schemas.openxmlformats.org/officeDocument/2006/relationships/table" Target="../tables/table39.xml"/><Relationship Id="rId7" Type="http://schemas.openxmlformats.org/officeDocument/2006/relationships/table" Target="../tables/table43.xml"/><Relationship Id="rId12" Type="http://schemas.openxmlformats.org/officeDocument/2006/relationships/table" Target="../tables/table48.xml"/><Relationship Id="rId17" Type="http://schemas.openxmlformats.org/officeDocument/2006/relationships/table" Target="../tables/table53.xml"/><Relationship Id="rId2" Type="http://schemas.openxmlformats.org/officeDocument/2006/relationships/table" Target="../tables/table38.xml"/><Relationship Id="rId16" Type="http://schemas.openxmlformats.org/officeDocument/2006/relationships/table" Target="../tables/table52.xml"/><Relationship Id="rId1" Type="http://schemas.openxmlformats.org/officeDocument/2006/relationships/printerSettings" Target="../printerSettings/printerSettings13.bin"/><Relationship Id="rId6" Type="http://schemas.openxmlformats.org/officeDocument/2006/relationships/table" Target="../tables/table42.xml"/><Relationship Id="rId11" Type="http://schemas.openxmlformats.org/officeDocument/2006/relationships/table" Target="../tables/table47.xml"/><Relationship Id="rId5" Type="http://schemas.openxmlformats.org/officeDocument/2006/relationships/table" Target="../tables/table41.xml"/><Relationship Id="rId15" Type="http://schemas.openxmlformats.org/officeDocument/2006/relationships/table" Target="../tables/table51.xml"/><Relationship Id="rId10" Type="http://schemas.openxmlformats.org/officeDocument/2006/relationships/table" Target="../tables/table46.xml"/><Relationship Id="rId19" Type="http://schemas.openxmlformats.org/officeDocument/2006/relationships/table" Target="../tables/table55.xml"/><Relationship Id="rId4" Type="http://schemas.openxmlformats.org/officeDocument/2006/relationships/table" Target="../tables/table40.xml"/><Relationship Id="rId9" Type="http://schemas.openxmlformats.org/officeDocument/2006/relationships/table" Target="../tables/table45.xml"/><Relationship Id="rId14" Type="http://schemas.openxmlformats.org/officeDocument/2006/relationships/table" Target="../tables/table50.xml"/></Relationships>
</file>

<file path=xl/worksheets/_rels/sheet14.xml.rels><?xml version="1.0" encoding="UTF-8" standalone="yes"?>
<Relationships xmlns="http://schemas.openxmlformats.org/package/2006/relationships"><Relationship Id="rId2" Type="http://schemas.openxmlformats.org/officeDocument/2006/relationships/table" Target="../tables/table56.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8" Type="http://schemas.openxmlformats.org/officeDocument/2006/relationships/table" Target="../tables/table6.xml"/><Relationship Id="rId3" Type="http://schemas.openxmlformats.org/officeDocument/2006/relationships/table" Target="../tables/table1.xml"/><Relationship Id="rId7" Type="http://schemas.openxmlformats.org/officeDocument/2006/relationships/table" Target="../tables/table5.xml"/><Relationship Id="rId2" Type="http://schemas.openxmlformats.org/officeDocument/2006/relationships/vmlDrawing" Target="../drawings/vmlDrawing1.vml"/><Relationship Id="rId1" Type="http://schemas.openxmlformats.org/officeDocument/2006/relationships/printerSettings" Target="../printerSettings/printerSettings2.bin"/><Relationship Id="rId6" Type="http://schemas.openxmlformats.org/officeDocument/2006/relationships/table" Target="../tables/table4.xml"/><Relationship Id="rId11" Type="http://schemas.microsoft.com/office/2017/10/relationships/threadedComment" Target="../threadedComments/threadedComment1.xml"/><Relationship Id="rId5" Type="http://schemas.openxmlformats.org/officeDocument/2006/relationships/table" Target="../tables/table3.xml"/><Relationship Id="rId10" Type="http://schemas.openxmlformats.org/officeDocument/2006/relationships/comments" Target="../comments1.xml"/><Relationship Id="rId4" Type="http://schemas.openxmlformats.org/officeDocument/2006/relationships/table" Target="../tables/table2.xml"/><Relationship Id="rId9" Type="http://schemas.openxmlformats.org/officeDocument/2006/relationships/table" Target="../tables/table7.xml"/></Relationships>
</file>

<file path=xl/worksheets/_rels/sheet3.xml.rels><?xml version="1.0" encoding="UTF-8" standalone="yes"?>
<Relationships xmlns="http://schemas.openxmlformats.org/package/2006/relationships"><Relationship Id="rId3" Type="http://schemas.openxmlformats.org/officeDocument/2006/relationships/table" Target="../tables/table9.xml"/><Relationship Id="rId2" Type="http://schemas.openxmlformats.org/officeDocument/2006/relationships/table" Target="../tables/table8.xml"/><Relationship Id="rId1" Type="http://schemas.openxmlformats.org/officeDocument/2006/relationships/printerSettings" Target="../printerSettings/printerSettings3.bin"/><Relationship Id="rId5" Type="http://schemas.openxmlformats.org/officeDocument/2006/relationships/table" Target="../tables/table11.xml"/><Relationship Id="rId4" Type="http://schemas.openxmlformats.org/officeDocument/2006/relationships/table" Target="../tables/table10.xml"/></Relationships>
</file>

<file path=xl/worksheets/_rels/sheet4.xml.rels><?xml version="1.0" encoding="UTF-8" standalone="yes"?>
<Relationships xmlns="http://schemas.openxmlformats.org/package/2006/relationships"><Relationship Id="rId8" Type="http://schemas.openxmlformats.org/officeDocument/2006/relationships/table" Target="../tables/table16.xml"/><Relationship Id="rId3" Type="http://schemas.openxmlformats.org/officeDocument/2006/relationships/vmlDrawing" Target="../drawings/vmlDrawing2.vml"/><Relationship Id="rId7" Type="http://schemas.openxmlformats.org/officeDocument/2006/relationships/table" Target="../tables/table15.xml"/><Relationship Id="rId2" Type="http://schemas.openxmlformats.org/officeDocument/2006/relationships/drawing" Target="../drawings/drawing2.xml"/><Relationship Id="rId1" Type="http://schemas.openxmlformats.org/officeDocument/2006/relationships/printerSettings" Target="../printerSettings/printerSettings4.bin"/><Relationship Id="rId6" Type="http://schemas.openxmlformats.org/officeDocument/2006/relationships/table" Target="../tables/table14.xml"/><Relationship Id="rId11" Type="http://schemas.microsoft.com/office/2017/10/relationships/threadedComment" Target="../threadedComments/threadedComment2.xml"/><Relationship Id="rId5" Type="http://schemas.openxmlformats.org/officeDocument/2006/relationships/table" Target="../tables/table13.xml"/><Relationship Id="rId10" Type="http://schemas.openxmlformats.org/officeDocument/2006/relationships/comments" Target="../comments2.xml"/><Relationship Id="rId4" Type="http://schemas.openxmlformats.org/officeDocument/2006/relationships/table" Target="../tables/table12.xml"/><Relationship Id="rId9" Type="http://schemas.openxmlformats.org/officeDocument/2006/relationships/table" Target="../tables/table17.xml"/></Relationships>
</file>

<file path=xl/worksheets/_rels/sheet5.xml.rels><?xml version="1.0" encoding="UTF-8" standalone="yes"?>
<Relationships xmlns="http://schemas.openxmlformats.org/package/2006/relationships"><Relationship Id="rId8" Type="http://schemas.openxmlformats.org/officeDocument/2006/relationships/table" Target="../tables/table22.xml"/><Relationship Id="rId3" Type="http://schemas.openxmlformats.org/officeDocument/2006/relationships/vmlDrawing" Target="../drawings/vmlDrawing3.vml"/><Relationship Id="rId7" Type="http://schemas.openxmlformats.org/officeDocument/2006/relationships/table" Target="../tables/table21.xml"/><Relationship Id="rId2" Type="http://schemas.openxmlformats.org/officeDocument/2006/relationships/drawing" Target="../drawings/drawing3.xml"/><Relationship Id="rId1" Type="http://schemas.openxmlformats.org/officeDocument/2006/relationships/printerSettings" Target="../printerSettings/printerSettings5.bin"/><Relationship Id="rId6" Type="http://schemas.openxmlformats.org/officeDocument/2006/relationships/table" Target="../tables/table20.xml"/><Relationship Id="rId11" Type="http://schemas.microsoft.com/office/2017/10/relationships/threadedComment" Target="../threadedComments/threadedComment3.xml"/><Relationship Id="rId5" Type="http://schemas.openxmlformats.org/officeDocument/2006/relationships/table" Target="../tables/table19.xml"/><Relationship Id="rId10" Type="http://schemas.openxmlformats.org/officeDocument/2006/relationships/comments" Target="../comments3.xml"/><Relationship Id="rId4" Type="http://schemas.openxmlformats.org/officeDocument/2006/relationships/table" Target="../tables/table18.xml"/><Relationship Id="rId9" Type="http://schemas.openxmlformats.org/officeDocument/2006/relationships/table" Target="../tables/table23.xml"/></Relationships>
</file>

<file path=xl/worksheets/_rels/sheet6.xml.rels><?xml version="1.0" encoding="UTF-8" standalone="yes"?>
<Relationships xmlns="http://schemas.openxmlformats.org/package/2006/relationships"><Relationship Id="rId8" Type="http://schemas.openxmlformats.org/officeDocument/2006/relationships/table" Target="../tables/table28.xml"/><Relationship Id="rId3" Type="http://schemas.openxmlformats.org/officeDocument/2006/relationships/vmlDrawing" Target="../drawings/vmlDrawing4.vml"/><Relationship Id="rId7" Type="http://schemas.openxmlformats.org/officeDocument/2006/relationships/table" Target="../tables/table27.xml"/><Relationship Id="rId2" Type="http://schemas.openxmlformats.org/officeDocument/2006/relationships/drawing" Target="../drawings/drawing4.xml"/><Relationship Id="rId1" Type="http://schemas.openxmlformats.org/officeDocument/2006/relationships/printerSettings" Target="../printerSettings/printerSettings6.bin"/><Relationship Id="rId6" Type="http://schemas.openxmlformats.org/officeDocument/2006/relationships/table" Target="../tables/table26.xml"/><Relationship Id="rId11" Type="http://schemas.microsoft.com/office/2017/10/relationships/threadedComment" Target="../threadedComments/threadedComment4.xml"/><Relationship Id="rId5" Type="http://schemas.openxmlformats.org/officeDocument/2006/relationships/table" Target="../tables/table25.xml"/><Relationship Id="rId10" Type="http://schemas.openxmlformats.org/officeDocument/2006/relationships/comments" Target="../comments4.xml"/><Relationship Id="rId4" Type="http://schemas.openxmlformats.org/officeDocument/2006/relationships/table" Target="../tables/table24.xml"/><Relationship Id="rId9" Type="http://schemas.openxmlformats.org/officeDocument/2006/relationships/table" Target="../tables/table29.xml"/></Relationships>
</file>

<file path=xl/worksheets/_rels/sheet7.xml.rels><?xml version="1.0" encoding="UTF-8" standalone="yes"?>
<Relationships xmlns="http://schemas.openxmlformats.org/package/2006/relationships"><Relationship Id="rId8" Type="http://schemas.openxmlformats.org/officeDocument/2006/relationships/table" Target="../tables/table34.xml"/><Relationship Id="rId3" Type="http://schemas.openxmlformats.org/officeDocument/2006/relationships/vmlDrawing" Target="../drawings/vmlDrawing5.vml"/><Relationship Id="rId7" Type="http://schemas.openxmlformats.org/officeDocument/2006/relationships/table" Target="../tables/table33.xml"/><Relationship Id="rId2" Type="http://schemas.openxmlformats.org/officeDocument/2006/relationships/drawing" Target="../drawings/drawing5.xml"/><Relationship Id="rId1" Type="http://schemas.openxmlformats.org/officeDocument/2006/relationships/printerSettings" Target="../printerSettings/printerSettings7.bin"/><Relationship Id="rId6" Type="http://schemas.openxmlformats.org/officeDocument/2006/relationships/table" Target="../tables/table32.xml"/><Relationship Id="rId11" Type="http://schemas.microsoft.com/office/2017/10/relationships/threadedComment" Target="../threadedComments/threadedComment5.xml"/><Relationship Id="rId5" Type="http://schemas.openxmlformats.org/officeDocument/2006/relationships/table" Target="../tables/table31.xml"/><Relationship Id="rId10" Type="http://schemas.openxmlformats.org/officeDocument/2006/relationships/comments" Target="../comments5.xml"/><Relationship Id="rId4" Type="http://schemas.openxmlformats.org/officeDocument/2006/relationships/table" Target="../tables/table30.xml"/><Relationship Id="rId9" Type="http://schemas.openxmlformats.org/officeDocument/2006/relationships/table" Target="../tables/table35.xml"/></Relationships>
</file>

<file path=xl/worksheets/_rels/sheet8.xml.rels><?xml version="1.0" encoding="UTF-8" standalone="yes"?>
<Relationships xmlns="http://schemas.openxmlformats.org/package/2006/relationships"><Relationship Id="rId3" Type="http://schemas.openxmlformats.org/officeDocument/2006/relationships/table" Target="../tables/table36.xml"/><Relationship Id="rId2" Type="http://schemas.openxmlformats.org/officeDocument/2006/relationships/vmlDrawing" Target="../drawings/vmlDrawing6.vml"/><Relationship Id="rId1" Type="http://schemas.openxmlformats.org/officeDocument/2006/relationships/printerSettings" Target="../printerSettings/printerSettings8.bin"/><Relationship Id="rId5" Type="http://schemas.microsoft.com/office/2017/10/relationships/threadedComment" Target="../threadedComments/threadedComment6.xml"/><Relationship Id="rId4" Type="http://schemas.openxmlformats.org/officeDocument/2006/relationships/comments" Target="../comments6.xml"/></Relationships>
</file>

<file path=xl/worksheets/_rels/sheet9.xml.rels><?xml version="1.0" encoding="UTF-8" standalone="yes"?>
<Relationships xmlns="http://schemas.openxmlformats.org/package/2006/relationships"><Relationship Id="rId3" Type="http://schemas.openxmlformats.org/officeDocument/2006/relationships/table" Target="../tables/table37.xml"/><Relationship Id="rId2" Type="http://schemas.openxmlformats.org/officeDocument/2006/relationships/vmlDrawing" Target="../drawings/vmlDrawing7.vml"/><Relationship Id="rId1" Type="http://schemas.openxmlformats.org/officeDocument/2006/relationships/printerSettings" Target="../printerSettings/printerSettings9.bin"/><Relationship Id="rId5" Type="http://schemas.microsoft.com/office/2017/10/relationships/threadedComment" Target="../threadedComments/threadedComment7.xml"/><Relationship Id="rId4" Type="http://schemas.openxmlformats.org/officeDocument/2006/relationships/comments" Target="../comments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B1:U53"/>
  <sheetViews>
    <sheetView tabSelected="1" showOutlineSymbols="0" showWhiteSpace="0" zoomScale="70" zoomScaleNormal="70" workbookViewId="0">
      <selection activeCell="R18" sqref="R18"/>
    </sheetView>
  </sheetViews>
  <sheetFormatPr defaultColWidth="8.6640625" defaultRowHeight="19.5" customHeight="1" x14ac:dyDescent="0.2"/>
  <cols>
    <col min="1" max="2" width="2.44140625" style="57" customWidth="1"/>
    <col min="3" max="4" width="26.6640625" style="57" customWidth="1"/>
    <col min="5" max="7" width="2.44140625" style="57" customWidth="1"/>
    <col min="8" max="9" width="26.6640625" style="57" customWidth="1"/>
    <col min="10" max="12" width="2.44140625" style="57" customWidth="1"/>
    <col min="13" max="14" width="26.6640625" style="57" customWidth="1"/>
    <col min="15" max="17" width="2.44140625" style="57" customWidth="1"/>
    <col min="18" max="18" width="12" style="57" customWidth="1"/>
    <col min="19" max="19" width="83.6640625" style="57" customWidth="1"/>
    <col min="20" max="20" width="16.109375" style="57" customWidth="1"/>
    <col min="21" max="21" width="2.6640625" style="57" customWidth="1"/>
    <col min="22" max="251" width="8.6640625" style="57"/>
    <col min="252" max="252" width="2.5546875" style="57" customWidth="1"/>
    <col min="253" max="253" width="22.5546875" style="57" customWidth="1"/>
    <col min="254" max="254" width="7.6640625" style="57" customWidth="1"/>
    <col min="255" max="255" width="26.6640625" style="57" customWidth="1"/>
    <col min="256" max="256" width="18.5546875" style="57" customWidth="1"/>
    <col min="257" max="257" width="17.6640625" style="57" customWidth="1"/>
    <col min="258" max="258" width="2.44140625" style="57" customWidth="1"/>
    <col min="259" max="259" width="7.5546875" style="57" customWidth="1"/>
    <col min="260" max="260" width="13.109375" style="57" customWidth="1"/>
    <col min="261" max="261" width="2.109375" style="57" customWidth="1"/>
    <col min="262" max="263" width="8.6640625" style="57"/>
    <col min="264" max="264" width="8.109375" style="57" bestFit="1" customWidth="1"/>
    <col min="265" max="507" width="8.6640625" style="57"/>
    <col min="508" max="508" width="2.5546875" style="57" customWidth="1"/>
    <col min="509" max="509" width="22.5546875" style="57" customWidth="1"/>
    <col min="510" max="510" width="7.6640625" style="57" customWidth="1"/>
    <col min="511" max="511" width="26.6640625" style="57" customWidth="1"/>
    <col min="512" max="512" width="18.5546875" style="57" customWidth="1"/>
    <col min="513" max="513" width="17.6640625" style="57" customWidth="1"/>
    <col min="514" max="514" width="2.44140625" style="57" customWidth="1"/>
    <col min="515" max="515" width="7.5546875" style="57" customWidth="1"/>
    <col min="516" max="516" width="13.109375" style="57" customWidth="1"/>
    <col min="517" max="517" width="2.109375" style="57" customWidth="1"/>
    <col min="518" max="519" width="8.6640625" style="57"/>
    <col min="520" max="520" width="8.109375" style="57" bestFit="1" customWidth="1"/>
    <col min="521" max="763" width="8.6640625" style="57"/>
    <col min="764" max="764" width="2.5546875" style="57" customWidth="1"/>
    <col min="765" max="765" width="22.5546875" style="57" customWidth="1"/>
    <col min="766" max="766" width="7.6640625" style="57" customWidth="1"/>
    <col min="767" max="767" width="26.6640625" style="57" customWidth="1"/>
    <col min="768" max="768" width="18.5546875" style="57" customWidth="1"/>
    <col min="769" max="769" width="17.6640625" style="57" customWidth="1"/>
    <col min="770" max="770" width="2.44140625" style="57" customWidth="1"/>
    <col min="771" max="771" width="7.5546875" style="57" customWidth="1"/>
    <col min="772" max="772" width="13.109375" style="57" customWidth="1"/>
    <col min="773" max="773" width="2.109375" style="57" customWidth="1"/>
    <col min="774" max="775" width="8.6640625" style="57"/>
    <col min="776" max="776" width="8.109375" style="57" bestFit="1" customWidth="1"/>
    <col min="777" max="1019" width="8.6640625" style="57"/>
    <col min="1020" max="1020" width="2.5546875" style="57" customWidth="1"/>
    <col min="1021" max="1021" width="22.5546875" style="57" customWidth="1"/>
    <col min="1022" max="1022" width="7.6640625" style="57" customWidth="1"/>
    <col min="1023" max="1023" width="26.6640625" style="57" customWidth="1"/>
    <col min="1024" max="1024" width="18.5546875" style="57" customWidth="1"/>
    <col min="1025" max="1025" width="17.6640625" style="57" customWidth="1"/>
    <col min="1026" max="1026" width="2.44140625" style="57" customWidth="1"/>
    <col min="1027" max="1027" width="7.5546875" style="57" customWidth="1"/>
    <col min="1028" max="1028" width="13.109375" style="57" customWidth="1"/>
    <col min="1029" max="1029" width="2.109375" style="57" customWidth="1"/>
    <col min="1030" max="1031" width="8.6640625" style="57"/>
    <col min="1032" max="1032" width="8.109375" style="57" bestFit="1" customWidth="1"/>
    <col min="1033" max="1275" width="8.6640625" style="57"/>
    <col min="1276" max="1276" width="2.5546875" style="57" customWidth="1"/>
    <col min="1277" max="1277" width="22.5546875" style="57" customWidth="1"/>
    <col min="1278" max="1278" width="7.6640625" style="57" customWidth="1"/>
    <col min="1279" max="1279" width="26.6640625" style="57" customWidth="1"/>
    <col min="1280" max="1280" width="18.5546875" style="57" customWidth="1"/>
    <col min="1281" max="1281" width="17.6640625" style="57" customWidth="1"/>
    <col min="1282" max="1282" width="2.44140625" style="57" customWidth="1"/>
    <col min="1283" max="1283" width="7.5546875" style="57" customWidth="1"/>
    <col min="1284" max="1284" width="13.109375" style="57" customWidth="1"/>
    <col min="1285" max="1285" width="2.109375" style="57" customWidth="1"/>
    <col min="1286" max="1287" width="8.6640625" style="57"/>
    <col min="1288" max="1288" width="8.109375" style="57" bestFit="1" customWidth="1"/>
    <col min="1289" max="1531" width="8.6640625" style="57"/>
    <col min="1532" max="1532" width="2.5546875" style="57" customWidth="1"/>
    <col min="1533" max="1533" width="22.5546875" style="57" customWidth="1"/>
    <col min="1534" max="1534" width="7.6640625" style="57" customWidth="1"/>
    <col min="1535" max="1535" width="26.6640625" style="57" customWidth="1"/>
    <col min="1536" max="1536" width="18.5546875" style="57" customWidth="1"/>
    <col min="1537" max="1537" width="17.6640625" style="57" customWidth="1"/>
    <col min="1538" max="1538" width="2.44140625" style="57" customWidth="1"/>
    <col min="1539" max="1539" width="7.5546875" style="57" customWidth="1"/>
    <col min="1540" max="1540" width="13.109375" style="57" customWidth="1"/>
    <col min="1541" max="1541" width="2.109375" style="57" customWidth="1"/>
    <col min="1542" max="1543" width="8.6640625" style="57"/>
    <col min="1544" max="1544" width="8.109375" style="57" bestFit="1" customWidth="1"/>
    <col min="1545" max="1787" width="8.6640625" style="57"/>
    <col min="1788" max="1788" width="2.5546875" style="57" customWidth="1"/>
    <col min="1789" max="1789" width="22.5546875" style="57" customWidth="1"/>
    <col min="1790" max="1790" width="7.6640625" style="57" customWidth="1"/>
    <col min="1791" max="1791" width="26.6640625" style="57" customWidth="1"/>
    <col min="1792" max="1792" width="18.5546875" style="57" customWidth="1"/>
    <col min="1793" max="1793" width="17.6640625" style="57" customWidth="1"/>
    <col min="1794" max="1794" width="2.44140625" style="57" customWidth="1"/>
    <col min="1795" max="1795" width="7.5546875" style="57" customWidth="1"/>
    <col min="1796" max="1796" width="13.109375" style="57" customWidth="1"/>
    <col min="1797" max="1797" width="2.109375" style="57" customWidth="1"/>
    <col min="1798" max="1799" width="8.6640625" style="57"/>
    <col min="1800" max="1800" width="8.109375" style="57" bestFit="1" customWidth="1"/>
    <col min="1801" max="2043" width="8.6640625" style="57"/>
    <col min="2044" max="2044" width="2.5546875" style="57" customWidth="1"/>
    <col min="2045" max="2045" width="22.5546875" style="57" customWidth="1"/>
    <col min="2046" max="2046" width="7.6640625" style="57" customWidth="1"/>
    <col min="2047" max="2047" width="26.6640625" style="57" customWidth="1"/>
    <col min="2048" max="2048" width="18.5546875" style="57" customWidth="1"/>
    <col min="2049" max="2049" width="17.6640625" style="57" customWidth="1"/>
    <col min="2050" max="2050" width="2.44140625" style="57" customWidth="1"/>
    <col min="2051" max="2051" width="7.5546875" style="57" customWidth="1"/>
    <col min="2052" max="2052" width="13.109375" style="57" customWidth="1"/>
    <col min="2053" max="2053" width="2.109375" style="57" customWidth="1"/>
    <col min="2054" max="2055" width="8.6640625" style="57"/>
    <col min="2056" max="2056" width="8.109375" style="57" bestFit="1" customWidth="1"/>
    <col min="2057" max="2299" width="8.6640625" style="57"/>
    <col min="2300" max="2300" width="2.5546875" style="57" customWidth="1"/>
    <col min="2301" max="2301" width="22.5546875" style="57" customWidth="1"/>
    <col min="2302" max="2302" width="7.6640625" style="57" customWidth="1"/>
    <col min="2303" max="2303" width="26.6640625" style="57" customWidth="1"/>
    <col min="2304" max="2304" width="18.5546875" style="57" customWidth="1"/>
    <col min="2305" max="2305" width="17.6640625" style="57" customWidth="1"/>
    <col min="2306" max="2306" width="2.44140625" style="57" customWidth="1"/>
    <col min="2307" max="2307" width="7.5546875" style="57" customWidth="1"/>
    <col min="2308" max="2308" width="13.109375" style="57" customWidth="1"/>
    <col min="2309" max="2309" width="2.109375" style="57" customWidth="1"/>
    <col min="2310" max="2311" width="8.6640625" style="57"/>
    <col min="2312" max="2312" width="8.109375" style="57" bestFit="1" customWidth="1"/>
    <col min="2313" max="2555" width="8.6640625" style="57"/>
    <col min="2556" max="2556" width="2.5546875" style="57" customWidth="1"/>
    <col min="2557" max="2557" width="22.5546875" style="57" customWidth="1"/>
    <col min="2558" max="2558" width="7.6640625" style="57" customWidth="1"/>
    <col min="2559" max="2559" width="26.6640625" style="57" customWidth="1"/>
    <col min="2560" max="2560" width="18.5546875" style="57" customWidth="1"/>
    <col min="2561" max="2561" width="17.6640625" style="57" customWidth="1"/>
    <col min="2562" max="2562" width="2.44140625" style="57" customWidth="1"/>
    <col min="2563" max="2563" width="7.5546875" style="57" customWidth="1"/>
    <col min="2564" max="2564" width="13.109375" style="57" customWidth="1"/>
    <col min="2565" max="2565" width="2.109375" style="57" customWidth="1"/>
    <col min="2566" max="2567" width="8.6640625" style="57"/>
    <col min="2568" max="2568" width="8.109375" style="57" bestFit="1" customWidth="1"/>
    <col min="2569" max="2811" width="8.6640625" style="57"/>
    <col min="2812" max="2812" width="2.5546875" style="57" customWidth="1"/>
    <col min="2813" max="2813" width="22.5546875" style="57" customWidth="1"/>
    <col min="2814" max="2814" width="7.6640625" style="57" customWidth="1"/>
    <col min="2815" max="2815" width="26.6640625" style="57" customWidth="1"/>
    <col min="2816" max="2816" width="18.5546875" style="57" customWidth="1"/>
    <col min="2817" max="2817" width="17.6640625" style="57" customWidth="1"/>
    <col min="2818" max="2818" width="2.44140625" style="57" customWidth="1"/>
    <col min="2819" max="2819" width="7.5546875" style="57" customWidth="1"/>
    <col min="2820" max="2820" width="13.109375" style="57" customWidth="1"/>
    <col min="2821" max="2821" width="2.109375" style="57" customWidth="1"/>
    <col min="2822" max="2823" width="8.6640625" style="57"/>
    <col min="2824" max="2824" width="8.109375" style="57" bestFit="1" customWidth="1"/>
    <col min="2825" max="3067" width="8.6640625" style="57"/>
    <col min="3068" max="3068" width="2.5546875" style="57" customWidth="1"/>
    <col min="3069" max="3069" width="22.5546875" style="57" customWidth="1"/>
    <col min="3070" max="3070" width="7.6640625" style="57" customWidth="1"/>
    <col min="3071" max="3071" width="26.6640625" style="57" customWidth="1"/>
    <col min="3072" max="3072" width="18.5546875" style="57" customWidth="1"/>
    <col min="3073" max="3073" width="17.6640625" style="57" customWidth="1"/>
    <col min="3074" max="3074" width="2.44140625" style="57" customWidth="1"/>
    <col min="3075" max="3075" width="7.5546875" style="57" customWidth="1"/>
    <col min="3076" max="3076" width="13.109375" style="57" customWidth="1"/>
    <col min="3077" max="3077" width="2.109375" style="57" customWidth="1"/>
    <col min="3078" max="3079" width="8.6640625" style="57"/>
    <col min="3080" max="3080" width="8.109375" style="57" bestFit="1" customWidth="1"/>
    <col min="3081" max="3323" width="8.6640625" style="57"/>
    <col min="3324" max="3324" width="2.5546875" style="57" customWidth="1"/>
    <col min="3325" max="3325" width="22.5546875" style="57" customWidth="1"/>
    <col min="3326" max="3326" width="7.6640625" style="57" customWidth="1"/>
    <col min="3327" max="3327" width="26.6640625" style="57" customWidth="1"/>
    <col min="3328" max="3328" width="18.5546875" style="57" customWidth="1"/>
    <col min="3329" max="3329" width="17.6640625" style="57" customWidth="1"/>
    <col min="3330" max="3330" width="2.44140625" style="57" customWidth="1"/>
    <col min="3331" max="3331" width="7.5546875" style="57" customWidth="1"/>
    <col min="3332" max="3332" width="13.109375" style="57" customWidth="1"/>
    <col min="3333" max="3333" width="2.109375" style="57" customWidth="1"/>
    <col min="3334" max="3335" width="8.6640625" style="57"/>
    <col min="3336" max="3336" width="8.109375" style="57" bestFit="1" customWidth="1"/>
    <col min="3337" max="3579" width="8.6640625" style="57"/>
    <col min="3580" max="3580" width="2.5546875" style="57" customWidth="1"/>
    <col min="3581" max="3581" width="22.5546875" style="57" customWidth="1"/>
    <col min="3582" max="3582" width="7.6640625" style="57" customWidth="1"/>
    <col min="3583" max="3583" width="26.6640625" style="57" customWidth="1"/>
    <col min="3584" max="3584" width="18.5546875" style="57" customWidth="1"/>
    <col min="3585" max="3585" width="17.6640625" style="57" customWidth="1"/>
    <col min="3586" max="3586" width="2.44140625" style="57" customWidth="1"/>
    <col min="3587" max="3587" width="7.5546875" style="57" customWidth="1"/>
    <col min="3588" max="3588" width="13.109375" style="57" customWidth="1"/>
    <col min="3589" max="3589" width="2.109375" style="57" customWidth="1"/>
    <col min="3590" max="3591" width="8.6640625" style="57"/>
    <col min="3592" max="3592" width="8.109375" style="57" bestFit="1" customWidth="1"/>
    <col min="3593" max="3835" width="8.6640625" style="57"/>
    <col min="3836" max="3836" width="2.5546875" style="57" customWidth="1"/>
    <col min="3837" max="3837" width="22.5546875" style="57" customWidth="1"/>
    <col min="3838" max="3838" width="7.6640625" style="57" customWidth="1"/>
    <col min="3839" max="3839" width="26.6640625" style="57" customWidth="1"/>
    <col min="3840" max="3840" width="18.5546875" style="57" customWidth="1"/>
    <col min="3841" max="3841" width="17.6640625" style="57" customWidth="1"/>
    <col min="3842" max="3842" width="2.44140625" style="57" customWidth="1"/>
    <col min="3843" max="3843" width="7.5546875" style="57" customWidth="1"/>
    <col min="3844" max="3844" width="13.109375" style="57" customWidth="1"/>
    <col min="3845" max="3845" width="2.109375" style="57" customWidth="1"/>
    <col min="3846" max="3847" width="8.6640625" style="57"/>
    <col min="3848" max="3848" width="8.109375" style="57" bestFit="1" customWidth="1"/>
    <col min="3849" max="4091" width="8.6640625" style="57"/>
    <col min="4092" max="4092" width="2.5546875" style="57" customWidth="1"/>
    <col min="4093" max="4093" width="22.5546875" style="57" customWidth="1"/>
    <col min="4094" max="4094" width="7.6640625" style="57" customWidth="1"/>
    <col min="4095" max="4095" width="26.6640625" style="57" customWidth="1"/>
    <col min="4096" max="4096" width="18.5546875" style="57" customWidth="1"/>
    <col min="4097" max="4097" width="17.6640625" style="57" customWidth="1"/>
    <col min="4098" max="4098" width="2.44140625" style="57" customWidth="1"/>
    <col min="4099" max="4099" width="7.5546875" style="57" customWidth="1"/>
    <col min="4100" max="4100" width="13.109375" style="57" customWidth="1"/>
    <col min="4101" max="4101" width="2.109375" style="57" customWidth="1"/>
    <col min="4102" max="4103" width="8.6640625" style="57"/>
    <col min="4104" max="4104" width="8.109375" style="57" bestFit="1" customWidth="1"/>
    <col min="4105" max="4347" width="8.6640625" style="57"/>
    <col min="4348" max="4348" width="2.5546875" style="57" customWidth="1"/>
    <col min="4349" max="4349" width="22.5546875" style="57" customWidth="1"/>
    <col min="4350" max="4350" width="7.6640625" style="57" customWidth="1"/>
    <col min="4351" max="4351" width="26.6640625" style="57" customWidth="1"/>
    <col min="4352" max="4352" width="18.5546875" style="57" customWidth="1"/>
    <col min="4353" max="4353" width="17.6640625" style="57" customWidth="1"/>
    <col min="4354" max="4354" width="2.44140625" style="57" customWidth="1"/>
    <col min="4355" max="4355" width="7.5546875" style="57" customWidth="1"/>
    <col min="4356" max="4356" width="13.109375" style="57" customWidth="1"/>
    <col min="4357" max="4357" width="2.109375" style="57" customWidth="1"/>
    <col min="4358" max="4359" width="8.6640625" style="57"/>
    <col min="4360" max="4360" width="8.109375" style="57" bestFit="1" customWidth="1"/>
    <col min="4361" max="4603" width="8.6640625" style="57"/>
    <col min="4604" max="4604" width="2.5546875" style="57" customWidth="1"/>
    <col min="4605" max="4605" width="22.5546875" style="57" customWidth="1"/>
    <col min="4606" max="4606" width="7.6640625" style="57" customWidth="1"/>
    <col min="4607" max="4607" width="26.6640625" style="57" customWidth="1"/>
    <col min="4608" max="4608" width="18.5546875" style="57" customWidth="1"/>
    <col min="4609" max="4609" width="17.6640625" style="57" customWidth="1"/>
    <col min="4610" max="4610" width="2.44140625" style="57" customWidth="1"/>
    <col min="4611" max="4611" width="7.5546875" style="57" customWidth="1"/>
    <col min="4612" max="4612" width="13.109375" style="57" customWidth="1"/>
    <col min="4613" max="4613" width="2.109375" style="57" customWidth="1"/>
    <col min="4614" max="4615" width="8.6640625" style="57"/>
    <col min="4616" max="4616" width="8.109375" style="57" bestFit="1" customWidth="1"/>
    <col min="4617" max="4859" width="8.6640625" style="57"/>
    <col min="4860" max="4860" width="2.5546875" style="57" customWidth="1"/>
    <col min="4861" max="4861" width="22.5546875" style="57" customWidth="1"/>
    <col min="4862" max="4862" width="7.6640625" style="57" customWidth="1"/>
    <col min="4863" max="4863" width="26.6640625" style="57" customWidth="1"/>
    <col min="4864" max="4864" width="18.5546875" style="57" customWidth="1"/>
    <col min="4865" max="4865" width="17.6640625" style="57" customWidth="1"/>
    <col min="4866" max="4866" width="2.44140625" style="57" customWidth="1"/>
    <col min="4867" max="4867" width="7.5546875" style="57" customWidth="1"/>
    <col min="4868" max="4868" width="13.109375" style="57" customWidth="1"/>
    <col min="4869" max="4869" width="2.109375" style="57" customWidth="1"/>
    <col min="4870" max="4871" width="8.6640625" style="57"/>
    <col min="4872" max="4872" width="8.109375" style="57" bestFit="1" customWidth="1"/>
    <col min="4873" max="5115" width="8.6640625" style="57"/>
    <col min="5116" max="5116" width="2.5546875" style="57" customWidth="1"/>
    <col min="5117" max="5117" width="22.5546875" style="57" customWidth="1"/>
    <col min="5118" max="5118" width="7.6640625" style="57" customWidth="1"/>
    <col min="5119" max="5119" width="26.6640625" style="57" customWidth="1"/>
    <col min="5120" max="5120" width="18.5546875" style="57" customWidth="1"/>
    <col min="5121" max="5121" width="17.6640625" style="57" customWidth="1"/>
    <col min="5122" max="5122" width="2.44140625" style="57" customWidth="1"/>
    <col min="5123" max="5123" width="7.5546875" style="57" customWidth="1"/>
    <col min="5124" max="5124" width="13.109375" style="57" customWidth="1"/>
    <col min="5125" max="5125" width="2.109375" style="57" customWidth="1"/>
    <col min="5126" max="5127" width="8.6640625" style="57"/>
    <col min="5128" max="5128" width="8.109375" style="57" bestFit="1" customWidth="1"/>
    <col min="5129" max="5371" width="8.6640625" style="57"/>
    <col min="5372" max="5372" width="2.5546875" style="57" customWidth="1"/>
    <col min="5373" max="5373" width="22.5546875" style="57" customWidth="1"/>
    <col min="5374" max="5374" width="7.6640625" style="57" customWidth="1"/>
    <col min="5375" max="5375" width="26.6640625" style="57" customWidth="1"/>
    <col min="5376" max="5376" width="18.5546875" style="57" customWidth="1"/>
    <col min="5377" max="5377" width="17.6640625" style="57" customWidth="1"/>
    <col min="5378" max="5378" width="2.44140625" style="57" customWidth="1"/>
    <col min="5379" max="5379" width="7.5546875" style="57" customWidth="1"/>
    <col min="5380" max="5380" width="13.109375" style="57" customWidth="1"/>
    <col min="5381" max="5381" width="2.109375" style="57" customWidth="1"/>
    <col min="5382" max="5383" width="8.6640625" style="57"/>
    <col min="5384" max="5384" width="8.109375" style="57" bestFit="1" customWidth="1"/>
    <col min="5385" max="5627" width="8.6640625" style="57"/>
    <col min="5628" max="5628" width="2.5546875" style="57" customWidth="1"/>
    <col min="5629" max="5629" width="22.5546875" style="57" customWidth="1"/>
    <col min="5630" max="5630" width="7.6640625" style="57" customWidth="1"/>
    <col min="5631" max="5631" width="26.6640625" style="57" customWidth="1"/>
    <col min="5632" max="5632" width="18.5546875" style="57" customWidth="1"/>
    <col min="5633" max="5633" width="17.6640625" style="57" customWidth="1"/>
    <col min="5634" max="5634" width="2.44140625" style="57" customWidth="1"/>
    <col min="5635" max="5635" width="7.5546875" style="57" customWidth="1"/>
    <col min="5636" max="5636" width="13.109375" style="57" customWidth="1"/>
    <col min="5637" max="5637" width="2.109375" style="57" customWidth="1"/>
    <col min="5638" max="5639" width="8.6640625" style="57"/>
    <col min="5640" max="5640" width="8.109375" style="57" bestFit="1" customWidth="1"/>
    <col min="5641" max="5883" width="8.6640625" style="57"/>
    <col min="5884" max="5884" width="2.5546875" style="57" customWidth="1"/>
    <col min="5885" max="5885" width="22.5546875" style="57" customWidth="1"/>
    <col min="5886" max="5886" width="7.6640625" style="57" customWidth="1"/>
    <col min="5887" max="5887" width="26.6640625" style="57" customWidth="1"/>
    <col min="5888" max="5888" width="18.5546875" style="57" customWidth="1"/>
    <col min="5889" max="5889" width="17.6640625" style="57" customWidth="1"/>
    <col min="5890" max="5890" width="2.44140625" style="57" customWidth="1"/>
    <col min="5891" max="5891" width="7.5546875" style="57" customWidth="1"/>
    <col min="5892" max="5892" width="13.109375" style="57" customWidth="1"/>
    <col min="5893" max="5893" width="2.109375" style="57" customWidth="1"/>
    <col min="5894" max="5895" width="8.6640625" style="57"/>
    <col min="5896" max="5896" width="8.109375" style="57" bestFit="1" customWidth="1"/>
    <col min="5897" max="6139" width="8.6640625" style="57"/>
    <col min="6140" max="6140" width="2.5546875" style="57" customWidth="1"/>
    <col min="6141" max="6141" width="22.5546875" style="57" customWidth="1"/>
    <col min="6142" max="6142" width="7.6640625" style="57" customWidth="1"/>
    <col min="6143" max="6143" width="26.6640625" style="57" customWidth="1"/>
    <col min="6144" max="6144" width="18.5546875" style="57" customWidth="1"/>
    <col min="6145" max="6145" width="17.6640625" style="57" customWidth="1"/>
    <col min="6146" max="6146" width="2.44140625" style="57" customWidth="1"/>
    <col min="6147" max="6147" width="7.5546875" style="57" customWidth="1"/>
    <col min="6148" max="6148" width="13.109375" style="57" customWidth="1"/>
    <col min="6149" max="6149" width="2.109375" style="57" customWidth="1"/>
    <col min="6150" max="6151" width="8.6640625" style="57"/>
    <col min="6152" max="6152" width="8.109375" style="57" bestFit="1" customWidth="1"/>
    <col min="6153" max="6395" width="8.6640625" style="57"/>
    <col min="6396" max="6396" width="2.5546875" style="57" customWidth="1"/>
    <col min="6397" max="6397" width="22.5546875" style="57" customWidth="1"/>
    <col min="6398" max="6398" width="7.6640625" style="57" customWidth="1"/>
    <col min="6399" max="6399" width="26.6640625" style="57" customWidth="1"/>
    <col min="6400" max="6400" width="18.5546875" style="57" customWidth="1"/>
    <col min="6401" max="6401" width="17.6640625" style="57" customWidth="1"/>
    <col min="6402" max="6402" width="2.44140625" style="57" customWidth="1"/>
    <col min="6403" max="6403" width="7.5546875" style="57" customWidth="1"/>
    <col min="6404" max="6404" width="13.109375" style="57" customWidth="1"/>
    <col min="6405" max="6405" width="2.109375" style="57" customWidth="1"/>
    <col min="6406" max="6407" width="8.6640625" style="57"/>
    <col min="6408" max="6408" width="8.109375" style="57" bestFit="1" customWidth="1"/>
    <col min="6409" max="6651" width="8.6640625" style="57"/>
    <col min="6652" max="6652" width="2.5546875" style="57" customWidth="1"/>
    <col min="6653" max="6653" width="22.5546875" style="57" customWidth="1"/>
    <col min="6654" max="6654" width="7.6640625" style="57" customWidth="1"/>
    <col min="6655" max="6655" width="26.6640625" style="57" customWidth="1"/>
    <col min="6656" max="6656" width="18.5546875" style="57" customWidth="1"/>
    <col min="6657" max="6657" width="17.6640625" style="57" customWidth="1"/>
    <col min="6658" max="6658" width="2.44140625" style="57" customWidth="1"/>
    <col min="6659" max="6659" width="7.5546875" style="57" customWidth="1"/>
    <col min="6660" max="6660" width="13.109375" style="57" customWidth="1"/>
    <col min="6661" max="6661" width="2.109375" style="57" customWidth="1"/>
    <col min="6662" max="6663" width="8.6640625" style="57"/>
    <col min="6664" max="6664" width="8.109375" style="57" bestFit="1" customWidth="1"/>
    <col min="6665" max="6907" width="8.6640625" style="57"/>
    <col min="6908" max="6908" width="2.5546875" style="57" customWidth="1"/>
    <col min="6909" max="6909" width="22.5546875" style="57" customWidth="1"/>
    <col min="6910" max="6910" width="7.6640625" style="57" customWidth="1"/>
    <col min="6911" max="6911" width="26.6640625" style="57" customWidth="1"/>
    <col min="6912" max="6912" width="18.5546875" style="57" customWidth="1"/>
    <col min="6913" max="6913" width="17.6640625" style="57" customWidth="1"/>
    <col min="6914" max="6914" width="2.44140625" style="57" customWidth="1"/>
    <col min="6915" max="6915" width="7.5546875" style="57" customWidth="1"/>
    <col min="6916" max="6916" width="13.109375" style="57" customWidth="1"/>
    <col min="6917" max="6917" width="2.109375" style="57" customWidth="1"/>
    <col min="6918" max="6919" width="8.6640625" style="57"/>
    <col min="6920" max="6920" width="8.109375" style="57" bestFit="1" customWidth="1"/>
    <col min="6921" max="7163" width="8.6640625" style="57"/>
    <col min="7164" max="7164" width="2.5546875" style="57" customWidth="1"/>
    <col min="7165" max="7165" width="22.5546875" style="57" customWidth="1"/>
    <col min="7166" max="7166" width="7.6640625" style="57" customWidth="1"/>
    <col min="7167" max="7167" width="26.6640625" style="57" customWidth="1"/>
    <col min="7168" max="7168" width="18.5546875" style="57" customWidth="1"/>
    <col min="7169" max="7169" width="17.6640625" style="57" customWidth="1"/>
    <col min="7170" max="7170" width="2.44140625" style="57" customWidth="1"/>
    <col min="7171" max="7171" width="7.5546875" style="57" customWidth="1"/>
    <col min="7172" max="7172" width="13.109375" style="57" customWidth="1"/>
    <col min="7173" max="7173" width="2.109375" style="57" customWidth="1"/>
    <col min="7174" max="7175" width="8.6640625" style="57"/>
    <col min="7176" max="7176" width="8.109375" style="57" bestFit="1" customWidth="1"/>
    <col min="7177" max="7419" width="8.6640625" style="57"/>
    <col min="7420" max="7420" width="2.5546875" style="57" customWidth="1"/>
    <col min="7421" max="7421" width="22.5546875" style="57" customWidth="1"/>
    <col min="7422" max="7422" width="7.6640625" style="57" customWidth="1"/>
    <col min="7423" max="7423" width="26.6640625" style="57" customWidth="1"/>
    <col min="7424" max="7424" width="18.5546875" style="57" customWidth="1"/>
    <col min="7425" max="7425" width="17.6640625" style="57" customWidth="1"/>
    <col min="7426" max="7426" width="2.44140625" style="57" customWidth="1"/>
    <col min="7427" max="7427" width="7.5546875" style="57" customWidth="1"/>
    <col min="7428" max="7428" width="13.109375" style="57" customWidth="1"/>
    <col min="7429" max="7429" width="2.109375" style="57" customWidth="1"/>
    <col min="7430" max="7431" width="8.6640625" style="57"/>
    <col min="7432" max="7432" width="8.109375" style="57" bestFit="1" customWidth="1"/>
    <col min="7433" max="7675" width="8.6640625" style="57"/>
    <col min="7676" max="7676" width="2.5546875" style="57" customWidth="1"/>
    <col min="7677" max="7677" width="22.5546875" style="57" customWidth="1"/>
    <col min="7678" max="7678" width="7.6640625" style="57" customWidth="1"/>
    <col min="7679" max="7679" width="26.6640625" style="57" customWidth="1"/>
    <col min="7680" max="7680" width="18.5546875" style="57" customWidth="1"/>
    <col min="7681" max="7681" width="17.6640625" style="57" customWidth="1"/>
    <col min="7682" max="7682" width="2.44140625" style="57" customWidth="1"/>
    <col min="7683" max="7683" width="7.5546875" style="57" customWidth="1"/>
    <col min="7684" max="7684" width="13.109375" style="57" customWidth="1"/>
    <col min="7685" max="7685" width="2.109375" style="57" customWidth="1"/>
    <col min="7686" max="7687" width="8.6640625" style="57"/>
    <col min="7688" max="7688" width="8.109375" style="57" bestFit="1" customWidth="1"/>
    <col min="7689" max="7931" width="8.6640625" style="57"/>
    <col min="7932" max="7932" width="2.5546875" style="57" customWidth="1"/>
    <col min="7933" max="7933" width="22.5546875" style="57" customWidth="1"/>
    <col min="7934" max="7934" width="7.6640625" style="57" customWidth="1"/>
    <col min="7935" max="7935" width="26.6640625" style="57" customWidth="1"/>
    <col min="7936" max="7936" width="18.5546875" style="57" customWidth="1"/>
    <col min="7937" max="7937" width="17.6640625" style="57" customWidth="1"/>
    <col min="7938" max="7938" width="2.44140625" style="57" customWidth="1"/>
    <col min="7939" max="7939" width="7.5546875" style="57" customWidth="1"/>
    <col min="7940" max="7940" width="13.109375" style="57" customWidth="1"/>
    <col min="7941" max="7941" width="2.109375" style="57" customWidth="1"/>
    <col min="7942" max="7943" width="8.6640625" style="57"/>
    <col min="7944" max="7944" width="8.109375" style="57" bestFit="1" customWidth="1"/>
    <col min="7945" max="8187" width="8.6640625" style="57"/>
    <col min="8188" max="8188" width="2.5546875" style="57" customWidth="1"/>
    <col min="8189" max="8189" width="22.5546875" style="57" customWidth="1"/>
    <col min="8190" max="8190" width="7.6640625" style="57" customWidth="1"/>
    <col min="8191" max="8191" width="26.6640625" style="57" customWidth="1"/>
    <col min="8192" max="8192" width="18.5546875" style="57" customWidth="1"/>
    <col min="8193" max="8193" width="17.6640625" style="57" customWidth="1"/>
    <col min="8194" max="8194" width="2.44140625" style="57" customWidth="1"/>
    <col min="8195" max="8195" width="7.5546875" style="57" customWidth="1"/>
    <col min="8196" max="8196" width="13.109375" style="57" customWidth="1"/>
    <col min="8197" max="8197" width="2.109375" style="57" customWidth="1"/>
    <col min="8198" max="8199" width="8.6640625" style="57"/>
    <col min="8200" max="8200" width="8.109375" style="57" bestFit="1" customWidth="1"/>
    <col min="8201" max="8443" width="8.6640625" style="57"/>
    <col min="8444" max="8444" width="2.5546875" style="57" customWidth="1"/>
    <col min="8445" max="8445" width="22.5546875" style="57" customWidth="1"/>
    <col min="8446" max="8446" width="7.6640625" style="57" customWidth="1"/>
    <col min="8447" max="8447" width="26.6640625" style="57" customWidth="1"/>
    <col min="8448" max="8448" width="18.5546875" style="57" customWidth="1"/>
    <col min="8449" max="8449" width="17.6640625" style="57" customWidth="1"/>
    <col min="8450" max="8450" width="2.44140625" style="57" customWidth="1"/>
    <col min="8451" max="8451" width="7.5546875" style="57" customWidth="1"/>
    <col min="8452" max="8452" width="13.109375" style="57" customWidth="1"/>
    <col min="8453" max="8453" width="2.109375" style="57" customWidth="1"/>
    <col min="8454" max="8455" width="8.6640625" style="57"/>
    <col min="8456" max="8456" width="8.109375" style="57" bestFit="1" customWidth="1"/>
    <col min="8457" max="8699" width="8.6640625" style="57"/>
    <col min="8700" max="8700" width="2.5546875" style="57" customWidth="1"/>
    <col min="8701" max="8701" width="22.5546875" style="57" customWidth="1"/>
    <col min="8702" max="8702" width="7.6640625" style="57" customWidth="1"/>
    <col min="8703" max="8703" width="26.6640625" style="57" customWidth="1"/>
    <col min="8704" max="8704" width="18.5546875" style="57" customWidth="1"/>
    <col min="8705" max="8705" width="17.6640625" style="57" customWidth="1"/>
    <col min="8706" max="8706" width="2.44140625" style="57" customWidth="1"/>
    <col min="8707" max="8707" width="7.5546875" style="57" customWidth="1"/>
    <col min="8708" max="8708" width="13.109375" style="57" customWidth="1"/>
    <col min="8709" max="8709" width="2.109375" style="57" customWidth="1"/>
    <col min="8710" max="8711" width="8.6640625" style="57"/>
    <col min="8712" max="8712" width="8.109375" style="57" bestFit="1" customWidth="1"/>
    <col min="8713" max="8955" width="8.6640625" style="57"/>
    <col min="8956" max="8956" width="2.5546875" style="57" customWidth="1"/>
    <col min="8957" max="8957" width="22.5546875" style="57" customWidth="1"/>
    <col min="8958" max="8958" width="7.6640625" style="57" customWidth="1"/>
    <col min="8959" max="8959" width="26.6640625" style="57" customWidth="1"/>
    <col min="8960" max="8960" width="18.5546875" style="57" customWidth="1"/>
    <col min="8961" max="8961" width="17.6640625" style="57" customWidth="1"/>
    <col min="8962" max="8962" width="2.44140625" style="57" customWidth="1"/>
    <col min="8963" max="8963" width="7.5546875" style="57" customWidth="1"/>
    <col min="8964" max="8964" width="13.109375" style="57" customWidth="1"/>
    <col min="8965" max="8965" width="2.109375" style="57" customWidth="1"/>
    <col min="8966" max="8967" width="8.6640625" style="57"/>
    <col min="8968" max="8968" width="8.109375" style="57" bestFit="1" customWidth="1"/>
    <col min="8969" max="9211" width="8.6640625" style="57"/>
    <col min="9212" max="9212" width="2.5546875" style="57" customWidth="1"/>
    <col min="9213" max="9213" width="22.5546875" style="57" customWidth="1"/>
    <col min="9214" max="9214" width="7.6640625" style="57" customWidth="1"/>
    <col min="9215" max="9215" width="26.6640625" style="57" customWidth="1"/>
    <col min="9216" max="9216" width="18.5546875" style="57" customWidth="1"/>
    <col min="9217" max="9217" width="17.6640625" style="57" customWidth="1"/>
    <col min="9218" max="9218" width="2.44140625" style="57" customWidth="1"/>
    <col min="9219" max="9219" width="7.5546875" style="57" customWidth="1"/>
    <col min="9220" max="9220" width="13.109375" style="57" customWidth="1"/>
    <col min="9221" max="9221" width="2.109375" style="57" customWidth="1"/>
    <col min="9222" max="9223" width="8.6640625" style="57"/>
    <col min="9224" max="9224" width="8.109375" style="57" bestFit="1" customWidth="1"/>
    <col min="9225" max="9467" width="8.6640625" style="57"/>
    <col min="9468" max="9468" width="2.5546875" style="57" customWidth="1"/>
    <col min="9469" max="9469" width="22.5546875" style="57" customWidth="1"/>
    <col min="9470" max="9470" width="7.6640625" style="57" customWidth="1"/>
    <col min="9471" max="9471" width="26.6640625" style="57" customWidth="1"/>
    <col min="9472" max="9472" width="18.5546875" style="57" customWidth="1"/>
    <col min="9473" max="9473" width="17.6640625" style="57" customWidth="1"/>
    <col min="9474" max="9474" width="2.44140625" style="57" customWidth="1"/>
    <col min="9475" max="9475" width="7.5546875" style="57" customWidth="1"/>
    <col min="9476" max="9476" width="13.109375" style="57" customWidth="1"/>
    <col min="9477" max="9477" width="2.109375" style="57" customWidth="1"/>
    <col min="9478" max="9479" width="8.6640625" style="57"/>
    <col min="9480" max="9480" width="8.109375" style="57" bestFit="1" customWidth="1"/>
    <col min="9481" max="9723" width="8.6640625" style="57"/>
    <col min="9724" max="9724" width="2.5546875" style="57" customWidth="1"/>
    <col min="9725" max="9725" width="22.5546875" style="57" customWidth="1"/>
    <col min="9726" max="9726" width="7.6640625" style="57" customWidth="1"/>
    <col min="9727" max="9727" width="26.6640625" style="57" customWidth="1"/>
    <col min="9728" max="9728" width="18.5546875" style="57" customWidth="1"/>
    <col min="9729" max="9729" width="17.6640625" style="57" customWidth="1"/>
    <col min="9730" max="9730" width="2.44140625" style="57" customWidth="1"/>
    <col min="9731" max="9731" width="7.5546875" style="57" customWidth="1"/>
    <col min="9732" max="9732" width="13.109375" style="57" customWidth="1"/>
    <col min="9733" max="9733" width="2.109375" style="57" customWidth="1"/>
    <col min="9734" max="9735" width="8.6640625" style="57"/>
    <col min="9736" max="9736" width="8.109375" style="57" bestFit="1" customWidth="1"/>
    <col min="9737" max="9979" width="8.6640625" style="57"/>
    <col min="9980" max="9980" width="2.5546875" style="57" customWidth="1"/>
    <col min="9981" max="9981" width="22.5546875" style="57" customWidth="1"/>
    <col min="9982" max="9982" width="7.6640625" style="57" customWidth="1"/>
    <col min="9983" max="9983" width="26.6640625" style="57" customWidth="1"/>
    <col min="9984" max="9984" width="18.5546875" style="57" customWidth="1"/>
    <col min="9985" max="9985" width="17.6640625" style="57" customWidth="1"/>
    <col min="9986" max="9986" width="2.44140625" style="57" customWidth="1"/>
    <col min="9987" max="9987" width="7.5546875" style="57" customWidth="1"/>
    <col min="9988" max="9988" width="13.109375" style="57" customWidth="1"/>
    <col min="9989" max="9989" width="2.109375" style="57" customWidth="1"/>
    <col min="9990" max="9991" width="8.6640625" style="57"/>
    <col min="9992" max="9992" width="8.109375" style="57" bestFit="1" customWidth="1"/>
    <col min="9993" max="10235" width="8.6640625" style="57"/>
    <col min="10236" max="10236" width="2.5546875" style="57" customWidth="1"/>
    <col min="10237" max="10237" width="22.5546875" style="57" customWidth="1"/>
    <col min="10238" max="10238" width="7.6640625" style="57" customWidth="1"/>
    <col min="10239" max="10239" width="26.6640625" style="57" customWidth="1"/>
    <col min="10240" max="10240" width="18.5546875" style="57" customWidth="1"/>
    <col min="10241" max="10241" width="17.6640625" style="57" customWidth="1"/>
    <col min="10242" max="10242" width="2.44140625" style="57" customWidth="1"/>
    <col min="10243" max="10243" width="7.5546875" style="57" customWidth="1"/>
    <col min="10244" max="10244" width="13.109375" style="57" customWidth="1"/>
    <col min="10245" max="10245" width="2.109375" style="57" customWidth="1"/>
    <col min="10246" max="10247" width="8.6640625" style="57"/>
    <col min="10248" max="10248" width="8.109375" style="57" bestFit="1" customWidth="1"/>
    <col min="10249" max="10491" width="8.6640625" style="57"/>
    <col min="10492" max="10492" width="2.5546875" style="57" customWidth="1"/>
    <col min="10493" max="10493" width="22.5546875" style="57" customWidth="1"/>
    <col min="10494" max="10494" width="7.6640625" style="57" customWidth="1"/>
    <col min="10495" max="10495" width="26.6640625" style="57" customWidth="1"/>
    <col min="10496" max="10496" width="18.5546875" style="57" customWidth="1"/>
    <col min="10497" max="10497" width="17.6640625" style="57" customWidth="1"/>
    <col min="10498" max="10498" width="2.44140625" style="57" customWidth="1"/>
    <col min="10499" max="10499" width="7.5546875" style="57" customWidth="1"/>
    <col min="10500" max="10500" width="13.109375" style="57" customWidth="1"/>
    <col min="10501" max="10501" width="2.109375" style="57" customWidth="1"/>
    <col min="10502" max="10503" width="8.6640625" style="57"/>
    <col min="10504" max="10504" width="8.109375" style="57" bestFit="1" customWidth="1"/>
    <col min="10505" max="10747" width="8.6640625" style="57"/>
    <col min="10748" max="10748" width="2.5546875" style="57" customWidth="1"/>
    <col min="10749" max="10749" width="22.5546875" style="57" customWidth="1"/>
    <col min="10750" max="10750" width="7.6640625" style="57" customWidth="1"/>
    <col min="10751" max="10751" width="26.6640625" style="57" customWidth="1"/>
    <col min="10752" max="10752" width="18.5546875" style="57" customWidth="1"/>
    <col min="10753" max="10753" width="17.6640625" style="57" customWidth="1"/>
    <col min="10754" max="10754" width="2.44140625" style="57" customWidth="1"/>
    <col min="10755" max="10755" width="7.5546875" style="57" customWidth="1"/>
    <col min="10756" max="10756" width="13.109375" style="57" customWidth="1"/>
    <col min="10757" max="10757" width="2.109375" style="57" customWidth="1"/>
    <col min="10758" max="10759" width="8.6640625" style="57"/>
    <col min="10760" max="10760" width="8.109375" style="57" bestFit="1" customWidth="1"/>
    <col min="10761" max="11003" width="8.6640625" style="57"/>
    <col min="11004" max="11004" width="2.5546875" style="57" customWidth="1"/>
    <col min="11005" max="11005" width="22.5546875" style="57" customWidth="1"/>
    <col min="11006" max="11006" width="7.6640625" style="57" customWidth="1"/>
    <col min="11007" max="11007" width="26.6640625" style="57" customWidth="1"/>
    <col min="11008" max="11008" width="18.5546875" style="57" customWidth="1"/>
    <col min="11009" max="11009" width="17.6640625" style="57" customWidth="1"/>
    <col min="11010" max="11010" width="2.44140625" style="57" customWidth="1"/>
    <col min="11011" max="11011" width="7.5546875" style="57" customWidth="1"/>
    <col min="11012" max="11012" width="13.109375" style="57" customWidth="1"/>
    <col min="11013" max="11013" width="2.109375" style="57" customWidth="1"/>
    <col min="11014" max="11015" width="8.6640625" style="57"/>
    <col min="11016" max="11016" width="8.109375" style="57" bestFit="1" customWidth="1"/>
    <col min="11017" max="11259" width="8.6640625" style="57"/>
    <col min="11260" max="11260" width="2.5546875" style="57" customWidth="1"/>
    <col min="11261" max="11261" width="22.5546875" style="57" customWidth="1"/>
    <col min="11262" max="11262" width="7.6640625" style="57" customWidth="1"/>
    <col min="11263" max="11263" width="26.6640625" style="57" customWidth="1"/>
    <col min="11264" max="11264" width="18.5546875" style="57" customWidth="1"/>
    <col min="11265" max="11265" width="17.6640625" style="57" customWidth="1"/>
    <col min="11266" max="11266" width="2.44140625" style="57" customWidth="1"/>
    <col min="11267" max="11267" width="7.5546875" style="57" customWidth="1"/>
    <col min="11268" max="11268" width="13.109375" style="57" customWidth="1"/>
    <col min="11269" max="11269" width="2.109375" style="57" customWidth="1"/>
    <col min="11270" max="11271" width="8.6640625" style="57"/>
    <col min="11272" max="11272" width="8.109375" style="57" bestFit="1" customWidth="1"/>
    <col min="11273" max="11515" width="8.6640625" style="57"/>
    <col min="11516" max="11516" width="2.5546875" style="57" customWidth="1"/>
    <col min="11517" max="11517" width="22.5546875" style="57" customWidth="1"/>
    <col min="11518" max="11518" width="7.6640625" style="57" customWidth="1"/>
    <col min="11519" max="11519" width="26.6640625" style="57" customWidth="1"/>
    <col min="11520" max="11520" width="18.5546875" style="57" customWidth="1"/>
    <col min="11521" max="11521" width="17.6640625" style="57" customWidth="1"/>
    <col min="11522" max="11522" width="2.44140625" style="57" customWidth="1"/>
    <col min="11523" max="11523" width="7.5546875" style="57" customWidth="1"/>
    <col min="11524" max="11524" width="13.109375" style="57" customWidth="1"/>
    <col min="11525" max="11525" width="2.109375" style="57" customWidth="1"/>
    <col min="11526" max="11527" width="8.6640625" style="57"/>
    <col min="11528" max="11528" width="8.109375" style="57" bestFit="1" customWidth="1"/>
    <col min="11529" max="11771" width="8.6640625" style="57"/>
    <col min="11772" max="11772" width="2.5546875" style="57" customWidth="1"/>
    <col min="11773" max="11773" width="22.5546875" style="57" customWidth="1"/>
    <col min="11774" max="11774" width="7.6640625" style="57" customWidth="1"/>
    <col min="11775" max="11775" width="26.6640625" style="57" customWidth="1"/>
    <col min="11776" max="11776" width="18.5546875" style="57" customWidth="1"/>
    <col min="11777" max="11777" width="17.6640625" style="57" customWidth="1"/>
    <col min="11778" max="11778" width="2.44140625" style="57" customWidth="1"/>
    <col min="11779" max="11779" width="7.5546875" style="57" customWidth="1"/>
    <col min="11780" max="11780" width="13.109375" style="57" customWidth="1"/>
    <col min="11781" max="11781" width="2.109375" style="57" customWidth="1"/>
    <col min="11782" max="11783" width="8.6640625" style="57"/>
    <col min="11784" max="11784" width="8.109375" style="57" bestFit="1" customWidth="1"/>
    <col min="11785" max="12027" width="8.6640625" style="57"/>
    <col min="12028" max="12028" width="2.5546875" style="57" customWidth="1"/>
    <col min="12029" max="12029" width="22.5546875" style="57" customWidth="1"/>
    <col min="12030" max="12030" width="7.6640625" style="57" customWidth="1"/>
    <col min="12031" max="12031" width="26.6640625" style="57" customWidth="1"/>
    <col min="12032" max="12032" width="18.5546875" style="57" customWidth="1"/>
    <col min="12033" max="12033" width="17.6640625" style="57" customWidth="1"/>
    <col min="12034" max="12034" width="2.44140625" style="57" customWidth="1"/>
    <col min="12035" max="12035" width="7.5546875" style="57" customWidth="1"/>
    <col min="12036" max="12036" width="13.109375" style="57" customWidth="1"/>
    <col min="12037" max="12037" width="2.109375" style="57" customWidth="1"/>
    <col min="12038" max="12039" width="8.6640625" style="57"/>
    <col min="12040" max="12040" width="8.109375" style="57" bestFit="1" customWidth="1"/>
    <col min="12041" max="12283" width="8.6640625" style="57"/>
    <col min="12284" max="12284" width="2.5546875" style="57" customWidth="1"/>
    <col min="12285" max="12285" width="22.5546875" style="57" customWidth="1"/>
    <col min="12286" max="12286" width="7.6640625" style="57" customWidth="1"/>
    <col min="12287" max="12287" width="26.6640625" style="57" customWidth="1"/>
    <col min="12288" max="12288" width="18.5546875" style="57" customWidth="1"/>
    <col min="12289" max="12289" width="17.6640625" style="57" customWidth="1"/>
    <col min="12290" max="12290" width="2.44140625" style="57" customWidth="1"/>
    <col min="12291" max="12291" width="7.5546875" style="57" customWidth="1"/>
    <col min="12292" max="12292" width="13.109375" style="57" customWidth="1"/>
    <col min="12293" max="12293" width="2.109375" style="57" customWidth="1"/>
    <col min="12294" max="12295" width="8.6640625" style="57"/>
    <col min="12296" max="12296" width="8.109375" style="57" bestFit="1" customWidth="1"/>
    <col min="12297" max="12539" width="8.6640625" style="57"/>
    <col min="12540" max="12540" width="2.5546875" style="57" customWidth="1"/>
    <col min="12541" max="12541" width="22.5546875" style="57" customWidth="1"/>
    <col min="12542" max="12542" width="7.6640625" style="57" customWidth="1"/>
    <col min="12543" max="12543" width="26.6640625" style="57" customWidth="1"/>
    <col min="12544" max="12544" width="18.5546875" style="57" customWidth="1"/>
    <col min="12545" max="12545" width="17.6640625" style="57" customWidth="1"/>
    <col min="12546" max="12546" width="2.44140625" style="57" customWidth="1"/>
    <col min="12547" max="12547" width="7.5546875" style="57" customWidth="1"/>
    <col min="12548" max="12548" width="13.109375" style="57" customWidth="1"/>
    <col min="12549" max="12549" width="2.109375" style="57" customWidth="1"/>
    <col min="12550" max="12551" width="8.6640625" style="57"/>
    <col min="12552" max="12552" width="8.109375" style="57" bestFit="1" customWidth="1"/>
    <col min="12553" max="12795" width="8.6640625" style="57"/>
    <col min="12796" max="12796" width="2.5546875" style="57" customWidth="1"/>
    <col min="12797" max="12797" width="22.5546875" style="57" customWidth="1"/>
    <col min="12798" max="12798" width="7.6640625" style="57" customWidth="1"/>
    <col min="12799" max="12799" width="26.6640625" style="57" customWidth="1"/>
    <col min="12800" max="12800" width="18.5546875" style="57" customWidth="1"/>
    <col min="12801" max="12801" width="17.6640625" style="57" customWidth="1"/>
    <col min="12802" max="12802" width="2.44140625" style="57" customWidth="1"/>
    <col min="12803" max="12803" width="7.5546875" style="57" customWidth="1"/>
    <col min="12804" max="12804" width="13.109375" style="57" customWidth="1"/>
    <col min="12805" max="12805" width="2.109375" style="57" customWidth="1"/>
    <col min="12806" max="12807" width="8.6640625" style="57"/>
    <col min="12808" max="12808" width="8.109375" style="57" bestFit="1" customWidth="1"/>
    <col min="12809" max="13051" width="8.6640625" style="57"/>
    <col min="13052" max="13052" width="2.5546875" style="57" customWidth="1"/>
    <col min="13053" max="13053" width="22.5546875" style="57" customWidth="1"/>
    <col min="13054" max="13054" width="7.6640625" style="57" customWidth="1"/>
    <col min="13055" max="13055" width="26.6640625" style="57" customWidth="1"/>
    <col min="13056" max="13056" width="18.5546875" style="57" customWidth="1"/>
    <col min="13057" max="13057" width="17.6640625" style="57" customWidth="1"/>
    <col min="13058" max="13058" width="2.44140625" style="57" customWidth="1"/>
    <col min="13059" max="13059" width="7.5546875" style="57" customWidth="1"/>
    <col min="13060" max="13060" width="13.109375" style="57" customWidth="1"/>
    <col min="13061" max="13061" width="2.109375" style="57" customWidth="1"/>
    <col min="13062" max="13063" width="8.6640625" style="57"/>
    <col min="13064" max="13064" width="8.109375" style="57" bestFit="1" customWidth="1"/>
    <col min="13065" max="13307" width="8.6640625" style="57"/>
    <col min="13308" max="13308" width="2.5546875" style="57" customWidth="1"/>
    <col min="13309" max="13309" width="22.5546875" style="57" customWidth="1"/>
    <col min="13310" max="13310" width="7.6640625" style="57" customWidth="1"/>
    <col min="13311" max="13311" width="26.6640625" style="57" customWidth="1"/>
    <col min="13312" max="13312" width="18.5546875" style="57" customWidth="1"/>
    <col min="13313" max="13313" width="17.6640625" style="57" customWidth="1"/>
    <col min="13314" max="13314" width="2.44140625" style="57" customWidth="1"/>
    <col min="13315" max="13315" width="7.5546875" style="57" customWidth="1"/>
    <col min="13316" max="13316" width="13.109375" style="57" customWidth="1"/>
    <col min="13317" max="13317" width="2.109375" style="57" customWidth="1"/>
    <col min="13318" max="13319" width="8.6640625" style="57"/>
    <col min="13320" max="13320" width="8.109375" style="57" bestFit="1" customWidth="1"/>
    <col min="13321" max="13563" width="8.6640625" style="57"/>
    <col min="13564" max="13564" width="2.5546875" style="57" customWidth="1"/>
    <col min="13565" max="13565" width="22.5546875" style="57" customWidth="1"/>
    <col min="13566" max="13566" width="7.6640625" style="57" customWidth="1"/>
    <col min="13567" max="13567" width="26.6640625" style="57" customWidth="1"/>
    <col min="13568" max="13568" width="18.5546875" style="57" customWidth="1"/>
    <col min="13569" max="13569" width="17.6640625" style="57" customWidth="1"/>
    <col min="13570" max="13570" width="2.44140625" style="57" customWidth="1"/>
    <col min="13571" max="13571" width="7.5546875" style="57" customWidth="1"/>
    <col min="13572" max="13572" width="13.109375" style="57" customWidth="1"/>
    <col min="13573" max="13573" width="2.109375" style="57" customWidth="1"/>
    <col min="13574" max="13575" width="8.6640625" style="57"/>
    <col min="13576" max="13576" width="8.109375" style="57" bestFit="1" customWidth="1"/>
    <col min="13577" max="13819" width="8.6640625" style="57"/>
    <col min="13820" max="13820" width="2.5546875" style="57" customWidth="1"/>
    <col min="13821" max="13821" width="22.5546875" style="57" customWidth="1"/>
    <col min="13822" max="13822" width="7.6640625" style="57" customWidth="1"/>
    <col min="13823" max="13823" width="26.6640625" style="57" customWidth="1"/>
    <col min="13824" max="13824" width="18.5546875" style="57" customWidth="1"/>
    <col min="13825" max="13825" width="17.6640625" style="57" customWidth="1"/>
    <col min="13826" max="13826" width="2.44140625" style="57" customWidth="1"/>
    <col min="13827" max="13827" width="7.5546875" style="57" customWidth="1"/>
    <col min="13828" max="13828" width="13.109375" style="57" customWidth="1"/>
    <col min="13829" max="13829" width="2.109375" style="57" customWidth="1"/>
    <col min="13830" max="13831" width="8.6640625" style="57"/>
    <col min="13832" max="13832" width="8.109375" style="57" bestFit="1" customWidth="1"/>
    <col min="13833" max="14075" width="8.6640625" style="57"/>
    <col min="14076" max="14076" width="2.5546875" style="57" customWidth="1"/>
    <col min="14077" max="14077" width="22.5546875" style="57" customWidth="1"/>
    <col min="14078" max="14078" width="7.6640625" style="57" customWidth="1"/>
    <col min="14079" max="14079" width="26.6640625" style="57" customWidth="1"/>
    <col min="14080" max="14080" width="18.5546875" style="57" customWidth="1"/>
    <col min="14081" max="14081" width="17.6640625" style="57" customWidth="1"/>
    <col min="14082" max="14082" width="2.44140625" style="57" customWidth="1"/>
    <col min="14083" max="14083" width="7.5546875" style="57" customWidth="1"/>
    <col min="14084" max="14084" width="13.109375" style="57" customWidth="1"/>
    <col min="14085" max="14085" width="2.109375" style="57" customWidth="1"/>
    <col min="14086" max="14087" width="8.6640625" style="57"/>
    <col min="14088" max="14088" width="8.109375" style="57" bestFit="1" customWidth="1"/>
    <col min="14089" max="14331" width="8.6640625" style="57"/>
    <col min="14332" max="14332" width="2.5546875" style="57" customWidth="1"/>
    <col min="14333" max="14333" width="22.5546875" style="57" customWidth="1"/>
    <col min="14334" max="14334" width="7.6640625" style="57" customWidth="1"/>
    <col min="14335" max="14335" width="26.6640625" style="57" customWidth="1"/>
    <col min="14336" max="14336" width="18.5546875" style="57" customWidth="1"/>
    <col min="14337" max="14337" width="17.6640625" style="57" customWidth="1"/>
    <col min="14338" max="14338" width="2.44140625" style="57" customWidth="1"/>
    <col min="14339" max="14339" width="7.5546875" style="57" customWidth="1"/>
    <col min="14340" max="14340" width="13.109375" style="57" customWidth="1"/>
    <col min="14341" max="14341" width="2.109375" style="57" customWidth="1"/>
    <col min="14342" max="14343" width="8.6640625" style="57"/>
    <col min="14344" max="14344" width="8.109375" style="57" bestFit="1" customWidth="1"/>
    <col min="14345" max="14587" width="8.6640625" style="57"/>
    <col min="14588" max="14588" width="2.5546875" style="57" customWidth="1"/>
    <col min="14589" max="14589" width="22.5546875" style="57" customWidth="1"/>
    <col min="14590" max="14590" width="7.6640625" style="57" customWidth="1"/>
    <col min="14591" max="14591" width="26.6640625" style="57" customWidth="1"/>
    <col min="14592" max="14592" width="18.5546875" style="57" customWidth="1"/>
    <col min="14593" max="14593" width="17.6640625" style="57" customWidth="1"/>
    <col min="14594" max="14594" width="2.44140625" style="57" customWidth="1"/>
    <col min="14595" max="14595" width="7.5546875" style="57" customWidth="1"/>
    <col min="14596" max="14596" width="13.109375" style="57" customWidth="1"/>
    <col min="14597" max="14597" width="2.109375" style="57" customWidth="1"/>
    <col min="14598" max="14599" width="8.6640625" style="57"/>
    <col min="14600" max="14600" width="8.109375" style="57" bestFit="1" customWidth="1"/>
    <col min="14601" max="14843" width="8.6640625" style="57"/>
    <col min="14844" max="14844" width="2.5546875" style="57" customWidth="1"/>
    <col min="14845" max="14845" width="22.5546875" style="57" customWidth="1"/>
    <col min="14846" max="14846" width="7.6640625" style="57" customWidth="1"/>
    <col min="14847" max="14847" width="26.6640625" style="57" customWidth="1"/>
    <col min="14848" max="14848" width="18.5546875" style="57" customWidth="1"/>
    <col min="14849" max="14849" width="17.6640625" style="57" customWidth="1"/>
    <col min="14850" max="14850" width="2.44140625" style="57" customWidth="1"/>
    <col min="14851" max="14851" width="7.5546875" style="57" customWidth="1"/>
    <col min="14852" max="14852" width="13.109375" style="57" customWidth="1"/>
    <col min="14853" max="14853" width="2.109375" style="57" customWidth="1"/>
    <col min="14854" max="14855" width="8.6640625" style="57"/>
    <col min="14856" max="14856" width="8.109375" style="57" bestFit="1" customWidth="1"/>
    <col min="14857" max="15099" width="8.6640625" style="57"/>
    <col min="15100" max="15100" width="2.5546875" style="57" customWidth="1"/>
    <col min="15101" max="15101" width="22.5546875" style="57" customWidth="1"/>
    <col min="15102" max="15102" width="7.6640625" style="57" customWidth="1"/>
    <col min="15103" max="15103" width="26.6640625" style="57" customWidth="1"/>
    <col min="15104" max="15104" width="18.5546875" style="57" customWidth="1"/>
    <col min="15105" max="15105" width="17.6640625" style="57" customWidth="1"/>
    <col min="15106" max="15106" width="2.44140625" style="57" customWidth="1"/>
    <col min="15107" max="15107" width="7.5546875" style="57" customWidth="1"/>
    <col min="15108" max="15108" width="13.109375" style="57" customWidth="1"/>
    <col min="15109" max="15109" width="2.109375" style="57" customWidth="1"/>
    <col min="15110" max="15111" width="8.6640625" style="57"/>
    <col min="15112" max="15112" width="8.109375" style="57" bestFit="1" customWidth="1"/>
    <col min="15113" max="15355" width="8.6640625" style="57"/>
    <col min="15356" max="15356" width="2.5546875" style="57" customWidth="1"/>
    <col min="15357" max="15357" width="22.5546875" style="57" customWidth="1"/>
    <col min="15358" max="15358" width="7.6640625" style="57" customWidth="1"/>
    <col min="15359" max="15359" width="26.6640625" style="57" customWidth="1"/>
    <col min="15360" max="15360" width="18.5546875" style="57" customWidth="1"/>
    <col min="15361" max="15361" width="17.6640625" style="57" customWidth="1"/>
    <col min="15362" max="15362" width="2.44140625" style="57" customWidth="1"/>
    <col min="15363" max="15363" width="7.5546875" style="57" customWidth="1"/>
    <col min="15364" max="15364" width="13.109375" style="57" customWidth="1"/>
    <col min="15365" max="15365" width="2.109375" style="57" customWidth="1"/>
    <col min="15366" max="15367" width="8.6640625" style="57"/>
    <col min="15368" max="15368" width="8.109375" style="57" bestFit="1" customWidth="1"/>
    <col min="15369" max="15611" width="8.6640625" style="57"/>
    <col min="15612" max="15612" width="2.5546875" style="57" customWidth="1"/>
    <col min="15613" max="15613" width="22.5546875" style="57" customWidth="1"/>
    <col min="15614" max="15614" width="7.6640625" style="57" customWidth="1"/>
    <col min="15615" max="15615" width="26.6640625" style="57" customWidth="1"/>
    <col min="15616" max="15616" width="18.5546875" style="57" customWidth="1"/>
    <col min="15617" max="15617" width="17.6640625" style="57" customWidth="1"/>
    <col min="15618" max="15618" width="2.44140625" style="57" customWidth="1"/>
    <col min="15619" max="15619" width="7.5546875" style="57" customWidth="1"/>
    <col min="15620" max="15620" width="13.109375" style="57" customWidth="1"/>
    <col min="15621" max="15621" width="2.109375" style="57" customWidth="1"/>
    <col min="15622" max="15623" width="8.6640625" style="57"/>
    <col min="15624" max="15624" width="8.109375" style="57" bestFit="1" customWidth="1"/>
    <col min="15625" max="15867" width="8.6640625" style="57"/>
    <col min="15868" max="15868" width="2.5546875" style="57" customWidth="1"/>
    <col min="15869" max="15869" width="22.5546875" style="57" customWidth="1"/>
    <col min="15870" max="15870" width="7.6640625" style="57" customWidth="1"/>
    <col min="15871" max="15871" width="26.6640625" style="57" customWidth="1"/>
    <col min="15872" max="15872" width="18.5546875" style="57" customWidth="1"/>
    <col min="15873" max="15873" width="17.6640625" style="57" customWidth="1"/>
    <col min="15874" max="15874" width="2.44140625" style="57" customWidth="1"/>
    <col min="15875" max="15875" width="7.5546875" style="57" customWidth="1"/>
    <col min="15876" max="15876" width="13.109375" style="57" customWidth="1"/>
    <col min="15877" max="15877" width="2.109375" style="57" customWidth="1"/>
    <col min="15878" max="15879" width="8.6640625" style="57"/>
    <col min="15880" max="15880" width="8.109375" style="57" bestFit="1" customWidth="1"/>
    <col min="15881" max="16123" width="8.6640625" style="57"/>
    <col min="16124" max="16124" width="2.5546875" style="57" customWidth="1"/>
    <col min="16125" max="16125" width="22.5546875" style="57" customWidth="1"/>
    <col min="16126" max="16126" width="7.6640625" style="57" customWidth="1"/>
    <col min="16127" max="16127" width="26.6640625" style="57" customWidth="1"/>
    <col min="16128" max="16128" width="18.5546875" style="57" customWidth="1"/>
    <col min="16129" max="16129" width="17.6640625" style="57" customWidth="1"/>
    <col min="16130" max="16130" width="2.44140625" style="57" customWidth="1"/>
    <col min="16131" max="16131" width="7.5546875" style="57" customWidth="1"/>
    <col min="16132" max="16132" width="13.109375" style="57" customWidth="1"/>
    <col min="16133" max="16133" width="2.109375" style="57" customWidth="1"/>
    <col min="16134" max="16135" width="8.6640625" style="57"/>
    <col min="16136" max="16136" width="8.109375" style="57" bestFit="1" customWidth="1"/>
    <col min="16137" max="16384" width="8.6640625" style="57"/>
  </cols>
  <sheetData>
    <row r="1" spans="2:21" ht="19.5" customHeight="1" thickBot="1" x14ac:dyDescent="0.25">
      <c r="B1" s="125"/>
      <c r="C1" s="125"/>
      <c r="D1" s="125"/>
      <c r="E1" s="125"/>
      <c r="F1" s="125"/>
      <c r="G1" s="125"/>
      <c r="H1" s="125"/>
      <c r="I1" s="125"/>
      <c r="J1" s="125"/>
      <c r="K1" s="125"/>
      <c r="L1" s="125"/>
      <c r="M1" s="125"/>
      <c r="N1" s="125"/>
      <c r="O1" s="125"/>
      <c r="P1" s="125"/>
      <c r="Q1" s="125"/>
      <c r="R1" s="125"/>
    </row>
    <row r="2" spans="2:21" ht="19.5" customHeight="1" x14ac:dyDescent="0.2">
      <c r="B2" s="139"/>
      <c r="C2" s="140"/>
      <c r="D2" s="140"/>
      <c r="E2" s="140"/>
      <c r="F2" s="140"/>
      <c r="G2" s="140"/>
      <c r="H2" s="140"/>
      <c r="I2" s="140"/>
      <c r="J2" s="140"/>
      <c r="K2" s="140"/>
      <c r="L2" s="140"/>
      <c r="M2" s="140"/>
      <c r="N2" s="140"/>
      <c r="O2" s="141"/>
      <c r="P2" s="133"/>
      <c r="Q2" s="170"/>
      <c r="R2" s="185"/>
      <c r="S2" s="185"/>
      <c r="T2" s="185"/>
      <c r="U2" s="186"/>
    </row>
    <row r="3" spans="2:21" s="128" customFormat="1" ht="19.5" customHeight="1" x14ac:dyDescent="0.2">
      <c r="B3" s="142"/>
      <c r="C3" s="1824" t="s">
        <v>0</v>
      </c>
      <c r="D3" s="1824"/>
      <c r="E3" s="1824"/>
      <c r="F3" s="1824"/>
      <c r="G3" s="1824"/>
      <c r="H3" s="1824"/>
      <c r="I3" s="1824"/>
      <c r="J3" s="1824"/>
      <c r="K3" s="1824"/>
      <c r="L3" s="1824"/>
      <c r="M3" s="1824"/>
      <c r="N3" s="1824"/>
      <c r="O3" s="143"/>
      <c r="P3" s="134"/>
      <c r="Q3" s="174"/>
      <c r="R3" s="1147" t="s">
        <v>1</v>
      </c>
      <c r="S3" s="1147"/>
      <c r="T3" s="1147"/>
      <c r="U3" s="165"/>
    </row>
    <row r="4" spans="2:21" s="128" customFormat="1" ht="19.5" customHeight="1" thickBot="1" x14ac:dyDescent="0.25">
      <c r="B4" s="144"/>
      <c r="C4" s="1824"/>
      <c r="D4" s="1824"/>
      <c r="E4" s="1824"/>
      <c r="F4" s="1824"/>
      <c r="G4" s="1824"/>
      <c r="H4" s="1824"/>
      <c r="I4" s="1824"/>
      <c r="J4" s="1824"/>
      <c r="K4" s="1824"/>
      <c r="L4" s="1824"/>
      <c r="M4" s="1824"/>
      <c r="N4" s="1824"/>
      <c r="O4" s="143"/>
      <c r="P4" s="134"/>
      <c r="Q4" s="174"/>
      <c r="R4" s="187"/>
      <c r="S4" s="187"/>
      <c r="T4" s="187"/>
      <c r="U4" s="165"/>
    </row>
    <row r="5" spans="2:21" ht="19.5" customHeight="1" thickBot="1" x14ac:dyDescent="0.25">
      <c r="B5" s="145"/>
      <c r="C5" s="1824"/>
      <c r="D5" s="1824"/>
      <c r="E5" s="1824"/>
      <c r="F5" s="1824"/>
      <c r="G5" s="1824"/>
      <c r="H5" s="1824"/>
      <c r="I5" s="1824"/>
      <c r="J5" s="1824"/>
      <c r="K5" s="1824"/>
      <c r="L5" s="1824"/>
      <c r="M5" s="1824"/>
      <c r="N5" s="1824"/>
      <c r="O5" s="143"/>
      <c r="P5" s="134"/>
      <c r="Q5" s="174"/>
      <c r="R5" s="188" t="s">
        <v>2</v>
      </c>
      <c r="S5" s="189" t="s">
        <v>3</v>
      </c>
      <c r="T5" s="188" t="s">
        <v>4</v>
      </c>
      <c r="U5" s="165"/>
    </row>
    <row r="6" spans="2:21" ht="72" thickBot="1" x14ac:dyDescent="0.25">
      <c r="B6" s="146"/>
      <c r="C6" s="147"/>
      <c r="D6" s="148"/>
      <c r="E6" s="148"/>
      <c r="F6" s="149"/>
      <c r="G6" s="149"/>
      <c r="H6" s="149"/>
      <c r="I6" s="150"/>
      <c r="J6" s="150"/>
      <c r="K6" s="150"/>
      <c r="L6" s="150"/>
      <c r="M6" s="151"/>
      <c r="N6" s="151"/>
      <c r="O6" s="152"/>
      <c r="P6" s="133"/>
      <c r="Q6" s="174"/>
      <c r="R6" s="1693">
        <v>8</v>
      </c>
      <c r="S6" s="1322" t="s">
        <v>5</v>
      </c>
      <c r="T6" s="1273">
        <v>45163</v>
      </c>
      <c r="U6" s="165"/>
    </row>
    <row r="7" spans="2:21" ht="72" thickBot="1" x14ac:dyDescent="0.25">
      <c r="B7" s="125"/>
      <c r="C7" s="129"/>
      <c r="D7" s="130"/>
      <c r="E7" s="130"/>
      <c r="F7" s="126"/>
      <c r="G7" s="126"/>
      <c r="H7" s="126"/>
      <c r="I7" s="127"/>
      <c r="J7" s="127"/>
      <c r="K7" s="127"/>
      <c r="L7" s="127"/>
      <c r="M7" s="125"/>
      <c r="N7" s="125"/>
      <c r="O7" s="125"/>
      <c r="P7" s="125"/>
      <c r="Q7" s="174"/>
      <c r="R7" s="1693">
        <v>8</v>
      </c>
      <c r="S7" s="1322" t="s">
        <v>6</v>
      </c>
      <c r="T7" s="1273">
        <v>45163</v>
      </c>
      <c r="U7" s="165"/>
    </row>
    <row r="8" spans="2:21" ht="154.69999999999999" customHeight="1" thickBot="1" x14ac:dyDescent="0.25">
      <c r="B8" s="170"/>
      <c r="C8" s="153"/>
      <c r="D8" s="154"/>
      <c r="E8" s="154"/>
      <c r="F8" s="155"/>
      <c r="G8" s="155"/>
      <c r="H8" s="155"/>
      <c r="I8" s="156"/>
      <c r="J8" s="156"/>
      <c r="K8" s="156"/>
      <c r="L8" s="156"/>
      <c r="M8" s="157"/>
      <c r="N8" s="157"/>
      <c r="O8" s="158"/>
      <c r="P8" s="125"/>
      <c r="Q8" s="174"/>
      <c r="R8" s="1693">
        <v>8</v>
      </c>
      <c r="S8" s="1322" t="s">
        <v>7</v>
      </c>
      <c r="T8" s="1273">
        <v>45163</v>
      </c>
      <c r="U8" s="165"/>
    </row>
    <row r="9" spans="2:21" ht="131.25" customHeight="1" x14ac:dyDescent="0.2">
      <c r="B9" s="174"/>
      <c r="C9" s="159"/>
      <c r="D9" s="160"/>
      <c r="E9" s="160"/>
      <c r="F9" s="161"/>
      <c r="G9" s="161"/>
      <c r="H9" s="1797" t="s">
        <v>8</v>
      </c>
      <c r="I9" s="1797"/>
      <c r="J9" s="162"/>
      <c r="K9" s="162"/>
      <c r="L9" s="162"/>
      <c r="M9" s="163"/>
      <c r="N9" s="163"/>
      <c r="O9" s="164"/>
      <c r="P9" s="125"/>
      <c r="Q9" s="174"/>
      <c r="R9" s="1693">
        <v>8</v>
      </c>
      <c r="S9" s="1322" t="s">
        <v>9</v>
      </c>
      <c r="T9" s="1273">
        <v>45163</v>
      </c>
      <c r="U9" s="165"/>
    </row>
    <row r="10" spans="2:21" ht="129.94999999999999" customHeight="1" thickBot="1" x14ac:dyDescent="0.25">
      <c r="B10" s="174"/>
      <c r="C10" s="159"/>
      <c r="D10" s="160"/>
      <c r="E10" s="160"/>
      <c r="F10" s="161"/>
      <c r="G10" s="161"/>
      <c r="H10" s="161"/>
      <c r="I10" s="162"/>
      <c r="J10" s="162"/>
      <c r="K10" s="162"/>
      <c r="L10" s="162"/>
      <c r="M10" s="163"/>
      <c r="N10" s="163"/>
      <c r="O10" s="164"/>
      <c r="P10" s="125"/>
      <c r="Q10" s="174"/>
      <c r="R10" s="1694">
        <v>9</v>
      </c>
      <c r="S10" s="1418" t="s">
        <v>10</v>
      </c>
      <c r="T10" s="1323">
        <v>45177</v>
      </c>
      <c r="U10" s="165"/>
    </row>
    <row r="11" spans="2:21" ht="29.25" thickBot="1" x14ac:dyDescent="0.25">
      <c r="B11" s="174"/>
      <c r="C11" s="165"/>
      <c r="D11" s="1825" t="s">
        <v>11</v>
      </c>
      <c r="E11" s="1826"/>
      <c r="F11" s="1826"/>
      <c r="G11" s="1826"/>
      <c r="H11" s="166" t="s">
        <v>12</v>
      </c>
      <c r="I11" s="1821" t="s">
        <v>13</v>
      </c>
      <c r="J11" s="1821"/>
      <c r="K11" s="1821"/>
      <c r="L11" s="1821"/>
      <c r="M11" s="1821"/>
      <c r="N11" s="163"/>
      <c r="O11" s="164"/>
      <c r="P11" s="125"/>
      <c r="Q11" s="174"/>
      <c r="R11" s="1694">
        <v>10</v>
      </c>
      <c r="S11" s="1322" t="s">
        <v>14</v>
      </c>
      <c r="T11" s="1639">
        <v>45202</v>
      </c>
      <c r="U11" s="165"/>
    </row>
    <row r="12" spans="2:21" ht="19.5" customHeight="1" thickBot="1" x14ac:dyDescent="0.25">
      <c r="B12" s="174"/>
      <c r="C12" s="165"/>
      <c r="D12" s="1825" t="s">
        <v>15</v>
      </c>
      <c r="E12" s="1826"/>
      <c r="F12" s="1826"/>
      <c r="G12" s="1826"/>
      <c r="H12" s="167">
        <v>44747</v>
      </c>
      <c r="I12" s="1822" t="s">
        <v>16</v>
      </c>
      <c r="J12" s="1823"/>
      <c r="K12" s="1823"/>
      <c r="L12" s="1823"/>
      <c r="M12" s="1823"/>
      <c r="N12" s="163"/>
      <c r="O12" s="164"/>
      <c r="P12" s="125"/>
      <c r="Q12" s="192"/>
      <c r="R12" s="1695">
        <v>11</v>
      </c>
      <c r="S12" s="184" t="s">
        <v>17</v>
      </c>
      <c r="T12" s="1323">
        <v>45209</v>
      </c>
      <c r="U12" s="165"/>
    </row>
    <row r="13" spans="2:21" ht="118.15" customHeight="1" thickBot="1" x14ac:dyDescent="0.25">
      <c r="B13" s="146"/>
      <c r="C13" s="150"/>
      <c r="D13" s="150"/>
      <c r="E13" s="168"/>
      <c r="F13" s="169"/>
      <c r="G13" s="149"/>
      <c r="H13" s="149"/>
      <c r="I13" s="1827" t="s">
        <v>18</v>
      </c>
      <c r="J13" s="1827"/>
      <c r="K13" s="1827"/>
      <c r="L13" s="1827"/>
      <c r="M13" s="1827"/>
      <c r="N13" s="151"/>
      <c r="O13" s="152"/>
      <c r="P13" s="125"/>
      <c r="Q13" s="1148"/>
      <c r="R13" s="1694">
        <v>12</v>
      </c>
      <c r="S13" s="1322" t="s">
        <v>2322</v>
      </c>
      <c r="T13" s="1323">
        <v>45407</v>
      </c>
      <c r="U13" s="165"/>
    </row>
    <row r="14" spans="2:21" ht="48.6" customHeight="1" thickBot="1" x14ac:dyDescent="0.25">
      <c r="B14" s="125"/>
      <c r="C14" s="122"/>
      <c r="D14" s="122"/>
      <c r="E14" s="122"/>
      <c r="F14" s="122"/>
      <c r="G14" s="122"/>
      <c r="H14" s="121"/>
      <c r="I14" s="122"/>
      <c r="J14" s="122"/>
      <c r="K14" s="122"/>
      <c r="L14" s="122"/>
      <c r="M14" s="122"/>
      <c r="N14" s="122"/>
      <c r="O14" s="122"/>
      <c r="P14" s="125"/>
      <c r="Q14" s="1148"/>
      <c r="R14" s="1694">
        <v>13</v>
      </c>
      <c r="S14" s="1322" t="s">
        <v>2328</v>
      </c>
      <c r="T14" s="1323">
        <v>45491</v>
      </c>
      <c r="U14" s="165"/>
    </row>
    <row r="15" spans="2:21" ht="19.5" customHeight="1" x14ac:dyDescent="0.2">
      <c r="B15" s="170"/>
      <c r="C15" s="153"/>
      <c r="D15" s="157"/>
      <c r="E15" s="157"/>
      <c r="F15" s="157"/>
      <c r="G15" s="157"/>
      <c r="H15" s="157"/>
      <c r="I15" s="157"/>
      <c r="J15" s="157"/>
      <c r="K15" s="157"/>
      <c r="L15" s="157"/>
      <c r="M15" s="157"/>
      <c r="N15" s="157"/>
      <c r="O15" s="158"/>
      <c r="P15" s="125"/>
      <c r="Q15" s="1148"/>
      <c r="R15" s="1700">
        <v>14</v>
      </c>
      <c r="S15" s="184" t="s">
        <v>2337</v>
      </c>
      <c r="T15" s="1323">
        <v>45580</v>
      </c>
      <c r="U15" s="165"/>
    </row>
    <row r="16" spans="2:21" ht="19.5" customHeight="1" x14ac:dyDescent="0.2">
      <c r="B16" s="171"/>
      <c r="C16" s="172"/>
      <c r="D16" s="172"/>
      <c r="E16" s="172"/>
      <c r="F16" s="172"/>
      <c r="G16" s="172"/>
      <c r="H16" s="1797" t="s">
        <v>19</v>
      </c>
      <c r="I16" s="1797"/>
      <c r="J16" s="172"/>
      <c r="K16" s="172"/>
      <c r="L16" s="172"/>
      <c r="M16" s="172"/>
      <c r="N16" s="172"/>
      <c r="O16" s="173"/>
      <c r="P16" s="125"/>
      <c r="Q16" s="145"/>
      <c r="R16" s="1700">
        <v>15</v>
      </c>
      <c r="S16" s="184" t="s">
        <v>2339</v>
      </c>
      <c r="T16" s="1323">
        <v>45582</v>
      </c>
      <c r="U16" s="165"/>
    </row>
    <row r="17" spans="2:21" ht="36.75" customHeight="1" thickBot="1" x14ac:dyDescent="0.25">
      <c r="B17" s="174"/>
      <c r="C17" s="159"/>
      <c r="D17" s="163"/>
      <c r="E17" s="163"/>
      <c r="F17" s="163"/>
      <c r="G17" s="163"/>
      <c r="H17" s="163"/>
      <c r="I17" s="163"/>
      <c r="J17" s="163"/>
      <c r="K17" s="163"/>
      <c r="L17" s="163"/>
      <c r="M17" s="163"/>
      <c r="N17" s="163"/>
      <c r="O17" s="164"/>
      <c r="P17" s="125"/>
      <c r="Q17" s="1149"/>
      <c r="R17" s="1700">
        <v>16</v>
      </c>
      <c r="S17" s="1322" t="s">
        <v>2340</v>
      </c>
      <c r="T17" s="1323">
        <v>45602</v>
      </c>
      <c r="U17" s="165"/>
    </row>
    <row r="18" spans="2:21" ht="19.5" customHeight="1" thickBot="1" x14ac:dyDescent="0.25">
      <c r="B18" s="175"/>
      <c r="C18" s="176" t="s">
        <v>20</v>
      </c>
      <c r="D18" s="1809" t="s">
        <v>21</v>
      </c>
      <c r="E18" s="1809"/>
      <c r="F18" s="1809"/>
      <c r="G18" s="1810"/>
      <c r="H18" s="177"/>
      <c r="I18" s="163"/>
      <c r="J18" s="163"/>
      <c r="K18" s="163"/>
      <c r="L18" s="163"/>
      <c r="M18" s="163"/>
      <c r="N18" s="163"/>
      <c r="O18" s="164"/>
      <c r="P18" s="131"/>
      <c r="Q18" s="1149"/>
      <c r="R18" s="183"/>
      <c r="S18" s="184"/>
      <c r="T18" s="183"/>
      <c r="U18" s="165"/>
    </row>
    <row r="19" spans="2:21" ht="19.5" customHeight="1" thickBot="1" x14ac:dyDescent="0.25">
      <c r="B19" s="175"/>
      <c r="C19" s="176" t="s">
        <v>22</v>
      </c>
      <c r="D19" s="1811" t="s">
        <v>23</v>
      </c>
      <c r="E19" s="1812"/>
      <c r="F19" s="1812"/>
      <c r="G19" s="1813"/>
      <c r="H19" s="1819"/>
      <c r="I19" s="1816" t="s">
        <v>24</v>
      </c>
      <c r="J19" s="1816"/>
      <c r="K19" s="1816"/>
      <c r="L19" s="1816"/>
      <c r="M19" s="1820" t="s">
        <v>25</v>
      </c>
      <c r="N19" s="1817">
        <v>45602</v>
      </c>
      <c r="O19" s="164"/>
      <c r="Q19" s="1149"/>
      <c r="R19" s="183"/>
      <c r="S19" s="184"/>
      <c r="T19" s="183"/>
      <c r="U19" s="165"/>
    </row>
    <row r="20" spans="2:21" ht="19.5" customHeight="1" thickBot="1" x14ac:dyDescent="0.25">
      <c r="B20" s="175"/>
      <c r="C20" s="176" t="s">
        <v>26</v>
      </c>
      <c r="D20" s="1809" t="s">
        <v>24</v>
      </c>
      <c r="E20" s="1814"/>
      <c r="F20" s="1814"/>
      <c r="G20" s="1815"/>
      <c r="H20" s="1819"/>
      <c r="I20" s="1816"/>
      <c r="J20" s="1816"/>
      <c r="K20" s="1816"/>
      <c r="L20" s="1816"/>
      <c r="M20" s="1820"/>
      <c r="N20" s="1818"/>
      <c r="O20" s="164"/>
      <c r="Q20" s="174"/>
      <c r="R20" s="183"/>
      <c r="S20" s="184"/>
      <c r="T20" s="183"/>
      <c r="U20" s="165"/>
    </row>
    <row r="21" spans="2:21" ht="19.5" customHeight="1" thickBot="1" x14ac:dyDescent="0.25">
      <c r="B21" s="174"/>
      <c r="C21" s="176" t="s">
        <v>27</v>
      </c>
      <c r="D21" s="1443">
        <v>16</v>
      </c>
      <c r="E21" s="1444"/>
      <c r="F21" s="1445"/>
      <c r="G21" s="1446"/>
      <c r="H21" s="1118"/>
      <c r="I21" s="163" t="s">
        <v>28</v>
      </c>
      <c r="J21" s="1118"/>
      <c r="K21" s="1118"/>
      <c r="L21" s="1118"/>
      <c r="M21" s="1118"/>
      <c r="N21" s="163"/>
      <c r="O21" s="164"/>
      <c r="Q21" s="174"/>
      <c r="R21" s="183"/>
      <c r="S21" s="184"/>
      <c r="T21" s="183"/>
      <c r="U21" s="165"/>
    </row>
    <row r="22" spans="2:21" ht="19.5" customHeight="1" x14ac:dyDescent="0.2">
      <c r="B22" s="174"/>
      <c r="C22" s="159"/>
      <c r="D22" s="1267"/>
      <c r="E22" s="1267"/>
      <c r="F22" s="1267"/>
      <c r="G22" s="1267"/>
      <c r="H22" s="159"/>
      <c r="I22" s="1118"/>
      <c r="J22" s="1118"/>
      <c r="K22" s="1118"/>
      <c r="L22" s="1118"/>
      <c r="M22" s="159"/>
      <c r="N22" s="159"/>
      <c r="O22" s="164"/>
      <c r="P22" s="132"/>
      <c r="Q22" s="174"/>
      <c r="R22" s="183"/>
      <c r="S22" s="184"/>
      <c r="T22" s="183"/>
      <c r="U22" s="165"/>
    </row>
    <row r="23" spans="2:21" ht="19.5" customHeight="1" thickBot="1" x14ac:dyDescent="0.25">
      <c r="B23" s="146"/>
      <c r="C23" s="151"/>
      <c r="D23" s="178"/>
      <c r="E23" s="178"/>
      <c r="F23" s="178"/>
      <c r="G23" s="178"/>
      <c r="H23" s="151"/>
      <c r="I23" s="178"/>
      <c r="J23" s="178"/>
      <c r="K23" s="178"/>
      <c r="L23" s="178"/>
      <c r="M23" s="151"/>
      <c r="N23" s="151"/>
      <c r="O23" s="152"/>
      <c r="P23" s="132"/>
      <c r="Q23" s="174"/>
      <c r="R23" s="183"/>
      <c r="S23" s="184"/>
      <c r="T23" s="183"/>
      <c r="U23" s="165"/>
    </row>
    <row r="24" spans="2:21" ht="19.5" customHeight="1" thickBot="1" x14ac:dyDescent="0.25">
      <c r="B24" s="125"/>
      <c r="C24" s="125"/>
      <c r="H24" s="125"/>
      <c r="M24" s="125"/>
      <c r="N24" s="125"/>
      <c r="O24" s="125"/>
      <c r="P24" s="132"/>
      <c r="Q24" s="174"/>
      <c r="R24" s="183"/>
      <c r="S24" s="184"/>
      <c r="T24" s="183"/>
      <c r="U24" s="165"/>
    </row>
    <row r="25" spans="2:21" ht="19.5" customHeight="1" x14ac:dyDescent="0.2">
      <c r="B25" s="180"/>
      <c r="C25" s="153"/>
      <c r="D25" s="157"/>
      <c r="E25" s="158"/>
      <c r="F25" s="123"/>
      <c r="G25" s="170"/>
      <c r="H25" s="157"/>
      <c r="I25" s="157"/>
      <c r="J25" s="157"/>
      <c r="K25" s="157"/>
      <c r="L25" s="157"/>
      <c r="M25" s="157"/>
      <c r="N25" s="157"/>
      <c r="O25" s="158"/>
      <c r="P25" s="132"/>
      <c r="Q25" s="174"/>
      <c r="R25" s="183"/>
      <c r="S25" s="184"/>
      <c r="T25" s="183"/>
      <c r="U25" s="165"/>
    </row>
    <row r="26" spans="2:21" ht="19.5" customHeight="1" x14ac:dyDescent="0.2">
      <c r="B26" s="171"/>
      <c r="C26" s="1797" t="s">
        <v>29</v>
      </c>
      <c r="D26" s="1797"/>
      <c r="E26" s="173"/>
      <c r="F26" s="124"/>
      <c r="G26" s="171"/>
      <c r="H26" s="1797" t="s">
        <v>30</v>
      </c>
      <c r="I26" s="1797"/>
      <c r="J26" s="1797"/>
      <c r="K26" s="1797"/>
      <c r="L26" s="1797"/>
      <c r="M26" s="1797"/>
      <c r="N26" s="1797"/>
      <c r="O26" s="173"/>
      <c r="P26" s="125"/>
      <c r="Q26" s="174"/>
      <c r="R26" s="183"/>
      <c r="S26" s="184"/>
      <c r="T26" s="183"/>
      <c r="U26" s="165"/>
    </row>
    <row r="27" spans="2:21" ht="19.5" customHeight="1" x14ac:dyDescent="0.2">
      <c r="B27" s="175"/>
      <c r="C27" s="159"/>
      <c r="D27" s="163"/>
      <c r="E27" s="164"/>
      <c r="F27" s="123"/>
      <c r="G27" s="174"/>
      <c r="H27" s="163"/>
      <c r="I27" s="163"/>
      <c r="J27" s="163"/>
      <c r="K27" s="163"/>
      <c r="L27" s="163"/>
      <c r="M27" s="163"/>
      <c r="N27" s="163"/>
      <c r="O27" s="164"/>
      <c r="P27" s="125"/>
      <c r="Q27" s="174"/>
      <c r="R27" s="183"/>
      <c r="S27" s="184"/>
      <c r="T27" s="183"/>
      <c r="U27" s="165"/>
    </row>
    <row r="28" spans="2:21" ht="19.5" customHeight="1" x14ac:dyDescent="0.2">
      <c r="B28" s="174"/>
      <c r="C28" s="1804" t="s">
        <v>31</v>
      </c>
      <c r="D28" s="1804"/>
      <c r="E28" s="164"/>
      <c r="F28" s="123"/>
      <c r="G28" s="174"/>
      <c r="H28" s="159" t="s">
        <v>32</v>
      </c>
      <c r="I28" s="159" t="s">
        <v>33</v>
      </c>
      <c r="J28" s="159"/>
      <c r="K28" s="159"/>
      <c r="L28" s="159"/>
      <c r="M28" s="163"/>
      <c r="N28" s="163"/>
      <c r="O28" s="164"/>
      <c r="P28" s="125"/>
      <c r="Q28" s="174"/>
      <c r="R28" s="183"/>
      <c r="S28" s="184"/>
      <c r="T28" s="183"/>
      <c r="U28" s="165"/>
    </row>
    <row r="29" spans="2:21" ht="19.5" customHeight="1" x14ac:dyDescent="0.2">
      <c r="B29" s="175"/>
      <c r="C29" s="181"/>
      <c r="D29" s="182"/>
      <c r="E29" s="164"/>
      <c r="F29" s="123"/>
      <c r="G29" s="174"/>
      <c r="H29" s="179" t="s">
        <v>34</v>
      </c>
      <c r="I29" s="163" t="s">
        <v>35</v>
      </c>
      <c r="J29" s="163"/>
      <c r="K29" s="163"/>
      <c r="L29" s="163"/>
      <c r="M29" s="163"/>
      <c r="N29" s="163"/>
      <c r="O29" s="164"/>
      <c r="P29" s="125"/>
      <c r="Q29" s="174"/>
      <c r="R29" s="183"/>
      <c r="S29" s="184"/>
      <c r="T29" s="183"/>
      <c r="U29" s="165"/>
    </row>
    <row r="30" spans="2:21" ht="19.5" customHeight="1" x14ac:dyDescent="0.2">
      <c r="B30" s="174"/>
      <c r="C30" s="1805" t="s">
        <v>36</v>
      </c>
      <c r="D30" s="1805"/>
      <c r="E30" s="164"/>
      <c r="F30" s="123"/>
      <c r="G30" s="174"/>
      <c r="H30" s="179" t="s">
        <v>37</v>
      </c>
      <c r="I30" s="163" t="s">
        <v>38</v>
      </c>
      <c r="J30" s="163"/>
      <c r="K30" s="163"/>
      <c r="L30" s="163"/>
      <c r="M30" s="163"/>
      <c r="N30" s="163"/>
      <c r="O30" s="164"/>
      <c r="P30" s="125"/>
      <c r="Q30" s="174"/>
      <c r="R30" s="183"/>
      <c r="S30" s="184"/>
      <c r="T30" s="183"/>
      <c r="U30" s="165"/>
    </row>
    <row r="31" spans="2:21" ht="19.5" customHeight="1" x14ac:dyDescent="0.2">
      <c r="B31" s="174"/>
      <c r="C31" s="181"/>
      <c r="D31" s="182"/>
      <c r="E31" s="164"/>
      <c r="F31" s="123"/>
      <c r="G31" s="174"/>
      <c r="H31" s="159" t="s">
        <v>39</v>
      </c>
      <c r="I31" s="163" t="s">
        <v>40</v>
      </c>
      <c r="J31" s="163"/>
      <c r="K31" s="163"/>
      <c r="L31" s="163"/>
      <c r="M31" s="163"/>
      <c r="N31" s="163"/>
      <c r="O31" s="164"/>
      <c r="P31" s="125"/>
      <c r="Q31" s="174"/>
      <c r="R31" s="183"/>
      <c r="S31" s="184"/>
      <c r="T31" s="183"/>
      <c r="U31" s="165"/>
    </row>
    <row r="32" spans="2:21" ht="19.5" customHeight="1" x14ac:dyDescent="0.2">
      <c r="B32" s="174"/>
      <c r="C32" s="1806" t="s">
        <v>41</v>
      </c>
      <c r="D32" s="1806"/>
      <c r="E32" s="164"/>
      <c r="F32" s="123"/>
      <c r="G32" s="174"/>
      <c r="H32" s="179" t="s">
        <v>42</v>
      </c>
      <c r="I32" s="163" t="s">
        <v>43</v>
      </c>
      <c r="J32" s="163"/>
      <c r="K32" s="163"/>
      <c r="L32" s="163"/>
      <c r="M32" s="163"/>
      <c r="N32" s="163"/>
      <c r="O32" s="164"/>
      <c r="P32" s="125"/>
      <c r="Q32" s="174"/>
      <c r="R32" s="183"/>
      <c r="S32" s="184"/>
      <c r="T32" s="183"/>
      <c r="U32" s="165"/>
    </row>
    <row r="33" spans="2:21" ht="19.5" customHeight="1" x14ac:dyDescent="0.2">
      <c r="B33" s="174"/>
      <c r="C33" s="181"/>
      <c r="D33" s="182"/>
      <c r="E33" s="164"/>
      <c r="F33" s="123"/>
      <c r="G33" s="174"/>
      <c r="H33" s="179" t="s">
        <v>44</v>
      </c>
      <c r="I33" s="163" t="s">
        <v>45</v>
      </c>
      <c r="J33" s="163"/>
      <c r="K33" s="163"/>
      <c r="L33" s="163"/>
      <c r="M33" s="163"/>
      <c r="N33" s="163"/>
      <c r="O33" s="164"/>
      <c r="P33" s="125"/>
      <c r="Q33" s="174"/>
      <c r="R33" s="183"/>
      <c r="S33" s="184"/>
      <c r="T33" s="183"/>
      <c r="U33" s="165"/>
    </row>
    <row r="34" spans="2:21" ht="19.5" customHeight="1" x14ac:dyDescent="0.2">
      <c r="B34" s="174"/>
      <c r="C34" s="1807" t="s">
        <v>46</v>
      </c>
      <c r="D34" s="1807"/>
      <c r="E34" s="164"/>
      <c r="F34" s="123"/>
      <c r="G34" s="174"/>
      <c r="H34" s="179" t="s">
        <v>47</v>
      </c>
      <c r="I34" s="163" t="s">
        <v>48</v>
      </c>
      <c r="J34" s="163"/>
      <c r="K34" s="163"/>
      <c r="L34" s="163"/>
      <c r="M34" s="163"/>
      <c r="N34" s="163"/>
      <c r="O34" s="164"/>
      <c r="P34" s="125"/>
      <c r="Q34" s="174"/>
      <c r="R34" s="183"/>
      <c r="S34" s="184"/>
      <c r="T34" s="183"/>
      <c r="U34" s="165"/>
    </row>
    <row r="35" spans="2:21" ht="19.5" customHeight="1" x14ac:dyDescent="0.2">
      <c r="B35" s="174"/>
      <c r="C35" s="181"/>
      <c r="D35" s="182"/>
      <c r="E35" s="164"/>
      <c r="F35" s="123"/>
      <c r="G35" s="174"/>
      <c r="H35" s="179" t="s">
        <v>49</v>
      </c>
      <c r="I35" s="163" t="s">
        <v>50</v>
      </c>
      <c r="J35" s="163"/>
      <c r="K35" s="163"/>
      <c r="L35" s="163"/>
      <c r="M35" s="163"/>
      <c r="N35" s="163"/>
      <c r="O35" s="164"/>
      <c r="P35" s="125"/>
      <c r="Q35" s="174"/>
      <c r="R35" s="183"/>
      <c r="S35" s="184"/>
      <c r="T35" s="183"/>
      <c r="U35" s="165"/>
    </row>
    <row r="36" spans="2:21" ht="19.5" customHeight="1" x14ac:dyDescent="0.2">
      <c r="B36" s="174"/>
      <c r="C36" s="1808" t="s">
        <v>51</v>
      </c>
      <c r="D36" s="1808"/>
      <c r="E36" s="164"/>
      <c r="F36" s="123"/>
      <c r="G36" s="174"/>
      <c r="H36" s="179" t="s">
        <v>52</v>
      </c>
      <c r="I36" s="163" t="s">
        <v>53</v>
      </c>
      <c r="J36" s="163"/>
      <c r="K36" s="163"/>
      <c r="L36" s="163"/>
      <c r="M36" s="163"/>
      <c r="N36" s="163"/>
      <c r="O36" s="164"/>
      <c r="P36" s="125"/>
      <c r="Q36" s="174"/>
      <c r="R36" s="183"/>
      <c r="S36" s="184"/>
      <c r="T36" s="183"/>
      <c r="U36" s="165"/>
    </row>
    <row r="37" spans="2:21" ht="19.5" customHeight="1" x14ac:dyDescent="0.2">
      <c r="B37" s="174"/>
      <c r="C37" s="181"/>
      <c r="D37" s="181"/>
      <c r="E37" s="164"/>
      <c r="F37" s="123"/>
      <c r="G37" s="174"/>
      <c r="H37" s="179" t="s">
        <v>54</v>
      </c>
      <c r="I37" s="163" t="s">
        <v>55</v>
      </c>
      <c r="J37" s="163"/>
      <c r="K37" s="163"/>
      <c r="L37" s="163"/>
      <c r="M37" s="163"/>
      <c r="N37" s="163"/>
      <c r="O37" s="164"/>
      <c r="P37" s="125"/>
      <c r="Q37" s="174"/>
      <c r="R37" s="183"/>
      <c r="S37" s="184"/>
      <c r="T37" s="183"/>
      <c r="U37" s="165"/>
    </row>
    <row r="38" spans="2:21" ht="15.75" thickBot="1" x14ac:dyDescent="0.25">
      <c r="B38" s="174"/>
      <c r="C38" s="1802" t="s">
        <v>56</v>
      </c>
      <c r="D38" s="1803"/>
      <c r="E38" s="164"/>
      <c r="F38" s="133"/>
      <c r="G38" s="146"/>
      <c r="H38" s="147"/>
      <c r="I38" s="151"/>
      <c r="J38" s="151"/>
      <c r="K38" s="151"/>
      <c r="L38" s="151"/>
      <c r="M38" s="151"/>
      <c r="N38" s="151"/>
      <c r="O38" s="152"/>
      <c r="P38" s="125"/>
      <c r="Q38" s="174"/>
      <c r="R38" s="183"/>
      <c r="S38" s="184"/>
      <c r="T38" s="183"/>
      <c r="U38" s="165"/>
    </row>
    <row r="39" spans="2:21" ht="19.5" customHeight="1" thickBot="1" x14ac:dyDescent="0.25">
      <c r="B39" s="146"/>
      <c r="C39" s="151"/>
      <c r="D39" s="151"/>
      <c r="E39" s="152"/>
      <c r="F39" s="133"/>
      <c r="G39" s="243"/>
      <c r="H39" s="125"/>
      <c r="I39" s="125"/>
      <c r="J39" s="125"/>
      <c r="K39" s="125"/>
      <c r="L39" s="125"/>
      <c r="M39" s="125"/>
      <c r="N39"/>
      <c r="O39" s="125"/>
      <c r="P39" s="125"/>
      <c r="Q39" s="145"/>
      <c r="R39" s="183"/>
      <c r="S39" s="184"/>
      <c r="T39" s="183"/>
      <c r="U39" s="165"/>
    </row>
    <row r="40" spans="2:21" ht="19.5" customHeight="1" thickBot="1" x14ac:dyDescent="0.25">
      <c r="B40" s="125"/>
      <c r="C40" s="125"/>
      <c r="D40" s="125"/>
      <c r="E40" s="125"/>
      <c r="F40" s="125"/>
      <c r="G40" s="125"/>
      <c r="H40" s="125"/>
      <c r="I40" s="125"/>
      <c r="J40" s="125"/>
      <c r="K40" s="125"/>
      <c r="L40" s="125"/>
      <c r="M40" s="125"/>
      <c r="N40" s="125"/>
      <c r="O40" s="125"/>
      <c r="P40" s="125"/>
      <c r="Q40" s="145"/>
      <c r="R40" s="183"/>
      <c r="S40" s="184"/>
      <c r="T40" s="1150"/>
      <c r="U40" s="165"/>
    </row>
    <row r="41" spans="2:21" ht="19.5" customHeight="1" thickBot="1" x14ac:dyDescent="0.25">
      <c r="B41" s="180"/>
      <c r="C41" s="153"/>
      <c r="D41" s="157"/>
      <c r="E41" s="158"/>
      <c r="F41" s="125"/>
      <c r="G41" s="125"/>
      <c r="H41" s="125"/>
      <c r="I41" s="125"/>
      <c r="J41" s="125"/>
      <c r="K41" s="125"/>
      <c r="L41" s="125"/>
      <c r="M41"/>
      <c r="N41" s="125"/>
      <c r="O41" s="125"/>
      <c r="P41" s="125"/>
      <c r="Q41" s="190"/>
      <c r="R41" s="178"/>
      <c r="S41" s="178"/>
      <c r="T41" s="178"/>
      <c r="U41" s="191"/>
    </row>
    <row r="42" spans="2:21" ht="19.5" customHeight="1" x14ac:dyDescent="0.2">
      <c r="B42" s="171"/>
      <c r="C42" s="1797" t="s">
        <v>57</v>
      </c>
      <c r="D42" s="1797"/>
      <c r="E42" s="173"/>
      <c r="F42" s="125"/>
      <c r="G42" s="125"/>
      <c r="H42" s="125"/>
      <c r="I42" s="125"/>
      <c r="J42" s="125"/>
      <c r="K42" s="125"/>
      <c r="L42" s="125"/>
      <c r="M42" s="125"/>
      <c r="N42" s="125"/>
      <c r="O42" s="125"/>
      <c r="P42" s="125"/>
    </row>
    <row r="43" spans="2:21" ht="19.5" customHeight="1" x14ac:dyDescent="0.2">
      <c r="B43" s="175"/>
      <c r="C43" s="159"/>
      <c r="D43" s="163"/>
      <c r="E43" s="164"/>
      <c r="F43" s="125"/>
      <c r="G43" s="125"/>
      <c r="H43" s="125"/>
      <c r="I43" s="125"/>
      <c r="J43" s="125"/>
      <c r="K43" s="125"/>
      <c r="L43" s="125"/>
      <c r="M43" s="125"/>
      <c r="N43" s="125"/>
      <c r="O43" s="125"/>
      <c r="P43" s="125"/>
    </row>
    <row r="44" spans="2:21" ht="19.5" customHeight="1" x14ac:dyDescent="0.2">
      <c r="B44" s="174"/>
      <c r="C44" s="1798" t="s">
        <v>58</v>
      </c>
      <c r="D44" s="1798"/>
      <c r="E44" s="164"/>
      <c r="F44" s="125"/>
      <c r="G44" s="125"/>
      <c r="H44" s="125"/>
      <c r="I44" s="125"/>
      <c r="J44" s="125"/>
      <c r="K44" s="125"/>
      <c r="L44" s="125"/>
      <c r="M44" s="125"/>
      <c r="N44" s="125"/>
      <c r="O44" s="125"/>
      <c r="P44" s="125"/>
    </row>
    <row r="45" spans="2:21" ht="19.5" customHeight="1" x14ac:dyDescent="0.2">
      <c r="B45" s="175"/>
      <c r="C45" s="181"/>
      <c r="D45" s="182"/>
      <c r="E45" s="164"/>
      <c r="F45" s="125"/>
      <c r="G45" s="125"/>
      <c r="H45" s="125"/>
      <c r="I45" s="125"/>
      <c r="J45" s="125"/>
      <c r="K45" s="125"/>
      <c r="L45" s="125"/>
      <c r="M45" s="125"/>
      <c r="N45" s="125"/>
      <c r="O45" s="125"/>
      <c r="P45" s="125"/>
    </row>
    <row r="46" spans="2:21" ht="19.5" customHeight="1" x14ac:dyDescent="0.2">
      <c r="B46" s="174"/>
      <c r="C46" s="1799" t="s">
        <v>59</v>
      </c>
      <c r="D46" s="1799"/>
      <c r="E46" s="164"/>
      <c r="F46" s="125"/>
      <c r="G46" s="125"/>
      <c r="H46" s="125"/>
      <c r="I46" s="125"/>
      <c r="J46" s="125"/>
      <c r="K46" s="125"/>
      <c r="L46" s="125"/>
      <c r="M46" s="125"/>
      <c r="N46" s="125"/>
      <c r="O46" s="125"/>
      <c r="P46" s="125"/>
    </row>
    <row r="47" spans="2:21" ht="19.5" customHeight="1" x14ac:dyDescent="0.2">
      <c r="B47" s="175"/>
      <c r="C47" s="181"/>
      <c r="D47" s="182"/>
      <c r="E47" s="164"/>
      <c r="F47" s="125"/>
      <c r="P47" s="125"/>
    </row>
    <row r="48" spans="2:21" ht="19.5" customHeight="1" x14ac:dyDescent="0.2">
      <c r="B48" s="174"/>
      <c r="C48" s="1796" t="s">
        <v>60</v>
      </c>
      <c r="D48" s="1796"/>
      <c r="E48" s="164"/>
      <c r="F48" s="125"/>
      <c r="G48" s="125"/>
      <c r="H48" s="125"/>
      <c r="I48" s="125"/>
      <c r="J48" s="125"/>
      <c r="K48" s="125"/>
      <c r="L48" s="125"/>
      <c r="M48" s="125"/>
      <c r="N48" s="125"/>
      <c r="O48" s="125"/>
      <c r="P48" s="125"/>
    </row>
    <row r="49" spans="2:16" ht="19.5" customHeight="1" x14ac:dyDescent="0.2">
      <c r="B49" s="175"/>
      <c r="C49" s="181"/>
      <c r="D49" s="182"/>
      <c r="E49" s="164"/>
      <c r="F49" s="125"/>
      <c r="P49" s="125"/>
    </row>
    <row r="50" spans="2:16" ht="19.5" customHeight="1" x14ac:dyDescent="0.2">
      <c r="B50" s="174"/>
      <c r="C50" s="1801" t="s">
        <v>61</v>
      </c>
      <c r="D50" s="1801"/>
      <c r="E50" s="164"/>
      <c r="F50" s="125"/>
      <c r="G50" s="125"/>
      <c r="H50" s="125"/>
      <c r="I50" s="125"/>
      <c r="J50" s="125"/>
      <c r="K50" s="125"/>
      <c r="L50" s="125"/>
      <c r="M50" s="125"/>
      <c r="N50" s="125"/>
      <c r="O50" s="125"/>
      <c r="P50" s="125"/>
    </row>
    <row r="51" spans="2:16" ht="19.5" customHeight="1" x14ac:dyDescent="0.2">
      <c r="B51" s="174"/>
      <c r="C51" s="181"/>
      <c r="D51" s="182"/>
      <c r="E51" s="164"/>
      <c r="F51" s="125"/>
      <c r="P51" s="125"/>
    </row>
    <row r="52" spans="2:16" ht="19.5" customHeight="1" x14ac:dyDescent="0.2">
      <c r="B52" s="174"/>
      <c r="C52" s="1800" t="s">
        <v>62</v>
      </c>
      <c r="D52" s="1800"/>
      <c r="E52" s="164"/>
    </row>
    <row r="53" spans="2:16" ht="19.5" customHeight="1" thickBot="1" x14ac:dyDescent="0.25">
      <c r="B53" s="146"/>
      <c r="C53" s="151"/>
      <c r="D53" s="151"/>
      <c r="E53" s="152"/>
    </row>
  </sheetData>
  <mergeCells count="29">
    <mergeCell ref="H16:I16"/>
    <mergeCell ref="I11:M11"/>
    <mergeCell ref="I12:M12"/>
    <mergeCell ref="C3:N5"/>
    <mergeCell ref="D11:G11"/>
    <mergeCell ref="D12:G12"/>
    <mergeCell ref="H9:I9"/>
    <mergeCell ref="I13:M13"/>
    <mergeCell ref="C26:D26"/>
    <mergeCell ref="H26:N26"/>
    <mergeCell ref="D18:G18"/>
    <mergeCell ref="D19:G19"/>
    <mergeCell ref="D20:G20"/>
    <mergeCell ref="I19:L20"/>
    <mergeCell ref="N19:N20"/>
    <mergeCell ref="H19:H20"/>
    <mergeCell ref="M19:M20"/>
    <mergeCell ref="C38:D38"/>
    <mergeCell ref="C28:D28"/>
    <mergeCell ref="C30:D30"/>
    <mergeCell ref="C32:D32"/>
    <mergeCell ref="C34:D34"/>
    <mergeCell ref="C36:D36"/>
    <mergeCell ref="C48:D48"/>
    <mergeCell ref="C42:D42"/>
    <mergeCell ref="C44:D44"/>
    <mergeCell ref="C46:D46"/>
    <mergeCell ref="C52:D52"/>
    <mergeCell ref="C50:D50"/>
  </mergeCells>
  <hyperlinks>
    <hyperlink ref="H29" location="'1. Base Year Licences'!A1" display="1.Base Year" xr:uid="{00000000-0004-0000-0000-000000000000}"/>
    <hyperlink ref="H30" location="'2. WC Level Data'!A1" display="2.WC Level Data" xr:uid="{00000000-0004-0000-0000-000001000000}"/>
    <hyperlink ref="H32" location="'4. Options Appraisal Summary'!A1" display="4.Options Appraisal Summary" xr:uid="{00000000-0004-0000-0000-000002000000}"/>
    <hyperlink ref="H33" location="'TITLE PAGE'!A1" display="5. Options Benefit" xr:uid="{00000000-0004-0000-0000-000003000000}"/>
    <hyperlink ref="H36" location="'TITLE PAGE'!A1" display="7. Adaptive Programmes" xr:uid="{00000000-0004-0000-0000-000005000000}"/>
    <hyperlink ref="H37" location="'8. Business Plan Links '!A1" display="8. Business Plan Links" xr:uid="{00000000-0004-0000-0000-000006000000}"/>
    <hyperlink ref="I12" r:id="rId1" xr:uid="{46616996-5340-42A3-A806-9DC29628BBC4}"/>
    <hyperlink ref="I13" r:id="rId2" display="wrepp@cyfoethnaturiolcymru.gov.uk" xr:uid="{0A82E428-CEEE-4C58-A626-4B84B3FFDECE}"/>
    <hyperlink ref="H35" location="'6. Drought Plan Links'!A1" display="6. Drought Plan Links" xr:uid="{E6C1C2C3-7B80-457C-835E-98AD24D0E418}"/>
    <hyperlink ref="H34" location="'TITLE PAGE'!A1" display="5a-5c. Cost Profiles" xr:uid="{00000000-0004-0000-0000-000004000000}"/>
  </hyperlinks>
  <pageMargins left="0.7" right="0.7" top="0.75" bottom="0.75" header="0.3" footer="0.3"/>
  <pageSetup paperSize="9"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1A8FA4-E7AA-41E5-B4AB-3EF0933DABBB}">
  <dimension ref="A1:CP111"/>
  <sheetViews>
    <sheetView showOutlineSymbols="0" showWhiteSpace="0" workbookViewId="0">
      <selection activeCell="D3" sqref="D3"/>
    </sheetView>
  </sheetViews>
  <sheetFormatPr defaultColWidth="9.109375" defaultRowHeight="14.25" x14ac:dyDescent="0.2"/>
  <cols>
    <col min="1" max="1" width="2.109375" style="1165" customWidth="1"/>
    <col min="2" max="2" width="19.6640625" style="1165" customWidth="1"/>
    <col min="3" max="3" width="15.5546875" style="1165" customWidth="1"/>
    <col min="4" max="4" width="55.6640625" style="1165" customWidth="1"/>
    <col min="5" max="5" width="15.5546875" style="1165" customWidth="1"/>
    <col min="6" max="6" width="47.109375" style="1165" customWidth="1"/>
    <col min="7" max="7" width="19.6640625" style="1165" customWidth="1"/>
    <col min="8" max="8" width="17.5546875" style="1165" customWidth="1"/>
    <col min="9" max="9" width="9.109375" style="1165" customWidth="1"/>
    <col min="10" max="11" width="8.109375" style="1165" customWidth="1"/>
    <col min="12" max="16384" width="9.109375" style="1165"/>
  </cols>
  <sheetData>
    <row r="1" spans="1:94" ht="15" x14ac:dyDescent="0.25">
      <c r="A1" s="1206" t="s">
        <v>1478</v>
      </c>
    </row>
    <row r="2" spans="1:94" ht="15.75" thickBot="1" x14ac:dyDescent="0.3">
      <c r="A2" s="1206"/>
    </row>
    <row r="3" spans="1:94" ht="29.25" thickBot="1" x14ac:dyDescent="0.25">
      <c r="B3" s="395" t="s">
        <v>64</v>
      </c>
      <c r="C3" s="393" t="str">
        <f>'TITLE PAGE'!$D$18</f>
        <v>Essex &amp; Suffolk Water</v>
      </c>
      <c r="D3" s="1205" t="s">
        <v>2</v>
      </c>
      <c r="E3" s="1594">
        <f>'TITLE PAGE'!D21</f>
        <v>16</v>
      </c>
      <c r="F3" s="1204"/>
      <c r="G3" s="1151" t="s">
        <v>63</v>
      </c>
      <c r="H3" s="7"/>
      <c r="I3" s="1204"/>
      <c r="J3" s="1203"/>
    </row>
    <row r="4" spans="1:94" ht="15" thickBot="1" x14ac:dyDescent="0.25"/>
    <row r="5" spans="1:94" ht="15.75" thickBot="1" x14ac:dyDescent="0.25">
      <c r="B5" s="1832" t="s">
        <v>1479</v>
      </c>
      <c r="C5" s="1833"/>
      <c r="D5" s="1203"/>
      <c r="E5" s="1203"/>
      <c r="F5" s="1203"/>
      <c r="G5" s="1203"/>
      <c r="H5" s="1203"/>
      <c r="I5" s="1203"/>
      <c r="J5" s="1203"/>
      <c r="K5" s="1203"/>
    </row>
    <row r="6" spans="1:94" ht="101.25" thickBot="1" x14ac:dyDescent="0.25">
      <c r="B6" s="1192" t="s">
        <v>1480</v>
      </c>
      <c r="C6" s="1191" t="s">
        <v>807</v>
      </c>
      <c r="D6" s="1190" t="s">
        <v>808</v>
      </c>
      <c r="E6" s="1190" t="s">
        <v>1481</v>
      </c>
      <c r="F6" s="1190" t="s">
        <v>1482</v>
      </c>
      <c r="G6" s="1190" t="s">
        <v>1483</v>
      </c>
      <c r="H6" s="1189" t="s">
        <v>1484</v>
      </c>
      <c r="I6" s="1188" t="s">
        <v>208</v>
      </c>
      <c r="J6" s="1187" t="s">
        <v>209</v>
      </c>
      <c r="K6" s="1187" t="s">
        <v>210</v>
      </c>
      <c r="L6" s="1187" t="s">
        <v>211</v>
      </c>
      <c r="M6" s="1187" t="s">
        <v>212</v>
      </c>
      <c r="N6" s="1187" t="s">
        <v>213</v>
      </c>
      <c r="O6" s="1187" t="s">
        <v>214</v>
      </c>
      <c r="P6" s="1187" t="s">
        <v>215</v>
      </c>
      <c r="Q6" s="1187" t="s">
        <v>216</v>
      </c>
      <c r="R6" s="1187" t="s">
        <v>217</v>
      </c>
      <c r="S6" s="1187" t="s">
        <v>218</v>
      </c>
      <c r="T6" s="1187" t="s">
        <v>247</v>
      </c>
      <c r="U6" s="1187" t="s">
        <v>248</v>
      </c>
      <c r="V6" s="1187" t="s">
        <v>249</v>
      </c>
      <c r="W6" s="1187" t="s">
        <v>250</v>
      </c>
      <c r="X6" s="1187" t="s">
        <v>219</v>
      </c>
      <c r="Y6" s="1187" t="s">
        <v>251</v>
      </c>
      <c r="Z6" s="1187" t="s">
        <v>252</v>
      </c>
      <c r="AA6" s="1187" t="s">
        <v>253</v>
      </c>
      <c r="AB6" s="1187" t="s">
        <v>254</v>
      </c>
      <c r="AC6" s="1187" t="s">
        <v>220</v>
      </c>
      <c r="AD6" s="1187" t="s">
        <v>255</v>
      </c>
      <c r="AE6" s="1187" t="s">
        <v>256</v>
      </c>
      <c r="AF6" s="1187" t="s">
        <v>257</v>
      </c>
      <c r="AG6" s="1187" t="s">
        <v>258</v>
      </c>
      <c r="AH6" s="1187" t="s">
        <v>221</v>
      </c>
      <c r="AI6" s="1187" t="s">
        <v>259</v>
      </c>
      <c r="AJ6" s="1187" t="s">
        <v>260</v>
      </c>
      <c r="AK6" s="1187" t="s">
        <v>261</v>
      </c>
      <c r="AL6" s="1187" t="s">
        <v>262</v>
      </c>
      <c r="AM6" s="1187" t="s">
        <v>222</v>
      </c>
      <c r="AN6" s="1187" t="s">
        <v>263</v>
      </c>
      <c r="AO6" s="1187" t="s">
        <v>264</v>
      </c>
      <c r="AP6" s="1187" t="s">
        <v>265</v>
      </c>
      <c r="AQ6" s="1187" t="s">
        <v>266</v>
      </c>
      <c r="AR6" s="1187" t="s">
        <v>223</v>
      </c>
      <c r="AS6" s="1187" t="s">
        <v>267</v>
      </c>
      <c r="AT6" s="1187" t="s">
        <v>268</v>
      </c>
      <c r="AU6" s="1187" t="s">
        <v>269</v>
      </c>
      <c r="AV6" s="1187" t="s">
        <v>270</v>
      </c>
      <c r="AW6" s="1187" t="s">
        <v>224</v>
      </c>
      <c r="AX6" s="1187" t="s">
        <v>271</v>
      </c>
      <c r="AY6" s="1187" t="s">
        <v>272</v>
      </c>
      <c r="AZ6" s="1187" t="s">
        <v>273</v>
      </c>
      <c r="BA6" s="1187" t="s">
        <v>274</v>
      </c>
      <c r="BB6" s="1187" t="s">
        <v>225</v>
      </c>
      <c r="BC6" s="1187" t="s">
        <v>275</v>
      </c>
      <c r="BD6" s="1187" t="s">
        <v>276</v>
      </c>
      <c r="BE6" s="1187" t="s">
        <v>277</v>
      </c>
      <c r="BF6" s="1187" t="s">
        <v>278</v>
      </c>
      <c r="BG6" s="1187" t="s">
        <v>226</v>
      </c>
      <c r="BH6" s="1187" t="s">
        <v>279</v>
      </c>
      <c r="BI6" s="1187" t="s">
        <v>280</v>
      </c>
      <c r="BJ6" s="1187" t="s">
        <v>281</v>
      </c>
      <c r="BK6" s="1187" t="s">
        <v>282</v>
      </c>
      <c r="BL6" s="1187" t="s">
        <v>227</v>
      </c>
      <c r="BM6" s="1187" t="s">
        <v>283</v>
      </c>
      <c r="BN6" s="1187" t="s">
        <v>284</v>
      </c>
      <c r="BO6" s="1187" t="s">
        <v>285</v>
      </c>
      <c r="BP6" s="1187" t="s">
        <v>286</v>
      </c>
      <c r="BQ6" s="1187" t="s">
        <v>228</v>
      </c>
      <c r="BR6" s="1187" t="s">
        <v>287</v>
      </c>
      <c r="BS6" s="1187" t="s">
        <v>288</v>
      </c>
      <c r="BT6" s="1187" t="s">
        <v>289</v>
      </c>
      <c r="BU6" s="1187" t="s">
        <v>290</v>
      </c>
      <c r="BV6" s="1187" t="s">
        <v>229</v>
      </c>
      <c r="BW6" s="1187" t="s">
        <v>291</v>
      </c>
      <c r="BX6" s="1187" t="s">
        <v>292</v>
      </c>
      <c r="BY6" s="1187" t="s">
        <v>293</v>
      </c>
      <c r="BZ6" s="1187" t="s">
        <v>294</v>
      </c>
      <c r="CA6" s="1187" t="s">
        <v>230</v>
      </c>
      <c r="CB6" s="1187" t="s">
        <v>295</v>
      </c>
      <c r="CC6" s="1187" t="s">
        <v>296</v>
      </c>
      <c r="CD6" s="1187" t="s">
        <v>297</v>
      </c>
      <c r="CE6" s="1187" t="s">
        <v>298</v>
      </c>
      <c r="CF6" s="1187" t="s">
        <v>231</v>
      </c>
      <c r="CG6" s="1187" t="s">
        <v>299</v>
      </c>
      <c r="CH6" s="1187" t="s">
        <v>300</v>
      </c>
      <c r="CI6" s="1187" t="s">
        <v>301</v>
      </c>
      <c r="CJ6" s="1187" t="s">
        <v>302</v>
      </c>
      <c r="CK6" s="1187" t="s">
        <v>232</v>
      </c>
      <c r="CL6" s="1187" t="s">
        <v>303</v>
      </c>
      <c r="CM6" s="1187" t="s">
        <v>1485</v>
      </c>
      <c r="CN6" s="1187" t="s">
        <v>1486</v>
      </c>
      <c r="CO6" s="1187" t="s">
        <v>1487</v>
      </c>
      <c r="CP6" s="1186" t="s">
        <v>1488</v>
      </c>
    </row>
    <row r="7" spans="1:94" ht="15" x14ac:dyDescent="0.2">
      <c r="B7" s="1852" t="s">
        <v>1489</v>
      </c>
      <c r="C7" s="1184"/>
      <c r="D7" s="1184"/>
      <c r="E7" s="1184" t="s">
        <v>1490</v>
      </c>
      <c r="F7" s="1202"/>
      <c r="G7" s="1333"/>
      <c r="H7" s="1185" t="s">
        <v>131</v>
      </c>
      <c r="I7" s="1181"/>
      <c r="J7" s="1180"/>
      <c r="K7" s="1180"/>
      <c r="L7" s="1180"/>
      <c r="M7" s="1180"/>
      <c r="N7" s="1336"/>
      <c r="O7" s="1336"/>
      <c r="P7" s="1336"/>
      <c r="Q7" s="1336"/>
      <c r="R7" s="1336"/>
      <c r="S7" s="1336"/>
      <c r="T7" s="1336"/>
      <c r="U7" s="1336"/>
      <c r="V7" s="1336"/>
      <c r="W7" s="1336"/>
      <c r="X7" s="1336"/>
      <c r="Y7" s="1336"/>
      <c r="Z7" s="1336"/>
      <c r="AA7" s="1336"/>
      <c r="AB7" s="1336"/>
      <c r="AC7" s="1336"/>
      <c r="AD7" s="1336"/>
      <c r="AE7" s="1336"/>
      <c r="AF7" s="1336"/>
      <c r="AG7" s="1336"/>
      <c r="AH7" s="1336"/>
      <c r="AI7" s="1336"/>
      <c r="AJ7" s="1336"/>
      <c r="AK7" s="1336"/>
      <c r="AL7" s="1336"/>
      <c r="AM7" s="1336"/>
      <c r="AN7" s="1336"/>
      <c r="AO7" s="1336"/>
      <c r="AP7" s="1336"/>
      <c r="AQ7" s="1336"/>
      <c r="AR7" s="1336"/>
      <c r="AS7" s="1336"/>
      <c r="AT7" s="1336"/>
      <c r="AU7" s="1336"/>
      <c r="AV7" s="1336"/>
      <c r="AW7" s="1336"/>
      <c r="AX7" s="1336"/>
      <c r="AY7" s="1336"/>
      <c r="AZ7" s="1336"/>
      <c r="BA7" s="1336"/>
      <c r="BB7" s="1336"/>
      <c r="BC7" s="1336"/>
      <c r="BD7" s="1336"/>
      <c r="BE7" s="1336"/>
      <c r="BF7" s="1336"/>
      <c r="BG7" s="1336"/>
      <c r="BH7" s="1336"/>
      <c r="BI7" s="1336"/>
      <c r="BJ7" s="1336"/>
      <c r="BK7" s="1336"/>
      <c r="BL7" s="1336"/>
      <c r="BM7" s="1336"/>
      <c r="BN7" s="1179"/>
      <c r="BO7" s="1179"/>
      <c r="BP7" s="1179"/>
      <c r="BQ7" s="1179"/>
      <c r="BR7" s="1179"/>
      <c r="BS7" s="1179"/>
      <c r="BT7" s="1179"/>
      <c r="BU7" s="1179"/>
      <c r="BV7" s="1179"/>
      <c r="BW7" s="1179"/>
      <c r="BX7" s="1179"/>
      <c r="BY7" s="1179"/>
      <c r="BZ7" s="1179"/>
      <c r="CA7" s="1179"/>
      <c r="CB7" s="1179"/>
      <c r="CC7" s="1179"/>
      <c r="CD7" s="1179"/>
      <c r="CE7" s="1179"/>
      <c r="CF7" s="1179"/>
      <c r="CG7" s="1179"/>
      <c r="CH7" s="1179"/>
      <c r="CI7" s="1179"/>
      <c r="CJ7" s="1179"/>
      <c r="CK7" s="1179"/>
      <c r="CL7" s="1179"/>
      <c r="CM7" s="1179"/>
      <c r="CN7" s="1179"/>
      <c r="CO7" s="1179"/>
      <c r="CP7" s="1178"/>
    </row>
    <row r="8" spans="1:94" ht="15" x14ac:dyDescent="0.2">
      <c r="B8" s="1853"/>
      <c r="C8" s="1171"/>
      <c r="D8" s="1171"/>
      <c r="E8" s="1171" t="s">
        <v>1491</v>
      </c>
      <c r="F8" s="1201"/>
      <c r="G8" s="1201"/>
      <c r="H8" s="1177" t="s">
        <v>1492</v>
      </c>
      <c r="I8" s="1173"/>
      <c r="J8" s="1170"/>
      <c r="K8" s="1170"/>
      <c r="L8" s="1170"/>
      <c r="M8" s="1170"/>
      <c r="N8" s="1334"/>
      <c r="O8" s="1334"/>
      <c r="P8" s="1334"/>
      <c r="Q8" s="1334"/>
      <c r="R8" s="1334"/>
      <c r="S8" s="1334"/>
      <c r="T8" s="1334"/>
      <c r="U8" s="1334"/>
      <c r="V8" s="1334"/>
      <c r="W8" s="1334"/>
      <c r="X8" s="1334"/>
      <c r="Y8" s="1334"/>
      <c r="Z8" s="1334"/>
      <c r="AA8" s="1334"/>
      <c r="AB8" s="1334"/>
      <c r="AC8" s="1334"/>
      <c r="AD8" s="1334"/>
      <c r="AE8" s="1334"/>
      <c r="AF8" s="1334"/>
      <c r="AG8" s="1334"/>
      <c r="AH8" s="1334"/>
      <c r="AI8" s="1334"/>
      <c r="AJ8" s="1334"/>
      <c r="AK8" s="1334"/>
      <c r="AL8" s="1334"/>
      <c r="AM8" s="1334"/>
      <c r="AN8" s="1334"/>
      <c r="AO8" s="1334"/>
      <c r="AP8" s="1334"/>
      <c r="AQ8" s="1334"/>
      <c r="AR8" s="1334"/>
      <c r="AS8" s="1334"/>
      <c r="AT8" s="1334"/>
      <c r="AU8" s="1334"/>
      <c r="AV8" s="1334"/>
      <c r="AW8" s="1334"/>
      <c r="AX8" s="1334"/>
      <c r="AY8" s="1334"/>
      <c r="AZ8" s="1334"/>
      <c r="BA8" s="1334"/>
      <c r="BB8" s="1334"/>
      <c r="BC8" s="1334"/>
      <c r="BD8" s="1334"/>
      <c r="BE8" s="1334"/>
      <c r="BF8" s="1334"/>
      <c r="BG8" s="1334"/>
      <c r="BH8" s="1334"/>
      <c r="BI8" s="1334"/>
      <c r="BJ8" s="1334"/>
      <c r="BK8" s="1334"/>
      <c r="BL8" s="1334"/>
      <c r="BM8" s="1334"/>
      <c r="BN8" s="1169"/>
      <c r="BO8" s="1169"/>
      <c r="BP8" s="1169"/>
      <c r="BQ8" s="1169"/>
      <c r="BR8" s="1169"/>
      <c r="BS8" s="1169"/>
      <c r="BT8" s="1169"/>
      <c r="BU8" s="1169"/>
      <c r="BV8" s="1169"/>
      <c r="BW8" s="1169"/>
      <c r="BX8" s="1169"/>
      <c r="BY8" s="1169"/>
      <c r="BZ8" s="1169"/>
      <c r="CA8" s="1169"/>
      <c r="CB8" s="1169"/>
      <c r="CC8" s="1169"/>
      <c r="CD8" s="1169"/>
      <c r="CE8" s="1169"/>
      <c r="CF8" s="1169"/>
      <c r="CG8" s="1169"/>
      <c r="CH8" s="1169"/>
      <c r="CI8" s="1169"/>
      <c r="CJ8" s="1169"/>
      <c r="CK8" s="1169"/>
      <c r="CL8" s="1169"/>
      <c r="CM8" s="1169"/>
      <c r="CN8" s="1169"/>
      <c r="CO8" s="1169"/>
      <c r="CP8" s="1168"/>
    </row>
    <row r="9" spans="1:94" ht="15" x14ac:dyDescent="0.2">
      <c r="B9" s="1853"/>
      <c r="C9" s="1171"/>
      <c r="D9" s="1171"/>
      <c r="E9" s="1171" t="s">
        <v>1493</v>
      </c>
      <c r="F9" s="1201"/>
      <c r="G9" s="1201"/>
      <c r="H9" s="1177" t="s">
        <v>1492</v>
      </c>
      <c r="I9" s="1173"/>
      <c r="J9" s="1170"/>
      <c r="K9" s="1170"/>
      <c r="L9" s="1170"/>
      <c r="M9" s="1170"/>
      <c r="N9" s="1334"/>
      <c r="O9" s="1334"/>
      <c r="P9" s="1334"/>
      <c r="Q9" s="1334"/>
      <c r="R9" s="1334"/>
      <c r="S9" s="1334"/>
      <c r="T9" s="1334"/>
      <c r="U9" s="1334"/>
      <c r="V9" s="1334"/>
      <c r="W9" s="1334"/>
      <c r="X9" s="1334"/>
      <c r="Y9" s="1334"/>
      <c r="Z9" s="1334"/>
      <c r="AA9" s="1334"/>
      <c r="AB9" s="1334"/>
      <c r="AC9" s="1334"/>
      <c r="AD9" s="1334"/>
      <c r="AE9" s="1334"/>
      <c r="AF9" s="1334"/>
      <c r="AG9" s="1334"/>
      <c r="AH9" s="1334"/>
      <c r="AI9" s="1334"/>
      <c r="AJ9" s="1334"/>
      <c r="AK9" s="1334"/>
      <c r="AL9" s="1334"/>
      <c r="AM9" s="1334"/>
      <c r="AN9" s="1334"/>
      <c r="AO9" s="1334"/>
      <c r="AP9" s="1334"/>
      <c r="AQ9" s="1334"/>
      <c r="AR9" s="1334"/>
      <c r="AS9" s="1334"/>
      <c r="AT9" s="1334"/>
      <c r="AU9" s="1334"/>
      <c r="AV9" s="1334"/>
      <c r="AW9" s="1334"/>
      <c r="AX9" s="1334"/>
      <c r="AY9" s="1334"/>
      <c r="AZ9" s="1169"/>
      <c r="BA9" s="1169"/>
      <c r="BB9" s="1169"/>
      <c r="BC9" s="1169"/>
      <c r="BD9" s="1169"/>
      <c r="BE9" s="1169"/>
      <c r="BF9" s="1169"/>
      <c r="BG9" s="1169"/>
      <c r="BH9" s="1169"/>
      <c r="BI9" s="1169"/>
      <c r="BJ9" s="1169"/>
      <c r="BK9" s="1169"/>
      <c r="BL9" s="1169"/>
      <c r="BM9" s="1169"/>
      <c r="BN9" s="1169"/>
      <c r="BO9" s="1169"/>
      <c r="BP9" s="1169"/>
      <c r="BQ9" s="1169"/>
      <c r="BR9" s="1169"/>
      <c r="BS9" s="1169"/>
      <c r="BT9" s="1169"/>
      <c r="BU9" s="1169"/>
      <c r="BV9" s="1169"/>
      <c r="BW9" s="1169"/>
      <c r="BX9" s="1169"/>
      <c r="BY9" s="1169"/>
      <c r="BZ9" s="1169"/>
      <c r="CA9" s="1169"/>
      <c r="CB9" s="1169"/>
      <c r="CC9" s="1169"/>
      <c r="CD9" s="1169"/>
      <c r="CE9" s="1169"/>
      <c r="CF9" s="1169"/>
      <c r="CG9" s="1169"/>
      <c r="CH9" s="1169"/>
      <c r="CI9" s="1169"/>
      <c r="CJ9" s="1169"/>
      <c r="CK9" s="1169"/>
      <c r="CL9" s="1169"/>
      <c r="CM9" s="1169"/>
      <c r="CN9" s="1169"/>
      <c r="CO9" s="1169"/>
      <c r="CP9" s="1168"/>
    </row>
    <row r="10" spans="1:94" ht="15" x14ac:dyDescent="0.2">
      <c r="B10" s="1853"/>
      <c r="C10" s="1171"/>
      <c r="D10" s="1171"/>
      <c r="E10" s="1171" t="s">
        <v>1494</v>
      </c>
      <c r="F10" s="1201"/>
      <c r="G10" s="1201"/>
      <c r="H10" s="1177" t="s">
        <v>1492</v>
      </c>
      <c r="I10" s="1173"/>
      <c r="J10" s="1170"/>
      <c r="K10" s="1170"/>
      <c r="L10" s="1170"/>
      <c r="M10" s="1170"/>
      <c r="N10" s="1334"/>
      <c r="O10" s="1334"/>
      <c r="P10" s="1334"/>
      <c r="Q10" s="1334"/>
      <c r="R10" s="1334"/>
      <c r="S10" s="1334"/>
      <c r="T10" s="1334"/>
      <c r="U10" s="1334"/>
      <c r="V10" s="1334"/>
      <c r="W10" s="1334"/>
      <c r="X10" s="1334"/>
      <c r="Y10" s="1334"/>
      <c r="Z10" s="1334"/>
      <c r="AA10" s="1334"/>
      <c r="AB10" s="1334"/>
      <c r="AC10" s="1334"/>
      <c r="AD10" s="1334"/>
      <c r="AE10" s="1334"/>
      <c r="AF10" s="1334"/>
      <c r="AG10" s="1334"/>
      <c r="AH10" s="1334"/>
      <c r="AI10" s="1334"/>
      <c r="AJ10" s="1334"/>
      <c r="AK10" s="1334"/>
      <c r="AL10" s="1334"/>
      <c r="AM10" s="1334"/>
      <c r="AN10" s="1334"/>
      <c r="AO10" s="1334"/>
      <c r="AP10" s="1334"/>
      <c r="AQ10" s="1334"/>
      <c r="AR10" s="1334"/>
      <c r="AS10" s="1334"/>
      <c r="AT10" s="1334"/>
      <c r="AU10" s="1334"/>
      <c r="AV10" s="1334"/>
      <c r="AW10" s="1334"/>
      <c r="AX10" s="1334"/>
      <c r="AY10" s="1334"/>
      <c r="AZ10" s="1169"/>
      <c r="BA10" s="1169"/>
      <c r="BB10" s="1169"/>
      <c r="BC10" s="1169"/>
      <c r="BD10" s="1169"/>
      <c r="BE10" s="1169"/>
      <c r="BF10" s="1169"/>
      <c r="BG10" s="1169"/>
      <c r="BH10" s="1169"/>
      <c r="BI10" s="1169"/>
      <c r="BJ10" s="1169"/>
      <c r="BK10" s="1169"/>
      <c r="BL10" s="1169"/>
      <c r="BM10" s="1169"/>
      <c r="BN10" s="1169"/>
      <c r="BO10" s="1169"/>
      <c r="BP10" s="1169"/>
      <c r="BQ10" s="1169"/>
      <c r="BR10" s="1169"/>
      <c r="BS10" s="1169"/>
      <c r="BT10" s="1169"/>
      <c r="BU10" s="1169"/>
      <c r="BV10" s="1169"/>
      <c r="BW10" s="1169"/>
      <c r="BX10" s="1169"/>
      <c r="BY10" s="1169"/>
      <c r="BZ10" s="1169"/>
      <c r="CA10" s="1169"/>
      <c r="CB10" s="1169"/>
      <c r="CC10" s="1169"/>
      <c r="CD10" s="1169"/>
      <c r="CE10" s="1169"/>
      <c r="CF10" s="1169"/>
      <c r="CG10" s="1169"/>
      <c r="CH10" s="1169"/>
      <c r="CI10" s="1169"/>
      <c r="CJ10" s="1169"/>
      <c r="CK10" s="1169"/>
      <c r="CL10" s="1169"/>
      <c r="CM10" s="1169"/>
      <c r="CN10" s="1169"/>
      <c r="CO10" s="1169"/>
      <c r="CP10" s="1168"/>
    </row>
    <row r="11" spans="1:94" ht="15" x14ac:dyDescent="0.2">
      <c r="B11" s="1853"/>
      <c r="C11" s="1171"/>
      <c r="D11" s="1171"/>
      <c r="E11" s="1171" t="s">
        <v>1495</v>
      </c>
      <c r="F11" s="1201"/>
      <c r="G11" s="1201"/>
      <c r="H11" s="1177" t="s">
        <v>1492</v>
      </c>
      <c r="I11" s="1173"/>
      <c r="J11" s="1170"/>
      <c r="K11" s="1170"/>
      <c r="L11" s="1170"/>
      <c r="M11" s="1170"/>
      <c r="N11" s="1334"/>
      <c r="O11" s="1334"/>
      <c r="P11" s="1334"/>
      <c r="Q11" s="1334"/>
      <c r="R11" s="1334"/>
      <c r="S11" s="1334"/>
      <c r="T11" s="1334"/>
      <c r="U11" s="1334"/>
      <c r="V11" s="1334"/>
      <c r="W11" s="1334"/>
      <c r="X11" s="1334"/>
      <c r="Y11" s="1334"/>
      <c r="Z11" s="1334"/>
      <c r="AA11" s="1334"/>
      <c r="AB11" s="1334"/>
      <c r="AC11" s="1334"/>
      <c r="AD11" s="1334"/>
      <c r="AE11" s="1334"/>
      <c r="AF11" s="1334"/>
      <c r="AG11" s="1334"/>
      <c r="AH11" s="1334"/>
      <c r="AI11" s="1334"/>
      <c r="AJ11" s="1334"/>
      <c r="AK11" s="1334"/>
      <c r="AL11" s="1334"/>
      <c r="AM11" s="1334"/>
      <c r="AN11" s="1334"/>
      <c r="AO11" s="1334"/>
      <c r="AP11" s="1334"/>
      <c r="AQ11" s="1334"/>
      <c r="AR11" s="1334"/>
      <c r="AS11" s="1334"/>
      <c r="AT11" s="1334"/>
      <c r="AU11" s="1334"/>
      <c r="AV11" s="1334"/>
      <c r="AW11" s="1334"/>
      <c r="AX11" s="1334"/>
      <c r="AY11" s="1334"/>
      <c r="AZ11" s="1169"/>
      <c r="BA11" s="1169"/>
      <c r="BB11" s="1169"/>
      <c r="BC11" s="1169"/>
      <c r="BD11" s="1169"/>
      <c r="BE11" s="1169"/>
      <c r="BF11" s="1169"/>
      <c r="BG11" s="1169"/>
      <c r="BH11" s="1169"/>
      <c r="BI11" s="1169"/>
      <c r="BJ11" s="1169"/>
      <c r="BK11" s="1169"/>
      <c r="BL11" s="1169"/>
      <c r="BM11" s="1169"/>
      <c r="BN11" s="1169"/>
      <c r="BO11" s="1169"/>
      <c r="BP11" s="1169"/>
      <c r="BQ11" s="1169"/>
      <c r="BR11" s="1169"/>
      <c r="BS11" s="1169"/>
      <c r="BT11" s="1169"/>
      <c r="BU11" s="1169"/>
      <c r="BV11" s="1169"/>
      <c r="BW11" s="1169"/>
      <c r="BX11" s="1169"/>
      <c r="BY11" s="1169"/>
      <c r="BZ11" s="1169"/>
      <c r="CA11" s="1169"/>
      <c r="CB11" s="1169"/>
      <c r="CC11" s="1169"/>
      <c r="CD11" s="1169"/>
      <c r="CE11" s="1169"/>
      <c r="CF11" s="1169"/>
      <c r="CG11" s="1169"/>
      <c r="CH11" s="1169"/>
      <c r="CI11" s="1169"/>
      <c r="CJ11" s="1169"/>
      <c r="CK11" s="1169"/>
      <c r="CL11" s="1169"/>
      <c r="CM11" s="1169"/>
      <c r="CN11" s="1169"/>
      <c r="CO11" s="1169"/>
      <c r="CP11" s="1168"/>
    </row>
    <row r="12" spans="1:94" ht="15" x14ac:dyDescent="0.2">
      <c r="B12" s="1853"/>
      <c r="C12" s="1171"/>
      <c r="D12" s="1171"/>
      <c r="E12" s="1171" t="s">
        <v>1496</v>
      </c>
      <c r="F12" s="1171" t="s">
        <v>1497</v>
      </c>
      <c r="G12" s="1171"/>
      <c r="H12" s="1171" t="s">
        <v>1498</v>
      </c>
      <c r="I12" s="1173"/>
      <c r="J12" s="1170"/>
      <c r="K12" s="1170"/>
      <c r="L12" s="1170"/>
      <c r="M12" s="1170"/>
      <c r="N12" s="1334"/>
      <c r="O12" s="1334"/>
      <c r="P12" s="1334"/>
      <c r="Q12" s="1334"/>
      <c r="R12" s="1334"/>
      <c r="S12" s="1334"/>
      <c r="T12" s="1334"/>
      <c r="U12" s="1334"/>
      <c r="V12" s="1334"/>
      <c r="W12" s="1334"/>
      <c r="X12" s="1334"/>
      <c r="Y12" s="1334"/>
      <c r="Z12" s="1334"/>
      <c r="AA12" s="1334"/>
      <c r="AB12" s="1334"/>
      <c r="AC12" s="1334"/>
      <c r="AD12" s="1334"/>
      <c r="AE12" s="1334"/>
      <c r="AF12" s="1334"/>
      <c r="AG12" s="1334"/>
      <c r="AH12" s="1334"/>
      <c r="AI12" s="1334"/>
      <c r="AJ12" s="1334"/>
      <c r="AK12" s="1334"/>
      <c r="AL12" s="1334"/>
      <c r="AM12" s="1334"/>
      <c r="AN12" s="1334"/>
      <c r="AO12" s="1334"/>
      <c r="AP12" s="1334"/>
      <c r="AQ12" s="1334"/>
      <c r="AR12" s="1334"/>
      <c r="AS12" s="1334"/>
      <c r="AT12" s="1334"/>
      <c r="AU12" s="1334"/>
      <c r="AV12" s="1334"/>
      <c r="AW12" s="1334"/>
      <c r="AX12" s="1334"/>
      <c r="AY12" s="1334"/>
      <c r="AZ12" s="1169"/>
      <c r="BA12" s="1169"/>
      <c r="BB12" s="1169"/>
      <c r="BC12" s="1169"/>
      <c r="BD12" s="1169"/>
      <c r="BE12" s="1169"/>
      <c r="BF12" s="1169"/>
      <c r="BG12" s="1169"/>
      <c r="BH12" s="1169"/>
      <c r="BI12" s="1169"/>
      <c r="BJ12" s="1169"/>
      <c r="BK12" s="1169"/>
      <c r="BL12" s="1169"/>
      <c r="BM12" s="1169"/>
      <c r="BN12" s="1169"/>
      <c r="BO12" s="1169"/>
      <c r="BP12" s="1169"/>
      <c r="BQ12" s="1169"/>
      <c r="BR12" s="1169"/>
      <c r="BS12" s="1169"/>
      <c r="BT12" s="1169"/>
      <c r="BU12" s="1169"/>
      <c r="BV12" s="1169"/>
      <c r="BW12" s="1169"/>
      <c r="BX12" s="1169"/>
      <c r="BY12" s="1169"/>
      <c r="BZ12" s="1169"/>
      <c r="CA12" s="1169"/>
      <c r="CB12" s="1169"/>
      <c r="CC12" s="1169"/>
      <c r="CD12" s="1169"/>
      <c r="CE12" s="1169"/>
      <c r="CF12" s="1169"/>
      <c r="CG12" s="1169"/>
      <c r="CH12" s="1169"/>
      <c r="CI12" s="1169"/>
      <c r="CJ12" s="1169"/>
      <c r="CK12" s="1169"/>
      <c r="CL12" s="1169"/>
      <c r="CM12" s="1169"/>
      <c r="CN12" s="1169"/>
      <c r="CO12" s="1169"/>
      <c r="CP12" s="1168"/>
    </row>
    <row r="13" spans="1:94" ht="15" x14ac:dyDescent="0.2">
      <c r="B13" s="1853"/>
      <c r="C13" s="1177"/>
      <c r="D13" s="1177"/>
      <c r="E13" s="1177" t="s">
        <v>1496</v>
      </c>
      <c r="F13" s="1171" t="s">
        <v>1499</v>
      </c>
      <c r="G13" s="1171"/>
      <c r="H13" s="1200" t="s">
        <v>1498</v>
      </c>
      <c r="I13" s="1199"/>
      <c r="J13" s="1170"/>
      <c r="K13" s="1170"/>
      <c r="L13" s="1170"/>
      <c r="M13" s="1170"/>
      <c r="N13" s="1334"/>
      <c r="O13" s="1334"/>
      <c r="P13" s="1334"/>
      <c r="Q13" s="1334"/>
      <c r="R13" s="1334"/>
      <c r="S13" s="1334"/>
      <c r="T13" s="1334"/>
      <c r="U13" s="1334"/>
      <c r="V13" s="1334"/>
      <c r="W13" s="1334"/>
      <c r="X13" s="1334"/>
      <c r="Y13" s="1334"/>
      <c r="Z13" s="1334"/>
      <c r="AA13" s="1334"/>
      <c r="AB13" s="1334"/>
      <c r="AC13" s="1334"/>
      <c r="AD13" s="1334"/>
      <c r="AE13" s="1334"/>
      <c r="AF13" s="1334"/>
      <c r="AG13" s="1334"/>
      <c r="AH13" s="1334"/>
      <c r="AI13" s="1334"/>
      <c r="AJ13" s="1334"/>
      <c r="AK13" s="1334"/>
      <c r="AL13" s="1334"/>
      <c r="AM13" s="1334"/>
      <c r="AN13" s="1334"/>
      <c r="AO13" s="1334"/>
      <c r="AP13" s="1334"/>
      <c r="AQ13" s="1334"/>
      <c r="AR13" s="1334"/>
      <c r="AS13" s="1334"/>
      <c r="AT13" s="1334"/>
      <c r="AU13" s="1334"/>
      <c r="AV13" s="1334"/>
      <c r="AW13" s="1334"/>
      <c r="AX13" s="1334"/>
      <c r="AY13" s="1334"/>
      <c r="AZ13" s="1169"/>
      <c r="BA13" s="1169"/>
      <c r="BB13" s="1169"/>
      <c r="BC13" s="1169"/>
      <c r="BD13" s="1169"/>
      <c r="BE13" s="1169"/>
      <c r="BF13" s="1169"/>
      <c r="BG13" s="1169"/>
      <c r="BH13" s="1169"/>
      <c r="BI13" s="1169"/>
      <c r="BJ13" s="1169"/>
      <c r="BK13" s="1169"/>
      <c r="BL13" s="1169"/>
      <c r="BM13" s="1169"/>
      <c r="BN13" s="1169"/>
      <c r="BO13" s="1169"/>
      <c r="BP13" s="1169"/>
      <c r="BQ13" s="1169"/>
      <c r="BR13" s="1169"/>
      <c r="BS13" s="1169"/>
      <c r="BT13" s="1169"/>
      <c r="BU13" s="1169"/>
      <c r="BV13" s="1169"/>
      <c r="BW13" s="1169"/>
      <c r="BX13" s="1169"/>
      <c r="BY13" s="1169"/>
      <c r="BZ13" s="1169"/>
      <c r="CA13" s="1169"/>
      <c r="CB13" s="1169"/>
      <c r="CC13" s="1169"/>
      <c r="CD13" s="1169"/>
      <c r="CE13" s="1169"/>
      <c r="CF13" s="1169"/>
      <c r="CG13" s="1169"/>
      <c r="CH13" s="1169"/>
      <c r="CI13" s="1169"/>
      <c r="CJ13" s="1169"/>
      <c r="CK13" s="1169"/>
      <c r="CL13" s="1169"/>
      <c r="CM13" s="1169"/>
      <c r="CN13" s="1169"/>
      <c r="CO13" s="1169"/>
      <c r="CP13" s="1168"/>
    </row>
    <row r="14" spans="1:94" s="1193" customFormat="1" ht="29.25" thickBot="1" x14ac:dyDescent="0.25">
      <c r="B14" s="1853"/>
      <c r="C14" s="1195"/>
      <c r="D14" s="1195"/>
      <c r="E14" s="1195" t="s">
        <v>1500</v>
      </c>
      <c r="F14" s="1194"/>
      <c r="G14" s="1194"/>
      <c r="H14" s="1194" t="s">
        <v>131</v>
      </c>
      <c r="I14" s="1198"/>
      <c r="J14" s="1197"/>
      <c r="K14" s="1197"/>
      <c r="L14" s="1197"/>
      <c r="M14" s="1197"/>
      <c r="N14" s="1335"/>
      <c r="O14" s="1335"/>
      <c r="P14" s="1335"/>
      <c r="Q14" s="1335"/>
      <c r="R14" s="1335"/>
      <c r="S14" s="1335"/>
      <c r="T14" s="1335"/>
      <c r="U14" s="1335"/>
      <c r="V14" s="1335"/>
      <c r="W14" s="1335"/>
      <c r="X14" s="1335"/>
      <c r="Y14" s="1335"/>
      <c r="Z14" s="1335"/>
      <c r="AA14" s="1335"/>
      <c r="AB14" s="1335"/>
      <c r="AC14" s="1335"/>
      <c r="AD14" s="1335"/>
      <c r="AE14" s="1335"/>
      <c r="AF14" s="1335"/>
      <c r="AG14" s="1335"/>
      <c r="AH14" s="1335"/>
      <c r="AI14" s="1335"/>
      <c r="AJ14" s="1335"/>
      <c r="AK14" s="1335"/>
      <c r="AL14" s="1335"/>
      <c r="AM14" s="1335"/>
      <c r="AN14" s="1335"/>
      <c r="AO14" s="1335"/>
      <c r="AP14" s="1335"/>
      <c r="AQ14" s="1335"/>
      <c r="AR14" s="1335"/>
      <c r="AS14" s="1335"/>
      <c r="AT14" s="1335"/>
      <c r="AU14" s="1335"/>
      <c r="AV14" s="1335"/>
      <c r="AW14" s="1335"/>
      <c r="AX14" s="1335"/>
      <c r="AY14" s="1335"/>
      <c r="AZ14" s="1196"/>
      <c r="BA14" s="1196"/>
      <c r="BB14" s="1196"/>
      <c r="BC14" s="1196"/>
      <c r="BD14" s="1196"/>
      <c r="BE14" s="1196"/>
      <c r="BF14" s="1196"/>
      <c r="BG14" s="1196"/>
      <c r="BH14" s="1196"/>
      <c r="BI14" s="1196"/>
      <c r="BJ14" s="1196"/>
      <c r="BK14" s="1196"/>
      <c r="BL14" s="1196"/>
      <c r="BM14" s="1196"/>
      <c r="BN14" s="1196"/>
      <c r="BO14" s="1196"/>
      <c r="BP14" s="1196"/>
      <c r="BQ14" s="1196"/>
      <c r="BR14" s="1196"/>
      <c r="BS14" s="1196"/>
      <c r="BT14" s="1196"/>
      <c r="BU14" s="1196"/>
      <c r="BV14" s="1196"/>
      <c r="BW14" s="1196"/>
      <c r="BX14" s="1196"/>
      <c r="BY14" s="1196"/>
      <c r="BZ14" s="1196"/>
      <c r="CA14" s="1196"/>
      <c r="CB14" s="1196"/>
      <c r="CC14" s="1196"/>
      <c r="CD14" s="1196"/>
      <c r="CE14" s="1196"/>
      <c r="CF14" s="1196"/>
      <c r="CG14" s="1196"/>
      <c r="CH14" s="1196"/>
      <c r="CI14" s="1196"/>
      <c r="CJ14" s="1196"/>
      <c r="CK14" s="1196"/>
      <c r="CL14" s="1196"/>
      <c r="CM14" s="1196"/>
      <c r="CN14" s="1196"/>
      <c r="CO14" s="1196"/>
      <c r="CP14" s="1166"/>
    </row>
    <row r="15" spans="1:94" s="1193" customFormat="1" ht="15.75" thickBot="1" x14ac:dyDescent="0.25">
      <c r="B15" s="1854"/>
      <c r="C15" s="1195"/>
      <c r="D15" s="1195"/>
      <c r="E15" s="1195" t="s">
        <v>1501</v>
      </c>
      <c r="F15" s="1194"/>
      <c r="G15" s="1194"/>
      <c r="H15" s="1194" t="s">
        <v>131</v>
      </c>
      <c r="I15" s="1849" t="str">
        <f>IF(SUM($N$14:$CP$14)&lt;&gt;0,SUM($N$14:$CP$14),"")</f>
        <v/>
      </c>
      <c r="J15" s="1850"/>
      <c r="K15" s="1850"/>
      <c r="L15" s="1850"/>
      <c r="M15" s="1851"/>
    </row>
    <row r="16" spans="1:94" s="1193" customFormat="1" ht="15" x14ac:dyDescent="0.2">
      <c r="B16" s="1331"/>
      <c r="C16" s="1248"/>
      <c r="D16" s="1248"/>
      <c r="E16" s="1249"/>
      <c r="F16" s="1248"/>
      <c r="G16" s="1248"/>
      <c r="H16" s="1248"/>
      <c r="I16" s="1332"/>
      <c r="J16" s="1332"/>
      <c r="K16" s="1332"/>
      <c r="L16" s="1332"/>
      <c r="M16" s="1332"/>
    </row>
    <row r="17" spans="2:94" s="1193" customFormat="1" ht="15.75" thickBot="1" x14ac:dyDescent="0.25">
      <c r="B17" s="1255"/>
      <c r="C17" s="1248"/>
      <c r="D17" s="1248"/>
      <c r="E17" s="1249"/>
      <c r="F17" s="1248"/>
      <c r="G17" s="1248"/>
      <c r="H17" s="1248"/>
      <c r="I17" s="1250"/>
      <c r="J17" s="1251"/>
    </row>
    <row r="18" spans="2:94" ht="15.75" thickBot="1" x14ac:dyDescent="0.25">
      <c r="B18" s="1834" t="s">
        <v>1502</v>
      </c>
      <c r="C18" s="1835"/>
      <c r="D18" s="1252"/>
      <c r="E18" s="1253"/>
      <c r="F18" s="1252"/>
      <c r="G18" s="1252"/>
      <c r="H18" s="1252"/>
      <c r="I18" s="1265"/>
      <c r="J18" s="1266"/>
      <c r="K18" s="1254"/>
      <c r="L18" s="1254"/>
      <c r="M18" s="1254"/>
      <c r="N18" s="1254"/>
      <c r="O18" s="1254"/>
      <c r="P18" s="1254"/>
      <c r="Q18" s="1254"/>
      <c r="R18" s="1254"/>
      <c r="S18" s="1254"/>
      <c r="T18" s="1254"/>
      <c r="U18" s="1254"/>
      <c r="V18" s="1254"/>
      <c r="W18" s="1254"/>
      <c r="X18" s="1254"/>
      <c r="Y18" s="1254"/>
      <c r="Z18" s="1254"/>
      <c r="AA18" s="1254"/>
      <c r="AB18" s="1254"/>
      <c r="AC18" s="1254"/>
      <c r="AD18" s="1254"/>
      <c r="AE18" s="1254"/>
      <c r="AF18" s="1254"/>
      <c r="AG18" s="1254"/>
      <c r="AH18" s="1254"/>
      <c r="AI18" s="1254"/>
      <c r="AJ18" s="1254"/>
      <c r="AK18" s="1254"/>
      <c r="AL18" s="1254"/>
      <c r="AM18" s="1254"/>
      <c r="AN18" s="1254"/>
      <c r="AO18" s="1254"/>
      <c r="AP18" s="1254"/>
      <c r="AQ18" s="1254"/>
      <c r="AR18" s="1254"/>
      <c r="AS18" s="1254"/>
      <c r="AT18" s="1254"/>
      <c r="AU18" s="1254"/>
      <c r="AV18" s="1254"/>
      <c r="AW18" s="1254"/>
      <c r="AX18" s="1254"/>
      <c r="AY18" s="1254"/>
      <c r="AZ18" s="1254"/>
      <c r="BA18" s="1254"/>
      <c r="BB18" s="1254"/>
      <c r="BC18" s="1254"/>
      <c r="BD18" s="1254"/>
      <c r="BE18" s="1254"/>
      <c r="BF18" s="1254"/>
      <c r="BG18" s="1254"/>
      <c r="BH18" s="1254"/>
      <c r="BI18" s="1254"/>
      <c r="BJ18" s="1254"/>
      <c r="BK18" s="1254"/>
      <c r="BL18" s="1254"/>
      <c r="BM18" s="1254"/>
      <c r="BN18" s="1254"/>
      <c r="BO18" s="1254"/>
      <c r="BP18" s="1254"/>
      <c r="BQ18" s="1254"/>
      <c r="BR18" s="1254"/>
      <c r="BS18" s="1254"/>
      <c r="BT18" s="1254"/>
      <c r="BU18" s="1254"/>
      <c r="BV18" s="1254"/>
      <c r="BW18" s="1254"/>
      <c r="BX18" s="1254"/>
      <c r="BY18" s="1254"/>
      <c r="BZ18" s="1254"/>
      <c r="CA18" s="1254"/>
      <c r="CB18" s="1254"/>
      <c r="CC18" s="1254"/>
      <c r="CD18" s="1254"/>
      <c r="CE18" s="1254"/>
      <c r="CF18" s="1254"/>
      <c r="CG18" s="1254"/>
      <c r="CH18" s="1254"/>
      <c r="CI18" s="1254"/>
      <c r="CJ18" s="1254"/>
      <c r="CK18" s="1254"/>
      <c r="CL18" s="1254"/>
      <c r="CM18" s="1254"/>
      <c r="CN18" s="1254"/>
      <c r="CO18" s="1254"/>
      <c r="CP18" s="1254"/>
    </row>
    <row r="19" spans="2:94" ht="120.75" thickBot="1" x14ac:dyDescent="0.25">
      <c r="B19" s="1256" t="s">
        <v>1480</v>
      </c>
      <c r="C19" s="1257" t="s">
        <v>807</v>
      </c>
      <c r="D19" s="1246" t="s">
        <v>808</v>
      </c>
      <c r="E19" s="1246" t="s">
        <v>1481</v>
      </c>
      <c r="F19" s="1246" t="s">
        <v>1482</v>
      </c>
      <c r="G19" s="1246" t="s">
        <v>1503</v>
      </c>
      <c r="H19" s="1247"/>
      <c r="I19" s="401" t="s">
        <v>208</v>
      </c>
      <c r="J19" s="402" t="s">
        <v>209</v>
      </c>
      <c r="K19" s="402" t="s">
        <v>210</v>
      </c>
      <c r="L19" s="402" t="s">
        <v>211</v>
      </c>
      <c r="M19" s="402" t="s">
        <v>212</v>
      </c>
      <c r="N19" s="402" t="s">
        <v>213</v>
      </c>
      <c r="O19" s="402" t="s">
        <v>214</v>
      </c>
      <c r="P19" s="402" t="s">
        <v>215</v>
      </c>
      <c r="Q19" s="402" t="s">
        <v>216</v>
      </c>
      <c r="R19" s="402" t="s">
        <v>217</v>
      </c>
      <c r="S19" s="402" t="s">
        <v>218</v>
      </c>
      <c r="T19" s="402" t="s">
        <v>247</v>
      </c>
      <c r="U19" s="402" t="s">
        <v>248</v>
      </c>
      <c r="V19" s="402" t="s">
        <v>249</v>
      </c>
      <c r="W19" s="402" t="s">
        <v>250</v>
      </c>
      <c r="X19" s="402" t="s">
        <v>219</v>
      </c>
      <c r="Y19" s="402" t="s">
        <v>251</v>
      </c>
      <c r="Z19" s="402" t="s">
        <v>252</v>
      </c>
      <c r="AA19" s="402" t="s">
        <v>253</v>
      </c>
      <c r="AB19" s="402" t="s">
        <v>254</v>
      </c>
      <c r="AC19" s="402" t="s">
        <v>220</v>
      </c>
      <c r="AD19" s="402" t="s">
        <v>255</v>
      </c>
      <c r="AE19" s="402" t="s">
        <v>256</v>
      </c>
      <c r="AF19" s="402" t="s">
        <v>257</v>
      </c>
      <c r="AG19" s="402" t="s">
        <v>258</v>
      </c>
      <c r="AH19" s="402" t="s">
        <v>221</v>
      </c>
      <c r="AI19" s="402" t="s">
        <v>259</v>
      </c>
      <c r="AJ19" s="402" t="s">
        <v>260</v>
      </c>
      <c r="AK19" s="402" t="s">
        <v>261</v>
      </c>
      <c r="AL19" s="402" t="s">
        <v>262</v>
      </c>
      <c r="AM19" s="402" t="s">
        <v>222</v>
      </c>
      <c r="AN19" s="402" t="s">
        <v>263</v>
      </c>
      <c r="AO19" s="402" t="s">
        <v>264</v>
      </c>
      <c r="AP19" s="402" t="s">
        <v>265</v>
      </c>
      <c r="AQ19" s="402" t="s">
        <v>266</v>
      </c>
      <c r="AR19" s="402" t="s">
        <v>223</v>
      </c>
      <c r="AS19" s="402" t="s">
        <v>267</v>
      </c>
      <c r="AT19" s="402" t="s">
        <v>268</v>
      </c>
      <c r="AU19" s="402" t="s">
        <v>269</v>
      </c>
      <c r="AV19" s="402" t="s">
        <v>270</v>
      </c>
      <c r="AW19" s="402" t="s">
        <v>224</v>
      </c>
      <c r="AX19" s="402" t="s">
        <v>271</v>
      </c>
      <c r="AY19" s="402" t="s">
        <v>272</v>
      </c>
      <c r="AZ19" s="402" t="s">
        <v>273</v>
      </c>
      <c r="BA19" s="402" t="s">
        <v>274</v>
      </c>
      <c r="BB19" s="402" t="s">
        <v>225</v>
      </c>
      <c r="BC19" s="402" t="s">
        <v>275</v>
      </c>
      <c r="BD19" s="402" t="s">
        <v>276</v>
      </c>
      <c r="BE19" s="402" t="s">
        <v>277</v>
      </c>
      <c r="BF19" s="402" t="s">
        <v>278</v>
      </c>
      <c r="BG19" s="402" t="s">
        <v>226</v>
      </c>
      <c r="BH19" s="402" t="s">
        <v>279</v>
      </c>
      <c r="BI19" s="402" t="s">
        <v>280</v>
      </c>
      <c r="BJ19" s="402" t="s">
        <v>281</v>
      </c>
      <c r="BK19" s="402" t="s">
        <v>282</v>
      </c>
      <c r="BL19" s="402" t="s">
        <v>227</v>
      </c>
      <c r="BM19" s="402" t="s">
        <v>283</v>
      </c>
      <c r="BN19" s="402" t="s">
        <v>284</v>
      </c>
      <c r="BO19" s="402" t="s">
        <v>285</v>
      </c>
      <c r="BP19" s="402" t="s">
        <v>286</v>
      </c>
      <c r="BQ19" s="402" t="s">
        <v>228</v>
      </c>
      <c r="BR19" s="402" t="s">
        <v>287</v>
      </c>
      <c r="BS19" s="402" t="s">
        <v>288</v>
      </c>
      <c r="BT19" s="402" t="s">
        <v>289</v>
      </c>
      <c r="BU19" s="402" t="s">
        <v>290</v>
      </c>
      <c r="BV19" s="402" t="s">
        <v>229</v>
      </c>
      <c r="BW19" s="402" t="s">
        <v>291</v>
      </c>
      <c r="BX19" s="402" t="s">
        <v>292</v>
      </c>
      <c r="BY19" s="402" t="s">
        <v>293</v>
      </c>
      <c r="BZ19" s="402" t="s">
        <v>294</v>
      </c>
      <c r="CA19" s="402" t="s">
        <v>230</v>
      </c>
      <c r="CB19" s="402" t="s">
        <v>295</v>
      </c>
      <c r="CC19" s="402" t="s">
        <v>296</v>
      </c>
      <c r="CD19" s="402" t="s">
        <v>297</v>
      </c>
      <c r="CE19" s="402" t="s">
        <v>298</v>
      </c>
      <c r="CF19" s="402" t="s">
        <v>231</v>
      </c>
      <c r="CG19" s="402" t="s">
        <v>299</v>
      </c>
      <c r="CH19" s="402" t="s">
        <v>300</v>
      </c>
      <c r="CI19" s="402" t="s">
        <v>301</v>
      </c>
      <c r="CJ19" s="402" t="s">
        <v>302</v>
      </c>
      <c r="CK19" s="402" t="s">
        <v>232</v>
      </c>
      <c r="CL19" s="402" t="s">
        <v>303</v>
      </c>
      <c r="CM19" s="402" t="s">
        <v>1485</v>
      </c>
      <c r="CN19" s="402" t="s">
        <v>1486</v>
      </c>
      <c r="CO19" s="402" t="s">
        <v>1487</v>
      </c>
      <c r="CP19" s="403" t="s">
        <v>1488</v>
      </c>
    </row>
    <row r="20" spans="2:94" ht="15.75" thickBot="1" x14ac:dyDescent="0.25">
      <c r="B20" s="1852" t="s">
        <v>1504</v>
      </c>
      <c r="C20" s="1184" t="s">
        <v>1505</v>
      </c>
      <c r="D20" s="1163" t="s">
        <v>980</v>
      </c>
      <c r="E20" s="1184" t="s">
        <v>1491</v>
      </c>
      <c r="F20" s="1185" t="s">
        <v>1506</v>
      </c>
      <c r="G20" s="1185"/>
      <c r="H20" s="1184" t="s">
        <v>1498</v>
      </c>
      <c r="I20" s="1183"/>
      <c r="J20" s="1182"/>
      <c r="K20" s="1181"/>
      <c r="L20" s="1180"/>
      <c r="M20" s="1180"/>
      <c r="N20" s="1179"/>
      <c r="O20" s="1179"/>
      <c r="P20" s="1179"/>
      <c r="Q20" s="1179"/>
      <c r="R20" s="1179"/>
      <c r="S20" s="1179"/>
      <c r="T20" s="1179"/>
      <c r="U20" s="1179"/>
      <c r="V20" s="1179"/>
      <c r="W20" s="1179"/>
      <c r="X20" s="1179"/>
      <c r="Y20" s="1179"/>
      <c r="Z20" s="1179"/>
      <c r="AA20" s="1179"/>
      <c r="AB20" s="1179"/>
      <c r="AC20" s="1179"/>
      <c r="AD20" s="1179"/>
      <c r="AE20" s="1179"/>
      <c r="AF20" s="1179"/>
      <c r="AG20" s="1179"/>
      <c r="AH20" s="1179"/>
      <c r="AI20" s="1179"/>
      <c r="AJ20" s="1179"/>
      <c r="AK20" s="1179"/>
      <c r="AL20" s="1179"/>
      <c r="AM20" s="1179"/>
      <c r="AN20" s="1179"/>
      <c r="AO20" s="1179"/>
      <c r="AP20" s="1179"/>
      <c r="AQ20" s="1179"/>
      <c r="AR20" s="1179"/>
      <c r="AS20" s="1179"/>
      <c r="AT20" s="1179"/>
      <c r="AU20" s="1179"/>
      <c r="AV20" s="1179"/>
      <c r="AW20" s="1179"/>
      <c r="AX20" s="1179"/>
      <c r="AY20" s="1179"/>
      <c r="AZ20" s="1179"/>
      <c r="BA20" s="1179"/>
      <c r="BB20" s="1179"/>
      <c r="BC20" s="1179"/>
      <c r="BD20" s="1179"/>
      <c r="BE20" s="1179"/>
      <c r="BF20" s="1179"/>
      <c r="BG20" s="1179"/>
      <c r="BH20" s="1179"/>
      <c r="BI20" s="1179"/>
      <c r="BJ20" s="1179"/>
      <c r="BK20" s="1179"/>
      <c r="BL20" s="1179"/>
      <c r="BM20" s="1179"/>
      <c r="BN20" s="1179"/>
      <c r="BO20" s="1179"/>
      <c r="BP20" s="1179"/>
      <c r="BQ20" s="1179"/>
      <c r="BR20" s="1179"/>
      <c r="BS20" s="1179"/>
      <c r="BT20" s="1179"/>
      <c r="BU20" s="1179"/>
      <c r="BV20" s="1179"/>
      <c r="BW20" s="1179"/>
      <c r="BX20" s="1179"/>
      <c r="BY20" s="1179"/>
      <c r="BZ20" s="1179"/>
      <c r="CA20" s="1179"/>
      <c r="CB20" s="1179"/>
      <c r="CC20" s="1179"/>
      <c r="CD20" s="1179"/>
      <c r="CE20" s="1179"/>
      <c r="CF20" s="1179"/>
      <c r="CG20" s="1179"/>
      <c r="CH20" s="1179"/>
      <c r="CI20" s="1179"/>
      <c r="CJ20" s="1179"/>
      <c r="CK20" s="1179"/>
      <c r="CL20" s="1179"/>
      <c r="CM20" s="1179"/>
      <c r="CN20" s="1179"/>
      <c r="CO20" s="1179"/>
      <c r="CP20" s="1178"/>
    </row>
    <row r="21" spans="2:94" ht="15.75" thickBot="1" x14ac:dyDescent="0.25">
      <c r="B21" s="1853"/>
      <c r="C21" s="1184" t="s">
        <v>1505</v>
      </c>
      <c r="D21" s="1163" t="s">
        <v>980</v>
      </c>
      <c r="E21" s="1171" t="s">
        <v>1491</v>
      </c>
      <c r="F21" s="1177" t="s">
        <v>1506</v>
      </c>
      <c r="G21" s="1177"/>
      <c r="H21" s="1171" t="s">
        <v>1507</v>
      </c>
      <c r="I21" s="1175"/>
      <c r="J21" s="1176"/>
      <c r="K21" s="1173"/>
      <c r="L21" s="1170"/>
      <c r="M21" s="1170"/>
      <c r="N21" s="1169"/>
      <c r="O21" s="1169"/>
      <c r="P21" s="1169"/>
      <c r="Q21" s="1169"/>
      <c r="R21" s="1169"/>
      <c r="S21" s="1169"/>
      <c r="T21" s="1169"/>
      <c r="U21" s="1169"/>
      <c r="V21" s="1169"/>
      <c r="W21" s="1169"/>
      <c r="X21" s="1169"/>
      <c r="Y21" s="1169"/>
      <c r="Z21" s="1169"/>
      <c r="AA21" s="1169"/>
      <c r="AB21" s="1169"/>
      <c r="AC21" s="1169"/>
      <c r="AD21" s="1169">
        <v>0.92</v>
      </c>
      <c r="AE21" s="1169">
        <v>0.92</v>
      </c>
      <c r="AF21" s="1169">
        <v>0.92</v>
      </c>
      <c r="AG21" s="1169">
        <v>0.92</v>
      </c>
      <c r="AH21" s="1169">
        <v>0.92</v>
      </c>
      <c r="AI21" s="1169">
        <v>0.92</v>
      </c>
      <c r="AJ21" s="1169">
        <v>0.92</v>
      </c>
      <c r="AK21" s="1169">
        <v>0.92</v>
      </c>
      <c r="AL21" s="1169">
        <v>0.92</v>
      </c>
      <c r="AM21" s="1169">
        <v>0.92</v>
      </c>
      <c r="AN21" s="1169"/>
      <c r="AO21" s="1169"/>
      <c r="AP21" s="1169"/>
      <c r="AQ21" s="1169"/>
      <c r="AR21" s="1169"/>
      <c r="AS21" s="1169"/>
      <c r="AT21" s="1169"/>
      <c r="AU21" s="1169"/>
      <c r="AV21" s="1169"/>
      <c r="AW21" s="1169"/>
      <c r="AX21" s="1169"/>
      <c r="AY21" s="1169"/>
      <c r="AZ21" s="1169"/>
      <c r="BA21" s="1169"/>
      <c r="BB21" s="1169"/>
      <c r="BC21" s="1169"/>
      <c r="BD21" s="1169"/>
      <c r="BE21" s="1169"/>
      <c r="BF21" s="1169"/>
      <c r="BG21" s="1169"/>
      <c r="BH21" s="1169"/>
      <c r="BI21" s="1169"/>
      <c r="BJ21" s="1169"/>
      <c r="BK21" s="1169"/>
      <c r="BL21" s="1169"/>
      <c r="BM21" s="1169"/>
      <c r="BN21" s="1169"/>
      <c r="BO21" s="1169"/>
      <c r="BP21" s="1169"/>
      <c r="BQ21" s="1169"/>
      <c r="BR21" s="1169"/>
      <c r="BS21" s="1169"/>
      <c r="BT21" s="1169"/>
      <c r="BU21" s="1169"/>
      <c r="BV21" s="1169"/>
      <c r="BW21" s="1169"/>
      <c r="BX21" s="1169"/>
      <c r="BY21" s="1169"/>
      <c r="BZ21" s="1169"/>
      <c r="CA21" s="1169"/>
      <c r="CB21" s="1169"/>
      <c r="CC21" s="1169"/>
      <c r="CD21" s="1169"/>
      <c r="CE21" s="1169"/>
      <c r="CF21" s="1169"/>
      <c r="CG21" s="1169"/>
      <c r="CH21" s="1169"/>
      <c r="CI21" s="1169"/>
      <c r="CJ21" s="1169"/>
      <c r="CK21" s="1169"/>
      <c r="CL21" s="1169"/>
      <c r="CM21" s="1169"/>
      <c r="CN21" s="1169"/>
      <c r="CO21" s="1169"/>
      <c r="CP21" s="1168"/>
    </row>
    <row r="22" spans="2:94" ht="15.75" thickBot="1" x14ac:dyDescent="0.25">
      <c r="B22" s="1853"/>
      <c r="C22" s="1184" t="s">
        <v>1505</v>
      </c>
      <c r="D22" s="1163" t="s">
        <v>980</v>
      </c>
      <c r="E22" s="1171" t="s">
        <v>1496</v>
      </c>
      <c r="F22" s="1171" t="s">
        <v>1508</v>
      </c>
      <c r="G22" s="1171"/>
      <c r="H22" s="1171" t="s">
        <v>1498</v>
      </c>
      <c r="I22" s="1401"/>
      <c r="J22" s="1176"/>
      <c r="K22" s="1173"/>
      <c r="L22" s="1170"/>
      <c r="M22" s="1589">
        <v>0.10679213709433448</v>
      </c>
      <c r="N22" s="1334">
        <v>0.21358427418866896</v>
      </c>
      <c r="O22" s="1334">
        <v>0.8132029485896245</v>
      </c>
      <c r="P22" s="1334"/>
      <c r="Q22" s="1334"/>
      <c r="R22" s="1334"/>
      <c r="S22" s="1334"/>
      <c r="T22" s="1334"/>
      <c r="U22" s="1334"/>
      <c r="V22" s="1334"/>
      <c r="W22" s="1334">
        <v>0.8132029485896245</v>
      </c>
      <c r="X22" s="1334">
        <v>0.8132029485896245</v>
      </c>
      <c r="Y22" s="1334">
        <v>0.8132029485896245</v>
      </c>
      <c r="Z22" s="1334">
        <v>0.8132029485896245</v>
      </c>
      <c r="AA22" s="1334">
        <v>0.8132029485896245</v>
      </c>
      <c r="AB22" s="1334">
        <v>0.8132029485896245</v>
      </c>
      <c r="AC22" s="1334">
        <v>0.8132029485896245</v>
      </c>
      <c r="AD22" s="1169"/>
      <c r="AE22" s="1169"/>
      <c r="AF22" s="1169"/>
      <c r="AG22" s="1169"/>
      <c r="AH22" s="1169"/>
      <c r="AI22" s="1169"/>
      <c r="AJ22" s="1169"/>
      <c r="AK22" s="1169"/>
      <c r="AL22" s="1169"/>
      <c r="AM22" s="1169"/>
      <c r="AN22" s="1169"/>
      <c r="AO22" s="1169"/>
      <c r="AP22" s="1169"/>
      <c r="AQ22" s="1169"/>
      <c r="AR22" s="1169"/>
      <c r="AS22" s="1169"/>
      <c r="AT22" s="1169"/>
      <c r="AU22" s="1169"/>
      <c r="AV22" s="1169"/>
      <c r="AW22" s="1169"/>
      <c r="AX22" s="1169"/>
      <c r="AY22" s="1169"/>
      <c r="AZ22" s="1169"/>
      <c r="BA22" s="1169"/>
      <c r="BB22" s="1169"/>
      <c r="BC22" s="1169"/>
      <c r="BD22" s="1169"/>
      <c r="BE22" s="1169"/>
      <c r="BF22" s="1169"/>
      <c r="BG22" s="1169"/>
      <c r="BH22" s="1169"/>
      <c r="BI22" s="1169"/>
      <c r="BJ22" s="1169"/>
      <c r="BK22" s="1169"/>
      <c r="BL22" s="1169"/>
      <c r="BM22" s="1169"/>
      <c r="BN22" s="1169"/>
      <c r="BO22" s="1169"/>
      <c r="BP22" s="1169"/>
      <c r="BQ22" s="1169"/>
      <c r="BR22" s="1169"/>
      <c r="BS22" s="1169"/>
      <c r="BT22" s="1169"/>
      <c r="BU22" s="1169"/>
      <c r="BV22" s="1169"/>
      <c r="BW22" s="1169"/>
      <c r="BX22" s="1169"/>
      <c r="BY22" s="1169"/>
      <c r="BZ22" s="1169"/>
      <c r="CA22" s="1169"/>
      <c r="CB22" s="1169"/>
      <c r="CC22" s="1169"/>
      <c r="CD22" s="1169"/>
      <c r="CE22" s="1169"/>
      <c r="CF22" s="1169"/>
      <c r="CG22" s="1169"/>
      <c r="CH22" s="1169"/>
      <c r="CI22" s="1169"/>
      <c r="CJ22" s="1169"/>
      <c r="CK22" s="1169"/>
      <c r="CL22" s="1169"/>
      <c r="CM22" s="1169"/>
      <c r="CN22" s="1169"/>
      <c r="CO22" s="1169"/>
      <c r="CP22" s="1168"/>
    </row>
    <row r="23" spans="2:94" ht="15.75" thickBot="1" x14ac:dyDescent="0.25">
      <c r="B23" s="1853"/>
      <c r="C23" s="1184" t="s">
        <v>1505</v>
      </c>
      <c r="D23" s="1163" t="s">
        <v>980</v>
      </c>
      <c r="E23" s="1171" t="s">
        <v>1496</v>
      </c>
      <c r="F23" s="1171" t="s">
        <v>1509</v>
      </c>
      <c r="G23" s="1171"/>
      <c r="H23" s="1171" t="s">
        <v>1498</v>
      </c>
      <c r="I23" s="1401"/>
      <c r="J23" s="1176"/>
      <c r="K23" s="1173"/>
      <c r="L23" s="1170"/>
      <c r="M23" s="1170"/>
      <c r="N23" s="1169"/>
      <c r="O23" s="1169"/>
      <c r="P23" s="1169"/>
      <c r="Q23" s="1169"/>
      <c r="R23" s="1169"/>
      <c r="S23" s="1169"/>
      <c r="T23" s="1169"/>
      <c r="U23" s="1169"/>
      <c r="V23" s="1169"/>
      <c r="W23" s="1169"/>
      <c r="X23" s="1169"/>
      <c r="Y23" s="1169"/>
      <c r="Z23" s="1169"/>
      <c r="AA23" s="1169"/>
      <c r="AB23" s="1169"/>
      <c r="AC23" s="1169"/>
      <c r="AD23" s="1169"/>
      <c r="AE23" s="1169"/>
      <c r="AF23" s="1169"/>
      <c r="AG23" s="1169"/>
      <c r="AH23" s="1169"/>
      <c r="AI23" s="1169"/>
      <c r="AJ23" s="1169"/>
      <c r="AK23" s="1169"/>
      <c r="AL23" s="1169"/>
      <c r="AM23" s="1169"/>
      <c r="AN23" s="1169"/>
      <c r="AO23" s="1169"/>
      <c r="AP23" s="1169"/>
      <c r="AQ23" s="1169"/>
      <c r="AR23" s="1169"/>
      <c r="AS23" s="1169"/>
      <c r="AT23" s="1169"/>
      <c r="AU23" s="1169"/>
      <c r="AV23" s="1169"/>
      <c r="AW23" s="1169"/>
      <c r="AX23" s="1169"/>
      <c r="AY23" s="1169"/>
      <c r="AZ23" s="1169"/>
      <c r="BA23" s="1169"/>
      <c r="BB23" s="1169"/>
      <c r="BC23" s="1169"/>
      <c r="BD23" s="1169"/>
      <c r="BE23" s="1169"/>
      <c r="BF23" s="1169"/>
      <c r="BG23" s="1169"/>
      <c r="BH23" s="1169"/>
      <c r="BI23" s="1169"/>
      <c r="BJ23" s="1169"/>
      <c r="BK23" s="1169"/>
      <c r="BL23" s="1169"/>
      <c r="BM23" s="1169"/>
      <c r="BN23" s="1169"/>
      <c r="BO23" s="1169"/>
      <c r="BP23" s="1169"/>
      <c r="BQ23" s="1169"/>
      <c r="BR23" s="1169"/>
      <c r="BS23" s="1169"/>
      <c r="BT23" s="1169"/>
      <c r="BU23" s="1169"/>
      <c r="BV23" s="1169"/>
      <c r="BW23" s="1169"/>
      <c r="BX23" s="1169"/>
      <c r="BY23" s="1169"/>
      <c r="BZ23" s="1169"/>
      <c r="CA23" s="1169"/>
      <c r="CB23" s="1169"/>
      <c r="CC23" s="1169"/>
      <c r="CD23" s="1169"/>
      <c r="CE23" s="1169"/>
      <c r="CF23" s="1169"/>
      <c r="CG23" s="1169"/>
      <c r="CH23" s="1169"/>
      <c r="CI23" s="1169"/>
      <c r="CJ23" s="1169"/>
      <c r="CK23" s="1169"/>
      <c r="CL23" s="1169"/>
      <c r="CM23" s="1169"/>
      <c r="CN23" s="1169"/>
      <c r="CO23" s="1169"/>
      <c r="CP23" s="1168"/>
    </row>
    <row r="24" spans="2:94" ht="15.75" thickBot="1" x14ac:dyDescent="0.25">
      <c r="B24" s="1853"/>
      <c r="C24" s="1184" t="s">
        <v>1505</v>
      </c>
      <c r="D24" s="1163" t="s">
        <v>980</v>
      </c>
      <c r="E24" s="1171" t="s">
        <v>1496</v>
      </c>
      <c r="F24" s="1171" t="s">
        <v>1510</v>
      </c>
      <c r="G24" s="1171"/>
      <c r="H24" s="1171" t="s">
        <v>1498</v>
      </c>
      <c r="I24" s="1401"/>
      <c r="J24" s="1176"/>
      <c r="K24" s="1173"/>
      <c r="L24" s="1170"/>
      <c r="M24" s="1170"/>
      <c r="N24" s="1169"/>
      <c r="O24" s="1169"/>
      <c r="P24" s="1169"/>
      <c r="Q24" s="1169"/>
      <c r="R24" s="1169"/>
      <c r="S24" s="1169"/>
      <c r="T24" s="1169"/>
      <c r="U24" s="1169"/>
      <c r="V24" s="1169"/>
      <c r="W24" s="1169"/>
      <c r="X24" s="1169"/>
      <c r="Y24" s="1169"/>
      <c r="Z24" s="1169"/>
      <c r="AA24" s="1169"/>
      <c r="AB24" s="1169"/>
      <c r="AC24" s="1169"/>
      <c r="AD24" s="1169"/>
      <c r="AE24" s="1169"/>
      <c r="AF24" s="1169"/>
      <c r="AG24" s="1169"/>
      <c r="AH24" s="1169"/>
      <c r="AI24" s="1169"/>
      <c r="AJ24" s="1169"/>
      <c r="AK24" s="1169"/>
      <c r="AL24" s="1169"/>
      <c r="AM24" s="1169"/>
      <c r="AN24" s="1169"/>
      <c r="AO24" s="1169"/>
      <c r="AP24" s="1169"/>
      <c r="AQ24" s="1169"/>
      <c r="AR24" s="1169"/>
      <c r="AS24" s="1169"/>
      <c r="AT24" s="1169"/>
      <c r="AU24" s="1169"/>
      <c r="AV24" s="1169"/>
      <c r="AW24" s="1169"/>
      <c r="AX24" s="1169"/>
      <c r="AY24" s="1169"/>
      <c r="AZ24" s="1169"/>
      <c r="BA24" s="1169"/>
      <c r="BB24" s="1169"/>
      <c r="BC24" s="1169"/>
      <c r="BD24" s="1169"/>
      <c r="BE24" s="1169"/>
      <c r="BF24" s="1169"/>
      <c r="BG24" s="1169"/>
      <c r="BH24" s="1169"/>
      <c r="BI24" s="1169"/>
      <c r="BJ24" s="1169"/>
      <c r="BK24" s="1169"/>
      <c r="BL24" s="1169"/>
      <c r="BM24" s="1169"/>
      <c r="BN24" s="1169"/>
      <c r="BO24" s="1169"/>
      <c r="BP24" s="1169"/>
      <c r="BQ24" s="1169"/>
      <c r="BR24" s="1169"/>
      <c r="BS24" s="1169"/>
      <c r="BT24" s="1169"/>
      <c r="BU24" s="1169"/>
      <c r="BV24" s="1169"/>
      <c r="BW24" s="1169"/>
      <c r="BX24" s="1169"/>
      <c r="BY24" s="1169"/>
      <c r="BZ24" s="1169"/>
      <c r="CA24" s="1169"/>
      <c r="CB24" s="1169"/>
      <c r="CC24" s="1169"/>
      <c r="CD24" s="1169"/>
      <c r="CE24" s="1169"/>
      <c r="CF24" s="1169"/>
      <c r="CG24" s="1169"/>
      <c r="CH24" s="1169"/>
      <c r="CI24" s="1169"/>
      <c r="CJ24" s="1169"/>
      <c r="CK24" s="1169"/>
      <c r="CL24" s="1169"/>
      <c r="CM24" s="1169"/>
      <c r="CN24" s="1169"/>
      <c r="CO24" s="1169"/>
      <c r="CP24" s="1168"/>
    </row>
    <row r="25" spans="2:94" ht="15.75" thickBot="1" x14ac:dyDescent="0.25">
      <c r="B25" s="1853"/>
      <c r="C25" s="1184" t="s">
        <v>1505</v>
      </c>
      <c r="D25" s="1163" t="s">
        <v>980</v>
      </c>
      <c r="E25" s="1171" t="s">
        <v>1496</v>
      </c>
      <c r="F25" s="1171" t="s">
        <v>1511</v>
      </c>
      <c r="G25" s="1171"/>
      <c r="H25" s="1171" t="s">
        <v>1498</v>
      </c>
      <c r="I25" s="1175"/>
      <c r="J25" s="1176"/>
      <c r="K25" s="1173"/>
      <c r="L25" s="1170"/>
      <c r="M25" s="1170"/>
      <c r="N25" s="1169"/>
      <c r="O25" s="1169"/>
      <c r="P25" s="1169"/>
      <c r="Q25" s="1169"/>
      <c r="R25" s="1169"/>
      <c r="S25" s="1169"/>
      <c r="T25" s="1169"/>
      <c r="U25" s="1169"/>
      <c r="V25" s="1169"/>
      <c r="W25" s="1169"/>
      <c r="X25" s="1169"/>
      <c r="Y25" s="1169"/>
      <c r="Z25" s="1169"/>
      <c r="AA25" s="1169"/>
      <c r="AB25" s="1169"/>
      <c r="AC25" s="1169"/>
      <c r="AD25" s="1169"/>
      <c r="AE25" s="1169"/>
      <c r="AF25" s="1169"/>
      <c r="AG25" s="1169"/>
      <c r="AH25" s="1169"/>
      <c r="AI25" s="1169"/>
      <c r="AJ25" s="1169"/>
      <c r="AK25" s="1169"/>
      <c r="AL25" s="1169"/>
      <c r="AM25" s="1169"/>
      <c r="AN25" s="1169"/>
      <c r="AO25" s="1169"/>
      <c r="AP25" s="1169"/>
      <c r="AQ25" s="1169"/>
      <c r="AR25" s="1169"/>
      <c r="AS25" s="1169"/>
      <c r="AT25" s="1169"/>
      <c r="AU25" s="1169"/>
      <c r="AV25" s="1169"/>
      <c r="AW25" s="1169"/>
      <c r="AX25" s="1169"/>
      <c r="AY25" s="1169"/>
      <c r="AZ25" s="1169"/>
      <c r="BA25" s="1169"/>
      <c r="BB25" s="1169"/>
      <c r="BC25" s="1169"/>
      <c r="BD25" s="1169"/>
      <c r="BE25" s="1169"/>
      <c r="BF25" s="1169"/>
      <c r="BG25" s="1169"/>
      <c r="BH25" s="1169"/>
      <c r="BI25" s="1169"/>
      <c r="BJ25" s="1169"/>
      <c r="BK25" s="1169"/>
      <c r="BL25" s="1169"/>
      <c r="BM25" s="1169"/>
      <c r="BN25" s="1169"/>
      <c r="BO25" s="1169"/>
      <c r="BP25" s="1169"/>
      <c r="BQ25" s="1169"/>
      <c r="BR25" s="1169"/>
      <c r="BS25" s="1169"/>
      <c r="BT25" s="1169"/>
      <c r="BU25" s="1169"/>
      <c r="BV25" s="1169"/>
      <c r="BW25" s="1169"/>
      <c r="BX25" s="1169"/>
      <c r="BY25" s="1169"/>
      <c r="BZ25" s="1169"/>
      <c r="CA25" s="1169"/>
      <c r="CB25" s="1169"/>
      <c r="CC25" s="1169"/>
      <c r="CD25" s="1169"/>
      <c r="CE25" s="1169"/>
      <c r="CF25" s="1169"/>
      <c r="CG25" s="1169"/>
      <c r="CH25" s="1169"/>
      <c r="CI25" s="1169"/>
      <c r="CJ25" s="1169"/>
      <c r="CK25" s="1169"/>
      <c r="CL25" s="1169"/>
      <c r="CM25" s="1169"/>
      <c r="CN25" s="1169"/>
      <c r="CO25" s="1169"/>
      <c r="CP25" s="1168"/>
    </row>
    <row r="26" spans="2:94" ht="15.75" thickBot="1" x14ac:dyDescent="0.25">
      <c r="B26" s="1853"/>
      <c r="C26" s="1184" t="s">
        <v>1505</v>
      </c>
      <c r="D26" s="1163" t="s">
        <v>980</v>
      </c>
      <c r="E26" s="1171" t="s">
        <v>1496</v>
      </c>
      <c r="F26" s="1171" t="s">
        <v>1512</v>
      </c>
      <c r="G26" s="1171"/>
      <c r="H26" s="1171" t="s">
        <v>1498</v>
      </c>
      <c r="I26" s="1401"/>
      <c r="J26" s="1176"/>
      <c r="K26" s="1173"/>
      <c r="L26" s="1170"/>
      <c r="M26" s="1170"/>
      <c r="N26" s="1169"/>
      <c r="O26" s="1169"/>
      <c r="P26" s="1169"/>
      <c r="Q26" s="1169"/>
      <c r="R26" s="1169"/>
      <c r="S26" s="1169"/>
      <c r="T26" s="1169"/>
      <c r="U26" s="1169"/>
      <c r="V26" s="1169"/>
      <c r="W26" s="1169"/>
      <c r="X26" s="1169"/>
      <c r="Y26" s="1169"/>
      <c r="Z26" s="1169"/>
      <c r="AA26" s="1169"/>
      <c r="AB26" s="1169"/>
      <c r="AC26" s="1169"/>
      <c r="AD26" s="1169"/>
      <c r="AE26" s="1169"/>
      <c r="AF26" s="1169"/>
      <c r="AG26" s="1169"/>
      <c r="AH26" s="1169"/>
      <c r="AI26" s="1169"/>
      <c r="AJ26" s="1169"/>
      <c r="AK26" s="1169"/>
      <c r="AL26" s="1169"/>
      <c r="AM26" s="1169"/>
      <c r="AN26" s="1169"/>
      <c r="AO26" s="1169"/>
      <c r="AP26" s="1169"/>
      <c r="AQ26" s="1169"/>
      <c r="AR26" s="1169"/>
      <c r="AS26" s="1169"/>
      <c r="AT26" s="1169"/>
      <c r="AU26" s="1169"/>
      <c r="AV26" s="1169"/>
      <c r="AW26" s="1169"/>
      <c r="AX26" s="1169"/>
      <c r="AY26" s="1169"/>
      <c r="AZ26" s="1169"/>
      <c r="BA26" s="1169"/>
      <c r="BB26" s="1169"/>
      <c r="BC26" s="1169"/>
      <c r="BD26" s="1169"/>
      <c r="BE26" s="1169"/>
      <c r="BF26" s="1169"/>
      <c r="BG26" s="1169"/>
      <c r="BH26" s="1169"/>
      <c r="BI26" s="1169"/>
      <c r="BJ26" s="1169"/>
      <c r="BK26" s="1169"/>
      <c r="BL26" s="1169"/>
      <c r="BM26" s="1169"/>
      <c r="BN26" s="1169"/>
      <c r="BO26" s="1169"/>
      <c r="BP26" s="1169"/>
      <c r="BQ26" s="1169"/>
      <c r="BR26" s="1169"/>
      <c r="BS26" s="1169"/>
      <c r="BT26" s="1169"/>
      <c r="BU26" s="1169"/>
      <c r="BV26" s="1169"/>
      <c r="BW26" s="1169"/>
      <c r="BX26" s="1169"/>
      <c r="BY26" s="1169"/>
      <c r="BZ26" s="1169"/>
      <c r="CA26" s="1169"/>
      <c r="CB26" s="1169"/>
      <c r="CC26" s="1169"/>
      <c r="CD26" s="1169"/>
      <c r="CE26" s="1169"/>
      <c r="CF26" s="1169"/>
      <c r="CG26" s="1169"/>
      <c r="CH26" s="1169"/>
      <c r="CI26" s="1169"/>
      <c r="CJ26" s="1169"/>
      <c r="CK26" s="1169"/>
      <c r="CL26" s="1169"/>
      <c r="CM26" s="1169"/>
      <c r="CN26" s="1169"/>
      <c r="CO26" s="1169"/>
      <c r="CP26" s="1168"/>
    </row>
    <row r="27" spans="2:94" ht="15.75" thickBot="1" x14ac:dyDescent="0.25">
      <c r="B27" s="1853"/>
      <c r="C27" s="1184" t="s">
        <v>1505</v>
      </c>
      <c r="D27" s="1163" t="s">
        <v>980</v>
      </c>
      <c r="E27" s="1171" t="s">
        <v>1496</v>
      </c>
      <c r="F27" s="1171" t="s">
        <v>1513</v>
      </c>
      <c r="G27" s="1171"/>
      <c r="H27" s="1171" t="s">
        <v>1498</v>
      </c>
      <c r="I27" s="1175"/>
      <c r="J27" s="1174"/>
      <c r="K27" s="1173"/>
      <c r="L27" s="1170"/>
      <c r="M27" s="1170"/>
      <c r="N27" s="1169"/>
      <c r="O27" s="1169"/>
      <c r="P27" s="1169"/>
      <c r="Q27" s="1169"/>
      <c r="R27" s="1169"/>
      <c r="S27" s="1169"/>
      <c r="T27" s="1169"/>
      <c r="U27" s="1169"/>
      <c r="V27" s="1169"/>
      <c r="W27" s="1169"/>
      <c r="X27" s="1169"/>
      <c r="Y27" s="1169"/>
      <c r="Z27" s="1169"/>
      <c r="AA27" s="1169"/>
      <c r="AB27" s="1169"/>
      <c r="AC27" s="1169"/>
      <c r="AD27" s="1169"/>
      <c r="AE27" s="1169"/>
      <c r="AF27" s="1169"/>
      <c r="AG27" s="1169"/>
      <c r="AH27" s="1169"/>
      <c r="AI27" s="1169"/>
      <c r="AJ27" s="1169"/>
      <c r="AK27" s="1169"/>
      <c r="AL27" s="1169"/>
      <c r="AM27" s="1169"/>
      <c r="AN27" s="1169"/>
      <c r="AO27" s="1169"/>
      <c r="AP27" s="1169"/>
      <c r="AQ27" s="1169"/>
      <c r="AR27" s="1169"/>
      <c r="AS27" s="1169"/>
      <c r="AT27" s="1169"/>
      <c r="AU27" s="1169"/>
      <c r="AV27" s="1169"/>
      <c r="AW27" s="1169"/>
      <c r="AX27" s="1169"/>
      <c r="AY27" s="1169"/>
      <c r="AZ27" s="1169"/>
      <c r="BA27" s="1169"/>
      <c r="BB27" s="1169"/>
      <c r="BC27" s="1169"/>
      <c r="BD27" s="1169"/>
      <c r="BE27" s="1169"/>
      <c r="BF27" s="1169"/>
      <c r="BG27" s="1169"/>
      <c r="BH27" s="1169"/>
      <c r="BI27" s="1169"/>
      <c r="BJ27" s="1169"/>
      <c r="BK27" s="1169"/>
      <c r="BL27" s="1169"/>
      <c r="BM27" s="1169"/>
      <c r="BN27" s="1169"/>
      <c r="BO27" s="1169"/>
      <c r="BP27" s="1169"/>
      <c r="BQ27" s="1169"/>
      <c r="BR27" s="1169"/>
      <c r="BS27" s="1169"/>
      <c r="BT27" s="1169"/>
      <c r="BU27" s="1169"/>
      <c r="BV27" s="1169"/>
      <c r="BW27" s="1169"/>
      <c r="BX27" s="1169"/>
      <c r="BY27" s="1169"/>
      <c r="BZ27" s="1169"/>
      <c r="CA27" s="1169"/>
      <c r="CB27" s="1169"/>
      <c r="CC27" s="1169"/>
      <c r="CD27" s="1169"/>
      <c r="CE27" s="1169"/>
      <c r="CF27" s="1169"/>
      <c r="CG27" s="1169"/>
      <c r="CH27" s="1169"/>
      <c r="CI27" s="1169"/>
      <c r="CJ27" s="1169"/>
      <c r="CK27" s="1169"/>
      <c r="CL27" s="1169"/>
      <c r="CM27" s="1169"/>
      <c r="CN27" s="1169"/>
      <c r="CO27" s="1169"/>
      <c r="CP27" s="1168"/>
    </row>
    <row r="28" spans="2:94" ht="15.75" thickBot="1" x14ac:dyDescent="0.25">
      <c r="B28" s="1853"/>
      <c r="C28" s="1184" t="s">
        <v>1505</v>
      </c>
      <c r="D28" s="1163" t="s">
        <v>980</v>
      </c>
      <c r="E28" s="1171" t="s">
        <v>1496</v>
      </c>
      <c r="F28" s="1171" t="s">
        <v>1514</v>
      </c>
      <c r="G28" s="1171"/>
      <c r="H28" s="1171" t="s">
        <v>1498</v>
      </c>
      <c r="I28" s="1401"/>
      <c r="J28" s="1174"/>
      <c r="K28" s="1173"/>
      <c r="L28" s="1170"/>
      <c r="M28" s="1170"/>
      <c r="N28" s="1169"/>
      <c r="O28" s="1169"/>
      <c r="P28" s="1169"/>
      <c r="Q28" s="1169"/>
      <c r="R28" s="1169"/>
      <c r="S28" s="1169"/>
      <c r="T28" s="1169"/>
      <c r="U28" s="1169"/>
      <c r="V28" s="1169"/>
      <c r="W28" s="1169"/>
      <c r="X28" s="1169"/>
      <c r="Y28" s="1169"/>
      <c r="Z28" s="1169"/>
      <c r="AA28" s="1169"/>
      <c r="AB28" s="1169"/>
      <c r="AC28" s="1169"/>
      <c r="AD28" s="1169"/>
      <c r="AE28" s="1169"/>
      <c r="AF28" s="1169"/>
      <c r="AG28" s="1169"/>
      <c r="AH28" s="1169"/>
      <c r="AI28" s="1169"/>
      <c r="AJ28" s="1169"/>
      <c r="AK28" s="1169"/>
      <c r="AL28" s="1169"/>
      <c r="AM28" s="1169"/>
      <c r="AN28" s="1169"/>
      <c r="AO28" s="1169"/>
      <c r="AP28" s="1169"/>
      <c r="AQ28" s="1169"/>
      <c r="AR28" s="1169"/>
      <c r="AS28" s="1169"/>
      <c r="AT28" s="1169"/>
      <c r="AU28" s="1169"/>
      <c r="AV28" s="1169"/>
      <c r="AW28" s="1169"/>
      <c r="AX28" s="1169"/>
      <c r="AY28" s="1169"/>
      <c r="AZ28" s="1169"/>
      <c r="BA28" s="1169"/>
      <c r="BB28" s="1169"/>
      <c r="BC28" s="1169"/>
      <c r="BD28" s="1169"/>
      <c r="BE28" s="1169"/>
      <c r="BF28" s="1169"/>
      <c r="BG28" s="1169"/>
      <c r="BH28" s="1169"/>
      <c r="BI28" s="1169"/>
      <c r="BJ28" s="1169"/>
      <c r="BK28" s="1169"/>
      <c r="BL28" s="1169"/>
      <c r="BM28" s="1169"/>
      <c r="BN28" s="1169"/>
      <c r="BO28" s="1169"/>
      <c r="BP28" s="1169"/>
      <c r="BQ28" s="1169"/>
      <c r="BR28" s="1169"/>
      <c r="BS28" s="1169"/>
      <c r="BT28" s="1169"/>
      <c r="BU28" s="1169"/>
      <c r="BV28" s="1169"/>
      <c r="BW28" s="1169"/>
      <c r="BX28" s="1169"/>
      <c r="BY28" s="1169"/>
      <c r="BZ28" s="1169"/>
      <c r="CA28" s="1169"/>
      <c r="CB28" s="1169"/>
      <c r="CC28" s="1169"/>
      <c r="CD28" s="1169"/>
      <c r="CE28" s="1169"/>
      <c r="CF28" s="1169"/>
      <c r="CG28" s="1169"/>
      <c r="CH28" s="1169"/>
      <c r="CI28" s="1169"/>
      <c r="CJ28" s="1169"/>
      <c r="CK28" s="1169"/>
      <c r="CL28" s="1169"/>
      <c r="CM28" s="1169"/>
      <c r="CN28" s="1169"/>
      <c r="CO28" s="1169"/>
      <c r="CP28" s="1168"/>
    </row>
    <row r="29" spans="2:94" ht="15.75" thickBot="1" x14ac:dyDescent="0.25">
      <c r="B29" s="1853"/>
      <c r="C29" s="1184" t="s">
        <v>1505</v>
      </c>
      <c r="D29" s="1163" t="s">
        <v>980</v>
      </c>
      <c r="E29" s="1171" t="s">
        <v>1496</v>
      </c>
      <c r="F29" s="1171" t="s">
        <v>1515</v>
      </c>
      <c r="G29" s="1171"/>
      <c r="H29" s="1171" t="s">
        <v>1498</v>
      </c>
      <c r="I29" s="1401"/>
      <c r="J29" s="1174"/>
      <c r="K29" s="1173"/>
      <c r="L29" s="1170"/>
      <c r="M29" s="1170"/>
      <c r="N29" s="1169"/>
      <c r="O29" s="1169"/>
      <c r="P29" s="1169"/>
      <c r="Q29" s="1169"/>
      <c r="R29" s="1169"/>
      <c r="S29" s="1169"/>
      <c r="T29" s="1169"/>
      <c r="U29" s="1169"/>
      <c r="V29" s="1169"/>
      <c r="W29" s="1169"/>
      <c r="X29" s="1169"/>
      <c r="Y29" s="1169"/>
      <c r="Z29" s="1169"/>
      <c r="AA29" s="1169"/>
      <c r="AB29" s="1169"/>
      <c r="AC29" s="1169"/>
      <c r="AD29" s="1169"/>
      <c r="AE29" s="1169"/>
      <c r="AF29" s="1169"/>
      <c r="AG29" s="1169"/>
      <c r="AH29" s="1169"/>
      <c r="AI29" s="1169"/>
      <c r="AJ29" s="1169"/>
      <c r="AK29" s="1169"/>
      <c r="AL29" s="1169"/>
      <c r="AM29" s="1169"/>
      <c r="AN29" s="1169"/>
      <c r="AO29" s="1169"/>
      <c r="AP29" s="1169"/>
      <c r="AQ29" s="1169"/>
      <c r="AR29" s="1169"/>
      <c r="AS29" s="1169"/>
      <c r="AT29" s="1169"/>
      <c r="AU29" s="1169"/>
      <c r="AV29" s="1169"/>
      <c r="AW29" s="1169"/>
      <c r="AX29" s="1169"/>
      <c r="AY29" s="1169"/>
      <c r="AZ29" s="1169"/>
      <c r="BA29" s="1169"/>
      <c r="BB29" s="1169"/>
      <c r="BC29" s="1169"/>
      <c r="BD29" s="1169"/>
      <c r="BE29" s="1169"/>
      <c r="BF29" s="1169"/>
      <c r="BG29" s="1169"/>
      <c r="BH29" s="1169"/>
      <c r="BI29" s="1169"/>
      <c r="BJ29" s="1169"/>
      <c r="BK29" s="1169"/>
      <c r="BL29" s="1169"/>
      <c r="BM29" s="1169"/>
      <c r="BN29" s="1169"/>
      <c r="BO29" s="1169"/>
      <c r="BP29" s="1169"/>
      <c r="BQ29" s="1169"/>
      <c r="BR29" s="1169"/>
      <c r="BS29" s="1169"/>
      <c r="BT29" s="1169"/>
      <c r="BU29" s="1169"/>
      <c r="BV29" s="1169"/>
      <c r="BW29" s="1169"/>
      <c r="BX29" s="1169"/>
      <c r="BY29" s="1169"/>
      <c r="BZ29" s="1169"/>
      <c r="CA29" s="1169"/>
      <c r="CB29" s="1169"/>
      <c r="CC29" s="1169"/>
      <c r="CD29" s="1169"/>
      <c r="CE29" s="1169"/>
      <c r="CF29" s="1169"/>
      <c r="CG29" s="1169"/>
      <c r="CH29" s="1169"/>
      <c r="CI29" s="1169"/>
      <c r="CJ29" s="1169"/>
      <c r="CK29" s="1169"/>
      <c r="CL29" s="1169"/>
      <c r="CM29" s="1169"/>
      <c r="CN29" s="1169"/>
      <c r="CO29" s="1169"/>
      <c r="CP29" s="1168"/>
    </row>
    <row r="30" spans="2:94" ht="15.75" thickBot="1" x14ac:dyDescent="0.25">
      <c r="B30" s="1853"/>
      <c r="C30" s="1184" t="s">
        <v>1505</v>
      </c>
      <c r="D30" s="1163" t="s">
        <v>980</v>
      </c>
      <c r="E30" s="1171" t="s">
        <v>1496</v>
      </c>
      <c r="F30" s="1171" t="s">
        <v>1516</v>
      </c>
      <c r="G30" s="1171"/>
      <c r="H30" s="1171" t="s">
        <v>1498</v>
      </c>
      <c r="I30" s="1401"/>
      <c r="J30" s="1174"/>
      <c r="K30" s="1173"/>
      <c r="L30" s="1170"/>
      <c r="M30" s="1170"/>
      <c r="N30" s="1169"/>
      <c r="O30" s="1169"/>
      <c r="P30" s="1169"/>
      <c r="Q30" s="1169"/>
      <c r="R30" s="1169"/>
      <c r="S30" s="1169"/>
      <c r="T30" s="1169"/>
      <c r="U30" s="1169"/>
      <c r="V30" s="1169"/>
      <c r="W30" s="1169"/>
      <c r="X30" s="1169"/>
      <c r="Y30" s="1169"/>
      <c r="Z30" s="1169"/>
      <c r="AA30" s="1169"/>
      <c r="AB30" s="1169"/>
      <c r="AC30" s="1169"/>
      <c r="AD30" s="1169"/>
      <c r="AE30" s="1169"/>
      <c r="AF30" s="1169"/>
      <c r="AG30" s="1169"/>
      <c r="AH30" s="1169"/>
      <c r="AI30" s="1169"/>
      <c r="AJ30" s="1169"/>
      <c r="AK30" s="1169"/>
      <c r="AL30" s="1169"/>
      <c r="AM30" s="1169"/>
      <c r="AN30" s="1169"/>
      <c r="AO30" s="1169"/>
      <c r="AP30" s="1169"/>
      <c r="AQ30" s="1169"/>
      <c r="AR30" s="1169"/>
      <c r="AS30" s="1169"/>
      <c r="AT30" s="1169"/>
      <c r="AU30" s="1169"/>
      <c r="AV30" s="1169"/>
      <c r="AW30" s="1169"/>
      <c r="AX30" s="1169"/>
      <c r="AY30" s="1169"/>
      <c r="AZ30" s="1169"/>
      <c r="BA30" s="1169"/>
      <c r="BB30" s="1169"/>
      <c r="BC30" s="1169"/>
      <c r="BD30" s="1169"/>
      <c r="BE30" s="1169"/>
      <c r="BF30" s="1169"/>
      <c r="BG30" s="1169"/>
      <c r="BH30" s="1169"/>
      <c r="BI30" s="1169"/>
      <c r="BJ30" s="1169"/>
      <c r="BK30" s="1169"/>
      <c r="BL30" s="1169"/>
      <c r="BM30" s="1169"/>
      <c r="BN30" s="1169"/>
      <c r="BO30" s="1169"/>
      <c r="BP30" s="1169"/>
      <c r="BQ30" s="1169"/>
      <c r="BR30" s="1169"/>
      <c r="BS30" s="1169"/>
      <c r="BT30" s="1169"/>
      <c r="BU30" s="1169"/>
      <c r="BV30" s="1169"/>
      <c r="BW30" s="1169"/>
      <c r="BX30" s="1169"/>
      <c r="BY30" s="1169"/>
      <c r="BZ30" s="1169"/>
      <c r="CA30" s="1169"/>
      <c r="CB30" s="1169"/>
      <c r="CC30" s="1169"/>
      <c r="CD30" s="1169"/>
      <c r="CE30" s="1169"/>
      <c r="CF30" s="1169"/>
      <c r="CG30" s="1169"/>
      <c r="CH30" s="1169"/>
      <c r="CI30" s="1169"/>
      <c r="CJ30" s="1169"/>
      <c r="CK30" s="1169"/>
      <c r="CL30" s="1169"/>
      <c r="CM30" s="1169"/>
      <c r="CN30" s="1169"/>
      <c r="CO30" s="1169"/>
      <c r="CP30" s="1168"/>
    </row>
    <row r="31" spans="2:94" ht="15.75" thickBot="1" x14ac:dyDescent="0.25">
      <c r="B31" s="1853"/>
      <c r="C31" s="1184" t="s">
        <v>1505</v>
      </c>
      <c r="D31" s="1163" t="s">
        <v>980</v>
      </c>
      <c r="E31" s="1171" t="s">
        <v>1496</v>
      </c>
      <c r="F31" s="1171" t="s">
        <v>1517</v>
      </c>
      <c r="G31" s="1171"/>
      <c r="H31" s="1171" t="s">
        <v>1498</v>
      </c>
      <c r="I31" s="1401"/>
      <c r="J31" s="1174"/>
      <c r="K31" s="1173"/>
      <c r="L31" s="1170"/>
      <c r="M31" s="1170"/>
      <c r="N31" s="1169"/>
      <c r="O31" s="1169"/>
      <c r="P31" s="1169"/>
      <c r="Q31" s="1169"/>
      <c r="R31" s="1169"/>
      <c r="S31" s="1169"/>
      <c r="T31" s="1169"/>
      <c r="U31" s="1169"/>
      <c r="V31" s="1169"/>
      <c r="W31" s="1169"/>
      <c r="X31" s="1169"/>
      <c r="Y31" s="1169"/>
      <c r="Z31" s="1169"/>
      <c r="AA31" s="1169"/>
      <c r="AB31" s="1169"/>
      <c r="AC31" s="1169"/>
      <c r="AD31" s="1169"/>
      <c r="AE31" s="1169"/>
      <c r="AF31" s="1169"/>
      <c r="AG31" s="1169"/>
      <c r="AH31" s="1169"/>
      <c r="AI31" s="1169"/>
      <c r="AJ31" s="1169"/>
      <c r="AK31" s="1169"/>
      <c r="AL31" s="1169"/>
      <c r="AM31" s="1169"/>
      <c r="AN31" s="1169"/>
      <c r="AO31" s="1169"/>
      <c r="AP31" s="1169"/>
      <c r="AQ31" s="1169"/>
      <c r="AR31" s="1169"/>
      <c r="AS31" s="1169"/>
      <c r="AT31" s="1169"/>
      <c r="AU31" s="1169"/>
      <c r="AV31" s="1169"/>
      <c r="AW31" s="1169"/>
      <c r="AX31" s="1169"/>
      <c r="AY31" s="1169"/>
      <c r="AZ31" s="1169"/>
      <c r="BA31" s="1169"/>
      <c r="BB31" s="1169"/>
      <c r="BC31" s="1169"/>
      <c r="BD31" s="1169"/>
      <c r="BE31" s="1169"/>
      <c r="BF31" s="1169"/>
      <c r="BG31" s="1169"/>
      <c r="BH31" s="1169"/>
      <c r="BI31" s="1169"/>
      <c r="BJ31" s="1169"/>
      <c r="BK31" s="1169"/>
      <c r="BL31" s="1169"/>
      <c r="BM31" s="1169"/>
      <c r="BN31" s="1169"/>
      <c r="BO31" s="1169"/>
      <c r="BP31" s="1169"/>
      <c r="BQ31" s="1169"/>
      <c r="BR31" s="1169"/>
      <c r="BS31" s="1169"/>
      <c r="BT31" s="1169"/>
      <c r="BU31" s="1169"/>
      <c r="BV31" s="1169"/>
      <c r="BW31" s="1169"/>
      <c r="BX31" s="1169"/>
      <c r="BY31" s="1169"/>
      <c r="BZ31" s="1169"/>
      <c r="CA31" s="1169"/>
      <c r="CB31" s="1169"/>
      <c r="CC31" s="1169"/>
      <c r="CD31" s="1169"/>
      <c r="CE31" s="1169"/>
      <c r="CF31" s="1169"/>
      <c r="CG31" s="1169"/>
      <c r="CH31" s="1169"/>
      <c r="CI31" s="1169"/>
      <c r="CJ31" s="1169"/>
      <c r="CK31" s="1169"/>
      <c r="CL31" s="1169"/>
      <c r="CM31" s="1169"/>
      <c r="CN31" s="1169"/>
      <c r="CO31" s="1169"/>
      <c r="CP31" s="1168"/>
    </row>
    <row r="32" spans="2:94" ht="15.75" thickBot="1" x14ac:dyDescent="0.25">
      <c r="B32" s="1853"/>
      <c r="C32" s="1184" t="s">
        <v>1505</v>
      </c>
      <c r="D32" s="1163" t="s">
        <v>980</v>
      </c>
      <c r="E32" s="1171" t="s">
        <v>1496</v>
      </c>
      <c r="F32" s="1171" t="s">
        <v>1518</v>
      </c>
      <c r="G32" s="1171"/>
      <c r="H32" s="1171" t="s">
        <v>1498</v>
      </c>
      <c r="I32" s="1401"/>
      <c r="J32" s="1174"/>
      <c r="K32" s="1173"/>
      <c r="L32" s="1170"/>
      <c r="M32" s="1170"/>
      <c r="N32" s="1169"/>
      <c r="O32" s="1169"/>
      <c r="P32" s="1169"/>
      <c r="Q32" s="1169"/>
      <c r="R32" s="1169"/>
      <c r="S32" s="1169"/>
      <c r="T32" s="1169"/>
      <c r="U32" s="1169"/>
      <c r="V32" s="1169"/>
      <c r="W32" s="1169"/>
      <c r="X32" s="1169"/>
      <c r="Y32" s="1169"/>
      <c r="Z32" s="1169"/>
      <c r="AA32" s="1169"/>
      <c r="AB32" s="1169"/>
      <c r="AC32" s="1169"/>
      <c r="AD32" s="1169"/>
      <c r="AE32" s="1169"/>
      <c r="AF32" s="1169"/>
      <c r="AG32" s="1169"/>
      <c r="AH32" s="1169"/>
      <c r="AI32" s="1169"/>
      <c r="AJ32" s="1169"/>
      <c r="AK32" s="1169"/>
      <c r="AL32" s="1169"/>
      <c r="AM32" s="1169"/>
      <c r="AN32" s="1169"/>
      <c r="AO32" s="1169"/>
      <c r="AP32" s="1169"/>
      <c r="AQ32" s="1169"/>
      <c r="AR32" s="1169"/>
      <c r="AS32" s="1169"/>
      <c r="AT32" s="1169"/>
      <c r="AU32" s="1169"/>
      <c r="AV32" s="1169"/>
      <c r="AW32" s="1169"/>
      <c r="AX32" s="1169"/>
      <c r="AY32" s="1169"/>
      <c r="AZ32" s="1169"/>
      <c r="BA32" s="1169"/>
      <c r="BB32" s="1169"/>
      <c r="BC32" s="1169"/>
      <c r="BD32" s="1169"/>
      <c r="BE32" s="1169"/>
      <c r="BF32" s="1169"/>
      <c r="BG32" s="1169"/>
      <c r="BH32" s="1169"/>
      <c r="BI32" s="1169"/>
      <c r="BJ32" s="1169"/>
      <c r="BK32" s="1169"/>
      <c r="BL32" s="1169"/>
      <c r="BM32" s="1169"/>
      <c r="BN32" s="1169"/>
      <c r="BO32" s="1169"/>
      <c r="BP32" s="1169"/>
      <c r="BQ32" s="1169"/>
      <c r="BR32" s="1169"/>
      <c r="BS32" s="1169"/>
      <c r="BT32" s="1169"/>
      <c r="BU32" s="1169"/>
      <c r="BV32" s="1169"/>
      <c r="BW32" s="1169"/>
      <c r="BX32" s="1169"/>
      <c r="BY32" s="1169"/>
      <c r="BZ32" s="1169"/>
      <c r="CA32" s="1169"/>
      <c r="CB32" s="1169"/>
      <c r="CC32" s="1169"/>
      <c r="CD32" s="1169"/>
      <c r="CE32" s="1169"/>
      <c r="CF32" s="1169"/>
      <c r="CG32" s="1169"/>
      <c r="CH32" s="1169"/>
      <c r="CI32" s="1169"/>
      <c r="CJ32" s="1169"/>
      <c r="CK32" s="1169"/>
      <c r="CL32" s="1169"/>
      <c r="CM32" s="1169"/>
      <c r="CN32" s="1169"/>
      <c r="CO32" s="1169"/>
      <c r="CP32" s="1168"/>
    </row>
    <row r="33" spans="2:94" ht="15.75" thickBot="1" x14ac:dyDescent="0.25">
      <c r="B33" s="1853"/>
      <c r="C33" s="1184" t="s">
        <v>1505</v>
      </c>
      <c r="D33" s="1163" t="s">
        <v>980</v>
      </c>
      <c r="E33" s="1171" t="s">
        <v>1496</v>
      </c>
      <c r="F33" s="1171" t="s">
        <v>1519</v>
      </c>
      <c r="G33" s="1171"/>
      <c r="H33" s="1171" t="s">
        <v>1498</v>
      </c>
      <c r="I33" s="1401"/>
      <c r="J33" s="1174"/>
      <c r="K33" s="1173"/>
      <c r="L33" s="1170"/>
      <c r="M33" s="1170"/>
      <c r="N33" s="1169"/>
      <c r="O33" s="1169"/>
      <c r="P33" s="1169"/>
      <c r="Q33" s="1169"/>
      <c r="R33" s="1169"/>
      <c r="S33" s="1169"/>
      <c r="T33" s="1169"/>
      <c r="U33" s="1169"/>
      <c r="V33" s="1169"/>
      <c r="W33" s="1169"/>
      <c r="X33" s="1169"/>
      <c r="Y33" s="1169"/>
      <c r="Z33" s="1169"/>
      <c r="AA33" s="1169"/>
      <c r="AB33" s="1169"/>
      <c r="AC33" s="1169"/>
      <c r="AD33" s="1169"/>
      <c r="AE33" s="1169"/>
      <c r="AF33" s="1169"/>
      <c r="AG33" s="1169"/>
      <c r="AH33" s="1169"/>
      <c r="AI33" s="1169"/>
      <c r="AJ33" s="1169"/>
      <c r="AK33" s="1169"/>
      <c r="AL33" s="1169"/>
      <c r="AM33" s="1169"/>
      <c r="AN33" s="1169"/>
      <c r="AO33" s="1169"/>
      <c r="AP33" s="1169"/>
      <c r="AQ33" s="1169"/>
      <c r="AR33" s="1169"/>
      <c r="AS33" s="1169"/>
      <c r="AT33" s="1169"/>
      <c r="AU33" s="1169"/>
      <c r="AV33" s="1169"/>
      <c r="AW33" s="1169"/>
      <c r="AX33" s="1169"/>
      <c r="AY33" s="1169"/>
      <c r="AZ33" s="1169"/>
      <c r="BA33" s="1169"/>
      <c r="BB33" s="1169"/>
      <c r="BC33" s="1169"/>
      <c r="BD33" s="1169"/>
      <c r="BE33" s="1169"/>
      <c r="BF33" s="1169"/>
      <c r="BG33" s="1169"/>
      <c r="BH33" s="1169"/>
      <c r="BI33" s="1169"/>
      <c r="BJ33" s="1169"/>
      <c r="BK33" s="1169"/>
      <c r="BL33" s="1169"/>
      <c r="BM33" s="1169"/>
      <c r="BN33" s="1169"/>
      <c r="BO33" s="1169"/>
      <c r="BP33" s="1169"/>
      <c r="BQ33" s="1169"/>
      <c r="BR33" s="1169"/>
      <c r="BS33" s="1169"/>
      <c r="BT33" s="1169"/>
      <c r="BU33" s="1169"/>
      <c r="BV33" s="1169"/>
      <c r="BW33" s="1169"/>
      <c r="BX33" s="1169"/>
      <c r="BY33" s="1169"/>
      <c r="BZ33" s="1169"/>
      <c r="CA33" s="1169"/>
      <c r="CB33" s="1169"/>
      <c r="CC33" s="1169"/>
      <c r="CD33" s="1169"/>
      <c r="CE33" s="1169"/>
      <c r="CF33" s="1169"/>
      <c r="CG33" s="1169"/>
      <c r="CH33" s="1169"/>
      <c r="CI33" s="1169"/>
      <c r="CJ33" s="1169"/>
      <c r="CK33" s="1169"/>
      <c r="CL33" s="1169"/>
      <c r="CM33" s="1169"/>
      <c r="CN33" s="1169"/>
      <c r="CO33" s="1169"/>
      <c r="CP33" s="1168"/>
    </row>
    <row r="34" spans="2:94" ht="29.25" thickBot="1" x14ac:dyDescent="0.25">
      <c r="B34" s="1853"/>
      <c r="C34" s="1184" t="s">
        <v>1505</v>
      </c>
      <c r="D34" s="1163" t="s">
        <v>980</v>
      </c>
      <c r="E34" s="1171" t="s">
        <v>1496</v>
      </c>
      <c r="F34" s="1171" t="s">
        <v>1520</v>
      </c>
      <c r="G34" s="1171"/>
      <c r="H34" s="1171" t="s">
        <v>1498</v>
      </c>
      <c r="I34" s="1172"/>
      <c r="J34" s="1170"/>
      <c r="K34" s="1170"/>
      <c r="L34" s="1170"/>
      <c r="M34" s="1170"/>
      <c r="N34" s="1169"/>
      <c r="O34" s="1169"/>
      <c r="P34" s="1169"/>
      <c r="Q34" s="1169"/>
      <c r="R34" s="1169"/>
      <c r="S34" s="1169"/>
      <c r="T34" s="1169"/>
      <c r="U34" s="1169"/>
      <c r="V34" s="1169"/>
      <c r="W34" s="1169"/>
      <c r="X34" s="1169"/>
      <c r="Y34" s="1169"/>
      <c r="Z34" s="1169"/>
      <c r="AA34" s="1169"/>
      <c r="AB34" s="1169"/>
      <c r="AC34" s="1169"/>
      <c r="AD34" s="1169"/>
      <c r="AE34" s="1169"/>
      <c r="AF34" s="1169"/>
      <c r="AG34" s="1169"/>
      <c r="AH34" s="1169"/>
      <c r="AI34" s="1169"/>
      <c r="AJ34" s="1169"/>
      <c r="AK34" s="1169"/>
      <c r="AL34" s="1169"/>
      <c r="AM34" s="1169"/>
      <c r="AN34" s="1169"/>
      <c r="AO34" s="1169"/>
      <c r="AP34" s="1169"/>
      <c r="AQ34" s="1169"/>
      <c r="AR34" s="1169"/>
      <c r="AS34" s="1169"/>
      <c r="AT34" s="1169"/>
      <c r="AU34" s="1169"/>
      <c r="AV34" s="1169"/>
      <c r="AW34" s="1169"/>
      <c r="AX34" s="1169"/>
      <c r="AY34" s="1169"/>
      <c r="AZ34" s="1169"/>
      <c r="BA34" s="1169"/>
      <c r="BB34" s="1169"/>
      <c r="BC34" s="1169"/>
      <c r="BD34" s="1169"/>
      <c r="BE34" s="1169"/>
      <c r="BF34" s="1169"/>
      <c r="BG34" s="1169"/>
      <c r="BH34" s="1169"/>
      <c r="BI34" s="1169"/>
      <c r="BJ34" s="1169"/>
      <c r="BK34" s="1169"/>
      <c r="BL34" s="1169"/>
      <c r="BM34" s="1169"/>
      <c r="BN34" s="1169"/>
      <c r="BO34" s="1169"/>
      <c r="BP34" s="1169"/>
      <c r="BQ34" s="1169"/>
      <c r="BR34" s="1169"/>
      <c r="BS34" s="1169"/>
      <c r="BT34" s="1169"/>
      <c r="BU34" s="1169"/>
      <c r="BV34" s="1169"/>
      <c r="BW34" s="1169"/>
      <c r="BX34" s="1169"/>
      <c r="BY34" s="1169"/>
      <c r="BZ34" s="1169"/>
      <c r="CA34" s="1169"/>
      <c r="CB34" s="1169"/>
      <c r="CC34" s="1169"/>
      <c r="CD34" s="1169"/>
      <c r="CE34" s="1169"/>
      <c r="CF34" s="1169"/>
      <c r="CG34" s="1169"/>
      <c r="CH34" s="1169"/>
      <c r="CI34" s="1169"/>
      <c r="CJ34" s="1169"/>
      <c r="CK34" s="1169"/>
      <c r="CL34" s="1169"/>
      <c r="CM34" s="1169"/>
      <c r="CN34" s="1169"/>
      <c r="CO34" s="1169"/>
      <c r="CP34" s="1168"/>
    </row>
    <row r="35" spans="2:94" ht="15" thickBot="1" x14ac:dyDescent="0.25">
      <c r="B35" s="1853"/>
      <c r="C35" s="1184" t="s">
        <v>1505</v>
      </c>
      <c r="D35" s="1163" t="s">
        <v>980</v>
      </c>
      <c r="E35" s="1171" t="s">
        <v>1496</v>
      </c>
      <c r="F35" s="1171" t="s">
        <v>1521</v>
      </c>
      <c r="G35" s="1171"/>
      <c r="H35" s="1171" t="s">
        <v>1498</v>
      </c>
      <c r="I35" s="1172"/>
      <c r="J35" s="1170"/>
      <c r="K35" s="1170"/>
      <c r="L35" s="1170"/>
      <c r="M35" s="1170"/>
      <c r="N35" s="1169"/>
      <c r="O35" s="1169"/>
      <c r="P35" s="1169"/>
      <c r="Q35" s="1169"/>
      <c r="R35" s="1169"/>
      <c r="S35" s="1169"/>
      <c r="T35" s="1169"/>
      <c r="U35" s="1169"/>
      <c r="V35" s="1169"/>
      <c r="W35" s="1169"/>
      <c r="X35" s="1169"/>
      <c r="Y35" s="1169"/>
      <c r="Z35" s="1169"/>
      <c r="AA35" s="1169"/>
      <c r="AB35" s="1169"/>
      <c r="AC35" s="1169"/>
      <c r="AD35" s="1169"/>
      <c r="AE35" s="1169"/>
      <c r="AF35" s="1169"/>
      <c r="AG35" s="1169"/>
      <c r="AH35" s="1169"/>
      <c r="AI35" s="1169"/>
      <c r="AJ35" s="1169"/>
      <c r="AK35" s="1169"/>
      <c r="AL35" s="1169"/>
      <c r="AM35" s="1169"/>
      <c r="AN35" s="1169"/>
      <c r="AO35" s="1169"/>
      <c r="AP35" s="1169"/>
      <c r="AQ35" s="1169"/>
      <c r="AR35" s="1169"/>
      <c r="AS35" s="1169"/>
      <c r="AT35" s="1169"/>
      <c r="AU35" s="1169"/>
      <c r="AV35" s="1169"/>
      <c r="AW35" s="1169"/>
      <c r="AX35" s="1169"/>
      <c r="AY35" s="1169"/>
      <c r="AZ35" s="1169"/>
      <c r="BA35" s="1169"/>
      <c r="BB35" s="1169"/>
      <c r="BC35" s="1169"/>
      <c r="BD35" s="1169"/>
      <c r="BE35" s="1169"/>
      <c r="BF35" s="1169"/>
      <c r="BG35" s="1169"/>
      <c r="BH35" s="1169"/>
      <c r="BI35" s="1169"/>
      <c r="BJ35" s="1169"/>
      <c r="BK35" s="1169"/>
      <c r="BL35" s="1169"/>
      <c r="BM35" s="1169"/>
      <c r="BN35" s="1169"/>
      <c r="BO35" s="1169"/>
      <c r="BP35" s="1169"/>
      <c r="BQ35" s="1169"/>
      <c r="BR35" s="1169"/>
      <c r="BS35" s="1169"/>
      <c r="BT35" s="1169"/>
      <c r="BU35" s="1169"/>
      <c r="BV35" s="1169"/>
      <c r="BW35" s="1169"/>
      <c r="BX35" s="1169"/>
      <c r="BY35" s="1169"/>
      <c r="BZ35" s="1169"/>
      <c r="CA35" s="1169"/>
      <c r="CB35" s="1169"/>
      <c r="CC35" s="1169"/>
      <c r="CD35" s="1169"/>
      <c r="CE35" s="1169"/>
      <c r="CF35" s="1169"/>
      <c r="CG35" s="1169"/>
      <c r="CH35" s="1169"/>
      <c r="CI35" s="1169"/>
      <c r="CJ35" s="1169"/>
      <c r="CK35" s="1169"/>
      <c r="CL35" s="1169"/>
      <c r="CM35" s="1169"/>
      <c r="CN35" s="1169"/>
      <c r="CO35" s="1169"/>
      <c r="CP35" s="1168"/>
    </row>
    <row r="36" spans="2:94" ht="15" thickBot="1" x14ac:dyDescent="0.25">
      <c r="B36" s="1853"/>
      <c r="C36" s="1184" t="s">
        <v>1505</v>
      </c>
      <c r="D36" s="1163" t="s">
        <v>980</v>
      </c>
      <c r="E36" s="1171" t="s">
        <v>1496</v>
      </c>
      <c r="F36" s="1171" t="s">
        <v>1522</v>
      </c>
      <c r="G36" s="1171"/>
      <c r="H36" s="1171" t="s">
        <v>1498</v>
      </c>
      <c r="I36" s="1172"/>
      <c r="J36" s="1170"/>
      <c r="K36" s="1170"/>
      <c r="L36" s="1170"/>
      <c r="M36" s="1170"/>
      <c r="N36" s="1169"/>
      <c r="O36" s="1169"/>
      <c r="P36" s="1169"/>
      <c r="Q36" s="1169"/>
      <c r="R36" s="1169"/>
      <c r="S36" s="1169"/>
      <c r="T36" s="1169"/>
      <c r="U36" s="1169"/>
      <c r="V36" s="1169"/>
      <c r="W36" s="1169"/>
      <c r="X36" s="1169"/>
      <c r="Y36" s="1169"/>
      <c r="Z36" s="1169"/>
      <c r="AA36" s="1169"/>
      <c r="AB36" s="1169"/>
      <c r="AC36" s="1169"/>
      <c r="AD36" s="1169"/>
      <c r="AE36" s="1169"/>
      <c r="AF36" s="1169"/>
      <c r="AG36" s="1169"/>
      <c r="AH36" s="1169"/>
      <c r="AI36" s="1169"/>
      <c r="AJ36" s="1169"/>
      <c r="AK36" s="1169"/>
      <c r="AL36" s="1169"/>
      <c r="AM36" s="1169"/>
      <c r="AN36" s="1169"/>
      <c r="AO36" s="1169"/>
      <c r="AP36" s="1169"/>
      <c r="AQ36" s="1169"/>
      <c r="AR36" s="1169"/>
      <c r="AS36" s="1169"/>
      <c r="AT36" s="1169"/>
      <c r="AU36" s="1169"/>
      <c r="AV36" s="1169"/>
      <c r="AW36" s="1169"/>
      <c r="AX36" s="1169"/>
      <c r="AY36" s="1169"/>
      <c r="AZ36" s="1169"/>
      <c r="BA36" s="1169"/>
      <c r="BB36" s="1169"/>
      <c r="BC36" s="1169"/>
      <c r="BD36" s="1169"/>
      <c r="BE36" s="1169"/>
      <c r="BF36" s="1169"/>
      <c r="BG36" s="1169"/>
      <c r="BH36" s="1169"/>
      <c r="BI36" s="1169"/>
      <c r="BJ36" s="1169"/>
      <c r="BK36" s="1169"/>
      <c r="BL36" s="1169"/>
      <c r="BM36" s="1169"/>
      <c r="BN36" s="1169"/>
      <c r="BO36" s="1169"/>
      <c r="BP36" s="1169"/>
      <c r="BQ36" s="1169"/>
      <c r="BR36" s="1169"/>
      <c r="BS36" s="1169"/>
      <c r="BT36" s="1169"/>
      <c r="BU36" s="1169"/>
      <c r="BV36" s="1169"/>
      <c r="BW36" s="1169"/>
      <c r="BX36" s="1169"/>
      <c r="BY36" s="1169"/>
      <c r="BZ36" s="1169"/>
      <c r="CA36" s="1169"/>
      <c r="CB36" s="1169"/>
      <c r="CC36" s="1169"/>
      <c r="CD36" s="1169"/>
      <c r="CE36" s="1169"/>
      <c r="CF36" s="1169"/>
      <c r="CG36" s="1169"/>
      <c r="CH36" s="1169"/>
      <c r="CI36" s="1169"/>
      <c r="CJ36" s="1169"/>
      <c r="CK36" s="1169"/>
      <c r="CL36" s="1169"/>
      <c r="CM36" s="1169"/>
      <c r="CN36" s="1169"/>
      <c r="CO36" s="1169"/>
      <c r="CP36" s="1168"/>
    </row>
    <row r="37" spans="2:94" ht="15" thickBot="1" x14ac:dyDescent="0.25">
      <c r="B37" s="1853"/>
      <c r="C37" s="1184" t="s">
        <v>1505</v>
      </c>
      <c r="D37" s="1163" t="s">
        <v>980</v>
      </c>
      <c r="E37" s="1171" t="s">
        <v>1496</v>
      </c>
      <c r="F37" s="1171" t="s">
        <v>1523</v>
      </c>
      <c r="G37" s="1171"/>
      <c r="H37" s="1171" t="s">
        <v>1498</v>
      </c>
      <c r="I37" s="1172"/>
      <c r="J37" s="1170"/>
      <c r="K37" s="1170"/>
      <c r="L37" s="1170"/>
      <c r="M37" s="1170"/>
      <c r="N37" s="1169"/>
      <c r="O37" s="1169"/>
      <c r="P37" s="1169"/>
      <c r="Q37" s="1169"/>
      <c r="R37" s="1169"/>
      <c r="S37" s="1169"/>
      <c r="T37" s="1169"/>
      <c r="U37" s="1169"/>
      <c r="V37" s="1169"/>
      <c r="W37" s="1169"/>
      <c r="X37" s="1169"/>
      <c r="Y37" s="1169"/>
      <c r="Z37" s="1169"/>
      <c r="AA37" s="1169"/>
      <c r="AB37" s="1169"/>
      <c r="AC37" s="1169"/>
      <c r="AD37" s="1169"/>
      <c r="AE37" s="1169"/>
      <c r="AF37" s="1169"/>
      <c r="AG37" s="1169"/>
      <c r="AH37" s="1169"/>
      <c r="AI37" s="1169"/>
      <c r="AJ37" s="1169"/>
      <c r="AK37" s="1169"/>
      <c r="AL37" s="1169"/>
      <c r="AM37" s="1169"/>
      <c r="AN37" s="1169"/>
      <c r="AO37" s="1169"/>
      <c r="AP37" s="1169"/>
      <c r="AQ37" s="1169"/>
      <c r="AR37" s="1169"/>
      <c r="AS37" s="1169"/>
      <c r="AT37" s="1169"/>
      <c r="AU37" s="1169"/>
      <c r="AV37" s="1169"/>
      <c r="AW37" s="1169"/>
      <c r="AX37" s="1169"/>
      <c r="AY37" s="1169"/>
      <c r="AZ37" s="1169"/>
      <c r="BA37" s="1169"/>
      <c r="BB37" s="1169"/>
      <c r="BC37" s="1169"/>
      <c r="BD37" s="1169"/>
      <c r="BE37" s="1169"/>
      <c r="BF37" s="1169"/>
      <c r="BG37" s="1169"/>
      <c r="BH37" s="1169"/>
      <c r="BI37" s="1169"/>
      <c r="BJ37" s="1169"/>
      <c r="BK37" s="1169"/>
      <c r="BL37" s="1169"/>
      <c r="BM37" s="1169"/>
      <c r="BN37" s="1169"/>
      <c r="BO37" s="1169"/>
      <c r="BP37" s="1169"/>
      <c r="BQ37" s="1169"/>
      <c r="BR37" s="1169"/>
      <c r="BS37" s="1169"/>
      <c r="BT37" s="1169"/>
      <c r="BU37" s="1169"/>
      <c r="BV37" s="1169"/>
      <c r="BW37" s="1169"/>
      <c r="BX37" s="1169"/>
      <c r="BY37" s="1169"/>
      <c r="BZ37" s="1169"/>
      <c r="CA37" s="1169"/>
      <c r="CB37" s="1169"/>
      <c r="CC37" s="1169"/>
      <c r="CD37" s="1169"/>
      <c r="CE37" s="1169"/>
      <c r="CF37" s="1169"/>
      <c r="CG37" s="1169"/>
      <c r="CH37" s="1169"/>
      <c r="CI37" s="1169"/>
      <c r="CJ37" s="1169"/>
      <c r="CK37" s="1169"/>
      <c r="CL37" s="1169"/>
      <c r="CM37" s="1169"/>
      <c r="CN37" s="1169"/>
      <c r="CO37" s="1169"/>
      <c r="CP37" s="1168"/>
    </row>
    <row r="38" spans="2:94" ht="15" thickBot="1" x14ac:dyDescent="0.25">
      <c r="B38" s="1853"/>
      <c r="C38" s="1184" t="s">
        <v>1505</v>
      </c>
      <c r="D38" s="1163" t="s">
        <v>980</v>
      </c>
      <c r="E38" s="1171" t="s">
        <v>1496</v>
      </c>
      <c r="F38" s="1171" t="s">
        <v>1524</v>
      </c>
      <c r="G38" s="1171"/>
      <c r="H38" s="1171" t="s">
        <v>1498</v>
      </c>
      <c r="I38" s="1172"/>
      <c r="J38" s="1170"/>
      <c r="K38" s="1170"/>
      <c r="L38" s="1170"/>
      <c r="M38" s="1170"/>
      <c r="N38" s="1169"/>
      <c r="O38" s="1169"/>
      <c r="P38" s="1169"/>
      <c r="Q38" s="1169"/>
      <c r="R38" s="1169"/>
      <c r="S38" s="1169"/>
      <c r="T38" s="1169"/>
      <c r="U38" s="1169"/>
      <c r="V38" s="1169"/>
      <c r="W38" s="1169"/>
      <c r="X38" s="1169"/>
      <c r="Y38" s="1169"/>
      <c r="Z38" s="1169"/>
      <c r="AA38" s="1169"/>
      <c r="AB38" s="1169"/>
      <c r="AC38" s="1169"/>
      <c r="AD38" s="1169"/>
      <c r="AE38" s="1169"/>
      <c r="AF38" s="1169"/>
      <c r="AG38" s="1169"/>
      <c r="AH38" s="1169"/>
      <c r="AI38" s="1169"/>
      <c r="AJ38" s="1169"/>
      <c r="AK38" s="1169"/>
      <c r="AL38" s="1169"/>
      <c r="AM38" s="1169"/>
      <c r="AN38" s="1169"/>
      <c r="AO38" s="1169"/>
      <c r="AP38" s="1169"/>
      <c r="AQ38" s="1169"/>
      <c r="AR38" s="1169"/>
      <c r="AS38" s="1169"/>
      <c r="AT38" s="1169"/>
      <c r="AU38" s="1169"/>
      <c r="AV38" s="1169"/>
      <c r="AW38" s="1169"/>
      <c r="AX38" s="1169"/>
      <c r="AY38" s="1169"/>
      <c r="AZ38" s="1169"/>
      <c r="BA38" s="1169"/>
      <c r="BB38" s="1169"/>
      <c r="BC38" s="1169"/>
      <c r="BD38" s="1169"/>
      <c r="BE38" s="1169"/>
      <c r="BF38" s="1169"/>
      <c r="BG38" s="1169"/>
      <c r="BH38" s="1169"/>
      <c r="BI38" s="1169"/>
      <c r="BJ38" s="1169"/>
      <c r="BK38" s="1169"/>
      <c r="BL38" s="1169"/>
      <c r="BM38" s="1169"/>
      <c r="BN38" s="1169"/>
      <c r="BO38" s="1169"/>
      <c r="BP38" s="1169"/>
      <c r="BQ38" s="1169"/>
      <c r="BR38" s="1169"/>
      <c r="BS38" s="1169"/>
      <c r="BT38" s="1169"/>
      <c r="BU38" s="1169"/>
      <c r="BV38" s="1169"/>
      <c r="BW38" s="1169"/>
      <c r="BX38" s="1169"/>
      <c r="BY38" s="1169"/>
      <c r="BZ38" s="1169"/>
      <c r="CA38" s="1169"/>
      <c r="CB38" s="1169"/>
      <c r="CC38" s="1169"/>
      <c r="CD38" s="1169"/>
      <c r="CE38" s="1169"/>
      <c r="CF38" s="1169"/>
      <c r="CG38" s="1169"/>
      <c r="CH38" s="1169"/>
      <c r="CI38" s="1169"/>
      <c r="CJ38" s="1169"/>
      <c r="CK38" s="1169"/>
      <c r="CL38" s="1169"/>
      <c r="CM38" s="1169"/>
      <c r="CN38" s="1169"/>
      <c r="CO38" s="1169"/>
      <c r="CP38" s="1168"/>
    </row>
    <row r="39" spans="2:94" ht="15" thickBot="1" x14ac:dyDescent="0.25">
      <c r="B39" s="1853"/>
      <c r="C39" s="1184" t="s">
        <v>1505</v>
      </c>
      <c r="D39" s="1163" t="s">
        <v>980</v>
      </c>
      <c r="E39" s="1171" t="s">
        <v>1496</v>
      </c>
      <c r="F39" s="1171" t="s">
        <v>1525</v>
      </c>
      <c r="G39" s="1171"/>
      <c r="H39" s="1171" t="s">
        <v>1498</v>
      </c>
      <c r="I39" s="1172"/>
      <c r="J39" s="1170"/>
      <c r="K39" s="1170"/>
      <c r="L39" s="1170"/>
      <c r="M39" s="1170"/>
      <c r="N39" s="1169"/>
      <c r="O39" s="1169"/>
      <c r="P39" s="1169"/>
      <c r="Q39" s="1169"/>
      <c r="R39" s="1169"/>
      <c r="S39" s="1169"/>
      <c r="T39" s="1169"/>
      <c r="U39" s="1169"/>
      <c r="V39" s="1169"/>
      <c r="W39" s="1169"/>
      <c r="X39" s="1169"/>
      <c r="Y39" s="1169"/>
      <c r="Z39" s="1169"/>
      <c r="AA39" s="1169"/>
      <c r="AB39" s="1169"/>
      <c r="AC39" s="1169"/>
      <c r="AD39" s="1169"/>
      <c r="AE39" s="1169"/>
      <c r="AF39" s="1169"/>
      <c r="AG39" s="1169"/>
      <c r="AH39" s="1169"/>
      <c r="AI39" s="1169"/>
      <c r="AJ39" s="1169"/>
      <c r="AK39" s="1169"/>
      <c r="AL39" s="1169"/>
      <c r="AM39" s="1169"/>
      <c r="AN39" s="1169"/>
      <c r="AO39" s="1169"/>
      <c r="AP39" s="1169"/>
      <c r="AQ39" s="1169"/>
      <c r="AR39" s="1169"/>
      <c r="AS39" s="1169"/>
      <c r="AT39" s="1169"/>
      <c r="AU39" s="1169"/>
      <c r="AV39" s="1169"/>
      <c r="AW39" s="1169"/>
      <c r="AX39" s="1169"/>
      <c r="AY39" s="1169"/>
      <c r="AZ39" s="1169"/>
      <c r="BA39" s="1169"/>
      <c r="BB39" s="1169"/>
      <c r="BC39" s="1169"/>
      <c r="BD39" s="1169"/>
      <c r="BE39" s="1169"/>
      <c r="BF39" s="1169"/>
      <c r="BG39" s="1169"/>
      <c r="BH39" s="1169"/>
      <c r="BI39" s="1169"/>
      <c r="BJ39" s="1169"/>
      <c r="BK39" s="1169"/>
      <c r="BL39" s="1169"/>
      <c r="BM39" s="1169"/>
      <c r="BN39" s="1169"/>
      <c r="BO39" s="1169"/>
      <c r="BP39" s="1169"/>
      <c r="BQ39" s="1169"/>
      <c r="BR39" s="1169"/>
      <c r="BS39" s="1169"/>
      <c r="BT39" s="1169"/>
      <c r="BU39" s="1169"/>
      <c r="BV39" s="1169"/>
      <c r="BW39" s="1169"/>
      <c r="BX39" s="1169"/>
      <c r="BY39" s="1169"/>
      <c r="BZ39" s="1169"/>
      <c r="CA39" s="1169"/>
      <c r="CB39" s="1169"/>
      <c r="CC39" s="1169"/>
      <c r="CD39" s="1169"/>
      <c r="CE39" s="1169"/>
      <c r="CF39" s="1169"/>
      <c r="CG39" s="1169"/>
      <c r="CH39" s="1169"/>
      <c r="CI39" s="1169"/>
      <c r="CJ39" s="1169"/>
      <c r="CK39" s="1169"/>
      <c r="CL39" s="1169"/>
      <c r="CM39" s="1169"/>
      <c r="CN39" s="1169"/>
      <c r="CO39" s="1169"/>
      <c r="CP39" s="1168"/>
    </row>
    <row r="40" spans="2:94" ht="15" thickBot="1" x14ac:dyDescent="0.25">
      <c r="B40" s="1853"/>
      <c r="C40" s="1184" t="s">
        <v>1505</v>
      </c>
      <c r="D40" s="1163" t="s">
        <v>980</v>
      </c>
      <c r="E40" s="1171" t="s">
        <v>1496</v>
      </c>
      <c r="F40" s="1171" t="s">
        <v>1526</v>
      </c>
      <c r="G40" s="1171"/>
      <c r="H40" s="1171" t="s">
        <v>1498</v>
      </c>
      <c r="I40" s="1172"/>
      <c r="J40" s="1170"/>
      <c r="K40" s="1170"/>
      <c r="L40" s="1170"/>
      <c r="M40" s="1170"/>
      <c r="N40" s="1169"/>
      <c r="O40" s="1169"/>
      <c r="P40" s="1169"/>
      <c r="Q40" s="1169"/>
      <c r="R40" s="1169"/>
      <c r="S40" s="1169"/>
      <c r="T40" s="1169"/>
      <c r="U40" s="1169"/>
      <c r="V40" s="1169"/>
      <c r="W40" s="1169"/>
      <c r="X40" s="1169"/>
      <c r="Y40" s="1169"/>
      <c r="Z40" s="1169"/>
      <c r="AA40" s="1169"/>
      <c r="AB40" s="1169"/>
      <c r="AC40" s="1169"/>
      <c r="AD40" s="1169"/>
      <c r="AE40" s="1169"/>
      <c r="AF40" s="1169"/>
      <c r="AG40" s="1169"/>
      <c r="AH40" s="1169"/>
      <c r="AI40" s="1169"/>
      <c r="AJ40" s="1169"/>
      <c r="AK40" s="1169"/>
      <c r="AL40" s="1169"/>
      <c r="AM40" s="1169"/>
      <c r="AN40" s="1169"/>
      <c r="AO40" s="1169"/>
      <c r="AP40" s="1169"/>
      <c r="AQ40" s="1169"/>
      <c r="AR40" s="1169"/>
      <c r="AS40" s="1169"/>
      <c r="AT40" s="1169"/>
      <c r="AU40" s="1169"/>
      <c r="AV40" s="1169"/>
      <c r="AW40" s="1169"/>
      <c r="AX40" s="1169"/>
      <c r="AY40" s="1169"/>
      <c r="AZ40" s="1169"/>
      <c r="BA40" s="1169"/>
      <c r="BB40" s="1169"/>
      <c r="BC40" s="1169"/>
      <c r="BD40" s="1169"/>
      <c r="BE40" s="1169"/>
      <c r="BF40" s="1169"/>
      <c r="BG40" s="1169"/>
      <c r="BH40" s="1169"/>
      <c r="BI40" s="1169"/>
      <c r="BJ40" s="1169"/>
      <c r="BK40" s="1169"/>
      <c r="BL40" s="1169"/>
      <c r="BM40" s="1169"/>
      <c r="BN40" s="1169"/>
      <c r="BO40" s="1169"/>
      <c r="BP40" s="1169"/>
      <c r="BQ40" s="1169"/>
      <c r="BR40" s="1169"/>
      <c r="BS40" s="1169"/>
      <c r="BT40" s="1169"/>
      <c r="BU40" s="1169"/>
      <c r="BV40" s="1169"/>
      <c r="BW40" s="1169"/>
      <c r="BX40" s="1169"/>
      <c r="BY40" s="1169"/>
      <c r="BZ40" s="1169"/>
      <c r="CA40" s="1169"/>
      <c r="CB40" s="1169"/>
      <c r="CC40" s="1169"/>
      <c r="CD40" s="1169"/>
      <c r="CE40" s="1169"/>
      <c r="CF40" s="1169"/>
      <c r="CG40" s="1169"/>
      <c r="CH40" s="1169"/>
      <c r="CI40" s="1169"/>
      <c r="CJ40" s="1169"/>
      <c r="CK40" s="1169"/>
      <c r="CL40" s="1169"/>
      <c r="CM40" s="1169"/>
      <c r="CN40" s="1169"/>
      <c r="CO40" s="1169"/>
      <c r="CP40" s="1168"/>
    </row>
    <row r="41" spans="2:94" ht="15" thickBot="1" x14ac:dyDescent="0.25">
      <c r="B41" s="1853"/>
      <c r="C41" s="1184" t="s">
        <v>1505</v>
      </c>
      <c r="D41" s="1163" t="s">
        <v>980</v>
      </c>
      <c r="E41" s="1171" t="s">
        <v>1496</v>
      </c>
      <c r="F41" s="1171" t="s">
        <v>1527</v>
      </c>
      <c r="G41" s="1171"/>
      <c r="H41" s="1171" t="s">
        <v>1498</v>
      </c>
      <c r="I41" s="1172"/>
      <c r="J41" s="1170"/>
      <c r="K41" s="1170"/>
      <c r="L41" s="1170"/>
      <c r="M41" s="1170"/>
      <c r="N41" s="1169"/>
      <c r="O41" s="1169"/>
      <c r="P41" s="1169"/>
      <c r="Q41" s="1169"/>
      <c r="R41" s="1169"/>
      <c r="S41" s="1169"/>
      <c r="T41" s="1169"/>
      <c r="U41" s="1169"/>
      <c r="V41" s="1169"/>
      <c r="W41" s="1169"/>
      <c r="X41" s="1169"/>
      <c r="Y41" s="1169"/>
      <c r="Z41" s="1169"/>
      <c r="AA41" s="1169"/>
      <c r="AB41" s="1169"/>
      <c r="AC41" s="1169"/>
      <c r="AD41" s="1169"/>
      <c r="AE41" s="1169"/>
      <c r="AF41" s="1169"/>
      <c r="AG41" s="1169"/>
      <c r="AH41" s="1169"/>
      <c r="AI41" s="1169"/>
      <c r="AJ41" s="1169"/>
      <c r="AK41" s="1169"/>
      <c r="AL41" s="1169"/>
      <c r="AM41" s="1169"/>
      <c r="AN41" s="1169"/>
      <c r="AO41" s="1169"/>
      <c r="AP41" s="1169"/>
      <c r="AQ41" s="1169"/>
      <c r="AR41" s="1169"/>
      <c r="AS41" s="1169"/>
      <c r="AT41" s="1169"/>
      <c r="AU41" s="1169"/>
      <c r="AV41" s="1169"/>
      <c r="AW41" s="1169"/>
      <c r="AX41" s="1169"/>
      <c r="AY41" s="1169"/>
      <c r="AZ41" s="1169"/>
      <c r="BA41" s="1169"/>
      <c r="BB41" s="1169"/>
      <c r="BC41" s="1169"/>
      <c r="BD41" s="1169"/>
      <c r="BE41" s="1169"/>
      <c r="BF41" s="1169"/>
      <c r="BG41" s="1169"/>
      <c r="BH41" s="1169"/>
      <c r="BI41" s="1169"/>
      <c r="BJ41" s="1169"/>
      <c r="BK41" s="1169"/>
      <c r="BL41" s="1169"/>
      <c r="BM41" s="1169"/>
      <c r="BN41" s="1169"/>
      <c r="BO41" s="1169"/>
      <c r="BP41" s="1169"/>
      <c r="BQ41" s="1169"/>
      <c r="BR41" s="1169"/>
      <c r="BS41" s="1169"/>
      <c r="BT41" s="1169"/>
      <c r="BU41" s="1169"/>
      <c r="BV41" s="1169"/>
      <c r="BW41" s="1169"/>
      <c r="BX41" s="1169"/>
      <c r="BY41" s="1169"/>
      <c r="BZ41" s="1169"/>
      <c r="CA41" s="1169"/>
      <c r="CB41" s="1169"/>
      <c r="CC41" s="1169"/>
      <c r="CD41" s="1169"/>
      <c r="CE41" s="1169"/>
      <c r="CF41" s="1169"/>
      <c r="CG41" s="1169"/>
      <c r="CH41" s="1169"/>
      <c r="CI41" s="1169"/>
      <c r="CJ41" s="1169"/>
      <c r="CK41" s="1169"/>
      <c r="CL41" s="1169"/>
      <c r="CM41" s="1169"/>
      <c r="CN41" s="1169"/>
      <c r="CO41" s="1169"/>
      <c r="CP41" s="1168"/>
    </row>
    <row r="42" spans="2:94" ht="15" thickBot="1" x14ac:dyDescent="0.25">
      <c r="B42" s="1853"/>
      <c r="C42" s="1184" t="s">
        <v>1505</v>
      </c>
      <c r="D42" s="1163" t="s">
        <v>980</v>
      </c>
      <c r="E42" s="1171" t="s">
        <v>1496</v>
      </c>
      <c r="F42" s="1171" t="s">
        <v>1528</v>
      </c>
      <c r="G42" s="1171"/>
      <c r="H42" s="1171" t="s">
        <v>1498</v>
      </c>
      <c r="I42" s="1172"/>
      <c r="J42" s="1170"/>
      <c r="K42" s="1170"/>
      <c r="L42" s="1170"/>
      <c r="M42" s="1170"/>
      <c r="N42" s="1169"/>
      <c r="O42" s="1169"/>
      <c r="P42" s="1169"/>
      <c r="Q42" s="1169"/>
      <c r="R42" s="1169"/>
      <c r="S42" s="1169"/>
      <c r="T42" s="1169"/>
      <c r="U42" s="1169"/>
      <c r="V42" s="1169"/>
      <c r="W42" s="1169"/>
      <c r="X42" s="1169"/>
      <c r="Y42" s="1169"/>
      <c r="Z42" s="1169"/>
      <c r="AA42" s="1169"/>
      <c r="AB42" s="1169"/>
      <c r="AC42" s="1169"/>
      <c r="AD42" s="1169"/>
      <c r="AE42" s="1169"/>
      <c r="AF42" s="1169"/>
      <c r="AG42" s="1169"/>
      <c r="AH42" s="1169"/>
      <c r="AI42" s="1169"/>
      <c r="AJ42" s="1169"/>
      <c r="AK42" s="1169"/>
      <c r="AL42" s="1169"/>
      <c r="AM42" s="1169"/>
      <c r="AN42" s="1169"/>
      <c r="AO42" s="1169"/>
      <c r="AP42" s="1169"/>
      <c r="AQ42" s="1169"/>
      <c r="AR42" s="1169"/>
      <c r="AS42" s="1169"/>
      <c r="AT42" s="1169"/>
      <c r="AU42" s="1169"/>
      <c r="AV42" s="1169"/>
      <c r="AW42" s="1169"/>
      <c r="AX42" s="1169"/>
      <c r="AY42" s="1169"/>
      <c r="AZ42" s="1169"/>
      <c r="BA42" s="1169"/>
      <c r="BB42" s="1169"/>
      <c r="BC42" s="1169"/>
      <c r="BD42" s="1169"/>
      <c r="BE42" s="1169"/>
      <c r="BF42" s="1169"/>
      <c r="BG42" s="1169"/>
      <c r="BH42" s="1169"/>
      <c r="BI42" s="1169"/>
      <c r="BJ42" s="1169"/>
      <c r="BK42" s="1169"/>
      <c r="BL42" s="1169"/>
      <c r="BM42" s="1169"/>
      <c r="BN42" s="1169"/>
      <c r="BO42" s="1169"/>
      <c r="BP42" s="1169"/>
      <c r="BQ42" s="1169"/>
      <c r="BR42" s="1169"/>
      <c r="BS42" s="1169"/>
      <c r="BT42" s="1169"/>
      <c r="BU42" s="1169"/>
      <c r="BV42" s="1169"/>
      <c r="BW42" s="1169"/>
      <c r="BX42" s="1169"/>
      <c r="BY42" s="1169"/>
      <c r="BZ42" s="1169"/>
      <c r="CA42" s="1169"/>
      <c r="CB42" s="1169"/>
      <c r="CC42" s="1169"/>
      <c r="CD42" s="1169"/>
      <c r="CE42" s="1169"/>
      <c r="CF42" s="1169"/>
      <c r="CG42" s="1169"/>
      <c r="CH42" s="1169"/>
      <c r="CI42" s="1169"/>
      <c r="CJ42" s="1169"/>
      <c r="CK42" s="1169"/>
      <c r="CL42" s="1169"/>
      <c r="CM42" s="1169"/>
      <c r="CN42" s="1169"/>
      <c r="CO42" s="1169"/>
      <c r="CP42" s="1168"/>
    </row>
    <row r="43" spans="2:94" ht="15" thickBot="1" x14ac:dyDescent="0.25">
      <c r="B43" s="1853"/>
      <c r="C43" s="1184" t="s">
        <v>1505</v>
      </c>
      <c r="D43" s="1163" t="s">
        <v>980</v>
      </c>
      <c r="E43" s="1171" t="s">
        <v>1496</v>
      </c>
      <c r="F43" s="1171" t="s">
        <v>1529</v>
      </c>
      <c r="G43" s="1171"/>
      <c r="H43" s="1171" t="s">
        <v>1498</v>
      </c>
      <c r="I43" s="1172"/>
      <c r="J43" s="1170"/>
      <c r="K43" s="1170"/>
      <c r="L43" s="1170"/>
      <c r="M43" s="1170"/>
      <c r="N43" s="1169"/>
      <c r="O43" s="1169"/>
      <c r="P43" s="1169"/>
      <c r="Q43" s="1169"/>
      <c r="R43" s="1169"/>
      <c r="S43" s="1169"/>
      <c r="T43" s="1169"/>
      <c r="U43" s="1169"/>
      <c r="V43" s="1169"/>
      <c r="W43" s="1169"/>
      <c r="X43" s="1169"/>
      <c r="Y43" s="1169"/>
      <c r="Z43" s="1169"/>
      <c r="AA43" s="1169"/>
      <c r="AB43" s="1169"/>
      <c r="AC43" s="1169"/>
      <c r="AD43" s="1169"/>
      <c r="AE43" s="1169"/>
      <c r="AF43" s="1169"/>
      <c r="AG43" s="1169"/>
      <c r="AH43" s="1169"/>
      <c r="AI43" s="1169"/>
      <c r="AJ43" s="1169"/>
      <c r="AK43" s="1169"/>
      <c r="AL43" s="1169"/>
      <c r="AM43" s="1169"/>
      <c r="AN43" s="1169"/>
      <c r="AO43" s="1169"/>
      <c r="AP43" s="1169"/>
      <c r="AQ43" s="1169"/>
      <c r="AR43" s="1169"/>
      <c r="AS43" s="1169"/>
      <c r="AT43" s="1169"/>
      <c r="AU43" s="1169"/>
      <c r="AV43" s="1169"/>
      <c r="AW43" s="1169"/>
      <c r="AX43" s="1169"/>
      <c r="AY43" s="1169"/>
      <c r="AZ43" s="1169"/>
      <c r="BA43" s="1169"/>
      <c r="BB43" s="1169"/>
      <c r="BC43" s="1169"/>
      <c r="BD43" s="1169"/>
      <c r="BE43" s="1169"/>
      <c r="BF43" s="1169"/>
      <c r="BG43" s="1169"/>
      <c r="BH43" s="1169"/>
      <c r="BI43" s="1169"/>
      <c r="BJ43" s="1169"/>
      <c r="BK43" s="1169"/>
      <c r="BL43" s="1169"/>
      <c r="BM43" s="1169"/>
      <c r="BN43" s="1169"/>
      <c r="BO43" s="1169"/>
      <c r="BP43" s="1169"/>
      <c r="BQ43" s="1169"/>
      <c r="BR43" s="1169"/>
      <c r="BS43" s="1169"/>
      <c r="BT43" s="1169"/>
      <c r="BU43" s="1169"/>
      <c r="BV43" s="1169"/>
      <c r="BW43" s="1169"/>
      <c r="BX43" s="1169"/>
      <c r="BY43" s="1169"/>
      <c r="BZ43" s="1169"/>
      <c r="CA43" s="1169"/>
      <c r="CB43" s="1169"/>
      <c r="CC43" s="1169"/>
      <c r="CD43" s="1169"/>
      <c r="CE43" s="1169"/>
      <c r="CF43" s="1169"/>
      <c r="CG43" s="1169"/>
      <c r="CH43" s="1169"/>
      <c r="CI43" s="1169"/>
      <c r="CJ43" s="1169"/>
      <c r="CK43" s="1169"/>
      <c r="CL43" s="1169"/>
      <c r="CM43" s="1169"/>
      <c r="CN43" s="1169"/>
      <c r="CO43" s="1169"/>
      <c r="CP43" s="1168"/>
    </row>
    <row r="44" spans="2:94" ht="15" thickBot="1" x14ac:dyDescent="0.25">
      <c r="B44" s="1853"/>
      <c r="C44" s="1184" t="s">
        <v>1505</v>
      </c>
      <c r="D44" s="1163" t="s">
        <v>980</v>
      </c>
      <c r="E44" s="1171" t="s">
        <v>1496</v>
      </c>
      <c r="F44" s="1171" t="s">
        <v>1530</v>
      </c>
      <c r="G44" s="1171"/>
      <c r="H44" s="1171" t="s">
        <v>1498</v>
      </c>
      <c r="I44" s="1172"/>
      <c r="J44" s="1170"/>
      <c r="K44" s="1170"/>
      <c r="L44" s="1170"/>
      <c r="M44" s="1170"/>
      <c r="N44" s="1169"/>
      <c r="O44" s="1169"/>
      <c r="P44" s="1169"/>
      <c r="Q44" s="1169"/>
      <c r="R44" s="1169"/>
      <c r="S44" s="1169"/>
      <c r="T44" s="1169"/>
      <c r="U44" s="1169"/>
      <c r="V44" s="1169"/>
      <c r="W44" s="1169"/>
      <c r="X44" s="1169"/>
      <c r="Y44" s="1169"/>
      <c r="Z44" s="1169"/>
      <c r="AA44" s="1169"/>
      <c r="AB44" s="1169"/>
      <c r="AC44" s="1169"/>
      <c r="AD44" s="1169"/>
      <c r="AE44" s="1169"/>
      <c r="AF44" s="1169"/>
      <c r="AG44" s="1169"/>
      <c r="AH44" s="1169"/>
      <c r="AI44" s="1169"/>
      <c r="AJ44" s="1169"/>
      <c r="AK44" s="1169"/>
      <c r="AL44" s="1169"/>
      <c r="AM44" s="1169"/>
      <c r="AN44" s="1169"/>
      <c r="AO44" s="1169"/>
      <c r="AP44" s="1169"/>
      <c r="AQ44" s="1169"/>
      <c r="AR44" s="1169"/>
      <c r="AS44" s="1169"/>
      <c r="AT44" s="1169"/>
      <c r="AU44" s="1169"/>
      <c r="AV44" s="1169"/>
      <c r="AW44" s="1169"/>
      <c r="AX44" s="1169"/>
      <c r="AY44" s="1169"/>
      <c r="AZ44" s="1169"/>
      <c r="BA44" s="1169"/>
      <c r="BB44" s="1169"/>
      <c r="BC44" s="1169"/>
      <c r="BD44" s="1169"/>
      <c r="BE44" s="1169"/>
      <c r="BF44" s="1169"/>
      <c r="BG44" s="1169"/>
      <c r="BH44" s="1169"/>
      <c r="BI44" s="1169"/>
      <c r="BJ44" s="1169"/>
      <c r="BK44" s="1169"/>
      <c r="BL44" s="1169"/>
      <c r="BM44" s="1169"/>
      <c r="BN44" s="1169"/>
      <c r="BO44" s="1169"/>
      <c r="BP44" s="1169"/>
      <c r="BQ44" s="1169"/>
      <c r="BR44" s="1169"/>
      <c r="BS44" s="1169"/>
      <c r="BT44" s="1169"/>
      <c r="BU44" s="1169"/>
      <c r="BV44" s="1169"/>
      <c r="BW44" s="1169"/>
      <c r="BX44" s="1169"/>
      <c r="BY44" s="1169"/>
      <c r="BZ44" s="1169"/>
      <c r="CA44" s="1169"/>
      <c r="CB44" s="1169"/>
      <c r="CC44" s="1169"/>
      <c r="CD44" s="1169"/>
      <c r="CE44" s="1169"/>
      <c r="CF44" s="1169"/>
      <c r="CG44" s="1169"/>
      <c r="CH44" s="1169"/>
      <c r="CI44" s="1169"/>
      <c r="CJ44" s="1169"/>
      <c r="CK44" s="1169"/>
      <c r="CL44" s="1169"/>
      <c r="CM44" s="1169"/>
      <c r="CN44" s="1169"/>
      <c r="CO44" s="1169"/>
      <c r="CP44" s="1168"/>
    </row>
    <row r="45" spans="2:94" ht="15" thickBot="1" x14ac:dyDescent="0.25">
      <c r="B45" s="1853"/>
      <c r="C45" s="1184" t="s">
        <v>1505</v>
      </c>
      <c r="D45" s="1163" t="s">
        <v>980</v>
      </c>
      <c r="E45" s="1171" t="s">
        <v>1496</v>
      </c>
      <c r="F45" s="1171" t="s">
        <v>1531</v>
      </c>
      <c r="G45" s="1171"/>
      <c r="H45" s="1171" t="s">
        <v>1498</v>
      </c>
      <c r="I45" s="1172"/>
      <c r="J45" s="1170"/>
      <c r="K45" s="1170"/>
      <c r="L45" s="1170"/>
      <c r="M45" s="1170"/>
      <c r="N45" s="1169"/>
      <c r="O45" s="1169"/>
      <c r="P45" s="1169"/>
      <c r="Q45" s="1169"/>
      <c r="R45" s="1169"/>
      <c r="S45" s="1169"/>
      <c r="T45" s="1169"/>
      <c r="U45" s="1169"/>
      <c r="V45" s="1169"/>
      <c r="W45" s="1169"/>
      <c r="X45" s="1169"/>
      <c r="Y45" s="1169"/>
      <c r="Z45" s="1169"/>
      <c r="AA45" s="1169"/>
      <c r="AB45" s="1169"/>
      <c r="AC45" s="1169"/>
      <c r="AD45" s="1169"/>
      <c r="AE45" s="1169"/>
      <c r="AF45" s="1169"/>
      <c r="AG45" s="1169"/>
      <c r="AH45" s="1169"/>
      <c r="AI45" s="1169"/>
      <c r="AJ45" s="1169"/>
      <c r="AK45" s="1169"/>
      <c r="AL45" s="1169"/>
      <c r="AM45" s="1169"/>
      <c r="AN45" s="1169"/>
      <c r="AO45" s="1169"/>
      <c r="AP45" s="1169"/>
      <c r="AQ45" s="1169"/>
      <c r="AR45" s="1169"/>
      <c r="AS45" s="1169"/>
      <c r="AT45" s="1169"/>
      <c r="AU45" s="1169"/>
      <c r="AV45" s="1169"/>
      <c r="AW45" s="1169"/>
      <c r="AX45" s="1169"/>
      <c r="AY45" s="1169"/>
      <c r="AZ45" s="1169"/>
      <c r="BA45" s="1169"/>
      <c r="BB45" s="1169"/>
      <c r="BC45" s="1169"/>
      <c r="BD45" s="1169"/>
      <c r="BE45" s="1169"/>
      <c r="BF45" s="1169"/>
      <c r="BG45" s="1169"/>
      <c r="BH45" s="1169"/>
      <c r="BI45" s="1169"/>
      <c r="BJ45" s="1169"/>
      <c r="BK45" s="1169"/>
      <c r="BL45" s="1169"/>
      <c r="BM45" s="1169"/>
      <c r="BN45" s="1169"/>
      <c r="BO45" s="1169"/>
      <c r="BP45" s="1169"/>
      <c r="BQ45" s="1169"/>
      <c r="BR45" s="1169"/>
      <c r="BS45" s="1169"/>
      <c r="BT45" s="1169"/>
      <c r="BU45" s="1169"/>
      <c r="BV45" s="1169"/>
      <c r="BW45" s="1169"/>
      <c r="BX45" s="1169"/>
      <c r="BY45" s="1169"/>
      <c r="BZ45" s="1169"/>
      <c r="CA45" s="1169"/>
      <c r="CB45" s="1169"/>
      <c r="CC45" s="1169"/>
      <c r="CD45" s="1169"/>
      <c r="CE45" s="1169"/>
      <c r="CF45" s="1169"/>
      <c r="CG45" s="1169"/>
      <c r="CH45" s="1169"/>
      <c r="CI45" s="1169"/>
      <c r="CJ45" s="1169"/>
      <c r="CK45" s="1169"/>
      <c r="CL45" s="1169"/>
      <c r="CM45" s="1169"/>
      <c r="CN45" s="1169"/>
      <c r="CO45" s="1169"/>
      <c r="CP45" s="1168"/>
    </row>
    <row r="46" spans="2:94" ht="15" thickBot="1" x14ac:dyDescent="0.25">
      <c r="B46" s="1853"/>
      <c r="C46" s="1184" t="s">
        <v>1505</v>
      </c>
      <c r="D46" s="1163" t="s">
        <v>980</v>
      </c>
      <c r="E46" s="1171" t="s">
        <v>1496</v>
      </c>
      <c r="F46" s="1171" t="s">
        <v>1532</v>
      </c>
      <c r="G46" s="1171"/>
      <c r="H46" s="1171" t="s">
        <v>1498</v>
      </c>
      <c r="I46" s="1172"/>
      <c r="J46" s="1170"/>
      <c r="K46" s="1170"/>
      <c r="L46" s="1170"/>
      <c r="M46" s="1170"/>
      <c r="N46" s="1169"/>
      <c r="O46" s="1169"/>
      <c r="P46" s="1169"/>
      <c r="Q46" s="1169"/>
      <c r="R46" s="1169"/>
      <c r="S46" s="1169"/>
      <c r="T46" s="1169"/>
      <c r="U46" s="1169"/>
      <c r="V46" s="1169"/>
      <c r="W46" s="1169"/>
      <c r="X46" s="1169"/>
      <c r="Y46" s="1169"/>
      <c r="Z46" s="1169"/>
      <c r="AA46" s="1169"/>
      <c r="AB46" s="1169"/>
      <c r="AC46" s="1169"/>
      <c r="AD46" s="1169"/>
      <c r="AE46" s="1169"/>
      <c r="AF46" s="1169"/>
      <c r="AG46" s="1169"/>
      <c r="AH46" s="1169"/>
      <c r="AI46" s="1169"/>
      <c r="AJ46" s="1169"/>
      <c r="AK46" s="1169"/>
      <c r="AL46" s="1169"/>
      <c r="AM46" s="1169"/>
      <c r="AN46" s="1169"/>
      <c r="AO46" s="1169"/>
      <c r="AP46" s="1169"/>
      <c r="AQ46" s="1169"/>
      <c r="AR46" s="1169"/>
      <c r="AS46" s="1169"/>
      <c r="AT46" s="1169"/>
      <c r="AU46" s="1169"/>
      <c r="AV46" s="1169"/>
      <c r="AW46" s="1169"/>
      <c r="AX46" s="1169"/>
      <c r="AY46" s="1169"/>
      <c r="AZ46" s="1169"/>
      <c r="BA46" s="1169"/>
      <c r="BB46" s="1169"/>
      <c r="BC46" s="1169"/>
      <c r="BD46" s="1169"/>
      <c r="BE46" s="1169"/>
      <c r="BF46" s="1169"/>
      <c r="BG46" s="1169"/>
      <c r="BH46" s="1169"/>
      <c r="BI46" s="1169"/>
      <c r="BJ46" s="1169"/>
      <c r="BK46" s="1169"/>
      <c r="BL46" s="1169"/>
      <c r="BM46" s="1169"/>
      <c r="BN46" s="1169"/>
      <c r="BO46" s="1169"/>
      <c r="BP46" s="1169"/>
      <c r="BQ46" s="1169"/>
      <c r="BR46" s="1169"/>
      <c r="BS46" s="1169"/>
      <c r="BT46" s="1169"/>
      <c r="BU46" s="1169"/>
      <c r="BV46" s="1169"/>
      <c r="BW46" s="1169"/>
      <c r="BX46" s="1169"/>
      <c r="BY46" s="1169"/>
      <c r="BZ46" s="1169"/>
      <c r="CA46" s="1169"/>
      <c r="CB46" s="1169"/>
      <c r="CC46" s="1169"/>
      <c r="CD46" s="1169"/>
      <c r="CE46" s="1169"/>
      <c r="CF46" s="1169"/>
      <c r="CG46" s="1169"/>
      <c r="CH46" s="1169"/>
      <c r="CI46" s="1169"/>
      <c r="CJ46" s="1169"/>
      <c r="CK46" s="1169"/>
      <c r="CL46" s="1169"/>
      <c r="CM46" s="1169"/>
      <c r="CN46" s="1169"/>
      <c r="CO46" s="1169"/>
      <c r="CP46" s="1168"/>
    </row>
    <row r="47" spans="2:94" ht="15" thickBot="1" x14ac:dyDescent="0.25">
      <c r="B47" s="1853"/>
      <c r="C47" s="1184" t="s">
        <v>1505</v>
      </c>
      <c r="D47" s="1163" t="s">
        <v>980</v>
      </c>
      <c r="E47" s="1171" t="s">
        <v>1496</v>
      </c>
      <c r="F47" s="1171" t="s">
        <v>1533</v>
      </c>
      <c r="G47" s="1171"/>
      <c r="H47" s="1171" t="s">
        <v>1498</v>
      </c>
      <c r="I47" s="1172"/>
      <c r="J47" s="1170"/>
      <c r="K47" s="1170"/>
      <c r="L47" s="1170"/>
      <c r="M47" s="1170"/>
      <c r="N47" s="1169"/>
      <c r="O47" s="1169"/>
      <c r="P47" s="1169"/>
      <c r="Q47" s="1169"/>
      <c r="R47" s="1169"/>
      <c r="S47" s="1169"/>
      <c r="T47" s="1169"/>
      <c r="U47" s="1169"/>
      <c r="V47" s="1169"/>
      <c r="W47" s="1169"/>
      <c r="X47" s="1169"/>
      <c r="Y47" s="1169"/>
      <c r="Z47" s="1169"/>
      <c r="AA47" s="1169"/>
      <c r="AB47" s="1169"/>
      <c r="AC47" s="1169"/>
      <c r="AD47" s="1169"/>
      <c r="AE47" s="1169"/>
      <c r="AF47" s="1169"/>
      <c r="AG47" s="1169"/>
      <c r="AH47" s="1169"/>
      <c r="AI47" s="1169"/>
      <c r="AJ47" s="1169"/>
      <c r="AK47" s="1169"/>
      <c r="AL47" s="1169"/>
      <c r="AM47" s="1169"/>
      <c r="AN47" s="1169"/>
      <c r="AO47" s="1169"/>
      <c r="AP47" s="1169"/>
      <c r="AQ47" s="1169"/>
      <c r="AR47" s="1169"/>
      <c r="AS47" s="1169"/>
      <c r="AT47" s="1169"/>
      <c r="AU47" s="1169"/>
      <c r="AV47" s="1169"/>
      <c r="AW47" s="1169"/>
      <c r="AX47" s="1169"/>
      <c r="AY47" s="1169"/>
      <c r="AZ47" s="1169"/>
      <c r="BA47" s="1169"/>
      <c r="BB47" s="1169"/>
      <c r="BC47" s="1169"/>
      <c r="BD47" s="1169"/>
      <c r="BE47" s="1169"/>
      <c r="BF47" s="1169"/>
      <c r="BG47" s="1169"/>
      <c r="BH47" s="1169"/>
      <c r="BI47" s="1169"/>
      <c r="BJ47" s="1169"/>
      <c r="BK47" s="1169"/>
      <c r="BL47" s="1169"/>
      <c r="BM47" s="1169"/>
      <c r="BN47" s="1169"/>
      <c r="BO47" s="1169"/>
      <c r="BP47" s="1169"/>
      <c r="BQ47" s="1169"/>
      <c r="BR47" s="1169"/>
      <c r="BS47" s="1169"/>
      <c r="BT47" s="1169"/>
      <c r="BU47" s="1169"/>
      <c r="BV47" s="1169"/>
      <c r="BW47" s="1169"/>
      <c r="BX47" s="1169"/>
      <c r="BY47" s="1169"/>
      <c r="BZ47" s="1169"/>
      <c r="CA47" s="1169"/>
      <c r="CB47" s="1169"/>
      <c r="CC47" s="1169"/>
      <c r="CD47" s="1169"/>
      <c r="CE47" s="1169"/>
      <c r="CF47" s="1169"/>
      <c r="CG47" s="1169"/>
      <c r="CH47" s="1169"/>
      <c r="CI47" s="1169"/>
      <c r="CJ47" s="1169"/>
      <c r="CK47" s="1169"/>
      <c r="CL47" s="1169"/>
      <c r="CM47" s="1169"/>
      <c r="CN47" s="1169"/>
      <c r="CO47" s="1169"/>
      <c r="CP47" s="1168"/>
    </row>
    <row r="48" spans="2:94" ht="15" thickBot="1" x14ac:dyDescent="0.25">
      <c r="B48" s="1853"/>
      <c r="C48" s="1184" t="s">
        <v>1505</v>
      </c>
      <c r="D48" s="1163" t="s">
        <v>980</v>
      </c>
      <c r="E48" s="1171" t="s">
        <v>1496</v>
      </c>
      <c r="F48" s="1171" t="s">
        <v>1534</v>
      </c>
      <c r="G48" s="1171"/>
      <c r="H48" s="1171" t="s">
        <v>1498</v>
      </c>
      <c r="I48" s="1172"/>
      <c r="J48" s="1170"/>
      <c r="K48" s="1170"/>
      <c r="L48" s="1170"/>
      <c r="M48" s="1170"/>
      <c r="N48" s="1169"/>
      <c r="O48" s="1169"/>
      <c r="P48" s="1169"/>
      <c r="Q48" s="1169"/>
      <c r="R48" s="1169"/>
      <c r="S48" s="1169"/>
      <c r="T48" s="1169"/>
      <c r="U48" s="1169"/>
      <c r="V48" s="1169"/>
      <c r="W48" s="1169"/>
      <c r="X48" s="1169"/>
      <c r="Y48" s="1169"/>
      <c r="Z48" s="1169"/>
      <c r="AA48" s="1169"/>
      <c r="AB48" s="1169"/>
      <c r="AC48" s="1169"/>
      <c r="AD48" s="1169"/>
      <c r="AE48" s="1169"/>
      <c r="AF48" s="1169"/>
      <c r="AG48" s="1169"/>
      <c r="AH48" s="1169"/>
      <c r="AI48" s="1169"/>
      <c r="AJ48" s="1169"/>
      <c r="AK48" s="1169"/>
      <c r="AL48" s="1169"/>
      <c r="AM48" s="1169"/>
      <c r="AN48" s="1169"/>
      <c r="AO48" s="1169"/>
      <c r="AP48" s="1169"/>
      <c r="AQ48" s="1169"/>
      <c r="AR48" s="1169"/>
      <c r="AS48" s="1169"/>
      <c r="AT48" s="1169"/>
      <c r="AU48" s="1169"/>
      <c r="AV48" s="1169"/>
      <c r="AW48" s="1169"/>
      <c r="AX48" s="1169"/>
      <c r="AY48" s="1169"/>
      <c r="AZ48" s="1169"/>
      <c r="BA48" s="1169"/>
      <c r="BB48" s="1169"/>
      <c r="BC48" s="1169"/>
      <c r="BD48" s="1169"/>
      <c r="BE48" s="1169"/>
      <c r="BF48" s="1169"/>
      <c r="BG48" s="1169"/>
      <c r="BH48" s="1169"/>
      <c r="BI48" s="1169"/>
      <c r="BJ48" s="1169"/>
      <c r="BK48" s="1169"/>
      <c r="BL48" s="1169"/>
      <c r="BM48" s="1169"/>
      <c r="BN48" s="1169"/>
      <c r="BO48" s="1169"/>
      <c r="BP48" s="1169"/>
      <c r="BQ48" s="1169"/>
      <c r="BR48" s="1169"/>
      <c r="BS48" s="1169"/>
      <c r="BT48" s="1169"/>
      <c r="BU48" s="1169"/>
      <c r="BV48" s="1169"/>
      <c r="BW48" s="1169"/>
      <c r="BX48" s="1169"/>
      <c r="BY48" s="1169"/>
      <c r="BZ48" s="1169"/>
      <c r="CA48" s="1169"/>
      <c r="CB48" s="1169"/>
      <c r="CC48" s="1169"/>
      <c r="CD48" s="1169"/>
      <c r="CE48" s="1169"/>
      <c r="CF48" s="1169"/>
      <c r="CG48" s="1169"/>
      <c r="CH48" s="1169"/>
      <c r="CI48" s="1169"/>
      <c r="CJ48" s="1169"/>
      <c r="CK48" s="1169"/>
      <c r="CL48" s="1169"/>
      <c r="CM48" s="1169"/>
      <c r="CN48" s="1169"/>
      <c r="CO48" s="1169"/>
      <c r="CP48" s="1168"/>
    </row>
    <row r="49" spans="2:94" ht="15" thickBot="1" x14ac:dyDescent="0.25">
      <c r="B49" s="1853"/>
      <c r="C49" s="1184" t="s">
        <v>1505</v>
      </c>
      <c r="D49" s="1163" t="s">
        <v>980</v>
      </c>
      <c r="E49" s="1171" t="s">
        <v>1496</v>
      </c>
      <c r="F49" s="1171" t="s">
        <v>1535</v>
      </c>
      <c r="G49" s="1171"/>
      <c r="H49" s="1171" t="s">
        <v>1498</v>
      </c>
      <c r="I49" s="1172"/>
      <c r="J49" s="1170"/>
      <c r="K49" s="1170"/>
      <c r="L49" s="1170"/>
      <c r="M49" s="1170"/>
      <c r="N49" s="1169"/>
      <c r="O49" s="1169"/>
      <c r="P49" s="1169"/>
      <c r="Q49" s="1169"/>
      <c r="R49" s="1169"/>
      <c r="S49" s="1169"/>
      <c r="T49" s="1169"/>
      <c r="U49" s="1169"/>
      <c r="V49" s="1169"/>
      <c r="W49" s="1169"/>
      <c r="X49" s="1169"/>
      <c r="Y49" s="1169"/>
      <c r="Z49" s="1169"/>
      <c r="AA49" s="1169"/>
      <c r="AB49" s="1169"/>
      <c r="AC49" s="1169"/>
      <c r="AD49" s="1169"/>
      <c r="AE49" s="1169"/>
      <c r="AF49" s="1169"/>
      <c r="AG49" s="1169"/>
      <c r="AH49" s="1169"/>
      <c r="AI49" s="1169"/>
      <c r="AJ49" s="1169"/>
      <c r="AK49" s="1169"/>
      <c r="AL49" s="1169"/>
      <c r="AM49" s="1169"/>
      <c r="AN49" s="1169"/>
      <c r="AO49" s="1169"/>
      <c r="AP49" s="1169"/>
      <c r="AQ49" s="1169"/>
      <c r="AR49" s="1169"/>
      <c r="AS49" s="1169"/>
      <c r="AT49" s="1169"/>
      <c r="AU49" s="1169"/>
      <c r="AV49" s="1169"/>
      <c r="AW49" s="1169"/>
      <c r="AX49" s="1169"/>
      <c r="AY49" s="1169"/>
      <c r="AZ49" s="1169"/>
      <c r="BA49" s="1169"/>
      <c r="BB49" s="1169"/>
      <c r="BC49" s="1169"/>
      <c r="BD49" s="1169"/>
      <c r="BE49" s="1169"/>
      <c r="BF49" s="1169"/>
      <c r="BG49" s="1169"/>
      <c r="BH49" s="1169"/>
      <c r="BI49" s="1169"/>
      <c r="BJ49" s="1169"/>
      <c r="BK49" s="1169"/>
      <c r="BL49" s="1169"/>
      <c r="BM49" s="1169"/>
      <c r="BN49" s="1169"/>
      <c r="BO49" s="1169"/>
      <c r="BP49" s="1169"/>
      <c r="BQ49" s="1169"/>
      <c r="BR49" s="1169"/>
      <c r="BS49" s="1169"/>
      <c r="BT49" s="1169"/>
      <c r="BU49" s="1169"/>
      <c r="BV49" s="1169"/>
      <c r="BW49" s="1169"/>
      <c r="BX49" s="1169"/>
      <c r="BY49" s="1169"/>
      <c r="BZ49" s="1169"/>
      <c r="CA49" s="1169"/>
      <c r="CB49" s="1169"/>
      <c r="CC49" s="1169"/>
      <c r="CD49" s="1169"/>
      <c r="CE49" s="1169"/>
      <c r="CF49" s="1169"/>
      <c r="CG49" s="1169"/>
      <c r="CH49" s="1169"/>
      <c r="CI49" s="1169"/>
      <c r="CJ49" s="1169"/>
      <c r="CK49" s="1169"/>
      <c r="CL49" s="1169"/>
      <c r="CM49" s="1169"/>
      <c r="CN49" s="1169"/>
      <c r="CO49" s="1169"/>
      <c r="CP49" s="1168"/>
    </row>
    <row r="50" spans="2:94" ht="15" thickBot="1" x14ac:dyDescent="0.25">
      <c r="B50" s="1853"/>
      <c r="C50" s="1184" t="s">
        <v>1505</v>
      </c>
      <c r="D50" s="1163" t="s">
        <v>980</v>
      </c>
      <c r="E50" s="1171" t="s">
        <v>1496</v>
      </c>
      <c r="F50" s="1171" t="s">
        <v>1536</v>
      </c>
      <c r="G50" s="1171"/>
      <c r="H50" s="1171" t="s">
        <v>1498</v>
      </c>
      <c r="I50" s="1172"/>
      <c r="J50" s="1170"/>
      <c r="K50" s="1170"/>
      <c r="L50" s="1170"/>
      <c r="M50" s="1170"/>
      <c r="N50" s="1169"/>
      <c r="O50" s="1169"/>
      <c r="P50" s="1169"/>
      <c r="Q50" s="1169"/>
      <c r="R50" s="1169"/>
      <c r="S50" s="1169"/>
      <c r="T50" s="1169"/>
      <c r="U50" s="1169"/>
      <c r="V50" s="1169"/>
      <c r="W50" s="1169"/>
      <c r="X50" s="1169"/>
      <c r="Y50" s="1169"/>
      <c r="Z50" s="1169"/>
      <c r="AA50" s="1169"/>
      <c r="AB50" s="1169"/>
      <c r="AC50" s="1169"/>
      <c r="AD50" s="1169"/>
      <c r="AE50" s="1169"/>
      <c r="AF50" s="1169"/>
      <c r="AG50" s="1169"/>
      <c r="AH50" s="1169"/>
      <c r="AI50" s="1169"/>
      <c r="AJ50" s="1169"/>
      <c r="AK50" s="1169"/>
      <c r="AL50" s="1169"/>
      <c r="AM50" s="1169"/>
      <c r="AN50" s="1169"/>
      <c r="AO50" s="1169"/>
      <c r="AP50" s="1169"/>
      <c r="AQ50" s="1169"/>
      <c r="AR50" s="1169"/>
      <c r="AS50" s="1169"/>
      <c r="AT50" s="1169"/>
      <c r="AU50" s="1169"/>
      <c r="AV50" s="1169"/>
      <c r="AW50" s="1169"/>
      <c r="AX50" s="1169"/>
      <c r="AY50" s="1169"/>
      <c r="AZ50" s="1169"/>
      <c r="BA50" s="1169"/>
      <c r="BB50" s="1169"/>
      <c r="BC50" s="1169"/>
      <c r="BD50" s="1169"/>
      <c r="BE50" s="1169"/>
      <c r="BF50" s="1169"/>
      <c r="BG50" s="1169"/>
      <c r="BH50" s="1169"/>
      <c r="BI50" s="1169"/>
      <c r="BJ50" s="1169"/>
      <c r="BK50" s="1169"/>
      <c r="BL50" s="1169"/>
      <c r="BM50" s="1169"/>
      <c r="BN50" s="1169"/>
      <c r="BO50" s="1169"/>
      <c r="BP50" s="1169"/>
      <c r="BQ50" s="1169"/>
      <c r="BR50" s="1169"/>
      <c r="BS50" s="1169"/>
      <c r="BT50" s="1169"/>
      <c r="BU50" s="1169"/>
      <c r="BV50" s="1169"/>
      <c r="BW50" s="1169"/>
      <c r="BX50" s="1169"/>
      <c r="BY50" s="1169"/>
      <c r="BZ50" s="1169"/>
      <c r="CA50" s="1169"/>
      <c r="CB50" s="1169"/>
      <c r="CC50" s="1169"/>
      <c r="CD50" s="1169"/>
      <c r="CE50" s="1169"/>
      <c r="CF50" s="1169"/>
      <c r="CG50" s="1169"/>
      <c r="CH50" s="1169"/>
      <c r="CI50" s="1169"/>
      <c r="CJ50" s="1169"/>
      <c r="CK50" s="1169"/>
      <c r="CL50" s="1169"/>
      <c r="CM50" s="1169"/>
      <c r="CN50" s="1169"/>
      <c r="CO50" s="1169"/>
      <c r="CP50" s="1168"/>
    </row>
    <row r="51" spans="2:94" ht="15" thickBot="1" x14ac:dyDescent="0.25">
      <c r="B51" s="1853"/>
      <c r="C51" s="1184" t="s">
        <v>1505</v>
      </c>
      <c r="D51" s="1163" t="s">
        <v>980</v>
      </c>
      <c r="E51" s="1171" t="s">
        <v>1496</v>
      </c>
      <c r="F51" s="1171" t="s">
        <v>1537</v>
      </c>
      <c r="G51" s="1171"/>
      <c r="H51" s="1171" t="s">
        <v>1498</v>
      </c>
      <c r="I51" s="1172"/>
      <c r="J51" s="1170"/>
      <c r="K51" s="1170"/>
      <c r="L51" s="1170"/>
      <c r="M51" s="1170"/>
      <c r="N51" s="1169"/>
      <c r="O51" s="1169"/>
      <c r="P51" s="1169"/>
      <c r="Q51" s="1169"/>
      <c r="R51" s="1169"/>
      <c r="S51" s="1169"/>
      <c r="T51" s="1169"/>
      <c r="U51" s="1169"/>
      <c r="V51" s="1169"/>
      <c r="W51" s="1169"/>
      <c r="X51" s="1169"/>
      <c r="Y51" s="1169"/>
      <c r="Z51" s="1169"/>
      <c r="AA51" s="1169"/>
      <c r="AB51" s="1169"/>
      <c r="AC51" s="1169"/>
      <c r="AD51" s="1169"/>
      <c r="AE51" s="1169"/>
      <c r="AF51" s="1169"/>
      <c r="AG51" s="1169"/>
      <c r="AH51" s="1169"/>
      <c r="AI51" s="1169"/>
      <c r="AJ51" s="1169"/>
      <c r="AK51" s="1169"/>
      <c r="AL51" s="1169"/>
      <c r="AM51" s="1169"/>
      <c r="AN51" s="1169"/>
      <c r="AO51" s="1169"/>
      <c r="AP51" s="1169"/>
      <c r="AQ51" s="1169"/>
      <c r="AR51" s="1169"/>
      <c r="AS51" s="1169"/>
      <c r="AT51" s="1169"/>
      <c r="AU51" s="1169"/>
      <c r="AV51" s="1169"/>
      <c r="AW51" s="1169"/>
      <c r="AX51" s="1169"/>
      <c r="AY51" s="1169"/>
      <c r="AZ51" s="1169"/>
      <c r="BA51" s="1169"/>
      <c r="BB51" s="1169"/>
      <c r="BC51" s="1169"/>
      <c r="BD51" s="1169"/>
      <c r="BE51" s="1169"/>
      <c r="BF51" s="1169"/>
      <c r="BG51" s="1169"/>
      <c r="BH51" s="1169"/>
      <c r="BI51" s="1169"/>
      <c r="BJ51" s="1169"/>
      <c r="BK51" s="1169"/>
      <c r="BL51" s="1169"/>
      <c r="BM51" s="1169"/>
      <c r="BN51" s="1169"/>
      <c r="BO51" s="1169"/>
      <c r="BP51" s="1169"/>
      <c r="BQ51" s="1169"/>
      <c r="BR51" s="1169"/>
      <c r="BS51" s="1169"/>
      <c r="BT51" s="1169"/>
      <c r="BU51" s="1169"/>
      <c r="BV51" s="1169"/>
      <c r="BW51" s="1169"/>
      <c r="BX51" s="1169"/>
      <c r="BY51" s="1169"/>
      <c r="BZ51" s="1169"/>
      <c r="CA51" s="1169"/>
      <c r="CB51" s="1169"/>
      <c r="CC51" s="1169"/>
      <c r="CD51" s="1169"/>
      <c r="CE51" s="1169"/>
      <c r="CF51" s="1169"/>
      <c r="CG51" s="1169"/>
      <c r="CH51" s="1169"/>
      <c r="CI51" s="1169"/>
      <c r="CJ51" s="1169"/>
      <c r="CK51" s="1169"/>
      <c r="CL51" s="1169"/>
      <c r="CM51" s="1169"/>
      <c r="CN51" s="1169"/>
      <c r="CO51" s="1169"/>
      <c r="CP51" s="1168"/>
    </row>
    <row r="52" spans="2:94" ht="15" thickBot="1" x14ac:dyDescent="0.25">
      <c r="B52" s="1853"/>
      <c r="C52" s="1184" t="s">
        <v>1505</v>
      </c>
      <c r="D52" s="1163" t="s">
        <v>980</v>
      </c>
      <c r="E52" s="1171" t="s">
        <v>1496</v>
      </c>
      <c r="F52" s="1171" t="s">
        <v>1538</v>
      </c>
      <c r="G52" s="1171"/>
      <c r="H52" s="1171" t="s">
        <v>1498</v>
      </c>
      <c r="I52" s="1170"/>
      <c r="J52" s="1170"/>
      <c r="K52" s="1170"/>
      <c r="L52" s="1170"/>
      <c r="M52" s="1170"/>
      <c r="N52" s="1169"/>
      <c r="O52" s="1169"/>
      <c r="P52" s="1169"/>
      <c r="Q52" s="1169"/>
      <c r="R52" s="1169"/>
      <c r="S52" s="1169"/>
      <c r="T52" s="1169"/>
      <c r="U52" s="1169"/>
      <c r="V52" s="1169"/>
      <c r="W52" s="1169"/>
      <c r="X52" s="1169"/>
      <c r="Y52" s="1169"/>
      <c r="Z52" s="1169"/>
      <c r="AA52" s="1169"/>
      <c r="AB52" s="1169"/>
      <c r="AC52" s="1169"/>
      <c r="AD52" s="1169"/>
      <c r="AE52" s="1169"/>
      <c r="AF52" s="1169"/>
      <c r="AG52" s="1169"/>
      <c r="AH52" s="1169"/>
      <c r="AI52" s="1169"/>
      <c r="AJ52" s="1169"/>
      <c r="AK52" s="1169"/>
      <c r="AL52" s="1169"/>
      <c r="AM52" s="1169"/>
      <c r="AN52" s="1169"/>
      <c r="AO52" s="1169"/>
      <c r="AP52" s="1169"/>
      <c r="AQ52" s="1169"/>
      <c r="AR52" s="1169"/>
      <c r="AS52" s="1169"/>
      <c r="AT52" s="1169"/>
      <c r="AU52" s="1169"/>
      <c r="AV52" s="1169"/>
      <c r="AW52" s="1169"/>
      <c r="AX52" s="1169"/>
      <c r="AY52" s="1169"/>
      <c r="AZ52" s="1169"/>
      <c r="BA52" s="1169"/>
      <c r="BB52" s="1169"/>
      <c r="BC52" s="1169"/>
      <c r="BD52" s="1169"/>
      <c r="BE52" s="1169"/>
      <c r="BF52" s="1169"/>
      <c r="BG52" s="1169"/>
      <c r="BH52" s="1169"/>
      <c r="BI52" s="1169"/>
      <c r="BJ52" s="1169"/>
      <c r="BK52" s="1169"/>
      <c r="BL52" s="1169"/>
      <c r="BM52" s="1169"/>
      <c r="BN52" s="1169"/>
      <c r="BO52" s="1169"/>
      <c r="BP52" s="1169"/>
      <c r="BQ52" s="1169"/>
      <c r="BR52" s="1169"/>
      <c r="BS52" s="1169"/>
      <c r="BT52" s="1169"/>
      <c r="BU52" s="1169"/>
      <c r="BV52" s="1169"/>
      <c r="BW52" s="1169"/>
      <c r="BX52" s="1169"/>
      <c r="BY52" s="1169"/>
      <c r="BZ52" s="1169"/>
      <c r="CA52" s="1169"/>
      <c r="CB52" s="1169"/>
      <c r="CC52" s="1169"/>
      <c r="CD52" s="1169"/>
      <c r="CE52" s="1169"/>
      <c r="CF52" s="1169"/>
      <c r="CG52" s="1169"/>
      <c r="CH52" s="1169"/>
      <c r="CI52" s="1169"/>
      <c r="CJ52" s="1169"/>
      <c r="CK52" s="1169"/>
      <c r="CL52" s="1169"/>
      <c r="CM52" s="1169"/>
      <c r="CN52" s="1169"/>
      <c r="CO52" s="1169"/>
      <c r="CP52" s="1168"/>
    </row>
    <row r="53" spans="2:94" ht="15" thickBot="1" x14ac:dyDescent="0.25">
      <c r="B53" s="1853"/>
      <c r="C53" s="1184" t="s">
        <v>1505</v>
      </c>
      <c r="D53" s="1163" t="s">
        <v>980</v>
      </c>
      <c r="E53" s="1171" t="s">
        <v>1496</v>
      </c>
      <c r="F53" s="1171" t="s">
        <v>1539</v>
      </c>
      <c r="G53" s="1171"/>
      <c r="H53" s="1171" t="s">
        <v>1498</v>
      </c>
      <c r="I53" s="1170"/>
      <c r="J53" s="1170"/>
      <c r="K53" s="1170"/>
      <c r="L53" s="1170"/>
      <c r="M53" s="1170"/>
      <c r="N53" s="1169"/>
      <c r="O53" s="1169"/>
      <c r="P53" s="1169"/>
      <c r="Q53" s="1169"/>
      <c r="R53" s="1169"/>
      <c r="S53" s="1169"/>
      <c r="T53" s="1169"/>
      <c r="U53" s="1169"/>
      <c r="V53" s="1169"/>
      <c r="W53" s="1169"/>
      <c r="X53" s="1169"/>
      <c r="Y53" s="1169"/>
      <c r="Z53" s="1169"/>
      <c r="AA53" s="1169"/>
      <c r="AB53" s="1169"/>
      <c r="AC53" s="1169"/>
      <c r="AD53" s="1169"/>
      <c r="AE53" s="1169"/>
      <c r="AF53" s="1169"/>
      <c r="AG53" s="1169"/>
      <c r="AH53" s="1169"/>
      <c r="AI53" s="1169"/>
      <c r="AJ53" s="1169"/>
      <c r="AK53" s="1169"/>
      <c r="AL53" s="1169"/>
      <c r="AM53" s="1169"/>
      <c r="AN53" s="1169"/>
      <c r="AO53" s="1169"/>
      <c r="AP53" s="1169"/>
      <c r="AQ53" s="1169"/>
      <c r="AR53" s="1169"/>
      <c r="AS53" s="1169"/>
      <c r="AT53" s="1169"/>
      <c r="AU53" s="1169"/>
      <c r="AV53" s="1169"/>
      <c r="AW53" s="1169"/>
      <c r="AX53" s="1169"/>
      <c r="AY53" s="1169"/>
      <c r="AZ53" s="1169"/>
      <c r="BA53" s="1169"/>
      <c r="BB53" s="1169"/>
      <c r="BC53" s="1169"/>
      <c r="BD53" s="1169"/>
      <c r="BE53" s="1169"/>
      <c r="BF53" s="1169"/>
      <c r="BG53" s="1169"/>
      <c r="BH53" s="1169"/>
      <c r="BI53" s="1169"/>
      <c r="BJ53" s="1169"/>
      <c r="BK53" s="1169"/>
      <c r="BL53" s="1169"/>
      <c r="BM53" s="1169"/>
      <c r="BN53" s="1169"/>
      <c r="BO53" s="1169"/>
      <c r="BP53" s="1169"/>
      <c r="BQ53" s="1169"/>
      <c r="BR53" s="1169"/>
      <c r="BS53" s="1169"/>
      <c r="BT53" s="1169"/>
      <c r="BU53" s="1169"/>
      <c r="BV53" s="1169"/>
      <c r="BW53" s="1169"/>
      <c r="BX53" s="1169"/>
      <c r="BY53" s="1169"/>
      <c r="BZ53" s="1169"/>
      <c r="CA53" s="1169"/>
      <c r="CB53" s="1169"/>
      <c r="CC53" s="1169"/>
      <c r="CD53" s="1169"/>
      <c r="CE53" s="1169"/>
      <c r="CF53" s="1169"/>
      <c r="CG53" s="1169"/>
      <c r="CH53" s="1169"/>
      <c r="CI53" s="1169"/>
      <c r="CJ53" s="1169"/>
      <c r="CK53" s="1169"/>
      <c r="CL53" s="1169"/>
      <c r="CM53" s="1169"/>
      <c r="CN53" s="1169"/>
      <c r="CO53" s="1169"/>
      <c r="CP53" s="1168"/>
    </row>
    <row r="54" spans="2:94" ht="15" thickBot="1" x14ac:dyDescent="0.25">
      <c r="B54" s="1853"/>
      <c r="C54" s="1184" t="s">
        <v>1505</v>
      </c>
      <c r="D54" s="1163" t="s">
        <v>980</v>
      </c>
      <c r="E54" s="1171" t="s">
        <v>1496</v>
      </c>
      <c r="F54" s="1171" t="s">
        <v>1540</v>
      </c>
      <c r="G54" s="1590">
        <v>29</v>
      </c>
      <c r="H54" s="1171" t="s">
        <v>1498</v>
      </c>
      <c r="I54" s="1170"/>
      <c r="J54" s="1170"/>
      <c r="K54" s="1170"/>
      <c r="L54" s="1170"/>
      <c r="M54" s="1170"/>
      <c r="N54" s="1169"/>
      <c r="O54" s="1169"/>
      <c r="P54" s="1169"/>
      <c r="Q54" s="1169"/>
      <c r="R54" s="1169"/>
      <c r="S54" s="1169"/>
      <c r="T54" s="1169"/>
      <c r="U54" s="1169"/>
      <c r="V54" s="1169"/>
      <c r="W54" s="1169"/>
      <c r="X54" s="1169"/>
      <c r="Y54" s="1334">
        <v>3.2323333333333331</v>
      </c>
      <c r="Z54" s="1334">
        <v>3.2323333333333331</v>
      </c>
      <c r="AA54" s="1334">
        <v>3.2323333333333331</v>
      </c>
      <c r="AB54" s="1334">
        <v>9.6969999999999992</v>
      </c>
      <c r="AC54" s="1334">
        <v>9.6969999999999992</v>
      </c>
      <c r="AD54" s="1169"/>
      <c r="AE54" s="1169"/>
      <c r="AF54" s="1169"/>
      <c r="AG54" s="1169"/>
      <c r="AH54" s="1169"/>
      <c r="AI54" s="1169"/>
      <c r="AJ54" s="1169"/>
      <c r="AK54" s="1169"/>
      <c r="AL54" s="1169"/>
      <c r="AM54" s="1169"/>
      <c r="AN54" s="1169"/>
      <c r="AO54" s="1169"/>
      <c r="AP54" s="1169"/>
      <c r="AQ54" s="1169"/>
      <c r="AR54" s="1169"/>
      <c r="AS54" s="1169"/>
      <c r="AT54" s="1169"/>
      <c r="AU54" s="1169"/>
      <c r="AV54" s="1169"/>
      <c r="AW54" s="1169"/>
      <c r="AX54" s="1169"/>
      <c r="AY54" s="1169"/>
      <c r="AZ54" s="1169"/>
      <c r="BA54" s="1169"/>
      <c r="BB54" s="1169"/>
      <c r="BC54" s="1169"/>
      <c r="BD54" s="1169"/>
      <c r="BE54" s="1169"/>
      <c r="BF54" s="1169"/>
      <c r="BG54" s="1169"/>
      <c r="BH54" s="1169"/>
      <c r="BI54" s="1169"/>
      <c r="BJ54" s="1169"/>
      <c r="BK54" s="1169"/>
      <c r="BL54" s="1169"/>
      <c r="BM54" s="1169"/>
      <c r="BN54" s="1169"/>
      <c r="BO54" s="1169"/>
      <c r="BP54" s="1169"/>
      <c r="BQ54" s="1169"/>
      <c r="BR54" s="1169"/>
      <c r="BS54" s="1169"/>
      <c r="BT54" s="1169"/>
      <c r="BU54" s="1169"/>
      <c r="BV54" s="1169"/>
      <c r="BW54" s="1169"/>
      <c r="BX54" s="1169"/>
      <c r="BY54" s="1169"/>
      <c r="BZ54" s="1169"/>
      <c r="CA54" s="1169"/>
      <c r="CB54" s="1169"/>
      <c r="CC54" s="1169"/>
      <c r="CD54" s="1169"/>
      <c r="CE54" s="1169"/>
      <c r="CF54" s="1169"/>
      <c r="CG54" s="1169"/>
      <c r="CH54" s="1169"/>
      <c r="CI54" s="1169"/>
      <c r="CJ54" s="1169"/>
      <c r="CK54" s="1169"/>
      <c r="CL54" s="1169"/>
      <c r="CM54" s="1169"/>
      <c r="CN54" s="1169"/>
      <c r="CO54" s="1169"/>
      <c r="CP54" s="1168"/>
    </row>
    <row r="55" spans="2:94" ht="15" thickBot="1" x14ac:dyDescent="0.25">
      <c r="B55" s="1853"/>
      <c r="C55" s="1184" t="s">
        <v>1505</v>
      </c>
      <c r="D55" s="1163" t="s">
        <v>980</v>
      </c>
      <c r="E55" s="1171" t="s">
        <v>1496</v>
      </c>
      <c r="F55" s="1171" t="s">
        <v>1541</v>
      </c>
      <c r="G55" s="1590">
        <v>29</v>
      </c>
      <c r="H55" s="1171" t="s">
        <v>1498</v>
      </c>
      <c r="I55" s="1170"/>
      <c r="J55" s="1170"/>
      <c r="K55" s="1170"/>
      <c r="L55" s="1170"/>
      <c r="M55" s="1589">
        <v>2.8335899616742992</v>
      </c>
      <c r="N55" s="1334">
        <v>5.6671799233485984</v>
      </c>
      <c r="O55" s="1334">
        <v>21.577278764372135</v>
      </c>
      <c r="P55" s="1334"/>
      <c r="Q55" s="1334"/>
      <c r="R55" s="1334"/>
      <c r="S55" s="1334"/>
      <c r="T55" s="1334"/>
      <c r="U55" s="1334"/>
      <c r="V55" s="1334"/>
      <c r="W55" s="1334">
        <v>21.577278764372135</v>
      </c>
      <c r="X55" s="1334">
        <v>21.577278764372135</v>
      </c>
      <c r="Y55" s="1334">
        <v>21.577278764372135</v>
      </c>
      <c r="Z55" s="1334">
        <v>21.577278764372135</v>
      </c>
      <c r="AA55" s="1334">
        <v>21.577278764372135</v>
      </c>
      <c r="AB55" s="1334">
        <v>21.577278764372135</v>
      </c>
      <c r="AC55" s="1334">
        <v>21.577278764372135</v>
      </c>
      <c r="AD55" s="1169"/>
      <c r="AE55" s="1169"/>
      <c r="AF55" s="1169"/>
      <c r="AG55" s="1169"/>
      <c r="AH55" s="1169"/>
      <c r="AI55" s="1169"/>
      <c r="AJ55" s="1169"/>
      <c r="AK55" s="1169"/>
      <c r="AL55" s="1169"/>
      <c r="AM55" s="1169"/>
      <c r="AN55" s="1169"/>
      <c r="AO55" s="1169"/>
      <c r="AP55" s="1169"/>
      <c r="AQ55" s="1169"/>
      <c r="AR55" s="1169"/>
      <c r="AS55" s="1169"/>
      <c r="AT55" s="1169"/>
      <c r="AU55" s="1169"/>
      <c r="AV55" s="1169"/>
      <c r="AW55" s="1169"/>
      <c r="AX55" s="1169"/>
      <c r="AY55" s="1169"/>
      <c r="AZ55" s="1169"/>
      <c r="BA55" s="1169"/>
      <c r="BB55" s="1169"/>
      <c r="BC55" s="1169"/>
      <c r="BD55" s="1169"/>
      <c r="BE55" s="1169"/>
      <c r="BF55" s="1169"/>
      <c r="BG55" s="1169"/>
      <c r="BH55" s="1169"/>
      <c r="BI55" s="1169"/>
      <c r="BJ55" s="1169"/>
      <c r="BK55" s="1169"/>
      <c r="BL55" s="1169"/>
      <c r="BM55" s="1169"/>
      <c r="BN55" s="1169"/>
      <c r="BO55" s="1169"/>
      <c r="BP55" s="1169"/>
      <c r="BQ55" s="1169"/>
      <c r="BR55" s="1169"/>
      <c r="BS55" s="1169"/>
      <c r="BT55" s="1169"/>
      <c r="BU55" s="1169"/>
      <c r="BV55" s="1169"/>
      <c r="BW55" s="1169"/>
      <c r="BX55" s="1169"/>
      <c r="BY55" s="1169"/>
      <c r="BZ55" s="1169"/>
      <c r="CA55" s="1169"/>
      <c r="CB55" s="1169"/>
      <c r="CC55" s="1169"/>
      <c r="CD55" s="1169"/>
      <c r="CE55" s="1169"/>
      <c r="CF55" s="1169"/>
      <c r="CG55" s="1169"/>
      <c r="CH55" s="1169"/>
      <c r="CI55" s="1169"/>
      <c r="CJ55" s="1169"/>
      <c r="CK55" s="1169"/>
      <c r="CL55" s="1169"/>
      <c r="CM55" s="1169"/>
      <c r="CN55" s="1169"/>
      <c r="CO55" s="1169"/>
      <c r="CP55" s="1168"/>
    </row>
    <row r="56" spans="2:94" ht="15" thickBot="1" x14ac:dyDescent="0.25">
      <c r="B56" s="1853"/>
      <c r="C56" s="1184" t="s">
        <v>1505</v>
      </c>
      <c r="D56" s="1163" t="s">
        <v>980</v>
      </c>
      <c r="E56" s="1171" t="s">
        <v>1496</v>
      </c>
      <c r="F56" s="1167" t="s">
        <v>1542</v>
      </c>
      <c r="G56" s="1591">
        <v>29</v>
      </c>
      <c r="H56" s="1592" t="s">
        <v>1498</v>
      </c>
      <c r="I56" s="1593"/>
      <c r="J56" s="1593"/>
      <c r="K56" s="1593"/>
      <c r="L56" s="1593"/>
      <c r="M56" s="1589">
        <v>7.6284567898033243E-2</v>
      </c>
      <c r="N56" s="1334">
        <v>0.15256913579606649</v>
      </c>
      <c r="O56" s="1334">
        <v>0.5808932870382375</v>
      </c>
      <c r="P56" s="1334"/>
      <c r="Q56" s="1334"/>
      <c r="R56" s="1334"/>
      <c r="S56" s="1334"/>
      <c r="T56" s="1334"/>
      <c r="U56" s="1334"/>
      <c r="V56" s="1334"/>
      <c r="W56" s="1334">
        <v>0.5808932870382375</v>
      </c>
      <c r="X56" s="1334">
        <v>0.5808932870382375</v>
      </c>
      <c r="Y56" s="1334">
        <v>0.5808932870382375</v>
      </c>
      <c r="Z56" s="1334">
        <v>0.5808932870382375</v>
      </c>
      <c r="AA56" s="1334">
        <v>0.5808932870382375</v>
      </c>
      <c r="AB56" s="1334">
        <v>0.5808932870382375</v>
      </c>
      <c r="AC56" s="1334">
        <v>0.5808932870382375</v>
      </c>
      <c r="AD56" s="1169"/>
      <c r="AE56" s="1169"/>
      <c r="AF56" s="1169"/>
      <c r="AG56" s="1169"/>
      <c r="AH56" s="1169"/>
      <c r="AI56" s="1169"/>
      <c r="AJ56" s="1169"/>
      <c r="AK56" s="1169"/>
      <c r="AL56" s="1169"/>
      <c r="AM56" s="1169"/>
      <c r="AN56" s="1169"/>
      <c r="AO56" s="1169"/>
      <c r="AP56" s="1169"/>
      <c r="AQ56" s="1169"/>
      <c r="AR56" s="1169"/>
      <c r="AS56" s="1169"/>
      <c r="AT56" s="1169"/>
      <c r="AU56" s="1169"/>
      <c r="AV56" s="1169"/>
      <c r="AW56" s="1169"/>
      <c r="AX56" s="1169"/>
      <c r="AY56" s="1169"/>
      <c r="AZ56" s="1169"/>
      <c r="BA56" s="1169"/>
      <c r="BB56" s="1169"/>
      <c r="BC56" s="1169"/>
      <c r="BD56" s="1169"/>
      <c r="BE56" s="1169"/>
      <c r="BF56" s="1169"/>
      <c r="BG56" s="1169"/>
      <c r="BH56" s="1169"/>
      <c r="BI56" s="1169"/>
      <c r="BJ56" s="1169"/>
      <c r="BK56" s="1169"/>
      <c r="BL56" s="1169"/>
      <c r="BM56" s="1169"/>
      <c r="BN56" s="1169"/>
      <c r="BO56" s="1169"/>
      <c r="BP56" s="1169"/>
      <c r="BQ56" s="1169"/>
      <c r="BR56" s="1169"/>
      <c r="BS56" s="1169"/>
      <c r="BT56" s="1169"/>
      <c r="BU56" s="1169"/>
      <c r="BV56" s="1169"/>
      <c r="BW56" s="1169"/>
      <c r="BX56" s="1169"/>
      <c r="BY56" s="1169"/>
      <c r="BZ56" s="1169"/>
      <c r="CA56" s="1169"/>
      <c r="CB56" s="1169"/>
      <c r="CC56" s="1169"/>
      <c r="CD56" s="1169"/>
      <c r="CE56" s="1169"/>
      <c r="CF56" s="1169"/>
      <c r="CG56" s="1169"/>
      <c r="CH56" s="1169"/>
      <c r="CI56" s="1169"/>
      <c r="CJ56" s="1169"/>
      <c r="CK56" s="1169"/>
      <c r="CL56" s="1169"/>
      <c r="CM56" s="1169"/>
      <c r="CN56" s="1169"/>
      <c r="CO56" s="1169"/>
      <c r="CP56" s="1168"/>
    </row>
    <row r="57" spans="2:94" ht="15" x14ac:dyDescent="0.2">
      <c r="B57" s="1337"/>
      <c r="C57" s="1337"/>
      <c r="D57" s="1203"/>
      <c r="E57" s="1338"/>
      <c r="F57" s="1203"/>
      <c r="G57" s="1203"/>
      <c r="H57" s="1203"/>
      <c r="I57" s="1339"/>
      <c r="J57" s="1340"/>
    </row>
    <row r="59" spans="2:94" ht="15" thickBot="1" x14ac:dyDescent="0.25"/>
    <row r="60" spans="2:94" ht="29.25" thickBot="1" x14ac:dyDescent="0.25">
      <c r="B60" s="392" t="s">
        <v>64</v>
      </c>
      <c r="C60" s="393" t="str">
        <f>'TITLE PAGE'!$D$18</f>
        <v>Essex &amp; Suffolk Water</v>
      </c>
      <c r="D60" s="392" t="s">
        <v>2</v>
      </c>
      <c r="E60" s="394"/>
    </row>
    <row r="61" spans="2:94" ht="15" thickBot="1" x14ac:dyDescent="0.25">
      <c r="B61" s="7"/>
      <c r="C61" s="7"/>
      <c r="D61" s="7"/>
      <c r="E61" s="7"/>
    </row>
    <row r="62" spans="2:94" ht="15.75" thickBot="1" x14ac:dyDescent="0.25">
      <c r="B62" s="1832" t="s">
        <v>1543</v>
      </c>
      <c r="C62" s="1833"/>
      <c r="D62" s="66" t="s">
        <v>909</v>
      </c>
      <c r="E62" s="66" t="s">
        <v>909</v>
      </c>
      <c r="F62" s="1207"/>
      <c r="G62" s="1207"/>
      <c r="H62" s="1207"/>
      <c r="I62" s="1207"/>
      <c r="J62" s="1207"/>
      <c r="K62" s="1207"/>
      <c r="L62" s="1208"/>
      <c r="M62" s="1207"/>
    </row>
    <row r="63" spans="2:94" x14ac:dyDescent="0.2">
      <c r="B63" s="1221" t="s">
        <v>1544</v>
      </c>
      <c r="C63" s="1222"/>
      <c r="D63" s="1223"/>
      <c r="E63" s="1193"/>
      <c r="F63" s="1207"/>
      <c r="G63" s="1207"/>
      <c r="H63" s="1207"/>
      <c r="I63" s="1207"/>
      <c r="J63" s="1207"/>
      <c r="K63" s="1207"/>
      <c r="L63" s="1208"/>
      <c r="M63" s="1207"/>
    </row>
    <row r="64" spans="2:94" x14ac:dyDescent="0.2">
      <c r="B64" s="1218" t="s">
        <v>1545</v>
      </c>
      <c r="C64" s="1207" t="s">
        <v>1546</v>
      </c>
      <c r="D64" s="1220">
        <f>3.5%</f>
        <v>3.5000000000000003E-2</v>
      </c>
      <c r="E64" s="1193"/>
      <c r="F64" s="1207"/>
      <c r="G64" s="1207"/>
      <c r="H64" s="1207"/>
      <c r="I64" s="1207"/>
      <c r="J64" s="1207"/>
      <c r="K64" s="1207"/>
      <c r="L64" s="1208"/>
      <c r="M64" s="1207"/>
    </row>
    <row r="65" spans="2:13" x14ac:dyDescent="0.2">
      <c r="B65" s="1218" t="s">
        <v>1547</v>
      </c>
      <c r="C65" s="1207" t="s">
        <v>1548</v>
      </c>
      <c r="D65" s="1220">
        <v>2.92E-2</v>
      </c>
      <c r="E65" s="1193"/>
      <c r="F65" s="1207"/>
      <c r="G65" s="1207"/>
      <c r="H65" s="1207"/>
      <c r="I65" s="1207"/>
      <c r="J65" s="1207"/>
      <c r="K65" s="1207"/>
      <c r="L65" s="1208"/>
      <c r="M65" s="1207"/>
    </row>
    <row r="66" spans="2:13" x14ac:dyDescent="0.2">
      <c r="B66" s="1218" t="s">
        <v>1549</v>
      </c>
      <c r="C66" s="1207" t="s">
        <v>1550</v>
      </c>
      <c r="D66" s="1219">
        <v>5</v>
      </c>
      <c r="E66" s="1193"/>
      <c r="F66" s="1207"/>
      <c r="G66" s="1207"/>
      <c r="H66" s="1207"/>
      <c r="I66" s="1207"/>
      <c r="J66" s="1207"/>
      <c r="K66" s="1207"/>
      <c r="L66" s="1208"/>
      <c r="M66" s="1207"/>
    </row>
    <row r="67" spans="2:13" x14ac:dyDescent="0.2">
      <c r="B67" s="1218" t="s">
        <v>1551</v>
      </c>
      <c r="C67" s="1207" t="s">
        <v>1552</v>
      </c>
      <c r="D67" s="1271">
        <v>1000</v>
      </c>
      <c r="E67" s="1193"/>
      <c r="F67" s="1207"/>
      <c r="G67" s="1207"/>
      <c r="H67" s="1207"/>
      <c r="I67" s="1207"/>
      <c r="J67" s="1207"/>
      <c r="K67" s="1207"/>
      <c r="L67" s="1208"/>
      <c r="M67" s="1207"/>
    </row>
    <row r="68" spans="2:13" x14ac:dyDescent="0.2">
      <c r="B68" s="1215" t="s">
        <v>1553</v>
      </c>
      <c r="C68" s="1214" t="s">
        <v>1554</v>
      </c>
      <c r="D68" s="1217">
        <f>1/D66</f>
        <v>0.2</v>
      </c>
      <c r="E68" s="1193"/>
      <c r="F68" s="1207"/>
      <c r="G68" s="1207"/>
      <c r="H68" s="1207"/>
      <c r="I68" s="1207"/>
      <c r="J68" s="1207"/>
      <c r="K68" s="1207"/>
      <c r="L68" s="1208"/>
      <c r="M68" s="1207"/>
    </row>
    <row r="69" spans="2:13" x14ac:dyDescent="0.2">
      <c r="B69" s="1208"/>
      <c r="C69" s="1207"/>
      <c r="D69" s="1207"/>
      <c r="E69" s="1207"/>
      <c r="F69" s="1207"/>
      <c r="G69" s="1207"/>
      <c r="H69" s="1207"/>
      <c r="I69" s="1207"/>
      <c r="J69" s="1207"/>
      <c r="K69" s="1207"/>
      <c r="L69" s="1208"/>
      <c r="M69" s="1207"/>
    </row>
    <row r="70" spans="2:13" ht="15" thickBot="1" x14ac:dyDescent="0.25">
      <c r="B70" s="1208"/>
      <c r="C70" s="1207"/>
      <c r="D70" s="1207"/>
      <c r="E70" s="1216">
        <v>1</v>
      </c>
      <c r="F70" s="1216">
        <v>2</v>
      </c>
      <c r="G70" s="1216">
        <v>3</v>
      </c>
      <c r="H70" s="1216">
        <v>4</v>
      </c>
      <c r="I70" s="1216">
        <v>5</v>
      </c>
      <c r="K70" s="1207"/>
      <c r="L70" s="1208"/>
      <c r="M70" s="1207"/>
    </row>
    <row r="71" spans="2:13" x14ac:dyDescent="0.2">
      <c r="B71" s="1237"/>
      <c r="C71" s="1238"/>
      <c r="D71" s="1238"/>
      <c r="E71" s="1239" t="s">
        <v>1555</v>
      </c>
      <c r="F71" s="1239" t="s">
        <v>1556</v>
      </c>
      <c r="G71" s="1239" t="s">
        <v>1557</v>
      </c>
      <c r="H71" s="1239" t="s">
        <v>1558</v>
      </c>
      <c r="I71" s="1240" t="s">
        <v>1559</v>
      </c>
      <c r="J71" s="1207"/>
      <c r="K71" s="1855" t="s">
        <v>1560</v>
      </c>
      <c r="L71" s="1856"/>
      <c r="M71" s="1207"/>
    </row>
    <row r="72" spans="2:13" ht="15" thickBot="1" x14ac:dyDescent="0.25">
      <c r="B72" s="1241" t="s">
        <v>1561</v>
      </c>
      <c r="C72" s="1234" t="s">
        <v>1495</v>
      </c>
      <c r="D72" s="1234"/>
      <c r="E72" s="1272">
        <f>1/((1+$D$64)^(E70))</f>
        <v>0.96618357487922713</v>
      </c>
      <c r="F72" s="1272">
        <f t="shared" ref="F72:I72" si="0">1/((1+$D$64)^(F70))</f>
        <v>0.93351070036640305</v>
      </c>
      <c r="G72" s="1272">
        <f t="shared" si="0"/>
        <v>0.90194270566802237</v>
      </c>
      <c r="H72" s="1272">
        <f t="shared" si="0"/>
        <v>0.87144222769857238</v>
      </c>
      <c r="I72" s="1272">
        <f t="shared" si="0"/>
        <v>0.84197316685852419</v>
      </c>
      <c r="J72" s="1207"/>
      <c r="K72" s="1857" t="s">
        <v>1562</v>
      </c>
      <c r="L72" s="1858"/>
      <c r="M72" s="1207"/>
    </row>
    <row r="73" spans="2:13" ht="15" thickBot="1" x14ac:dyDescent="0.25">
      <c r="B73" s="1208"/>
      <c r="C73" s="1207"/>
      <c r="D73" s="1207"/>
      <c r="E73" s="1207"/>
      <c r="F73" s="1207"/>
      <c r="G73" s="1207"/>
      <c r="H73" s="1207"/>
      <c r="I73" s="1207"/>
      <c r="J73" s="1207"/>
      <c r="K73" s="1268"/>
      <c r="L73" s="1242"/>
      <c r="M73" s="1207"/>
    </row>
    <row r="74" spans="2:13" x14ac:dyDescent="0.2">
      <c r="B74" s="1269" t="s">
        <v>1563</v>
      </c>
      <c r="C74" s="1224"/>
      <c r="D74" s="1224"/>
      <c r="E74" s="1225"/>
      <c r="F74" s="1225"/>
      <c r="G74" s="1225"/>
      <c r="H74" s="1225"/>
      <c r="I74" s="1226"/>
      <c r="J74" s="1207"/>
      <c r="K74" s="1268"/>
      <c r="L74" s="1242"/>
      <c r="M74" s="1207"/>
    </row>
    <row r="75" spans="2:13" x14ac:dyDescent="0.2">
      <c r="B75" s="1227"/>
      <c r="C75" s="1228"/>
      <c r="D75" s="1213" t="s">
        <v>206</v>
      </c>
      <c r="E75" s="1229" t="s">
        <v>1555</v>
      </c>
      <c r="F75" s="1229" t="s">
        <v>1556</v>
      </c>
      <c r="G75" s="1229" t="s">
        <v>1557</v>
      </c>
      <c r="H75" s="1229" t="s">
        <v>1558</v>
      </c>
      <c r="I75" s="1230" t="s">
        <v>1559</v>
      </c>
      <c r="J75" s="1207"/>
      <c r="K75" s="1268"/>
      <c r="L75" s="1242"/>
      <c r="M75" s="1207"/>
    </row>
    <row r="76" spans="2:13" x14ac:dyDescent="0.2">
      <c r="B76" s="1268" t="s">
        <v>1564</v>
      </c>
      <c r="C76" s="1207" t="s">
        <v>1565</v>
      </c>
      <c r="D76" s="1212" t="s">
        <v>1566</v>
      </c>
      <c r="E76" s="1231">
        <f>D67</f>
        <v>1000</v>
      </c>
      <c r="F76" s="1231">
        <f>E78</f>
        <v>800</v>
      </c>
      <c r="G76" s="1231">
        <f>F78</f>
        <v>600</v>
      </c>
      <c r="H76" s="1231">
        <f>G78</f>
        <v>400</v>
      </c>
      <c r="I76" s="1232">
        <f>H78</f>
        <v>200</v>
      </c>
      <c r="J76" s="1207"/>
      <c r="K76" s="1859" t="s">
        <v>1567</v>
      </c>
      <c r="L76" s="1860"/>
      <c r="M76" s="1207"/>
    </row>
    <row r="77" spans="2:13" x14ac:dyDescent="0.2">
      <c r="B77" s="1268" t="s">
        <v>1568</v>
      </c>
      <c r="C77" s="1207" t="s">
        <v>1569</v>
      </c>
      <c r="D77" s="1212" t="s">
        <v>1566</v>
      </c>
      <c r="E77" s="1231">
        <f>$E$76*$D$68</f>
        <v>200</v>
      </c>
      <c r="F77" s="1231">
        <f>$E$76*$D$68</f>
        <v>200</v>
      </c>
      <c r="G77" s="1231">
        <f>$E$76*$D$68</f>
        <v>200</v>
      </c>
      <c r="H77" s="1231">
        <f>$E$76*$D$68</f>
        <v>200</v>
      </c>
      <c r="I77" s="1232">
        <f>$E$76*$D$68</f>
        <v>200</v>
      </c>
      <c r="J77" s="1207"/>
      <c r="K77" s="1861" t="s">
        <v>1570</v>
      </c>
      <c r="L77" s="1862"/>
      <c r="M77" s="1207"/>
    </row>
    <row r="78" spans="2:13" x14ac:dyDescent="0.2">
      <c r="B78" s="1268" t="s">
        <v>1571</v>
      </c>
      <c r="C78" s="1207" t="s">
        <v>1572</v>
      </c>
      <c r="D78" s="1212" t="s">
        <v>1566</v>
      </c>
      <c r="E78" s="1231">
        <f>E76-E77</f>
        <v>800</v>
      </c>
      <c r="F78" s="1231">
        <f>F76-F77</f>
        <v>600</v>
      </c>
      <c r="G78" s="1231">
        <f>G76-G77</f>
        <v>400</v>
      </c>
      <c r="H78" s="1231">
        <f>H76-H77</f>
        <v>200</v>
      </c>
      <c r="I78" s="1232">
        <f>I76-I77</f>
        <v>0</v>
      </c>
      <c r="J78" s="1207"/>
      <c r="K78" s="1836" t="s">
        <v>1573</v>
      </c>
      <c r="L78" s="1837"/>
      <c r="M78" s="1207"/>
    </row>
    <row r="79" spans="2:13" x14ac:dyDescent="0.2">
      <c r="B79" s="1268" t="s">
        <v>1574</v>
      </c>
      <c r="C79" s="1207" t="s">
        <v>1575</v>
      </c>
      <c r="D79" s="1212" t="s">
        <v>1566</v>
      </c>
      <c r="E79" s="1231">
        <f>AVERAGE(E76,E78)</f>
        <v>900</v>
      </c>
      <c r="F79" s="1231">
        <f>AVERAGE(F76,F78)</f>
        <v>700</v>
      </c>
      <c r="G79" s="1231">
        <f>AVERAGE(G76,G78)</f>
        <v>500</v>
      </c>
      <c r="H79" s="1231">
        <f>AVERAGE(H76,H78)</f>
        <v>300</v>
      </c>
      <c r="I79" s="1232">
        <f>AVERAGE(I76,I78)</f>
        <v>100</v>
      </c>
      <c r="J79" s="1207"/>
      <c r="K79" s="1836" t="s">
        <v>1576</v>
      </c>
      <c r="L79" s="1837"/>
      <c r="M79" s="1207"/>
    </row>
    <row r="80" spans="2:13" x14ac:dyDescent="0.2">
      <c r="B80" s="1268" t="s">
        <v>1577</v>
      </c>
      <c r="C80" s="1207" t="s">
        <v>1493</v>
      </c>
      <c r="D80" s="1212" t="s">
        <v>1566</v>
      </c>
      <c r="E80" s="1231">
        <f>(E79*($D$65))+E77</f>
        <v>226.28</v>
      </c>
      <c r="F80" s="1231">
        <f>(F79*($D$65))+F77</f>
        <v>220.44</v>
      </c>
      <c r="G80" s="1231">
        <f>(G79*($D$65))+G77</f>
        <v>214.6</v>
      </c>
      <c r="H80" s="1231">
        <f>(H79*($D$65))+H77</f>
        <v>208.76</v>
      </c>
      <c r="I80" s="1232">
        <f>(I79*($D$65))+I77</f>
        <v>202.92</v>
      </c>
      <c r="J80" s="1207"/>
      <c r="K80" s="1838" t="s">
        <v>1578</v>
      </c>
      <c r="L80" s="1839"/>
      <c r="M80" s="1207"/>
    </row>
    <row r="81" spans="2:13" x14ac:dyDescent="0.2">
      <c r="B81" s="1268" t="s">
        <v>1579</v>
      </c>
      <c r="C81" s="1207" t="s">
        <v>1580</v>
      </c>
      <c r="D81" s="1212" t="s">
        <v>1566</v>
      </c>
      <c r="E81" s="1231">
        <f>E80*E72</f>
        <v>218.62801932367151</v>
      </c>
      <c r="F81" s="1231">
        <f>F80*F72</f>
        <v>205.78309878876988</v>
      </c>
      <c r="G81" s="1231">
        <f>G80*G72</f>
        <v>193.55690463635759</v>
      </c>
      <c r="H81" s="1231">
        <f>H80*H72</f>
        <v>181.92227945435397</v>
      </c>
      <c r="I81" s="1232">
        <f>I80*I72</f>
        <v>170.85319501893173</v>
      </c>
      <c r="J81" s="1207"/>
      <c r="K81" s="1838" t="s">
        <v>1581</v>
      </c>
      <c r="L81" s="1839"/>
      <c r="M81" s="1207"/>
    </row>
    <row r="82" spans="2:13" x14ac:dyDescent="0.2">
      <c r="B82" s="1268"/>
      <c r="C82" s="1207"/>
      <c r="D82" s="1212"/>
      <c r="E82" s="1231"/>
      <c r="F82" s="1231"/>
      <c r="G82" s="1231"/>
      <c r="H82" s="1231"/>
      <c r="I82" s="1232"/>
      <c r="J82" s="1207"/>
      <c r="K82" s="1268"/>
      <c r="L82" s="1242"/>
      <c r="M82" s="1207"/>
    </row>
    <row r="83" spans="2:13" x14ac:dyDescent="0.2">
      <c r="B83" s="1268" t="s">
        <v>1582</v>
      </c>
      <c r="C83" s="1211" t="s">
        <v>1583</v>
      </c>
      <c r="D83" s="1210" t="s">
        <v>1566</v>
      </c>
      <c r="E83" s="1209">
        <f>SUM(E81:I81)</f>
        <v>970.74349722208467</v>
      </c>
      <c r="F83" s="1231"/>
      <c r="G83" s="1231"/>
      <c r="H83" s="1231"/>
      <c r="I83" s="1232"/>
      <c r="J83" s="1207"/>
      <c r="K83" s="1838" t="s">
        <v>1584</v>
      </c>
      <c r="L83" s="1839"/>
      <c r="M83" s="1207"/>
    </row>
    <row r="84" spans="2:13" ht="15" thickBot="1" x14ac:dyDescent="0.25">
      <c r="B84" s="1233"/>
      <c r="C84" s="1234"/>
      <c r="D84" s="1235"/>
      <c r="E84" s="1234"/>
      <c r="F84" s="1234"/>
      <c r="G84" s="1234"/>
      <c r="H84" s="1234"/>
      <c r="I84" s="1236"/>
      <c r="J84" s="1207"/>
      <c r="K84" s="1241"/>
      <c r="L84" s="1236"/>
      <c r="M84" s="1207"/>
    </row>
    <row r="85" spans="2:13" x14ac:dyDescent="0.2">
      <c r="B85" s="1208"/>
      <c r="C85" s="1207"/>
      <c r="D85" s="1207"/>
      <c r="E85" s="1207"/>
      <c r="F85" s="1207"/>
      <c r="G85" s="1207"/>
      <c r="H85" s="1207"/>
      <c r="I85" s="1207"/>
      <c r="J85" s="1207"/>
      <c r="K85" s="1208"/>
      <c r="L85" s="1207"/>
      <c r="M85" s="1207"/>
    </row>
    <row r="86" spans="2:13" ht="15" thickBot="1" x14ac:dyDescent="0.25">
      <c r="B86" s="1208"/>
      <c r="C86" s="1207"/>
      <c r="D86" s="1207"/>
      <c r="E86" s="1207"/>
      <c r="F86" s="1207"/>
      <c r="G86" s="1207"/>
      <c r="H86" s="1207"/>
      <c r="I86" s="1207"/>
      <c r="J86" s="1207"/>
      <c r="K86" s="1208"/>
      <c r="L86" s="1207"/>
      <c r="M86" s="1207"/>
    </row>
    <row r="87" spans="2:13" x14ac:dyDescent="0.2">
      <c r="B87" s="1840" t="s">
        <v>1585</v>
      </c>
      <c r="C87" s="1841"/>
      <c r="D87" s="1841"/>
      <c r="E87" s="1841"/>
      <c r="F87" s="1841"/>
      <c r="G87" s="1841"/>
      <c r="H87" s="1841"/>
      <c r="I87" s="1842"/>
      <c r="J87" s="1207"/>
      <c r="K87" s="1208"/>
      <c r="L87" s="1207"/>
      <c r="M87" s="1207"/>
    </row>
    <row r="88" spans="2:13" x14ac:dyDescent="0.2">
      <c r="B88" s="1843"/>
      <c r="C88" s="1844"/>
      <c r="D88" s="1844"/>
      <c r="E88" s="1844"/>
      <c r="F88" s="1844"/>
      <c r="G88" s="1844"/>
      <c r="H88" s="1844"/>
      <c r="I88" s="1845"/>
      <c r="K88" s="1207"/>
      <c r="L88" s="1208"/>
      <c r="M88" s="1207"/>
    </row>
    <row r="89" spans="2:13" x14ac:dyDescent="0.2">
      <c r="B89" s="1843"/>
      <c r="C89" s="1844"/>
      <c r="D89" s="1844"/>
      <c r="E89" s="1844"/>
      <c r="F89" s="1844"/>
      <c r="G89" s="1844"/>
      <c r="H89" s="1844"/>
      <c r="I89" s="1845"/>
    </row>
    <row r="90" spans="2:13" x14ac:dyDescent="0.2">
      <c r="B90" s="1843"/>
      <c r="C90" s="1844"/>
      <c r="D90" s="1844"/>
      <c r="E90" s="1844"/>
      <c r="F90" s="1844"/>
      <c r="G90" s="1844"/>
      <c r="H90" s="1844"/>
      <c r="I90" s="1845"/>
    </row>
    <row r="91" spans="2:13" x14ac:dyDescent="0.2">
      <c r="B91" s="1843"/>
      <c r="C91" s="1844"/>
      <c r="D91" s="1844"/>
      <c r="E91" s="1844"/>
      <c r="F91" s="1844"/>
      <c r="G91" s="1844"/>
      <c r="H91" s="1844"/>
      <c r="I91" s="1845"/>
    </row>
    <row r="92" spans="2:13" x14ac:dyDescent="0.2">
      <c r="B92" s="1843"/>
      <c r="C92" s="1844"/>
      <c r="D92" s="1844"/>
      <c r="E92" s="1844"/>
      <c r="F92" s="1844"/>
      <c r="G92" s="1844"/>
      <c r="H92" s="1844"/>
      <c r="I92" s="1845"/>
    </row>
    <row r="93" spans="2:13" x14ac:dyDescent="0.2">
      <c r="B93" s="1843"/>
      <c r="C93" s="1844"/>
      <c r="D93" s="1844"/>
      <c r="E93" s="1844"/>
      <c r="F93" s="1844"/>
      <c r="G93" s="1844"/>
      <c r="H93" s="1844"/>
      <c r="I93" s="1845"/>
    </row>
    <row r="94" spans="2:13" x14ac:dyDescent="0.2">
      <c r="B94" s="1843"/>
      <c r="C94" s="1844"/>
      <c r="D94" s="1844"/>
      <c r="E94" s="1844"/>
      <c r="F94" s="1844"/>
      <c r="G94" s="1844"/>
      <c r="H94" s="1844"/>
      <c r="I94" s="1845"/>
    </row>
    <row r="95" spans="2:13" x14ac:dyDescent="0.2">
      <c r="B95" s="1843"/>
      <c r="C95" s="1844"/>
      <c r="D95" s="1844"/>
      <c r="E95" s="1844"/>
      <c r="F95" s="1844"/>
      <c r="G95" s="1844"/>
      <c r="H95" s="1844"/>
      <c r="I95" s="1845"/>
    </row>
    <row r="96" spans="2:13" x14ac:dyDescent="0.2">
      <c r="B96" s="1843"/>
      <c r="C96" s="1844"/>
      <c r="D96" s="1844"/>
      <c r="E96" s="1844"/>
      <c r="F96" s="1844"/>
      <c r="G96" s="1844"/>
      <c r="H96" s="1844"/>
      <c r="I96" s="1845"/>
    </row>
    <row r="97" spans="2:9" x14ac:dyDescent="0.2">
      <c r="B97" s="1843"/>
      <c r="C97" s="1844"/>
      <c r="D97" s="1844"/>
      <c r="E97" s="1844"/>
      <c r="F97" s="1844"/>
      <c r="G97" s="1844"/>
      <c r="H97" s="1844"/>
      <c r="I97" s="1845"/>
    </row>
    <row r="98" spans="2:9" x14ac:dyDescent="0.2">
      <c r="B98" s="1843"/>
      <c r="C98" s="1844"/>
      <c r="D98" s="1844"/>
      <c r="E98" s="1844"/>
      <c r="F98" s="1844"/>
      <c r="G98" s="1844"/>
      <c r="H98" s="1844"/>
      <c r="I98" s="1845"/>
    </row>
    <row r="99" spans="2:9" x14ac:dyDescent="0.2">
      <c r="B99" s="1843"/>
      <c r="C99" s="1844"/>
      <c r="D99" s="1844"/>
      <c r="E99" s="1844"/>
      <c r="F99" s="1844"/>
      <c r="G99" s="1844"/>
      <c r="H99" s="1844"/>
      <c r="I99" s="1845"/>
    </row>
    <row r="100" spans="2:9" x14ac:dyDescent="0.2">
      <c r="B100" s="1843"/>
      <c r="C100" s="1844"/>
      <c r="D100" s="1844"/>
      <c r="E100" s="1844"/>
      <c r="F100" s="1844"/>
      <c r="G100" s="1844"/>
      <c r="H100" s="1844"/>
      <c r="I100" s="1845"/>
    </row>
    <row r="101" spans="2:9" x14ac:dyDescent="0.2">
      <c r="B101" s="1843"/>
      <c r="C101" s="1844"/>
      <c r="D101" s="1844"/>
      <c r="E101" s="1844"/>
      <c r="F101" s="1844"/>
      <c r="G101" s="1844"/>
      <c r="H101" s="1844"/>
      <c r="I101" s="1845"/>
    </row>
    <row r="102" spans="2:9" x14ac:dyDescent="0.2">
      <c r="B102" s="1843"/>
      <c r="C102" s="1844"/>
      <c r="D102" s="1844"/>
      <c r="E102" s="1844"/>
      <c r="F102" s="1844"/>
      <c r="G102" s="1844"/>
      <c r="H102" s="1844"/>
      <c r="I102" s="1845"/>
    </row>
    <row r="103" spans="2:9" x14ac:dyDescent="0.2">
      <c r="B103" s="1843"/>
      <c r="C103" s="1844"/>
      <c r="D103" s="1844"/>
      <c r="E103" s="1844"/>
      <c r="F103" s="1844"/>
      <c r="G103" s="1844"/>
      <c r="H103" s="1844"/>
      <c r="I103" s="1845"/>
    </row>
    <row r="104" spans="2:9" x14ac:dyDescent="0.2">
      <c r="B104" s="1843"/>
      <c r="C104" s="1844"/>
      <c r="D104" s="1844"/>
      <c r="E104" s="1844"/>
      <c r="F104" s="1844"/>
      <c r="G104" s="1844"/>
      <c r="H104" s="1844"/>
      <c r="I104" s="1845"/>
    </row>
    <row r="105" spans="2:9" x14ac:dyDescent="0.2">
      <c r="B105" s="1843"/>
      <c r="C105" s="1844"/>
      <c r="D105" s="1844"/>
      <c r="E105" s="1844"/>
      <c r="F105" s="1844"/>
      <c r="G105" s="1844"/>
      <c r="H105" s="1844"/>
      <c r="I105" s="1845"/>
    </row>
    <row r="106" spans="2:9" x14ac:dyDescent="0.2">
      <c r="B106" s="1843"/>
      <c r="C106" s="1844"/>
      <c r="D106" s="1844"/>
      <c r="E106" s="1844"/>
      <c r="F106" s="1844"/>
      <c r="G106" s="1844"/>
      <c r="H106" s="1844"/>
      <c r="I106" s="1845"/>
    </row>
    <row r="107" spans="2:9" x14ac:dyDescent="0.2">
      <c r="B107" s="1843"/>
      <c r="C107" s="1844"/>
      <c r="D107" s="1844"/>
      <c r="E107" s="1844"/>
      <c r="F107" s="1844"/>
      <c r="G107" s="1844"/>
      <c r="H107" s="1844"/>
      <c r="I107" s="1845"/>
    </row>
    <row r="108" spans="2:9" x14ac:dyDescent="0.2">
      <c r="B108" s="1843"/>
      <c r="C108" s="1844"/>
      <c r="D108" s="1844"/>
      <c r="E108" s="1844"/>
      <c r="F108" s="1844"/>
      <c r="G108" s="1844"/>
      <c r="H108" s="1844"/>
      <c r="I108" s="1845"/>
    </row>
    <row r="109" spans="2:9" x14ac:dyDescent="0.2">
      <c r="B109" s="1843"/>
      <c r="C109" s="1844"/>
      <c r="D109" s="1844"/>
      <c r="E109" s="1844"/>
      <c r="F109" s="1844"/>
      <c r="G109" s="1844"/>
      <c r="H109" s="1844"/>
      <c r="I109" s="1845"/>
    </row>
    <row r="110" spans="2:9" x14ac:dyDescent="0.2">
      <c r="B110" s="1843"/>
      <c r="C110" s="1844"/>
      <c r="D110" s="1844"/>
      <c r="E110" s="1844"/>
      <c r="F110" s="1844"/>
      <c r="G110" s="1844"/>
      <c r="H110" s="1844"/>
      <c r="I110" s="1845"/>
    </row>
    <row r="111" spans="2:9" ht="15" thickBot="1" x14ac:dyDescent="0.25">
      <c r="B111" s="1846"/>
      <c r="C111" s="1847"/>
      <c r="D111" s="1847"/>
      <c r="E111" s="1847"/>
      <c r="F111" s="1847"/>
      <c r="G111" s="1847"/>
      <c r="H111" s="1847"/>
      <c r="I111" s="1848"/>
    </row>
  </sheetData>
  <mergeCells count="16">
    <mergeCell ref="B87:I111"/>
    <mergeCell ref="I15:M15"/>
    <mergeCell ref="B7:B15"/>
    <mergeCell ref="K81:L81"/>
    <mergeCell ref="K83:L83"/>
    <mergeCell ref="K71:L71"/>
    <mergeCell ref="K72:L72"/>
    <mergeCell ref="K76:L76"/>
    <mergeCell ref="K77:L77"/>
    <mergeCell ref="K78:L78"/>
    <mergeCell ref="B20:B56"/>
    <mergeCell ref="B5:C5"/>
    <mergeCell ref="B18:C18"/>
    <mergeCell ref="K79:L79"/>
    <mergeCell ref="K80:L80"/>
    <mergeCell ref="B62:C62"/>
  </mergeCells>
  <dataValidations count="4">
    <dataValidation type="list" allowBlank="1" showInputMessage="1" showErrorMessage="1" sqref="E12:E13 E56:F56 E17:E55 E57" xr:uid="{D9E63875-CE11-48B1-8F8C-18F1E63DF469}">
      <formula1>Variables</formula1>
    </dataValidation>
    <dataValidation type="list" allowBlank="1" showInputMessage="1" showErrorMessage="1" sqref="H12:H13 H17:H55 H57" xr:uid="{C2387620-7A91-44C0-91EF-46044B699B14}">
      <formula1>"Fixed,Variable"</formula1>
    </dataValidation>
    <dataValidation type="list" allowBlank="1" showInputMessage="1" showErrorMessage="1" sqref="F20:F21" xr:uid="{434AEB62-AB70-4EA0-B3D2-8464AFB4CA4E}">
      <formula1>INDIRECT(IFERROR(RIGHT(#REF!,LEN(#REF!)-FIND(" ",#REF!)),#REF!)&amp;"Subs")</formula1>
    </dataValidation>
    <dataValidation type="list" allowBlank="1" showInputMessage="1" showErrorMessage="1" sqref="F22:F36" xr:uid="{98455919-4246-46FF-A835-621E5E3BF2D2}">
      <formula1>INDIRECT(IFERROR(RIGHT($C22,LEN($C22)-FIND(" ",$C22)),$C22)&amp;"Subs")</formula1>
    </dataValidation>
  </dataValidations>
  <hyperlinks>
    <hyperlink ref="G3" location="'TITLE PAGE'!A1" display="Back to title page" xr:uid="{6E64DE24-7CAE-4098-B58B-63343B924E6E}"/>
  </hyperlink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dimension ref="B1:AK133"/>
  <sheetViews>
    <sheetView showOutlineSymbols="0" showWhiteSpace="0" zoomScale="85" zoomScaleNormal="85" workbookViewId="0">
      <selection activeCell="F8" sqref="F8"/>
    </sheetView>
  </sheetViews>
  <sheetFormatPr defaultColWidth="8.6640625" defaultRowHeight="14.25" x14ac:dyDescent="0.2"/>
  <cols>
    <col min="1" max="1" width="3.5546875" style="7" customWidth="1"/>
    <col min="2" max="2" width="16.6640625" style="7" bestFit="1" customWidth="1"/>
    <col min="3" max="3" width="27" style="7" customWidth="1"/>
    <col min="4" max="4" width="16.5546875" style="7" customWidth="1"/>
    <col min="5" max="5" width="8.6640625" style="7"/>
    <col min="6" max="6" width="17.5546875" style="7" customWidth="1"/>
    <col min="7" max="7" width="11" style="7" customWidth="1"/>
    <col min="8" max="8" width="11.6640625" style="7" customWidth="1"/>
    <col min="9" max="9" width="8.6640625" style="7"/>
    <col min="10" max="10" width="8.109375" style="7" customWidth="1"/>
    <col min="11" max="11" width="7.5546875" style="7" customWidth="1"/>
    <col min="12" max="12" width="7.109375" style="7" customWidth="1"/>
    <col min="13" max="13" width="7.44140625" style="7" customWidth="1"/>
    <col min="14" max="15" width="8.6640625" style="7" customWidth="1"/>
    <col min="16" max="16384" width="8.6640625" style="7"/>
  </cols>
  <sheetData>
    <row r="1" spans="2:37" ht="15" thickBot="1" x14ac:dyDescent="0.25"/>
    <row r="2" spans="2:37" ht="18.75" customHeight="1" thickBot="1" x14ac:dyDescent="0.25">
      <c r="B2" s="1310" t="s">
        <v>93</v>
      </c>
      <c r="C2" s="1311" t="s">
        <v>88</v>
      </c>
      <c r="D2" s="1311" t="s">
        <v>102</v>
      </c>
      <c r="E2" s="1311" t="s">
        <v>105</v>
      </c>
    </row>
    <row r="3" spans="2:37" ht="18.75" customHeight="1" x14ac:dyDescent="0.2"/>
    <row r="7" spans="2:37" ht="15" thickBot="1" x14ac:dyDescent="0.25"/>
    <row r="8" spans="2:37" ht="15" thickBot="1" x14ac:dyDescent="0.25">
      <c r="B8" s="392" t="s">
        <v>64</v>
      </c>
      <c r="C8" s="393" t="str">
        <f>'TITLE PAGE'!$D$18</f>
        <v>Essex &amp; Suffolk Water</v>
      </c>
      <c r="D8" s="397" t="s">
        <v>2</v>
      </c>
    </row>
    <row r="9" spans="2:37" ht="15" thickBot="1" x14ac:dyDescent="0.25">
      <c r="B9" s="72" t="s">
        <v>445</v>
      </c>
      <c r="C9" s="59" t="s">
        <v>93</v>
      </c>
      <c r="D9" s="1467">
        <f>'TITLE PAGE'!D21</f>
        <v>16</v>
      </c>
      <c r="F9" s="62"/>
      <c r="G9" s="62"/>
    </row>
    <row r="10" spans="2:37" ht="15" thickBot="1" x14ac:dyDescent="0.25">
      <c r="B10" s="73"/>
      <c r="C10" s="73"/>
      <c r="D10" s="1"/>
      <c r="E10" s="1"/>
      <c r="F10" s="1"/>
      <c r="G10" s="62"/>
      <c r="H10" s="62"/>
    </row>
    <row r="11" spans="2:37" ht="30.75" thickBot="1" x14ac:dyDescent="0.25">
      <c r="B11" s="193" t="s">
        <v>1586</v>
      </c>
      <c r="C11" s="1309" t="s">
        <v>204</v>
      </c>
      <c r="D11" s="64"/>
      <c r="E11" s="64"/>
      <c r="F11" s="64"/>
      <c r="G11" s="62"/>
      <c r="H11" s="62"/>
      <c r="I11" s="62"/>
      <c r="J11" s="1863" t="s">
        <v>1587</v>
      </c>
      <c r="K11" s="1864"/>
      <c r="L11" s="1864"/>
      <c r="M11" s="1864"/>
      <c r="N11" s="1864"/>
      <c r="O11" s="1864"/>
      <c r="P11" s="1864"/>
      <c r="Q11" s="1863" t="s">
        <v>1588</v>
      </c>
      <c r="R11" s="1864"/>
      <c r="S11" s="1864"/>
      <c r="T11" s="1864"/>
      <c r="U11" s="1864"/>
      <c r="V11" s="1864"/>
      <c r="W11" s="1864"/>
      <c r="X11" s="1863" t="s">
        <v>1589</v>
      </c>
      <c r="Y11" s="1864"/>
      <c r="Z11" s="1864"/>
      <c r="AA11" s="1864"/>
      <c r="AB11" s="1864"/>
      <c r="AC11" s="1864"/>
      <c r="AD11" s="1864"/>
      <c r="AE11" s="1863" t="s">
        <v>1590</v>
      </c>
      <c r="AF11" s="1864"/>
      <c r="AG11" s="1864"/>
      <c r="AH11" s="1864"/>
      <c r="AI11" s="1864"/>
      <c r="AJ11" s="1864"/>
      <c r="AK11" s="1865"/>
    </row>
    <row r="12" spans="2:37" ht="60.75" thickBot="1" x14ac:dyDescent="0.25">
      <c r="B12" s="75" t="s">
        <v>1591</v>
      </c>
      <c r="C12" s="76" t="s">
        <v>1592</v>
      </c>
      <c r="D12" s="76" t="s">
        <v>1593</v>
      </c>
      <c r="E12" s="76" t="s">
        <v>1594</v>
      </c>
      <c r="F12" s="76" t="s">
        <v>1595</v>
      </c>
      <c r="G12" s="76" t="s">
        <v>1596</v>
      </c>
      <c r="H12" s="76" t="s">
        <v>206</v>
      </c>
      <c r="I12" s="90" t="s">
        <v>207</v>
      </c>
      <c r="J12" s="203" t="s">
        <v>1597</v>
      </c>
      <c r="K12" s="197" t="s">
        <v>213</v>
      </c>
      <c r="L12" s="248" t="s">
        <v>218</v>
      </c>
      <c r="M12" s="197" t="s">
        <v>219</v>
      </c>
      <c r="N12" s="197" t="s">
        <v>220</v>
      </c>
      <c r="O12" s="201" t="s">
        <v>221</v>
      </c>
      <c r="P12" s="385" t="s">
        <v>222</v>
      </c>
      <c r="Q12" s="79" t="s">
        <v>1598</v>
      </c>
      <c r="R12" s="77" t="s">
        <v>213</v>
      </c>
      <c r="S12" s="77" t="s">
        <v>218</v>
      </c>
      <c r="T12" s="77" t="s">
        <v>219</v>
      </c>
      <c r="U12" s="77" t="s">
        <v>220</v>
      </c>
      <c r="V12" s="78" t="s">
        <v>221</v>
      </c>
      <c r="W12" s="361" t="s">
        <v>222</v>
      </c>
      <c r="X12" s="79" t="s">
        <v>1598</v>
      </c>
      <c r="Y12" s="77" t="s">
        <v>213</v>
      </c>
      <c r="Z12" s="77" t="s">
        <v>218</v>
      </c>
      <c r="AA12" s="77" t="s">
        <v>219</v>
      </c>
      <c r="AB12" s="77" t="s">
        <v>220</v>
      </c>
      <c r="AC12" s="78" t="s">
        <v>221</v>
      </c>
      <c r="AD12" s="361" t="s">
        <v>222</v>
      </c>
      <c r="AE12" s="79" t="s">
        <v>1599</v>
      </c>
      <c r="AF12" s="77" t="s">
        <v>213</v>
      </c>
      <c r="AG12" s="77" t="s">
        <v>218</v>
      </c>
      <c r="AH12" s="77" t="s">
        <v>219</v>
      </c>
      <c r="AI12" s="77" t="s">
        <v>220</v>
      </c>
      <c r="AJ12" s="78" t="s">
        <v>221</v>
      </c>
      <c r="AK12" s="362" t="s">
        <v>222</v>
      </c>
    </row>
    <row r="13" spans="2:37" ht="57" x14ac:dyDescent="0.2">
      <c r="B13" s="80" t="s">
        <v>1600</v>
      </c>
      <c r="C13" s="81" t="s">
        <v>1601</v>
      </c>
      <c r="D13" s="81" t="s">
        <v>1602</v>
      </c>
      <c r="E13" s="82" t="s">
        <v>1603</v>
      </c>
      <c r="F13" s="81" t="s">
        <v>1604</v>
      </c>
      <c r="G13" s="81" t="s">
        <v>877</v>
      </c>
      <c r="H13" s="82" t="s">
        <v>236</v>
      </c>
      <c r="I13" s="264">
        <v>2</v>
      </c>
      <c r="J13" s="383">
        <v>0.28999999999999998</v>
      </c>
      <c r="K13" s="384">
        <v>0.27</v>
      </c>
      <c r="L13" s="308">
        <v>0.25</v>
      </c>
      <c r="M13" s="384">
        <v>0.21382431884273245</v>
      </c>
      <c r="N13" s="384">
        <v>0.20936829709399243</v>
      </c>
      <c r="O13" s="384">
        <v>0.20649413994390892</v>
      </c>
      <c r="P13" s="384">
        <v>0.20717650966515755</v>
      </c>
      <c r="Q13" s="373">
        <v>0.28999999999999998</v>
      </c>
      <c r="R13" s="308">
        <v>0.27</v>
      </c>
      <c r="S13" s="308">
        <v>0.25</v>
      </c>
      <c r="T13" s="308">
        <v>0.21382431884273245</v>
      </c>
      <c r="U13" s="308">
        <v>0.20936829709399243</v>
      </c>
      <c r="V13" s="309">
        <v>0.20649413994390892</v>
      </c>
      <c r="W13" s="309">
        <v>0.20717650966515755</v>
      </c>
      <c r="X13" s="373"/>
      <c r="Y13" s="308"/>
      <c r="Z13" s="308"/>
      <c r="AA13" s="308"/>
      <c r="AB13" s="308"/>
      <c r="AC13" s="309"/>
      <c r="AD13" s="309"/>
      <c r="AE13" s="307"/>
      <c r="AF13" s="308"/>
      <c r="AG13" s="308"/>
      <c r="AH13" s="308"/>
      <c r="AI13" s="308"/>
      <c r="AJ13" s="309"/>
      <c r="AK13" s="219"/>
    </row>
    <row r="14" spans="2:37" ht="42.75" x14ac:dyDescent="0.2">
      <c r="B14" s="83" t="s">
        <v>1605</v>
      </c>
      <c r="C14" s="81" t="s">
        <v>1606</v>
      </c>
      <c r="D14" s="81" t="s">
        <v>1607</v>
      </c>
      <c r="E14" s="82" t="s">
        <v>1608</v>
      </c>
      <c r="F14" s="81" t="s">
        <v>1604</v>
      </c>
      <c r="G14" s="81" t="s">
        <v>863</v>
      </c>
      <c r="H14" s="82" t="s">
        <v>236</v>
      </c>
      <c r="I14" s="264">
        <v>2</v>
      </c>
      <c r="J14" s="374"/>
      <c r="K14" s="305"/>
      <c r="L14" s="305"/>
      <c r="M14" s="305"/>
      <c r="N14" s="305"/>
      <c r="O14" s="305"/>
      <c r="P14" s="306"/>
      <c r="Q14" s="374"/>
      <c r="R14" s="305"/>
      <c r="S14" s="305"/>
      <c r="T14" s="305"/>
      <c r="U14" s="305"/>
      <c r="V14" s="306"/>
      <c r="W14" s="306"/>
      <c r="X14" s="374"/>
      <c r="Y14" s="305"/>
      <c r="Z14" s="305"/>
      <c r="AA14" s="305"/>
      <c r="AB14" s="305"/>
      <c r="AC14" s="306"/>
      <c r="AD14" s="306"/>
      <c r="AE14" s="304"/>
      <c r="AF14" s="305"/>
      <c r="AG14" s="305"/>
      <c r="AH14" s="305"/>
      <c r="AI14" s="305"/>
      <c r="AJ14" s="306"/>
      <c r="AK14" s="220"/>
    </row>
    <row r="15" spans="2:37" ht="42.75" x14ac:dyDescent="0.2">
      <c r="B15" s="84" t="s">
        <v>1609</v>
      </c>
      <c r="C15" s="81" t="s">
        <v>1610</v>
      </c>
      <c r="D15" s="81" t="s">
        <v>1611</v>
      </c>
      <c r="E15" s="82"/>
      <c r="F15" s="81" t="s">
        <v>1604</v>
      </c>
      <c r="G15" s="81" t="s">
        <v>863</v>
      </c>
      <c r="H15" s="82"/>
      <c r="I15" s="264">
        <v>2</v>
      </c>
      <c r="J15" s="374"/>
      <c r="K15" s="305"/>
      <c r="L15" s="305"/>
      <c r="M15" s="305"/>
      <c r="N15" s="305"/>
      <c r="O15" s="305"/>
      <c r="P15" s="306"/>
      <c r="Q15" s="374"/>
      <c r="R15" s="305"/>
      <c r="S15" s="305"/>
      <c r="T15" s="305"/>
      <c r="U15" s="305"/>
      <c r="V15" s="306"/>
      <c r="W15" s="306"/>
      <c r="X15" s="374"/>
      <c r="Y15" s="305"/>
      <c r="Z15" s="305"/>
      <c r="AA15" s="305"/>
      <c r="AB15" s="305"/>
      <c r="AC15" s="306"/>
      <c r="AD15" s="306"/>
      <c r="AE15" s="304"/>
      <c r="AF15" s="305"/>
      <c r="AG15" s="305"/>
      <c r="AH15" s="305"/>
      <c r="AI15" s="305"/>
      <c r="AJ15" s="306"/>
      <c r="AK15" s="220"/>
    </row>
    <row r="16" spans="2:37" ht="57" x14ac:dyDescent="0.2">
      <c r="B16" s="83" t="s">
        <v>1612</v>
      </c>
      <c r="C16" s="81" t="s">
        <v>1613</v>
      </c>
      <c r="D16" s="81" t="s">
        <v>1614</v>
      </c>
      <c r="E16" s="82" t="s">
        <v>1603</v>
      </c>
      <c r="F16" s="81" t="s">
        <v>1604</v>
      </c>
      <c r="G16" s="81" t="s">
        <v>877</v>
      </c>
      <c r="H16" s="82" t="s">
        <v>236</v>
      </c>
      <c r="I16" s="264">
        <v>2</v>
      </c>
      <c r="J16" s="374">
        <v>0.27</v>
      </c>
      <c r="K16" s="305">
        <v>0.26</v>
      </c>
      <c r="L16" s="305">
        <v>0.23</v>
      </c>
      <c r="M16" s="305">
        <v>0.20313310290059583</v>
      </c>
      <c r="N16" s="305">
        <v>0.19889988223929281</v>
      </c>
      <c r="O16" s="305">
        <v>0.19616943294671346</v>
      </c>
      <c r="P16" s="305">
        <v>0.19681768418189965</v>
      </c>
      <c r="Q16" s="374">
        <v>0.27</v>
      </c>
      <c r="R16" s="305">
        <v>0.26</v>
      </c>
      <c r="S16" s="305">
        <v>0.23</v>
      </c>
      <c r="T16" s="305">
        <v>0.20313310290059583</v>
      </c>
      <c r="U16" s="305">
        <v>0.19889988223929281</v>
      </c>
      <c r="V16" s="306">
        <v>0.19616943294671346</v>
      </c>
      <c r="W16" s="306">
        <v>0.19681768418189965</v>
      </c>
      <c r="X16" s="374"/>
      <c r="Y16" s="305"/>
      <c r="Z16" s="305"/>
      <c r="AA16" s="305"/>
      <c r="AB16" s="305"/>
      <c r="AC16" s="306"/>
      <c r="AD16" s="306"/>
      <c r="AE16" s="304"/>
      <c r="AF16" s="305"/>
      <c r="AG16" s="305"/>
      <c r="AH16" s="305"/>
      <c r="AI16" s="305"/>
      <c r="AJ16" s="306"/>
      <c r="AK16" s="220"/>
    </row>
    <row r="17" spans="2:37" ht="85.5" x14ac:dyDescent="0.2">
      <c r="B17" s="83" t="s">
        <v>1615</v>
      </c>
      <c r="C17" s="81" t="s">
        <v>1616</v>
      </c>
      <c r="D17" s="81" t="s">
        <v>1617</v>
      </c>
      <c r="E17" s="82" t="s">
        <v>1608</v>
      </c>
      <c r="F17" s="81" t="s">
        <v>1604</v>
      </c>
      <c r="G17" s="81" t="s">
        <v>863</v>
      </c>
      <c r="H17" s="82" t="s">
        <v>236</v>
      </c>
      <c r="I17" s="264">
        <v>2</v>
      </c>
      <c r="J17" s="374"/>
      <c r="K17" s="305"/>
      <c r="L17" s="305"/>
      <c r="M17" s="305"/>
      <c r="N17" s="305"/>
      <c r="O17" s="305"/>
      <c r="P17" s="306"/>
      <c r="Q17" s="374"/>
      <c r="R17" s="305"/>
      <c r="S17" s="305"/>
      <c r="T17" s="305"/>
      <c r="U17" s="305"/>
      <c r="V17" s="306"/>
      <c r="W17" s="306"/>
      <c r="X17" s="374"/>
      <c r="Y17" s="305"/>
      <c r="Z17" s="305"/>
      <c r="AA17" s="305"/>
      <c r="AB17" s="305"/>
      <c r="AC17" s="306"/>
      <c r="AD17" s="306"/>
      <c r="AE17" s="304"/>
      <c r="AF17" s="305"/>
      <c r="AG17" s="305"/>
      <c r="AH17" s="305"/>
      <c r="AI17" s="305"/>
      <c r="AJ17" s="306"/>
      <c r="AK17" s="220"/>
    </row>
    <row r="18" spans="2:37" ht="42.75" x14ac:dyDescent="0.2">
      <c r="B18" s="83" t="s">
        <v>1618</v>
      </c>
      <c r="C18" s="81" t="s">
        <v>1619</v>
      </c>
      <c r="D18" s="81" t="s">
        <v>1620</v>
      </c>
      <c r="E18" s="82"/>
      <c r="F18" s="81" t="s">
        <v>1604</v>
      </c>
      <c r="G18" s="81" t="s">
        <v>863</v>
      </c>
      <c r="H18" s="82"/>
      <c r="I18" s="264">
        <v>2</v>
      </c>
      <c r="J18" s="374"/>
      <c r="K18" s="305"/>
      <c r="L18" s="305"/>
      <c r="M18" s="305"/>
      <c r="N18" s="305"/>
      <c r="O18" s="305"/>
      <c r="P18" s="306"/>
      <c r="Q18" s="374"/>
      <c r="R18" s="305"/>
      <c r="S18" s="305"/>
      <c r="T18" s="305"/>
      <c r="U18" s="305"/>
      <c r="V18" s="306"/>
      <c r="W18" s="306"/>
      <c r="X18" s="374"/>
      <c r="Y18" s="305"/>
      <c r="Z18" s="305"/>
      <c r="AA18" s="305"/>
      <c r="AB18" s="305"/>
      <c r="AC18" s="306"/>
      <c r="AD18" s="306"/>
      <c r="AE18" s="304"/>
      <c r="AF18" s="305"/>
      <c r="AG18" s="305"/>
      <c r="AH18" s="305"/>
      <c r="AI18" s="305"/>
      <c r="AJ18" s="306"/>
      <c r="AK18" s="220"/>
    </row>
    <row r="19" spans="2:37" ht="57" x14ac:dyDescent="0.2">
      <c r="B19" s="83" t="s">
        <v>1621</v>
      </c>
      <c r="C19" s="81" t="s">
        <v>1622</v>
      </c>
      <c r="D19" s="81" t="s">
        <v>1623</v>
      </c>
      <c r="E19" s="82" t="s">
        <v>1603</v>
      </c>
      <c r="F19" s="81" t="s">
        <v>1604</v>
      </c>
      <c r="G19" s="81" t="s">
        <v>863</v>
      </c>
      <c r="H19" s="82" t="s">
        <v>236</v>
      </c>
      <c r="I19" s="264">
        <v>2</v>
      </c>
      <c r="J19" s="374"/>
      <c r="K19" s="305"/>
      <c r="L19" s="305"/>
      <c r="M19" s="305"/>
      <c r="N19" s="305"/>
      <c r="O19" s="305"/>
      <c r="P19" s="306"/>
      <c r="Q19" s="374"/>
      <c r="R19" s="305"/>
      <c r="S19" s="305"/>
      <c r="T19" s="305"/>
      <c r="U19" s="305"/>
      <c r="V19" s="306"/>
      <c r="W19" s="306"/>
      <c r="X19" s="374"/>
      <c r="Y19" s="305"/>
      <c r="Z19" s="305"/>
      <c r="AA19" s="305"/>
      <c r="AB19" s="305"/>
      <c r="AC19" s="306"/>
      <c r="AD19" s="306"/>
      <c r="AE19" s="304"/>
      <c r="AF19" s="305"/>
      <c r="AG19" s="305"/>
      <c r="AH19" s="305"/>
      <c r="AI19" s="305"/>
      <c r="AJ19" s="306"/>
      <c r="AK19" s="220"/>
    </row>
    <row r="20" spans="2:37" ht="85.5" x14ac:dyDescent="0.2">
      <c r="B20" s="83" t="s">
        <v>1624</v>
      </c>
      <c r="C20" s="81" t="s">
        <v>1625</v>
      </c>
      <c r="D20" s="81" t="s">
        <v>1626</v>
      </c>
      <c r="E20" s="82" t="s">
        <v>1608</v>
      </c>
      <c r="F20" s="81" t="s">
        <v>1604</v>
      </c>
      <c r="G20" s="81" t="s">
        <v>863</v>
      </c>
      <c r="H20" s="82" t="s">
        <v>236</v>
      </c>
      <c r="I20" s="264">
        <v>2</v>
      </c>
      <c r="J20" s="375"/>
      <c r="K20" s="305"/>
      <c r="L20" s="305"/>
      <c r="M20" s="305"/>
      <c r="N20" s="305"/>
      <c r="O20" s="305"/>
      <c r="P20" s="306"/>
      <c r="Q20" s="374"/>
      <c r="R20" s="305"/>
      <c r="S20" s="305"/>
      <c r="T20" s="305"/>
      <c r="U20" s="305"/>
      <c r="V20" s="306"/>
      <c r="W20" s="306"/>
      <c r="X20" s="374"/>
      <c r="Y20" s="305"/>
      <c r="Z20" s="305"/>
      <c r="AA20" s="305"/>
      <c r="AB20" s="305"/>
      <c r="AC20" s="306"/>
      <c r="AD20" s="306"/>
      <c r="AE20" s="304"/>
      <c r="AF20" s="305"/>
      <c r="AG20" s="305"/>
      <c r="AH20" s="305"/>
      <c r="AI20" s="305"/>
      <c r="AJ20" s="306"/>
      <c r="AK20" s="220"/>
    </row>
    <row r="21" spans="2:37" ht="42.75" x14ac:dyDescent="0.2">
      <c r="B21" s="83" t="s">
        <v>1627</v>
      </c>
      <c r="C21" s="81" t="s">
        <v>1628</v>
      </c>
      <c r="D21" s="81" t="s">
        <v>1629</v>
      </c>
      <c r="E21" s="82"/>
      <c r="F21" s="81" t="s">
        <v>1604</v>
      </c>
      <c r="G21" s="81" t="s">
        <v>863</v>
      </c>
      <c r="H21" s="82"/>
      <c r="I21" s="264">
        <v>2</v>
      </c>
      <c r="J21" s="374"/>
      <c r="K21" s="305"/>
      <c r="L21" s="305"/>
      <c r="M21" s="305"/>
      <c r="N21" s="305"/>
      <c r="O21" s="305"/>
      <c r="P21" s="306"/>
      <c r="Q21" s="374"/>
      <c r="R21" s="305"/>
      <c r="S21" s="305"/>
      <c r="T21" s="305"/>
      <c r="U21" s="305"/>
      <c r="V21" s="306"/>
      <c r="W21" s="306"/>
      <c r="X21" s="374"/>
      <c r="Y21" s="305"/>
      <c r="Z21" s="305"/>
      <c r="AA21" s="305"/>
      <c r="AB21" s="305"/>
      <c r="AC21" s="306"/>
      <c r="AD21" s="306"/>
      <c r="AE21" s="304"/>
      <c r="AF21" s="305"/>
      <c r="AG21" s="305"/>
      <c r="AH21" s="305"/>
      <c r="AI21" s="305"/>
      <c r="AJ21" s="306"/>
      <c r="AK21" s="220"/>
    </row>
    <row r="22" spans="2:37" ht="72" thickBot="1" x14ac:dyDescent="0.25">
      <c r="B22" s="85" t="s">
        <v>1630</v>
      </c>
      <c r="C22" s="86" t="s">
        <v>1631</v>
      </c>
      <c r="D22" s="87" t="s">
        <v>1632</v>
      </c>
      <c r="E22" s="88"/>
      <c r="F22" s="89"/>
      <c r="G22" s="89"/>
      <c r="H22" s="89" t="s">
        <v>236</v>
      </c>
      <c r="I22" s="265">
        <v>2</v>
      </c>
      <c r="J22" s="310">
        <f>SUM($J13:$J21)</f>
        <v>0.56000000000000005</v>
      </c>
      <c r="K22" s="311">
        <f>SUM($K13:$K21)</f>
        <v>0.53</v>
      </c>
      <c r="L22" s="311">
        <f>SUM($L13:$L21)</f>
        <v>0.48</v>
      </c>
      <c r="M22" s="311">
        <f>SUM($M13:$M21)</f>
        <v>0.41695742174332828</v>
      </c>
      <c r="N22" s="311">
        <f>SUM($N13:$N21)</f>
        <v>0.40826817933328524</v>
      </c>
      <c r="O22" s="311">
        <f>SUM($O13:$O21)</f>
        <v>0.40266357289062238</v>
      </c>
      <c r="P22" s="312">
        <f>SUM($P13:$P21)</f>
        <v>0.4039941938470572</v>
      </c>
      <c r="Q22" s="313">
        <f>SUM($Q13:$Q21)</f>
        <v>0.56000000000000005</v>
      </c>
      <c r="R22" s="314">
        <f>SUM($R13:$R21)</f>
        <v>0.53</v>
      </c>
      <c r="S22" s="314">
        <f>SUM($S13:$S21)</f>
        <v>0.48</v>
      </c>
      <c r="T22" s="314">
        <f>SUM($T13:$T21)</f>
        <v>0.41695742174332828</v>
      </c>
      <c r="U22" s="314">
        <f>SUM($U13:$U21)</f>
        <v>0.40826817933328524</v>
      </c>
      <c r="V22" s="315">
        <f>SUM($V13:$V21)</f>
        <v>0.40266357289062238</v>
      </c>
      <c r="W22" s="314">
        <f>SUM($W13:$W21)</f>
        <v>0.4039941938470572</v>
      </c>
      <c r="X22" s="316">
        <f>SUM($X13:$X21)</f>
        <v>0</v>
      </c>
      <c r="Y22" s="314">
        <f>SUM($Y13:$Y21)</f>
        <v>0</v>
      </c>
      <c r="Z22" s="314">
        <f>SUM($Z13:$Z21)</f>
        <v>0</v>
      </c>
      <c r="AA22" s="314">
        <f>SUM($AA13:$AA21)</f>
        <v>0</v>
      </c>
      <c r="AB22" s="314">
        <f>SUM($AB13:$AB21)</f>
        <v>0</v>
      </c>
      <c r="AC22" s="315">
        <f>SUM($AC13:$AC21)</f>
        <v>0</v>
      </c>
      <c r="AD22" s="315">
        <f>SUM($AD13:$AD21)</f>
        <v>0</v>
      </c>
      <c r="AE22" s="316">
        <f>SUM($AE13:$AE21)</f>
        <v>0</v>
      </c>
      <c r="AF22" s="314">
        <f>SUM($AF13:$AF21)</f>
        <v>0</v>
      </c>
      <c r="AG22" s="314">
        <f>SUM($AG13:$AG21)</f>
        <v>0</v>
      </c>
      <c r="AH22" s="314">
        <f>SUM($AH13:$AH21)</f>
        <v>0</v>
      </c>
      <c r="AI22" s="314">
        <f>SUM($AI13:$AI21)</f>
        <v>0</v>
      </c>
      <c r="AJ22" s="315">
        <f>SUM($AJ13:$AJ21)</f>
        <v>0</v>
      </c>
      <c r="AK22" s="221">
        <f>SUM($AK13:$AK21)</f>
        <v>0</v>
      </c>
    </row>
    <row r="23" spans="2:37" ht="30.75" thickBot="1" x14ac:dyDescent="0.25">
      <c r="B23" s="75" t="s">
        <v>1591</v>
      </c>
      <c r="C23" s="76" t="s">
        <v>205</v>
      </c>
      <c r="D23" s="90" t="s">
        <v>71</v>
      </c>
      <c r="E23" s="90" t="s">
        <v>909</v>
      </c>
      <c r="F23" s="90" t="s">
        <v>909</v>
      </c>
      <c r="G23" s="198"/>
      <c r="H23" s="76" t="s">
        <v>206</v>
      </c>
      <c r="I23" s="90" t="s">
        <v>207</v>
      </c>
      <c r="J23" s="1116" t="s">
        <v>1598</v>
      </c>
      <c r="K23" s="197" t="s">
        <v>213</v>
      </c>
      <c r="L23" s="197" t="s">
        <v>218</v>
      </c>
      <c r="M23" s="197" t="s">
        <v>219</v>
      </c>
      <c r="N23" s="197" t="s">
        <v>220</v>
      </c>
      <c r="O23" s="1117" t="s">
        <v>221</v>
      </c>
      <c r="P23" s="201" t="s">
        <v>222</v>
      </c>
      <c r="Q23" s="247" t="s">
        <v>1598</v>
      </c>
      <c r="R23" s="76" t="s">
        <v>213</v>
      </c>
      <c r="S23" s="76" t="s">
        <v>218</v>
      </c>
      <c r="T23" s="76" t="s">
        <v>219</v>
      </c>
      <c r="U23" s="76" t="s">
        <v>220</v>
      </c>
      <c r="V23" s="201" t="s">
        <v>221</v>
      </c>
      <c r="W23" s="201" t="s">
        <v>222</v>
      </c>
      <c r="X23" s="203" t="s">
        <v>1598</v>
      </c>
      <c r="Y23" s="76" t="s">
        <v>213</v>
      </c>
      <c r="Z23" s="76" t="s">
        <v>218</v>
      </c>
      <c r="AA23" s="76" t="s">
        <v>219</v>
      </c>
      <c r="AB23" s="76" t="s">
        <v>220</v>
      </c>
      <c r="AC23" s="379" t="s">
        <v>221</v>
      </c>
      <c r="AD23" s="201" t="s">
        <v>222</v>
      </c>
      <c r="AE23" s="203" t="s">
        <v>1598</v>
      </c>
      <c r="AF23" s="197" t="s">
        <v>213</v>
      </c>
      <c r="AG23" s="197" t="s">
        <v>218</v>
      </c>
      <c r="AH23" s="197" t="s">
        <v>219</v>
      </c>
      <c r="AI23" s="197" t="s">
        <v>220</v>
      </c>
      <c r="AJ23" s="202" t="s">
        <v>221</v>
      </c>
      <c r="AK23" s="382" t="s">
        <v>222</v>
      </c>
    </row>
    <row r="24" spans="2:37" x14ac:dyDescent="0.2">
      <c r="B24" s="91" t="s">
        <v>1633</v>
      </c>
      <c r="C24" s="92" t="s">
        <v>1634</v>
      </c>
      <c r="D24" s="1093" t="s">
        <v>1635</v>
      </c>
      <c r="E24" s="93"/>
      <c r="F24" s="93"/>
      <c r="G24" s="380"/>
      <c r="H24" s="94" t="s">
        <v>236</v>
      </c>
      <c r="I24" s="266">
        <v>2</v>
      </c>
      <c r="J24" s="1101" t="s">
        <v>909</v>
      </c>
      <c r="K24" s="1102">
        <v>0</v>
      </c>
      <c r="L24" s="1103">
        <v>0</v>
      </c>
      <c r="M24" s="1103">
        <v>0</v>
      </c>
      <c r="N24" s="1103">
        <v>0</v>
      </c>
      <c r="O24" s="1103">
        <v>0</v>
      </c>
      <c r="P24" s="1104">
        <v>0</v>
      </c>
      <c r="Q24" s="1114" t="s">
        <v>909</v>
      </c>
      <c r="R24" s="215">
        <v>0</v>
      </c>
      <c r="S24" s="216">
        <v>0</v>
      </c>
      <c r="T24" s="216">
        <v>0</v>
      </c>
      <c r="U24" s="217">
        <v>0</v>
      </c>
      <c r="V24" s="377">
        <v>0</v>
      </c>
      <c r="W24" s="389">
        <v>0</v>
      </c>
      <c r="X24" s="386" t="s">
        <v>909</v>
      </c>
      <c r="Y24" s="215">
        <v>0</v>
      </c>
      <c r="Z24" s="216">
        <v>0</v>
      </c>
      <c r="AA24" s="216">
        <v>0</v>
      </c>
      <c r="AB24" s="217">
        <v>0</v>
      </c>
      <c r="AC24" s="246">
        <v>0</v>
      </c>
      <c r="AD24" s="378">
        <v>0</v>
      </c>
      <c r="AE24" s="381" t="s">
        <v>909</v>
      </c>
      <c r="AF24" s="377">
        <v>0</v>
      </c>
      <c r="AG24" s="377">
        <v>0</v>
      </c>
      <c r="AH24" s="377">
        <v>0</v>
      </c>
      <c r="AI24" s="377">
        <v>0</v>
      </c>
      <c r="AJ24" s="377">
        <v>0</v>
      </c>
      <c r="AK24" s="378">
        <v>0</v>
      </c>
    </row>
    <row r="25" spans="2:37" x14ac:dyDescent="0.2">
      <c r="B25" s="95" t="s">
        <v>1636</v>
      </c>
      <c r="C25" s="96" t="s">
        <v>1637</v>
      </c>
      <c r="D25" s="97" t="s">
        <v>1638</v>
      </c>
      <c r="E25" s="97"/>
      <c r="F25" s="97"/>
      <c r="G25" s="199"/>
      <c r="H25" s="94" t="s">
        <v>236</v>
      </c>
      <c r="I25" s="267">
        <v>2</v>
      </c>
      <c r="J25" s="1105"/>
      <c r="K25" s="204">
        <f>ESWBLY!$L$175+$K24</f>
        <v>10.289546901221065</v>
      </c>
      <c r="L25" s="205">
        <f>ESWBLY!$Q$175+$L24</f>
        <v>10.048760992869392</v>
      </c>
      <c r="M25" s="205">
        <f>ESWBLY!$V$175+$M24</f>
        <v>11.802412260799963</v>
      </c>
      <c r="N25" s="205">
        <f>ESWBLY!$AA$175+$N24</f>
        <v>11.615084694418222</v>
      </c>
      <c r="O25" s="205">
        <f>ESWBLY!$AF$175+$O24</f>
        <v>11.519576695248453</v>
      </c>
      <c r="P25" s="1106">
        <f>ESWBLY!$AK$175+$P24</f>
        <v>11.492072654638511</v>
      </c>
      <c r="Q25" s="390" t="s">
        <v>909</v>
      </c>
      <c r="R25" s="215">
        <v>0</v>
      </c>
      <c r="S25" s="216">
        <v>0</v>
      </c>
      <c r="T25" s="216">
        <v>0</v>
      </c>
      <c r="U25" s="217">
        <v>0</v>
      </c>
      <c r="V25" s="213">
        <v>0</v>
      </c>
      <c r="W25" s="214">
        <v>0</v>
      </c>
      <c r="X25" s="387" t="s">
        <v>909</v>
      </c>
      <c r="Y25" s="215">
        <v>0</v>
      </c>
      <c r="Z25" s="216">
        <v>0</v>
      </c>
      <c r="AA25" s="216">
        <v>0</v>
      </c>
      <c r="AB25" s="217">
        <v>0</v>
      </c>
      <c r="AC25" s="213">
        <v>0</v>
      </c>
      <c r="AD25" s="214">
        <v>0</v>
      </c>
      <c r="AE25" s="218" t="s">
        <v>909</v>
      </c>
      <c r="AF25" s="213">
        <v>0</v>
      </c>
      <c r="AG25" s="213">
        <v>0</v>
      </c>
      <c r="AH25" s="213">
        <v>0</v>
      </c>
      <c r="AI25" s="213">
        <v>0</v>
      </c>
      <c r="AJ25" s="213">
        <v>0</v>
      </c>
      <c r="AK25" s="222">
        <v>0</v>
      </c>
    </row>
    <row r="26" spans="2:37" ht="28.5" x14ac:dyDescent="0.2">
      <c r="B26" s="95" t="s">
        <v>1639</v>
      </c>
      <c r="C26" s="94" t="s">
        <v>387</v>
      </c>
      <c r="D26" s="97" t="s">
        <v>1640</v>
      </c>
      <c r="E26" s="97"/>
      <c r="F26" s="97"/>
      <c r="G26" s="199"/>
      <c r="H26" s="94" t="s">
        <v>236</v>
      </c>
      <c r="I26" s="267">
        <v>2</v>
      </c>
      <c r="J26" s="1107" t="s">
        <v>909</v>
      </c>
      <c r="K26" s="1096">
        <f>ESWBLY!$L$131-(ESWBLY!$L$102+ESWBLY!$L$103)+$K22</f>
        <v>12.069999999999999</v>
      </c>
      <c r="L26" s="1096">
        <f>ESWBLY!$Q$131-(ESWBLY!$Q$102+ESWBLY!$Q$103)+$L22</f>
        <v>9.8699999999999992</v>
      </c>
      <c r="M26" s="1096">
        <f>ESWBLY!$V$131-(ESWBLY!$V$102+ESWBLY!$V$103)+$M22</f>
        <v>8.096957421743328</v>
      </c>
      <c r="N26" s="1096">
        <f>ESWBLY!$AA$131-(ESWBLY!$AA$102+ESWBLY!$AA$103)+$N22</f>
        <v>8.0882681793332853</v>
      </c>
      <c r="O26" s="1096">
        <f>ESWBLY!$AF$131-(ESWBLY!$AF$102+ESWBLY!$AF$103)+$O22</f>
        <v>7.2426635728906206</v>
      </c>
      <c r="P26" s="1283">
        <f>ESWBLY!$AK$131-(ESWBLY!$AK$102+ESWBLY!$AK$103)+$P22</f>
        <v>6.4139941938470573</v>
      </c>
      <c r="Q26" s="390" t="s">
        <v>909</v>
      </c>
      <c r="R26" s="215">
        <v>0</v>
      </c>
      <c r="S26" s="216">
        <v>0</v>
      </c>
      <c r="T26" s="216">
        <v>0</v>
      </c>
      <c r="U26" s="217">
        <v>0</v>
      </c>
      <c r="V26" s="213">
        <v>0</v>
      </c>
      <c r="W26" s="214">
        <v>0</v>
      </c>
      <c r="X26" s="387" t="s">
        <v>909</v>
      </c>
      <c r="Y26" s="215">
        <v>0</v>
      </c>
      <c r="Z26" s="216">
        <v>0</v>
      </c>
      <c r="AA26" s="216">
        <v>0</v>
      </c>
      <c r="AB26" s="217">
        <v>0</v>
      </c>
      <c r="AC26" s="213">
        <v>0</v>
      </c>
      <c r="AD26" s="214">
        <v>0</v>
      </c>
      <c r="AE26" s="218" t="s">
        <v>909</v>
      </c>
      <c r="AF26" s="213">
        <v>0</v>
      </c>
      <c r="AG26" s="213">
        <v>0</v>
      </c>
      <c r="AH26" s="213">
        <v>0</v>
      </c>
      <c r="AI26" s="213">
        <v>0</v>
      </c>
      <c r="AJ26" s="213">
        <v>0</v>
      </c>
      <c r="AK26" s="222">
        <v>0</v>
      </c>
    </row>
    <row r="27" spans="2:37" ht="28.5" x14ac:dyDescent="0.2">
      <c r="B27" s="91" t="s">
        <v>1641</v>
      </c>
      <c r="C27" s="98" t="s">
        <v>1642</v>
      </c>
      <c r="D27" s="1093" t="s">
        <v>1643</v>
      </c>
      <c r="E27" s="93"/>
      <c r="F27" s="93"/>
      <c r="G27" s="199"/>
      <c r="H27" s="98" t="s">
        <v>236</v>
      </c>
      <c r="I27" s="268">
        <v>2</v>
      </c>
      <c r="J27" s="1107" t="s">
        <v>909</v>
      </c>
      <c r="K27" s="1095">
        <v>0</v>
      </c>
      <c r="L27" s="1095">
        <v>0</v>
      </c>
      <c r="M27" s="1095">
        <v>0</v>
      </c>
      <c r="N27" s="1095">
        <v>0</v>
      </c>
      <c r="O27" s="1095">
        <v>0</v>
      </c>
      <c r="P27" s="1108">
        <v>0</v>
      </c>
      <c r="Q27" s="390" t="s">
        <v>909</v>
      </c>
      <c r="R27" s="215">
        <v>0</v>
      </c>
      <c r="S27" s="216">
        <v>0</v>
      </c>
      <c r="T27" s="216">
        <v>0</v>
      </c>
      <c r="U27" s="217">
        <v>0</v>
      </c>
      <c r="V27" s="213">
        <v>0</v>
      </c>
      <c r="W27" s="391">
        <v>0</v>
      </c>
      <c r="X27" s="390" t="s">
        <v>909</v>
      </c>
      <c r="Y27" s="215">
        <v>0</v>
      </c>
      <c r="Z27" s="216">
        <v>0</v>
      </c>
      <c r="AA27" s="216">
        <v>0</v>
      </c>
      <c r="AB27" s="217">
        <v>0</v>
      </c>
      <c r="AC27" s="213">
        <v>0</v>
      </c>
      <c r="AD27" s="214">
        <v>0</v>
      </c>
      <c r="AE27" s="218" t="s">
        <v>909</v>
      </c>
      <c r="AF27" s="213">
        <v>0</v>
      </c>
      <c r="AG27" s="213">
        <v>0</v>
      </c>
      <c r="AH27" s="213">
        <v>0</v>
      </c>
      <c r="AI27" s="213">
        <v>0</v>
      </c>
      <c r="AJ27" s="213">
        <v>0</v>
      </c>
      <c r="AK27" s="222">
        <v>0</v>
      </c>
    </row>
    <row r="28" spans="2:37" ht="42.75" x14ac:dyDescent="0.2">
      <c r="B28" s="95" t="s">
        <v>1644</v>
      </c>
      <c r="C28" s="96" t="s">
        <v>390</v>
      </c>
      <c r="D28" s="97" t="s">
        <v>1645</v>
      </c>
      <c r="E28" s="97"/>
      <c r="F28" s="97"/>
      <c r="G28" s="199"/>
      <c r="H28" s="94" t="s">
        <v>236</v>
      </c>
      <c r="I28" s="267">
        <v>2</v>
      </c>
      <c r="J28" s="1107" t="s">
        <v>909</v>
      </c>
      <c r="K28" s="1096">
        <f>K26+SUM(ESWBLY!$L$124:$L$127)+K27</f>
        <v>12.989999999999998</v>
      </c>
      <c r="L28" s="1096">
        <f>L26+SUM(ESWBLY!$Q$124:$Q$127)+L27</f>
        <v>10.32022915495426</v>
      </c>
      <c r="M28" s="1096">
        <f>M26+SUM(ESWBLY!$V$124:$V$127)+M27</f>
        <v>12.066923925607624</v>
      </c>
      <c r="N28" s="1096">
        <f>N26+SUM(ESWBLY!$AA$124:$AA$127)+N27</f>
        <v>11.856650774409543</v>
      </c>
      <c r="O28" s="1096">
        <f>O26+SUM(ESWBLY!$AF$124:$AF$127)+O27</f>
        <v>11.740828119525114</v>
      </c>
      <c r="P28" s="1109">
        <f>P26+SUM(ESWBLY!$AK$124:$AK$127)+P27</f>
        <v>11.695416565828904</v>
      </c>
      <c r="Q28" s="390" t="s">
        <v>909</v>
      </c>
      <c r="R28" s="215">
        <v>0</v>
      </c>
      <c r="S28" s="216">
        <v>0</v>
      </c>
      <c r="T28" s="216">
        <v>0</v>
      </c>
      <c r="U28" s="217">
        <v>0</v>
      </c>
      <c r="V28" s="213">
        <v>0</v>
      </c>
      <c r="W28" s="214">
        <v>0</v>
      </c>
      <c r="X28" s="387" t="s">
        <v>909</v>
      </c>
      <c r="Y28" s="215">
        <v>0</v>
      </c>
      <c r="Z28" s="216">
        <v>0</v>
      </c>
      <c r="AA28" s="216">
        <v>0</v>
      </c>
      <c r="AB28" s="217">
        <v>0</v>
      </c>
      <c r="AC28" s="213">
        <v>0</v>
      </c>
      <c r="AD28" s="214">
        <v>0</v>
      </c>
      <c r="AE28" s="218" t="s">
        <v>909</v>
      </c>
      <c r="AF28" s="213">
        <v>0</v>
      </c>
      <c r="AG28" s="213">
        <v>0</v>
      </c>
      <c r="AH28" s="213">
        <v>0</v>
      </c>
      <c r="AI28" s="213">
        <v>0</v>
      </c>
      <c r="AJ28" s="213">
        <v>0</v>
      </c>
      <c r="AK28" s="222">
        <v>0</v>
      </c>
    </row>
    <row r="29" spans="2:37" x14ac:dyDescent="0.2">
      <c r="B29" s="95" t="s">
        <v>1646</v>
      </c>
      <c r="C29" s="96" t="s">
        <v>384</v>
      </c>
      <c r="D29" s="97" t="s">
        <v>772</v>
      </c>
      <c r="E29" s="97"/>
      <c r="F29" s="97"/>
      <c r="G29" s="199"/>
      <c r="H29" s="94" t="s">
        <v>236</v>
      </c>
      <c r="I29" s="267">
        <v>2</v>
      </c>
      <c r="J29" s="1107" t="s">
        <v>909</v>
      </c>
      <c r="K29" s="1096">
        <f>ESWBLY!$L$178</f>
        <v>0.27133979020087201</v>
      </c>
      <c r="L29" s="1096">
        <f>ESWBLY!$Q$178</f>
        <v>0.24064762964019801</v>
      </c>
      <c r="M29" s="1096">
        <f>ESWBLY!$V$178</f>
        <v>0.234511664807661</v>
      </c>
      <c r="N29" s="1096">
        <f>ESWBLY!$AA$178</f>
        <v>0.21156607999132099</v>
      </c>
      <c r="O29" s="1096">
        <f>ESWBLY!$AF$178</f>
        <v>0.19125142427666</v>
      </c>
      <c r="P29" s="1109">
        <f>ESWBLY!$AK$178</f>
        <v>0.173343911190394</v>
      </c>
      <c r="Q29" s="390" t="s">
        <v>909</v>
      </c>
      <c r="R29" s="215">
        <v>0</v>
      </c>
      <c r="S29" s="216">
        <v>0</v>
      </c>
      <c r="T29" s="216">
        <v>0</v>
      </c>
      <c r="U29" s="217">
        <v>0</v>
      </c>
      <c r="V29" s="213">
        <v>0</v>
      </c>
      <c r="W29" s="391">
        <v>0</v>
      </c>
      <c r="X29" s="390" t="s">
        <v>909</v>
      </c>
      <c r="Y29" s="215">
        <v>0</v>
      </c>
      <c r="Z29" s="216">
        <v>0</v>
      </c>
      <c r="AA29" s="216">
        <v>0</v>
      </c>
      <c r="AB29" s="217">
        <v>0</v>
      </c>
      <c r="AC29" s="213">
        <v>0</v>
      </c>
      <c r="AD29" s="214">
        <v>0</v>
      </c>
      <c r="AE29" s="218" t="s">
        <v>909</v>
      </c>
      <c r="AF29" s="213">
        <v>0</v>
      </c>
      <c r="AG29" s="213">
        <v>0</v>
      </c>
      <c r="AH29" s="213">
        <v>0</v>
      </c>
      <c r="AI29" s="213">
        <v>0</v>
      </c>
      <c r="AJ29" s="213">
        <v>0</v>
      </c>
      <c r="AK29" s="222">
        <v>0</v>
      </c>
    </row>
    <row r="30" spans="2:37" x14ac:dyDescent="0.2">
      <c r="B30" s="91" t="s">
        <v>1647</v>
      </c>
      <c r="C30" s="92" t="s">
        <v>1648</v>
      </c>
      <c r="D30" s="1094" t="s">
        <v>1649</v>
      </c>
      <c r="E30" s="99"/>
      <c r="F30" s="99"/>
      <c r="G30" s="200"/>
      <c r="H30" s="98" t="s">
        <v>236</v>
      </c>
      <c r="I30" s="268">
        <v>2</v>
      </c>
      <c r="J30" s="1107"/>
      <c r="K30" s="1095"/>
      <c r="L30" s="1095"/>
      <c r="M30" s="1095"/>
      <c r="N30" s="1095"/>
      <c r="O30" s="1095"/>
      <c r="P30" s="1108"/>
      <c r="Q30" s="390" t="s">
        <v>909</v>
      </c>
      <c r="R30" s="215">
        <v>0</v>
      </c>
      <c r="S30" s="216">
        <v>0</v>
      </c>
      <c r="T30" s="216">
        <v>0</v>
      </c>
      <c r="U30" s="217">
        <v>0</v>
      </c>
      <c r="V30" s="213">
        <v>0</v>
      </c>
      <c r="W30" s="391">
        <v>0</v>
      </c>
      <c r="X30" s="390" t="s">
        <v>909</v>
      </c>
      <c r="Y30" s="215">
        <v>0</v>
      </c>
      <c r="Z30" s="216">
        <v>0</v>
      </c>
      <c r="AA30" s="216">
        <v>0</v>
      </c>
      <c r="AB30" s="217">
        <v>0</v>
      </c>
      <c r="AC30" s="213">
        <v>0</v>
      </c>
      <c r="AD30" s="214">
        <v>0</v>
      </c>
      <c r="AE30" s="218" t="s">
        <v>909</v>
      </c>
      <c r="AF30" s="213">
        <v>0</v>
      </c>
      <c r="AG30" s="213">
        <v>0</v>
      </c>
      <c r="AH30" s="213">
        <v>0</v>
      </c>
      <c r="AI30" s="213">
        <v>0</v>
      </c>
      <c r="AJ30" s="213">
        <v>0</v>
      </c>
      <c r="AK30" s="222">
        <v>0</v>
      </c>
    </row>
    <row r="31" spans="2:37" x14ac:dyDescent="0.2">
      <c r="B31" s="95" t="s">
        <v>1650</v>
      </c>
      <c r="C31" s="96" t="s">
        <v>597</v>
      </c>
      <c r="D31" s="97" t="s">
        <v>1651</v>
      </c>
      <c r="E31" s="97"/>
      <c r="F31" s="97"/>
      <c r="G31" s="199"/>
      <c r="H31" s="94" t="s">
        <v>236</v>
      </c>
      <c r="I31" s="267">
        <v>2</v>
      </c>
      <c r="J31" s="1107"/>
      <c r="K31" s="1096">
        <f>$K28-$K25</f>
        <v>2.700453098778933</v>
      </c>
      <c r="L31" s="1096">
        <f>$L28-$L25</f>
        <v>0.27146816208486868</v>
      </c>
      <c r="M31" s="1096">
        <f>$M28-$M25</f>
        <v>0.2645116648076602</v>
      </c>
      <c r="N31" s="1096">
        <f>$N28-$N25</f>
        <v>0.24156607999132085</v>
      </c>
      <c r="O31" s="1096">
        <f>$O28-$O25</f>
        <v>0.22125142427666056</v>
      </c>
      <c r="P31" s="1109">
        <f>$P28-$P25</f>
        <v>0.20334391119039275</v>
      </c>
      <c r="Q31" s="390" t="s">
        <v>909</v>
      </c>
      <c r="R31" s="215">
        <v>0</v>
      </c>
      <c r="S31" s="216">
        <v>0</v>
      </c>
      <c r="T31" s="216">
        <v>0</v>
      </c>
      <c r="U31" s="217">
        <v>0</v>
      </c>
      <c r="V31" s="213">
        <v>0</v>
      </c>
      <c r="W31" s="391">
        <v>0</v>
      </c>
      <c r="X31" s="390" t="s">
        <v>909</v>
      </c>
      <c r="Y31" s="215">
        <v>0</v>
      </c>
      <c r="Z31" s="216">
        <v>0</v>
      </c>
      <c r="AA31" s="216">
        <v>0</v>
      </c>
      <c r="AB31" s="217">
        <v>0</v>
      </c>
      <c r="AC31" s="213">
        <v>0</v>
      </c>
      <c r="AD31" s="214">
        <v>0</v>
      </c>
      <c r="AE31" s="218" t="s">
        <v>909</v>
      </c>
      <c r="AF31" s="213">
        <v>0</v>
      </c>
      <c r="AG31" s="213">
        <v>0</v>
      </c>
      <c r="AH31" s="213">
        <v>0</v>
      </c>
      <c r="AI31" s="213">
        <v>0</v>
      </c>
      <c r="AJ31" s="213">
        <v>0</v>
      </c>
      <c r="AK31" s="222">
        <v>0</v>
      </c>
    </row>
    <row r="32" spans="2:37" ht="15" thickBot="1" x14ac:dyDescent="0.25">
      <c r="B32" s="210" t="s">
        <v>1652</v>
      </c>
      <c r="C32" s="211" t="s">
        <v>393</v>
      </c>
      <c r="D32" s="212" t="s">
        <v>1653</v>
      </c>
      <c r="E32" s="206"/>
      <c r="F32" s="206"/>
      <c r="G32" s="207"/>
      <c r="H32" s="208" t="s">
        <v>236</v>
      </c>
      <c r="I32" s="269">
        <v>2</v>
      </c>
      <c r="J32" s="1110"/>
      <c r="K32" s="1111">
        <f>$K31-($K29+$K30)</f>
        <v>2.429113308578061</v>
      </c>
      <c r="L32" s="1112">
        <f>$L31-($L29+$L30)</f>
        <v>3.0820532444670673E-2</v>
      </c>
      <c r="M32" s="1112">
        <f>$M31-($M29+$M30)</f>
        <v>2.9999999999999194E-2</v>
      </c>
      <c r="N32" s="1112">
        <f>$N31-($N29+$N30)</f>
        <v>2.999999999999986E-2</v>
      </c>
      <c r="O32" s="1112">
        <f>$O31-($O29+$O30)</f>
        <v>3.0000000000000554E-2</v>
      </c>
      <c r="P32" s="1113">
        <f>$P31-($P29+$P30)</f>
        <v>2.999999999999875E-2</v>
      </c>
      <c r="Q32" s="1115" t="s">
        <v>909</v>
      </c>
      <c r="R32" s="215">
        <v>0</v>
      </c>
      <c r="S32" s="216">
        <v>0</v>
      </c>
      <c r="T32" s="216">
        <v>0</v>
      </c>
      <c r="U32" s="217">
        <v>0</v>
      </c>
      <c r="V32" s="213">
        <v>0</v>
      </c>
      <c r="W32" s="214">
        <v>0</v>
      </c>
      <c r="X32" s="388" t="s">
        <v>909</v>
      </c>
      <c r="Y32" s="215">
        <v>0</v>
      </c>
      <c r="Z32" s="216">
        <v>0</v>
      </c>
      <c r="AA32" s="216">
        <v>0</v>
      </c>
      <c r="AB32" s="217">
        <v>0</v>
      </c>
      <c r="AC32" s="213">
        <v>0</v>
      </c>
      <c r="AD32" s="214">
        <v>0</v>
      </c>
      <c r="AE32" s="218" t="s">
        <v>909</v>
      </c>
      <c r="AF32" s="213">
        <v>0</v>
      </c>
      <c r="AG32" s="213">
        <v>0</v>
      </c>
      <c r="AH32" s="213">
        <v>0</v>
      </c>
      <c r="AI32" s="213">
        <v>0</v>
      </c>
      <c r="AJ32" s="213">
        <v>0</v>
      </c>
      <c r="AK32" s="222">
        <v>0</v>
      </c>
    </row>
    <row r="33" spans="2:37" ht="15" thickTop="1" x14ac:dyDescent="0.2">
      <c r="B33" s="209"/>
      <c r="C33" s="209"/>
      <c r="D33" s="209"/>
      <c r="E33" s="209"/>
      <c r="F33" s="209"/>
      <c r="G33" s="209"/>
      <c r="H33" s="209"/>
      <c r="I33" s="209"/>
      <c r="Q33" s="376"/>
      <c r="R33" s="209"/>
      <c r="S33" s="209"/>
      <c r="T33" s="209"/>
      <c r="U33" s="209"/>
      <c r="V33" s="209"/>
      <c r="W33" s="209"/>
      <c r="X33" s="376"/>
      <c r="Y33" s="209"/>
      <c r="Z33" s="209"/>
      <c r="AA33" s="209"/>
      <c r="AB33" s="209"/>
      <c r="AC33" s="209"/>
      <c r="AD33" s="209"/>
      <c r="AE33" s="209"/>
      <c r="AF33" s="209"/>
      <c r="AG33" s="209"/>
      <c r="AH33" s="209"/>
      <c r="AI33" s="209"/>
      <c r="AJ33" s="209"/>
      <c r="AK33" s="209"/>
    </row>
    <row r="39" spans="2:37" ht="15" thickBot="1" x14ac:dyDescent="0.25"/>
    <row r="40" spans="2:37" ht="15" thickBot="1" x14ac:dyDescent="0.25">
      <c r="B40" s="392" t="s">
        <v>64</v>
      </c>
      <c r="C40" s="393" t="str">
        <f>'TITLE PAGE'!$D$18</f>
        <v>Essex &amp; Suffolk Water</v>
      </c>
      <c r="D40" s="397" t="s">
        <v>2</v>
      </c>
    </row>
    <row r="41" spans="2:37" ht="15" thickBot="1" x14ac:dyDescent="0.25">
      <c r="B41" s="72" t="s">
        <v>445</v>
      </c>
      <c r="C41" s="59" t="s">
        <v>88</v>
      </c>
      <c r="D41" s="1467">
        <f>D9</f>
        <v>16</v>
      </c>
      <c r="F41" s="62"/>
      <c r="G41" s="62"/>
    </row>
    <row r="42" spans="2:37" ht="15" thickBot="1" x14ac:dyDescent="0.25">
      <c r="B42" s="73"/>
      <c r="C42" s="73"/>
      <c r="D42" s="1"/>
      <c r="E42" s="1"/>
      <c r="F42" s="1"/>
      <c r="G42" s="62"/>
      <c r="H42" s="62"/>
    </row>
    <row r="43" spans="2:37" ht="30.75" thickBot="1" x14ac:dyDescent="0.25">
      <c r="B43" s="193" t="s">
        <v>1586</v>
      </c>
      <c r="C43" s="1309" t="s">
        <v>204</v>
      </c>
      <c r="D43" s="64"/>
      <c r="E43" s="64"/>
      <c r="F43" s="64"/>
      <c r="G43" s="62"/>
      <c r="H43" s="62"/>
      <c r="I43" s="62"/>
      <c r="J43" s="1863" t="s">
        <v>1587</v>
      </c>
      <c r="K43" s="1864"/>
      <c r="L43" s="1864"/>
      <c r="M43" s="1864"/>
      <c r="N43" s="1864"/>
      <c r="O43" s="1864"/>
      <c r="P43" s="1864"/>
      <c r="Q43" s="1863" t="s">
        <v>1588</v>
      </c>
      <c r="R43" s="1864"/>
      <c r="S43" s="1864"/>
      <c r="T43" s="1864"/>
      <c r="U43" s="1864"/>
      <c r="V43" s="1864"/>
      <c r="W43" s="1864"/>
      <c r="X43" s="1863" t="s">
        <v>1589</v>
      </c>
      <c r="Y43" s="1864"/>
      <c r="Z43" s="1864"/>
      <c r="AA43" s="1864"/>
      <c r="AB43" s="1864"/>
      <c r="AC43" s="1864"/>
      <c r="AD43" s="1864"/>
      <c r="AE43" s="1863" t="s">
        <v>1590</v>
      </c>
      <c r="AF43" s="1864"/>
      <c r="AG43" s="1864"/>
      <c r="AH43" s="1864"/>
      <c r="AI43" s="1864"/>
      <c r="AJ43" s="1864"/>
      <c r="AK43" s="1865"/>
    </row>
    <row r="44" spans="2:37" ht="60.75" thickBot="1" x14ac:dyDescent="0.25">
      <c r="B44" s="75" t="s">
        <v>1591</v>
      </c>
      <c r="C44" s="76" t="s">
        <v>1592</v>
      </c>
      <c r="D44" s="76" t="s">
        <v>1593</v>
      </c>
      <c r="E44" s="76" t="s">
        <v>1594</v>
      </c>
      <c r="F44" s="76" t="s">
        <v>1595</v>
      </c>
      <c r="G44" s="76" t="s">
        <v>1596</v>
      </c>
      <c r="H44" s="76" t="s">
        <v>206</v>
      </c>
      <c r="I44" s="90" t="s">
        <v>207</v>
      </c>
      <c r="J44" s="203" t="s">
        <v>1597</v>
      </c>
      <c r="K44" s="197" t="s">
        <v>213</v>
      </c>
      <c r="L44" s="248" t="s">
        <v>218</v>
      </c>
      <c r="M44" s="197" t="s">
        <v>219</v>
      </c>
      <c r="N44" s="197" t="s">
        <v>220</v>
      </c>
      <c r="O44" s="201" t="s">
        <v>221</v>
      </c>
      <c r="P44" s="385" t="s">
        <v>222</v>
      </c>
      <c r="Q44" s="79" t="s">
        <v>1598</v>
      </c>
      <c r="R44" s="77" t="s">
        <v>213</v>
      </c>
      <c r="S44" s="77" t="s">
        <v>218</v>
      </c>
      <c r="T44" s="77" t="s">
        <v>219</v>
      </c>
      <c r="U44" s="77" t="s">
        <v>220</v>
      </c>
      <c r="V44" s="78" t="s">
        <v>221</v>
      </c>
      <c r="W44" s="361" t="s">
        <v>222</v>
      </c>
      <c r="X44" s="79" t="s">
        <v>1598</v>
      </c>
      <c r="Y44" s="77" t="s">
        <v>213</v>
      </c>
      <c r="Z44" s="77" t="s">
        <v>218</v>
      </c>
      <c r="AA44" s="77" t="s">
        <v>219</v>
      </c>
      <c r="AB44" s="77" t="s">
        <v>220</v>
      </c>
      <c r="AC44" s="78" t="s">
        <v>221</v>
      </c>
      <c r="AD44" s="361" t="s">
        <v>222</v>
      </c>
      <c r="AE44" s="79" t="s">
        <v>1599</v>
      </c>
      <c r="AF44" s="77" t="s">
        <v>213</v>
      </c>
      <c r="AG44" s="77" t="s">
        <v>218</v>
      </c>
      <c r="AH44" s="77" t="s">
        <v>219</v>
      </c>
      <c r="AI44" s="77" t="s">
        <v>220</v>
      </c>
      <c r="AJ44" s="78" t="s">
        <v>221</v>
      </c>
      <c r="AK44" s="362" t="s">
        <v>222</v>
      </c>
    </row>
    <row r="45" spans="2:37" ht="57" x14ac:dyDescent="0.2">
      <c r="B45" s="80" t="s">
        <v>1600</v>
      </c>
      <c r="C45" s="81" t="s">
        <v>1601</v>
      </c>
      <c r="D45" s="81" t="s">
        <v>1654</v>
      </c>
      <c r="E45" s="82" t="s">
        <v>1603</v>
      </c>
      <c r="F45" s="81" t="s">
        <v>1604</v>
      </c>
      <c r="G45" s="81" t="s">
        <v>877</v>
      </c>
      <c r="H45" s="82" t="s">
        <v>236</v>
      </c>
      <c r="I45" s="264">
        <v>2</v>
      </c>
      <c r="J45" s="383">
        <v>8</v>
      </c>
      <c r="K45" s="384">
        <v>8</v>
      </c>
      <c r="L45" s="384">
        <v>8</v>
      </c>
      <c r="M45" s="384">
        <v>8</v>
      </c>
      <c r="N45" s="384">
        <v>8</v>
      </c>
      <c r="O45" s="384">
        <v>8</v>
      </c>
      <c r="P45" s="384">
        <v>8</v>
      </c>
      <c r="Q45" s="373">
        <v>8</v>
      </c>
      <c r="R45" s="308">
        <v>8</v>
      </c>
      <c r="S45" s="308">
        <v>8</v>
      </c>
      <c r="T45" s="308">
        <v>8</v>
      </c>
      <c r="U45" s="308">
        <v>8</v>
      </c>
      <c r="V45" s="309">
        <v>8</v>
      </c>
      <c r="W45" s="309">
        <v>8</v>
      </c>
      <c r="X45" s="373"/>
      <c r="Y45" s="308"/>
      <c r="Z45" s="308"/>
      <c r="AA45" s="308"/>
      <c r="AB45" s="308"/>
      <c r="AC45" s="309"/>
      <c r="AD45" s="309"/>
      <c r="AE45" s="307"/>
      <c r="AF45" s="308"/>
      <c r="AG45" s="308"/>
      <c r="AH45" s="308"/>
      <c r="AI45" s="308"/>
      <c r="AJ45" s="309"/>
      <c r="AK45" s="219"/>
    </row>
    <row r="46" spans="2:37" ht="42.75" x14ac:dyDescent="0.2">
      <c r="B46" s="83" t="s">
        <v>1605</v>
      </c>
      <c r="C46" s="81" t="s">
        <v>1606</v>
      </c>
      <c r="D46" s="81" t="s">
        <v>1607</v>
      </c>
      <c r="E46" s="82" t="s">
        <v>1608</v>
      </c>
      <c r="F46" s="81" t="s">
        <v>1604</v>
      </c>
      <c r="G46" s="81" t="s">
        <v>863</v>
      </c>
      <c r="H46" s="82" t="s">
        <v>236</v>
      </c>
      <c r="I46" s="264">
        <v>2</v>
      </c>
      <c r="J46" s="374"/>
      <c r="K46" s="305"/>
      <c r="L46" s="305"/>
      <c r="M46" s="305"/>
      <c r="N46" s="305"/>
      <c r="O46" s="305"/>
      <c r="P46" s="306"/>
      <c r="Q46" s="374"/>
      <c r="R46" s="305"/>
      <c r="S46" s="305"/>
      <c r="T46" s="305"/>
      <c r="U46" s="305"/>
      <c r="V46" s="306"/>
      <c r="W46" s="306"/>
      <c r="X46" s="374"/>
      <c r="Y46" s="305"/>
      <c r="Z46" s="305"/>
      <c r="AA46" s="305"/>
      <c r="AB46" s="305"/>
      <c r="AC46" s="306"/>
      <c r="AD46" s="306"/>
      <c r="AE46" s="304"/>
      <c r="AF46" s="305"/>
      <c r="AG46" s="305"/>
      <c r="AH46" s="305"/>
      <c r="AI46" s="305"/>
      <c r="AJ46" s="306"/>
      <c r="AK46" s="220"/>
    </row>
    <row r="47" spans="2:37" ht="42.75" x14ac:dyDescent="0.2">
      <c r="B47" s="84" t="s">
        <v>1609</v>
      </c>
      <c r="C47" s="81" t="s">
        <v>1610</v>
      </c>
      <c r="D47" s="81" t="s">
        <v>1611</v>
      </c>
      <c r="E47" s="82"/>
      <c r="F47" s="81" t="s">
        <v>1604</v>
      </c>
      <c r="G47" s="81" t="s">
        <v>863</v>
      </c>
      <c r="H47" s="82"/>
      <c r="I47" s="264">
        <v>2</v>
      </c>
      <c r="J47" s="374"/>
      <c r="K47" s="305"/>
      <c r="L47" s="305"/>
      <c r="M47" s="305"/>
      <c r="N47" s="305"/>
      <c r="O47" s="305"/>
      <c r="P47" s="306"/>
      <c r="Q47" s="374"/>
      <c r="R47" s="305"/>
      <c r="S47" s="305"/>
      <c r="T47" s="305"/>
      <c r="U47" s="305"/>
      <c r="V47" s="306"/>
      <c r="W47" s="306"/>
      <c r="X47" s="374"/>
      <c r="Y47" s="305"/>
      <c r="Z47" s="305"/>
      <c r="AA47" s="305"/>
      <c r="AB47" s="305"/>
      <c r="AC47" s="306"/>
      <c r="AD47" s="306"/>
      <c r="AE47" s="304"/>
      <c r="AF47" s="305"/>
      <c r="AG47" s="305"/>
      <c r="AH47" s="305"/>
      <c r="AI47" s="305"/>
      <c r="AJ47" s="306"/>
      <c r="AK47" s="220"/>
    </row>
    <row r="48" spans="2:37" ht="57" x14ac:dyDescent="0.2">
      <c r="B48" s="83" t="s">
        <v>1612</v>
      </c>
      <c r="C48" s="81" t="s">
        <v>1613</v>
      </c>
      <c r="D48" s="81" t="s">
        <v>1614</v>
      </c>
      <c r="E48" s="82" t="s">
        <v>1603</v>
      </c>
      <c r="F48" s="81" t="s">
        <v>1604</v>
      </c>
      <c r="G48" s="81" t="s">
        <v>877</v>
      </c>
      <c r="H48" s="82" t="s">
        <v>236</v>
      </c>
      <c r="I48" s="264">
        <v>2</v>
      </c>
      <c r="J48" s="374">
        <v>5.76</v>
      </c>
      <c r="K48" s="305">
        <v>5.76</v>
      </c>
      <c r="L48" s="305">
        <v>5.76</v>
      </c>
      <c r="M48" s="305">
        <v>5.76</v>
      </c>
      <c r="N48" s="305">
        <v>5.76</v>
      </c>
      <c r="O48" s="305">
        <v>5.76</v>
      </c>
      <c r="P48" s="306">
        <v>5.76</v>
      </c>
      <c r="Q48" s="374">
        <v>5.76</v>
      </c>
      <c r="R48" s="305">
        <v>5.76</v>
      </c>
      <c r="S48" s="305">
        <v>5.76</v>
      </c>
      <c r="T48" s="305">
        <v>5.76</v>
      </c>
      <c r="U48" s="305">
        <v>5.76</v>
      </c>
      <c r="V48" s="306">
        <v>5.76</v>
      </c>
      <c r="W48" s="306">
        <v>5.76</v>
      </c>
      <c r="X48" s="374"/>
      <c r="Y48" s="305"/>
      <c r="Z48" s="305"/>
      <c r="AA48" s="305"/>
      <c r="AB48" s="305"/>
      <c r="AC48" s="306"/>
      <c r="AD48" s="306"/>
      <c r="AE48" s="304"/>
      <c r="AF48" s="305"/>
      <c r="AG48" s="305"/>
      <c r="AH48" s="305"/>
      <c r="AI48" s="305"/>
      <c r="AJ48" s="306"/>
      <c r="AK48" s="220"/>
    </row>
    <row r="49" spans="2:37" ht="85.5" x14ac:dyDescent="0.2">
      <c r="B49" s="83" t="s">
        <v>1615</v>
      </c>
      <c r="C49" s="81" t="s">
        <v>1616</v>
      </c>
      <c r="D49" s="81" t="s">
        <v>1617</v>
      </c>
      <c r="E49" s="82" t="s">
        <v>1608</v>
      </c>
      <c r="F49" s="81" t="s">
        <v>1604</v>
      </c>
      <c r="G49" s="81" t="s">
        <v>863</v>
      </c>
      <c r="H49" s="82" t="s">
        <v>236</v>
      </c>
      <c r="I49" s="264">
        <v>2</v>
      </c>
      <c r="J49" s="374"/>
      <c r="K49" s="305"/>
      <c r="L49" s="305"/>
      <c r="M49" s="305"/>
      <c r="N49" s="305"/>
      <c r="O49" s="305"/>
      <c r="P49" s="306"/>
      <c r="Q49" s="374"/>
      <c r="R49" s="305"/>
      <c r="S49" s="305"/>
      <c r="T49" s="305"/>
      <c r="U49" s="305"/>
      <c r="V49" s="306"/>
      <c r="W49" s="306"/>
      <c r="X49" s="374"/>
      <c r="Y49" s="305"/>
      <c r="Z49" s="305"/>
      <c r="AA49" s="305"/>
      <c r="AB49" s="305"/>
      <c r="AC49" s="306"/>
      <c r="AD49" s="306"/>
      <c r="AE49" s="304"/>
      <c r="AF49" s="305"/>
      <c r="AG49" s="305"/>
      <c r="AH49" s="305"/>
      <c r="AI49" s="305"/>
      <c r="AJ49" s="306"/>
      <c r="AK49" s="220"/>
    </row>
    <row r="50" spans="2:37" ht="42.75" x14ac:dyDescent="0.2">
      <c r="B50" s="83" t="s">
        <v>1618</v>
      </c>
      <c r="C50" s="81" t="s">
        <v>1619</v>
      </c>
      <c r="D50" s="81" t="s">
        <v>1620</v>
      </c>
      <c r="E50" s="82"/>
      <c r="F50" s="81" t="s">
        <v>1604</v>
      </c>
      <c r="G50" s="81" t="s">
        <v>863</v>
      </c>
      <c r="H50" s="82"/>
      <c r="I50" s="264">
        <v>2</v>
      </c>
      <c r="J50" s="374"/>
      <c r="K50" s="305"/>
      <c r="L50" s="305"/>
      <c r="M50" s="305"/>
      <c r="N50" s="305"/>
      <c r="O50" s="305"/>
      <c r="P50" s="306"/>
      <c r="Q50" s="374"/>
      <c r="R50" s="305"/>
      <c r="S50" s="305"/>
      <c r="T50" s="305"/>
      <c r="U50" s="305"/>
      <c r="V50" s="306"/>
      <c r="W50" s="306"/>
      <c r="X50" s="374"/>
      <c r="Y50" s="305"/>
      <c r="Z50" s="305"/>
      <c r="AA50" s="305"/>
      <c r="AB50" s="305"/>
      <c r="AC50" s="306"/>
      <c r="AD50" s="306"/>
      <c r="AE50" s="304"/>
      <c r="AF50" s="305"/>
      <c r="AG50" s="305"/>
      <c r="AH50" s="305"/>
      <c r="AI50" s="305"/>
      <c r="AJ50" s="306"/>
      <c r="AK50" s="220"/>
    </row>
    <row r="51" spans="2:37" ht="57" x14ac:dyDescent="0.2">
      <c r="B51" s="83" t="s">
        <v>1621</v>
      </c>
      <c r="C51" s="81" t="s">
        <v>1622</v>
      </c>
      <c r="D51" s="81" t="s">
        <v>1655</v>
      </c>
      <c r="E51" s="82" t="s">
        <v>1603</v>
      </c>
      <c r="F51" s="81" t="s">
        <v>1604</v>
      </c>
      <c r="G51" s="81" t="s">
        <v>863</v>
      </c>
      <c r="H51" s="82" t="s">
        <v>236</v>
      </c>
      <c r="I51" s="264">
        <v>2</v>
      </c>
      <c r="J51" s="374">
        <v>2.2400000000000002</v>
      </c>
      <c r="K51" s="305">
        <v>2.2400000000000002</v>
      </c>
      <c r="L51" s="305">
        <v>2.2400000000000002</v>
      </c>
      <c r="M51" s="305">
        <v>2.2400000000000002</v>
      </c>
      <c r="N51" s="305">
        <v>2.2400000000000002</v>
      </c>
      <c r="O51" s="305">
        <v>2.2400000000000002</v>
      </c>
      <c r="P51" s="306">
        <v>2.2400000000000002</v>
      </c>
      <c r="Q51" s="374">
        <v>2.2400000000000002</v>
      </c>
      <c r="R51" s="305">
        <v>2.2400000000000002</v>
      </c>
      <c r="S51" s="305">
        <v>2.2400000000000002</v>
      </c>
      <c r="T51" s="305">
        <v>2.2400000000000002</v>
      </c>
      <c r="U51" s="305">
        <v>2.2400000000000002</v>
      </c>
      <c r="V51" s="306">
        <v>2.2400000000000002</v>
      </c>
      <c r="W51" s="306">
        <v>2.2400000000000002</v>
      </c>
      <c r="X51" s="374"/>
      <c r="Y51" s="305"/>
      <c r="Z51" s="305"/>
      <c r="AA51" s="305"/>
      <c r="AB51" s="305"/>
      <c r="AC51" s="306"/>
      <c r="AD51" s="306"/>
      <c r="AE51" s="304"/>
      <c r="AF51" s="305"/>
      <c r="AG51" s="305"/>
      <c r="AH51" s="305"/>
      <c r="AI51" s="305"/>
      <c r="AJ51" s="306"/>
      <c r="AK51" s="220"/>
    </row>
    <row r="52" spans="2:37" ht="85.5" x14ac:dyDescent="0.2">
      <c r="B52" s="83" t="s">
        <v>1624</v>
      </c>
      <c r="C52" s="81" t="s">
        <v>1625</v>
      </c>
      <c r="D52" s="81" t="s">
        <v>1626</v>
      </c>
      <c r="E52" s="82" t="s">
        <v>1608</v>
      </c>
      <c r="F52" s="81" t="s">
        <v>1604</v>
      </c>
      <c r="G52" s="81" t="s">
        <v>863</v>
      </c>
      <c r="H52" s="82" t="s">
        <v>236</v>
      </c>
      <c r="I52" s="264">
        <v>2</v>
      </c>
      <c r="J52" s="375"/>
      <c r="K52" s="305"/>
      <c r="L52" s="305"/>
      <c r="M52" s="305"/>
      <c r="N52" s="305"/>
      <c r="O52" s="305"/>
      <c r="P52" s="306"/>
      <c r="Q52" s="374"/>
      <c r="R52" s="305"/>
      <c r="S52" s="305"/>
      <c r="T52" s="305"/>
      <c r="U52" s="305"/>
      <c r="V52" s="306"/>
      <c r="W52" s="306"/>
      <c r="X52" s="374"/>
      <c r="Y52" s="305"/>
      <c r="Z52" s="305"/>
      <c r="AA52" s="305"/>
      <c r="AB52" s="305"/>
      <c r="AC52" s="306"/>
      <c r="AD52" s="306"/>
      <c r="AE52" s="304"/>
      <c r="AF52" s="305"/>
      <c r="AG52" s="305"/>
      <c r="AH52" s="305"/>
      <c r="AI52" s="305"/>
      <c r="AJ52" s="306"/>
      <c r="AK52" s="220"/>
    </row>
    <row r="53" spans="2:37" ht="42.75" x14ac:dyDescent="0.2">
      <c r="B53" s="83" t="s">
        <v>1627</v>
      </c>
      <c r="C53" s="81" t="s">
        <v>1628</v>
      </c>
      <c r="D53" s="81" t="s">
        <v>1629</v>
      </c>
      <c r="E53" s="82"/>
      <c r="F53" s="81" t="s">
        <v>1604</v>
      </c>
      <c r="G53" s="81" t="s">
        <v>863</v>
      </c>
      <c r="H53" s="82"/>
      <c r="I53" s="264">
        <v>2</v>
      </c>
      <c r="J53" s="374"/>
      <c r="K53" s="305"/>
      <c r="L53" s="305"/>
      <c r="M53" s="305"/>
      <c r="N53" s="305"/>
      <c r="O53" s="305"/>
      <c r="P53" s="306"/>
      <c r="Q53" s="374"/>
      <c r="R53" s="305"/>
      <c r="S53" s="305"/>
      <c r="T53" s="305"/>
      <c r="U53" s="305"/>
      <c r="V53" s="306"/>
      <c r="W53" s="306"/>
      <c r="X53" s="374"/>
      <c r="Y53" s="305"/>
      <c r="Z53" s="305"/>
      <c r="AA53" s="305"/>
      <c r="AB53" s="305"/>
      <c r="AC53" s="306"/>
      <c r="AD53" s="306"/>
      <c r="AE53" s="304"/>
      <c r="AF53" s="305"/>
      <c r="AG53" s="305"/>
      <c r="AH53" s="305"/>
      <c r="AI53" s="305"/>
      <c r="AJ53" s="306"/>
      <c r="AK53" s="220"/>
    </row>
    <row r="54" spans="2:37" ht="72" thickBot="1" x14ac:dyDescent="0.25">
      <c r="B54" s="85" t="s">
        <v>1630</v>
      </c>
      <c r="C54" s="86" t="s">
        <v>1631</v>
      </c>
      <c r="D54" s="87" t="s">
        <v>1632</v>
      </c>
      <c r="E54" s="88"/>
      <c r="F54" s="89"/>
      <c r="G54" s="89"/>
      <c r="H54" s="89" t="s">
        <v>236</v>
      </c>
      <c r="I54" s="265">
        <v>2</v>
      </c>
      <c r="J54" s="311">
        <f>SUM($K45:$K53)</f>
        <v>16</v>
      </c>
      <c r="K54" s="311">
        <f>SUM($K45:$K53)</f>
        <v>16</v>
      </c>
      <c r="L54" s="311">
        <f>SUM($L45:$L53)</f>
        <v>16</v>
      </c>
      <c r="M54" s="311">
        <f>SUM($M45:$M53)</f>
        <v>16</v>
      </c>
      <c r="N54" s="311">
        <f>SUM($N45:$N53)</f>
        <v>16</v>
      </c>
      <c r="O54" s="311">
        <f>SUM($O45:$O53)</f>
        <v>16</v>
      </c>
      <c r="P54" s="312">
        <f>SUM($P45:$P53)</f>
        <v>16</v>
      </c>
      <c r="Q54" s="313">
        <f>SUM($Q45:$Q53)</f>
        <v>16</v>
      </c>
      <c r="R54" s="314">
        <f>SUM($R45:$R53)</f>
        <v>16</v>
      </c>
      <c r="S54" s="314">
        <f>SUM($S45:$S53)</f>
        <v>16</v>
      </c>
      <c r="T54" s="314">
        <f>SUM($T45:$T53)</f>
        <v>16</v>
      </c>
      <c r="U54" s="314">
        <f>SUM($U45:$U53)</f>
        <v>16</v>
      </c>
      <c r="V54" s="315">
        <f>SUM($V45:$V53)</f>
        <v>16</v>
      </c>
      <c r="W54" s="314">
        <f>SUM($W45:$W53)</f>
        <v>16</v>
      </c>
      <c r="X54" s="316">
        <f>SUM($X45:$X53)</f>
        <v>0</v>
      </c>
      <c r="Y54" s="314">
        <f>SUM($Y45:$Y53)</f>
        <v>0</v>
      </c>
      <c r="Z54" s="314">
        <f>SUM($Z45:$Z53)</f>
        <v>0</v>
      </c>
      <c r="AA54" s="314">
        <f>SUM($AA45:$AA53)</f>
        <v>0</v>
      </c>
      <c r="AB54" s="314">
        <f>SUM($AB45:$AB53)</f>
        <v>0</v>
      </c>
      <c r="AC54" s="315">
        <f>SUM($AC45:$AC53)</f>
        <v>0</v>
      </c>
      <c r="AD54" s="315">
        <f>SUM($AD45:$AD53)</f>
        <v>0</v>
      </c>
      <c r="AE54" s="316">
        <f>SUM($AE45:$AE53)</f>
        <v>0</v>
      </c>
      <c r="AF54" s="314">
        <f>SUM($AF45:$AF53)</f>
        <v>0</v>
      </c>
      <c r="AG54" s="314">
        <f>SUM($AG45:$AG53)</f>
        <v>0</v>
      </c>
      <c r="AH54" s="314">
        <f>SUM($AH45:$AH53)</f>
        <v>0</v>
      </c>
      <c r="AI54" s="314">
        <f>SUM($AI45:$AI53)</f>
        <v>0</v>
      </c>
      <c r="AJ54" s="315">
        <f>SUM($AJ45:$AJ53)</f>
        <v>0</v>
      </c>
      <c r="AK54" s="221">
        <f>SUM($AK45:$AK53)</f>
        <v>0</v>
      </c>
    </row>
    <row r="55" spans="2:37" ht="30.75" thickBot="1" x14ac:dyDescent="0.25">
      <c r="B55" s="75" t="s">
        <v>1591</v>
      </c>
      <c r="C55" s="76" t="s">
        <v>205</v>
      </c>
      <c r="D55" s="90" t="s">
        <v>71</v>
      </c>
      <c r="E55" s="90" t="s">
        <v>909</v>
      </c>
      <c r="F55" s="90" t="s">
        <v>909</v>
      </c>
      <c r="G55" s="198"/>
      <c r="H55" s="76" t="s">
        <v>206</v>
      </c>
      <c r="I55" s="90" t="s">
        <v>207</v>
      </c>
      <c r="J55" s="1116" t="s">
        <v>1598</v>
      </c>
      <c r="K55" s="197" t="s">
        <v>213</v>
      </c>
      <c r="L55" s="197" t="s">
        <v>218</v>
      </c>
      <c r="M55" s="197" t="s">
        <v>219</v>
      </c>
      <c r="N55" s="197" t="s">
        <v>220</v>
      </c>
      <c r="O55" s="1117" t="s">
        <v>221</v>
      </c>
      <c r="P55" s="201" t="s">
        <v>222</v>
      </c>
      <c r="Q55" s="247" t="s">
        <v>1598</v>
      </c>
      <c r="R55" s="76" t="s">
        <v>213</v>
      </c>
      <c r="S55" s="76" t="s">
        <v>218</v>
      </c>
      <c r="T55" s="76" t="s">
        <v>219</v>
      </c>
      <c r="U55" s="76" t="s">
        <v>220</v>
      </c>
      <c r="V55" s="201" t="s">
        <v>221</v>
      </c>
      <c r="W55" s="201" t="s">
        <v>222</v>
      </c>
      <c r="X55" s="203" t="s">
        <v>1598</v>
      </c>
      <c r="Y55" s="76" t="s">
        <v>213</v>
      </c>
      <c r="Z55" s="76" t="s">
        <v>218</v>
      </c>
      <c r="AA55" s="76" t="s">
        <v>219</v>
      </c>
      <c r="AB55" s="76" t="s">
        <v>220</v>
      </c>
      <c r="AC55" s="379" t="s">
        <v>221</v>
      </c>
      <c r="AD55" s="201" t="s">
        <v>222</v>
      </c>
      <c r="AE55" s="203" t="s">
        <v>1598</v>
      </c>
      <c r="AF55" s="197" t="s">
        <v>213</v>
      </c>
      <c r="AG55" s="197" t="s">
        <v>218</v>
      </c>
      <c r="AH55" s="197" t="s">
        <v>219</v>
      </c>
      <c r="AI55" s="197" t="s">
        <v>220</v>
      </c>
      <c r="AJ55" s="202" t="s">
        <v>221</v>
      </c>
      <c r="AK55" s="382" t="s">
        <v>222</v>
      </c>
    </row>
    <row r="56" spans="2:37" x14ac:dyDescent="0.2">
      <c r="B56" s="91" t="s">
        <v>1633</v>
      </c>
      <c r="C56" s="92" t="s">
        <v>1634</v>
      </c>
      <c r="D56" s="1093" t="s">
        <v>1635</v>
      </c>
      <c r="E56" s="93"/>
      <c r="F56" s="93"/>
      <c r="G56" s="380"/>
      <c r="H56" s="94" t="s">
        <v>236</v>
      </c>
      <c r="I56" s="266">
        <v>2</v>
      </c>
      <c r="J56" s="1101" t="s">
        <v>909</v>
      </c>
      <c r="K56" s="1102">
        <v>0</v>
      </c>
      <c r="L56" s="1103">
        <v>0</v>
      </c>
      <c r="M56" s="1103">
        <v>0</v>
      </c>
      <c r="N56" s="1103">
        <v>0</v>
      </c>
      <c r="O56" s="1103">
        <v>0</v>
      </c>
      <c r="P56" s="1104">
        <v>0</v>
      </c>
      <c r="Q56" s="1114" t="s">
        <v>909</v>
      </c>
      <c r="R56" s="215">
        <v>0</v>
      </c>
      <c r="S56" s="216">
        <v>0</v>
      </c>
      <c r="T56" s="216">
        <v>0</v>
      </c>
      <c r="U56" s="217">
        <v>0</v>
      </c>
      <c r="V56" s="377">
        <v>0</v>
      </c>
      <c r="W56" s="389">
        <v>0</v>
      </c>
      <c r="X56" s="386" t="s">
        <v>909</v>
      </c>
      <c r="Y56" s="215">
        <v>0</v>
      </c>
      <c r="Z56" s="216">
        <v>0</v>
      </c>
      <c r="AA56" s="216">
        <v>0</v>
      </c>
      <c r="AB56" s="217">
        <v>0</v>
      </c>
      <c r="AC56" s="246">
        <v>0</v>
      </c>
      <c r="AD56" s="378">
        <v>0</v>
      </c>
      <c r="AE56" s="381" t="s">
        <v>909</v>
      </c>
      <c r="AF56" s="377">
        <v>0</v>
      </c>
      <c r="AG56" s="377">
        <v>0</v>
      </c>
      <c r="AH56" s="377">
        <v>0</v>
      </c>
      <c r="AI56" s="377">
        <v>0</v>
      </c>
      <c r="AJ56" s="377">
        <v>0</v>
      </c>
      <c r="AK56" s="378">
        <v>0</v>
      </c>
    </row>
    <row r="57" spans="2:37" x14ac:dyDescent="0.2">
      <c r="B57" s="95" t="s">
        <v>1636</v>
      </c>
      <c r="C57" s="96" t="s">
        <v>1637</v>
      </c>
      <c r="D57" s="97" t="s">
        <v>1638</v>
      </c>
      <c r="E57" s="97"/>
      <c r="F57" s="97"/>
      <c r="G57" s="199"/>
      <c r="H57" s="94" t="s">
        <v>236</v>
      </c>
      <c r="I57" s="267">
        <v>2</v>
      </c>
      <c r="J57" s="1105"/>
      <c r="K57" s="204">
        <f>ESWESX!$L$175+$K56</f>
        <v>398.70266082426417</v>
      </c>
      <c r="L57" s="205">
        <f>ESWESX!$Q$175+$L56</f>
        <v>390.17889141282194</v>
      </c>
      <c r="M57" s="205">
        <f>ESWESX!$V$175+$M56</f>
        <v>370.54254601993932</v>
      </c>
      <c r="N57" s="205">
        <f>ESWESX!$AA$175+$N56</f>
        <v>356.13254487442958</v>
      </c>
      <c r="O57" s="205">
        <f>ESWESX!$AF$175+$O56</f>
        <v>345.56830296130778</v>
      </c>
      <c r="P57" s="1106">
        <f>ESWESX!$AK$175+$P56</f>
        <v>343.12763993201725</v>
      </c>
      <c r="Q57" s="390" t="s">
        <v>909</v>
      </c>
      <c r="R57" s="215">
        <v>0</v>
      </c>
      <c r="S57" s="216">
        <v>0</v>
      </c>
      <c r="T57" s="216">
        <v>0</v>
      </c>
      <c r="U57" s="217">
        <v>0</v>
      </c>
      <c r="V57" s="213">
        <v>0</v>
      </c>
      <c r="W57" s="214">
        <v>0</v>
      </c>
      <c r="X57" s="387" t="s">
        <v>909</v>
      </c>
      <c r="Y57" s="215">
        <v>0</v>
      </c>
      <c r="Z57" s="216">
        <v>0</v>
      </c>
      <c r="AA57" s="216">
        <v>0</v>
      </c>
      <c r="AB57" s="217">
        <v>0</v>
      </c>
      <c r="AC57" s="213">
        <v>0</v>
      </c>
      <c r="AD57" s="214">
        <v>0</v>
      </c>
      <c r="AE57" s="218" t="s">
        <v>909</v>
      </c>
      <c r="AF57" s="213">
        <v>0</v>
      </c>
      <c r="AG57" s="213">
        <v>0</v>
      </c>
      <c r="AH57" s="213">
        <v>0</v>
      </c>
      <c r="AI57" s="213">
        <v>0</v>
      </c>
      <c r="AJ57" s="213">
        <v>0</v>
      </c>
      <c r="AK57" s="222">
        <v>0</v>
      </c>
    </row>
    <row r="58" spans="2:37" ht="28.5" x14ac:dyDescent="0.2">
      <c r="B58" s="95" t="s">
        <v>1639</v>
      </c>
      <c r="C58" s="94" t="s">
        <v>387</v>
      </c>
      <c r="D58" s="97" t="s">
        <v>1640</v>
      </c>
      <c r="E58" s="97"/>
      <c r="F58" s="97"/>
      <c r="G58" s="199"/>
      <c r="H58" s="94" t="s">
        <v>236</v>
      </c>
      <c r="I58" s="267">
        <v>2</v>
      </c>
      <c r="J58" s="1107" t="s">
        <v>909</v>
      </c>
      <c r="K58" s="1096">
        <f>ESWESX!$L$131-(ESWESX!$L$102+ESWESX!$L$103)+$K54</f>
        <v>438.33157066000001</v>
      </c>
      <c r="L58" s="1096">
        <f>ESWESX!$Q$131-(ESWESX!$Q$102+ESWESX!$Q$103)+$L54</f>
        <v>449.00100793999997</v>
      </c>
      <c r="M58" s="1096">
        <f>ESWESX!$V$131-(ESWESX!$V$102+ESWESX!$V$103)+$M54</f>
        <v>434.56241698000002</v>
      </c>
      <c r="N58" s="1096">
        <f>ESWESX!$AA$131-(ESWESX!$AA$102+ESWESX!$AA$103)+$N54</f>
        <v>431.58220575000001</v>
      </c>
      <c r="O58" s="1096">
        <f>ESWESX!$AF$131-(ESWESX!$AF$102+ESWESX!$AF$103)+$O54</f>
        <v>426.54557590000002</v>
      </c>
      <c r="P58" s="1283">
        <f>ESWESX!$AK$131-(ESWESX!$AK$102+ESWESX!$AK$103)+$P54</f>
        <v>423.45684233999998</v>
      </c>
      <c r="Q58" s="390" t="s">
        <v>909</v>
      </c>
      <c r="R58" s="215">
        <v>0</v>
      </c>
      <c r="S58" s="216">
        <v>0</v>
      </c>
      <c r="T58" s="216">
        <v>0</v>
      </c>
      <c r="U58" s="217">
        <v>0</v>
      </c>
      <c r="V58" s="213">
        <v>0</v>
      </c>
      <c r="W58" s="214">
        <v>0</v>
      </c>
      <c r="X58" s="387" t="s">
        <v>909</v>
      </c>
      <c r="Y58" s="215">
        <v>0</v>
      </c>
      <c r="Z58" s="216">
        <v>0</v>
      </c>
      <c r="AA58" s="216">
        <v>0</v>
      </c>
      <c r="AB58" s="217">
        <v>0</v>
      </c>
      <c r="AC58" s="213">
        <v>0</v>
      </c>
      <c r="AD58" s="214">
        <v>0</v>
      </c>
      <c r="AE58" s="218" t="s">
        <v>909</v>
      </c>
      <c r="AF58" s="213">
        <v>0</v>
      </c>
      <c r="AG58" s="213">
        <v>0</v>
      </c>
      <c r="AH58" s="213">
        <v>0</v>
      </c>
      <c r="AI58" s="213">
        <v>0</v>
      </c>
      <c r="AJ58" s="213">
        <v>0</v>
      </c>
      <c r="AK58" s="222">
        <v>0</v>
      </c>
    </row>
    <row r="59" spans="2:37" ht="28.5" x14ac:dyDescent="0.2">
      <c r="B59" s="91" t="s">
        <v>1641</v>
      </c>
      <c r="C59" s="98" t="s">
        <v>1642</v>
      </c>
      <c r="D59" s="1093" t="s">
        <v>1643</v>
      </c>
      <c r="E59" s="93"/>
      <c r="F59" s="93"/>
      <c r="G59" s="199"/>
      <c r="H59" s="98" t="s">
        <v>236</v>
      </c>
      <c r="I59" s="268">
        <v>2</v>
      </c>
      <c r="J59" s="1107" t="s">
        <v>909</v>
      </c>
      <c r="K59" s="1095">
        <v>0</v>
      </c>
      <c r="L59" s="1095">
        <v>0</v>
      </c>
      <c r="M59" s="1095">
        <v>0</v>
      </c>
      <c r="N59" s="1095">
        <v>0</v>
      </c>
      <c r="O59" s="1095">
        <v>0</v>
      </c>
      <c r="P59" s="1108">
        <v>0</v>
      </c>
      <c r="Q59" s="390" t="s">
        <v>909</v>
      </c>
      <c r="R59" s="215">
        <v>0</v>
      </c>
      <c r="S59" s="216">
        <v>0</v>
      </c>
      <c r="T59" s="216">
        <v>0</v>
      </c>
      <c r="U59" s="217">
        <v>0</v>
      </c>
      <c r="V59" s="213">
        <v>0</v>
      </c>
      <c r="W59" s="391">
        <v>0</v>
      </c>
      <c r="X59" s="390" t="s">
        <v>909</v>
      </c>
      <c r="Y59" s="215">
        <v>0</v>
      </c>
      <c r="Z59" s="216">
        <v>0</v>
      </c>
      <c r="AA59" s="216">
        <v>0</v>
      </c>
      <c r="AB59" s="217">
        <v>0</v>
      </c>
      <c r="AC59" s="213">
        <v>0</v>
      </c>
      <c r="AD59" s="214">
        <v>0</v>
      </c>
      <c r="AE59" s="218" t="s">
        <v>909</v>
      </c>
      <c r="AF59" s="213">
        <v>0</v>
      </c>
      <c r="AG59" s="213">
        <v>0</v>
      </c>
      <c r="AH59" s="213">
        <v>0</v>
      </c>
      <c r="AI59" s="213">
        <v>0</v>
      </c>
      <c r="AJ59" s="213">
        <v>0</v>
      </c>
      <c r="AK59" s="222">
        <v>0</v>
      </c>
    </row>
    <row r="60" spans="2:37" ht="42.75" x14ac:dyDescent="0.2">
      <c r="B60" s="95" t="s">
        <v>1644</v>
      </c>
      <c r="C60" s="96" t="s">
        <v>390</v>
      </c>
      <c r="D60" s="97" t="s">
        <v>1645</v>
      </c>
      <c r="E60" s="97"/>
      <c r="F60" s="97"/>
      <c r="G60" s="199"/>
      <c r="H60" s="94" t="s">
        <v>236</v>
      </c>
      <c r="I60" s="267">
        <v>2</v>
      </c>
      <c r="J60" s="1107" t="s">
        <v>909</v>
      </c>
      <c r="K60" s="1096">
        <f>K58+SUM(ESWESX!$L$124:$L$127)+K59</f>
        <v>409.06580771469351</v>
      </c>
      <c r="L60" s="1096">
        <f>L58+SUM(ESWESX!$Q$124:$Q$127)+L59</f>
        <v>413.08702886397185</v>
      </c>
      <c r="M60" s="1096">
        <f>M58+SUM(ESWESX!$V$124:$V$127)+M59</f>
        <v>402.32893518280582</v>
      </c>
      <c r="N60" s="1096">
        <f>N58+SUM(ESWESX!$AA$124:$AA$127)+N59</f>
        <v>419.35104849427779</v>
      </c>
      <c r="O60" s="1096">
        <f>O58+SUM(ESWESX!$AF$124:$AF$127)+O59</f>
        <v>414.31674318574983</v>
      </c>
      <c r="P60" s="1109">
        <f>P58+SUM(ESWESX!$AK$124:$AK$127)+P59</f>
        <v>411.23033416722177</v>
      </c>
      <c r="Q60" s="390" t="s">
        <v>909</v>
      </c>
      <c r="R60" s="215">
        <v>0</v>
      </c>
      <c r="S60" s="216">
        <v>0</v>
      </c>
      <c r="T60" s="216">
        <v>0</v>
      </c>
      <c r="U60" s="217">
        <v>0</v>
      </c>
      <c r="V60" s="213">
        <v>0</v>
      </c>
      <c r="W60" s="214">
        <v>0</v>
      </c>
      <c r="X60" s="387" t="s">
        <v>909</v>
      </c>
      <c r="Y60" s="215">
        <v>0</v>
      </c>
      <c r="Z60" s="216">
        <v>0</v>
      </c>
      <c r="AA60" s="216">
        <v>0</v>
      </c>
      <c r="AB60" s="217">
        <v>0</v>
      </c>
      <c r="AC60" s="213">
        <v>0</v>
      </c>
      <c r="AD60" s="214">
        <v>0</v>
      </c>
      <c r="AE60" s="218" t="s">
        <v>909</v>
      </c>
      <c r="AF60" s="213">
        <v>0</v>
      </c>
      <c r="AG60" s="213">
        <v>0</v>
      </c>
      <c r="AH60" s="213">
        <v>0</v>
      </c>
      <c r="AI60" s="213">
        <v>0</v>
      </c>
      <c r="AJ60" s="213">
        <v>0</v>
      </c>
      <c r="AK60" s="222">
        <v>0</v>
      </c>
    </row>
    <row r="61" spans="2:37" x14ac:dyDescent="0.2">
      <c r="B61" s="95" t="s">
        <v>1646</v>
      </c>
      <c r="C61" s="96" t="s">
        <v>384</v>
      </c>
      <c r="D61" s="97" t="s">
        <v>772</v>
      </c>
      <c r="E61" s="97"/>
      <c r="F61" s="97"/>
      <c r="G61" s="199"/>
      <c r="H61" s="94" t="s">
        <v>236</v>
      </c>
      <c r="I61" s="267">
        <v>2</v>
      </c>
      <c r="J61" s="1107" t="s">
        <v>909</v>
      </c>
      <c r="K61" s="1096">
        <f>ESWESX!$L$178</f>
        <v>7.4672429334702981</v>
      </c>
      <c r="L61" s="1096">
        <f>ESWESX!$Q$178</f>
        <v>7.8406607269949822</v>
      </c>
      <c r="M61" s="1096">
        <f>ESWESX!$V$178</f>
        <v>5.4105435471650516</v>
      </c>
      <c r="N61" s="1096">
        <f>ESWESX!$AA$178</f>
        <v>4.4145795711432596</v>
      </c>
      <c r="O61" s="1096">
        <f>ESWESX!$AF$178</f>
        <v>4.4738092740297963</v>
      </c>
      <c r="P61" s="1109">
        <f>ESWESX!$AK$178</f>
        <v>4.6503565122248496</v>
      </c>
      <c r="Q61" s="390" t="s">
        <v>909</v>
      </c>
      <c r="R61" s="215">
        <v>0</v>
      </c>
      <c r="S61" s="216">
        <v>0</v>
      </c>
      <c r="T61" s="216">
        <v>0</v>
      </c>
      <c r="U61" s="217">
        <v>0</v>
      </c>
      <c r="V61" s="213">
        <v>0</v>
      </c>
      <c r="W61" s="391">
        <v>0</v>
      </c>
      <c r="X61" s="390" t="s">
        <v>909</v>
      </c>
      <c r="Y61" s="215">
        <v>0</v>
      </c>
      <c r="Z61" s="216">
        <v>0</v>
      </c>
      <c r="AA61" s="216">
        <v>0</v>
      </c>
      <c r="AB61" s="217">
        <v>0</v>
      </c>
      <c r="AC61" s="213">
        <v>0</v>
      </c>
      <c r="AD61" s="214">
        <v>0</v>
      </c>
      <c r="AE61" s="218" t="s">
        <v>909</v>
      </c>
      <c r="AF61" s="213">
        <v>0</v>
      </c>
      <c r="AG61" s="213">
        <v>0</v>
      </c>
      <c r="AH61" s="213">
        <v>0</v>
      </c>
      <c r="AI61" s="213">
        <v>0</v>
      </c>
      <c r="AJ61" s="213">
        <v>0</v>
      </c>
      <c r="AK61" s="222">
        <v>0</v>
      </c>
    </row>
    <row r="62" spans="2:37" x14ac:dyDescent="0.2">
      <c r="B62" s="91" t="s">
        <v>1647</v>
      </c>
      <c r="C62" s="92" t="s">
        <v>1648</v>
      </c>
      <c r="D62" s="1094" t="s">
        <v>1649</v>
      </c>
      <c r="E62" s="99"/>
      <c r="F62" s="99"/>
      <c r="G62" s="200"/>
      <c r="H62" s="98" t="s">
        <v>236</v>
      </c>
      <c r="I62" s="268">
        <v>2</v>
      </c>
      <c r="J62" s="1107"/>
      <c r="K62" s="1095"/>
      <c r="L62" s="1095"/>
      <c r="M62" s="1095"/>
      <c r="N62" s="1095"/>
      <c r="O62" s="1095"/>
      <c r="P62" s="1108"/>
      <c r="Q62" s="390" t="s">
        <v>909</v>
      </c>
      <c r="R62" s="215">
        <v>0</v>
      </c>
      <c r="S62" s="216">
        <v>0</v>
      </c>
      <c r="T62" s="216">
        <v>0</v>
      </c>
      <c r="U62" s="217">
        <v>0</v>
      </c>
      <c r="V62" s="213">
        <v>0</v>
      </c>
      <c r="W62" s="391">
        <v>0</v>
      </c>
      <c r="X62" s="390" t="s">
        <v>909</v>
      </c>
      <c r="Y62" s="215">
        <v>0</v>
      </c>
      <c r="Z62" s="216">
        <v>0</v>
      </c>
      <c r="AA62" s="216">
        <v>0</v>
      </c>
      <c r="AB62" s="217">
        <v>0</v>
      </c>
      <c r="AC62" s="213">
        <v>0</v>
      </c>
      <c r="AD62" s="214">
        <v>0</v>
      </c>
      <c r="AE62" s="218" t="s">
        <v>909</v>
      </c>
      <c r="AF62" s="213">
        <v>0</v>
      </c>
      <c r="AG62" s="213">
        <v>0</v>
      </c>
      <c r="AH62" s="213">
        <v>0</v>
      </c>
      <c r="AI62" s="213">
        <v>0</v>
      </c>
      <c r="AJ62" s="213">
        <v>0</v>
      </c>
      <c r="AK62" s="222">
        <v>0</v>
      </c>
    </row>
    <row r="63" spans="2:37" x14ac:dyDescent="0.2">
      <c r="B63" s="95" t="s">
        <v>1650</v>
      </c>
      <c r="C63" s="96" t="s">
        <v>597</v>
      </c>
      <c r="D63" s="97" t="s">
        <v>1651</v>
      </c>
      <c r="E63" s="97"/>
      <c r="F63" s="97"/>
      <c r="G63" s="199"/>
      <c r="H63" s="94" t="s">
        <v>236</v>
      </c>
      <c r="I63" s="267">
        <v>2</v>
      </c>
      <c r="J63" s="1107"/>
      <c r="K63" s="1096">
        <f>$K60-$K57</f>
        <v>10.363146890429334</v>
      </c>
      <c r="L63" s="1096">
        <f>$L60-$L57</f>
        <v>22.908137451149912</v>
      </c>
      <c r="M63" s="1096">
        <f>$M60-$M57</f>
        <v>31.786389162866499</v>
      </c>
      <c r="N63" s="1096">
        <f>$N60-$N57</f>
        <v>63.218503619848207</v>
      </c>
      <c r="O63" s="1096">
        <f>$O60-$O57</f>
        <v>68.748440224442049</v>
      </c>
      <c r="P63" s="1109">
        <f>$P60-$P57</f>
        <v>68.102694235204524</v>
      </c>
      <c r="Q63" s="390" t="s">
        <v>909</v>
      </c>
      <c r="R63" s="215">
        <v>0</v>
      </c>
      <c r="S63" s="216">
        <v>0</v>
      </c>
      <c r="T63" s="216">
        <v>0</v>
      </c>
      <c r="U63" s="217">
        <v>0</v>
      </c>
      <c r="V63" s="213">
        <v>0</v>
      </c>
      <c r="W63" s="391">
        <v>0</v>
      </c>
      <c r="X63" s="390" t="s">
        <v>909</v>
      </c>
      <c r="Y63" s="215">
        <v>0</v>
      </c>
      <c r="Z63" s="216">
        <v>0</v>
      </c>
      <c r="AA63" s="216">
        <v>0</v>
      </c>
      <c r="AB63" s="217">
        <v>0</v>
      </c>
      <c r="AC63" s="213">
        <v>0</v>
      </c>
      <c r="AD63" s="214">
        <v>0</v>
      </c>
      <c r="AE63" s="218" t="s">
        <v>909</v>
      </c>
      <c r="AF63" s="213">
        <v>0</v>
      </c>
      <c r="AG63" s="213">
        <v>0</v>
      </c>
      <c r="AH63" s="213">
        <v>0</v>
      </c>
      <c r="AI63" s="213">
        <v>0</v>
      </c>
      <c r="AJ63" s="213">
        <v>0</v>
      </c>
      <c r="AK63" s="222">
        <v>0</v>
      </c>
    </row>
    <row r="64" spans="2:37" ht="15" thickBot="1" x14ac:dyDescent="0.25">
      <c r="B64" s="210" t="s">
        <v>1652</v>
      </c>
      <c r="C64" s="211" t="s">
        <v>393</v>
      </c>
      <c r="D64" s="212" t="s">
        <v>1653</v>
      </c>
      <c r="E64" s="206"/>
      <c r="F64" s="206"/>
      <c r="G64" s="207"/>
      <c r="H64" s="208" t="s">
        <v>236</v>
      </c>
      <c r="I64" s="269">
        <v>2</v>
      </c>
      <c r="J64" s="1110"/>
      <c r="K64" s="1111">
        <f>$K63-($K61+$K62)</f>
        <v>2.8959039569590361</v>
      </c>
      <c r="L64" s="1112">
        <f>$L63-($L61+$L62)</f>
        <v>15.067476724154929</v>
      </c>
      <c r="M64" s="1112">
        <f>$M63-($M61+$M62)</f>
        <v>26.375845615701447</v>
      </c>
      <c r="N64" s="1112">
        <f>$N63-($N61+$N62)</f>
        <v>58.80392404870495</v>
      </c>
      <c r="O64" s="1112">
        <f>$O63-($O61+$O62)</f>
        <v>64.274630950412259</v>
      </c>
      <c r="P64" s="1113">
        <f>$P63-($P61+$P62)</f>
        <v>63.452337722979678</v>
      </c>
      <c r="Q64" s="1115" t="s">
        <v>909</v>
      </c>
      <c r="R64" s="215">
        <v>0</v>
      </c>
      <c r="S64" s="216">
        <v>0</v>
      </c>
      <c r="T64" s="216">
        <v>0</v>
      </c>
      <c r="U64" s="217">
        <v>0</v>
      </c>
      <c r="V64" s="213">
        <v>0</v>
      </c>
      <c r="W64" s="214">
        <v>0</v>
      </c>
      <c r="X64" s="388" t="s">
        <v>909</v>
      </c>
      <c r="Y64" s="215">
        <v>0</v>
      </c>
      <c r="Z64" s="216">
        <v>0</v>
      </c>
      <c r="AA64" s="216">
        <v>0</v>
      </c>
      <c r="AB64" s="217">
        <v>0</v>
      </c>
      <c r="AC64" s="213">
        <v>0</v>
      </c>
      <c r="AD64" s="214">
        <v>0</v>
      </c>
      <c r="AE64" s="218" t="s">
        <v>909</v>
      </c>
      <c r="AF64" s="213">
        <v>0</v>
      </c>
      <c r="AG64" s="213">
        <v>0</v>
      </c>
      <c r="AH64" s="213">
        <v>0</v>
      </c>
      <c r="AI64" s="213">
        <v>0</v>
      </c>
      <c r="AJ64" s="213">
        <v>0</v>
      </c>
      <c r="AK64" s="222">
        <v>0</v>
      </c>
    </row>
    <row r="65" spans="2:37" ht="15" thickTop="1" x14ac:dyDescent="0.2">
      <c r="B65" s="209"/>
      <c r="C65" s="209"/>
      <c r="D65" s="209"/>
      <c r="E65" s="209"/>
      <c r="F65" s="209"/>
      <c r="G65" s="209"/>
      <c r="H65" s="209"/>
      <c r="I65" s="209"/>
      <c r="Q65" s="376"/>
      <c r="R65" s="209"/>
      <c r="S65" s="209"/>
      <c r="T65" s="209"/>
      <c r="U65" s="209"/>
      <c r="V65" s="209"/>
      <c r="W65" s="209"/>
      <c r="X65" s="376"/>
      <c r="Y65" s="209"/>
      <c r="Z65" s="209"/>
      <c r="AA65" s="209"/>
      <c r="AB65" s="209"/>
      <c r="AC65" s="209"/>
      <c r="AD65" s="209"/>
      <c r="AE65" s="209"/>
      <c r="AF65" s="209"/>
      <c r="AG65" s="209"/>
      <c r="AH65" s="209"/>
      <c r="AI65" s="209"/>
      <c r="AJ65" s="209"/>
      <c r="AK65" s="209"/>
    </row>
    <row r="71" spans="2:37" ht="15" thickBot="1" x14ac:dyDescent="0.25"/>
    <row r="72" spans="2:37" ht="15" thickBot="1" x14ac:dyDescent="0.25">
      <c r="B72" s="392" t="s">
        <v>64</v>
      </c>
      <c r="C72" s="393" t="str">
        <f>'TITLE PAGE'!$D$18</f>
        <v>Essex &amp; Suffolk Water</v>
      </c>
      <c r="D72" s="397" t="s">
        <v>2</v>
      </c>
    </row>
    <row r="73" spans="2:37" ht="15" thickBot="1" x14ac:dyDescent="0.25">
      <c r="B73" s="72" t="s">
        <v>445</v>
      </c>
      <c r="C73" s="59" t="s">
        <v>102</v>
      </c>
      <c r="D73" s="1467">
        <f>D9</f>
        <v>16</v>
      </c>
      <c r="F73" s="62"/>
      <c r="G73" s="62"/>
    </row>
    <row r="74" spans="2:37" ht="15" thickBot="1" x14ac:dyDescent="0.25">
      <c r="B74" s="73"/>
      <c r="C74" s="73"/>
      <c r="D74" s="1"/>
      <c r="E74" s="1"/>
      <c r="F74" s="1"/>
      <c r="G74" s="62"/>
      <c r="H74" s="62"/>
    </row>
    <row r="75" spans="2:37" ht="30.75" thickBot="1" x14ac:dyDescent="0.25">
      <c r="B75" s="193" t="s">
        <v>1586</v>
      </c>
      <c r="C75" s="1309" t="s">
        <v>204</v>
      </c>
      <c r="D75" s="64"/>
      <c r="E75" s="64"/>
      <c r="F75" s="64"/>
      <c r="G75" s="62"/>
      <c r="H75" s="62"/>
      <c r="I75" s="62"/>
      <c r="J75" s="1863" t="s">
        <v>1587</v>
      </c>
      <c r="K75" s="1864"/>
      <c r="L75" s="1864"/>
      <c r="M75" s="1864"/>
      <c r="N75" s="1864"/>
      <c r="O75" s="1864"/>
      <c r="P75" s="1864"/>
      <c r="Q75" s="1863" t="s">
        <v>1588</v>
      </c>
      <c r="R75" s="1864"/>
      <c r="S75" s="1864"/>
      <c r="T75" s="1864"/>
      <c r="U75" s="1864"/>
      <c r="V75" s="1864"/>
      <c r="W75" s="1864"/>
      <c r="X75" s="1863" t="s">
        <v>1589</v>
      </c>
      <c r="Y75" s="1864"/>
      <c r="Z75" s="1864"/>
      <c r="AA75" s="1864"/>
      <c r="AB75" s="1864"/>
      <c r="AC75" s="1864"/>
      <c r="AD75" s="1864"/>
      <c r="AE75" s="1863" t="s">
        <v>1590</v>
      </c>
      <c r="AF75" s="1864"/>
      <c r="AG75" s="1864"/>
      <c r="AH75" s="1864"/>
      <c r="AI75" s="1864"/>
      <c r="AJ75" s="1864"/>
      <c r="AK75" s="1865"/>
    </row>
    <row r="76" spans="2:37" ht="60.75" thickBot="1" x14ac:dyDescent="0.25">
      <c r="B76" s="75" t="s">
        <v>1591</v>
      </c>
      <c r="C76" s="76" t="s">
        <v>1592</v>
      </c>
      <c r="D76" s="76" t="s">
        <v>1593</v>
      </c>
      <c r="E76" s="76" t="s">
        <v>1594</v>
      </c>
      <c r="F76" s="76" t="s">
        <v>1595</v>
      </c>
      <c r="G76" s="76" t="s">
        <v>1596</v>
      </c>
      <c r="H76" s="76" t="s">
        <v>206</v>
      </c>
      <c r="I76" s="90" t="s">
        <v>207</v>
      </c>
      <c r="J76" s="203" t="s">
        <v>1597</v>
      </c>
      <c r="K76" s="197" t="s">
        <v>213</v>
      </c>
      <c r="L76" s="248" t="s">
        <v>218</v>
      </c>
      <c r="M76" s="197" t="s">
        <v>219</v>
      </c>
      <c r="N76" s="197" t="s">
        <v>220</v>
      </c>
      <c r="O76" s="201" t="s">
        <v>221</v>
      </c>
      <c r="P76" s="385" t="s">
        <v>222</v>
      </c>
      <c r="Q76" s="79" t="s">
        <v>1598</v>
      </c>
      <c r="R76" s="77" t="s">
        <v>213</v>
      </c>
      <c r="S76" s="77" t="s">
        <v>218</v>
      </c>
      <c r="T76" s="77" t="s">
        <v>219</v>
      </c>
      <c r="U76" s="77" t="s">
        <v>220</v>
      </c>
      <c r="V76" s="78" t="s">
        <v>221</v>
      </c>
      <c r="W76" s="361" t="s">
        <v>222</v>
      </c>
      <c r="X76" s="79" t="s">
        <v>1598</v>
      </c>
      <c r="Y76" s="77" t="s">
        <v>213</v>
      </c>
      <c r="Z76" s="77" t="s">
        <v>218</v>
      </c>
      <c r="AA76" s="77" t="s">
        <v>219</v>
      </c>
      <c r="AB76" s="77" t="s">
        <v>220</v>
      </c>
      <c r="AC76" s="78" t="s">
        <v>221</v>
      </c>
      <c r="AD76" s="361" t="s">
        <v>222</v>
      </c>
      <c r="AE76" s="79" t="s">
        <v>1599</v>
      </c>
      <c r="AF76" s="77" t="s">
        <v>213</v>
      </c>
      <c r="AG76" s="77" t="s">
        <v>218</v>
      </c>
      <c r="AH76" s="77" t="s">
        <v>219</v>
      </c>
      <c r="AI76" s="77" t="s">
        <v>220</v>
      </c>
      <c r="AJ76" s="78" t="s">
        <v>221</v>
      </c>
      <c r="AK76" s="362" t="s">
        <v>222</v>
      </c>
    </row>
    <row r="77" spans="2:37" ht="57" x14ac:dyDescent="0.2">
      <c r="B77" s="80" t="s">
        <v>1600</v>
      </c>
      <c r="C77" s="81" t="s">
        <v>1601</v>
      </c>
      <c r="D77" s="81" t="s">
        <v>1602</v>
      </c>
      <c r="E77" s="82" t="s">
        <v>1603</v>
      </c>
      <c r="F77" s="81" t="s">
        <v>1604</v>
      </c>
      <c r="G77" s="81" t="s">
        <v>877</v>
      </c>
      <c r="H77" s="82" t="s">
        <v>236</v>
      </c>
      <c r="I77" s="264">
        <v>2</v>
      </c>
      <c r="J77" s="383">
        <v>0.22219621652324928</v>
      </c>
      <c r="K77" s="384">
        <v>0.21076052811386578</v>
      </c>
      <c r="L77" s="308">
        <v>0.18931535065811306</v>
      </c>
      <c r="M77" s="384">
        <v>0.183778201373032</v>
      </c>
      <c r="N77" s="384">
        <v>0.17709275059918878</v>
      </c>
      <c r="O77" s="384">
        <v>0.17270047918875414</v>
      </c>
      <c r="P77" s="309">
        <v>0.17569666565872955</v>
      </c>
      <c r="Q77" s="383">
        <v>0.22219621652324928</v>
      </c>
      <c r="R77" s="384">
        <v>0.21076052811386578</v>
      </c>
      <c r="S77" s="308">
        <v>0.18931535065811306</v>
      </c>
      <c r="T77" s="384">
        <v>0.183778201373032</v>
      </c>
      <c r="U77" s="384">
        <v>0.17709275059918878</v>
      </c>
      <c r="V77" s="384">
        <v>0.17270047918875414</v>
      </c>
      <c r="W77" s="309">
        <v>0.17569666565872955</v>
      </c>
      <c r="X77" s="373"/>
      <c r="Y77" s="308"/>
      <c r="Z77" s="308"/>
      <c r="AA77" s="308"/>
      <c r="AB77" s="308"/>
      <c r="AC77" s="309"/>
      <c r="AD77" s="309"/>
      <c r="AE77" s="307"/>
      <c r="AF77" s="308"/>
      <c r="AG77" s="308"/>
      <c r="AH77" s="308"/>
      <c r="AI77" s="308"/>
      <c r="AJ77" s="309"/>
      <c r="AK77" s="219"/>
    </row>
    <row r="78" spans="2:37" ht="42.75" x14ac:dyDescent="0.2">
      <c r="B78" s="83" t="s">
        <v>1605</v>
      </c>
      <c r="C78" s="81" t="s">
        <v>1606</v>
      </c>
      <c r="D78" s="81" t="s">
        <v>1607</v>
      </c>
      <c r="E78" s="82" t="s">
        <v>1608</v>
      </c>
      <c r="F78" s="81" t="s">
        <v>1604</v>
      </c>
      <c r="G78" s="81" t="s">
        <v>863</v>
      </c>
      <c r="H78" s="82" t="s">
        <v>236</v>
      </c>
      <c r="I78" s="264">
        <v>2</v>
      </c>
      <c r="J78" s="374"/>
      <c r="K78" s="305"/>
      <c r="L78" s="305"/>
      <c r="M78" s="305"/>
      <c r="N78" s="305"/>
      <c r="O78" s="305"/>
      <c r="P78" s="306"/>
      <c r="Q78" s="374"/>
      <c r="R78" s="305"/>
      <c r="S78" s="305"/>
      <c r="T78" s="305"/>
      <c r="U78" s="305"/>
      <c r="V78" s="305"/>
      <c r="W78" s="306"/>
      <c r="X78" s="374"/>
      <c r="Y78" s="305"/>
      <c r="Z78" s="305"/>
      <c r="AA78" s="305"/>
      <c r="AB78" s="305"/>
      <c r="AC78" s="306"/>
      <c r="AD78" s="306"/>
      <c r="AE78" s="304"/>
      <c r="AF78" s="305"/>
      <c r="AG78" s="305"/>
      <c r="AH78" s="305"/>
      <c r="AI78" s="305"/>
      <c r="AJ78" s="306"/>
      <c r="AK78" s="220"/>
    </row>
    <row r="79" spans="2:37" ht="42.75" x14ac:dyDescent="0.2">
      <c r="B79" s="84" t="s">
        <v>1609</v>
      </c>
      <c r="C79" s="81" t="s">
        <v>1610</v>
      </c>
      <c r="D79" s="81" t="s">
        <v>1611</v>
      </c>
      <c r="E79" s="82"/>
      <c r="F79" s="81" t="s">
        <v>1604</v>
      </c>
      <c r="G79" s="81" t="s">
        <v>863</v>
      </c>
      <c r="H79" s="82"/>
      <c r="I79" s="264">
        <v>2</v>
      </c>
      <c r="J79" s="374"/>
      <c r="K79" s="305"/>
      <c r="L79" s="305"/>
      <c r="M79" s="305"/>
      <c r="N79" s="305"/>
      <c r="O79" s="305"/>
      <c r="P79" s="306"/>
      <c r="Q79" s="374"/>
      <c r="R79" s="305"/>
      <c r="S79" s="305"/>
      <c r="T79" s="305"/>
      <c r="U79" s="305"/>
      <c r="V79" s="305"/>
      <c r="W79" s="306"/>
      <c r="X79" s="374"/>
      <c r="Y79" s="305"/>
      <c r="Z79" s="305"/>
      <c r="AA79" s="305"/>
      <c r="AB79" s="305"/>
      <c r="AC79" s="306"/>
      <c r="AD79" s="306"/>
      <c r="AE79" s="304"/>
      <c r="AF79" s="305"/>
      <c r="AG79" s="305"/>
      <c r="AH79" s="305"/>
      <c r="AI79" s="305"/>
      <c r="AJ79" s="306"/>
      <c r="AK79" s="220"/>
    </row>
    <row r="80" spans="2:37" ht="57" x14ac:dyDescent="0.2">
      <c r="B80" s="83" t="s">
        <v>1612</v>
      </c>
      <c r="C80" s="81" t="s">
        <v>1613</v>
      </c>
      <c r="D80" s="81" t="s">
        <v>1614</v>
      </c>
      <c r="E80" s="82" t="s">
        <v>1603</v>
      </c>
      <c r="F80" s="81" t="s">
        <v>1604</v>
      </c>
      <c r="G80" s="81" t="s">
        <v>877</v>
      </c>
      <c r="H80" s="82" t="s">
        <v>236</v>
      </c>
      <c r="I80" s="264">
        <v>2</v>
      </c>
      <c r="J80" s="374">
        <v>0.21108640569708681</v>
      </c>
      <c r="K80" s="305">
        <v>0.20022250170817246</v>
      </c>
      <c r="L80" s="305">
        <v>0.17984958312520741</v>
      </c>
      <c r="M80" s="305">
        <v>0.17458929130438039</v>
      </c>
      <c r="N80" s="305">
        <v>0.16823811306922934</v>
      </c>
      <c r="O80" s="305">
        <v>0.16406545522931643</v>
      </c>
      <c r="P80" s="306">
        <v>0.1669118323757931</v>
      </c>
      <c r="Q80" s="374">
        <v>0.21108640569708681</v>
      </c>
      <c r="R80" s="305">
        <v>0.20022250170817246</v>
      </c>
      <c r="S80" s="305">
        <v>0.17984958312520741</v>
      </c>
      <c r="T80" s="305">
        <v>0.17458929130438039</v>
      </c>
      <c r="U80" s="305">
        <v>0.16823811306922934</v>
      </c>
      <c r="V80" s="305">
        <v>0.16406545522931643</v>
      </c>
      <c r="W80" s="306">
        <v>0.1669118323757931</v>
      </c>
      <c r="X80" s="374"/>
      <c r="Y80" s="305"/>
      <c r="Z80" s="305"/>
      <c r="AA80" s="305"/>
      <c r="AB80" s="305"/>
      <c r="AC80" s="306"/>
      <c r="AD80" s="306"/>
      <c r="AE80" s="304"/>
      <c r="AF80" s="305"/>
      <c r="AG80" s="305"/>
      <c r="AH80" s="305"/>
      <c r="AI80" s="305"/>
      <c r="AJ80" s="306"/>
      <c r="AK80" s="220"/>
    </row>
    <row r="81" spans="2:37" ht="85.5" x14ac:dyDescent="0.2">
      <c r="B81" s="83" t="s">
        <v>1615</v>
      </c>
      <c r="C81" s="81" t="s">
        <v>1616</v>
      </c>
      <c r="D81" s="81" t="s">
        <v>1617</v>
      </c>
      <c r="E81" s="82" t="s">
        <v>1608</v>
      </c>
      <c r="F81" s="81" t="s">
        <v>1604</v>
      </c>
      <c r="G81" s="81" t="s">
        <v>863</v>
      </c>
      <c r="H81" s="82" t="s">
        <v>236</v>
      </c>
      <c r="I81" s="264">
        <v>2</v>
      </c>
      <c r="J81" s="374"/>
      <c r="K81" s="305"/>
      <c r="L81" s="305"/>
      <c r="M81" s="305"/>
      <c r="N81" s="305"/>
      <c r="O81" s="305"/>
      <c r="P81" s="306"/>
      <c r="Q81" s="374"/>
      <c r="R81" s="305"/>
      <c r="S81" s="305"/>
      <c r="T81" s="305"/>
      <c r="U81" s="305"/>
      <c r="V81" s="306"/>
      <c r="W81" s="306"/>
      <c r="X81" s="374"/>
      <c r="Y81" s="305"/>
      <c r="Z81" s="305"/>
      <c r="AA81" s="305"/>
      <c r="AB81" s="305"/>
      <c r="AC81" s="306"/>
      <c r="AD81" s="306"/>
      <c r="AE81" s="304"/>
      <c r="AF81" s="305"/>
      <c r="AG81" s="305"/>
      <c r="AH81" s="305"/>
      <c r="AI81" s="305"/>
      <c r="AJ81" s="306"/>
      <c r="AK81" s="220"/>
    </row>
    <row r="82" spans="2:37" ht="42.75" x14ac:dyDescent="0.2">
      <c r="B82" s="83" t="s">
        <v>1618</v>
      </c>
      <c r="C82" s="81" t="s">
        <v>1619</v>
      </c>
      <c r="D82" s="81" t="s">
        <v>1620</v>
      </c>
      <c r="E82" s="82"/>
      <c r="F82" s="81" t="s">
        <v>1604</v>
      </c>
      <c r="G82" s="81" t="s">
        <v>863</v>
      </c>
      <c r="H82" s="82"/>
      <c r="I82" s="264">
        <v>2</v>
      </c>
      <c r="J82" s="374"/>
      <c r="K82" s="305"/>
      <c r="L82" s="305"/>
      <c r="M82" s="305"/>
      <c r="N82" s="305"/>
      <c r="O82" s="305"/>
      <c r="P82" s="306"/>
      <c r="Q82" s="374"/>
      <c r="R82" s="305"/>
      <c r="S82" s="305"/>
      <c r="T82" s="305"/>
      <c r="U82" s="305"/>
      <c r="V82" s="306"/>
      <c r="W82" s="306"/>
      <c r="X82" s="374"/>
      <c r="Y82" s="305"/>
      <c r="Z82" s="305"/>
      <c r="AA82" s="305"/>
      <c r="AB82" s="305"/>
      <c r="AC82" s="306"/>
      <c r="AD82" s="306"/>
      <c r="AE82" s="304"/>
      <c r="AF82" s="305"/>
      <c r="AG82" s="305"/>
      <c r="AH82" s="305"/>
      <c r="AI82" s="305"/>
      <c r="AJ82" s="306"/>
      <c r="AK82" s="220"/>
    </row>
    <row r="83" spans="2:37" ht="57" x14ac:dyDescent="0.2">
      <c r="B83" s="83" t="s">
        <v>1621</v>
      </c>
      <c r="C83" s="81" t="s">
        <v>1622</v>
      </c>
      <c r="D83" s="81" t="s">
        <v>1623</v>
      </c>
      <c r="E83" s="82" t="s">
        <v>1603</v>
      </c>
      <c r="F83" s="81" t="s">
        <v>1604</v>
      </c>
      <c r="G83" s="81" t="s">
        <v>863</v>
      </c>
      <c r="H83" s="82" t="s">
        <v>236</v>
      </c>
      <c r="I83" s="264">
        <v>2</v>
      </c>
      <c r="J83" s="374"/>
      <c r="K83" s="305"/>
      <c r="L83" s="305"/>
      <c r="M83" s="305"/>
      <c r="N83" s="305"/>
      <c r="O83" s="305"/>
      <c r="P83" s="306"/>
      <c r="Q83" s="374"/>
      <c r="R83" s="305"/>
      <c r="S83" s="305"/>
      <c r="T83" s="305"/>
      <c r="U83" s="305"/>
      <c r="V83" s="306"/>
      <c r="W83" s="306"/>
      <c r="X83" s="374"/>
      <c r="Y83" s="305"/>
      <c r="Z83" s="305"/>
      <c r="AA83" s="305"/>
      <c r="AB83" s="305"/>
      <c r="AC83" s="306"/>
      <c r="AD83" s="306"/>
      <c r="AE83" s="304"/>
      <c r="AF83" s="305"/>
      <c r="AG83" s="305"/>
      <c r="AH83" s="305"/>
      <c r="AI83" s="305"/>
      <c r="AJ83" s="306"/>
      <c r="AK83" s="220"/>
    </row>
    <row r="84" spans="2:37" ht="85.5" x14ac:dyDescent="0.2">
      <c r="B84" s="83" t="s">
        <v>1624</v>
      </c>
      <c r="C84" s="81" t="s">
        <v>1625</v>
      </c>
      <c r="D84" s="81" t="s">
        <v>1626</v>
      </c>
      <c r="E84" s="82" t="s">
        <v>1608</v>
      </c>
      <c r="F84" s="81" t="s">
        <v>1604</v>
      </c>
      <c r="G84" s="81" t="s">
        <v>863</v>
      </c>
      <c r="H84" s="82" t="s">
        <v>236</v>
      </c>
      <c r="I84" s="264">
        <v>2</v>
      </c>
      <c r="J84" s="375"/>
      <c r="K84" s="305"/>
      <c r="L84" s="305"/>
      <c r="M84" s="305"/>
      <c r="N84" s="305"/>
      <c r="O84" s="305"/>
      <c r="P84" s="306"/>
      <c r="Q84" s="374"/>
      <c r="R84" s="305"/>
      <c r="S84" s="305"/>
      <c r="T84" s="305"/>
      <c r="U84" s="305"/>
      <c r="V84" s="306"/>
      <c r="W84" s="306"/>
      <c r="X84" s="374"/>
      <c r="Y84" s="305"/>
      <c r="Z84" s="305"/>
      <c r="AA84" s="305"/>
      <c r="AB84" s="305"/>
      <c r="AC84" s="306"/>
      <c r="AD84" s="306"/>
      <c r="AE84" s="304"/>
      <c r="AF84" s="305"/>
      <c r="AG84" s="305"/>
      <c r="AH84" s="305"/>
      <c r="AI84" s="305"/>
      <c r="AJ84" s="306"/>
      <c r="AK84" s="220"/>
    </row>
    <row r="85" spans="2:37" ht="42.75" x14ac:dyDescent="0.2">
      <c r="B85" s="83" t="s">
        <v>1627</v>
      </c>
      <c r="C85" s="81" t="s">
        <v>1628</v>
      </c>
      <c r="D85" s="81" t="s">
        <v>1629</v>
      </c>
      <c r="E85" s="82"/>
      <c r="F85" s="81" t="s">
        <v>1604</v>
      </c>
      <c r="G85" s="81" t="s">
        <v>863</v>
      </c>
      <c r="H85" s="82"/>
      <c r="I85" s="264">
        <v>2</v>
      </c>
      <c r="J85" s="374"/>
      <c r="K85" s="305"/>
      <c r="L85" s="305"/>
      <c r="M85" s="305"/>
      <c r="N85" s="305"/>
      <c r="O85" s="305"/>
      <c r="P85" s="306"/>
      <c r="Q85" s="374"/>
      <c r="R85" s="305"/>
      <c r="S85" s="305"/>
      <c r="T85" s="305"/>
      <c r="U85" s="305"/>
      <c r="V85" s="306"/>
      <c r="W85" s="306"/>
      <c r="X85" s="374"/>
      <c r="Y85" s="305"/>
      <c r="Z85" s="305"/>
      <c r="AA85" s="305"/>
      <c r="AB85" s="305"/>
      <c r="AC85" s="306"/>
      <c r="AD85" s="306"/>
      <c r="AE85" s="304"/>
      <c r="AF85" s="305"/>
      <c r="AG85" s="305"/>
      <c r="AH85" s="305"/>
      <c r="AI85" s="305"/>
      <c r="AJ85" s="306"/>
      <c r="AK85" s="220"/>
    </row>
    <row r="86" spans="2:37" ht="72" thickBot="1" x14ac:dyDescent="0.25">
      <c r="B86" s="85" t="s">
        <v>1630</v>
      </c>
      <c r="C86" s="86" t="s">
        <v>1631</v>
      </c>
      <c r="D86" s="87" t="s">
        <v>1632</v>
      </c>
      <c r="E86" s="88"/>
      <c r="F86" s="89"/>
      <c r="G86" s="89"/>
      <c r="H86" s="89" t="s">
        <v>236</v>
      </c>
      <c r="I86" s="265">
        <v>2</v>
      </c>
      <c r="J86" s="310">
        <f>SUM($J77:$J85)</f>
        <v>0.43328262222033609</v>
      </c>
      <c r="K86" s="311">
        <f>SUM($K77:$K85)</f>
        <v>0.41098302982203827</v>
      </c>
      <c r="L86" s="311">
        <f>SUM($L77:$L85)</f>
        <v>0.36916493378332049</v>
      </c>
      <c r="M86" s="311">
        <f>SUM($M77:$M85)</f>
        <v>0.35836749267741241</v>
      </c>
      <c r="N86" s="311">
        <f>SUM($N77:$N85)</f>
        <v>0.34533086366841814</v>
      </c>
      <c r="O86" s="311">
        <f>SUM($O77:$O85)</f>
        <v>0.33676593441807057</v>
      </c>
      <c r="P86" s="312">
        <f>SUM($P77:$P85)</f>
        <v>0.34260849803452265</v>
      </c>
      <c r="Q86" s="313">
        <f>SUM($Q77:$Q85)</f>
        <v>0.43328262222033609</v>
      </c>
      <c r="R86" s="314">
        <f>SUM($R77:$R85)</f>
        <v>0.41098302982203827</v>
      </c>
      <c r="S86" s="314">
        <f>SUM($S77:$S85)</f>
        <v>0.36916493378332049</v>
      </c>
      <c r="T86" s="314">
        <f>SUM($T77:$T85)</f>
        <v>0.35836749267741241</v>
      </c>
      <c r="U86" s="314">
        <f>SUM($U77:$U85)</f>
        <v>0.34533086366841814</v>
      </c>
      <c r="V86" s="315">
        <f>SUM($V77:$V85)</f>
        <v>0.33676593441807057</v>
      </c>
      <c r="W86" s="314">
        <f>SUM($W77:$W85)</f>
        <v>0.34260849803452265</v>
      </c>
      <c r="X86" s="316">
        <f>SUM($X77:$X85)</f>
        <v>0</v>
      </c>
      <c r="Y86" s="314">
        <f>SUM($Y77:$Y85)</f>
        <v>0</v>
      </c>
      <c r="Z86" s="314">
        <f>SUM($Z77:$Z85)</f>
        <v>0</v>
      </c>
      <c r="AA86" s="314">
        <f>SUM($AA77:$AA85)</f>
        <v>0</v>
      </c>
      <c r="AB86" s="314">
        <f>SUM($AB77:$AB85)</f>
        <v>0</v>
      </c>
      <c r="AC86" s="315">
        <f>SUM($AC77:$AC85)</f>
        <v>0</v>
      </c>
      <c r="AD86" s="315">
        <f>SUM($AD77:$AD85)</f>
        <v>0</v>
      </c>
      <c r="AE86" s="316">
        <f>SUM($AE77:$AE85)</f>
        <v>0</v>
      </c>
      <c r="AF86" s="314">
        <f>SUM($AF77:$AF85)</f>
        <v>0</v>
      </c>
      <c r="AG86" s="314">
        <f>SUM($AG77:$AG85)</f>
        <v>0</v>
      </c>
      <c r="AH86" s="314">
        <f>SUM($AH77:$AH85)</f>
        <v>0</v>
      </c>
      <c r="AI86" s="314">
        <f>SUM($AI77:$AI85)</f>
        <v>0</v>
      </c>
      <c r="AJ86" s="315">
        <f>SUM($AJ77:$AJ85)</f>
        <v>0</v>
      </c>
      <c r="AK86" s="221">
        <f>SUM($AK77:$AK85)</f>
        <v>0</v>
      </c>
    </row>
    <row r="87" spans="2:37" ht="30.75" thickBot="1" x14ac:dyDescent="0.25">
      <c r="B87" s="75" t="s">
        <v>1591</v>
      </c>
      <c r="C87" s="76" t="s">
        <v>205</v>
      </c>
      <c r="D87" s="90" t="s">
        <v>71</v>
      </c>
      <c r="E87" s="90" t="s">
        <v>909</v>
      </c>
      <c r="F87" s="90" t="s">
        <v>909</v>
      </c>
      <c r="G87" s="198"/>
      <c r="H87" s="76" t="s">
        <v>206</v>
      </c>
      <c r="I87" s="90" t="s">
        <v>207</v>
      </c>
      <c r="J87" s="1116" t="s">
        <v>1598</v>
      </c>
      <c r="K87" s="197" t="s">
        <v>213</v>
      </c>
      <c r="L87" s="197" t="s">
        <v>218</v>
      </c>
      <c r="M87" s="197" t="s">
        <v>219</v>
      </c>
      <c r="N87" s="197" t="s">
        <v>220</v>
      </c>
      <c r="O87" s="1117" t="s">
        <v>221</v>
      </c>
      <c r="P87" s="201" t="s">
        <v>222</v>
      </c>
      <c r="Q87" s="247" t="s">
        <v>1598</v>
      </c>
      <c r="R87" s="76" t="s">
        <v>213</v>
      </c>
      <c r="S87" s="76" t="s">
        <v>218</v>
      </c>
      <c r="T87" s="76" t="s">
        <v>219</v>
      </c>
      <c r="U87" s="76" t="s">
        <v>220</v>
      </c>
      <c r="V87" s="201" t="s">
        <v>221</v>
      </c>
      <c r="W87" s="201" t="s">
        <v>222</v>
      </c>
      <c r="X87" s="203" t="s">
        <v>1598</v>
      </c>
      <c r="Y87" s="76" t="s">
        <v>213</v>
      </c>
      <c r="Z87" s="76" t="s">
        <v>218</v>
      </c>
      <c r="AA87" s="76" t="s">
        <v>219</v>
      </c>
      <c r="AB87" s="76" t="s">
        <v>220</v>
      </c>
      <c r="AC87" s="379" t="s">
        <v>221</v>
      </c>
      <c r="AD87" s="201" t="s">
        <v>222</v>
      </c>
      <c r="AE87" s="203" t="s">
        <v>1598</v>
      </c>
      <c r="AF87" s="197" t="s">
        <v>213</v>
      </c>
      <c r="AG87" s="197" t="s">
        <v>218</v>
      </c>
      <c r="AH87" s="197" t="s">
        <v>219</v>
      </c>
      <c r="AI87" s="197" t="s">
        <v>220</v>
      </c>
      <c r="AJ87" s="202" t="s">
        <v>221</v>
      </c>
      <c r="AK87" s="382" t="s">
        <v>222</v>
      </c>
    </row>
    <row r="88" spans="2:37" x14ac:dyDescent="0.2">
      <c r="B88" s="91" t="s">
        <v>1633</v>
      </c>
      <c r="C88" s="92" t="s">
        <v>1634</v>
      </c>
      <c r="D88" s="1093" t="s">
        <v>1635</v>
      </c>
      <c r="E88" s="93"/>
      <c r="F88" s="93"/>
      <c r="G88" s="380"/>
      <c r="H88" s="94" t="s">
        <v>236</v>
      </c>
      <c r="I88" s="266">
        <v>2</v>
      </c>
      <c r="J88" s="1101" t="s">
        <v>909</v>
      </c>
      <c r="K88" s="1102">
        <v>0</v>
      </c>
      <c r="L88" s="1103">
        <v>0</v>
      </c>
      <c r="M88" s="1103">
        <v>0</v>
      </c>
      <c r="N88" s="1103">
        <v>0</v>
      </c>
      <c r="O88" s="1103">
        <v>0</v>
      </c>
      <c r="P88" s="1104">
        <v>0</v>
      </c>
      <c r="Q88" s="1114" t="s">
        <v>909</v>
      </c>
      <c r="R88" s="215">
        <v>0</v>
      </c>
      <c r="S88" s="216">
        <v>0</v>
      </c>
      <c r="T88" s="216">
        <v>0</v>
      </c>
      <c r="U88" s="217">
        <v>0</v>
      </c>
      <c r="V88" s="377">
        <v>0</v>
      </c>
      <c r="W88" s="389">
        <v>0</v>
      </c>
      <c r="X88" s="386" t="s">
        <v>909</v>
      </c>
      <c r="Y88" s="215">
        <v>0</v>
      </c>
      <c r="Z88" s="216">
        <v>0</v>
      </c>
      <c r="AA88" s="216">
        <v>0</v>
      </c>
      <c r="AB88" s="217">
        <v>0</v>
      </c>
      <c r="AC88" s="246">
        <v>0</v>
      </c>
      <c r="AD88" s="378">
        <v>0</v>
      </c>
      <c r="AE88" s="381" t="s">
        <v>909</v>
      </c>
      <c r="AF88" s="377">
        <v>0</v>
      </c>
      <c r="AG88" s="377">
        <v>0</v>
      </c>
      <c r="AH88" s="377">
        <v>0</v>
      </c>
      <c r="AI88" s="377">
        <v>0</v>
      </c>
      <c r="AJ88" s="377">
        <v>0</v>
      </c>
      <c r="AK88" s="378">
        <v>0</v>
      </c>
    </row>
    <row r="89" spans="2:37" x14ac:dyDescent="0.2">
      <c r="B89" s="95" t="s">
        <v>1636</v>
      </c>
      <c r="C89" s="96" t="s">
        <v>1637</v>
      </c>
      <c r="D89" s="97" t="s">
        <v>1638</v>
      </c>
      <c r="E89" s="97"/>
      <c r="F89" s="97"/>
      <c r="G89" s="199"/>
      <c r="H89" s="94" t="s">
        <v>236</v>
      </c>
      <c r="I89" s="267">
        <v>2</v>
      </c>
      <c r="J89" s="1105"/>
      <c r="K89" s="204">
        <f>ESWHRT!$L$175+$K88</f>
        <v>9.2027628500100942</v>
      </c>
      <c r="L89" s="205">
        <f>ESWHRT!$Q$175+$L88</f>
        <v>9.3641992189391754</v>
      </c>
      <c r="M89" s="205">
        <f>ESWHRT!$V$175+$M88</f>
        <v>13.08087356207429</v>
      </c>
      <c r="N89" s="205">
        <f>ESWHRT!$AA$175+$N88</f>
        <v>12.912894729284233</v>
      </c>
      <c r="O89" s="205">
        <f>ESWHRT!$AF$175+$O88</f>
        <v>12.833397146297465</v>
      </c>
      <c r="P89" s="1106">
        <f>ESWHRT!$AK$175+$P88</f>
        <v>12.89774079093846</v>
      </c>
      <c r="Q89" s="390" t="s">
        <v>909</v>
      </c>
      <c r="R89" s="215">
        <v>0</v>
      </c>
      <c r="S89" s="216">
        <v>0</v>
      </c>
      <c r="T89" s="216">
        <v>0</v>
      </c>
      <c r="U89" s="217">
        <v>0</v>
      </c>
      <c r="V89" s="213">
        <v>0</v>
      </c>
      <c r="W89" s="214">
        <v>0</v>
      </c>
      <c r="X89" s="387" t="s">
        <v>909</v>
      </c>
      <c r="Y89" s="215">
        <v>0</v>
      </c>
      <c r="Z89" s="216">
        <v>0</v>
      </c>
      <c r="AA89" s="216">
        <v>0</v>
      </c>
      <c r="AB89" s="217">
        <v>0</v>
      </c>
      <c r="AC89" s="213">
        <v>0</v>
      </c>
      <c r="AD89" s="214">
        <v>0</v>
      </c>
      <c r="AE89" s="218" t="s">
        <v>909</v>
      </c>
      <c r="AF89" s="213">
        <v>0</v>
      </c>
      <c r="AG89" s="213">
        <v>0</v>
      </c>
      <c r="AH89" s="213">
        <v>0</v>
      </c>
      <c r="AI89" s="213">
        <v>0</v>
      </c>
      <c r="AJ89" s="213">
        <v>0</v>
      </c>
      <c r="AK89" s="222">
        <v>0</v>
      </c>
    </row>
    <row r="90" spans="2:37" ht="28.5" x14ac:dyDescent="0.2">
      <c r="B90" s="95" t="s">
        <v>1639</v>
      </c>
      <c r="C90" s="94" t="s">
        <v>387</v>
      </c>
      <c r="D90" s="97" t="s">
        <v>1640</v>
      </c>
      <c r="E90" s="97"/>
      <c r="F90" s="97"/>
      <c r="G90" s="199"/>
      <c r="H90" s="94" t="s">
        <v>236</v>
      </c>
      <c r="I90" s="267">
        <v>2</v>
      </c>
      <c r="J90" s="1107" t="s">
        <v>909</v>
      </c>
      <c r="K90" s="1096">
        <f>ESWHRT!$L$131-(ESWHRT!$L$102+ESWHRT!$L$103)+$K86</f>
        <v>6.450983029822039</v>
      </c>
      <c r="L90" s="1096">
        <f>ESWHRT!$Q$131-(ESWHRT!$Q$102+ESWHRT!$Q$103)+$L86</f>
        <v>6.4091649337833214</v>
      </c>
      <c r="M90" s="1096">
        <f>ESWHRT!$V$131-(ESWHRT!$V$102+ESWHRT!$V$103)+$M86</f>
        <v>6.4083674926774128</v>
      </c>
      <c r="N90" s="1096">
        <f>ESWHRT!$AA$131-(ESWHRT!$AA$102+ESWHRT!$AA$103)+$N86</f>
        <v>6.395330863668419</v>
      </c>
      <c r="O90" s="1096">
        <f>ESWHRT!$AF$131-(ESWHRT!$AF$102+ESWHRT!$AF$103)+$O86</f>
        <v>6.1067659344180711</v>
      </c>
      <c r="P90" s="1283">
        <f>ESWHRT!$AK$131-(ESWHRT!$AK$102+ESWHRT!$AK$103)+$P86</f>
        <v>5.8326084980345225</v>
      </c>
      <c r="Q90" s="390" t="s">
        <v>909</v>
      </c>
      <c r="R90" s="215">
        <v>0</v>
      </c>
      <c r="S90" s="216">
        <v>0</v>
      </c>
      <c r="T90" s="216">
        <v>0</v>
      </c>
      <c r="U90" s="217">
        <v>0</v>
      </c>
      <c r="V90" s="213">
        <v>0</v>
      </c>
      <c r="W90" s="214">
        <v>0</v>
      </c>
      <c r="X90" s="387" t="s">
        <v>909</v>
      </c>
      <c r="Y90" s="215">
        <v>0</v>
      </c>
      <c r="Z90" s="216">
        <v>0</v>
      </c>
      <c r="AA90" s="216">
        <v>0</v>
      </c>
      <c r="AB90" s="217">
        <v>0</v>
      </c>
      <c r="AC90" s="213">
        <v>0</v>
      </c>
      <c r="AD90" s="214">
        <v>0</v>
      </c>
      <c r="AE90" s="218" t="s">
        <v>909</v>
      </c>
      <c r="AF90" s="213">
        <v>0</v>
      </c>
      <c r="AG90" s="213">
        <v>0</v>
      </c>
      <c r="AH90" s="213">
        <v>0</v>
      </c>
      <c r="AI90" s="213">
        <v>0</v>
      </c>
      <c r="AJ90" s="213">
        <v>0</v>
      </c>
      <c r="AK90" s="222">
        <v>0</v>
      </c>
    </row>
    <row r="91" spans="2:37" ht="28.5" x14ac:dyDescent="0.2">
      <c r="B91" s="91" t="s">
        <v>1641</v>
      </c>
      <c r="C91" s="98" t="s">
        <v>1642</v>
      </c>
      <c r="D91" s="1093" t="s">
        <v>1643</v>
      </c>
      <c r="E91" s="93"/>
      <c r="F91" s="93"/>
      <c r="G91" s="199"/>
      <c r="H91" s="98" t="s">
        <v>236</v>
      </c>
      <c r="I91" s="268">
        <v>2</v>
      </c>
      <c r="J91" s="1107" t="s">
        <v>909</v>
      </c>
      <c r="K91" s="1095">
        <v>0</v>
      </c>
      <c r="L91" s="1095">
        <v>0</v>
      </c>
      <c r="M91" s="1095">
        <v>0</v>
      </c>
      <c r="N91" s="1095">
        <v>0</v>
      </c>
      <c r="O91" s="1095">
        <v>0</v>
      </c>
      <c r="P91" s="1108">
        <v>0</v>
      </c>
      <c r="Q91" s="390" t="s">
        <v>909</v>
      </c>
      <c r="R91" s="215">
        <v>0</v>
      </c>
      <c r="S91" s="216">
        <v>0</v>
      </c>
      <c r="T91" s="216">
        <v>0</v>
      </c>
      <c r="U91" s="217">
        <v>0</v>
      </c>
      <c r="V91" s="213">
        <v>0</v>
      </c>
      <c r="W91" s="391">
        <v>0</v>
      </c>
      <c r="X91" s="390" t="s">
        <v>909</v>
      </c>
      <c r="Y91" s="215">
        <v>0</v>
      </c>
      <c r="Z91" s="216">
        <v>0</v>
      </c>
      <c r="AA91" s="216">
        <v>0</v>
      </c>
      <c r="AB91" s="217">
        <v>0</v>
      </c>
      <c r="AC91" s="213">
        <v>0</v>
      </c>
      <c r="AD91" s="214">
        <v>0</v>
      </c>
      <c r="AE91" s="218" t="s">
        <v>909</v>
      </c>
      <c r="AF91" s="213">
        <v>0</v>
      </c>
      <c r="AG91" s="213">
        <v>0</v>
      </c>
      <c r="AH91" s="213">
        <v>0</v>
      </c>
      <c r="AI91" s="213">
        <v>0</v>
      </c>
      <c r="AJ91" s="213">
        <v>0</v>
      </c>
      <c r="AK91" s="222">
        <v>0</v>
      </c>
    </row>
    <row r="92" spans="2:37" ht="42.75" x14ac:dyDescent="0.2">
      <c r="B92" s="95" t="s">
        <v>1644</v>
      </c>
      <c r="C92" s="96" t="s">
        <v>390</v>
      </c>
      <c r="D92" s="97" t="s">
        <v>1645</v>
      </c>
      <c r="E92" s="97"/>
      <c r="F92" s="97"/>
      <c r="G92" s="199"/>
      <c r="H92" s="94" t="s">
        <v>236</v>
      </c>
      <c r="I92" s="267">
        <v>2</v>
      </c>
      <c r="J92" s="1107" t="s">
        <v>909</v>
      </c>
      <c r="K92" s="1096">
        <f>K90+SUM(ESWHRT!$L$124:$L$127)+K91</f>
        <v>8.2509830298220397</v>
      </c>
      <c r="L92" s="1096">
        <f>L90+SUM(ESWHRT!$Q$124:$Q$127)+L91</f>
        <v>10.184199218939174</v>
      </c>
      <c r="M92" s="1096">
        <f>M90+SUM(ESWHRT!$V$124:$V$127)+M91</f>
        <v>13.210873562074289</v>
      </c>
      <c r="N92" s="1096">
        <f>N90+SUM(ESWHRT!$AA$124:$AA$127)+N91</f>
        <v>13.032894729284232</v>
      </c>
      <c r="O92" s="1096">
        <f>O90+SUM(ESWHRT!$AF$124:$AF$127)+O91</f>
        <v>12.903397146297465</v>
      </c>
      <c r="P92" s="1109">
        <f>P90+SUM(ESWHRT!$AK$124:$AK$127)+P91</f>
        <v>12.967740790938461</v>
      </c>
      <c r="Q92" s="390" t="s">
        <v>909</v>
      </c>
      <c r="R92" s="215">
        <v>0</v>
      </c>
      <c r="S92" s="216">
        <v>0</v>
      </c>
      <c r="T92" s="216">
        <v>0</v>
      </c>
      <c r="U92" s="217">
        <v>0</v>
      </c>
      <c r="V92" s="213">
        <v>0</v>
      </c>
      <c r="W92" s="214">
        <v>0</v>
      </c>
      <c r="X92" s="387" t="s">
        <v>909</v>
      </c>
      <c r="Y92" s="215">
        <v>0</v>
      </c>
      <c r="Z92" s="216">
        <v>0</v>
      </c>
      <c r="AA92" s="216">
        <v>0</v>
      </c>
      <c r="AB92" s="217">
        <v>0</v>
      </c>
      <c r="AC92" s="213">
        <v>0</v>
      </c>
      <c r="AD92" s="214">
        <v>0</v>
      </c>
      <c r="AE92" s="218" t="s">
        <v>909</v>
      </c>
      <c r="AF92" s="213">
        <v>0</v>
      </c>
      <c r="AG92" s="213">
        <v>0</v>
      </c>
      <c r="AH92" s="213">
        <v>0</v>
      </c>
      <c r="AI92" s="213">
        <v>0</v>
      </c>
      <c r="AJ92" s="213">
        <v>0</v>
      </c>
      <c r="AK92" s="222">
        <v>0</v>
      </c>
    </row>
    <row r="93" spans="2:37" x14ac:dyDescent="0.2">
      <c r="B93" s="95" t="s">
        <v>1646</v>
      </c>
      <c r="C93" s="96" t="s">
        <v>384</v>
      </c>
      <c r="D93" s="97" t="s">
        <v>772</v>
      </c>
      <c r="E93" s="97"/>
      <c r="F93" s="97"/>
      <c r="G93" s="199"/>
      <c r="H93" s="94" t="s">
        <v>236</v>
      </c>
      <c r="I93" s="267">
        <v>2</v>
      </c>
      <c r="J93" s="1107" t="s">
        <v>909</v>
      </c>
      <c r="K93" s="1096">
        <f>ESWHRT!$L$178</f>
        <v>0.91</v>
      </c>
      <c r="L93" s="1096">
        <f>ESWHRT!$Q$178</f>
        <v>1</v>
      </c>
      <c r="M93" s="1096">
        <f>ESWHRT!$V$178</f>
        <v>0.31</v>
      </c>
      <c r="N93" s="1096">
        <f>ESWHRT!$AA$178</f>
        <v>0.3</v>
      </c>
      <c r="O93" s="1096">
        <f>ESWHRT!$AF$178</f>
        <v>0.25</v>
      </c>
      <c r="P93" s="1109">
        <f>ESWHRT!$AK$178</f>
        <v>0.25</v>
      </c>
      <c r="Q93" s="390" t="s">
        <v>909</v>
      </c>
      <c r="R93" s="215">
        <v>0</v>
      </c>
      <c r="S93" s="216">
        <v>0</v>
      </c>
      <c r="T93" s="216">
        <v>0</v>
      </c>
      <c r="U93" s="217">
        <v>0</v>
      </c>
      <c r="V93" s="213">
        <v>0</v>
      </c>
      <c r="W93" s="391">
        <v>0</v>
      </c>
      <c r="X93" s="390" t="s">
        <v>909</v>
      </c>
      <c r="Y93" s="215">
        <v>0</v>
      </c>
      <c r="Z93" s="216">
        <v>0</v>
      </c>
      <c r="AA93" s="216">
        <v>0</v>
      </c>
      <c r="AB93" s="217">
        <v>0</v>
      </c>
      <c r="AC93" s="213">
        <v>0</v>
      </c>
      <c r="AD93" s="214">
        <v>0</v>
      </c>
      <c r="AE93" s="218" t="s">
        <v>909</v>
      </c>
      <c r="AF93" s="213">
        <v>0</v>
      </c>
      <c r="AG93" s="213">
        <v>0</v>
      </c>
      <c r="AH93" s="213">
        <v>0</v>
      </c>
      <c r="AI93" s="213">
        <v>0</v>
      </c>
      <c r="AJ93" s="213">
        <v>0</v>
      </c>
      <c r="AK93" s="222">
        <v>0</v>
      </c>
    </row>
    <row r="94" spans="2:37" x14ac:dyDescent="0.2">
      <c r="B94" s="91" t="s">
        <v>1647</v>
      </c>
      <c r="C94" s="92" t="s">
        <v>1648</v>
      </c>
      <c r="D94" s="1094" t="s">
        <v>1649</v>
      </c>
      <c r="E94" s="99"/>
      <c r="F94" s="99"/>
      <c r="G94" s="200"/>
      <c r="H94" s="98" t="s">
        <v>236</v>
      </c>
      <c r="I94" s="268">
        <v>2</v>
      </c>
      <c r="J94" s="1107"/>
      <c r="K94" s="1095"/>
      <c r="L94" s="1095"/>
      <c r="M94" s="1095"/>
      <c r="N94" s="1095"/>
      <c r="O94" s="1095"/>
      <c r="P94" s="1108"/>
      <c r="Q94" s="390" t="s">
        <v>909</v>
      </c>
      <c r="R94" s="215">
        <v>0</v>
      </c>
      <c r="S94" s="216">
        <v>0</v>
      </c>
      <c r="T94" s="216">
        <v>0</v>
      </c>
      <c r="U94" s="217">
        <v>0</v>
      </c>
      <c r="V94" s="213">
        <v>0</v>
      </c>
      <c r="W94" s="391">
        <v>0</v>
      </c>
      <c r="X94" s="390" t="s">
        <v>909</v>
      </c>
      <c r="Y94" s="215">
        <v>0</v>
      </c>
      <c r="Z94" s="216">
        <v>0</v>
      </c>
      <c r="AA94" s="216">
        <v>0</v>
      </c>
      <c r="AB94" s="217">
        <v>0</v>
      </c>
      <c r="AC94" s="213">
        <v>0</v>
      </c>
      <c r="AD94" s="214">
        <v>0</v>
      </c>
      <c r="AE94" s="218" t="s">
        <v>909</v>
      </c>
      <c r="AF94" s="213">
        <v>0</v>
      </c>
      <c r="AG94" s="213">
        <v>0</v>
      </c>
      <c r="AH94" s="213">
        <v>0</v>
      </c>
      <c r="AI94" s="213">
        <v>0</v>
      </c>
      <c r="AJ94" s="213">
        <v>0</v>
      </c>
      <c r="AK94" s="222">
        <v>0</v>
      </c>
    </row>
    <row r="95" spans="2:37" x14ac:dyDescent="0.2">
      <c r="B95" s="95" t="s">
        <v>1650</v>
      </c>
      <c r="C95" s="96" t="s">
        <v>597</v>
      </c>
      <c r="D95" s="97" t="s">
        <v>1651</v>
      </c>
      <c r="E95" s="97"/>
      <c r="F95" s="97"/>
      <c r="G95" s="199"/>
      <c r="H95" s="94" t="s">
        <v>236</v>
      </c>
      <c r="I95" s="267">
        <v>2</v>
      </c>
      <c r="J95" s="1107"/>
      <c r="K95" s="1096">
        <f>$K92-$K89</f>
        <v>-0.95177982018805452</v>
      </c>
      <c r="L95" s="1096">
        <f>$L92-$L89</f>
        <v>0.81999999999999851</v>
      </c>
      <c r="M95" s="1096">
        <f>$M92-$M89</f>
        <v>0.12999999999999901</v>
      </c>
      <c r="N95" s="1096">
        <f>$N92-$N89</f>
        <v>0.11999999999999922</v>
      </c>
      <c r="O95" s="1096">
        <f>$O92-$O89</f>
        <v>7.0000000000000284E-2</v>
      </c>
      <c r="P95" s="1109">
        <f>$P92-$P89</f>
        <v>7.0000000000000284E-2</v>
      </c>
      <c r="Q95" s="390" t="s">
        <v>909</v>
      </c>
      <c r="R95" s="215">
        <v>0</v>
      </c>
      <c r="S95" s="216">
        <v>0</v>
      </c>
      <c r="T95" s="216">
        <v>0</v>
      </c>
      <c r="U95" s="217">
        <v>0</v>
      </c>
      <c r="V95" s="213">
        <v>0</v>
      </c>
      <c r="W95" s="391">
        <v>0</v>
      </c>
      <c r="X95" s="390" t="s">
        <v>909</v>
      </c>
      <c r="Y95" s="215">
        <v>0</v>
      </c>
      <c r="Z95" s="216">
        <v>0</v>
      </c>
      <c r="AA95" s="216">
        <v>0</v>
      </c>
      <c r="AB95" s="217">
        <v>0</v>
      </c>
      <c r="AC95" s="213">
        <v>0</v>
      </c>
      <c r="AD95" s="214">
        <v>0</v>
      </c>
      <c r="AE95" s="218" t="s">
        <v>909</v>
      </c>
      <c r="AF95" s="213">
        <v>0</v>
      </c>
      <c r="AG95" s="213">
        <v>0</v>
      </c>
      <c r="AH95" s="213">
        <v>0</v>
      </c>
      <c r="AI95" s="213">
        <v>0</v>
      </c>
      <c r="AJ95" s="213">
        <v>0</v>
      </c>
      <c r="AK95" s="222">
        <v>0</v>
      </c>
    </row>
    <row r="96" spans="2:37" ht="15" thickBot="1" x14ac:dyDescent="0.25">
      <c r="B96" s="210" t="s">
        <v>1652</v>
      </c>
      <c r="C96" s="211" t="s">
        <v>393</v>
      </c>
      <c r="D96" s="212" t="s">
        <v>1653</v>
      </c>
      <c r="E96" s="206"/>
      <c r="F96" s="206"/>
      <c r="G96" s="207"/>
      <c r="H96" s="208" t="s">
        <v>236</v>
      </c>
      <c r="I96" s="269">
        <v>2</v>
      </c>
      <c r="J96" s="1110"/>
      <c r="K96" s="1111">
        <f>$K95-($K93+$K94)</f>
        <v>-1.8617798201880547</v>
      </c>
      <c r="L96" s="1112">
        <f>$L95-($L93+$L94)</f>
        <v>-0.18000000000000149</v>
      </c>
      <c r="M96" s="1112">
        <f>$M95-($M93+$M94)</f>
        <v>-0.18000000000000099</v>
      </c>
      <c r="N96" s="1112">
        <f>$N95-($N93+$N94)</f>
        <v>-0.18000000000000077</v>
      </c>
      <c r="O96" s="1112">
        <f>$O95-($O93+$O94)</f>
        <v>-0.17999999999999972</v>
      </c>
      <c r="P96" s="1113">
        <f>$P95-($P93+$P94)</f>
        <v>-0.17999999999999972</v>
      </c>
      <c r="Q96" s="1115" t="s">
        <v>909</v>
      </c>
      <c r="R96" s="215">
        <v>0</v>
      </c>
      <c r="S96" s="216">
        <v>0</v>
      </c>
      <c r="T96" s="216">
        <v>0</v>
      </c>
      <c r="U96" s="217">
        <v>0</v>
      </c>
      <c r="V96" s="213">
        <v>0</v>
      </c>
      <c r="W96" s="214">
        <v>0</v>
      </c>
      <c r="X96" s="388" t="s">
        <v>909</v>
      </c>
      <c r="Y96" s="215">
        <v>0</v>
      </c>
      <c r="Z96" s="216">
        <v>0</v>
      </c>
      <c r="AA96" s="216">
        <v>0</v>
      </c>
      <c r="AB96" s="217">
        <v>0</v>
      </c>
      <c r="AC96" s="213">
        <v>0</v>
      </c>
      <c r="AD96" s="214">
        <v>0</v>
      </c>
      <c r="AE96" s="218" t="s">
        <v>909</v>
      </c>
      <c r="AF96" s="213">
        <v>0</v>
      </c>
      <c r="AG96" s="213">
        <v>0</v>
      </c>
      <c r="AH96" s="213">
        <v>0</v>
      </c>
      <c r="AI96" s="213">
        <v>0</v>
      </c>
      <c r="AJ96" s="213">
        <v>0</v>
      </c>
      <c r="AK96" s="222">
        <v>0</v>
      </c>
    </row>
    <row r="97" spans="2:37" ht="15" thickTop="1" x14ac:dyDescent="0.2">
      <c r="B97" s="209"/>
      <c r="C97" s="209"/>
      <c r="D97" s="209"/>
      <c r="E97" s="209"/>
      <c r="F97" s="209"/>
      <c r="G97" s="209"/>
      <c r="H97" s="209"/>
      <c r="I97" s="209"/>
      <c r="Q97" s="376"/>
      <c r="R97" s="209"/>
      <c r="S97" s="209"/>
      <c r="T97" s="209"/>
      <c r="U97" s="209"/>
      <c r="V97" s="209"/>
      <c r="W97" s="209"/>
      <c r="X97" s="376"/>
      <c r="Y97" s="209"/>
      <c r="Z97" s="209"/>
      <c r="AA97" s="209"/>
      <c r="AB97" s="209"/>
      <c r="AC97" s="209"/>
      <c r="AD97" s="209"/>
      <c r="AE97" s="209"/>
      <c r="AF97" s="209"/>
      <c r="AG97" s="209"/>
      <c r="AH97" s="209"/>
      <c r="AI97" s="209"/>
      <c r="AJ97" s="209"/>
      <c r="AK97" s="209"/>
    </row>
    <row r="103" spans="2:37" ht="15" thickBot="1" x14ac:dyDescent="0.25"/>
    <row r="104" spans="2:37" ht="15" thickBot="1" x14ac:dyDescent="0.25">
      <c r="B104" s="392" t="s">
        <v>64</v>
      </c>
      <c r="C104" s="393" t="str">
        <f>'TITLE PAGE'!$D$18</f>
        <v>Essex &amp; Suffolk Water</v>
      </c>
      <c r="D104" s="397" t="s">
        <v>2</v>
      </c>
    </row>
    <row r="105" spans="2:37" ht="15" thickBot="1" x14ac:dyDescent="0.25">
      <c r="B105" s="72" t="s">
        <v>445</v>
      </c>
      <c r="C105" s="59" t="s">
        <v>105</v>
      </c>
      <c r="D105" s="1467">
        <f>D9</f>
        <v>16</v>
      </c>
      <c r="F105" s="62"/>
      <c r="G105" s="62"/>
    </row>
    <row r="106" spans="2:37" ht="15" thickBot="1" x14ac:dyDescent="0.25">
      <c r="B106" s="73"/>
      <c r="C106" s="73"/>
      <c r="D106" s="1"/>
      <c r="E106" s="1"/>
      <c r="F106" s="1"/>
      <c r="G106" s="62"/>
      <c r="H106" s="62"/>
    </row>
    <row r="107" spans="2:37" ht="30.75" thickBot="1" x14ac:dyDescent="0.25">
      <c r="B107" s="193" t="s">
        <v>1586</v>
      </c>
      <c r="C107" s="1309" t="s">
        <v>204</v>
      </c>
      <c r="D107" s="64"/>
      <c r="E107" s="64"/>
      <c r="F107" s="64"/>
      <c r="G107" s="62"/>
      <c r="H107" s="62"/>
      <c r="I107" s="62"/>
      <c r="J107" s="1863" t="s">
        <v>1587</v>
      </c>
      <c r="K107" s="1864"/>
      <c r="L107" s="1864"/>
      <c r="M107" s="1864"/>
      <c r="N107" s="1864"/>
      <c r="O107" s="1864"/>
      <c r="P107" s="1864"/>
      <c r="Q107" s="1863" t="s">
        <v>1588</v>
      </c>
      <c r="R107" s="1864"/>
      <c r="S107" s="1864"/>
      <c r="T107" s="1864"/>
      <c r="U107" s="1864"/>
      <c r="V107" s="1864"/>
      <c r="W107" s="1864"/>
      <c r="X107" s="1863" t="s">
        <v>1589</v>
      </c>
      <c r="Y107" s="1864"/>
      <c r="Z107" s="1864"/>
      <c r="AA107" s="1864"/>
      <c r="AB107" s="1864"/>
      <c r="AC107" s="1864"/>
      <c r="AD107" s="1864"/>
      <c r="AE107" s="1863" t="s">
        <v>1590</v>
      </c>
      <c r="AF107" s="1864"/>
      <c r="AG107" s="1864"/>
      <c r="AH107" s="1864"/>
      <c r="AI107" s="1864"/>
      <c r="AJ107" s="1864"/>
      <c r="AK107" s="1865"/>
    </row>
    <row r="108" spans="2:37" ht="60.75" thickBot="1" x14ac:dyDescent="0.25">
      <c r="B108" s="75" t="s">
        <v>1591</v>
      </c>
      <c r="C108" s="76" t="s">
        <v>1592</v>
      </c>
      <c r="D108" s="76" t="s">
        <v>1593</v>
      </c>
      <c r="E108" s="76" t="s">
        <v>1594</v>
      </c>
      <c r="F108" s="76" t="s">
        <v>1595</v>
      </c>
      <c r="G108" s="76" t="s">
        <v>1596</v>
      </c>
      <c r="H108" s="76" t="s">
        <v>206</v>
      </c>
      <c r="I108" s="90" t="s">
        <v>207</v>
      </c>
      <c r="J108" s="203" t="s">
        <v>1597</v>
      </c>
      <c r="K108" s="197" t="s">
        <v>213</v>
      </c>
      <c r="L108" s="248" t="s">
        <v>218</v>
      </c>
      <c r="M108" s="197" t="s">
        <v>219</v>
      </c>
      <c r="N108" s="197" t="s">
        <v>220</v>
      </c>
      <c r="O108" s="201" t="s">
        <v>221</v>
      </c>
      <c r="P108" s="385" t="s">
        <v>222</v>
      </c>
      <c r="Q108" s="79" t="s">
        <v>1598</v>
      </c>
      <c r="R108" s="77" t="s">
        <v>213</v>
      </c>
      <c r="S108" s="77" t="s">
        <v>218</v>
      </c>
      <c r="T108" s="77" t="s">
        <v>219</v>
      </c>
      <c r="U108" s="77" t="s">
        <v>220</v>
      </c>
      <c r="V108" s="78" t="s">
        <v>221</v>
      </c>
      <c r="W108" s="361" t="s">
        <v>222</v>
      </c>
      <c r="X108" s="79" t="s">
        <v>1598</v>
      </c>
      <c r="Y108" s="77" t="s">
        <v>213</v>
      </c>
      <c r="Z108" s="77" t="s">
        <v>218</v>
      </c>
      <c r="AA108" s="77" t="s">
        <v>219</v>
      </c>
      <c r="AB108" s="77" t="s">
        <v>220</v>
      </c>
      <c r="AC108" s="78" t="s">
        <v>221</v>
      </c>
      <c r="AD108" s="361" t="s">
        <v>222</v>
      </c>
      <c r="AE108" s="79" t="s">
        <v>1599</v>
      </c>
      <c r="AF108" s="77" t="s">
        <v>213</v>
      </c>
      <c r="AG108" s="77" t="s">
        <v>218</v>
      </c>
      <c r="AH108" s="77" t="s">
        <v>219</v>
      </c>
      <c r="AI108" s="77" t="s">
        <v>220</v>
      </c>
      <c r="AJ108" s="78" t="s">
        <v>221</v>
      </c>
      <c r="AK108" s="362" t="s">
        <v>222</v>
      </c>
    </row>
    <row r="109" spans="2:37" ht="57" x14ac:dyDescent="0.2">
      <c r="B109" s="80" t="s">
        <v>1600</v>
      </c>
      <c r="C109" s="81" t="s">
        <v>1601</v>
      </c>
      <c r="D109" s="81" t="s">
        <v>1602</v>
      </c>
      <c r="E109" s="82" t="s">
        <v>1603</v>
      </c>
      <c r="F109" s="81" t="s">
        <v>1604</v>
      </c>
      <c r="G109" s="81" t="s">
        <v>877</v>
      </c>
      <c r="H109" s="82" t="s">
        <v>236</v>
      </c>
      <c r="I109" s="264">
        <v>2</v>
      </c>
      <c r="J109" s="383">
        <v>1.7951176495371706</v>
      </c>
      <c r="K109" s="384">
        <v>1.6981264302043393</v>
      </c>
      <c r="L109" s="308">
        <v>1.3276415428127875</v>
      </c>
      <c r="M109" s="384">
        <v>1.254148747205041</v>
      </c>
      <c r="N109" s="384">
        <v>1.2171193712386292</v>
      </c>
      <c r="O109" s="384">
        <v>1.1950352652299743</v>
      </c>
      <c r="P109" s="309">
        <v>1.1913238459717479</v>
      </c>
      <c r="Q109" s="383">
        <v>1.7951176495371706</v>
      </c>
      <c r="R109" s="384">
        <v>1.6981264302043393</v>
      </c>
      <c r="S109" s="308">
        <v>1.3276415428127875</v>
      </c>
      <c r="T109" s="384">
        <v>1.254148747205041</v>
      </c>
      <c r="U109" s="384">
        <v>1.2171193712386292</v>
      </c>
      <c r="V109" s="384">
        <v>1.1950352652299743</v>
      </c>
      <c r="W109" s="309">
        <v>1.1913238459717479</v>
      </c>
      <c r="X109" s="373"/>
      <c r="Y109" s="308"/>
      <c r="Z109" s="308"/>
      <c r="AA109" s="308"/>
      <c r="AB109" s="308"/>
      <c r="AC109" s="309"/>
      <c r="AD109" s="309"/>
      <c r="AE109" s="307"/>
      <c r="AF109" s="308"/>
      <c r="AG109" s="308"/>
      <c r="AH109" s="308"/>
      <c r="AI109" s="308"/>
      <c r="AJ109" s="309"/>
      <c r="AK109" s="219"/>
    </row>
    <row r="110" spans="2:37" ht="42.75" x14ac:dyDescent="0.2">
      <c r="B110" s="83" t="s">
        <v>1605</v>
      </c>
      <c r="C110" s="81" t="s">
        <v>1606</v>
      </c>
      <c r="D110" s="81" t="s">
        <v>1607</v>
      </c>
      <c r="E110" s="82" t="s">
        <v>1608</v>
      </c>
      <c r="F110" s="81" t="s">
        <v>1604</v>
      </c>
      <c r="G110" s="81" t="s">
        <v>863</v>
      </c>
      <c r="H110" s="82" t="s">
        <v>236</v>
      </c>
      <c r="I110" s="264">
        <v>2</v>
      </c>
      <c r="J110" s="374"/>
      <c r="K110" s="305"/>
      <c r="L110" s="305"/>
      <c r="M110" s="305"/>
      <c r="N110" s="305"/>
      <c r="O110" s="305"/>
      <c r="P110" s="306"/>
      <c r="Q110" s="374"/>
      <c r="R110" s="305"/>
      <c r="S110" s="305"/>
      <c r="T110" s="305"/>
      <c r="U110" s="305"/>
      <c r="V110" s="305"/>
      <c r="W110" s="306"/>
      <c r="X110" s="374"/>
      <c r="Y110" s="305"/>
      <c r="Z110" s="305"/>
      <c r="AA110" s="305"/>
      <c r="AB110" s="305"/>
      <c r="AC110" s="306"/>
      <c r="AD110" s="306"/>
      <c r="AE110" s="304"/>
      <c r="AF110" s="305"/>
      <c r="AG110" s="305"/>
      <c r="AH110" s="305"/>
      <c r="AI110" s="305"/>
      <c r="AJ110" s="306"/>
      <c r="AK110" s="220"/>
    </row>
    <row r="111" spans="2:37" ht="42.75" x14ac:dyDescent="0.2">
      <c r="B111" s="84" t="s">
        <v>1609</v>
      </c>
      <c r="C111" s="81" t="s">
        <v>1610</v>
      </c>
      <c r="D111" s="81" t="s">
        <v>1611</v>
      </c>
      <c r="E111" s="82"/>
      <c r="F111" s="81" t="s">
        <v>1604</v>
      </c>
      <c r="G111" s="81" t="s">
        <v>863</v>
      </c>
      <c r="H111" s="82"/>
      <c r="I111" s="264">
        <v>2</v>
      </c>
      <c r="J111" s="374"/>
      <c r="K111" s="305"/>
      <c r="L111" s="305"/>
      <c r="M111" s="305"/>
      <c r="N111" s="305"/>
      <c r="O111" s="305"/>
      <c r="P111" s="306"/>
      <c r="Q111" s="374"/>
      <c r="R111" s="305"/>
      <c r="S111" s="305"/>
      <c r="T111" s="305"/>
      <c r="U111" s="305"/>
      <c r="V111" s="305"/>
      <c r="W111" s="306"/>
      <c r="X111" s="374"/>
      <c r="Y111" s="305"/>
      <c r="Z111" s="305"/>
      <c r="AA111" s="305"/>
      <c r="AB111" s="305"/>
      <c r="AC111" s="306"/>
      <c r="AD111" s="306"/>
      <c r="AE111" s="304"/>
      <c r="AF111" s="305"/>
      <c r="AG111" s="305"/>
      <c r="AH111" s="305"/>
      <c r="AI111" s="305"/>
      <c r="AJ111" s="306"/>
      <c r="AK111" s="220"/>
    </row>
    <row r="112" spans="2:37" ht="57" x14ac:dyDescent="0.2">
      <c r="B112" s="83" t="s">
        <v>1612</v>
      </c>
      <c r="C112" s="81" t="s">
        <v>1613</v>
      </c>
      <c r="D112" s="81" t="s">
        <v>1614</v>
      </c>
      <c r="E112" s="82" t="s">
        <v>1603</v>
      </c>
      <c r="F112" s="81" t="s">
        <v>1604</v>
      </c>
      <c r="G112" s="81" t="s">
        <v>877</v>
      </c>
      <c r="H112" s="82" t="s">
        <v>236</v>
      </c>
      <c r="I112" s="264">
        <v>2</v>
      </c>
      <c r="J112" s="374">
        <v>1.7053617670603121</v>
      </c>
      <c r="K112" s="305">
        <v>1.6132201086941222</v>
      </c>
      <c r="L112" s="305">
        <v>1.2612594656721481</v>
      </c>
      <c r="M112" s="305">
        <v>1.1914413098447889</v>
      </c>
      <c r="N112" s="305">
        <v>1.1562634026766978</v>
      </c>
      <c r="O112" s="305">
        <v>1.1352835019684755</v>
      </c>
      <c r="P112" s="306">
        <v>1.1317576536731604</v>
      </c>
      <c r="Q112" s="374">
        <v>1.7053617670603121</v>
      </c>
      <c r="R112" s="305">
        <v>1.6132201086941222</v>
      </c>
      <c r="S112" s="305">
        <v>1.2612594656721481</v>
      </c>
      <c r="T112" s="305">
        <v>1.1914413098447889</v>
      </c>
      <c r="U112" s="305">
        <v>1.1562634026766978</v>
      </c>
      <c r="V112" s="305">
        <v>1.1352835019684755</v>
      </c>
      <c r="W112" s="306">
        <v>1.1317576536731604</v>
      </c>
      <c r="X112" s="374"/>
      <c r="Y112" s="305"/>
      <c r="Z112" s="305"/>
      <c r="AA112" s="305"/>
      <c r="AB112" s="305"/>
      <c r="AC112" s="306"/>
      <c r="AD112" s="306"/>
      <c r="AE112" s="304"/>
      <c r="AF112" s="305"/>
      <c r="AG112" s="305"/>
      <c r="AH112" s="305"/>
      <c r="AI112" s="305"/>
      <c r="AJ112" s="306"/>
      <c r="AK112" s="220"/>
    </row>
    <row r="113" spans="2:37" ht="85.5" x14ac:dyDescent="0.2">
      <c r="B113" s="83" t="s">
        <v>1615</v>
      </c>
      <c r="C113" s="81" t="s">
        <v>1616</v>
      </c>
      <c r="D113" s="81" t="s">
        <v>1617</v>
      </c>
      <c r="E113" s="82" t="s">
        <v>1608</v>
      </c>
      <c r="F113" s="81" t="s">
        <v>1604</v>
      </c>
      <c r="G113" s="81" t="s">
        <v>863</v>
      </c>
      <c r="H113" s="82" t="s">
        <v>236</v>
      </c>
      <c r="I113" s="264">
        <v>2</v>
      </c>
      <c r="J113" s="374"/>
      <c r="K113" s="305"/>
      <c r="L113" s="305"/>
      <c r="M113" s="305"/>
      <c r="N113" s="305"/>
      <c r="O113" s="305"/>
      <c r="P113" s="306"/>
      <c r="Q113" s="374"/>
      <c r="R113" s="305"/>
      <c r="S113" s="305"/>
      <c r="T113" s="305"/>
      <c r="U113" s="305"/>
      <c r="V113" s="306"/>
      <c r="W113" s="306"/>
      <c r="X113" s="374"/>
      <c r="Y113" s="305"/>
      <c r="Z113" s="305"/>
      <c r="AA113" s="305"/>
      <c r="AB113" s="305"/>
      <c r="AC113" s="306"/>
      <c r="AD113" s="306"/>
      <c r="AE113" s="304"/>
      <c r="AF113" s="305"/>
      <c r="AG113" s="305"/>
      <c r="AH113" s="305"/>
      <c r="AI113" s="305"/>
      <c r="AJ113" s="306"/>
      <c r="AK113" s="220"/>
    </row>
    <row r="114" spans="2:37" ht="42.75" x14ac:dyDescent="0.2">
      <c r="B114" s="83" t="s">
        <v>1618</v>
      </c>
      <c r="C114" s="81" t="s">
        <v>1619</v>
      </c>
      <c r="D114" s="81" t="s">
        <v>1620</v>
      </c>
      <c r="E114" s="82"/>
      <c r="F114" s="81" t="s">
        <v>1604</v>
      </c>
      <c r="G114" s="81" t="s">
        <v>863</v>
      </c>
      <c r="H114" s="82"/>
      <c r="I114" s="264">
        <v>2</v>
      </c>
      <c r="J114" s="374"/>
      <c r="K114" s="305"/>
      <c r="L114" s="305"/>
      <c r="M114" s="305"/>
      <c r="N114" s="305"/>
      <c r="O114" s="305"/>
      <c r="P114" s="306"/>
      <c r="Q114" s="374"/>
      <c r="R114" s="305"/>
      <c r="S114" s="305"/>
      <c r="T114" s="305"/>
      <c r="U114" s="305"/>
      <c r="V114" s="306"/>
      <c r="W114" s="306"/>
      <c r="X114" s="374"/>
      <c r="Y114" s="305"/>
      <c r="Z114" s="305"/>
      <c r="AA114" s="305"/>
      <c r="AB114" s="305"/>
      <c r="AC114" s="306"/>
      <c r="AD114" s="306"/>
      <c r="AE114" s="304"/>
      <c r="AF114" s="305"/>
      <c r="AG114" s="305"/>
      <c r="AH114" s="305"/>
      <c r="AI114" s="305"/>
      <c r="AJ114" s="306"/>
      <c r="AK114" s="220"/>
    </row>
    <row r="115" spans="2:37" ht="57" x14ac:dyDescent="0.2">
      <c r="B115" s="83" t="s">
        <v>1621</v>
      </c>
      <c r="C115" s="81" t="s">
        <v>1622</v>
      </c>
      <c r="D115" s="81" t="s">
        <v>1623</v>
      </c>
      <c r="E115" s="82" t="s">
        <v>1603</v>
      </c>
      <c r="F115" s="81" t="s">
        <v>1604</v>
      </c>
      <c r="G115" s="81" t="s">
        <v>863</v>
      </c>
      <c r="H115" s="82" t="s">
        <v>236</v>
      </c>
      <c r="I115" s="264">
        <v>2</v>
      </c>
      <c r="J115" s="374"/>
      <c r="K115" s="305"/>
      <c r="L115" s="305"/>
      <c r="M115" s="305"/>
      <c r="N115" s="305"/>
      <c r="O115" s="305"/>
      <c r="P115" s="306"/>
      <c r="Q115" s="374"/>
      <c r="R115" s="305"/>
      <c r="S115" s="305"/>
      <c r="T115" s="305"/>
      <c r="U115" s="305"/>
      <c r="V115" s="306"/>
      <c r="W115" s="306"/>
      <c r="X115" s="374"/>
      <c r="Y115" s="305"/>
      <c r="Z115" s="305"/>
      <c r="AA115" s="305"/>
      <c r="AB115" s="305"/>
      <c r="AC115" s="306"/>
      <c r="AD115" s="306"/>
      <c r="AE115" s="304"/>
      <c r="AF115" s="305"/>
      <c r="AG115" s="305"/>
      <c r="AH115" s="305"/>
      <c r="AI115" s="305"/>
      <c r="AJ115" s="306"/>
      <c r="AK115" s="220"/>
    </row>
    <row r="116" spans="2:37" ht="85.5" x14ac:dyDescent="0.2">
      <c r="B116" s="83" t="s">
        <v>1624</v>
      </c>
      <c r="C116" s="81" t="s">
        <v>1625</v>
      </c>
      <c r="D116" s="81" t="s">
        <v>1626</v>
      </c>
      <c r="E116" s="82" t="s">
        <v>1608</v>
      </c>
      <c r="F116" s="81" t="s">
        <v>1604</v>
      </c>
      <c r="G116" s="81" t="s">
        <v>863</v>
      </c>
      <c r="H116" s="82" t="s">
        <v>236</v>
      </c>
      <c r="I116" s="264">
        <v>2</v>
      </c>
      <c r="J116" s="375"/>
      <c r="K116" s="305"/>
      <c r="L116" s="305"/>
      <c r="M116" s="305"/>
      <c r="N116" s="305"/>
      <c r="O116" s="305"/>
      <c r="P116" s="306"/>
      <c r="Q116" s="374"/>
      <c r="R116" s="305"/>
      <c r="S116" s="305"/>
      <c r="T116" s="305"/>
      <c r="U116" s="305"/>
      <c r="V116" s="306"/>
      <c r="W116" s="306"/>
      <c r="X116" s="374"/>
      <c r="Y116" s="305"/>
      <c r="Z116" s="305"/>
      <c r="AA116" s="305"/>
      <c r="AB116" s="305"/>
      <c r="AC116" s="306"/>
      <c r="AD116" s="306"/>
      <c r="AE116" s="304"/>
      <c r="AF116" s="305"/>
      <c r="AG116" s="305"/>
      <c r="AH116" s="305"/>
      <c r="AI116" s="305"/>
      <c r="AJ116" s="306"/>
      <c r="AK116" s="220"/>
    </row>
    <row r="117" spans="2:37" ht="42.75" x14ac:dyDescent="0.2">
      <c r="B117" s="83" t="s">
        <v>1627</v>
      </c>
      <c r="C117" s="81" t="s">
        <v>1628</v>
      </c>
      <c r="D117" s="81" t="s">
        <v>1629</v>
      </c>
      <c r="E117" s="82"/>
      <c r="F117" s="81" t="s">
        <v>1604</v>
      </c>
      <c r="G117" s="81" t="s">
        <v>863</v>
      </c>
      <c r="H117" s="82"/>
      <c r="I117" s="264">
        <v>2</v>
      </c>
      <c r="J117" s="374"/>
      <c r="K117" s="305"/>
      <c r="L117" s="305"/>
      <c r="M117" s="305"/>
      <c r="N117" s="305"/>
      <c r="O117" s="305"/>
      <c r="P117" s="306"/>
      <c r="Q117" s="374"/>
      <c r="R117" s="305"/>
      <c r="S117" s="305"/>
      <c r="T117" s="305"/>
      <c r="U117" s="305"/>
      <c r="V117" s="306"/>
      <c r="W117" s="306"/>
      <c r="X117" s="374"/>
      <c r="Y117" s="305"/>
      <c r="Z117" s="305"/>
      <c r="AA117" s="305"/>
      <c r="AB117" s="305"/>
      <c r="AC117" s="306"/>
      <c r="AD117" s="306"/>
      <c r="AE117" s="304"/>
      <c r="AF117" s="305"/>
      <c r="AG117" s="305"/>
      <c r="AH117" s="305"/>
      <c r="AI117" s="305"/>
      <c r="AJ117" s="306"/>
      <c r="AK117" s="220"/>
    </row>
    <row r="118" spans="2:37" ht="72" thickBot="1" x14ac:dyDescent="0.25">
      <c r="B118" s="85" t="s">
        <v>1630</v>
      </c>
      <c r="C118" s="86" t="s">
        <v>1631</v>
      </c>
      <c r="D118" s="87" t="s">
        <v>1632</v>
      </c>
      <c r="E118" s="88"/>
      <c r="F118" s="89"/>
      <c r="G118" s="89"/>
      <c r="H118" s="89" t="s">
        <v>236</v>
      </c>
      <c r="I118" s="265">
        <v>2</v>
      </c>
      <c r="J118" s="310">
        <f>SUM($J109:$J117)</f>
        <v>3.5004794165974826</v>
      </c>
      <c r="K118" s="311">
        <f>SUM($K109:$K117)</f>
        <v>3.3113465388984613</v>
      </c>
      <c r="L118" s="311">
        <f>SUM($L109:$L117)</f>
        <v>2.5889010084849353</v>
      </c>
      <c r="M118" s="311">
        <f>SUM($M109:$M117)</f>
        <v>2.4455900570498299</v>
      </c>
      <c r="N118" s="311">
        <f>SUM($N109:$N117)</f>
        <v>2.3733827739153268</v>
      </c>
      <c r="O118" s="311">
        <f>SUM($O109:$O117)</f>
        <v>2.3303187671984498</v>
      </c>
      <c r="P118" s="312">
        <f>SUM($P109:$P117)</f>
        <v>2.3230814996449083</v>
      </c>
      <c r="Q118" s="313">
        <f>SUM($Q109:$Q117)</f>
        <v>3.5004794165974826</v>
      </c>
      <c r="R118" s="314">
        <f>SUM($R109:$R117)</f>
        <v>3.3113465388984613</v>
      </c>
      <c r="S118" s="314">
        <f>SUM($S109:$S117)</f>
        <v>2.5889010084849353</v>
      </c>
      <c r="T118" s="314">
        <f>SUM($T109:$T117)</f>
        <v>2.4455900570498299</v>
      </c>
      <c r="U118" s="314">
        <f>SUM($U109:$U117)</f>
        <v>2.3733827739153268</v>
      </c>
      <c r="V118" s="315">
        <f>SUM($V109:$V117)</f>
        <v>2.3303187671984498</v>
      </c>
      <c r="W118" s="314">
        <f>SUM($W109:$W117)</f>
        <v>2.3230814996449083</v>
      </c>
      <c r="X118" s="316">
        <f>SUM($X109:$X117)</f>
        <v>0</v>
      </c>
      <c r="Y118" s="314">
        <f>SUM($Y109:$Y117)</f>
        <v>0</v>
      </c>
      <c r="Z118" s="314">
        <f>SUM($Z109:$Z117)</f>
        <v>0</v>
      </c>
      <c r="AA118" s="314">
        <f>SUM($AA109:$AA117)</f>
        <v>0</v>
      </c>
      <c r="AB118" s="314">
        <f>SUM($AB109:$AB117)</f>
        <v>0</v>
      </c>
      <c r="AC118" s="315">
        <f>SUM($AC109:$AC117)</f>
        <v>0</v>
      </c>
      <c r="AD118" s="315">
        <f>SUM($AD109:$AD117)</f>
        <v>0</v>
      </c>
      <c r="AE118" s="316">
        <f>SUM($AE109:$AE117)</f>
        <v>0</v>
      </c>
      <c r="AF118" s="314">
        <f>SUM($AF109:$AF117)</f>
        <v>0</v>
      </c>
      <c r="AG118" s="314">
        <f>SUM($AG109:$AG117)</f>
        <v>0</v>
      </c>
      <c r="AH118" s="314">
        <f>SUM($AH109:$AH117)</f>
        <v>0</v>
      </c>
      <c r="AI118" s="314">
        <f>SUM($AI109:$AI117)</f>
        <v>0</v>
      </c>
      <c r="AJ118" s="315">
        <f>SUM($AJ109:$AJ117)</f>
        <v>0</v>
      </c>
      <c r="AK118" s="221">
        <f>SUM($AK109:$AK117)</f>
        <v>0</v>
      </c>
    </row>
    <row r="119" spans="2:37" ht="30.75" thickBot="1" x14ac:dyDescent="0.25">
      <c r="B119" s="75" t="s">
        <v>1591</v>
      </c>
      <c r="C119" s="76" t="s">
        <v>205</v>
      </c>
      <c r="D119" s="90" t="s">
        <v>71</v>
      </c>
      <c r="E119" s="90" t="s">
        <v>909</v>
      </c>
      <c r="F119" s="90" t="s">
        <v>909</v>
      </c>
      <c r="G119" s="198"/>
      <c r="H119" s="76" t="s">
        <v>206</v>
      </c>
      <c r="I119" s="90" t="s">
        <v>207</v>
      </c>
      <c r="J119" s="1116" t="s">
        <v>1598</v>
      </c>
      <c r="K119" s="197" t="s">
        <v>213</v>
      </c>
      <c r="L119" s="197" t="s">
        <v>218</v>
      </c>
      <c r="M119" s="197" t="s">
        <v>219</v>
      </c>
      <c r="N119" s="197" t="s">
        <v>220</v>
      </c>
      <c r="O119" s="1117" t="s">
        <v>221</v>
      </c>
      <c r="P119" s="201" t="s">
        <v>222</v>
      </c>
      <c r="Q119" s="247" t="s">
        <v>1598</v>
      </c>
      <c r="R119" s="76" t="s">
        <v>213</v>
      </c>
      <c r="S119" s="76" t="s">
        <v>218</v>
      </c>
      <c r="T119" s="76" t="s">
        <v>219</v>
      </c>
      <c r="U119" s="76" t="s">
        <v>220</v>
      </c>
      <c r="V119" s="201" t="s">
        <v>221</v>
      </c>
      <c r="W119" s="201" t="s">
        <v>222</v>
      </c>
      <c r="X119" s="203" t="s">
        <v>1598</v>
      </c>
      <c r="Y119" s="76" t="s">
        <v>213</v>
      </c>
      <c r="Z119" s="76" t="s">
        <v>218</v>
      </c>
      <c r="AA119" s="76" t="s">
        <v>219</v>
      </c>
      <c r="AB119" s="76" t="s">
        <v>220</v>
      </c>
      <c r="AC119" s="379" t="s">
        <v>221</v>
      </c>
      <c r="AD119" s="201" t="s">
        <v>222</v>
      </c>
      <c r="AE119" s="203" t="s">
        <v>1598</v>
      </c>
      <c r="AF119" s="197" t="s">
        <v>213</v>
      </c>
      <c r="AG119" s="197" t="s">
        <v>218</v>
      </c>
      <c r="AH119" s="197" t="s">
        <v>219</v>
      </c>
      <c r="AI119" s="197" t="s">
        <v>220</v>
      </c>
      <c r="AJ119" s="202" t="s">
        <v>221</v>
      </c>
      <c r="AK119" s="382" t="s">
        <v>222</v>
      </c>
    </row>
    <row r="120" spans="2:37" x14ac:dyDescent="0.2">
      <c r="B120" s="91" t="s">
        <v>1633</v>
      </c>
      <c r="C120" s="92" t="s">
        <v>1634</v>
      </c>
      <c r="D120" s="1093" t="s">
        <v>1635</v>
      </c>
      <c r="E120" s="93"/>
      <c r="F120" s="93"/>
      <c r="G120" s="380"/>
      <c r="H120" s="94" t="s">
        <v>236</v>
      </c>
      <c r="I120" s="266">
        <v>2</v>
      </c>
      <c r="J120" s="1101" t="s">
        <v>909</v>
      </c>
      <c r="K120" s="1102">
        <v>0</v>
      </c>
      <c r="L120" s="1103">
        <v>0</v>
      </c>
      <c r="M120" s="1103">
        <v>0</v>
      </c>
      <c r="N120" s="1103">
        <v>0</v>
      </c>
      <c r="O120" s="1103">
        <v>0</v>
      </c>
      <c r="P120" s="1104">
        <v>0</v>
      </c>
      <c r="Q120" s="1114" t="s">
        <v>909</v>
      </c>
      <c r="R120" s="215">
        <v>0</v>
      </c>
      <c r="S120" s="216">
        <v>0</v>
      </c>
      <c r="T120" s="216">
        <v>0</v>
      </c>
      <c r="U120" s="217">
        <v>0</v>
      </c>
      <c r="V120" s="377">
        <v>0</v>
      </c>
      <c r="W120" s="389">
        <v>0</v>
      </c>
      <c r="X120" s="386" t="s">
        <v>909</v>
      </c>
      <c r="Y120" s="215">
        <v>0</v>
      </c>
      <c r="Z120" s="216">
        <v>0</v>
      </c>
      <c r="AA120" s="216">
        <v>0</v>
      </c>
      <c r="AB120" s="217">
        <v>0</v>
      </c>
      <c r="AC120" s="246">
        <v>0</v>
      </c>
      <c r="AD120" s="378">
        <v>0</v>
      </c>
      <c r="AE120" s="381" t="s">
        <v>909</v>
      </c>
      <c r="AF120" s="377">
        <v>0</v>
      </c>
      <c r="AG120" s="377">
        <v>0</v>
      </c>
      <c r="AH120" s="377">
        <v>0</v>
      </c>
      <c r="AI120" s="377">
        <v>0</v>
      </c>
      <c r="AJ120" s="377">
        <v>0</v>
      </c>
      <c r="AK120" s="378">
        <v>0</v>
      </c>
    </row>
    <row r="121" spans="2:37" x14ac:dyDescent="0.2">
      <c r="B121" s="95" t="s">
        <v>1636</v>
      </c>
      <c r="C121" s="96" t="s">
        <v>1637</v>
      </c>
      <c r="D121" s="97" t="s">
        <v>1638</v>
      </c>
      <c r="E121" s="97"/>
      <c r="F121" s="97"/>
      <c r="G121" s="199"/>
      <c r="H121" s="94" t="s">
        <v>236</v>
      </c>
      <c r="I121" s="267">
        <v>2</v>
      </c>
      <c r="J121" s="1105"/>
      <c r="K121" s="204">
        <f>ESWNCT!$L$175+$K120</f>
        <v>48.37116203274492</v>
      </c>
      <c r="L121" s="205">
        <f>ESWNCT!$Q$175+$L120</f>
        <v>47.381524665624667</v>
      </c>
      <c r="M121" s="205">
        <f>ESWNCT!$V$175+$M120</f>
        <v>45.60332522348773</v>
      </c>
      <c r="N121" s="205">
        <f>ESWNCT!$AA$175+$N120</f>
        <v>44.590687115451423</v>
      </c>
      <c r="O121" s="205">
        <f>ESWNCT!$AF$175+$O120</f>
        <v>44.235904020365403</v>
      </c>
      <c r="P121" s="1106">
        <f>ESWNCT!$AK$175+$P120</f>
        <v>44.224958042452208</v>
      </c>
      <c r="Q121" s="390" t="s">
        <v>909</v>
      </c>
      <c r="R121" s="215">
        <v>0</v>
      </c>
      <c r="S121" s="216">
        <v>0</v>
      </c>
      <c r="T121" s="216">
        <v>0</v>
      </c>
      <c r="U121" s="217">
        <v>0</v>
      </c>
      <c r="V121" s="213">
        <v>0</v>
      </c>
      <c r="W121" s="214">
        <v>0</v>
      </c>
      <c r="X121" s="387" t="s">
        <v>909</v>
      </c>
      <c r="Y121" s="215">
        <v>0</v>
      </c>
      <c r="Z121" s="216">
        <v>0</v>
      </c>
      <c r="AA121" s="216">
        <v>0</v>
      </c>
      <c r="AB121" s="217">
        <v>0</v>
      </c>
      <c r="AC121" s="213">
        <v>0</v>
      </c>
      <c r="AD121" s="214">
        <v>0</v>
      </c>
      <c r="AE121" s="218" t="s">
        <v>909</v>
      </c>
      <c r="AF121" s="213">
        <v>0</v>
      </c>
      <c r="AG121" s="213">
        <v>0</v>
      </c>
      <c r="AH121" s="213">
        <v>0</v>
      </c>
      <c r="AI121" s="213">
        <v>0</v>
      </c>
      <c r="AJ121" s="213">
        <v>0</v>
      </c>
      <c r="AK121" s="222">
        <v>0</v>
      </c>
    </row>
    <row r="122" spans="2:37" ht="28.5" x14ac:dyDescent="0.2">
      <c r="B122" s="95" t="s">
        <v>1639</v>
      </c>
      <c r="C122" s="94" t="s">
        <v>387</v>
      </c>
      <c r="D122" s="97" t="s">
        <v>1640</v>
      </c>
      <c r="E122" s="97"/>
      <c r="F122" s="97"/>
      <c r="G122" s="199"/>
      <c r="H122" s="94" t="s">
        <v>236</v>
      </c>
      <c r="I122" s="267">
        <v>2</v>
      </c>
      <c r="J122" s="1107" t="s">
        <v>909</v>
      </c>
      <c r="K122" s="1096">
        <f>ESWNCT!$L$131-(ESWNCT!$L$102+ESWNCT!$L$103)+$K118</f>
        <v>62.181346538898467</v>
      </c>
      <c r="L122" s="1096">
        <f>ESWNCT!$Q$131-(ESWNCT!$Q$102+ESWNCT!$Q$103)+$L118</f>
        <v>63.718901008484949</v>
      </c>
      <c r="M122" s="1096">
        <f>ESWNCT!$V$131-(ESWNCT!$V$102+ESWNCT!$V$103)+$M118</f>
        <v>69.935590057049836</v>
      </c>
      <c r="N122" s="1096">
        <f>ESWNCT!$AA$131-(ESWNCT!$AA$102+ESWNCT!$AA$103)+$N118</f>
        <v>69.863382773915333</v>
      </c>
      <c r="O122" s="1096">
        <f>ESWNCT!$AF$131-(ESWNCT!$AF$102+ESWNCT!$AF$103)+$O118</f>
        <v>74.420318767198438</v>
      </c>
      <c r="P122" s="1283">
        <f>ESWNCT!$AK$131-(ESWNCT!$AK$102+ESWNCT!$AK$103)+$P118</f>
        <v>59.103081499644901</v>
      </c>
      <c r="Q122" s="390" t="s">
        <v>909</v>
      </c>
      <c r="R122" s="215">
        <v>0</v>
      </c>
      <c r="S122" s="216">
        <v>0</v>
      </c>
      <c r="T122" s="216">
        <v>0</v>
      </c>
      <c r="U122" s="217">
        <v>0</v>
      </c>
      <c r="V122" s="213">
        <v>0</v>
      </c>
      <c r="W122" s="214">
        <v>0</v>
      </c>
      <c r="X122" s="387" t="s">
        <v>909</v>
      </c>
      <c r="Y122" s="215">
        <v>0</v>
      </c>
      <c r="Z122" s="216">
        <v>0</v>
      </c>
      <c r="AA122" s="216">
        <v>0</v>
      </c>
      <c r="AB122" s="217">
        <v>0</v>
      </c>
      <c r="AC122" s="213">
        <v>0</v>
      </c>
      <c r="AD122" s="214">
        <v>0</v>
      </c>
      <c r="AE122" s="218" t="s">
        <v>909</v>
      </c>
      <c r="AF122" s="213">
        <v>0</v>
      </c>
      <c r="AG122" s="213">
        <v>0</v>
      </c>
      <c r="AH122" s="213">
        <v>0</v>
      </c>
      <c r="AI122" s="213">
        <v>0</v>
      </c>
      <c r="AJ122" s="213">
        <v>0</v>
      </c>
      <c r="AK122" s="222">
        <v>0</v>
      </c>
    </row>
    <row r="123" spans="2:37" ht="28.5" x14ac:dyDescent="0.2">
      <c r="B123" s="91" t="s">
        <v>1641</v>
      </c>
      <c r="C123" s="98" t="s">
        <v>1642</v>
      </c>
      <c r="D123" s="1093" t="s">
        <v>1643</v>
      </c>
      <c r="E123" s="93"/>
      <c r="F123" s="93"/>
      <c r="G123" s="199"/>
      <c r="H123" s="98" t="s">
        <v>236</v>
      </c>
      <c r="I123" s="268">
        <v>2</v>
      </c>
      <c r="J123" s="1107" t="s">
        <v>909</v>
      </c>
      <c r="K123" s="1095">
        <v>0</v>
      </c>
      <c r="L123" s="1095">
        <v>0</v>
      </c>
      <c r="M123" s="1095">
        <v>0</v>
      </c>
      <c r="N123" s="1095">
        <v>0</v>
      </c>
      <c r="O123" s="1095">
        <v>0</v>
      </c>
      <c r="P123" s="1108">
        <v>0</v>
      </c>
      <c r="Q123" s="390" t="s">
        <v>909</v>
      </c>
      <c r="R123" s="215">
        <v>0</v>
      </c>
      <c r="S123" s="216">
        <v>0</v>
      </c>
      <c r="T123" s="216">
        <v>0</v>
      </c>
      <c r="U123" s="217">
        <v>0</v>
      </c>
      <c r="V123" s="213">
        <v>0</v>
      </c>
      <c r="W123" s="391">
        <v>0</v>
      </c>
      <c r="X123" s="390" t="s">
        <v>909</v>
      </c>
      <c r="Y123" s="215">
        <v>0</v>
      </c>
      <c r="Z123" s="216">
        <v>0</v>
      </c>
      <c r="AA123" s="216">
        <v>0</v>
      </c>
      <c r="AB123" s="217">
        <v>0</v>
      </c>
      <c r="AC123" s="213">
        <v>0</v>
      </c>
      <c r="AD123" s="214">
        <v>0</v>
      </c>
      <c r="AE123" s="218" t="s">
        <v>909</v>
      </c>
      <c r="AF123" s="213">
        <v>0</v>
      </c>
      <c r="AG123" s="213">
        <v>0</v>
      </c>
      <c r="AH123" s="213">
        <v>0</v>
      </c>
      <c r="AI123" s="213">
        <v>0</v>
      </c>
      <c r="AJ123" s="213">
        <v>0</v>
      </c>
      <c r="AK123" s="222">
        <v>0</v>
      </c>
    </row>
    <row r="124" spans="2:37" ht="42.75" x14ac:dyDescent="0.2">
      <c r="B124" s="95" t="s">
        <v>1644</v>
      </c>
      <c r="C124" s="96" t="s">
        <v>390</v>
      </c>
      <c r="D124" s="97" t="s">
        <v>1645</v>
      </c>
      <c r="E124" s="97"/>
      <c r="F124" s="97"/>
      <c r="G124" s="199"/>
      <c r="H124" s="94" t="s">
        <v>236</v>
      </c>
      <c r="I124" s="267">
        <v>2</v>
      </c>
      <c r="J124" s="1107" t="s">
        <v>909</v>
      </c>
      <c r="K124" s="1096">
        <f>K122+SUM(ESWNCT!$L$124:$L$127)+K123</f>
        <v>59.721346538898466</v>
      </c>
      <c r="L124" s="1096">
        <f>L122+SUM(ESWNCT!$Q$124:$Q$127)+L123</f>
        <v>58.873637568374832</v>
      </c>
      <c r="M124" s="1096">
        <f>M122+SUM(ESWNCT!$V$124:$V$127)+M123</f>
        <v>58.553117483788668</v>
      </c>
      <c r="N124" s="1096">
        <f>N122+SUM(ESWNCT!$AA$124:$AA$127)+N123</f>
        <v>58.847436313223263</v>
      </c>
      <c r="O124" s="1096">
        <f>O122+SUM(ESWNCT!$AF$124:$AF$127)+O123</f>
        <v>62.875523008684553</v>
      </c>
      <c r="P124" s="1109">
        <f>P122+SUM(ESWNCT!$AK$124:$AK$127)+P123</f>
        <v>46.076526834759115</v>
      </c>
      <c r="Q124" s="390" t="s">
        <v>909</v>
      </c>
      <c r="R124" s="215">
        <v>0</v>
      </c>
      <c r="S124" s="216">
        <v>0</v>
      </c>
      <c r="T124" s="216">
        <v>0</v>
      </c>
      <c r="U124" s="217">
        <v>0</v>
      </c>
      <c r="V124" s="213">
        <v>0</v>
      </c>
      <c r="W124" s="214">
        <v>0</v>
      </c>
      <c r="X124" s="387" t="s">
        <v>909</v>
      </c>
      <c r="Y124" s="215">
        <v>0</v>
      </c>
      <c r="Z124" s="216">
        <v>0</v>
      </c>
      <c r="AA124" s="216">
        <v>0</v>
      </c>
      <c r="AB124" s="217">
        <v>0</v>
      </c>
      <c r="AC124" s="213">
        <v>0</v>
      </c>
      <c r="AD124" s="214">
        <v>0</v>
      </c>
      <c r="AE124" s="218" t="s">
        <v>909</v>
      </c>
      <c r="AF124" s="213">
        <v>0</v>
      </c>
      <c r="AG124" s="213">
        <v>0</v>
      </c>
      <c r="AH124" s="213">
        <v>0</v>
      </c>
      <c r="AI124" s="213">
        <v>0</v>
      </c>
      <c r="AJ124" s="213">
        <v>0</v>
      </c>
      <c r="AK124" s="222">
        <v>0</v>
      </c>
    </row>
    <row r="125" spans="2:37" x14ac:dyDescent="0.2">
      <c r="B125" s="95" t="s">
        <v>1646</v>
      </c>
      <c r="C125" s="96" t="s">
        <v>384</v>
      </c>
      <c r="D125" s="97" t="s">
        <v>772</v>
      </c>
      <c r="E125" s="97"/>
      <c r="F125" s="97"/>
      <c r="G125" s="199"/>
      <c r="H125" s="94" t="s">
        <v>236</v>
      </c>
      <c r="I125" s="267">
        <v>2</v>
      </c>
      <c r="J125" s="1107" t="s">
        <v>909</v>
      </c>
      <c r="K125" s="1096">
        <f>ESWNCT!$L$178</f>
        <v>2.0255586528540008</v>
      </c>
      <c r="L125" s="1096">
        <f>ESWNCT!$Q$178</f>
        <v>1.2918477209982819</v>
      </c>
      <c r="M125" s="1096">
        <f>ESWNCT!$V$178</f>
        <v>0.99779938952625202</v>
      </c>
      <c r="N125" s="1096">
        <f>ESWNCT!$AA$178</f>
        <v>0.86386635262578004</v>
      </c>
      <c r="O125" s="1096">
        <f>ESWNCT!$AF$178</f>
        <v>0.76742370832585804</v>
      </c>
      <c r="P125" s="1109">
        <f>ESWNCT!$AK$178</f>
        <v>0.74042659347659001</v>
      </c>
      <c r="Q125" s="390" t="s">
        <v>909</v>
      </c>
      <c r="R125" s="215">
        <v>0</v>
      </c>
      <c r="S125" s="216">
        <v>0</v>
      </c>
      <c r="T125" s="216">
        <v>0</v>
      </c>
      <c r="U125" s="217">
        <v>0</v>
      </c>
      <c r="V125" s="213">
        <v>0</v>
      </c>
      <c r="W125" s="391">
        <v>0</v>
      </c>
      <c r="X125" s="390" t="s">
        <v>909</v>
      </c>
      <c r="Y125" s="215">
        <v>0</v>
      </c>
      <c r="Z125" s="216">
        <v>0</v>
      </c>
      <c r="AA125" s="216">
        <v>0</v>
      </c>
      <c r="AB125" s="217">
        <v>0</v>
      </c>
      <c r="AC125" s="213">
        <v>0</v>
      </c>
      <c r="AD125" s="214">
        <v>0</v>
      </c>
      <c r="AE125" s="218" t="s">
        <v>909</v>
      </c>
      <c r="AF125" s="213">
        <v>0</v>
      </c>
      <c r="AG125" s="213">
        <v>0</v>
      </c>
      <c r="AH125" s="213">
        <v>0</v>
      </c>
      <c r="AI125" s="213">
        <v>0</v>
      </c>
      <c r="AJ125" s="213">
        <v>0</v>
      </c>
      <c r="AK125" s="222">
        <v>0</v>
      </c>
    </row>
    <row r="126" spans="2:37" x14ac:dyDescent="0.2">
      <c r="B126" s="91" t="s">
        <v>1647</v>
      </c>
      <c r="C126" s="92" t="s">
        <v>1648</v>
      </c>
      <c r="D126" s="1094" t="s">
        <v>1649</v>
      </c>
      <c r="E126" s="99"/>
      <c r="F126" s="99"/>
      <c r="G126" s="200"/>
      <c r="H126" s="98" t="s">
        <v>236</v>
      </c>
      <c r="I126" s="268">
        <v>2</v>
      </c>
      <c r="J126" s="1107"/>
      <c r="K126" s="1095"/>
      <c r="L126" s="1095"/>
      <c r="M126" s="1095"/>
      <c r="N126" s="1095"/>
      <c r="O126" s="1095"/>
      <c r="P126" s="1108"/>
      <c r="Q126" s="390" t="s">
        <v>909</v>
      </c>
      <c r="R126" s="215">
        <v>0</v>
      </c>
      <c r="S126" s="216">
        <v>0</v>
      </c>
      <c r="T126" s="216">
        <v>0</v>
      </c>
      <c r="U126" s="217">
        <v>0</v>
      </c>
      <c r="V126" s="213">
        <v>0</v>
      </c>
      <c r="W126" s="391">
        <v>0</v>
      </c>
      <c r="X126" s="390" t="s">
        <v>909</v>
      </c>
      <c r="Y126" s="215">
        <v>0</v>
      </c>
      <c r="Z126" s="216">
        <v>0</v>
      </c>
      <c r="AA126" s="216">
        <v>0</v>
      </c>
      <c r="AB126" s="217">
        <v>0</v>
      </c>
      <c r="AC126" s="213">
        <v>0</v>
      </c>
      <c r="AD126" s="214">
        <v>0</v>
      </c>
      <c r="AE126" s="218" t="s">
        <v>909</v>
      </c>
      <c r="AF126" s="213">
        <v>0</v>
      </c>
      <c r="AG126" s="213">
        <v>0</v>
      </c>
      <c r="AH126" s="213">
        <v>0</v>
      </c>
      <c r="AI126" s="213">
        <v>0</v>
      </c>
      <c r="AJ126" s="213">
        <v>0</v>
      </c>
      <c r="AK126" s="222">
        <v>0</v>
      </c>
    </row>
    <row r="127" spans="2:37" x14ac:dyDescent="0.2">
      <c r="B127" s="95" t="s">
        <v>1650</v>
      </c>
      <c r="C127" s="96" t="s">
        <v>597</v>
      </c>
      <c r="D127" s="97" t="s">
        <v>1651</v>
      </c>
      <c r="E127" s="97"/>
      <c r="F127" s="97"/>
      <c r="G127" s="199"/>
      <c r="H127" s="94" t="s">
        <v>236</v>
      </c>
      <c r="I127" s="267">
        <v>2</v>
      </c>
      <c r="J127" s="1107"/>
      <c r="K127" s="1096">
        <f>$K124-$K121</f>
        <v>11.350184506153546</v>
      </c>
      <c r="L127" s="1096">
        <f>$L124-$L121</f>
        <v>11.492112902750165</v>
      </c>
      <c r="M127" s="1096">
        <f>$M124-$M121</f>
        <v>12.949792260300939</v>
      </c>
      <c r="N127" s="1096">
        <f>$N124-$N121</f>
        <v>14.256749197771839</v>
      </c>
      <c r="O127" s="1096">
        <f>$O124-$O121</f>
        <v>18.63961898831915</v>
      </c>
      <c r="P127" s="1109">
        <f>$P124-$P121</f>
        <v>1.8515687923069066</v>
      </c>
      <c r="Q127" s="390" t="s">
        <v>909</v>
      </c>
      <c r="R127" s="215">
        <v>0</v>
      </c>
      <c r="S127" s="216">
        <v>0</v>
      </c>
      <c r="T127" s="216">
        <v>0</v>
      </c>
      <c r="U127" s="217">
        <v>0</v>
      </c>
      <c r="V127" s="213">
        <v>0</v>
      </c>
      <c r="W127" s="391">
        <v>0</v>
      </c>
      <c r="X127" s="390" t="s">
        <v>909</v>
      </c>
      <c r="Y127" s="215">
        <v>0</v>
      </c>
      <c r="Z127" s="216">
        <v>0</v>
      </c>
      <c r="AA127" s="216">
        <v>0</v>
      </c>
      <c r="AB127" s="217">
        <v>0</v>
      </c>
      <c r="AC127" s="213">
        <v>0</v>
      </c>
      <c r="AD127" s="214">
        <v>0</v>
      </c>
      <c r="AE127" s="218" t="s">
        <v>909</v>
      </c>
      <c r="AF127" s="213">
        <v>0</v>
      </c>
      <c r="AG127" s="213">
        <v>0</v>
      </c>
      <c r="AH127" s="213">
        <v>0</v>
      </c>
      <c r="AI127" s="213">
        <v>0</v>
      </c>
      <c r="AJ127" s="213">
        <v>0</v>
      </c>
      <c r="AK127" s="222">
        <v>0</v>
      </c>
    </row>
    <row r="128" spans="2:37" ht="15" thickBot="1" x14ac:dyDescent="0.25">
      <c r="B128" s="210" t="s">
        <v>1652</v>
      </c>
      <c r="C128" s="211" t="s">
        <v>393</v>
      </c>
      <c r="D128" s="212" t="s">
        <v>1653</v>
      </c>
      <c r="E128" s="206"/>
      <c r="F128" s="206"/>
      <c r="G128" s="207"/>
      <c r="H128" s="208" t="s">
        <v>236</v>
      </c>
      <c r="I128" s="269">
        <v>2</v>
      </c>
      <c r="J128" s="1110"/>
      <c r="K128" s="1111">
        <f>$K127-($K125+$K126)</f>
        <v>9.3246258532995459</v>
      </c>
      <c r="L128" s="1112">
        <f>$L127-($L125+$L126)</f>
        <v>10.200265181751883</v>
      </c>
      <c r="M128" s="1112">
        <f>$M127-($M125+$M126)</f>
        <v>11.951992870774687</v>
      </c>
      <c r="N128" s="1112">
        <f>$N127-($N125+$N126)</f>
        <v>13.392882845146058</v>
      </c>
      <c r="O128" s="1112">
        <f>$O127-($O125+$O126)</f>
        <v>17.872195279993292</v>
      </c>
      <c r="P128" s="1113">
        <f>$P127-($P125+$P126)</f>
        <v>1.1111421988303167</v>
      </c>
      <c r="Q128" s="1115" t="s">
        <v>909</v>
      </c>
      <c r="R128" s="215">
        <v>0</v>
      </c>
      <c r="S128" s="216">
        <v>0</v>
      </c>
      <c r="T128" s="216">
        <v>0</v>
      </c>
      <c r="U128" s="217">
        <v>0</v>
      </c>
      <c r="V128" s="213">
        <v>0</v>
      </c>
      <c r="W128" s="214">
        <v>0</v>
      </c>
      <c r="X128" s="388" t="s">
        <v>909</v>
      </c>
      <c r="Y128" s="215">
        <v>0</v>
      </c>
      <c r="Z128" s="216">
        <v>0</v>
      </c>
      <c r="AA128" s="216">
        <v>0</v>
      </c>
      <c r="AB128" s="217">
        <v>0</v>
      </c>
      <c r="AC128" s="213">
        <v>0</v>
      </c>
      <c r="AD128" s="214">
        <v>0</v>
      </c>
      <c r="AE128" s="218" t="s">
        <v>909</v>
      </c>
      <c r="AF128" s="213">
        <v>0</v>
      </c>
      <c r="AG128" s="213">
        <v>0</v>
      </c>
      <c r="AH128" s="213">
        <v>0</v>
      </c>
      <c r="AI128" s="213">
        <v>0</v>
      </c>
      <c r="AJ128" s="213">
        <v>0</v>
      </c>
      <c r="AK128" s="222">
        <v>0</v>
      </c>
    </row>
    <row r="129" spans="2:37" ht="15" thickTop="1" x14ac:dyDescent="0.2">
      <c r="B129" s="209"/>
      <c r="C129" s="209"/>
      <c r="D129" s="209"/>
      <c r="E129" s="209"/>
      <c r="F129" s="209"/>
      <c r="G129" s="209"/>
      <c r="H129" s="209"/>
      <c r="I129" s="209"/>
      <c r="Q129" s="376"/>
      <c r="R129" s="209"/>
      <c r="S129" s="209"/>
      <c r="T129" s="209"/>
      <c r="U129" s="209"/>
      <c r="V129" s="209"/>
      <c r="W129" s="209"/>
      <c r="X129" s="376"/>
      <c r="Y129" s="209"/>
      <c r="Z129" s="209"/>
      <c r="AA129" s="209"/>
      <c r="AB129" s="209"/>
      <c r="AC129" s="209"/>
      <c r="AD129" s="209"/>
      <c r="AE129" s="209"/>
      <c r="AF129" s="209"/>
      <c r="AG129" s="209"/>
      <c r="AH129" s="209"/>
      <c r="AI129" s="209"/>
      <c r="AJ129" s="209"/>
      <c r="AK129" s="209"/>
    </row>
    <row r="131" spans="2:37" x14ac:dyDescent="0.2">
      <c r="P131" s="1441"/>
    </row>
    <row r="133" spans="2:37" x14ac:dyDescent="0.2">
      <c r="J133" s="1441"/>
    </row>
  </sheetData>
  <mergeCells count="16">
    <mergeCell ref="J11:P11"/>
    <mergeCell ref="Q11:W11"/>
    <mergeCell ref="X11:AD11"/>
    <mergeCell ref="AE11:AK11"/>
    <mergeCell ref="J107:P107"/>
    <mergeCell ref="Q107:W107"/>
    <mergeCell ref="X107:AD107"/>
    <mergeCell ref="AE107:AK107"/>
    <mergeCell ref="J43:P43"/>
    <mergeCell ref="Q43:W43"/>
    <mergeCell ref="X43:AD43"/>
    <mergeCell ref="AE43:AK43"/>
    <mergeCell ref="J75:P75"/>
    <mergeCell ref="Q75:W75"/>
    <mergeCell ref="X75:AD75"/>
    <mergeCell ref="AE75:AK75"/>
  </mergeCells>
  <hyperlinks>
    <hyperlink ref="B2" location="'6. Drought Plan Links'!$B$11" display="ESWBLY" xr:uid="{00000000-0004-0000-0600-000000000000}"/>
    <hyperlink ref="C11" location="'6. Drought Plan Links'!$A$1" display="Back to top of sheet" xr:uid="{E7AD9ACC-CC21-46F9-B4BC-7F91F99B72BE}"/>
    <hyperlink ref="C43" location="'6. Drought Plan Links'!$A$1" display="Back to top of sheet" xr:uid="{D4CDBB0C-93FF-419B-9098-C5B6B8238CE1}"/>
    <hyperlink ref="C2" location="'6. Drought Plan Links'!$B$43" display="ESWESX" xr:uid="{6B05E55E-AE1A-4287-B547-4A61130796AC}"/>
    <hyperlink ref="C75" location="'6. Drought Plan Links'!$A$1" display="Back to top of sheet" xr:uid="{8C6B4774-14B4-4A62-8F0E-2FAE0B625CA2}"/>
    <hyperlink ref="D2" location="'6. Drought Plan Links'!$B$75" display="ESWHRT" xr:uid="{764EE49A-C897-46BF-8788-5A4960765691}"/>
    <hyperlink ref="C107" location="'6. Drought Plan Links'!$A$1" display="Back to top of sheet" xr:uid="{4FE6080C-5839-4C88-909D-0F5C1FF08D17}"/>
    <hyperlink ref="E2" location="'6. Drought Plan Links'!$B$107" display="ESWNCT" xr:uid="{407D74A0-140E-4F02-B6DC-A001572A7D29}"/>
  </hyperlinks>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dimension ref="A1:Z197"/>
  <sheetViews>
    <sheetView showOutlineSymbols="0" showWhiteSpace="0" workbookViewId="0">
      <selection activeCell="J4" sqref="J4"/>
    </sheetView>
  </sheetViews>
  <sheetFormatPr defaultColWidth="8.6640625" defaultRowHeight="14.25" x14ac:dyDescent="0.2"/>
  <cols>
    <col min="1" max="1" width="12.6640625" style="7" customWidth="1"/>
    <col min="2" max="2" width="21.109375" style="7" customWidth="1"/>
    <col min="3" max="3" width="26" style="7" customWidth="1"/>
    <col min="4" max="4" width="10.88671875" style="7" customWidth="1"/>
    <col min="5" max="5" width="12.6640625" style="7" customWidth="1"/>
    <col min="6" max="7" width="8.6640625" style="7"/>
    <col min="8" max="8" width="11" style="7" customWidth="1"/>
    <col min="9" max="9" width="11.109375" style="7" customWidth="1"/>
    <col min="10" max="10" width="14" style="7" customWidth="1"/>
    <col min="11" max="11" width="15.6640625" style="7" customWidth="1"/>
    <col min="12" max="12" width="15.21875" style="7" customWidth="1"/>
    <col min="13" max="13" width="16.109375" style="7" bestFit="1" customWidth="1"/>
    <col min="14" max="14" width="14.6640625" style="7" bestFit="1" customWidth="1"/>
    <col min="15" max="15" width="15.6640625" style="7" customWidth="1"/>
    <col min="16" max="16" width="14.6640625" style="7" bestFit="1" customWidth="1"/>
    <col min="17" max="16384" width="8.6640625" style="7"/>
  </cols>
  <sheetData>
    <row r="1" spans="2:26" ht="15" thickBot="1" x14ac:dyDescent="0.25">
      <c r="B1" s="62"/>
      <c r="C1" s="62"/>
      <c r="D1" s="62"/>
      <c r="E1" s="62"/>
      <c r="F1" s="62"/>
      <c r="G1" s="62"/>
      <c r="H1" s="62"/>
      <c r="I1" s="62"/>
      <c r="J1" s="62"/>
      <c r="K1" s="62"/>
      <c r="L1" s="62"/>
      <c r="M1" s="62"/>
      <c r="N1" s="62"/>
      <c r="O1" s="62"/>
      <c r="P1" s="62"/>
      <c r="Q1" s="62"/>
      <c r="R1" s="62"/>
    </row>
    <row r="2" spans="2:26" ht="30.75" thickBot="1" x14ac:dyDescent="0.25">
      <c r="B2" s="100" t="s">
        <v>64</v>
      </c>
      <c r="C2" s="58" t="str">
        <f>'TITLE PAGE'!$D$18</f>
        <v>Essex &amp; Suffolk Water</v>
      </c>
      <c r="D2" s="101" t="s">
        <v>1656</v>
      </c>
      <c r="E2" s="1364" t="s">
        <v>1462</v>
      </c>
      <c r="F2" s="100" t="s">
        <v>1657</v>
      </c>
      <c r="G2" s="1359" t="s">
        <v>105</v>
      </c>
      <c r="H2" s="102" t="s">
        <v>200</v>
      </c>
      <c r="I2" s="59" t="s">
        <v>1658</v>
      </c>
      <c r="K2" s="1151" t="s">
        <v>63</v>
      </c>
      <c r="M2" s="372"/>
      <c r="O2" s="62"/>
      <c r="S2" s="372"/>
    </row>
    <row r="3" spans="2:26" ht="141.6" customHeight="1" thickBot="1" x14ac:dyDescent="0.25">
      <c r="B3" s="101" t="s">
        <v>1659</v>
      </c>
      <c r="C3" s="1890" t="s">
        <v>1660</v>
      </c>
      <c r="D3" s="1896"/>
      <c r="E3" s="1896"/>
      <c r="F3" s="1896"/>
      <c r="G3" s="1896"/>
      <c r="H3" s="1896"/>
      <c r="I3" s="1897"/>
      <c r="J3" s="1538"/>
      <c r="L3" s="1552" t="s">
        <v>1661</v>
      </c>
      <c r="M3" s="1552"/>
      <c r="N3" s="62"/>
    </row>
    <row r="4" spans="2:26" ht="89.1" customHeight="1" thickBot="1" x14ac:dyDescent="0.25">
      <c r="B4" s="101" t="s">
        <v>1662</v>
      </c>
      <c r="C4" s="1881" t="s">
        <v>1663</v>
      </c>
      <c r="D4" s="1882"/>
      <c r="E4" s="1882"/>
      <c r="F4" s="1882"/>
      <c r="G4" s="1882"/>
      <c r="H4" s="1882"/>
      <c r="I4" s="1883"/>
      <c r="L4" s="1552"/>
      <c r="M4" s="1552"/>
      <c r="N4" s="1360" t="s">
        <v>1664</v>
      </c>
      <c r="O4" s="1361"/>
      <c r="P4" s="1361"/>
      <c r="Q4" s="1361"/>
      <c r="R4" s="1361"/>
      <c r="S4" s="1361"/>
      <c r="T4" s="1361"/>
      <c r="U4" s="1361"/>
    </row>
    <row r="5" spans="2:26" ht="97.5" customHeight="1" thickBot="1" x14ac:dyDescent="0.25">
      <c r="B5" s="101" t="s">
        <v>1665</v>
      </c>
      <c r="C5" s="1898" t="s">
        <v>1666</v>
      </c>
      <c r="D5" s="1899"/>
      <c r="E5" s="1899"/>
      <c r="F5" s="1899"/>
      <c r="G5" s="1899"/>
      <c r="H5" s="1899"/>
      <c r="I5" s="1900"/>
      <c r="N5" s="62"/>
    </row>
    <row r="6" spans="2:26" ht="75" customHeight="1" thickBot="1" x14ac:dyDescent="0.25">
      <c r="B6" s="60" t="s">
        <v>1667</v>
      </c>
      <c r="C6" s="1648">
        <v>1042049</v>
      </c>
      <c r="D6" s="61" t="s">
        <v>1668</v>
      </c>
      <c r="E6" s="1384" t="s">
        <v>1669</v>
      </c>
      <c r="F6" s="104" t="s">
        <v>1670</v>
      </c>
      <c r="G6" s="1358" t="s">
        <v>1671</v>
      </c>
      <c r="H6" s="104" t="s">
        <v>2</v>
      </c>
      <c r="I6" s="1469">
        <f>'TITLE PAGE'!D21</f>
        <v>16</v>
      </c>
      <c r="K6" s="62"/>
    </row>
    <row r="7" spans="2:26" ht="15" thickBot="1" x14ac:dyDescent="0.25">
      <c r="C7" s="1357"/>
      <c r="P7" s="62"/>
    </row>
    <row r="8" spans="2:26" ht="60.75" thickBot="1" x14ac:dyDescent="0.25">
      <c r="B8" s="193" t="str">
        <f>CONCATENATE("Table 7a: WC level - Alternative Programme ",E2, " Baseline SDB")</f>
        <v>Table 7a: WC level - Alternative Programme North Suffolk Reservoir Baseline SDB</v>
      </c>
      <c r="M8" s="1866" t="s">
        <v>1672</v>
      </c>
      <c r="N8" s="1867"/>
      <c r="O8" s="1867"/>
      <c r="P8" s="1867"/>
      <c r="Q8" s="1867"/>
      <c r="R8" s="1867"/>
      <c r="S8" s="1867"/>
      <c r="T8" s="1867"/>
      <c r="U8" s="1867"/>
      <c r="V8" s="1867"/>
      <c r="W8" s="1867"/>
      <c r="X8" s="1867"/>
      <c r="Y8" s="1867"/>
      <c r="Z8" s="1867"/>
    </row>
    <row r="9" spans="2:26" ht="30.75" thickBot="1" x14ac:dyDescent="0.25">
      <c r="B9" s="106" t="s">
        <v>70</v>
      </c>
      <c r="C9" s="107" t="s">
        <v>1673</v>
      </c>
      <c r="D9" s="1868" t="s">
        <v>206</v>
      </c>
      <c r="E9" s="1869"/>
      <c r="F9" s="108" t="s">
        <v>207</v>
      </c>
      <c r="G9" s="119" t="s">
        <v>1674</v>
      </c>
      <c r="H9" s="109" t="s">
        <v>1675</v>
      </c>
      <c r="I9" s="109" t="s">
        <v>1671</v>
      </c>
      <c r="J9" s="109" t="s">
        <v>1676</v>
      </c>
      <c r="K9" s="109" t="s">
        <v>1677</v>
      </c>
      <c r="L9" s="110" t="s">
        <v>1678</v>
      </c>
      <c r="M9" s="120" t="s">
        <v>1679</v>
      </c>
      <c r="N9" s="120" t="s">
        <v>1680</v>
      </c>
      <c r="O9" s="120" t="s">
        <v>1681</v>
      </c>
      <c r="P9" s="120" t="s">
        <v>1682</v>
      </c>
      <c r="Q9" s="119" t="s">
        <v>1683</v>
      </c>
      <c r="R9" s="109" t="s">
        <v>1684</v>
      </c>
      <c r="S9" s="109" t="s">
        <v>1685</v>
      </c>
      <c r="T9" s="109" t="s">
        <v>1686</v>
      </c>
      <c r="U9" s="109" t="s">
        <v>1687</v>
      </c>
      <c r="V9" s="110" t="s">
        <v>1688</v>
      </c>
      <c r="W9" s="120" t="s">
        <v>1689</v>
      </c>
      <c r="X9" s="120" t="s">
        <v>1690</v>
      </c>
      <c r="Y9" s="120" t="s">
        <v>1691</v>
      </c>
      <c r="Z9" s="120" t="s">
        <v>1692</v>
      </c>
    </row>
    <row r="10" spans="2:26" ht="26.1" customHeight="1" x14ac:dyDescent="0.2">
      <c r="B10" s="1555" t="s">
        <v>1693</v>
      </c>
      <c r="C10" s="1551" t="s">
        <v>1637</v>
      </c>
      <c r="D10" s="1888" t="s">
        <v>236</v>
      </c>
      <c r="E10" s="1889"/>
      <c r="F10" s="1556">
        <v>2</v>
      </c>
      <c r="G10" s="288">
        <v>466.56666346724023</v>
      </c>
      <c r="H10" s="288">
        <v>470.63087681288044</v>
      </c>
      <c r="I10" s="288">
        <v>471.53977339286632</v>
      </c>
      <c r="J10" s="288">
        <v>474.49032708280856</v>
      </c>
      <c r="K10" s="288">
        <v>477.68819040356175</v>
      </c>
      <c r="L10" s="288">
        <v>479.68133030739335</v>
      </c>
      <c r="M10" s="288">
        <v>2429.7016249187845</v>
      </c>
      <c r="N10" s="288">
        <v>2455.9914290111592</v>
      </c>
      <c r="O10" s="288">
        <v>2470.9312223844518</v>
      </c>
      <c r="P10" s="288">
        <v>2488.5544990693029</v>
      </c>
      <c r="Q10" s="288"/>
      <c r="R10" s="288"/>
      <c r="S10" s="288"/>
      <c r="T10" s="288"/>
      <c r="U10" s="288"/>
      <c r="V10" s="288"/>
      <c r="W10" s="288"/>
      <c r="X10" s="288"/>
      <c r="Y10" s="288"/>
      <c r="Z10" s="288"/>
    </row>
    <row r="11" spans="2:26" ht="35.85" customHeight="1" x14ac:dyDescent="0.2">
      <c r="B11" s="1564" t="s">
        <v>1694</v>
      </c>
      <c r="C11" s="1382" t="s">
        <v>390</v>
      </c>
      <c r="D11" s="1872" t="s">
        <v>236</v>
      </c>
      <c r="E11" s="1873"/>
      <c r="F11" s="1378">
        <v>2</v>
      </c>
      <c r="G11" s="292">
        <f>'2. WC Level Data'!$L$64</f>
        <v>459.27580771469349</v>
      </c>
      <c r="H11" s="292">
        <f>'2. WC Level Data'!$M$64</f>
        <v>458.37534502242755</v>
      </c>
      <c r="I11" s="292">
        <f>'2. WC Level Data'!$N$64</f>
        <v>454.56772247217123</v>
      </c>
      <c r="J11" s="292">
        <f>'2. WC Level Data'!$O$64</f>
        <v>452.16697267943806</v>
      </c>
      <c r="K11" s="292">
        <f>'2. WC Level Data'!$P$64</f>
        <v>451.26269042426333</v>
      </c>
      <c r="L11" s="292">
        <f>'2. WC Level Data'!$Q$64</f>
        <v>450.35702886397183</v>
      </c>
      <c r="M11" s="295">
        <f>SUM('2. WC Level Data'!$R$64:$V$64)</f>
        <v>2181.9876353382201</v>
      </c>
      <c r="N11" s="295">
        <f>SUM('2. WC Level Data'!$W$64:$AA$64)</f>
        <v>2267.5391976813889</v>
      </c>
      <c r="O11" s="295">
        <f>SUM('2. WC Level Data'!$AB$64:$AF$64)</f>
        <v>2162.1786239487492</v>
      </c>
      <c r="P11" s="295">
        <f>SUM('2. WC Level Data'!$AG$64:$AK$64)</f>
        <v>2062.944558623165</v>
      </c>
      <c r="Q11" s="292"/>
      <c r="R11" s="293"/>
      <c r="S11" s="293"/>
      <c r="T11" s="293"/>
      <c r="U11" s="293"/>
      <c r="V11" s="294"/>
      <c r="W11" s="295"/>
      <c r="X11" s="295"/>
      <c r="Y11" s="295"/>
      <c r="Z11" s="295"/>
    </row>
    <row r="12" spans="2:26" x14ac:dyDescent="0.2">
      <c r="B12" s="1565" t="s">
        <v>1695</v>
      </c>
      <c r="C12" s="1377" t="s">
        <v>384</v>
      </c>
      <c r="D12" s="1872" t="s">
        <v>236</v>
      </c>
      <c r="E12" s="1873"/>
      <c r="F12" s="1378">
        <v>2</v>
      </c>
      <c r="G12" s="296">
        <f>'2. WC Level Data'!L62</f>
        <v>10.756007356367068</v>
      </c>
      <c r="H12" s="297">
        <f>'2. WC Level Data'!M62</f>
        <v>11.045610917873599</v>
      </c>
      <c r="I12" s="297">
        <f>'2. WC Level Data'!N62</f>
        <v>10.125696711552145</v>
      </c>
      <c r="J12" s="297">
        <f>'2. WC Level Data'!O62</f>
        <v>9.2831519612602769</v>
      </c>
      <c r="K12" s="297" cm="1">
        <f t="array" ref="K12">_xlfn.ANCHORARRAY('2. WC Level Data'!P62)</f>
        <v>8.7579472448238338</v>
      </c>
      <c r="L12" s="298">
        <f>'2. WC Level Data'!Q62</f>
        <v>8.1289085005026553</v>
      </c>
      <c r="M12" s="299">
        <f>SUM('2. WC Level Data'!R62:V62)</f>
        <v>28.308469660078337</v>
      </c>
      <c r="N12" s="299">
        <f>SUM('2. WC Level Data'!W62:AA62)</f>
        <v>20.173551864293255</v>
      </c>
      <c r="O12" s="299">
        <f>SUM('2. WC Level Data'!AB62:AF62)</f>
        <v>18.890900857565786</v>
      </c>
      <c r="P12" s="299">
        <f>SUM('2. WC Level Data'!AG62:AK62)</f>
        <v>22.023299042893626</v>
      </c>
      <c r="Q12" s="296"/>
      <c r="R12" s="297"/>
      <c r="S12" s="297"/>
      <c r="T12" s="297"/>
      <c r="U12" s="297"/>
      <c r="V12" s="298"/>
      <c r="W12" s="299"/>
      <c r="X12" s="299"/>
      <c r="Y12" s="299"/>
      <c r="Z12" s="299"/>
    </row>
    <row r="13" spans="2:26" ht="15" thickBot="1" x14ac:dyDescent="0.25">
      <c r="B13" s="1566" t="s">
        <v>1696</v>
      </c>
      <c r="C13" s="1560" t="s">
        <v>393</v>
      </c>
      <c r="D13" s="1874" t="s">
        <v>236</v>
      </c>
      <c r="E13" s="1875"/>
      <c r="F13" s="1561">
        <v>2</v>
      </c>
      <c r="G13" s="300">
        <f>'2. WC Level Data'!L65</f>
        <v>-22.122281721732215</v>
      </c>
      <c r="H13" s="301">
        <f>'2. WC Level Data'!M65</f>
        <v>-27.198434968279507</v>
      </c>
      <c r="I13" s="301">
        <f>'2. WC Level Data'!N65</f>
        <v>-30.959404639510925</v>
      </c>
      <c r="J13" s="301">
        <f>'2. WC Level Data'!O65</f>
        <v>-35.47897925149109</v>
      </c>
      <c r="K13" s="301">
        <f>'2. WC Level Data'!P65</f>
        <v>-39.066787553991645</v>
      </c>
      <c r="L13" s="302">
        <f>'2. WC Level Data'!Q65</f>
        <v>-41.346792600102724</v>
      </c>
      <c r="M13" s="303">
        <f>SUM('2. WC Level Data'!R65:V65)</f>
        <v>-283.8385042146308</v>
      </c>
      <c r="N13" s="303">
        <f>SUM('2. WC Level Data'!W65:AA65)</f>
        <v>-208.62312889906323</v>
      </c>
      <c r="O13" s="303">
        <f>SUM('2. WC Level Data'!AB65:AF65)</f>
        <v>-327.64084499826856</v>
      </c>
      <c r="P13" s="303">
        <f>SUM('2. WC Level Data'!AG65:AK65)</f>
        <v>-447.63058519403182</v>
      </c>
      <c r="Q13" s="300"/>
      <c r="R13" s="301"/>
      <c r="S13" s="301"/>
      <c r="T13" s="301"/>
      <c r="U13" s="301"/>
      <c r="V13" s="302"/>
      <c r="W13" s="303"/>
      <c r="X13" s="303"/>
      <c r="Y13" s="303"/>
      <c r="Z13" s="303"/>
    </row>
    <row r="14" spans="2:26" ht="15" thickBot="1" x14ac:dyDescent="0.25">
      <c r="B14" s="136"/>
      <c r="C14" s="66"/>
      <c r="D14" s="66"/>
      <c r="E14" s="66"/>
      <c r="Q14" s="62"/>
      <c r="R14" s="62"/>
    </row>
    <row r="15" spans="2:26" ht="60.75" thickBot="1" x14ac:dyDescent="0.25">
      <c r="B15" s="193" t="str">
        <f>CONCATENATE("Table 7b: WC level - Alternative Programme  ",E2, " Final Plan SDB")</f>
        <v>Table 7b: WC level - Alternative Programme  North Suffolk Reservoir Final Plan SDB</v>
      </c>
      <c r="C15" s="138"/>
      <c r="D15" s="137"/>
      <c r="E15" s="137"/>
      <c r="F15" s="74"/>
      <c r="G15" s="74"/>
      <c r="H15" s="74"/>
      <c r="I15" s="74"/>
      <c r="J15" s="74"/>
      <c r="K15" s="74"/>
      <c r="L15" s="74"/>
      <c r="M15" s="1866" t="s">
        <v>1672</v>
      </c>
      <c r="N15" s="1867"/>
      <c r="O15" s="1867"/>
      <c r="P15" s="1867"/>
      <c r="Q15" s="1867"/>
      <c r="R15" s="1867"/>
      <c r="S15" s="1867"/>
      <c r="T15" s="1867"/>
      <c r="U15" s="1867"/>
      <c r="V15" s="1867"/>
      <c r="W15" s="1867"/>
      <c r="X15" s="1867"/>
      <c r="Y15" s="1867"/>
      <c r="Z15" s="1867"/>
    </row>
    <row r="16" spans="2:26" ht="30.75" thickBot="1" x14ac:dyDescent="0.25">
      <c r="B16" s="343" t="s">
        <v>70</v>
      </c>
      <c r="C16" s="344" t="s">
        <v>1697</v>
      </c>
      <c r="D16" s="1868" t="s">
        <v>206</v>
      </c>
      <c r="E16" s="1869"/>
      <c r="F16" s="345" t="s">
        <v>207</v>
      </c>
      <c r="G16" s="346" t="s">
        <v>1674</v>
      </c>
      <c r="H16" s="347" t="s">
        <v>1675</v>
      </c>
      <c r="I16" s="347" t="s">
        <v>1671</v>
      </c>
      <c r="J16" s="347" t="s">
        <v>1676</v>
      </c>
      <c r="K16" s="347" t="s">
        <v>1677</v>
      </c>
      <c r="L16" s="348" t="s">
        <v>1678</v>
      </c>
      <c r="M16" s="349" t="s">
        <v>1679</v>
      </c>
      <c r="N16" s="349" t="s">
        <v>1680</v>
      </c>
      <c r="O16" s="349" t="s">
        <v>1681</v>
      </c>
      <c r="P16" s="349" t="s">
        <v>1682</v>
      </c>
      <c r="Q16" s="119" t="s">
        <v>1683</v>
      </c>
      <c r="R16" s="109" t="s">
        <v>1684</v>
      </c>
      <c r="S16" s="109" t="s">
        <v>1685</v>
      </c>
      <c r="T16" s="109" t="s">
        <v>1686</v>
      </c>
      <c r="U16" s="109" t="s">
        <v>1687</v>
      </c>
      <c r="V16" s="110" t="s">
        <v>1688</v>
      </c>
      <c r="W16" s="120" t="s">
        <v>1689</v>
      </c>
      <c r="X16" s="120" t="s">
        <v>1690</v>
      </c>
      <c r="Y16" s="120" t="s">
        <v>1691</v>
      </c>
      <c r="Z16" s="120" t="s">
        <v>1692</v>
      </c>
    </row>
    <row r="17" spans="2:26" x14ac:dyDescent="0.2">
      <c r="B17" s="1562" t="s">
        <v>1698</v>
      </c>
      <c r="C17" s="1550" t="s">
        <v>1637</v>
      </c>
      <c r="D17" s="1888" t="s">
        <v>236</v>
      </c>
      <c r="E17" s="1889"/>
      <c r="F17" s="1563">
        <v>2</v>
      </c>
      <c r="G17" s="341">
        <v>466.56666346724023</v>
      </c>
      <c r="H17" s="341">
        <v>466.8126588839682</v>
      </c>
      <c r="I17" s="341">
        <v>464.28240946025761</v>
      </c>
      <c r="J17" s="341">
        <v>462.29966294103775</v>
      </c>
      <c r="K17" s="341">
        <v>460.07629239804101</v>
      </c>
      <c r="L17" s="341">
        <v>456.97390714925524</v>
      </c>
      <c r="M17" s="341">
        <v>2240.1900425918884</v>
      </c>
      <c r="N17" s="341">
        <v>2154.1748994091772</v>
      </c>
      <c r="O17" s="341">
        <v>2083.0068706085149</v>
      </c>
      <c r="P17" s="341">
        <v>2060.8588283483778</v>
      </c>
      <c r="Q17" s="341"/>
      <c r="R17" s="341"/>
      <c r="S17" s="341"/>
      <c r="T17" s="341"/>
      <c r="U17" s="341"/>
      <c r="V17" s="341"/>
      <c r="W17" s="341"/>
      <c r="X17" s="341"/>
      <c r="Y17" s="341"/>
      <c r="Z17" s="341"/>
    </row>
    <row r="18" spans="2:26" s="338" customFormat="1" ht="35.85" customHeight="1" x14ac:dyDescent="0.2">
      <c r="B18" s="1397" t="s">
        <v>1699</v>
      </c>
      <c r="C18" s="1382" t="s">
        <v>390</v>
      </c>
      <c r="D18" s="1872" t="s">
        <v>236</v>
      </c>
      <c r="E18" s="1873"/>
      <c r="F18" s="1378">
        <v>2</v>
      </c>
      <c r="G18" s="1388">
        <f>'2. WC Level Data'!L77</f>
        <v>490.02919715434984</v>
      </c>
      <c r="H18" s="1388">
        <f>'2. WC Level Data'!M77</f>
        <v>491.25196028720228</v>
      </c>
      <c r="I18" s="1388">
        <f>'2. WC Level Data'!N77</f>
        <v>487.31156928422922</v>
      </c>
      <c r="J18" s="1388">
        <f>'2. WC Level Data'!O77</f>
        <v>490.89508140434697</v>
      </c>
      <c r="K18" s="1388">
        <f>'2. WC Level Data'!P77</f>
        <v>487.52299828714433</v>
      </c>
      <c r="L18" s="1388">
        <f>'2. WC Level Data'!Q77</f>
        <v>492.46427427379541</v>
      </c>
      <c r="M18" s="1398">
        <f>(SUM('2. WC Level Data'!R77:V77))-('4. Options Appraisal Summary'!V46*3)+('4. Options Appraisal Summary'!V52*2)</f>
        <v>2494.8068212532235</v>
      </c>
      <c r="N18" s="1398">
        <f>SUM('2. WC Level Data'!W77:AA77)-('4. Options Appraisal Summary'!V46*5)+('4. Options Appraisal Summary'!V52*5)</f>
        <v>2729.3047241143736</v>
      </c>
      <c r="O18" s="1398">
        <f>SUM('2. WC Level Data'!W77:AA77)-('4. Options Appraisal Summary'!V46*5)+('4. Options Appraisal Summary'!V52*5)</f>
        <v>2729.3047241143736</v>
      </c>
      <c r="P18" s="1399">
        <f>SUM('2. WC Level Data'!W77:AA77)-('4. Options Appraisal Summary'!V46*5)+('4. Options Appraisal Summary'!V51*5)</f>
        <v>2494.6047241143738</v>
      </c>
      <c r="Q18" s="1368"/>
      <c r="R18" s="1369"/>
      <c r="S18" s="1369"/>
      <c r="T18" s="1369"/>
      <c r="U18" s="1369"/>
      <c r="V18" s="1370"/>
      <c r="W18" s="1371"/>
      <c r="X18" s="1371"/>
      <c r="Y18" s="1371"/>
      <c r="Z18" s="1371"/>
    </row>
    <row r="19" spans="2:26" x14ac:dyDescent="0.2">
      <c r="B19" s="1390" t="s">
        <v>1700</v>
      </c>
      <c r="C19" s="1377" t="s">
        <v>384</v>
      </c>
      <c r="D19" s="1872" t="s">
        <v>236</v>
      </c>
      <c r="E19" s="1873"/>
      <c r="F19" s="1378">
        <v>2</v>
      </c>
      <c r="G19" s="296">
        <f>'2. WC Level Data'!L75</f>
        <v>10.674141376525171</v>
      </c>
      <c r="H19" s="297">
        <f>'2. WC Level Data'!M75</f>
        <v>11.109891465755577</v>
      </c>
      <c r="I19" s="297">
        <f>'2. WC Level Data'!N75</f>
        <v>10.054179665650723</v>
      </c>
      <c r="J19" s="297">
        <f>'2. WC Level Data'!O75</f>
        <v>11.640347628793107</v>
      </c>
      <c r="K19" s="297">
        <f>'2. WC Level Data'!P75</f>
        <v>10.94270610219057</v>
      </c>
      <c r="L19" s="298">
        <f>'2. WC Level Data'!Q75</f>
        <v>10.373156077633462</v>
      </c>
      <c r="M19" s="299">
        <f>SUM('2. WC Level Data'!R75:V75)</f>
        <v>39.511851178317592</v>
      </c>
      <c r="N19" s="299">
        <f>SUM('2. WC Level Data'!W75:AA75)</f>
        <v>31.009007306266099</v>
      </c>
      <c r="O19" s="299">
        <f>SUM('2. WC Level Data'!AB75:AF75)</f>
        <v>29.963918366670164</v>
      </c>
      <c r="P19" s="342">
        <f>SUM('2. WC Level Data'!AG75:AK75)</f>
        <v>33.33439743664723</v>
      </c>
      <c r="Q19" s="296"/>
      <c r="R19" s="297"/>
      <c r="S19" s="297"/>
      <c r="T19" s="297"/>
      <c r="U19" s="297"/>
      <c r="V19" s="298"/>
      <c r="W19" s="299"/>
      <c r="X19" s="299"/>
      <c r="Y19" s="299"/>
      <c r="Z19" s="299"/>
    </row>
    <row r="20" spans="2:26" ht="15" thickBot="1" x14ac:dyDescent="0.25">
      <c r="B20" s="1392" t="s">
        <v>1701</v>
      </c>
      <c r="C20" s="1373" t="s">
        <v>393</v>
      </c>
      <c r="D20" s="1874" t="s">
        <v>236</v>
      </c>
      <c r="E20" s="1875"/>
      <c r="F20" s="1374">
        <v>2</v>
      </c>
      <c r="G20" s="1375">
        <f>G18-G17-G19</f>
        <v>12.788392310584442</v>
      </c>
      <c r="H20" s="1375">
        <f t="shared" ref="H20:L20" si="0">H18-H17-H19</f>
        <v>13.329409937478506</v>
      </c>
      <c r="I20" s="1375">
        <f t="shared" si="0"/>
        <v>12.974980158320887</v>
      </c>
      <c r="J20" s="1375">
        <f t="shared" si="0"/>
        <v>16.955070834516107</v>
      </c>
      <c r="K20" s="1375">
        <f t="shared" si="0"/>
        <v>16.503999786912757</v>
      </c>
      <c r="L20" s="1375">
        <f t="shared" si="0"/>
        <v>25.117211046906711</v>
      </c>
      <c r="M20" s="1387">
        <f>M18-(M17+M19)</f>
        <v>215.10492748301749</v>
      </c>
      <c r="N20" s="1387">
        <f>N18-(N17+N19)</f>
        <v>544.12081739893028</v>
      </c>
      <c r="O20" s="1387">
        <f>O18-(O17+O19)</f>
        <v>616.33393513918872</v>
      </c>
      <c r="P20" s="1387">
        <f>P18-(P17+P19)</f>
        <v>400.41149832934889</v>
      </c>
      <c r="Q20" s="300"/>
      <c r="R20" s="301"/>
      <c r="S20" s="301"/>
      <c r="T20" s="301"/>
      <c r="U20" s="301"/>
      <c r="V20" s="302"/>
      <c r="W20" s="303"/>
      <c r="X20" s="303"/>
      <c r="Y20" s="303"/>
      <c r="Z20" s="303"/>
    </row>
    <row r="21" spans="2:26" ht="15" thickBot="1" x14ac:dyDescent="0.25">
      <c r="B21" s="62"/>
      <c r="Q21" s="62"/>
      <c r="R21" s="62"/>
    </row>
    <row r="22" spans="2:26" ht="75.95" customHeight="1" thickBot="1" x14ac:dyDescent="0.25">
      <c r="B22" s="193" t="str">
        <f>CONCATENATE("Table 7c: WC level - Alternative Programme  ",E2, " Totex")</f>
        <v>Table 7c: WC level - Alternative Programme  North Suffolk Reservoir Totex</v>
      </c>
      <c r="C22" s="138"/>
      <c r="D22" s="137"/>
      <c r="E22" s="74"/>
      <c r="F22" s="74"/>
      <c r="G22" s="74"/>
      <c r="H22" s="74"/>
      <c r="I22" s="74"/>
      <c r="J22" s="74"/>
      <c r="K22" s="74"/>
      <c r="L22" s="74"/>
      <c r="M22" s="1866" t="s">
        <v>1672</v>
      </c>
      <c r="N22" s="1867"/>
      <c r="O22" s="1867"/>
      <c r="P22" s="1867"/>
      <c r="Q22" s="1867"/>
      <c r="R22" s="1867"/>
      <c r="S22" s="1867"/>
      <c r="T22" s="1867"/>
      <c r="U22" s="1867"/>
      <c r="V22" s="1867"/>
      <c r="W22" s="1867"/>
      <c r="X22" s="1867"/>
      <c r="Y22" s="1867"/>
      <c r="Z22" s="1867"/>
    </row>
    <row r="23" spans="2:26" ht="30.75" thickBot="1" x14ac:dyDescent="0.25">
      <c r="B23" s="106" t="s">
        <v>70</v>
      </c>
      <c r="C23" s="107" t="s">
        <v>1702</v>
      </c>
      <c r="D23" s="107" t="s">
        <v>1703</v>
      </c>
      <c r="E23" s="107" t="s">
        <v>1704</v>
      </c>
      <c r="F23" s="108" t="s">
        <v>207</v>
      </c>
      <c r="G23" s="119" t="s">
        <v>1674</v>
      </c>
      <c r="H23" s="109" t="s">
        <v>1675</v>
      </c>
      <c r="I23" s="109" t="s">
        <v>1671</v>
      </c>
      <c r="J23" s="109" t="s">
        <v>1676</v>
      </c>
      <c r="K23" s="109" t="s">
        <v>1677</v>
      </c>
      <c r="L23" s="110" t="s">
        <v>1678</v>
      </c>
      <c r="M23" s="120" t="s">
        <v>1679</v>
      </c>
      <c r="N23" s="120" t="s">
        <v>1680</v>
      </c>
      <c r="O23" s="120" t="s">
        <v>1681</v>
      </c>
      <c r="P23" s="120" t="s">
        <v>1682</v>
      </c>
      <c r="Q23" s="119" t="s">
        <v>1683</v>
      </c>
      <c r="R23" s="109" t="s">
        <v>1684</v>
      </c>
      <c r="S23" s="109" t="s">
        <v>1685</v>
      </c>
      <c r="T23" s="109" t="s">
        <v>1686</v>
      </c>
      <c r="U23" s="109" t="s">
        <v>1687</v>
      </c>
      <c r="V23" s="110" t="s">
        <v>1688</v>
      </c>
      <c r="W23" s="120" t="s">
        <v>1689</v>
      </c>
      <c r="X23" s="120" t="s">
        <v>1690</v>
      </c>
      <c r="Y23" s="120" t="s">
        <v>1691</v>
      </c>
      <c r="Z23" s="120" t="s">
        <v>1692</v>
      </c>
    </row>
    <row r="24" spans="2:26" x14ac:dyDescent="0.2">
      <c r="B24" s="1567" t="s">
        <v>1705</v>
      </c>
      <c r="C24" s="1568" t="s">
        <v>1706</v>
      </c>
      <c r="D24" s="1568" t="s">
        <v>1707</v>
      </c>
      <c r="E24" s="1568" t="s">
        <v>1708</v>
      </c>
      <c r="F24" s="1569">
        <v>3</v>
      </c>
      <c r="G24" s="285"/>
      <c r="H24" s="1649">
        <v>0</v>
      </c>
      <c r="I24" s="1649">
        <v>0</v>
      </c>
      <c r="J24" s="1649">
        <v>0</v>
      </c>
      <c r="K24" s="1649">
        <v>0</v>
      </c>
      <c r="L24" s="1649">
        <v>188.31700000000001</v>
      </c>
      <c r="M24" s="1649">
        <v>188.31700000000001</v>
      </c>
      <c r="N24" s="1649">
        <v>0</v>
      </c>
      <c r="O24" s="1649">
        <v>0</v>
      </c>
      <c r="P24" s="1649">
        <v>70.966370000000012</v>
      </c>
      <c r="Q24" s="288"/>
      <c r="R24" s="289"/>
      <c r="S24" s="289"/>
      <c r="T24" s="289"/>
      <c r="U24" s="289"/>
      <c r="V24" s="290"/>
      <c r="W24" s="291"/>
      <c r="X24" s="291"/>
      <c r="Y24" s="291"/>
      <c r="Z24" s="291"/>
    </row>
    <row r="25" spans="2:26" x14ac:dyDescent="0.2">
      <c r="B25" s="1557" t="s">
        <v>1709</v>
      </c>
      <c r="C25" s="1382" t="s">
        <v>1710</v>
      </c>
      <c r="D25" s="1382" t="s">
        <v>1707</v>
      </c>
      <c r="E25" s="1382" t="s">
        <v>1708</v>
      </c>
      <c r="F25" s="1570">
        <v>3</v>
      </c>
      <c r="G25" s="286"/>
      <c r="H25" s="1650">
        <v>0</v>
      </c>
      <c r="I25" s="1650">
        <v>0</v>
      </c>
      <c r="J25" s="1650">
        <v>0</v>
      </c>
      <c r="K25" s="1650">
        <v>75.60732999999999</v>
      </c>
      <c r="L25" s="1650">
        <v>75.60732999999999</v>
      </c>
      <c r="M25" s="1650">
        <v>78.362329999999986</v>
      </c>
      <c r="N25" s="1650">
        <v>13.775</v>
      </c>
      <c r="O25" s="1650">
        <v>235.11515</v>
      </c>
      <c r="P25" s="1651">
        <v>0</v>
      </c>
      <c r="Q25" s="292"/>
      <c r="R25" s="293"/>
      <c r="S25" s="293"/>
      <c r="T25" s="293"/>
      <c r="U25" s="293"/>
      <c r="V25" s="294"/>
      <c r="W25" s="295"/>
      <c r="X25" s="295"/>
      <c r="Y25" s="295"/>
      <c r="Z25" s="295"/>
    </row>
    <row r="26" spans="2:26" ht="29.1" customHeight="1" thickBot="1" x14ac:dyDescent="0.25">
      <c r="B26" s="1559" t="s">
        <v>1711</v>
      </c>
      <c r="C26" s="1560" t="s">
        <v>1712</v>
      </c>
      <c r="D26" s="1560" t="s">
        <v>1707</v>
      </c>
      <c r="E26" s="1560" t="s">
        <v>1708</v>
      </c>
      <c r="F26" s="1571">
        <v>3</v>
      </c>
      <c r="G26" s="287"/>
      <c r="H26" s="1652">
        <v>17.188809477456569</v>
      </c>
      <c r="I26" s="1652">
        <v>24.119923897936573</v>
      </c>
      <c r="J26" s="1652">
        <v>62.167617475936567</v>
      </c>
      <c r="K26" s="1652">
        <v>137.54264241985257</v>
      </c>
      <c r="L26" s="1652">
        <v>116.07762554038658</v>
      </c>
      <c r="M26" s="1652">
        <v>337.62908912026995</v>
      </c>
      <c r="N26" s="1652">
        <v>52.701398996999998</v>
      </c>
      <c r="O26" s="1652">
        <v>135.57756899999998</v>
      </c>
      <c r="P26" s="1652">
        <v>232.53710100000004</v>
      </c>
      <c r="Q26" s="300"/>
      <c r="R26" s="301"/>
      <c r="S26" s="301"/>
      <c r="T26" s="301"/>
      <c r="U26" s="301"/>
      <c r="V26" s="302"/>
      <c r="W26" s="303"/>
      <c r="X26" s="303"/>
      <c r="Y26" s="303"/>
      <c r="Z26" s="303"/>
    </row>
    <row r="27" spans="2:26" ht="15" thickBot="1" x14ac:dyDescent="0.25">
      <c r="R27" s="62"/>
      <c r="S27" s="62"/>
    </row>
    <row r="28" spans="2:26" ht="75.75" thickBot="1" x14ac:dyDescent="0.25">
      <c r="B28" s="193" t="str">
        <f>CONCATENATE("Table 7d: WC level - Alternative Programme  ",E2, " Enhancement Expenditure")</f>
        <v>Table 7d: WC level - Alternative Programme  North Suffolk Reservoir Enhancement Expenditure</v>
      </c>
      <c r="C28" s="138"/>
      <c r="D28" s="137"/>
      <c r="E28" s="137"/>
      <c r="F28" s="74"/>
      <c r="G28" s="74"/>
      <c r="H28" s="74"/>
      <c r="I28" s="74"/>
      <c r="J28" s="74"/>
      <c r="K28" s="74"/>
      <c r="L28" s="74"/>
      <c r="M28" s="1866" t="s">
        <v>1672</v>
      </c>
      <c r="N28" s="1867"/>
      <c r="O28" s="1867"/>
      <c r="P28" s="1867"/>
      <c r="Q28" s="1867"/>
      <c r="R28" s="1867"/>
      <c r="S28" s="1867"/>
      <c r="T28" s="1867"/>
      <c r="U28" s="1867"/>
      <c r="V28" s="1867"/>
      <c r="W28" s="1867"/>
      <c r="X28" s="1867"/>
      <c r="Y28" s="1867"/>
      <c r="Z28" s="1867"/>
    </row>
    <row r="29" spans="2:26" ht="30.75" thickBot="1" x14ac:dyDescent="0.25">
      <c r="B29" s="106" t="s">
        <v>70</v>
      </c>
      <c r="C29" s="107" t="s">
        <v>1702</v>
      </c>
      <c r="D29" s="107" t="s">
        <v>1703</v>
      </c>
      <c r="E29" s="107" t="s">
        <v>1704</v>
      </c>
      <c r="F29" s="108" t="s">
        <v>207</v>
      </c>
      <c r="G29" s="119" t="s">
        <v>1674</v>
      </c>
      <c r="H29" s="109" t="s">
        <v>1675</v>
      </c>
      <c r="I29" s="109" t="s">
        <v>1671</v>
      </c>
      <c r="J29" s="109" t="s">
        <v>1676</v>
      </c>
      <c r="K29" s="109" t="s">
        <v>1677</v>
      </c>
      <c r="L29" s="110" t="s">
        <v>1678</v>
      </c>
      <c r="M29" s="120" t="s">
        <v>1679</v>
      </c>
      <c r="N29" s="120" t="s">
        <v>1680</v>
      </c>
      <c r="O29" s="120" t="s">
        <v>1681</v>
      </c>
      <c r="P29" s="120" t="s">
        <v>1682</v>
      </c>
      <c r="Q29" s="119" t="s">
        <v>1683</v>
      </c>
      <c r="R29" s="109" t="s">
        <v>1684</v>
      </c>
      <c r="S29" s="109" t="s">
        <v>1685</v>
      </c>
      <c r="T29" s="109" t="s">
        <v>1686</v>
      </c>
      <c r="U29" s="109" t="s">
        <v>1687</v>
      </c>
      <c r="V29" s="110" t="s">
        <v>1688</v>
      </c>
      <c r="W29" s="120" t="s">
        <v>1689</v>
      </c>
      <c r="X29" s="120" t="s">
        <v>1690</v>
      </c>
      <c r="Y29" s="120" t="s">
        <v>1691</v>
      </c>
      <c r="Z29" s="120" t="s">
        <v>1692</v>
      </c>
    </row>
    <row r="30" spans="2:26" ht="17.850000000000001" customHeight="1" x14ac:dyDescent="0.2">
      <c r="B30" s="244" t="s">
        <v>1713</v>
      </c>
      <c r="C30" s="245" t="s">
        <v>1714</v>
      </c>
      <c r="D30" s="245" t="s">
        <v>1496</v>
      </c>
      <c r="E30" s="245" t="s">
        <v>1708</v>
      </c>
      <c r="F30" s="270">
        <v>3</v>
      </c>
      <c r="G30" s="285"/>
      <c r="H30" s="1653">
        <v>13.316079310055555</v>
      </c>
      <c r="I30" s="1653">
        <v>19.850622308055556</v>
      </c>
      <c r="J30" s="1653">
        <v>56.183622308055547</v>
      </c>
      <c r="K30" s="1653">
        <v>131.07562230805556</v>
      </c>
      <c r="L30" s="1653">
        <v>106.62241471305556</v>
      </c>
      <c r="M30" s="1653">
        <v>293.40800000000002</v>
      </c>
      <c r="N30" s="1653">
        <v>19.149999999999999</v>
      </c>
      <c r="O30" s="1653">
        <v>100.52</v>
      </c>
      <c r="P30" s="1653">
        <v>174.95699999999999</v>
      </c>
      <c r="Q30" s="288"/>
      <c r="R30" s="289"/>
      <c r="S30" s="289"/>
      <c r="T30" s="289"/>
      <c r="U30" s="289"/>
      <c r="V30" s="290"/>
      <c r="W30" s="291"/>
      <c r="X30" s="291"/>
      <c r="Y30" s="291"/>
      <c r="Z30" s="291"/>
    </row>
    <row r="31" spans="2:26" ht="17.850000000000001" customHeight="1" x14ac:dyDescent="0.2">
      <c r="B31" s="113" t="s">
        <v>1715</v>
      </c>
      <c r="C31" s="114" t="s">
        <v>1714</v>
      </c>
      <c r="D31" s="114" t="s">
        <v>1491</v>
      </c>
      <c r="E31" s="114" t="s">
        <v>1708</v>
      </c>
      <c r="F31" s="271">
        <v>3</v>
      </c>
      <c r="G31" s="286"/>
      <c r="H31" s="1654">
        <v>3.8727301674010142</v>
      </c>
      <c r="I31" s="1654">
        <v>4.2693015898810147</v>
      </c>
      <c r="J31" s="1654">
        <v>5.9839951678810142</v>
      </c>
      <c r="K31" s="1654">
        <v>6.467020111797015</v>
      </c>
      <c r="L31" s="1654">
        <v>9.4552108273310154</v>
      </c>
      <c r="M31" s="1654">
        <v>44.221089120269944</v>
      </c>
      <c r="N31" s="1654">
        <v>33.551398997</v>
      </c>
      <c r="O31" s="1654">
        <v>35.057569000000001</v>
      </c>
      <c r="P31" s="1654">
        <v>57.580100999999999</v>
      </c>
      <c r="Q31" s="292"/>
      <c r="R31" s="293"/>
      <c r="S31" s="293"/>
      <c r="T31" s="293"/>
      <c r="U31" s="293"/>
      <c r="V31" s="294"/>
      <c r="W31" s="295"/>
      <c r="X31" s="295"/>
      <c r="Y31" s="295"/>
      <c r="Z31" s="295"/>
    </row>
    <row r="32" spans="2:26" ht="17.850000000000001" customHeight="1" thickBot="1" x14ac:dyDescent="0.25">
      <c r="B32" s="116" t="s">
        <v>1716</v>
      </c>
      <c r="C32" s="117" t="s">
        <v>1714</v>
      </c>
      <c r="D32" s="117" t="s">
        <v>1707</v>
      </c>
      <c r="E32" s="117" t="s">
        <v>1708</v>
      </c>
      <c r="F32" s="272">
        <v>3</v>
      </c>
      <c r="G32" s="287"/>
      <c r="H32" s="1652">
        <v>17.188809477456569</v>
      </c>
      <c r="I32" s="1652">
        <v>24.119923897936573</v>
      </c>
      <c r="J32" s="1652">
        <v>62.167617475936567</v>
      </c>
      <c r="K32" s="1652">
        <v>137.54264241985257</v>
      </c>
      <c r="L32" s="1652">
        <v>116.07762554038658</v>
      </c>
      <c r="M32" s="1652">
        <v>337.62908912026995</v>
      </c>
      <c r="N32" s="1652">
        <v>52.701398996999998</v>
      </c>
      <c r="O32" s="1652">
        <v>135.57756900000001</v>
      </c>
      <c r="P32" s="1652">
        <v>232.53710100000001</v>
      </c>
      <c r="Q32" s="300"/>
      <c r="R32" s="301"/>
      <c r="S32" s="301"/>
      <c r="T32" s="301"/>
      <c r="U32" s="301"/>
      <c r="V32" s="302"/>
      <c r="W32" s="303"/>
      <c r="X32" s="303"/>
      <c r="Y32" s="303"/>
      <c r="Z32" s="303"/>
    </row>
    <row r="33" spans="2:26" x14ac:dyDescent="0.2">
      <c r="Q33" s="62"/>
      <c r="R33" s="62"/>
    </row>
    <row r="34" spans="2:26" ht="15" thickBot="1" x14ac:dyDescent="0.25">
      <c r="Q34" s="62"/>
      <c r="R34" s="62"/>
    </row>
    <row r="35" spans="2:26" ht="53.25" customHeight="1" thickBot="1" x14ac:dyDescent="0.25">
      <c r="B35" s="100" t="s">
        <v>64</v>
      </c>
      <c r="C35" s="58" t="str">
        <f>'TITLE PAGE'!$D$18</f>
        <v>Essex &amp; Suffolk Water</v>
      </c>
      <c r="D35" s="101" t="s">
        <v>1656</v>
      </c>
      <c r="E35" s="1363" t="s">
        <v>1459</v>
      </c>
      <c r="F35" s="100" t="s">
        <v>1657</v>
      </c>
      <c r="G35" s="1359" t="s">
        <v>1717</v>
      </c>
      <c r="H35" s="102" t="s">
        <v>200</v>
      </c>
      <c r="I35" s="59" t="s">
        <v>1658</v>
      </c>
      <c r="Q35" s="62"/>
      <c r="R35" s="62"/>
    </row>
    <row r="36" spans="2:26" ht="62.85" customHeight="1" thickBot="1" x14ac:dyDescent="0.25">
      <c r="B36" s="101" t="s">
        <v>1659</v>
      </c>
      <c r="C36" s="1890" t="s">
        <v>1718</v>
      </c>
      <c r="D36" s="1896"/>
      <c r="E36" s="1896"/>
      <c r="F36" s="1896"/>
      <c r="G36" s="1896"/>
      <c r="H36" s="1896"/>
      <c r="I36" s="1897"/>
      <c r="O36" s="1553"/>
      <c r="Q36" s="62"/>
      <c r="R36" s="62"/>
    </row>
    <row r="37" spans="2:26" ht="127.35" customHeight="1" thickBot="1" x14ac:dyDescent="0.25">
      <c r="B37" s="101" t="s">
        <v>1662</v>
      </c>
      <c r="C37" s="1890" t="s">
        <v>1719</v>
      </c>
      <c r="D37" s="1891"/>
      <c r="E37" s="1891"/>
      <c r="F37" s="1891"/>
      <c r="G37" s="1891"/>
      <c r="H37" s="1891"/>
      <c r="I37" s="1892"/>
      <c r="K37" s="1552" t="s">
        <v>1661</v>
      </c>
      <c r="Q37" s="62"/>
      <c r="R37" s="62"/>
    </row>
    <row r="38" spans="2:26" ht="155.85" customHeight="1" thickBot="1" x14ac:dyDescent="0.25">
      <c r="B38" s="101" t="s">
        <v>1665</v>
      </c>
      <c r="C38" s="1890" t="s">
        <v>1720</v>
      </c>
      <c r="D38" s="1891"/>
      <c r="E38" s="1891"/>
      <c r="F38" s="1891"/>
      <c r="G38" s="1891"/>
      <c r="H38" s="1891"/>
      <c r="I38" s="1892"/>
    </row>
    <row r="39" spans="2:26" ht="57.75" thickBot="1" x14ac:dyDescent="0.25">
      <c r="B39" s="60" t="s">
        <v>1667</v>
      </c>
      <c r="C39" s="1647">
        <v>1172739</v>
      </c>
      <c r="D39" s="61" t="s">
        <v>1668</v>
      </c>
      <c r="E39" s="103" t="s">
        <v>1721</v>
      </c>
      <c r="F39" s="104" t="s">
        <v>1670</v>
      </c>
      <c r="G39" s="105">
        <v>2027</v>
      </c>
      <c r="H39" s="104" t="s">
        <v>2</v>
      </c>
      <c r="I39" s="1470">
        <f>I6</f>
        <v>16</v>
      </c>
    </row>
    <row r="40" spans="2:26" ht="15" thickBot="1" x14ac:dyDescent="0.25"/>
    <row r="41" spans="2:26" ht="82.5" customHeight="1" thickBot="1" x14ac:dyDescent="0.25">
      <c r="B41" s="193" t="str">
        <f>CONCATENATE("Table 7a: WC level - Alternative Programme ",E35, " Baseline SDB")</f>
        <v>Table 7a: WC level - Alternative Programme High PCC Baseline SDB</v>
      </c>
      <c r="M41" s="1866" t="s">
        <v>1672</v>
      </c>
      <c r="N41" s="1867"/>
      <c r="O41" s="1867"/>
      <c r="P41" s="1867"/>
      <c r="Q41" s="1867"/>
      <c r="R41" s="1867"/>
      <c r="S41" s="1867"/>
      <c r="T41" s="1867"/>
      <c r="U41" s="1867"/>
      <c r="V41" s="1867"/>
      <c r="W41" s="1867"/>
      <c r="X41" s="1867"/>
      <c r="Y41" s="1867"/>
      <c r="Z41" s="1867"/>
    </row>
    <row r="42" spans="2:26" ht="30.75" thickBot="1" x14ac:dyDescent="0.25">
      <c r="B42" s="106" t="s">
        <v>70</v>
      </c>
      <c r="C42" s="107" t="s">
        <v>1673</v>
      </c>
      <c r="D42" s="1868" t="s">
        <v>206</v>
      </c>
      <c r="E42" s="1869"/>
      <c r="F42" s="108" t="s">
        <v>207</v>
      </c>
      <c r="G42" s="119" t="s">
        <v>1674</v>
      </c>
      <c r="H42" s="109" t="s">
        <v>1675</v>
      </c>
      <c r="I42" s="109" t="s">
        <v>1671</v>
      </c>
      <c r="J42" s="109" t="s">
        <v>1676</v>
      </c>
      <c r="K42" s="109" t="s">
        <v>1677</v>
      </c>
      <c r="L42" s="110" t="s">
        <v>1678</v>
      </c>
      <c r="M42" s="120" t="s">
        <v>1679</v>
      </c>
      <c r="N42" s="120" t="s">
        <v>1680</v>
      </c>
      <c r="O42" s="120" t="s">
        <v>1681</v>
      </c>
      <c r="P42" s="120" t="s">
        <v>1682</v>
      </c>
      <c r="Q42" s="119" t="s">
        <v>1683</v>
      </c>
      <c r="R42" s="109" t="s">
        <v>1684</v>
      </c>
      <c r="S42" s="109" t="s">
        <v>1685</v>
      </c>
      <c r="T42" s="109" t="s">
        <v>1686</v>
      </c>
      <c r="U42" s="109" t="s">
        <v>1687</v>
      </c>
      <c r="V42" s="110" t="s">
        <v>1688</v>
      </c>
      <c r="W42" s="120" t="s">
        <v>1689</v>
      </c>
      <c r="X42" s="120" t="s">
        <v>1690</v>
      </c>
      <c r="Y42" s="120" t="s">
        <v>1691</v>
      </c>
      <c r="Z42" s="120" t="s">
        <v>1692</v>
      </c>
    </row>
    <row r="43" spans="2:26" x14ac:dyDescent="0.2">
      <c r="B43" s="1555" t="s">
        <v>1693</v>
      </c>
      <c r="C43" s="1551" t="s">
        <v>1637</v>
      </c>
      <c r="D43" s="1888" t="s">
        <v>236</v>
      </c>
      <c r="E43" s="1889"/>
      <c r="F43" s="1556">
        <v>2</v>
      </c>
      <c r="G43" s="288">
        <v>466.56666346724023</v>
      </c>
      <c r="H43" s="288">
        <v>470.63087681288044</v>
      </c>
      <c r="I43" s="288">
        <v>471.53977339286632</v>
      </c>
      <c r="J43" s="288">
        <v>474.49032708280856</v>
      </c>
      <c r="K43" s="288">
        <v>477.68819040356175</v>
      </c>
      <c r="L43" s="288">
        <v>479.68133030739335</v>
      </c>
      <c r="M43" s="288">
        <v>2429.7016249187845</v>
      </c>
      <c r="N43" s="288">
        <v>2455.9914290111592</v>
      </c>
      <c r="O43" s="288">
        <v>2470.9312223844518</v>
      </c>
      <c r="P43" s="288">
        <v>2488.5544990693029</v>
      </c>
      <c r="Q43" s="288"/>
      <c r="R43" s="288"/>
      <c r="S43" s="288"/>
      <c r="T43" s="288"/>
      <c r="U43" s="288"/>
      <c r="V43" s="288"/>
      <c r="W43" s="288"/>
      <c r="X43" s="288"/>
      <c r="Y43" s="288"/>
      <c r="Z43" s="288"/>
    </row>
    <row r="44" spans="2:26" x14ac:dyDescent="0.2">
      <c r="B44" s="1557" t="s">
        <v>1694</v>
      </c>
      <c r="C44" s="1382" t="s">
        <v>390</v>
      </c>
      <c r="D44" s="1872" t="s">
        <v>236</v>
      </c>
      <c r="E44" s="1873"/>
      <c r="F44" s="1378">
        <v>2</v>
      </c>
      <c r="G44" s="292">
        <f>'2. WC Level Data'!L64</f>
        <v>459.27580771469349</v>
      </c>
      <c r="H44" s="292">
        <f>'2. WC Level Data'!M64</f>
        <v>458.37534502242755</v>
      </c>
      <c r="I44" s="292">
        <f>'2. WC Level Data'!N64</f>
        <v>454.56772247217123</v>
      </c>
      <c r="J44" s="292">
        <f>'2. WC Level Data'!O64</f>
        <v>452.16697267943806</v>
      </c>
      <c r="K44" s="292">
        <f>'2. WC Level Data'!P64</f>
        <v>451.26269042426333</v>
      </c>
      <c r="L44" s="292">
        <f>'2. WC Level Data'!Q64</f>
        <v>450.35702886397183</v>
      </c>
      <c r="M44" s="292">
        <f>SUM('2. WC Level Data'!R64:V64)</f>
        <v>2181.9876353382201</v>
      </c>
      <c r="N44" s="292">
        <f>SUM('2. WC Level Data'!W64:AA64)</f>
        <v>2267.5391976813889</v>
      </c>
      <c r="O44" s="292">
        <f>SUM('2. WC Level Data'!AB64:AF64)</f>
        <v>2162.1786239487492</v>
      </c>
      <c r="P44" s="292">
        <f>SUM('2. WC Level Data'!AG64:AK64)</f>
        <v>2062.944558623165</v>
      </c>
      <c r="Q44" s="292"/>
      <c r="R44" s="293"/>
      <c r="S44" s="293"/>
      <c r="T44" s="293"/>
      <c r="U44" s="293"/>
      <c r="V44" s="294"/>
      <c r="W44" s="295"/>
      <c r="X44" s="295"/>
      <c r="Y44" s="295"/>
      <c r="Z44" s="295"/>
    </row>
    <row r="45" spans="2:26" x14ac:dyDescent="0.2">
      <c r="B45" s="1558" t="s">
        <v>1695</v>
      </c>
      <c r="C45" s="1377" t="s">
        <v>384</v>
      </c>
      <c r="D45" s="1872" t="s">
        <v>236</v>
      </c>
      <c r="E45" s="1873"/>
      <c r="F45" s="1378">
        <v>2</v>
      </c>
      <c r="G45" s="292">
        <f t="shared" ref="G45:P46" si="1">G12</f>
        <v>10.756007356367068</v>
      </c>
      <c r="H45" s="292">
        <f t="shared" si="1"/>
        <v>11.045610917873599</v>
      </c>
      <c r="I45" s="292">
        <f t="shared" si="1"/>
        <v>10.125696711552145</v>
      </c>
      <c r="J45" s="292">
        <f t="shared" si="1"/>
        <v>9.2831519612602769</v>
      </c>
      <c r="K45" s="292">
        <f t="shared" si="1"/>
        <v>8.7579472448238338</v>
      </c>
      <c r="L45" s="292">
        <f t="shared" si="1"/>
        <v>8.1289085005026553</v>
      </c>
      <c r="M45" s="292">
        <f t="shared" si="1"/>
        <v>28.308469660078337</v>
      </c>
      <c r="N45" s="292">
        <f t="shared" si="1"/>
        <v>20.173551864293255</v>
      </c>
      <c r="O45" s="292">
        <f t="shared" si="1"/>
        <v>18.890900857565786</v>
      </c>
      <c r="P45" s="292">
        <f t="shared" si="1"/>
        <v>22.023299042893626</v>
      </c>
      <c r="Q45" s="296"/>
      <c r="R45" s="297"/>
      <c r="S45" s="297"/>
      <c r="T45" s="297"/>
      <c r="U45" s="297"/>
      <c r="V45" s="298"/>
      <c r="W45" s="299"/>
      <c r="X45" s="299"/>
      <c r="Y45" s="299"/>
      <c r="Z45" s="299"/>
    </row>
    <row r="46" spans="2:26" ht="15" thickBot="1" x14ac:dyDescent="0.25">
      <c r="B46" s="1559" t="s">
        <v>1696</v>
      </c>
      <c r="C46" s="1560" t="s">
        <v>393</v>
      </c>
      <c r="D46" s="1874" t="s">
        <v>236</v>
      </c>
      <c r="E46" s="1875"/>
      <c r="F46" s="1561">
        <v>2</v>
      </c>
      <c r="G46" s="292">
        <f t="shared" si="1"/>
        <v>-22.122281721732215</v>
      </c>
      <c r="H46" s="292">
        <f t="shared" si="1"/>
        <v>-27.198434968279507</v>
      </c>
      <c r="I46" s="292">
        <f t="shared" si="1"/>
        <v>-30.959404639510925</v>
      </c>
      <c r="J46" s="292">
        <f t="shared" si="1"/>
        <v>-35.47897925149109</v>
      </c>
      <c r="K46" s="292">
        <f t="shared" si="1"/>
        <v>-39.066787553991645</v>
      </c>
      <c r="L46" s="292">
        <f t="shared" si="1"/>
        <v>-41.346792600102724</v>
      </c>
      <c r="M46" s="292">
        <f t="shared" si="1"/>
        <v>-283.8385042146308</v>
      </c>
      <c r="N46" s="292">
        <f t="shared" si="1"/>
        <v>-208.62312889906323</v>
      </c>
      <c r="O46" s="292">
        <f t="shared" si="1"/>
        <v>-327.64084499826856</v>
      </c>
      <c r="P46" s="292">
        <f t="shared" si="1"/>
        <v>-447.63058519403182</v>
      </c>
      <c r="Q46" s="300"/>
      <c r="R46" s="301"/>
      <c r="S46" s="301"/>
      <c r="T46" s="301"/>
      <c r="U46" s="301"/>
      <c r="V46" s="302"/>
      <c r="W46" s="303"/>
      <c r="X46" s="303"/>
      <c r="Y46" s="303"/>
      <c r="Z46" s="303"/>
    </row>
    <row r="47" spans="2:26" ht="15" thickBot="1" x14ac:dyDescent="0.25">
      <c r="B47" s="136"/>
      <c r="C47" s="66"/>
      <c r="D47" s="66"/>
      <c r="E47" s="66"/>
      <c r="Q47" s="62"/>
      <c r="R47" s="62"/>
    </row>
    <row r="48" spans="2:26" ht="77.849999999999994" customHeight="1" thickBot="1" x14ac:dyDescent="0.25">
      <c r="B48" s="193" t="str">
        <f>CONCATENATE("Table 7b: WC level - Alternative Programme  ",E35, " Final Plan SDB")</f>
        <v>Table 7b: WC level - Alternative Programme  High PCC Final Plan SDB</v>
      </c>
      <c r="C48" s="138"/>
      <c r="D48" s="137"/>
      <c r="E48" s="137"/>
      <c r="F48" s="74"/>
      <c r="G48" s="1365"/>
      <c r="H48" s="1365"/>
      <c r="I48" s="1365"/>
      <c r="J48" s="1365"/>
      <c r="K48" s="1365"/>
      <c r="L48" s="1365"/>
      <c r="M48" s="1866" t="s">
        <v>1672</v>
      </c>
      <c r="N48" s="1867"/>
      <c r="O48" s="1867"/>
      <c r="P48" s="1867"/>
      <c r="Q48" s="1867"/>
      <c r="R48" s="1867"/>
      <c r="S48" s="1867"/>
      <c r="T48" s="1867"/>
      <c r="U48" s="1867"/>
      <c r="V48" s="1867"/>
      <c r="W48" s="1867"/>
      <c r="X48" s="1867"/>
      <c r="Y48" s="1867"/>
      <c r="Z48" s="1867"/>
    </row>
    <row r="49" spans="1:26" ht="30.75" thickBot="1" x14ac:dyDescent="0.25">
      <c r="B49" s="343" t="s">
        <v>70</v>
      </c>
      <c r="C49" s="344" t="s">
        <v>1697</v>
      </c>
      <c r="D49" s="1868" t="s">
        <v>206</v>
      </c>
      <c r="E49" s="1869"/>
      <c r="F49" s="345" t="s">
        <v>207</v>
      </c>
      <c r="G49" s="346" t="s">
        <v>1674</v>
      </c>
      <c r="H49" s="347" t="s">
        <v>1675</v>
      </c>
      <c r="I49" s="347" t="s">
        <v>1671</v>
      </c>
      <c r="J49" s="347" t="s">
        <v>1676</v>
      </c>
      <c r="K49" s="347" t="s">
        <v>1677</v>
      </c>
      <c r="L49" s="348" t="s">
        <v>1678</v>
      </c>
      <c r="M49" s="349" t="s">
        <v>1679</v>
      </c>
      <c r="N49" s="349" t="s">
        <v>1680</v>
      </c>
      <c r="O49" s="349" t="s">
        <v>1681</v>
      </c>
      <c r="P49" s="349" t="s">
        <v>1682</v>
      </c>
      <c r="Q49" s="119" t="s">
        <v>1683</v>
      </c>
      <c r="R49" s="109" t="s">
        <v>1684</v>
      </c>
      <c r="S49" s="109" t="s">
        <v>1685</v>
      </c>
      <c r="T49" s="109" t="s">
        <v>1686</v>
      </c>
      <c r="U49" s="109" t="s">
        <v>1687</v>
      </c>
      <c r="V49" s="110" t="s">
        <v>1688</v>
      </c>
      <c r="W49" s="120" t="s">
        <v>1689</v>
      </c>
      <c r="X49" s="120" t="s">
        <v>1690</v>
      </c>
      <c r="Y49" s="120" t="s">
        <v>1691</v>
      </c>
      <c r="Z49" s="120" t="s">
        <v>1692</v>
      </c>
    </row>
    <row r="50" spans="1:26" x14ac:dyDescent="0.2">
      <c r="B50" s="1562" t="s">
        <v>1698</v>
      </c>
      <c r="C50" s="1550" t="s">
        <v>1637</v>
      </c>
      <c r="D50" s="1888" t="s">
        <v>236</v>
      </c>
      <c r="E50" s="1889"/>
      <c r="F50" s="1563">
        <v>2</v>
      </c>
      <c r="G50" s="341">
        <v>466.56666346724023</v>
      </c>
      <c r="H50" s="341">
        <v>468.76436432639673</v>
      </c>
      <c r="I50" s="341">
        <v>468.09041483641869</v>
      </c>
      <c r="J50" s="341">
        <v>468.46850515682502</v>
      </c>
      <c r="K50" s="341">
        <v>468.46271499417549</v>
      </c>
      <c r="L50" s="341">
        <v>467.3952818960696</v>
      </c>
      <c r="M50" s="341">
        <v>2325.0344250490107</v>
      </c>
      <c r="N50" s="341">
        <v>2278.3499707777955</v>
      </c>
      <c r="O50" s="341">
        <v>2227.9817359806402</v>
      </c>
      <c r="P50" s="341">
        <v>2201.9683773706747</v>
      </c>
      <c r="Q50" s="341"/>
      <c r="R50" s="341"/>
      <c r="S50" s="341"/>
      <c r="T50" s="341"/>
      <c r="U50" s="341"/>
      <c r="V50" s="341"/>
      <c r="W50" s="341"/>
      <c r="X50" s="341"/>
      <c r="Y50" s="341"/>
      <c r="Z50" s="341"/>
    </row>
    <row r="51" spans="1:26" x14ac:dyDescent="0.2">
      <c r="A51" s="338"/>
      <c r="B51" s="1381" t="s">
        <v>1699</v>
      </c>
      <c r="C51" s="1382" t="s">
        <v>390</v>
      </c>
      <c r="D51" s="1872" t="s">
        <v>236</v>
      </c>
      <c r="E51" s="1873"/>
      <c r="F51" s="1378">
        <v>2</v>
      </c>
      <c r="G51" s="1388">
        <f>'2. WC Level Data'!L77</f>
        <v>490.02919715434984</v>
      </c>
      <c r="H51" s="1388">
        <f>'2. WC Level Data'!M77</f>
        <v>491.25196028720228</v>
      </c>
      <c r="I51" s="1388">
        <f>'2. WC Level Data'!N77</f>
        <v>487.31156928422922</v>
      </c>
      <c r="J51" s="1388">
        <f>'2. WC Level Data'!O77</f>
        <v>490.89508140434697</v>
      </c>
      <c r="K51" s="1388">
        <f>'2. WC Level Data'!P77</f>
        <v>487.52299828714433</v>
      </c>
      <c r="L51" s="1388">
        <f>'2. WC Level Data'!Q77</f>
        <v>492.46427427379541</v>
      </c>
      <c r="M51" s="1388">
        <f>SUM('2. WC Level Data'!R77:V77)+('4. Options Appraisal Summary'!V43*3)</f>
        <v>2722.7268212532235</v>
      </c>
      <c r="N51" s="1388">
        <f>SUM('2. WC Level Data'!W77:AA77)+('4. Options Appraisal Summary'!V43*5)</f>
        <v>3021.6047241143738</v>
      </c>
      <c r="O51" s="1388">
        <f>SUM('2. WC Level Data'!AB77:AF77)+('4. Options Appraisal Summary'!V43*5)-('4. Options Appraisal Summary'!V53*5)+('4. Options Appraisal Summary'!V51*5)</f>
        <v>2690.0363284118648</v>
      </c>
      <c r="P51" s="1388">
        <f>SUM('2. WC Level Data'!AG77:AK77)+('4. Options Appraisal Summary'!V43*5)-('4. Options Appraisal Summary'!V53*5)+('4. Options Appraisal Summary'!V51*5)+('4. Options Appraisal Summary'!V40*5)</f>
        <v>2715.7419595373885</v>
      </c>
      <c r="Q51" s="292"/>
      <c r="R51" s="293"/>
      <c r="S51" s="293"/>
      <c r="T51" s="293"/>
      <c r="U51" s="293"/>
      <c r="V51" s="294"/>
      <c r="W51" s="295"/>
      <c r="X51" s="295"/>
      <c r="Y51" s="295"/>
      <c r="Z51" s="295"/>
    </row>
    <row r="52" spans="1:26" x14ac:dyDescent="0.2">
      <c r="B52" s="1376" t="s">
        <v>1700</v>
      </c>
      <c r="C52" s="1377" t="s">
        <v>384</v>
      </c>
      <c r="D52" s="1872" t="s">
        <v>236</v>
      </c>
      <c r="E52" s="1873"/>
      <c r="F52" s="1378">
        <v>2</v>
      </c>
      <c r="G52" s="296">
        <f>'2. WC Level Data'!L75</f>
        <v>10.674141376525171</v>
      </c>
      <c r="H52" s="296">
        <f>'2. WC Level Data'!M75</f>
        <v>11.109891465755577</v>
      </c>
      <c r="I52" s="296">
        <f>'2. WC Level Data'!N75</f>
        <v>10.054179665650723</v>
      </c>
      <c r="J52" s="296">
        <f>'2. WC Level Data'!O75</f>
        <v>11.640347628793107</v>
      </c>
      <c r="K52" s="296">
        <f>'2. WC Level Data'!P75</f>
        <v>10.94270610219057</v>
      </c>
      <c r="L52" s="296">
        <f>'2. WC Level Data'!Q75</f>
        <v>10.373156077633462</v>
      </c>
      <c r="M52" s="296">
        <f>SUM('2. WC Level Data'!R75:V75)</f>
        <v>39.511851178317592</v>
      </c>
      <c r="N52" s="296">
        <f>SUM('2. WC Level Data'!W75:AA75)</f>
        <v>31.009007306266099</v>
      </c>
      <c r="O52" s="296">
        <f>SUM('2. WC Level Data'!AB75:AF75)</f>
        <v>29.963918366670164</v>
      </c>
      <c r="P52" s="296">
        <f>SUM('2. WC Level Data'!AG75:AK75)</f>
        <v>33.33439743664723</v>
      </c>
      <c r="Q52" s="296"/>
      <c r="R52" s="297"/>
      <c r="S52" s="297"/>
      <c r="T52" s="297"/>
      <c r="U52" s="297"/>
      <c r="V52" s="298"/>
      <c r="W52" s="299"/>
      <c r="X52" s="299"/>
      <c r="Y52" s="299"/>
      <c r="Z52" s="299"/>
    </row>
    <row r="53" spans="1:26" ht="15" thickBot="1" x14ac:dyDescent="0.25">
      <c r="B53" s="1372" t="s">
        <v>1701</v>
      </c>
      <c r="C53" s="1373" t="s">
        <v>393</v>
      </c>
      <c r="D53" s="1874" t="s">
        <v>236</v>
      </c>
      <c r="E53" s="1875"/>
      <c r="F53" s="1374">
        <v>2</v>
      </c>
      <c r="G53" s="1387">
        <f>G51-G50-G52</f>
        <v>12.788392310584442</v>
      </c>
      <c r="H53" s="1387">
        <f t="shared" ref="H53:P53" si="2">H51-H50-H52</f>
        <v>11.377704495049972</v>
      </c>
      <c r="I53" s="1387">
        <f t="shared" si="2"/>
        <v>9.1669747821598104</v>
      </c>
      <c r="J53" s="1387">
        <f t="shared" si="2"/>
        <v>10.786228618728844</v>
      </c>
      <c r="K53" s="1387">
        <f t="shared" si="2"/>
        <v>8.1175771907782774</v>
      </c>
      <c r="L53" s="1387">
        <f t="shared" si="2"/>
        <v>14.695836300092344</v>
      </c>
      <c r="M53" s="1375">
        <f t="shared" si="2"/>
        <v>358.18054502589524</v>
      </c>
      <c r="N53" s="1375">
        <f t="shared" si="2"/>
        <v>712.24574603031215</v>
      </c>
      <c r="O53" s="1375">
        <f t="shared" si="2"/>
        <v>432.09067406455443</v>
      </c>
      <c r="P53" s="1375">
        <f t="shared" si="2"/>
        <v>480.43918473006659</v>
      </c>
      <c r="Q53" s="300"/>
      <c r="R53" s="301"/>
      <c r="S53" s="301"/>
      <c r="T53" s="301"/>
      <c r="U53" s="301"/>
      <c r="V53" s="302"/>
      <c r="W53" s="303"/>
      <c r="X53" s="303"/>
      <c r="Y53" s="303"/>
      <c r="Z53" s="303"/>
    </row>
    <row r="54" spans="1:26" ht="15" thickBot="1" x14ac:dyDescent="0.25">
      <c r="B54" s="62"/>
      <c r="J54" s="1386"/>
      <c r="K54" s="1386"/>
      <c r="L54" s="1386"/>
      <c r="M54" s="338"/>
      <c r="Q54" s="62"/>
      <c r="R54" s="62"/>
    </row>
    <row r="55" spans="1:26" ht="45.75" thickBot="1" x14ac:dyDescent="0.25">
      <c r="B55" s="193" t="str">
        <f>CONCATENATE("Table 7c: WC level - Alternative Programme  ",E35, " Totex")</f>
        <v>Table 7c: WC level - Alternative Programme  High PCC Totex</v>
      </c>
      <c r="C55" s="138"/>
      <c r="D55" s="137"/>
      <c r="E55" s="74"/>
      <c r="F55" s="74"/>
      <c r="G55" s="74"/>
      <c r="H55" s="74"/>
      <c r="I55" s="74"/>
      <c r="J55" s="74"/>
      <c r="K55" s="74"/>
      <c r="L55" s="74"/>
      <c r="M55" s="1866" t="s">
        <v>1672</v>
      </c>
      <c r="N55" s="1867"/>
      <c r="O55" s="1867"/>
      <c r="P55" s="1867"/>
      <c r="Q55" s="1867"/>
      <c r="R55" s="1867"/>
      <c r="S55" s="1867"/>
      <c r="T55" s="1867"/>
      <c r="U55" s="1867"/>
      <c r="V55" s="1867"/>
      <c r="W55" s="1867"/>
      <c r="X55" s="1867"/>
      <c r="Y55" s="1867"/>
      <c r="Z55" s="1867"/>
    </row>
    <row r="56" spans="1:26" ht="30.75" thickBot="1" x14ac:dyDescent="0.25">
      <c r="B56" s="106" t="s">
        <v>70</v>
      </c>
      <c r="C56" s="107" t="s">
        <v>1702</v>
      </c>
      <c r="D56" s="107" t="s">
        <v>1703</v>
      </c>
      <c r="E56" s="107" t="s">
        <v>1704</v>
      </c>
      <c r="F56" s="108" t="s">
        <v>207</v>
      </c>
      <c r="G56" s="119" t="s">
        <v>1674</v>
      </c>
      <c r="H56" s="109" t="s">
        <v>1675</v>
      </c>
      <c r="I56" s="109" t="s">
        <v>1671</v>
      </c>
      <c r="J56" s="109" t="s">
        <v>1676</v>
      </c>
      <c r="K56" s="109" t="s">
        <v>1677</v>
      </c>
      <c r="L56" s="110" t="s">
        <v>1678</v>
      </c>
      <c r="M56" s="120" t="s">
        <v>1679</v>
      </c>
      <c r="N56" s="120" t="s">
        <v>1680</v>
      </c>
      <c r="O56" s="120" t="s">
        <v>1681</v>
      </c>
      <c r="P56" s="120" t="s">
        <v>1682</v>
      </c>
      <c r="Q56" s="119" t="s">
        <v>1683</v>
      </c>
      <c r="R56" s="109" t="s">
        <v>1684</v>
      </c>
      <c r="S56" s="109" t="s">
        <v>1685</v>
      </c>
      <c r="T56" s="109" t="s">
        <v>1686</v>
      </c>
      <c r="U56" s="109" t="s">
        <v>1687</v>
      </c>
      <c r="V56" s="110" t="s">
        <v>1688</v>
      </c>
      <c r="W56" s="120" t="s">
        <v>1689</v>
      </c>
      <c r="X56" s="120" t="s">
        <v>1690</v>
      </c>
      <c r="Y56" s="120" t="s">
        <v>1691</v>
      </c>
      <c r="Z56" s="120" t="s">
        <v>1692</v>
      </c>
    </row>
    <row r="57" spans="1:26" x14ac:dyDescent="0.2">
      <c r="B57" s="1567" t="s">
        <v>1705</v>
      </c>
      <c r="C57" s="1568" t="s">
        <v>1706</v>
      </c>
      <c r="D57" s="1568" t="s">
        <v>1707</v>
      </c>
      <c r="E57" s="1568" t="s">
        <v>1708</v>
      </c>
      <c r="F57" s="1569">
        <v>3</v>
      </c>
      <c r="G57" s="285"/>
      <c r="H57" s="1653">
        <v>0</v>
      </c>
      <c r="I57" s="1653">
        <v>0</v>
      </c>
      <c r="J57" s="1653">
        <v>0</v>
      </c>
      <c r="K57" s="1653">
        <v>4.5399999999935969E-3</v>
      </c>
      <c r="L57" s="1653">
        <v>5.6699999999982537E-3</v>
      </c>
      <c r="M57" s="1653">
        <v>132.88176179798691</v>
      </c>
      <c r="N57" s="1653">
        <v>28.955622996644852</v>
      </c>
      <c r="O57" s="1653">
        <v>38.858912397315876</v>
      </c>
      <c r="P57" s="1653">
        <v>168.66270299664484</v>
      </c>
      <c r="Q57" s="288"/>
      <c r="R57" s="289"/>
      <c r="S57" s="289"/>
      <c r="T57" s="289"/>
      <c r="U57" s="289"/>
      <c r="V57" s="290"/>
      <c r="W57" s="291"/>
      <c r="X57" s="291"/>
      <c r="Y57" s="291"/>
      <c r="Z57" s="291"/>
    </row>
    <row r="58" spans="1:26" x14ac:dyDescent="0.2">
      <c r="B58" s="1557" t="s">
        <v>1709</v>
      </c>
      <c r="C58" s="1382" t="s">
        <v>1710</v>
      </c>
      <c r="D58" s="1382" t="s">
        <v>1707</v>
      </c>
      <c r="E58" s="1382" t="s">
        <v>1708</v>
      </c>
      <c r="F58" s="1570">
        <v>3</v>
      </c>
      <c r="G58" s="286"/>
      <c r="H58" s="1654">
        <v>1.6298538622517991</v>
      </c>
      <c r="I58" s="1654">
        <v>1.7764252847318021</v>
      </c>
      <c r="J58" s="1654">
        <v>1.8011188627317969</v>
      </c>
      <c r="K58" s="1654">
        <v>1.852503806647801</v>
      </c>
      <c r="L58" s="1654">
        <v>1.6927845221818025</v>
      </c>
      <c r="M58" s="1654">
        <v>9.9471426977848747</v>
      </c>
      <c r="N58" s="1654">
        <v>4.7238240866401178</v>
      </c>
      <c r="O58" s="1654">
        <v>147.76227389245898</v>
      </c>
      <c r="P58" s="1654">
        <v>3.1599599411027302</v>
      </c>
      <c r="Q58" s="292"/>
      <c r="R58" s="293"/>
      <c r="S58" s="293"/>
      <c r="T58" s="293"/>
      <c r="U58" s="293"/>
      <c r="V58" s="294"/>
      <c r="W58" s="295"/>
      <c r="X58" s="295"/>
      <c r="Y58" s="295"/>
      <c r="Z58" s="295"/>
    </row>
    <row r="59" spans="1:26" ht="15" thickBot="1" x14ac:dyDescent="0.25">
      <c r="B59" s="1559" t="s">
        <v>1711</v>
      </c>
      <c r="C59" s="1560" t="s">
        <v>1712</v>
      </c>
      <c r="D59" s="1560" t="s">
        <v>1707</v>
      </c>
      <c r="E59" s="1560" t="s">
        <v>1708</v>
      </c>
      <c r="F59" s="1571">
        <v>3</v>
      </c>
      <c r="G59" s="287"/>
      <c r="H59" s="1652">
        <v>15.55895561520477</v>
      </c>
      <c r="I59" s="1652">
        <v>22.343498613204769</v>
      </c>
      <c r="J59" s="1652">
        <v>60.366498613204769</v>
      </c>
      <c r="K59" s="1652">
        <v>135.69467861320476</v>
      </c>
      <c r="L59" s="1652">
        <v>114.39051101820478</v>
      </c>
      <c r="M59" s="1652">
        <v>350.60903822047197</v>
      </c>
      <c r="N59" s="1652">
        <v>90.708197907004731</v>
      </c>
      <c r="O59" s="1652">
        <v>261.78935750485687</v>
      </c>
      <c r="P59" s="1652">
        <v>327.07347405554214</v>
      </c>
      <c r="Q59" s="300"/>
      <c r="R59" s="301"/>
      <c r="S59" s="301"/>
      <c r="T59" s="301"/>
      <c r="U59" s="301"/>
      <c r="V59" s="302"/>
      <c r="W59" s="303"/>
      <c r="X59" s="303"/>
      <c r="Y59" s="303"/>
      <c r="Z59" s="303"/>
    </row>
    <row r="60" spans="1:26" ht="15" thickBot="1" x14ac:dyDescent="0.25">
      <c r="J60" s="1400"/>
      <c r="R60" s="62"/>
      <c r="S60" s="62"/>
    </row>
    <row r="61" spans="1:26" ht="60.75" thickBot="1" x14ac:dyDescent="0.25">
      <c r="B61" s="193" t="str">
        <f>CONCATENATE("Table 7d: WC level - Alternative Programme  ",E35, " Enhancement Expenditure")</f>
        <v>Table 7d: WC level - Alternative Programme  High PCC Enhancement Expenditure</v>
      </c>
      <c r="C61" s="138"/>
      <c r="D61" s="137"/>
      <c r="E61" s="137"/>
      <c r="F61" s="74"/>
      <c r="G61" s="74"/>
      <c r="H61" s="74"/>
      <c r="I61" s="74"/>
      <c r="J61" s="74"/>
      <c r="K61" s="74"/>
      <c r="L61" s="74"/>
      <c r="M61" s="1866" t="s">
        <v>1672</v>
      </c>
      <c r="N61" s="1867"/>
      <c r="O61" s="1867"/>
      <c r="P61" s="1867"/>
      <c r="Q61" s="1867"/>
      <c r="R61" s="1867"/>
      <c r="S61" s="1867"/>
      <c r="T61" s="1867"/>
      <c r="U61" s="1867"/>
      <c r="V61" s="1867"/>
      <c r="W61" s="1867"/>
      <c r="X61" s="1867"/>
      <c r="Y61" s="1867"/>
      <c r="Z61" s="1867"/>
    </row>
    <row r="62" spans="1:26" ht="30.75" thickBot="1" x14ac:dyDescent="0.25">
      <c r="B62" s="106" t="s">
        <v>70</v>
      </c>
      <c r="C62" s="107" t="s">
        <v>1702</v>
      </c>
      <c r="D62" s="107" t="s">
        <v>1703</v>
      </c>
      <c r="E62" s="107" t="s">
        <v>1704</v>
      </c>
      <c r="F62" s="108" t="s">
        <v>207</v>
      </c>
      <c r="G62" s="119" t="s">
        <v>1674</v>
      </c>
      <c r="H62" s="109" t="s">
        <v>1675</v>
      </c>
      <c r="I62" s="109" t="s">
        <v>1671</v>
      </c>
      <c r="J62" s="109" t="s">
        <v>1676</v>
      </c>
      <c r="K62" s="109" t="s">
        <v>1677</v>
      </c>
      <c r="L62" s="110" t="s">
        <v>1678</v>
      </c>
      <c r="M62" s="120" t="s">
        <v>1679</v>
      </c>
      <c r="N62" s="120" t="s">
        <v>1680</v>
      </c>
      <c r="O62" s="120" t="s">
        <v>1681</v>
      </c>
      <c r="P62" s="120" t="s">
        <v>1682</v>
      </c>
      <c r="Q62" s="119" t="s">
        <v>1683</v>
      </c>
      <c r="R62" s="109" t="s">
        <v>1684</v>
      </c>
      <c r="S62" s="109" t="s">
        <v>1685</v>
      </c>
      <c r="T62" s="109" t="s">
        <v>1686</v>
      </c>
      <c r="U62" s="109" t="s">
        <v>1687</v>
      </c>
      <c r="V62" s="110" t="s">
        <v>1688</v>
      </c>
      <c r="W62" s="120" t="s">
        <v>1689</v>
      </c>
      <c r="X62" s="120" t="s">
        <v>1690</v>
      </c>
      <c r="Y62" s="120" t="s">
        <v>1691</v>
      </c>
      <c r="Z62" s="120" t="s">
        <v>1692</v>
      </c>
    </row>
    <row r="63" spans="1:26" x14ac:dyDescent="0.2">
      <c r="B63" s="244" t="s">
        <v>1713</v>
      </c>
      <c r="C63" s="245" t="s">
        <v>1714</v>
      </c>
      <c r="D63" s="245" t="s">
        <v>1496</v>
      </c>
      <c r="E63" s="245" t="s">
        <v>1708</v>
      </c>
      <c r="F63" s="270">
        <v>3</v>
      </c>
      <c r="G63" s="285"/>
      <c r="H63" s="1653">
        <v>13.316079310055555</v>
      </c>
      <c r="I63" s="1653">
        <v>19.850622308055556</v>
      </c>
      <c r="J63" s="1653">
        <v>56.183622308055547</v>
      </c>
      <c r="K63" s="1653">
        <v>131.07562230805556</v>
      </c>
      <c r="L63" s="1653">
        <v>106.62241471305556</v>
      </c>
      <c r="M63" s="1653">
        <v>283.08360999999996</v>
      </c>
      <c r="N63" s="1653">
        <v>19.149999999999999</v>
      </c>
      <c r="O63" s="1653">
        <v>168.24700000000001</v>
      </c>
      <c r="P63" s="1653">
        <v>207.22399999999999</v>
      </c>
      <c r="Q63" s="288"/>
      <c r="R63" s="289"/>
      <c r="S63" s="289"/>
      <c r="T63" s="289"/>
      <c r="U63" s="289"/>
      <c r="V63" s="290"/>
      <c r="W63" s="291"/>
      <c r="X63" s="291"/>
      <c r="Y63" s="291"/>
      <c r="Z63" s="291"/>
    </row>
    <row r="64" spans="1:26" x14ac:dyDescent="0.2">
      <c r="B64" s="113" t="s">
        <v>1715</v>
      </c>
      <c r="C64" s="114" t="s">
        <v>1714</v>
      </c>
      <c r="D64" s="114" t="s">
        <v>1491</v>
      </c>
      <c r="E64" s="114" t="s">
        <v>1708</v>
      </c>
      <c r="F64" s="271">
        <v>3</v>
      </c>
      <c r="G64" s="286"/>
      <c r="H64" s="1654">
        <v>2.2428763051492147</v>
      </c>
      <c r="I64" s="1654">
        <v>2.4928763051492147</v>
      </c>
      <c r="J64" s="1654">
        <v>4.1828763051492146</v>
      </c>
      <c r="K64" s="1654">
        <v>4.6190563051492148</v>
      </c>
      <c r="L64" s="1654">
        <v>7.7680963051492142</v>
      </c>
      <c r="M64" s="1654">
        <v>67.525428220471994</v>
      </c>
      <c r="N64" s="1654">
        <v>71.55819790700474</v>
      </c>
      <c r="O64" s="1654">
        <v>93.542357504856909</v>
      </c>
      <c r="P64" s="1654">
        <v>119.84947405554215</v>
      </c>
      <c r="Q64" s="292"/>
      <c r="R64" s="293"/>
      <c r="S64" s="293"/>
      <c r="T64" s="293"/>
      <c r="U64" s="293"/>
      <c r="V64" s="294"/>
      <c r="W64" s="295"/>
      <c r="X64" s="295"/>
      <c r="Y64" s="295"/>
      <c r="Z64" s="295"/>
    </row>
    <row r="65" spans="2:26" ht="15" thickBot="1" x14ac:dyDescent="0.25">
      <c r="B65" s="116" t="s">
        <v>1716</v>
      </c>
      <c r="C65" s="117" t="s">
        <v>1714</v>
      </c>
      <c r="D65" s="117" t="s">
        <v>1707</v>
      </c>
      <c r="E65" s="117" t="s">
        <v>1708</v>
      </c>
      <c r="F65" s="272">
        <v>3</v>
      </c>
      <c r="G65" s="287"/>
      <c r="H65" s="1652">
        <v>15.55895561520477</v>
      </c>
      <c r="I65" s="1652">
        <v>22.343498613204769</v>
      </c>
      <c r="J65" s="1652">
        <v>60.366498613204769</v>
      </c>
      <c r="K65" s="1652">
        <v>135.69467861320476</v>
      </c>
      <c r="L65" s="1652">
        <v>114.39051101820478</v>
      </c>
      <c r="M65" s="1652">
        <v>350.60903822047197</v>
      </c>
      <c r="N65" s="1652">
        <v>90.708197907004731</v>
      </c>
      <c r="O65" s="1652">
        <v>261.78935750485687</v>
      </c>
      <c r="P65" s="1652">
        <v>327.07347405554219</v>
      </c>
      <c r="Q65" s="300"/>
      <c r="R65" s="301"/>
      <c r="S65" s="301"/>
      <c r="T65" s="301"/>
      <c r="U65" s="301"/>
      <c r="V65" s="302"/>
      <c r="W65" s="303"/>
      <c r="X65" s="303"/>
      <c r="Y65" s="303"/>
      <c r="Z65" s="303"/>
    </row>
    <row r="67" spans="2:26" ht="15" thickBot="1" x14ac:dyDescent="0.25"/>
    <row r="68" spans="2:26" ht="43.5" thickBot="1" x14ac:dyDescent="0.25">
      <c r="B68" s="100" t="s">
        <v>64</v>
      </c>
      <c r="C68" s="58" t="str">
        <f>'TITLE PAGE'!$D$18</f>
        <v>Essex &amp; Suffolk Water</v>
      </c>
      <c r="D68" s="101" t="s">
        <v>1656</v>
      </c>
      <c r="E68" s="1362" t="s">
        <v>1458</v>
      </c>
      <c r="F68" s="100" t="s">
        <v>1657</v>
      </c>
      <c r="G68" s="1359" t="s">
        <v>1717</v>
      </c>
      <c r="H68" s="102" t="s">
        <v>200</v>
      </c>
      <c r="I68" s="59" t="s">
        <v>1658</v>
      </c>
    </row>
    <row r="69" spans="2:26" ht="95.25" customHeight="1" thickBot="1" x14ac:dyDescent="0.25">
      <c r="B69" s="101" t="s">
        <v>1659</v>
      </c>
      <c r="C69" s="1890" t="s">
        <v>1722</v>
      </c>
      <c r="D69" s="1896"/>
      <c r="E69" s="1896"/>
      <c r="F69" s="1896"/>
      <c r="G69" s="1896"/>
      <c r="H69" s="1896"/>
      <c r="I69" s="1897"/>
      <c r="K69" s="1552" t="s">
        <v>1661</v>
      </c>
    </row>
    <row r="70" spans="2:26" ht="93.75" customHeight="1" thickBot="1" x14ac:dyDescent="0.25">
      <c r="B70" s="101" t="s">
        <v>1662</v>
      </c>
      <c r="C70" s="1890" t="s">
        <v>1723</v>
      </c>
      <c r="D70" s="1891"/>
      <c r="E70" s="1891"/>
      <c r="F70" s="1891"/>
      <c r="G70" s="1891"/>
      <c r="H70" s="1891"/>
      <c r="I70" s="1892"/>
    </row>
    <row r="71" spans="2:26" ht="117.2" customHeight="1" thickBot="1" x14ac:dyDescent="0.25">
      <c r="B71" s="101" t="s">
        <v>1665</v>
      </c>
      <c r="C71" s="1890" t="s">
        <v>1724</v>
      </c>
      <c r="D71" s="1891"/>
      <c r="E71" s="1891"/>
      <c r="F71" s="1891"/>
      <c r="G71" s="1891"/>
      <c r="H71" s="1891"/>
      <c r="I71" s="1892"/>
    </row>
    <row r="72" spans="2:26" ht="57.75" thickBot="1" x14ac:dyDescent="0.25">
      <c r="B72" s="60" t="s">
        <v>1667</v>
      </c>
      <c r="C72" s="1647">
        <v>2011590</v>
      </c>
      <c r="D72" s="61" t="s">
        <v>1668</v>
      </c>
      <c r="E72" s="103" t="s">
        <v>1725</v>
      </c>
      <c r="F72" s="104" t="s">
        <v>1670</v>
      </c>
      <c r="G72" s="105">
        <v>2027</v>
      </c>
      <c r="H72" s="104" t="s">
        <v>2</v>
      </c>
      <c r="I72" s="1469">
        <f>I6</f>
        <v>16</v>
      </c>
    </row>
    <row r="73" spans="2:26" ht="15" thickBot="1" x14ac:dyDescent="0.25"/>
    <row r="74" spans="2:26" ht="75.75" thickBot="1" x14ac:dyDescent="0.25">
      <c r="B74" s="193" t="str">
        <f>CONCATENATE("Table 7a: WC level - Alternative Programme ",E68, " Baseline SDB")</f>
        <v>Table 7a: WC level - Alternative Programme High Environmental Destination Baseline SDB</v>
      </c>
      <c r="M74" s="1866" t="s">
        <v>1672</v>
      </c>
      <c r="N74" s="1867"/>
      <c r="O74" s="1867"/>
      <c r="P74" s="1867"/>
      <c r="Q74" s="1867"/>
      <c r="R74" s="1867"/>
      <c r="S74" s="1867"/>
      <c r="T74" s="1867"/>
      <c r="U74" s="1867"/>
      <c r="V74" s="1867"/>
      <c r="W74" s="1867"/>
      <c r="X74" s="1867"/>
      <c r="Y74" s="1867"/>
      <c r="Z74" s="1867"/>
    </row>
    <row r="75" spans="2:26" ht="30.75" thickBot="1" x14ac:dyDescent="0.25">
      <c r="B75" s="106" t="s">
        <v>70</v>
      </c>
      <c r="C75" s="107" t="s">
        <v>1673</v>
      </c>
      <c r="D75" s="1868" t="s">
        <v>206</v>
      </c>
      <c r="E75" s="1869"/>
      <c r="F75" s="108" t="s">
        <v>207</v>
      </c>
      <c r="G75" s="119" t="s">
        <v>1674</v>
      </c>
      <c r="H75" s="109" t="s">
        <v>1675</v>
      </c>
      <c r="I75" s="109" t="s">
        <v>1671</v>
      </c>
      <c r="J75" s="109" t="s">
        <v>1676</v>
      </c>
      <c r="K75" s="109" t="s">
        <v>1677</v>
      </c>
      <c r="L75" s="110" t="s">
        <v>1678</v>
      </c>
      <c r="M75" s="120" t="s">
        <v>1679</v>
      </c>
      <c r="N75" s="120" t="s">
        <v>1680</v>
      </c>
      <c r="O75" s="120" t="s">
        <v>1681</v>
      </c>
      <c r="P75" s="120" t="s">
        <v>1682</v>
      </c>
      <c r="Q75" s="119" t="s">
        <v>1683</v>
      </c>
      <c r="R75" s="109" t="s">
        <v>1684</v>
      </c>
      <c r="S75" s="109" t="s">
        <v>1685</v>
      </c>
      <c r="T75" s="109" t="s">
        <v>1686</v>
      </c>
      <c r="U75" s="109" t="s">
        <v>1687</v>
      </c>
      <c r="V75" s="110" t="s">
        <v>1688</v>
      </c>
      <c r="W75" s="120" t="s">
        <v>1689</v>
      </c>
      <c r="X75" s="120" t="s">
        <v>1690</v>
      </c>
      <c r="Y75" s="120" t="s">
        <v>1691</v>
      </c>
      <c r="Z75" s="120" t="s">
        <v>1692</v>
      </c>
    </row>
    <row r="76" spans="2:26" x14ac:dyDescent="0.2">
      <c r="B76" s="1555" t="s">
        <v>1693</v>
      </c>
      <c r="C76" s="1551" t="s">
        <v>1637</v>
      </c>
      <c r="D76" s="1888" t="s">
        <v>236</v>
      </c>
      <c r="E76" s="1889"/>
      <c r="F76" s="1556">
        <v>2</v>
      </c>
      <c r="G76" s="288">
        <v>466.56666346724023</v>
      </c>
      <c r="H76" s="288">
        <v>470.63087681288044</v>
      </c>
      <c r="I76" s="288">
        <v>471.53977339286632</v>
      </c>
      <c r="J76" s="288">
        <v>474.49032708280856</v>
      </c>
      <c r="K76" s="288">
        <v>477.68819040356175</v>
      </c>
      <c r="L76" s="288">
        <v>479.68133030739335</v>
      </c>
      <c r="M76" s="288">
        <v>2429.7016249187845</v>
      </c>
      <c r="N76" s="288">
        <v>2455.9914290111592</v>
      </c>
      <c r="O76" s="288">
        <v>2470.9312223844518</v>
      </c>
      <c r="P76" s="288">
        <v>2488.5544990693029</v>
      </c>
      <c r="Q76" s="288"/>
      <c r="R76" s="288"/>
      <c r="S76" s="288"/>
      <c r="T76" s="288"/>
      <c r="U76" s="288"/>
      <c r="V76" s="288"/>
      <c r="W76" s="288"/>
      <c r="X76" s="288"/>
      <c r="Y76" s="288"/>
      <c r="Z76" s="288"/>
    </row>
    <row r="77" spans="2:26" x14ac:dyDescent="0.2">
      <c r="B77" s="1557" t="s">
        <v>1694</v>
      </c>
      <c r="C77" s="1382" t="s">
        <v>390</v>
      </c>
      <c r="D77" s="1872" t="s">
        <v>236</v>
      </c>
      <c r="E77" s="1873"/>
      <c r="F77" s="1378">
        <v>2</v>
      </c>
      <c r="G77" s="292">
        <v>461.41220798866613</v>
      </c>
      <c r="H77" s="292">
        <v>460.51174529640019</v>
      </c>
      <c r="I77" s="292">
        <v>455.20412274614381</v>
      </c>
      <c r="J77" s="292">
        <v>454.30337295341064</v>
      </c>
      <c r="K77" s="292">
        <v>453.39909069823591</v>
      </c>
      <c r="L77" s="292">
        <v>452.49342913794442</v>
      </c>
      <c r="M77" s="292">
        <v>2192.6696367080826</v>
      </c>
      <c r="N77" s="292">
        <v>2278.2211990512519</v>
      </c>
      <c r="O77" s="292">
        <v>2108.8918874538208</v>
      </c>
      <c r="P77" s="292">
        <v>2036.7796897471769</v>
      </c>
      <c r="Q77" s="292"/>
      <c r="R77" s="293"/>
      <c r="S77" s="293"/>
      <c r="T77" s="293"/>
      <c r="U77" s="293"/>
      <c r="V77" s="294"/>
      <c r="W77" s="295"/>
      <c r="X77" s="295"/>
      <c r="Y77" s="295"/>
      <c r="Z77" s="295"/>
    </row>
    <row r="78" spans="2:26" x14ac:dyDescent="0.2">
      <c r="B78" s="1558" t="s">
        <v>1695</v>
      </c>
      <c r="C78" s="1377" t="s">
        <v>384</v>
      </c>
      <c r="D78" s="1872" t="s">
        <v>236</v>
      </c>
      <c r="E78" s="1873"/>
      <c r="F78" s="1378">
        <v>2</v>
      </c>
      <c r="G78" s="292">
        <f t="shared" ref="G78:P78" si="3">G12</f>
        <v>10.756007356367068</v>
      </c>
      <c r="H78" s="292">
        <f t="shared" si="3"/>
        <v>11.045610917873599</v>
      </c>
      <c r="I78" s="292">
        <f t="shared" si="3"/>
        <v>10.125696711552145</v>
      </c>
      <c r="J78" s="292">
        <f t="shared" si="3"/>
        <v>9.2831519612602769</v>
      </c>
      <c r="K78" s="292">
        <f t="shared" si="3"/>
        <v>8.7579472448238338</v>
      </c>
      <c r="L78" s="292">
        <f t="shared" si="3"/>
        <v>8.1289085005026553</v>
      </c>
      <c r="M78" s="292">
        <f t="shared" si="3"/>
        <v>28.308469660078337</v>
      </c>
      <c r="N78" s="292">
        <f t="shared" si="3"/>
        <v>20.173551864293255</v>
      </c>
      <c r="O78" s="292">
        <f t="shared" si="3"/>
        <v>18.890900857565786</v>
      </c>
      <c r="P78" s="292">
        <f t="shared" si="3"/>
        <v>22.023299042893626</v>
      </c>
      <c r="Q78" s="296"/>
      <c r="R78" s="297"/>
      <c r="S78" s="297"/>
      <c r="T78" s="297"/>
      <c r="U78" s="297"/>
      <c r="V78" s="298"/>
      <c r="W78" s="299"/>
      <c r="X78" s="299"/>
      <c r="Y78" s="299"/>
      <c r="Z78" s="299"/>
    </row>
    <row r="79" spans="2:26" ht="15" thickBot="1" x14ac:dyDescent="0.25">
      <c r="B79" s="1559" t="s">
        <v>1696</v>
      </c>
      <c r="C79" s="1560" t="s">
        <v>393</v>
      </c>
      <c r="D79" s="1874" t="s">
        <v>236</v>
      </c>
      <c r="E79" s="1875"/>
      <c r="F79" s="1561">
        <v>2</v>
      </c>
      <c r="G79" s="292">
        <f t="shared" ref="G79:N79" si="4">G13</f>
        <v>-22.122281721732215</v>
      </c>
      <c r="H79" s="292">
        <f t="shared" si="4"/>
        <v>-27.198434968279507</v>
      </c>
      <c r="I79" s="292">
        <f t="shared" si="4"/>
        <v>-30.959404639510925</v>
      </c>
      <c r="J79" s="292">
        <f t="shared" si="4"/>
        <v>-35.47897925149109</v>
      </c>
      <c r="K79" s="292">
        <f t="shared" si="4"/>
        <v>-39.066787553991645</v>
      </c>
      <c r="L79" s="292">
        <f t="shared" si="4"/>
        <v>-41.346792600102724</v>
      </c>
      <c r="M79" s="292">
        <f t="shared" si="4"/>
        <v>-283.8385042146308</v>
      </c>
      <c r="N79" s="292">
        <f t="shared" si="4"/>
        <v>-208.62312889906323</v>
      </c>
      <c r="O79" s="292">
        <v>-380.9275814931969</v>
      </c>
      <c r="P79" s="292">
        <v>-473.79545407002036</v>
      </c>
      <c r="Q79" s="300"/>
      <c r="R79" s="301"/>
      <c r="S79" s="301"/>
      <c r="T79" s="301"/>
      <c r="U79" s="301"/>
      <c r="V79" s="302"/>
      <c r="W79" s="303"/>
      <c r="X79" s="303"/>
      <c r="Y79" s="303"/>
      <c r="Z79" s="303"/>
    </row>
    <row r="80" spans="2:26" ht="15" thickBot="1" x14ac:dyDescent="0.25">
      <c r="B80" s="136"/>
      <c r="C80" s="66"/>
      <c r="D80" s="66"/>
      <c r="E80" s="66"/>
      <c r="O80" s="1441"/>
      <c r="P80" s="1441"/>
      <c r="Q80" s="62"/>
      <c r="R80" s="62"/>
    </row>
    <row r="81" spans="2:26" ht="75.75" thickBot="1" x14ac:dyDescent="0.25">
      <c r="B81" s="193" t="str">
        <f>CONCATENATE("Table 7b: WC level - Alternative Programme  ",E68, " Final Plan SDB")</f>
        <v>Table 7b: WC level - Alternative Programme  High Environmental Destination Final Plan SDB</v>
      </c>
      <c r="C81" s="138"/>
      <c r="D81" s="137"/>
      <c r="E81" s="137"/>
      <c r="F81" s="74"/>
      <c r="G81" s="74"/>
      <c r="H81" s="74"/>
      <c r="I81" s="74"/>
      <c r="J81" s="74"/>
      <c r="K81" s="74"/>
      <c r="L81" s="74"/>
      <c r="M81" s="1866" t="s">
        <v>1672</v>
      </c>
      <c r="N81" s="1867"/>
      <c r="O81" s="1867"/>
      <c r="P81" s="1867"/>
      <c r="Q81" s="1867"/>
      <c r="R81" s="1867"/>
      <c r="S81" s="1867"/>
      <c r="T81" s="1867"/>
      <c r="U81" s="1867"/>
      <c r="V81" s="1867"/>
      <c r="W81" s="1867"/>
      <c r="X81" s="1867"/>
      <c r="Y81" s="1867"/>
      <c r="Z81" s="1867"/>
    </row>
    <row r="82" spans="2:26" ht="30.75" thickBot="1" x14ac:dyDescent="0.25">
      <c r="B82" s="343" t="s">
        <v>70</v>
      </c>
      <c r="C82" s="344" t="s">
        <v>1697</v>
      </c>
      <c r="D82" s="1868" t="s">
        <v>206</v>
      </c>
      <c r="E82" s="1869"/>
      <c r="F82" s="345" t="s">
        <v>207</v>
      </c>
      <c r="G82" s="346" t="s">
        <v>1674</v>
      </c>
      <c r="H82" s="347" t="s">
        <v>1675</v>
      </c>
      <c r="I82" s="347" t="s">
        <v>1671</v>
      </c>
      <c r="J82" s="347" t="s">
        <v>1676</v>
      </c>
      <c r="K82" s="347" t="s">
        <v>1677</v>
      </c>
      <c r="L82" s="348" t="s">
        <v>1678</v>
      </c>
      <c r="M82" s="349" t="s">
        <v>1679</v>
      </c>
      <c r="N82" s="349" t="s">
        <v>1680</v>
      </c>
      <c r="O82" s="349" t="s">
        <v>1681</v>
      </c>
      <c r="P82" s="349" t="s">
        <v>1682</v>
      </c>
      <c r="Q82" s="119" t="s">
        <v>1683</v>
      </c>
      <c r="R82" s="109" t="s">
        <v>1684</v>
      </c>
      <c r="S82" s="109" t="s">
        <v>1685</v>
      </c>
      <c r="T82" s="109" t="s">
        <v>1686</v>
      </c>
      <c r="U82" s="109" t="s">
        <v>1687</v>
      </c>
      <c r="V82" s="110" t="s">
        <v>1688</v>
      </c>
      <c r="W82" s="120" t="s">
        <v>1689</v>
      </c>
      <c r="X82" s="120" t="s">
        <v>1690</v>
      </c>
      <c r="Y82" s="120" t="s">
        <v>1691</v>
      </c>
      <c r="Z82" s="120" t="s">
        <v>1692</v>
      </c>
    </row>
    <row r="83" spans="2:26" x14ac:dyDescent="0.2">
      <c r="B83" s="339" t="s">
        <v>1698</v>
      </c>
      <c r="C83" s="1550" t="s">
        <v>1637</v>
      </c>
      <c r="D83" s="1888" t="s">
        <v>236</v>
      </c>
      <c r="E83" s="1889"/>
      <c r="F83" s="1550">
        <v>2</v>
      </c>
      <c r="G83" s="1574">
        <v>466.56666346724023</v>
      </c>
      <c r="H83" s="1574">
        <v>466.8126588839682</v>
      </c>
      <c r="I83" s="1574">
        <v>464.28240946025761</v>
      </c>
      <c r="J83" s="1574">
        <v>462.29966294103775</v>
      </c>
      <c r="K83" s="1574">
        <v>460.07629239804101</v>
      </c>
      <c r="L83" s="1574">
        <v>456.97390714925524</v>
      </c>
      <c r="M83" s="1574">
        <v>2240.1900425918884</v>
      </c>
      <c r="N83" s="1574">
        <v>2154.1748994091772</v>
      </c>
      <c r="O83" s="1574">
        <v>2083.0068706085149</v>
      </c>
      <c r="P83" s="1574">
        <v>2060.8588283483778</v>
      </c>
      <c r="Q83" s="1572"/>
      <c r="R83" s="288"/>
      <c r="S83" s="288"/>
      <c r="T83" s="288"/>
      <c r="U83" s="341"/>
      <c r="V83" s="341"/>
      <c r="W83" s="341"/>
      <c r="X83" s="341"/>
      <c r="Y83" s="341"/>
      <c r="Z83" s="341"/>
    </row>
    <row r="84" spans="2:26" s="338" customFormat="1" x14ac:dyDescent="0.2">
      <c r="B84" s="1397" t="s">
        <v>1699</v>
      </c>
      <c r="C84" s="1382" t="s">
        <v>390</v>
      </c>
      <c r="D84" s="1872" t="s">
        <v>236</v>
      </c>
      <c r="E84" s="1873"/>
      <c r="F84" s="1382">
        <v>2</v>
      </c>
      <c r="G84" s="1575">
        <f>'2. WC Level Data'!L77</f>
        <v>490.02919715434984</v>
      </c>
      <c r="H84" s="1575">
        <f>'2. WC Level Data'!M77</f>
        <v>491.25196028720228</v>
      </c>
      <c r="I84" s="1575">
        <f>'2. WC Level Data'!N77</f>
        <v>487.31156928422922</v>
      </c>
      <c r="J84" s="1575">
        <f>'2. WC Level Data'!O77</f>
        <v>490.89508140434697</v>
      </c>
      <c r="K84" s="1575">
        <f>'2. WC Level Data'!P77</f>
        <v>487.52299828714433</v>
      </c>
      <c r="L84" s="1575">
        <f>'2. WC Level Data'!Q77</f>
        <v>492.46427427379541</v>
      </c>
      <c r="M84" s="1575">
        <f>SUM('2. WC Level Data'!R77:V77)</f>
        <v>2422.7268212532235</v>
      </c>
      <c r="N84" s="1575">
        <f>SUM('2. WC Level Data'!W77:AA77)</f>
        <v>2521.6047241143738</v>
      </c>
      <c r="O84" s="1575">
        <f>O77+('4. Options Appraisal Summary'!V23*5)+('4. Options Appraisal Summary'!V51*5)</f>
        <v>2262.3918874538208</v>
      </c>
      <c r="P84" s="1575">
        <f>P77+('4. Options Appraisal Summary'!V23*5)+('4. Options Appraisal Summary'!V51*5)+('4. Options Appraisal Summary'!V44*5)+('4. Options Appraisal Summary'!V40*5)</f>
        <v>3265.2796897471771</v>
      </c>
      <c r="Q84" s="1573"/>
      <c r="R84" s="1369"/>
      <c r="S84" s="1369"/>
      <c r="T84" s="1369"/>
      <c r="U84" s="1369"/>
      <c r="V84" s="1370"/>
      <c r="W84" s="1371"/>
      <c r="X84" s="1371"/>
      <c r="Y84" s="1371"/>
      <c r="Z84" s="1371"/>
    </row>
    <row r="85" spans="2:26" x14ac:dyDescent="0.2">
      <c r="B85" s="1390" t="s">
        <v>1700</v>
      </c>
      <c r="C85" s="1377" t="s">
        <v>384</v>
      </c>
      <c r="D85" s="1872" t="s">
        <v>236</v>
      </c>
      <c r="E85" s="1873"/>
      <c r="F85" s="1378">
        <v>2</v>
      </c>
      <c r="G85" s="1576">
        <f>'2. WC Level Data'!L75</f>
        <v>10.674141376525171</v>
      </c>
      <c r="H85" s="1576">
        <f>'2. WC Level Data'!M75</f>
        <v>11.109891465755577</v>
      </c>
      <c r="I85" s="1576">
        <f>'2. WC Level Data'!N75</f>
        <v>10.054179665650723</v>
      </c>
      <c r="J85" s="1576">
        <f>'2. WC Level Data'!O75</f>
        <v>11.640347628793107</v>
      </c>
      <c r="K85" s="1576">
        <f>'2. WC Level Data'!P75</f>
        <v>10.94270610219057</v>
      </c>
      <c r="L85" s="1576">
        <f>'2. WC Level Data'!Q75</f>
        <v>10.373156077633462</v>
      </c>
      <c r="M85" s="1577">
        <f>SUM('2. WC Level Data'!R75:V75)</f>
        <v>39.511851178317592</v>
      </c>
      <c r="N85" s="1577">
        <f>SUM('2. WC Level Data'!W75:AA75)</f>
        <v>31.009007306266099</v>
      </c>
      <c r="O85" s="1577">
        <f>SUM('2. WC Level Data'!AB75:AF75)</f>
        <v>29.963918366670164</v>
      </c>
      <c r="P85" s="1578">
        <f>SUM('2. WC Level Data'!AG75:AK75)</f>
        <v>33.33439743664723</v>
      </c>
      <c r="Q85" s="296"/>
      <c r="R85" s="297"/>
      <c r="S85" s="297"/>
      <c r="T85" s="297"/>
      <c r="U85" s="297"/>
      <c r="V85" s="298"/>
      <c r="W85" s="299"/>
      <c r="X85" s="299"/>
      <c r="Y85" s="299"/>
      <c r="Z85" s="299"/>
    </row>
    <row r="86" spans="2:26" ht="15" thickBot="1" x14ac:dyDescent="0.25">
      <c r="B86" s="1392" t="s">
        <v>1701</v>
      </c>
      <c r="C86" s="1373" t="s">
        <v>393</v>
      </c>
      <c r="D86" s="1874" t="s">
        <v>236</v>
      </c>
      <c r="E86" s="1875"/>
      <c r="F86" s="1374">
        <v>2</v>
      </c>
      <c r="G86" s="1387">
        <f>G84-G83-G85</f>
        <v>12.788392310584442</v>
      </c>
      <c r="H86" s="1393">
        <f t="shared" ref="H86" si="5">H84-H83-H85</f>
        <v>13.329409937478506</v>
      </c>
      <c r="I86" s="1393">
        <f t="shared" ref="I86" si="6">I84-I83-I85</f>
        <v>12.974980158320887</v>
      </c>
      <c r="J86" s="1393">
        <f t="shared" ref="J86" si="7">J84-J83-J85</f>
        <v>16.955070834516107</v>
      </c>
      <c r="K86" s="1393">
        <f t="shared" ref="K86" si="8">K84-K83-K85</f>
        <v>16.503999786912757</v>
      </c>
      <c r="L86" s="1394">
        <f t="shared" ref="L86" si="9">L84-L83-L85</f>
        <v>25.117211046906711</v>
      </c>
      <c r="M86" s="1395">
        <f t="shared" ref="M86" si="10">M84-M83-M85</f>
        <v>143.02492748301754</v>
      </c>
      <c r="N86" s="1395">
        <f t="shared" ref="N86" si="11">N84-N83-N85</f>
        <v>336.42081739893047</v>
      </c>
      <c r="O86" s="1395">
        <f t="shared" ref="O86" si="12">O84-O83-O85</f>
        <v>149.42109847863577</v>
      </c>
      <c r="P86" s="1396">
        <f t="shared" ref="P86" si="13">P84-P83-P85</f>
        <v>1171.0864639621523</v>
      </c>
      <c r="Q86" s="300"/>
      <c r="R86" s="301"/>
      <c r="S86" s="301"/>
      <c r="T86" s="301"/>
      <c r="U86" s="301"/>
      <c r="V86" s="302"/>
      <c r="W86" s="303"/>
      <c r="X86" s="303"/>
      <c r="Y86" s="303"/>
      <c r="Z86" s="303"/>
    </row>
    <row r="87" spans="2:26" ht="15" thickBot="1" x14ac:dyDescent="0.25">
      <c r="B87" s="62"/>
      <c r="G87" s="1389"/>
      <c r="H87" s="1389"/>
      <c r="I87" s="1389"/>
      <c r="J87" s="1389"/>
      <c r="K87" s="1389"/>
      <c r="L87" s="1389"/>
      <c r="M87" s="338"/>
      <c r="Q87" s="62"/>
      <c r="R87" s="62"/>
    </row>
    <row r="88" spans="2:26" ht="60.75" thickBot="1" x14ac:dyDescent="0.25">
      <c r="B88" s="193" t="str">
        <f>CONCATENATE("Table 7c: WC level - Alternative Programme  ",E68, " Totex")</f>
        <v>Table 7c: WC level - Alternative Programme  High Environmental Destination Totex</v>
      </c>
      <c r="C88" s="138"/>
      <c r="D88" s="137"/>
      <c r="E88" s="74"/>
      <c r="F88" s="74"/>
      <c r="G88" s="74"/>
      <c r="H88" s="74"/>
      <c r="I88" s="74"/>
      <c r="J88" s="74"/>
      <c r="K88" s="74"/>
      <c r="L88" s="74"/>
      <c r="M88" s="1866" t="s">
        <v>1672</v>
      </c>
      <c r="N88" s="1867"/>
      <c r="O88" s="1867"/>
      <c r="P88" s="1867"/>
      <c r="Q88" s="1867"/>
      <c r="R88" s="1867"/>
      <c r="S88" s="1867"/>
      <c r="T88" s="1867"/>
      <c r="U88" s="1867"/>
      <c r="V88" s="1867"/>
      <c r="W88" s="1867"/>
      <c r="X88" s="1867"/>
      <c r="Y88" s="1867"/>
      <c r="Z88" s="1867"/>
    </row>
    <row r="89" spans="2:26" ht="30.75" thickBot="1" x14ac:dyDescent="0.25">
      <c r="B89" s="106" t="s">
        <v>70</v>
      </c>
      <c r="C89" s="107" t="s">
        <v>1702</v>
      </c>
      <c r="D89" s="107" t="s">
        <v>1703</v>
      </c>
      <c r="E89" s="107" t="s">
        <v>1704</v>
      </c>
      <c r="F89" s="108" t="s">
        <v>207</v>
      </c>
      <c r="G89" s="119" t="s">
        <v>1674</v>
      </c>
      <c r="H89" s="109" t="s">
        <v>1675</v>
      </c>
      <c r="I89" s="109" t="s">
        <v>1671</v>
      </c>
      <c r="J89" s="109" t="s">
        <v>1676</v>
      </c>
      <c r="K89" s="109" t="s">
        <v>1677</v>
      </c>
      <c r="L89" s="110" t="s">
        <v>1678</v>
      </c>
      <c r="M89" s="120" t="s">
        <v>1679</v>
      </c>
      <c r="N89" s="120" t="s">
        <v>1680</v>
      </c>
      <c r="O89" s="120" t="s">
        <v>1681</v>
      </c>
      <c r="P89" s="120" t="s">
        <v>1682</v>
      </c>
      <c r="Q89" s="119" t="s">
        <v>1683</v>
      </c>
      <c r="R89" s="109" t="s">
        <v>1684</v>
      </c>
      <c r="S89" s="109" t="s">
        <v>1685</v>
      </c>
      <c r="T89" s="109" t="s">
        <v>1686</v>
      </c>
      <c r="U89" s="109" t="s">
        <v>1687</v>
      </c>
      <c r="V89" s="110" t="s">
        <v>1688</v>
      </c>
      <c r="W89" s="120" t="s">
        <v>1689</v>
      </c>
      <c r="X89" s="120" t="s">
        <v>1690</v>
      </c>
      <c r="Y89" s="120" t="s">
        <v>1691</v>
      </c>
      <c r="Z89" s="120" t="s">
        <v>1692</v>
      </c>
    </row>
    <row r="90" spans="2:26" x14ac:dyDescent="0.2">
      <c r="B90" s="244" t="s">
        <v>1705</v>
      </c>
      <c r="C90" s="245" t="s">
        <v>1706</v>
      </c>
      <c r="D90" s="245" t="s">
        <v>1707</v>
      </c>
      <c r="E90" s="245" t="s">
        <v>1708</v>
      </c>
      <c r="F90" s="270">
        <v>3</v>
      </c>
      <c r="G90" s="285"/>
      <c r="H90" s="1653">
        <v>0</v>
      </c>
      <c r="I90" s="1653">
        <v>0</v>
      </c>
      <c r="J90" s="1653">
        <v>0</v>
      </c>
      <c r="K90" s="1653">
        <v>0</v>
      </c>
      <c r="L90" s="1653">
        <v>0</v>
      </c>
      <c r="M90" s="1653">
        <v>0</v>
      </c>
      <c r="N90" s="1653">
        <v>0</v>
      </c>
      <c r="O90" s="1653">
        <v>1208.7636500000001</v>
      </c>
      <c r="P90" s="1653">
        <v>844.60918235952249</v>
      </c>
      <c r="Q90" s="288"/>
      <c r="R90" s="289"/>
      <c r="S90" s="289"/>
      <c r="T90" s="289"/>
      <c r="U90" s="289"/>
      <c r="V90" s="290"/>
      <c r="W90" s="291"/>
      <c r="X90" s="291"/>
      <c r="Y90" s="291"/>
      <c r="Z90" s="291"/>
    </row>
    <row r="91" spans="2:26" x14ac:dyDescent="0.2">
      <c r="B91" s="113" t="s">
        <v>1709</v>
      </c>
      <c r="C91" s="114" t="s">
        <v>1710</v>
      </c>
      <c r="D91" s="114" t="s">
        <v>1707</v>
      </c>
      <c r="E91" s="114" t="s">
        <v>1708</v>
      </c>
      <c r="F91" s="271">
        <v>3</v>
      </c>
      <c r="G91" s="286"/>
      <c r="H91" s="1654">
        <v>0</v>
      </c>
      <c r="I91" s="1654">
        <v>0</v>
      </c>
      <c r="J91" s="1654">
        <v>0</v>
      </c>
      <c r="K91" s="1654">
        <v>0</v>
      </c>
      <c r="L91" s="1654">
        <v>0</v>
      </c>
      <c r="M91" s="1654">
        <v>0</v>
      </c>
      <c r="N91" s="1654">
        <v>0</v>
      </c>
      <c r="O91" s="1654">
        <v>0</v>
      </c>
      <c r="P91" s="1654">
        <v>0</v>
      </c>
      <c r="Q91" s="292"/>
      <c r="R91" s="293"/>
      <c r="S91" s="293"/>
      <c r="T91" s="293"/>
      <c r="U91" s="293"/>
      <c r="V91" s="294"/>
      <c r="W91" s="295"/>
      <c r="X91" s="295"/>
      <c r="Y91" s="295"/>
      <c r="Z91" s="295"/>
    </row>
    <row r="92" spans="2:26" ht="15" thickBot="1" x14ac:dyDescent="0.25">
      <c r="B92" s="116" t="s">
        <v>1711</v>
      </c>
      <c r="C92" s="117" t="s">
        <v>1712</v>
      </c>
      <c r="D92" s="117" t="s">
        <v>1707</v>
      </c>
      <c r="E92" s="117" t="s">
        <v>1708</v>
      </c>
      <c r="F92" s="272">
        <v>3</v>
      </c>
      <c r="G92" s="287"/>
      <c r="H92" s="1652">
        <v>17.188809477456569</v>
      </c>
      <c r="I92" s="1652">
        <v>24.119923897936573</v>
      </c>
      <c r="J92" s="1652">
        <v>62.167617475936567</v>
      </c>
      <c r="K92" s="1652">
        <v>137.54264241985257</v>
      </c>
      <c r="L92" s="1652">
        <v>116.07762554038658</v>
      </c>
      <c r="M92" s="1652">
        <v>227.67441912026993</v>
      </c>
      <c r="N92" s="1652">
        <v>66.47639899699999</v>
      </c>
      <c r="O92" s="1652">
        <v>1579.4563690000004</v>
      </c>
      <c r="P92" s="1652">
        <v>1006.1799133595224</v>
      </c>
      <c r="Q92" s="300"/>
      <c r="R92" s="301"/>
      <c r="S92" s="301"/>
      <c r="T92" s="301"/>
      <c r="U92" s="301"/>
      <c r="V92" s="302"/>
      <c r="W92" s="303"/>
      <c r="X92" s="303"/>
      <c r="Y92" s="303"/>
      <c r="Z92" s="303"/>
    </row>
    <row r="93" spans="2:26" ht="15" thickBot="1" x14ac:dyDescent="0.25">
      <c r="R93" s="62"/>
      <c r="S93" s="62"/>
    </row>
    <row r="94" spans="2:26" ht="90.75" thickBot="1" x14ac:dyDescent="0.25">
      <c r="B94" s="193" t="str">
        <f>CONCATENATE("Table 7d: WC level - Alternative Programme  ",E68, " Enhancement Expenditure")</f>
        <v>Table 7d: WC level - Alternative Programme  High Environmental Destination Enhancement Expenditure</v>
      </c>
      <c r="C94" s="138"/>
      <c r="D94" s="137"/>
      <c r="E94" s="137"/>
      <c r="F94" s="74"/>
      <c r="G94" s="74"/>
      <c r="H94" s="74"/>
      <c r="I94" s="74"/>
      <c r="J94" s="74"/>
      <c r="K94" s="74"/>
      <c r="L94" s="74"/>
      <c r="M94" s="1866" t="s">
        <v>1672</v>
      </c>
      <c r="N94" s="1867"/>
      <c r="O94" s="1867"/>
      <c r="P94" s="1867"/>
      <c r="Q94" s="1867"/>
      <c r="R94" s="1867"/>
      <c r="S94" s="1867"/>
      <c r="T94" s="1867"/>
      <c r="U94" s="1867"/>
      <c r="V94" s="1867"/>
      <c r="W94" s="1867"/>
      <c r="X94" s="1867"/>
      <c r="Y94" s="1867"/>
      <c r="Z94" s="1867"/>
    </row>
    <row r="95" spans="2:26" ht="30.75" thickBot="1" x14ac:dyDescent="0.25">
      <c r="B95" s="106" t="s">
        <v>70</v>
      </c>
      <c r="C95" s="107" t="s">
        <v>1702</v>
      </c>
      <c r="D95" s="107" t="s">
        <v>1703</v>
      </c>
      <c r="E95" s="107" t="s">
        <v>1704</v>
      </c>
      <c r="F95" s="108" t="s">
        <v>207</v>
      </c>
      <c r="G95" s="119" t="s">
        <v>1674</v>
      </c>
      <c r="H95" s="109" t="s">
        <v>1675</v>
      </c>
      <c r="I95" s="109" t="s">
        <v>1671</v>
      </c>
      <c r="J95" s="109" t="s">
        <v>1676</v>
      </c>
      <c r="K95" s="109" t="s">
        <v>1677</v>
      </c>
      <c r="L95" s="110" t="s">
        <v>1678</v>
      </c>
      <c r="M95" s="120" t="s">
        <v>1679</v>
      </c>
      <c r="N95" s="120" t="s">
        <v>1680</v>
      </c>
      <c r="O95" s="120" t="s">
        <v>1681</v>
      </c>
      <c r="P95" s="120" t="s">
        <v>1682</v>
      </c>
      <c r="Q95" s="119" t="s">
        <v>1683</v>
      </c>
      <c r="R95" s="109" t="s">
        <v>1684</v>
      </c>
      <c r="S95" s="109" t="s">
        <v>1685</v>
      </c>
      <c r="T95" s="109" t="s">
        <v>1686</v>
      </c>
      <c r="U95" s="109" t="s">
        <v>1687</v>
      </c>
      <c r="V95" s="110" t="s">
        <v>1688</v>
      </c>
      <c r="W95" s="120" t="s">
        <v>1689</v>
      </c>
      <c r="X95" s="120" t="s">
        <v>1690</v>
      </c>
      <c r="Y95" s="120" t="s">
        <v>1691</v>
      </c>
      <c r="Z95" s="120" t="s">
        <v>1692</v>
      </c>
    </row>
    <row r="96" spans="2:26" x14ac:dyDescent="0.2">
      <c r="B96" s="244" t="s">
        <v>1713</v>
      </c>
      <c r="C96" s="245" t="s">
        <v>1714</v>
      </c>
      <c r="D96" s="245" t="s">
        <v>1496</v>
      </c>
      <c r="E96" s="245" t="s">
        <v>1708</v>
      </c>
      <c r="F96" s="270">
        <v>3</v>
      </c>
      <c r="G96" s="285"/>
      <c r="H96" s="1653">
        <v>13.316079310055555</v>
      </c>
      <c r="I96" s="1653">
        <v>19.850622308055556</v>
      </c>
      <c r="J96" s="1653">
        <v>56.183622308055547</v>
      </c>
      <c r="K96" s="1653">
        <v>131.07562230805556</v>
      </c>
      <c r="L96" s="1653">
        <v>106.62241471305556</v>
      </c>
      <c r="M96" s="1653">
        <v>175.608</v>
      </c>
      <c r="N96" s="1653">
        <v>19.149999999999999</v>
      </c>
      <c r="O96" s="1653">
        <v>1065.5309999999999</v>
      </c>
      <c r="P96" s="1653">
        <v>360.09800000000001</v>
      </c>
      <c r="Q96" s="288"/>
      <c r="R96" s="289"/>
      <c r="S96" s="289"/>
      <c r="T96" s="289"/>
      <c r="U96" s="289"/>
      <c r="V96" s="290"/>
      <c r="W96" s="291"/>
      <c r="X96" s="291"/>
      <c r="Y96" s="291"/>
      <c r="Z96" s="291"/>
    </row>
    <row r="97" spans="2:26" x14ac:dyDescent="0.2">
      <c r="B97" s="113" t="s">
        <v>1715</v>
      </c>
      <c r="C97" s="114" t="s">
        <v>1714</v>
      </c>
      <c r="D97" s="114" t="s">
        <v>1491</v>
      </c>
      <c r="E97" s="114" t="s">
        <v>1708</v>
      </c>
      <c r="F97" s="271">
        <v>3</v>
      </c>
      <c r="G97" s="286"/>
      <c r="H97" s="1654">
        <v>3.8727301674010142</v>
      </c>
      <c r="I97" s="1654">
        <v>4.2693015898810147</v>
      </c>
      <c r="J97" s="1654">
        <v>5.9839951678810142</v>
      </c>
      <c r="K97" s="1654">
        <v>6.467020111797015</v>
      </c>
      <c r="L97" s="1654">
        <v>9.4552108273310154</v>
      </c>
      <c r="M97" s="1654">
        <v>52.066419120269941</v>
      </c>
      <c r="N97" s="1654">
        <v>47.326398996999998</v>
      </c>
      <c r="O97" s="1654">
        <v>513.92536899999993</v>
      </c>
      <c r="P97" s="1654">
        <v>646.0819133595221</v>
      </c>
      <c r="Q97" s="292"/>
      <c r="R97" s="293"/>
      <c r="S97" s="293"/>
      <c r="T97" s="293"/>
      <c r="U97" s="293"/>
      <c r="V97" s="294"/>
      <c r="W97" s="295"/>
      <c r="X97" s="295"/>
      <c r="Y97" s="295"/>
      <c r="Z97" s="295"/>
    </row>
    <row r="98" spans="2:26" ht="15" thickBot="1" x14ac:dyDescent="0.25">
      <c r="B98" s="116" t="s">
        <v>1716</v>
      </c>
      <c r="C98" s="117" t="s">
        <v>1714</v>
      </c>
      <c r="D98" s="117" t="s">
        <v>1707</v>
      </c>
      <c r="E98" s="117" t="s">
        <v>1708</v>
      </c>
      <c r="F98" s="272">
        <v>3</v>
      </c>
      <c r="G98" s="287"/>
      <c r="H98" s="1652">
        <v>17.188809477456569</v>
      </c>
      <c r="I98" s="1652">
        <v>24.119923897936573</v>
      </c>
      <c r="J98" s="1652">
        <v>62.167617475936567</v>
      </c>
      <c r="K98" s="1652">
        <v>137.54264241985257</v>
      </c>
      <c r="L98" s="1652">
        <v>116.07762554038658</v>
      </c>
      <c r="M98" s="1652">
        <v>227.67441912026993</v>
      </c>
      <c r="N98" s="1652">
        <v>66.47639899699999</v>
      </c>
      <c r="O98" s="1652">
        <v>1579.456369</v>
      </c>
      <c r="P98" s="1652">
        <v>1006.1799133595222</v>
      </c>
      <c r="Q98" s="300"/>
      <c r="R98" s="301"/>
      <c r="S98" s="301"/>
      <c r="T98" s="301"/>
      <c r="U98" s="301"/>
      <c r="V98" s="302"/>
      <c r="W98" s="303"/>
      <c r="X98" s="303"/>
      <c r="Y98" s="303"/>
      <c r="Z98" s="303"/>
    </row>
    <row r="100" spans="2:26" ht="15" thickBot="1" x14ac:dyDescent="0.25"/>
    <row r="101" spans="2:26" ht="48.75" customHeight="1" thickBot="1" x14ac:dyDescent="0.25">
      <c r="B101" s="100" t="s">
        <v>64</v>
      </c>
      <c r="C101" s="58" t="str">
        <f>'TITLE PAGE'!$D$18</f>
        <v>Essex &amp; Suffolk Water</v>
      </c>
      <c r="D101" s="101" t="s">
        <v>1656</v>
      </c>
      <c r="E101" s="1542" t="s">
        <v>1457</v>
      </c>
      <c r="F101" s="100" t="s">
        <v>1657</v>
      </c>
      <c r="G101" s="1359" t="s">
        <v>105</v>
      </c>
      <c r="H101" s="102" t="s">
        <v>200</v>
      </c>
      <c r="I101" s="59" t="s">
        <v>1658</v>
      </c>
    </row>
    <row r="102" spans="2:26" ht="77.099999999999994" customHeight="1" thickBot="1" x14ac:dyDescent="0.25">
      <c r="B102" s="101" t="s">
        <v>1659</v>
      </c>
      <c r="C102" s="1890" t="s">
        <v>1726</v>
      </c>
      <c r="D102" s="1896"/>
      <c r="E102" s="1896"/>
      <c r="F102" s="1896"/>
      <c r="G102" s="1896"/>
      <c r="H102" s="1896"/>
      <c r="I102" s="1897"/>
      <c r="K102" s="1552" t="s">
        <v>1661</v>
      </c>
    </row>
    <row r="103" spans="2:26" ht="77.099999999999994" customHeight="1" thickBot="1" x14ac:dyDescent="0.25">
      <c r="B103" s="101" t="s">
        <v>1662</v>
      </c>
      <c r="C103" s="1890" t="s">
        <v>1727</v>
      </c>
      <c r="D103" s="1891"/>
      <c r="E103" s="1891"/>
      <c r="F103" s="1891"/>
      <c r="G103" s="1891"/>
      <c r="H103" s="1891"/>
      <c r="I103" s="1892"/>
    </row>
    <row r="104" spans="2:26" ht="169.7" customHeight="1" thickBot="1" x14ac:dyDescent="0.25">
      <c r="B104" s="101" t="s">
        <v>1665</v>
      </c>
      <c r="C104" s="1893" t="s">
        <v>1728</v>
      </c>
      <c r="D104" s="1894"/>
      <c r="E104" s="1894"/>
      <c r="F104" s="1894"/>
      <c r="G104" s="1894"/>
      <c r="H104" s="1894"/>
      <c r="I104" s="1895"/>
    </row>
    <row r="105" spans="2:26" ht="77.099999999999994" customHeight="1" thickBot="1" x14ac:dyDescent="0.25">
      <c r="B105" s="60" t="s">
        <v>1667</v>
      </c>
      <c r="C105" s="1647">
        <v>1168615</v>
      </c>
      <c r="D105" s="61" t="s">
        <v>1668</v>
      </c>
      <c r="E105" s="103" t="s">
        <v>1669</v>
      </c>
      <c r="F105" s="104" t="s">
        <v>1670</v>
      </c>
      <c r="G105" s="105" t="s">
        <v>1674</v>
      </c>
      <c r="H105" s="104" t="s">
        <v>2</v>
      </c>
      <c r="I105" s="1469">
        <f>I39</f>
        <v>16</v>
      </c>
    </row>
    <row r="106" spans="2:26" ht="15" thickBot="1" x14ac:dyDescent="0.25"/>
    <row r="107" spans="2:26" ht="60.75" thickBot="1" x14ac:dyDescent="0.25">
      <c r="B107" s="193" t="str">
        <f>CONCATENATE("Table 7a: WC level - Alternative Programme ",E101, " Baseline SDB")</f>
        <v>Table 7a: WC level - Alternative Programme Habs Regs SR Baseline SDB</v>
      </c>
      <c r="M107" s="1866" t="s">
        <v>1672</v>
      </c>
      <c r="N107" s="1867"/>
      <c r="O107" s="1867"/>
      <c r="P107" s="1867"/>
      <c r="Q107" s="1867"/>
      <c r="R107" s="1867"/>
      <c r="S107" s="1867"/>
      <c r="T107" s="1867"/>
      <c r="U107" s="1867"/>
      <c r="V107" s="1867"/>
      <c r="W107" s="1867"/>
      <c r="X107" s="1867"/>
      <c r="Y107" s="1867"/>
      <c r="Z107" s="1867"/>
    </row>
    <row r="108" spans="2:26" ht="30.75" thickBot="1" x14ac:dyDescent="0.25">
      <c r="B108" s="106" t="s">
        <v>70</v>
      </c>
      <c r="C108" s="107" t="s">
        <v>1673</v>
      </c>
      <c r="D108" s="1868" t="s">
        <v>206</v>
      </c>
      <c r="E108" s="1869"/>
      <c r="F108" s="108" t="s">
        <v>207</v>
      </c>
      <c r="G108" s="119" t="s">
        <v>1674</v>
      </c>
      <c r="H108" s="109" t="s">
        <v>1675</v>
      </c>
      <c r="I108" s="109" t="s">
        <v>1671</v>
      </c>
      <c r="J108" s="109" t="s">
        <v>1676</v>
      </c>
      <c r="K108" s="109" t="s">
        <v>1677</v>
      </c>
      <c r="L108" s="110" t="s">
        <v>1678</v>
      </c>
      <c r="M108" s="120" t="s">
        <v>1679</v>
      </c>
      <c r="N108" s="120" t="s">
        <v>1680</v>
      </c>
      <c r="O108" s="120" t="s">
        <v>1681</v>
      </c>
      <c r="P108" s="120" t="s">
        <v>1682</v>
      </c>
      <c r="Q108" s="119" t="s">
        <v>1683</v>
      </c>
      <c r="R108" s="109" t="s">
        <v>1684</v>
      </c>
      <c r="S108" s="109" t="s">
        <v>1685</v>
      </c>
      <c r="T108" s="109" t="s">
        <v>1686</v>
      </c>
      <c r="U108" s="109" t="s">
        <v>1687</v>
      </c>
      <c r="V108" s="110" t="s">
        <v>1688</v>
      </c>
      <c r="W108" s="120" t="s">
        <v>1689</v>
      </c>
      <c r="X108" s="120" t="s">
        <v>1690</v>
      </c>
      <c r="Y108" s="120" t="s">
        <v>1691</v>
      </c>
      <c r="Z108" s="120" t="s">
        <v>1692</v>
      </c>
    </row>
    <row r="109" spans="2:26" x14ac:dyDescent="0.2">
      <c r="B109" s="1580" t="s">
        <v>1693</v>
      </c>
      <c r="C109" s="1551" t="s">
        <v>1637</v>
      </c>
      <c r="D109" s="1888" t="s">
        <v>236</v>
      </c>
      <c r="E109" s="1889"/>
      <c r="F109" s="1556">
        <v>2</v>
      </c>
      <c r="G109" s="288">
        <v>466.56666346724023</v>
      </c>
      <c r="H109" s="288">
        <v>470.63087681288044</v>
      </c>
      <c r="I109" s="288">
        <v>471.53977339286632</v>
      </c>
      <c r="J109" s="288">
        <v>474.49032708280856</v>
      </c>
      <c r="K109" s="288">
        <v>477.68819040356175</v>
      </c>
      <c r="L109" s="288">
        <v>479.68133030739335</v>
      </c>
      <c r="M109" s="288">
        <v>2429.7016249187845</v>
      </c>
      <c r="N109" s="288">
        <v>2455.9914290111592</v>
      </c>
      <c r="O109" s="288">
        <v>2470.9312223844518</v>
      </c>
      <c r="P109" s="288">
        <v>2488.5544990693029</v>
      </c>
      <c r="Q109" s="288"/>
      <c r="R109" s="288"/>
      <c r="S109" s="288"/>
      <c r="T109" s="288"/>
      <c r="U109" s="288"/>
      <c r="V109" s="288"/>
      <c r="W109" s="288"/>
      <c r="X109" s="288"/>
      <c r="Y109" s="288"/>
      <c r="Z109" s="288"/>
    </row>
    <row r="110" spans="2:26" x14ac:dyDescent="0.2">
      <c r="B110" s="1564" t="s">
        <v>1694</v>
      </c>
      <c r="C110" s="1659" t="s">
        <v>390</v>
      </c>
      <c r="D110" s="1872" t="s">
        <v>236</v>
      </c>
      <c r="E110" s="1873"/>
      <c r="F110" s="1378">
        <v>2</v>
      </c>
      <c r="G110" s="292">
        <v>461.41220798866613</v>
      </c>
      <c r="H110" s="292">
        <v>460.51174529640019</v>
      </c>
      <c r="I110" s="1658">
        <v>425.57412274614381</v>
      </c>
      <c r="J110" s="1658">
        <v>424.67337295341065</v>
      </c>
      <c r="K110" s="1658">
        <v>423.76909069823591</v>
      </c>
      <c r="L110" s="1658">
        <v>422.86342913794442</v>
      </c>
      <c r="M110" s="1658">
        <v>2066.3196367080827</v>
      </c>
      <c r="N110" s="1658">
        <v>2155.5711990512518</v>
      </c>
      <c r="O110" s="1658">
        <v>2076.7106253186121</v>
      </c>
      <c r="P110" s="1658">
        <v>2003.9765599930279</v>
      </c>
      <c r="Q110" s="292"/>
      <c r="R110" s="293"/>
      <c r="S110" s="293"/>
      <c r="T110" s="293"/>
      <c r="U110" s="293"/>
      <c r="V110" s="294"/>
      <c r="W110" s="295"/>
      <c r="X110" s="295"/>
      <c r="Y110" s="295"/>
      <c r="Z110" s="295"/>
    </row>
    <row r="111" spans="2:26" x14ac:dyDescent="0.2">
      <c r="B111" s="1565" t="s">
        <v>1695</v>
      </c>
      <c r="C111" s="1377" t="s">
        <v>384</v>
      </c>
      <c r="D111" s="1872" t="s">
        <v>236</v>
      </c>
      <c r="E111" s="1873"/>
      <c r="F111" s="1378">
        <v>2</v>
      </c>
      <c r="G111" s="292">
        <f>G12</f>
        <v>10.756007356367068</v>
      </c>
      <c r="H111" s="292">
        <f t="shared" ref="H111:P111" si="14">H12</f>
        <v>11.045610917873599</v>
      </c>
      <c r="I111" s="292">
        <f t="shared" si="14"/>
        <v>10.125696711552145</v>
      </c>
      <c r="J111" s="292">
        <f t="shared" si="14"/>
        <v>9.2831519612602769</v>
      </c>
      <c r="K111" s="292">
        <f t="shared" si="14"/>
        <v>8.7579472448238338</v>
      </c>
      <c r="L111" s="292">
        <f t="shared" si="14"/>
        <v>8.1289085005026553</v>
      </c>
      <c r="M111" s="292">
        <f t="shared" si="14"/>
        <v>28.308469660078337</v>
      </c>
      <c r="N111" s="292">
        <f t="shared" si="14"/>
        <v>20.173551864293255</v>
      </c>
      <c r="O111" s="292">
        <f t="shared" si="14"/>
        <v>18.890900857565786</v>
      </c>
      <c r="P111" s="292">
        <f t="shared" si="14"/>
        <v>22.023299042893626</v>
      </c>
      <c r="Q111" s="296"/>
      <c r="R111" s="297"/>
      <c r="S111" s="297"/>
      <c r="T111" s="297"/>
      <c r="U111" s="297"/>
      <c r="V111" s="298"/>
      <c r="W111" s="299"/>
      <c r="X111" s="299"/>
      <c r="Y111" s="299"/>
      <c r="Z111" s="299"/>
    </row>
    <row r="112" spans="2:26" ht="15" thickBot="1" x14ac:dyDescent="0.25">
      <c r="B112" s="1566" t="s">
        <v>1696</v>
      </c>
      <c r="C112" s="1660" t="s">
        <v>393</v>
      </c>
      <c r="D112" s="1874" t="s">
        <v>236</v>
      </c>
      <c r="E112" s="1875"/>
      <c r="F112" s="1561">
        <v>2</v>
      </c>
      <c r="G112" s="292">
        <v>-19.985881447759454</v>
      </c>
      <c r="H112" s="292">
        <v>-25.062034694306703</v>
      </c>
      <c r="I112" s="1658">
        <v>-59.701983948459088</v>
      </c>
      <c r="J112" s="1658">
        <v>-62.733155128614271</v>
      </c>
      <c r="K112" s="1658">
        <v>-66.264079748039023</v>
      </c>
      <c r="L112" s="1658">
        <v>-68.572756058393423</v>
      </c>
      <c r="M112" s="1658">
        <v>-400.44733766345007</v>
      </c>
      <c r="N112" s="1658">
        <v>-321.92035854444316</v>
      </c>
      <c r="O112" s="1658">
        <v>-414.39940879650254</v>
      </c>
      <c r="P112" s="1658">
        <v>-507.83438923848354</v>
      </c>
      <c r="Q112" s="300"/>
      <c r="R112" s="301"/>
      <c r="S112" s="301"/>
      <c r="T112" s="301"/>
      <c r="U112" s="301"/>
      <c r="V112" s="302"/>
      <c r="W112" s="303"/>
      <c r="X112" s="303"/>
      <c r="Y112" s="303"/>
      <c r="Z112" s="303"/>
    </row>
    <row r="113" spans="1:26" ht="15" thickBot="1" x14ac:dyDescent="0.25">
      <c r="B113" s="136"/>
      <c r="C113" s="66"/>
      <c r="D113" s="66"/>
      <c r="E113" s="66"/>
      <c r="Q113" s="62"/>
      <c r="R113" s="62"/>
    </row>
    <row r="114" spans="1:26" ht="60.75" thickBot="1" x14ac:dyDescent="0.25">
      <c r="B114" s="193" t="str">
        <f>CONCATENATE("Table 7b: WC level - Alternative Programme  ",E101, " Final Plan SDB")</f>
        <v>Table 7b: WC level - Alternative Programme  Habs Regs SR Final Plan SDB</v>
      </c>
      <c r="C114" s="138"/>
      <c r="D114" s="137"/>
      <c r="E114" s="137"/>
      <c r="F114" s="74"/>
      <c r="G114" s="74"/>
      <c r="H114" s="74"/>
      <c r="I114" s="74"/>
      <c r="J114" s="74"/>
      <c r="K114" s="74"/>
      <c r="L114" s="74"/>
      <c r="M114" s="1866" t="s">
        <v>1672</v>
      </c>
      <c r="N114" s="1867"/>
      <c r="O114" s="1867"/>
      <c r="P114" s="1867"/>
      <c r="Q114" s="1867"/>
      <c r="R114" s="1867"/>
      <c r="S114" s="1867"/>
      <c r="T114" s="1867"/>
      <c r="U114" s="1867"/>
      <c r="V114" s="1867"/>
      <c r="W114" s="1867"/>
      <c r="X114" s="1867"/>
      <c r="Y114" s="1867"/>
      <c r="Z114" s="1867"/>
    </row>
    <row r="115" spans="1:26" ht="30.75" thickBot="1" x14ac:dyDescent="0.25">
      <c r="B115" s="343" t="s">
        <v>70</v>
      </c>
      <c r="C115" s="344" t="s">
        <v>1697</v>
      </c>
      <c r="D115" s="1868" t="s">
        <v>206</v>
      </c>
      <c r="E115" s="1869"/>
      <c r="F115" s="345" t="s">
        <v>207</v>
      </c>
      <c r="G115" s="346" t="s">
        <v>1674</v>
      </c>
      <c r="H115" s="347" t="s">
        <v>1675</v>
      </c>
      <c r="I115" s="347" t="s">
        <v>1671</v>
      </c>
      <c r="J115" s="347" t="s">
        <v>1676</v>
      </c>
      <c r="K115" s="347" t="s">
        <v>1677</v>
      </c>
      <c r="L115" s="348" t="s">
        <v>1678</v>
      </c>
      <c r="M115" s="349" t="s">
        <v>1679</v>
      </c>
      <c r="N115" s="349" t="s">
        <v>1680</v>
      </c>
      <c r="O115" s="349" t="s">
        <v>1681</v>
      </c>
      <c r="P115" s="349" t="s">
        <v>1682</v>
      </c>
      <c r="Q115" s="119" t="s">
        <v>1683</v>
      </c>
      <c r="R115" s="109" t="s">
        <v>1684</v>
      </c>
      <c r="S115" s="109" t="s">
        <v>1685</v>
      </c>
      <c r="T115" s="109" t="s">
        <v>1686</v>
      </c>
      <c r="U115" s="109" t="s">
        <v>1687</v>
      </c>
      <c r="V115" s="110" t="s">
        <v>1688</v>
      </c>
      <c r="W115" s="120" t="s">
        <v>1689</v>
      </c>
      <c r="X115" s="120" t="s">
        <v>1690</v>
      </c>
      <c r="Y115" s="120" t="s">
        <v>1691</v>
      </c>
      <c r="Z115" s="120" t="s">
        <v>1692</v>
      </c>
    </row>
    <row r="116" spans="1:26" ht="15" thickBot="1" x14ac:dyDescent="0.25">
      <c r="B116" s="1581" t="s">
        <v>1698</v>
      </c>
      <c r="C116" s="1550" t="s">
        <v>1637</v>
      </c>
      <c r="D116" s="1888" t="s">
        <v>236</v>
      </c>
      <c r="E116" s="1889"/>
      <c r="F116" s="1563">
        <v>2</v>
      </c>
      <c r="G116" s="1579">
        <v>466.56666346724023</v>
      </c>
      <c r="H116" s="1579">
        <v>466.8126588839682</v>
      </c>
      <c r="I116" s="1579">
        <v>464.28240946025761</v>
      </c>
      <c r="J116" s="1579">
        <v>462.29966294103775</v>
      </c>
      <c r="K116" s="1579">
        <v>460.07629239804101</v>
      </c>
      <c r="L116" s="1579">
        <v>456.97390714925524</v>
      </c>
      <c r="M116" s="341">
        <v>2240.1900425918884</v>
      </c>
      <c r="N116" s="341">
        <v>2154.1748994091772</v>
      </c>
      <c r="O116" s="341">
        <v>2083.0068706085149</v>
      </c>
      <c r="P116" s="341">
        <v>2060.8588283483778</v>
      </c>
      <c r="Q116" s="341"/>
      <c r="R116" s="341"/>
      <c r="S116" s="341"/>
      <c r="T116" s="341"/>
      <c r="U116" s="341"/>
      <c r="V116" s="341"/>
      <c r="W116" s="341"/>
      <c r="X116" s="341"/>
      <c r="Y116" s="341"/>
      <c r="Z116" s="341"/>
    </row>
    <row r="117" spans="1:26" s="338" customFormat="1" x14ac:dyDescent="0.2">
      <c r="A117" s="7"/>
      <c r="B117" s="1397" t="s">
        <v>1699</v>
      </c>
      <c r="C117" s="1659" t="s">
        <v>390</v>
      </c>
      <c r="D117" s="1872" t="s">
        <v>236</v>
      </c>
      <c r="E117" s="1873"/>
      <c r="F117" s="1563">
        <v>2</v>
      </c>
      <c r="G117" s="1575">
        <v>492.16559742832243</v>
      </c>
      <c r="H117" s="1575">
        <v>493.38836056117486</v>
      </c>
      <c r="I117" s="1661">
        <v>477.91042110053985</v>
      </c>
      <c r="J117" s="1661">
        <v>483.9988627322283</v>
      </c>
      <c r="K117" s="1661">
        <v>481.95268389088244</v>
      </c>
      <c r="L117" s="1661">
        <v>484.07277309827913</v>
      </c>
      <c r="M117" s="1662">
        <v>2388.2211576562522</v>
      </c>
      <c r="N117" s="1663">
        <v>2491.6367254842371</v>
      </c>
      <c r="O117" s="1663">
        <v>2504.8683297817279</v>
      </c>
      <c r="P117" s="1664">
        <v>2432.0739609072516</v>
      </c>
      <c r="Q117" s="1368"/>
      <c r="R117" s="1369"/>
      <c r="S117" s="1369"/>
      <c r="T117" s="1369"/>
      <c r="U117" s="1369"/>
      <c r="V117" s="1370"/>
      <c r="W117" s="1371"/>
      <c r="X117" s="1371"/>
      <c r="Y117" s="1371"/>
      <c r="Z117" s="1371"/>
    </row>
    <row r="118" spans="1:26" x14ac:dyDescent="0.2">
      <c r="B118" s="1390" t="s">
        <v>1700</v>
      </c>
      <c r="C118" s="1377" t="s">
        <v>384</v>
      </c>
      <c r="D118" s="1872" t="s">
        <v>236</v>
      </c>
      <c r="E118" s="1873"/>
      <c r="F118" s="1378">
        <v>2</v>
      </c>
      <c r="G118" s="1576">
        <f>'2. WC Level Data'!L75</f>
        <v>10.674141376525171</v>
      </c>
      <c r="H118" s="1576">
        <f>'2. WC Level Data'!M75</f>
        <v>11.109891465755577</v>
      </c>
      <c r="I118" s="1576">
        <f>'2. WC Level Data'!N75</f>
        <v>10.054179665650723</v>
      </c>
      <c r="J118" s="1576">
        <f>'2. WC Level Data'!O75</f>
        <v>11.640347628793107</v>
      </c>
      <c r="K118" s="1576">
        <f>'2. WC Level Data'!P75</f>
        <v>10.94270610219057</v>
      </c>
      <c r="L118" s="1576">
        <f>'2. WC Level Data'!Q75</f>
        <v>10.373156077633462</v>
      </c>
      <c r="M118" s="1391">
        <f>M19</f>
        <v>39.511851178317592</v>
      </c>
      <c r="N118" s="1391">
        <f t="shared" ref="N118:P118" si="15">N19</f>
        <v>31.009007306266099</v>
      </c>
      <c r="O118" s="1391">
        <f t="shared" si="15"/>
        <v>29.963918366670164</v>
      </c>
      <c r="P118" s="1391">
        <f t="shared" si="15"/>
        <v>33.33439743664723</v>
      </c>
      <c r="Q118" s="296"/>
      <c r="R118" s="297"/>
      <c r="S118" s="297"/>
      <c r="T118" s="297"/>
      <c r="U118" s="297"/>
      <c r="V118" s="298"/>
      <c r="W118" s="299"/>
      <c r="X118" s="299"/>
      <c r="Y118" s="299"/>
      <c r="Z118" s="299"/>
    </row>
    <row r="119" spans="1:26" ht="15" thickBot="1" x14ac:dyDescent="0.25">
      <c r="B119" s="1392" t="s">
        <v>1701</v>
      </c>
      <c r="C119" s="1670" t="s">
        <v>393</v>
      </c>
      <c r="D119" s="1874" t="s">
        <v>236</v>
      </c>
      <c r="E119" s="1875"/>
      <c r="F119" s="1374">
        <v>2</v>
      </c>
      <c r="G119" s="1667">
        <v>14.925323443557033</v>
      </c>
      <c r="H119" s="1393">
        <v>15.466341070451042</v>
      </c>
      <c r="I119" s="1665">
        <v>3.8253832507107575</v>
      </c>
      <c r="J119" s="1665">
        <v>10.298806870301204</v>
      </c>
      <c r="K119" s="1665">
        <v>11.230523781630694</v>
      </c>
      <c r="L119" s="1666">
        <v>16.993876998127501</v>
      </c>
      <c r="M119" s="1668">
        <v>107.58108336236417</v>
      </c>
      <c r="N119" s="1668">
        <v>305.12624204855206</v>
      </c>
      <c r="O119" s="1668">
        <v>390.60962993344572</v>
      </c>
      <c r="P119" s="1669">
        <v>336.64758400291214</v>
      </c>
      <c r="Q119" s="300"/>
      <c r="R119" s="301"/>
      <c r="S119" s="301"/>
      <c r="T119" s="301"/>
      <c r="U119" s="301"/>
      <c r="V119" s="302"/>
      <c r="W119" s="303"/>
      <c r="X119" s="303"/>
      <c r="Y119" s="303"/>
      <c r="Z119" s="303"/>
    </row>
    <row r="120" spans="1:26" ht="15" thickBot="1" x14ac:dyDescent="0.25">
      <c r="B120" s="62"/>
      <c r="G120" s="1389"/>
      <c r="H120" s="1389"/>
      <c r="I120" s="1389"/>
      <c r="J120" s="1389"/>
      <c r="K120" s="1389"/>
      <c r="L120" s="1389"/>
      <c r="M120" s="338"/>
      <c r="Q120" s="62"/>
      <c r="R120" s="62"/>
    </row>
    <row r="121" spans="1:26" ht="45.75" thickBot="1" x14ac:dyDescent="0.25">
      <c r="B121" s="193" t="str">
        <f>CONCATENATE("Table 7c: WC level - Alternative Programme  ",E101, " Totex")</f>
        <v>Table 7c: WC level - Alternative Programme  Habs Regs SR Totex</v>
      </c>
      <c r="C121" s="138"/>
      <c r="D121" s="137"/>
      <c r="E121" s="74"/>
      <c r="F121" s="74"/>
      <c r="G121" s="74"/>
      <c r="H121" s="74"/>
      <c r="I121" s="74"/>
      <c r="J121" s="74"/>
      <c r="K121" s="74"/>
      <c r="L121" s="74"/>
      <c r="M121" s="1866" t="s">
        <v>1672</v>
      </c>
      <c r="N121" s="1867"/>
      <c r="O121" s="1867"/>
      <c r="P121" s="1867"/>
      <c r="Q121" s="1867"/>
      <c r="R121" s="1867"/>
      <c r="S121" s="1867"/>
      <c r="T121" s="1867"/>
      <c r="U121" s="1867"/>
      <c r="V121" s="1867"/>
      <c r="W121" s="1867"/>
      <c r="X121" s="1867"/>
      <c r="Y121" s="1867"/>
      <c r="Z121" s="1867"/>
    </row>
    <row r="122" spans="1:26" ht="30.75" thickBot="1" x14ac:dyDescent="0.25">
      <c r="B122" s="106" t="s">
        <v>70</v>
      </c>
      <c r="C122" s="107" t="s">
        <v>1702</v>
      </c>
      <c r="D122" s="107" t="s">
        <v>1703</v>
      </c>
      <c r="E122" s="107" t="s">
        <v>1704</v>
      </c>
      <c r="F122" s="108" t="s">
        <v>207</v>
      </c>
      <c r="G122" s="119" t="s">
        <v>1674</v>
      </c>
      <c r="H122" s="109" t="s">
        <v>1675</v>
      </c>
      <c r="I122" s="109" t="s">
        <v>1671</v>
      </c>
      <c r="J122" s="109" t="s">
        <v>1676</v>
      </c>
      <c r="K122" s="109" t="s">
        <v>1677</v>
      </c>
      <c r="L122" s="110" t="s">
        <v>1678</v>
      </c>
      <c r="M122" s="120" t="s">
        <v>1679</v>
      </c>
      <c r="N122" s="120" t="s">
        <v>1680</v>
      </c>
      <c r="O122" s="120" t="s">
        <v>1681</v>
      </c>
      <c r="P122" s="120" t="s">
        <v>1682</v>
      </c>
      <c r="Q122" s="119" t="s">
        <v>1683</v>
      </c>
      <c r="R122" s="109" t="s">
        <v>1684</v>
      </c>
      <c r="S122" s="109" t="s">
        <v>1685</v>
      </c>
      <c r="T122" s="109" t="s">
        <v>1686</v>
      </c>
      <c r="U122" s="109" t="s">
        <v>1687</v>
      </c>
      <c r="V122" s="110" t="s">
        <v>1688</v>
      </c>
      <c r="W122" s="120" t="s">
        <v>1689</v>
      </c>
      <c r="X122" s="120" t="s">
        <v>1690</v>
      </c>
      <c r="Y122" s="120" t="s">
        <v>1691</v>
      </c>
      <c r="Z122" s="120" t="s">
        <v>1692</v>
      </c>
    </row>
    <row r="123" spans="1:26" x14ac:dyDescent="0.2">
      <c r="B123" s="244" t="s">
        <v>1705</v>
      </c>
      <c r="C123" s="245" t="s">
        <v>1706</v>
      </c>
      <c r="D123" s="245" t="s">
        <v>1707</v>
      </c>
      <c r="E123" s="245" t="s">
        <v>1708</v>
      </c>
      <c r="F123" s="270">
        <v>3</v>
      </c>
      <c r="G123" s="270"/>
      <c r="H123" s="1655">
        <v>0</v>
      </c>
      <c r="I123" s="1655">
        <v>0</v>
      </c>
      <c r="J123" s="1655">
        <v>0</v>
      </c>
      <c r="K123" s="1655">
        <v>8.4780399999999929</v>
      </c>
      <c r="L123" s="1655">
        <v>0.71212999999999016</v>
      </c>
      <c r="M123" s="1655">
        <v>90.888999999999996</v>
      </c>
      <c r="N123" s="1655">
        <v>23.686739999999997</v>
      </c>
      <c r="O123" s="1655">
        <v>18.652139999999999</v>
      </c>
      <c r="P123" s="1655">
        <v>19.920460000000002</v>
      </c>
      <c r="Q123" s="288"/>
      <c r="R123" s="289"/>
      <c r="S123" s="289"/>
      <c r="T123" s="289"/>
      <c r="U123" s="289"/>
      <c r="V123" s="290"/>
      <c r="W123" s="291"/>
      <c r="X123" s="291"/>
      <c r="Y123" s="291"/>
      <c r="Z123" s="291"/>
    </row>
    <row r="124" spans="1:26" x14ac:dyDescent="0.2">
      <c r="B124" s="113" t="s">
        <v>1709</v>
      </c>
      <c r="C124" s="114" t="s">
        <v>1710</v>
      </c>
      <c r="D124" s="114" t="s">
        <v>1707</v>
      </c>
      <c r="E124" s="114" t="s">
        <v>1708</v>
      </c>
      <c r="F124" s="271">
        <v>3</v>
      </c>
      <c r="G124" s="271"/>
      <c r="H124" s="1656">
        <v>0</v>
      </c>
      <c r="I124" s="1656">
        <v>0</v>
      </c>
      <c r="J124" s="1656">
        <v>0</v>
      </c>
      <c r="K124" s="1656">
        <v>0</v>
      </c>
      <c r="L124" s="1656">
        <v>0</v>
      </c>
      <c r="M124" s="1656">
        <v>0.73027999999998428</v>
      </c>
      <c r="N124" s="1656">
        <v>0</v>
      </c>
      <c r="O124" s="1656">
        <v>17.739949999999983</v>
      </c>
      <c r="P124" s="1656">
        <v>0</v>
      </c>
      <c r="Q124" s="292"/>
      <c r="R124" s="293"/>
      <c r="S124" s="293"/>
      <c r="T124" s="293"/>
      <c r="U124" s="293"/>
      <c r="V124" s="294"/>
      <c r="W124" s="295"/>
      <c r="X124" s="295"/>
      <c r="Y124" s="295"/>
      <c r="Z124" s="295"/>
    </row>
    <row r="125" spans="1:26" ht="15" thickBot="1" x14ac:dyDescent="0.25">
      <c r="B125" s="116" t="s">
        <v>1711</v>
      </c>
      <c r="C125" s="117" t="s">
        <v>1712</v>
      </c>
      <c r="D125" s="117" t="s">
        <v>1707</v>
      </c>
      <c r="E125" s="117" t="s">
        <v>1708</v>
      </c>
      <c r="F125" s="272">
        <v>3</v>
      </c>
      <c r="G125" s="272"/>
      <c r="H125" s="1657">
        <v>17.188809477456569</v>
      </c>
      <c r="I125" s="1657">
        <v>24.119923897936573</v>
      </c>
      <c r="J125" s="1657">
        <v>62.167617475936567</v>
      </c>
      <c r="K125" s="1657">
        <v>146.02068241985256</v>
      </c>
      <c r="L125" s="1657">
        <v>116.78975554038658</v>
      </c>
      <c r="M125" s="1657">
        <v>317.83313912026995</v>
      </c>
      <c r="N125" s="1657">
        <v>90.163138997000004</v>
      </c>
      <c r="O125" s="1657">
        <v>371.60490900000002</v>
      </c>
      <c r="P125" s="1657">
        <v>181.49119100000001</v>
      </c>
      <c r="Q125" s="300"/>
      <c r="R125" s="301"/>
      <c r="S125" s="301"/>
      <c r="T125" s="301"/>
      <c r="U125" s="301"/>
      <c r="V125" s="302"/>
      <c r="W125" s="303"/>
      <c r="X125" s="303"/>
      <c r="Y125" s="303"/>
      <c r="Z125" s="303"/>
    </row>
    <row r="126" spans="1:26" ht="15" thickBot="1" x14ac:dyDescent="0.25">
      <c r="R126" s="62"/>
      <c r="S126" s="62"/>
    </row>
    <row r="127" spans="1:26" ht="75.75" thickBot="1" x14ac:dyDescent="0.25">
      <c r="B127" s="193" t="str">
        <f>CONCATENATE("Table 7d: WC level - Alternative Programme  ",E101, " Enhancement Expenditure")</f>
        <v>Table 7d: WC level - Alternative Programme  Habs Regs SR Enhancement Expenditure</v>
      </c>
      <c r="C127" s="138"/>
      <c r="D127" s="137"/>
      <c r="E127" s="137"/>
      <c r="F127" s="74"/>
      <c r="G127" s="74"/>
      <c r="H127" s="74"/>
      <c r="I127" s="74"/>
      <c r="J127" s="74"/>
      <c r="K127" s="74"/>
      <c r="L127" s="74"/>
      <c r="M127" s="1866" t="s">
        <v>1672</v>
      </c>
      <c r="N127" s="1867"/>
      <c r="O127" s="1867"/>
      <c r="P127" s="1867"/>
      <c r="Q127" s="1867"/>
      <c r="R127" s="1867"/>
      <c r="S127" s="1867"/>
      <c r="T127" s="1867"/>
      <c r="U127" s="1867"/>
      <c r="V127" s="1867"/>
      <c r="W127" s="1867"/>
      <c r="X127" s="1867"/>
      <c r="Y127" s="1867"/>
      <c r="Z127" s="1867"/>
    </row>
    <row r="128" spans="1:26" ht="30.75" thickBot="1" x14ac:dyDescent="0.25">
      <c r="B128" s="106" t="s">
        <v>70</v>
      </c>
      <c r="C128" s="107" t="s">
        <v>1702</v>
      </c>
      <c r="D128" s="107" t="s">
        <v>1703</v>
      </c>
      <c r="E128" s="107" t="s">
        <v>1704</v>
      </c>
      <c r="F128" s="108" t="s">
        <v>207</v>
      </c>
      <c r="G128" s="119" t="s">
        <v>1674</v>
      </c>
      <c r="H128" s="109" t="s">
        <v>1675</v>
      </c>
      <c r="I128" s="109" t="s">
        <v>1671</v>
      </c>
      <c r="J128" s="109" t="s">
        <v>1676</v>
      </c>
      <c r="K128" s="109" t="s">
        <v>1677</v>
      </c>
      <c r="L128" s="110" t="s">
        <v>1678</v>
      </c>
      <c r="M128" s="120" t="s">
        <v>1679</v>
      </c>
      <c r="N128" s="120" t="s">
        <v>1680</v>
      </c>
      <c r="O128" s="120" t="s">
        <v>1681</v>
      </c>
      <c r="P128" s="120" t="s">
        <v>1682</v>
      </c>
      <c r="Q128" s="119" t="s">
        <v>1683</v>
      </c>
      <c r="R128" s="109" t="s">
        <v>1684</v>
      </c>
      <c r="S128" s="109" t="s">
        <v>1685</v>
      </c>
      <c r="T128" s="109" t="s">
        <v>1686</v>
      </c>
      <c r="U128" s="109" t="s">
        <v>1687</v>
      </c>
      <c r="V128" s="110" t="s">
        <v>1688</v>
      </c>
      <c r="W128" s="120" t="s">
        <v>1689</v>
      </c>
      <c r="X128" s="120" t="s">
        <v>1690</v>
      </c>
      <c r="Y128" s="120" t="s">
        <v>1691</v>
      </c>
      <c r="Z128" s="120" t="s">
        <v>1692</v>
      </c>
    </row>
    <row r="129" spans="2:26" x14ac:dyDescent="0.2">
      <c r="B129" s="244" t="s">
        <v>1713</v>
      </c>
      <c r="C129" s="245" t="s">
        <v>1714</v>
      </c>
      <c r="D129" s="245" t="s">
        <v>1496</v>
      </c>
      <c r="E129" s="245" t="s">
        <v>1708</v>
      </c>
      <c r="F129" s="270">
        <v>3</v>
      </c>
      <c r="G129" s="285"/>
      <c r="H129" s="1653">
        <v>13.316079310055555</v>
      </c>
      <c r="I129" s="1653">
        <v>19.850622308055556</v>
      </c>
      <c r="J129" s="1653">
        <v>56.183622308055547</v>
      </c>
      <c r="K129" s="1653">
        <v>139.48662230805556</v>
      </c>
      <c r="L129" s="1653">
        <v>106.62241471305556</v>
      </c>
      <c r="M129" s="1653">
        <v>243.33499999999998</v>
      </c>
      <c r="N129" s="1653">
        <v>19.149999999999999</v>
      </c>
      <c r="O129" s="1653">
        <v>300.02499999999998</v>
      </c>
      <c r="P129" s="1653">
        <v>107.23</v>
      </c>
      <c r="Q129" s="288"/>
      <c r="R129" s="289"/>
      <c r="S129" s="289"/>
      <c r="T129" s="289"/>
      <c r="U129" s="289"/>
      <c r="V129" s="290"/>
      <c r="W129" s="291"/>
      <c r="X129" s="291"/>
      <c r="Y129" s="291"/>
      <c r="Z129" s="291"/>
    </row>
    <row r="130" spans="2:26" x14ac:dyDescent="0.2">
      <c r="B130" s="113" t="s">
        <v>1715</v>
      </c>
      <c r="C130" s="114" t="s">
        <v>1714</v>
      </c>
      <c r="D130" s="114" t="s">
        <v>1491</v>
      </c>
      <c r="E130" s="114" t="s">
        <v>1708</v>
      </c>
      <c r="F130" s="271">
        <v>3</v>
      </c>
      <c r="G130" s="286"/>
      <c r="H130" s="1654">
        <v>3.8727301674010142</v>
      </c>
      <c r="I130" s="1654">
        <v>4.2693015898810147</v>
      </c>
      <c r="J130" s="1654">
        <v>5.9839951678810142</v>
      </c>
      <c r="K130" s="1654">
        <v>6.5340601117970145</v>
      </c>
      <c r="L130" s="1654">
        <v>10.167340827331014</v>
      </c>
      <c r="M130" s="1654">
        <v>74.49813912026994</v>
      </c>
      <c r="N130" s="1654">
        <v>71.013138996999999</v>
      </c>
      <c r="O130" s="1654">
        <v>71.579908999999986</v>
      </c>
      <c r="P130" s="1654">
        <v>74.261190999999997</v>
      </c>
      <c r="Q130" s="292"/>
      <c r="R130" s="293"/>
      <c r="S130" s="293"/>
      <c r="T130" s="293"/>
      <c r="U130" s="293"/>
      <c r="V130" s="294"/>
      <c r="W130" s="295"/>
      <c r="X130" s="295"/>
      <c r="Y130" s="295"/>
      <c r="Z130" s="295"/>
    </row>
    <row r="131" spans="2:26" ht="15" thickBot="1" x14ac:dyDescent="0.25">
      <c r="B131" s="116" t="s">
        <v>1716</v>
      </c>
      <c r="C131" s="117" t="s">
        <v>1714</v>
      </c>
      <c r="D131" s="117" t="s">
        <v>1707</v>
      </c>
      <c r="E131" s="117" t="s">
        <v>1708</v>
      </c>
      <c r="F131" s="272">
        <v>3</v>
      </c>
      <c r="G131" s="287"/>
      <c r="H131" s="1652">
        <v>17.188809477456569</v>
      </c>
      <c r="I131" s="1652">
        <v>24.119923897936573</v>
      </c>
      <c r="J131" s="1652">
        <v>62.167617475936567</v>
      </c>
      <c r="K131" s="1652">
        <v>146.02068241985256</v>
      </c>
      <c r="L131" s="1652">
        <v>116.78975554038658</v>
      </c>
      <c r="M131" s="1652">
        <v>317.83313912026995</v>
      </c>
      <c r="N131" s="1652">
        <v>90.16313899699999</v>
      </c>
      <c r="O131" s="1652">
        <v>371.60490900000002</v>
      </c>
      <c r="P131" s="1652">
        <v>181.49119100000001</v>
      </c>
      <c r="Q131" s="300"/>
      <c r="R131" s="301"/>
      <c r="S131" s="301"/>
      <c r="T131" s="301"/>
      <c r="U131" s="301"/>
      <c r="V131" s="302"/>
      <c r="W131" s="303"/>
      <c r="X131" s="303"/>
      <c r="Y131" s="303"/>
      <c r="Z131" s="303"/>
    </row>
    <row r="133" spans="2:26" ht="15" thickBot="1" x14ac:dyDescent="0.25"/>
    <row r="134" spans="2:26" ht="29.25" thickBot="1" x14ac:dyDescent="0.25">
      <c r="B134" s="100" t="s">
        <v>64</v>
      </c>
      <c r="C134" s="58" t="str">
        <f>'TITLE PAGE'!$D$18</f>
        <v>Essex &amp; Suffolk Water</v>
      </c>
      <c r="D134" s="101" t="s">
        <v>1656</v>
      </c>
      <c r="E134" s="1366" t="s">
        <v>1460</v>
      </c>
      <c r="F134" s="100" t="s">
        <v>1657</v>
      </c>
      <c r="G134" s="1359" t="s">
        <v>109</v>
      </c>
      <c r="H134" s="102" t="s">
        <v>200</v>
      </c>
      <c r="I134" s="59" t="s">
        <v>1658</v>
      </c>
    </row>
    <row r="135" spans="2:26" ht="63.75" customHeight="1" thickBot="1" x14ac:dyDescent="0.25">
      <c r="B135" s="101" t="s">
        <v>1659</v>
      </c>
      <c r="C135" s="1876" t="s">
        <v>1729</v>
      </c>
      <c r="D135" s="1877"/>
      <c r="E135" s="1877"/>
      <c r="F135" s="1877"/>
      <c r="G135" s="1877"/>
      <c r="H135" s="1877"/>
      <c r="I135" s="1878"/>
      <c r="K135" s="1552" t="s">
        <v>1661</v>
      </c>
    </row>
    <row r="136" spans="2:26" ht="90.75" customHeight="1" thickBot="1" x14ac:dyDescent="0.25">
      <c r="B136" s="101" t="s">
        <v>1662</v>
      </c>
      <c r="C136" s="1876" t="s">
        <v>109</v>
      </c>
      <c r="D136" s="1879"/>
      <c r="E136" s="1879"/>
      <c r="F136" s="1879"/>
      <c r="G136" s="1879"/>
      <c r="H136" s="1879"/>
      <c r="I136" s="1880"/>
    </row>
    <row r="137" spans="2:26" ht="126.2" customHeight="1" thickBot="1" x14ac:dyDescent="0.25">
      <c r="B137" s="101" t="s">
        <v>1665</v>
      </c>
      <c r="C137" s="1876" t="s">
        <v>1730</v>
      </c>
      <c r="D137" s="1879"/>
      <c r="E137" s="1879"/>
      <c r="F137" s="1879"/>
      <c r="G137" s="1879"/>
      <c r="H137" s="1879"/>
      <c r="I137" s="1880"/>
    </row>
    <row r="138" spans="2:26" ht="57.75" thickBot="1" x14ac:dyDescent="0.25">
      <c r="B138" s="60" t="s">
        <v>1667</v>
      </c>
      <c r="C138" s="1647">
        <v>1082480</v>
      </c>
      <c r="D138" s="61" t="s">
        <v>1668</v>
      </c>
      <c r="E138" s="103" t="s">
        <v>1669</v>
      </c>
      <c r="F138" s="104" t="s">
        <v>1670</v>
      </c>
      <c r="G138" s="1359" t="s">
        <v>109</v>
      </c>
      <c r="H138" s="104" t="s">
        <v>2</v>
      </c>
      <c r="I138" s="1470">
        <f>I6</f>
        <v>16</v>
      </c>
    </row>
    <row r="139" spans="2:26" ht="15" thickBot="1" x14ac:dyDescent="0.25"/>
    <row r="140" spans="2:26" ht="45.75" thickBot="1" x14ac:dyDescent="0.25">
      <c r="B140" s="193" t="str">
        <f>CONCATENATE("Table 7a: WC level - Alternative Programme ",E134, " Baseline SDB")</f>
        <v>Table 7a: WC level - Alternative Programme Least Cost Baseline SDB</v>
      </c>
      <c r="M140" s="1866" t="s">
        <v>1672</v>
      </c>
      <c r="N140" s="1867"/>
      <c r="O140" s="1867"/>
      <c r="P140" s="1867"/>
      <c r="Q140" s="1867"/>
      <c r="R140" s="1867"/>
      <c r="S140" s="1867"/>
      <c r="T140" s="1867"/>
      <c r="U140" s="1867"/>
      <c r="V140" s="1867"/>
      <c r="W140" s="1867"/>
      <c r="X140" s="1867"/>
      <c r="Y140" s="1867"/>
      <c r="Z140" s="1867"/>
    </row>
    <row r="141" spans="2:26" ht="30.75" thickBot="1" x14ac:dyDescent="0.25">
      <c r="B141" s="106" t="s">
        <v>70</v>
      </c>
      <c r="C141" s="107" t="s">
        <v>1673</v>
      </c>
      <c r="D141" s="1868" t="s">
        <v>206</v>
      </c>
      <c r="E141" s="1869"/>
      <c r="F141" s="108" t="s">
        <v>207</v>
      </c>
      <c r="G141" s="119" t="s">
        <v>1674</v>
      </c>
      <c r="H141" s="109" t="s">
        <v>1675</v>
      </c>
      <c r="I141" s="109" t="s">
        <v>1671</v>
      </c>
      <c r="J141" s="109" t="s">
        <v>1676</v>
      </c>
      <c r="K141" s="109" t="s">
        <v>1677</v>
      </c>
      <c r="L141" s="110" t="s">
        <v>1678</v>
      </c>
      <c r="M141" s="120" t="s">
        <v>1679</v>
      </c>
      <c r="N141" s="120" t="s">
        <v>1680</v>
      </c>
      <c r="O141" s="120" t="s">
        <v>1681</v>
      </c>
      <c r="P141" s="120" t="s">
        <v>1682</v>
      </c>
      <c r="Q141" s="119" t="s">
        <v>1683</v>
      </c>
      <c r="R141" s="109" t="s">
        <v>1684</v>
      </c>
      <c r="S141" s="109" t="s">
        <v>1685</v>
      </c>
      <c r="T141" s="109" t="s">
        <v>1686</v>
      </c>
      <c r="U141" s="109" t="s">
        <v>1687</v>
      </c>
      <c r="V141" s="110" t="s">
        <v>1688</v>
      </c>
      <c r="W141" s="120" t="s">
        <v>1689</v>
      </c>
      <c r="X141" s="120" t="s">
        <v>1690</v>
      </c>
      <c r="Y141" s="120" t="s">
        <v>1691</v>
      </c>
      <c r="Z141" s="120" t="s">
        <v>1692</v>
      </c>
    </row>
    <row r="142" spans="2:26" ht="19.5" customHeight="1" x14ac:dyDescent="0.2">
      <c r="B142" s="1555" t="s">
        <v>1693</v>
      </c>
      <c r="C142" s="1551" t="s">
        <v>1637</v>
      </c>
      <c r="D142" s="1888" t="s">
        <v>236</v>
      </c>
      <c r="E142" s="1889"/>
      <c r="F142" s="1556">
        <v>2</v>
      </c>
      <c r="G142" s="288">
        <v>466.56666346724023</v>
      </c>
      <c r="H142" s="288">
        <v>470.63087681288044</v>
      </c>
      <c r="I142" s="288">
        <v>471.53977339286632</v>
      </c>
      <c r="J142" s="288">
        <v>474.49032708280856</v>
      </c>
      <c r="K142" s="288">
        <v>477.68819040356175</v>
      </c>
      <c r="L142" s="288">
        <v>479.68133030739335</v>
      </c>
      <c r="M142" s="288">
        <v>2429.7016249187845</v>
      </c>
      <c r="N142" s="288">
        <v>2455.9914290111592</v>
      </c>
      <c r="O142" s="288">
        <v>2470.9312223844518</v>
      </c>
      <c r="P142" s="288">
        <v>2488.5544990693029</v>
      </c>
      <c r="Q142" s="288"/>
      <c r="R142" s="288"/>
      <c r="S142" s="288"/>
      <c r="T142" s="288"/>
      <c r="U142" s="288"/>
      <c r="V142" s="288"/>
      <c r="W142" s="288"/>
      <c r="X142" s="288"/>
      <c r="Y142" s="288"/>
      <c r="Z142" s="288"/>
    </row>
    <row r="143" spans="2:26" ht="19.5" customHeight="1" x14ac:dyDescent="0.2">
      <c r="B143" s="1557" t="s">
        <v>1694</v>
      </c>
      <c r="C143" s="1382" t="s">
        <v>390</v>
      </c>
      <c r="D143" s="1872" t="s">
        <v>236</v>
      </c>
      <c r="E143" s="1873"/>
      <c r="F143" s="1378">
        <v>2</v>
      </c>
      <c r="G143" s="292">
        <f>G11</f>
        <v>459.27580771469349</v>
      </c>
      <c r="H143" s="292">
        <f t="shared" ref="H143:P143" si="16">H11</f>
        <v>458.37534502242755</v>
      </c>
      <c r="I143" s="292">
        <f t="shared" si="16"/>
        <v>454.56772247217123</v>
      </c>
      <c r="J143" s="292">
        <f t="shared" si="16"/>
        <v>452.16697267943806</v>
      </c>
      <c r="K143" s="292">
        <f t="shared" si="16"/>
        <v>451.26269042426333</v>
      </c>
      <c r="L143" s="292">
        <f t="shared" si="16"/>
        <v>450.35702886397183</v>
      </c>
      <c r="M143" s="292">
        <f t="shared" si="16"/>
        <v>2181.9876353382201</v>
      </c>
      <c r="N143" s="292">
        <f t="shared" si="16"/>
        <v>2267.5391976813889</v>
      </c>
      <c r="O143" s="292">
        <f t="shared" si="16"/>
        <v>2162.1786239487492</v>
      </c>
      <c r="P143" s="292">
        <f t="shared" si="16"/>
        <v>2062.944558623165</v>
      </c>
      <c r="Q143" s="292"/>
      <c r="R143" s="293"/>
      <c r="S143" s="293"/>
      <c r="T143" s="293"/>
      <c r="U143" s="293"/>
      <c r="V143" s="294"/>
      <c r="W143" s="295"/>
      <c r="X143" s="295"/>
      <c r="Y143" s="295"/>
      <c r="Z143" s="295"/>
    </row>
    <row r="144" spans="2:26" ht="19.5" customHeight="1" x14ac:dyDescent="0.2">
      <c r="B144" s="1558" t="s">
        <v>1695</v>
      </c>
      <c r="C144" s="1377" t="s">
        <v>384</v>
      </c>
      <c r="D144" s="1872" t="s">
        <v>236</v>
      </c>
      <c r="E144" s="1873"/>
      <c r="F144" s="1378">
        <v>2</v>
      </c>
      <c r="G144" s="292">
        <f t="shared" ref="G144:P144" si="17">G12</f>
        <v>10.756007356367068</v>
      </c>
      <c r="H144" s="292">
        <f t="shared" si="17"/>
        <v>11.045610917873599</v>
      </c>
      <c r="I144" s="292">
        <f t="shared" si="17"/>
        <v>10.125696711552145</v>
      </c>
      <c r="J144" s="292">
        <f t="shared" si="17"/>
        <v>9.2831519612602769</v>
      </c>
      <c r="K144" s="292">
        <f t="shared" si="17"/>
        <v>8.7579472448238338</v>
      </c>
      <c r="L144" s="292">
        <f t="shared" si="17"/>
        <v>8.1289085005026553</v>
      </c>
      <c r="M144" s="292">
        <f t="shared" si="17"/>
        <v>28.308469660078337</v>
      </c>
      <c r="N144" s="292">
        <f t="shared" si="17"/>
        <v>20.173551864293255</v>
      </c>
      <c r="O144" s="292">
        <f t="shared" si="17"/>
        <v>18.890900857565786</v>
      </c>
      <c r="P144" s="292">
        <f t="shared" si="17"/>
        <v>22.023299042893626</v>
      </c>
      <c r="Q144" s="296"/>
      <c r="R144" s="297"/>
      <c r="S144" s="297"/>
      <c r="T144" s="297"/>
      <c r="U144" s="297"/>
      <c r="V144" s="298"/>
      <c r="W144" s="299"/>
      <c r="X144" s="299"/>
      <c r="Y144" s="299"/>
      <c r="Z144" s="299"/>
    </row>
    <row r="145" spans="2:26" ht="20.45" customHeight="1" thickBot="1" x14ac:dyDescent="0.25">
      <c r="B145" s="1559" t="s">
        <v>1696</v>
      </c>
      <c r="C145" s="1560" t="s">
        <v>393</v>
      </c>
      <c r="D145" s="1874" t="s">
        <v>236</v>
      </c>
      <c r="E145" s="1875"/>
      <c r="F145" s="1561">
        <v>2</v>
      </c>
      <c r="G145" s="292">
        <f t="shared" ref="G145:P145" si="18">G13</f>
        <v>-22.122281721732215</v>
      </c>
      <c r="H145" s="292">
        <f t="shared" si="18"/>
        <v>-27.198434968279507</v>
      </c>
      <c r="I145" s="292">
        <f t="shared" si="18"/>
        <v>-30.959404639510925</v>
      </c>
      <c r="J145" s="292">
        <f t="shared" si="18"/>
        <v>-35.47897925149109</v>
      </c>
      <c r="K145" s="292">
        <f t="shared" si="18"/>
        <v>-39.066787553991645</v>
      </c>
      <c r="L145" s="292">
        <f t="shared" si="18"/>
        <v>-41.346792600102724</v>
      </c>
      <c r="M145" s="292">
        <f t="shared" si="18"/>
        <v>-283.8385042146308</v>
      </c>
      <c r="N145" s="292">
        <f t="shared" si="18"/>
        <v>-208.62312889906323</v>
      </c>
      <c r="O145" s="292">
        <f t="shared" si="18"/>
        <v>-327.64084499826856</v>
      </c>
      <c r="P145" s="292">
        <f t="shared" si="18"/>
        <v>-447.63058519403182</v>
      </c>
      <c r="Q145" s="300"/>
      <c r="R145" s="301"/>
      <c r="S145" s="301"/>
      <c r="T145" s="301"/>
      <c r="U145" s="301"/>
      <c r="V145" s="302"/>
      <c r="W145" s="303"/>
      <c r="X145" s="303"/>
      <c r="Y145" s="303"/>
      <c r="Z145" s="303"/>
    </row>
    <row r="146" spans="2:26" ht="15" thickBot="1" x14ac:dyDescent="0.25">
      <c r="B146" s="136"/>
      <c r="C146" s="66"/>
      <c r="D146" s="66"/>
      <c r="E146" s="66"/>
      <c r="Q146" s="62"/>
      <c r="R146" s="62"/>
    </row>
    <row r="147" spans="2:26" ht="60.75" thickBot="1" x14ac:dyDescent="0.25">
      <c r="B147" s="193" t="str">
        <f>CONCATENATE("Table 7b: WC level - Alternative Programme  ",E134, " Final Plan SDB")</f>
        <v>Table 7b: WC level - Alternative Programme  Least Cost Final Plan SDB</v>
      </c>
      <c r="C147" s="138"/>
      <c r="D147" s="137"/>
      <c r="E147" s="137"/>
      <c r="F147" s="74"/>
      <c r="G147" s="74"/>
      <c r="H147" s="74"/>
      <c r="I147" s="74"/>
      <c r="J147" s="74"/>
      <c r="K147" s="74"/>
      <c r="L147" s="74"/>
      <c r="M147" s="1866" t="s">
        <v>1672</v>
      </c>
      <c r="N147" s="1867"/>
      <c r="O147" s="1867"/>
      <c r="P147" s="1867"/>
      <c r="Q147" s="1867"/>
      <c r="R147" s="1867"/>
      <c r="S147" s="1867"/>
      <c r="T147" s="1867"/>
      <c r="U147" s="1867"/>
      <c r="V147" s="1867"/>
      <c r="W147" s="1867"/>
      <c r="X147" s="1867"/>
      <c r="Y147" s="1867"/>
      <c r="Z147" s="1867"/>
    </row>
    <row r="148" spans="2:26" ht="30.75" thickBot="1" x14ac:dyDescent="0.25">
      <c r="B148" s="343" t="s">
        <v>70</v>
      </c>
      <c r="C148" s="344" t="s">
        <v>1697</v>
      </c>
      <c r="D148" s="1868" t="s">
        <v>206</v>
      </c>
      <c r="E148" s="1869"/>
      <c r="F148" s="345" t="s">
        <v>207</v>
      </c>
      <c r="G148" s="346" t="s">
        <v>1674</v>
      </c>
      <c r="H148" s="347" t="s">
        <v>1675</v>
      </c>
      <c r="I148" s="347" t="s">
        <v>1671</v>
      </c>
      <c r="J148" s="347" t="s">
        <v>1676</v>
      </c>
      <c r="K148" s="347" t="s">
        <v>1677</v>
      </c>
      <c r="L148" s="348" t="s">
        <v>1678</v>
      </c>
      <c r="M148" s="349" t="s">
        <v>1679</v>
      </c>
      <c r="N148" s="349" t="s">
        <v>1680</v>
      </c>
      <c r="O148" s="349" t="s">
        <v>1681</v>
      </c>
      <c r="P148" s="349" t="s">
        <v>1682</v>
      </c>
      <c r="Q148" s="119" t="s">
        <v>1683</v>
      </c>
      <c r="R148" s="109" t="s">
        <v>1684</v>
      </c>
      <c r="S148" s="109" t="s">
        <v>1685</v>
      </c>
      <c r="T148" s="109" t="s">
        <v>1686</v>
      </c>
      <c r="U148" s="109" t="s">
        <v>1687</v>
      </c>
      <c r="V148" s="110" t="s">
        <v>1688</v>
      </c>
      <c r="W148" s="120" t="s">
        <v>1689</v>
      </c>
      <c r="X148" s="120" t="s">
        <v>1690</v>
      </c>
      <c r="Y148" s="120" t="s">
        <v>1691</v>
      </c>
      <c r="Z148" s="120" t="s">
        <v>1692</v>
      </c>
    </row>
    <row r="149" spans="2:26" x14ac:dyDescent="0.2">
      <c r="B149" s="1562" t="s">
        <v>1698</v>
      </c>
      <c r="C149" s="1550" t="s">
        <v>1637</v>
      </c>
      <c r="D149" s="1888" t="s">
        <v>236</v>
      </c>
      <c r="E149" s="1889"/>
      <c r="F149" s="1563">
        <v>2</v>
      </c>
      <c r="G149" s="341">
        <v>466.56666346724023</v>
      </c>
      <c r="H149" s="341">
        <v>466.8126588839682</v>
      </c>
      <c r="I149" s="341">
        <v>464.28240946025761</v>
      </c>
      <c r="J149" s="341">
        <v>462.29966294103775</v>
      </c>
      <c r="K149" s="341">
        <v>460.07629239804101</v>
      </c>
      <c r="L149" s="341">
        <v>456.97390714925524</v>
      </c>
      <c r="M149" s="341">
        <v>2240.1900425918884</v>
      </c>
      <c r="N149" s="341">
        <v>2154.1748994091772</v>
      </c>
      <c r="O149" s="341">
        <v>2083.0068706085149</v>
      </c>
      <c r="P149" s="341">
        <v>2060.8588283483778</v>
      </c>
      <c r="Q149" s="341"/>
      <c r="R149" s="341"/>
      <c r="S149" s="341"/>
      <c r="T149" s="341"/>
      <c r="U149" s="341"/>
      <c r="V149" s="341"/>
      <c r="W149" s="341"/>
      <c r="X149" s="341"/>
      <c r="Y149" s="341"/>
      <c r="Z149" s="341"/>
    </row>
    <row r="150" spans="2:26" x14ac:dyDescent="0.2">
      <c r="B150" s="1381" t="s">
        <v>1699</v>
      </c>
      <c r="C150" s="1382" t="s">
        <v>390</v>
      </c>
      <c r="D150" s="1872" t="s">
        <v>236</v>
      </c>
      <c r="E150" s="1873"/>
      <c r="F150" s="1378">
        <v>2</v>
      </c>
      <c r="G150" s="292">
        <f>'2. WC Level Data'!L77</f>
        <v>490.02919715434984</v>
      </c>
      <c r="H150" s="292">
        <f>'2. WC Level Data'!M77</f>
        <v>491.25196028720228</v>
      </c>
      <c r="I150" s="292">
        <f>'2. WC Level Data'!N77</f>
        <v>487.31156928422922</v>
      </c>
      <c r="J150" s="292">
        <f>'2. WC Level Data'!O77</f>
        <v>490.89508140434697</v>
      </c>
      <c r="K150" s="292">
        <f>'2. WC Level Data'!P77</f>
        <v>487.52299828714433</v>
      </c>
      <c r="L150" s="292">
        <f>'2. WC Level Data'!Q77</f>
        <v>492.46427427379541</v>
      </c>
      <c r="M150" s="295">
        <f>SUM('2. WC Level Data'!R77:V77)</f>
        <v>2422.7268212532235</v>
      </c>
      <c r="N150" s="295">
        <f>SUM('2. WC Level Data'!W77:AA77)</f>
        <v>2521.6047241143738</v>
      </c>
      <c r="O150" s="295">
        <f>SUM('2. WC Level Data'!AB77:AF77)</f>
        <v>2515.336328411865</v>
      </c>
      <c r="P150" s="1383">
        <f>SUM('2. WC Level Data'!AG77:AK77)</f>
        <v>2416.0419595373883</v>
      </c>
      <c r="Q150" s="292"/>
      <c r="R150" s="293"/>
      <c r="S150" s="293"/>
      <c r="T150" s="293"/>
      <c r="U150" s="293"/>
      <c r="V150" s="294"/>
      <c r="W150" s="295"/>
      <c r="X150" s="295"/>
      <c r="Y150" s="295"/>
      <c r="Z150" s="295"/>
    </row>
    <row r="151" spans="2:26" x14ac:dyDescent="0.2">
      <c r="B151" s="1376" t="s">
        <v>1700</v>
      </c>
      <c r="C151" s="1377" t="s">
        <v>384</v>
      </c>
      <c r="D151" s="1872" t="s">
        <v>236</v>
      </c>
      <c r="E151" s="1873"/>
      <c r="F151" s="1378">
        <v>2</v>
      </c>
      <c r="G151" s="296">
        <f>'2. WC Level Data'!L75</f>
        <v>10.674141376525171</v>
      </c>
      <c r="H151" s="296">
        <f>'2. WC Level Data'!M75</f>
        <v>11.109891465755577</v>
      </c>
      <c r="I151" s="296">
        <f>'2. WC Level Data'!N75</f>
        <v>10.054179665650723</v>
      </c>
      <c r="J151" s="296">
        <f>'2. WC Level Data'!O75</f>
        <v>11.640347628793107</v>
      </c>
      <c r="K151" s="296">
        <f>'2. WC Level Data'!P75</f>
        <v>10.94270610219057</v>
      </c>
      <c r="L151" s="296">
        <f>'2. WC Level Data'!Q75</f>
        <v>10.373156077633462</v>
      </c>
      <c r="M151" s="299">
        <f>SUM('2. WC Level Data'!R75:V75)</f>
        <v>39.511851178317592</v>
      </c>
      <c r="N151" s="299">
        <f>SUM('2. WC Level Data'!W75:AA75)</f>
        <v>31.009007306266099</v>
      </c>
      <c r="O151" s="299">
        <f>SUM('2. WC Level Data'!AB75:AF75)</f>
        <v>29.963918366670164</v>
      </c>
      <c r="P151" s="342">
        <f>SUM('2. WC Level Data'!AG75:AK75)</f>
        <v>33.33439743664723</v>
      </c>
      <c r="Q151" s="296"/>
      <c r="R151" s="297"/>
      <c r="S151" s="297"/>
      <c r="T151" s="297"/>
      <c r="U151" s="297"/>
      <c r="V151" s="298"/>
      <c r="W151" s="299"/>
      <c r="X151" s="299"/>
      <c r="Y151" s="299"/>
      <c r="Z151" s="299"/>
    </row>
    <row r="152" spans="2:26" ht="15" thickBot="1" x14ac:dyDescent="0.25">
      <c r="B152" s="1372" t="s">
        <v>1701</v>
      </c>
      <c r="C152" s="1373" t="s">
        <v>393</v>
      </c>
      <c r="D152" s="1874" t="s">
        <v>236</v>
      </c>
      <c r="E152" s="1875"/>
      <c r="F152" s="1374">
        <v>2</v>
      </c>
      <c r="G152" s="1375">
        <f>'2. WC Level Data'!L78</f>
        <v>12.788923169584427</v>
      </c>
      <c r="H152" s="1375">
        <f>'2. WC Level Data'!M78</f>
        <v>13.329940796478436</v>
      </c>
      <c r="I152" s="1375">
        <f>'2. WC Level Data'!N78</f>
        <v>12.975511017320839</v>
      </c>
      <c r="J152" s="1375">
        <f>'2. WC Level Data'!O78</f>
        <v>16.955601693516009</v>
      </c>
      <c r="K152" s="1375">
        <f>'2. WC Level Data'!P78</f>
        <v>16.504530645912755</v>
      </c>
      <c r="L152" s="1375">
        <f>'2. WC Level Data'!Q78</f>
        <v>25.117741905906811</v>
      </c>
      <c r="M152" s="1379">
        <f>SUM('2. WC Level Data'!R78:V78)</f>
        <v>143.02758177801789</v>
      </c>
      <c r="N152" s="1379">
        <f>SUM('2. WC Level Data'!W78:AA78)</f>
        <v>336.42347169393008</v>
      </c>
      <c r="O152" s="1379">
        <f>SUM('2. WC Level Data'!AB78:AF78)</f>
        <v>402.36819373167953</v>
      </c>
      <c r="P152" s="1380">
        <f>SUM('2. WC Level Data'!AG78:AK78)</f>
        <v>321.85138804736346</v>
      </c>
      <c r="Q152" s="300"/>
      <c r="R152" s="301"/>
      <c r="S152" s="301"/>
      <c r="T152" s="301"/>
      <c r="U152" s="301"/>
      <c r="V152" s="302"/>
      <c r="W152" s="303"/>
      <c r="X152" s="303"/>
      <c r="Y152" s="303"/>
      <c r="Z152" s="303"/>
    </row>
    <row r="153" spans="2:26" ht="15" thickBot="1" x14ac:dyDescent="0.25">
      <c r="B153" s="62"/>
      <c r="Q153" s="62"/>
      <c r="R153" s="62"/>
    </row>
    <row r="154" spans="2:26" ht="45.75" thickBot="1" x14ac:dyDescent="0.25">
      <c r="B154" s="193" t="str">
        <f>CONCATENATE("Table 7c: WC level - Alternative Programme  ",E134, " Totex")</f>
        <v>Table 7c: WC level - Alternative Programme  Least Cost Totex</v>
      </c>
      <c r="C154" s="138"/>
      <c r="D154" s="137"/>
      <c r="E154" s="74"/>
      <c r="F154" s="74"/>
      <c r="G154" s="74"/>
      <c r="H154" s="74"/>
      <c r="I154" s="74"/>
      <c r="J154" s="74"/>
      <c r="K154" s="74"/>
      <c r="L154" s="74"/>
      <c r="M154" s="1866" t="s">
        <v>1672</v>
      </c>
      <c r="N154" s="1867"/>
      <c r="O154" s="1867"/>
      <c r="P154" s="1867"/>
      <c r="Q154" s="1867"/>
      <c r="R154" s="1867"/>
      <c r="S154" s="1867"/>
      <c r="T154" s="1867"/>
      <c r="U154" s="1867"/>
      <c r="V154" s="1867"/>
      <c r="W154" s="1867"/>
      <c r="X154" s="1867"/>
      <c r="Y154" s="1867"/>
      <c r="Z154" s="1867"/>
    </row>
    <row r="155" spans="2:26" ht="30.75" thickBot="1" x14ac:dyDescent="0.25">
      <c r="B155" s="106" t="s">
        <v>70</v>
      </c>
      <c r="C155" s="107" t="s">
        <v>1702</v>
      </c>
      <c r="D155" s="107" t="s">
        <v>1703</v>
      </c>
      <c r="E155" s="107" t="s">
        <v>1704</v>
      </c>
      <c r="F155" s="108" t="s">
        <v>207</v>
      </c>
      <c r="G155" s="119" t="s">
        <v>1674</v>
      </c>
      <c r="H155" s="109" t="s">
        <v>1675</v>
      </c>
      <c r="I155" s="109" t="s">
        <v>1671</v>
      </c>
      <c r="J155" s="109" t="s">
        <v>1676</v>
      </c>
      <c r="K155" s="109" t="s">
        <v>1677</v>
      </c>
      <c r="L155" s="110" t="s">
        <v>1678</v>
      </c>
      <c r="M155" s="120" t="s">
        <v>1679</v>
      </c>
      <c r="N155" s="120" t="s">
        <v>1680</v>
      </c>
      <c r="O155" s="120" t="s">
        <v>1681</v>
      </c>
      <c r="P155" s="120" t="s">
        <v>1682</v>
      </c>
      <c r="Q155" s="119" t="s">
        <v>1683</v>
      </c>
      <c r="R155" s="109" t="s">
        <v>1684</v>
      </c>
      <c r="S155" s="109" t="s">
        <v>1685</v>
      </c>
      <c r="T155" s="109" t="s">
        <v>1686</v>
      </c>
      <c r="U155" s="109" t="s">
        <v>1687</v>
      </c>
      <c r="V155" s="110" t="s">
        <v>1688</v>
      </c>
      <c r="W155" s="120" t="s">
        <v>1689</v>
      </c>
      <c r="X155" s="120" t="s">
        <v>1690</v>
      </c>
      <c r="Y155" s="120" t="s">
        <v>1691</v>
      </c>
      <c r="Z155" s="120" t="s">
        <v>1692</v>
      </c>
    </row>
    <row r="156" spans="2:26" x14ac:dyDescent="0.2">
      <c r="B156" s="244" t="s">
        <v>1705</v>
      </c>
      <c r="C156" s="245" t="s">
        <v>1706</v>
      </c>
      <c r="D156" s="245" t="s">
        <v>1707</v>
      </c>
      <c r="E156" s="245" t="s">
        <v>1708</v>
      </c>
      <c r="F156" s="270">
        <v>3</v>
      </c>
      <c r="G156" s="285"/>
      <c r="H156" s="1653">
        <v>0</v>
      </c>
      <c r="I156" s="1653">
        <v>0</v>
      </c>
      <c r="J156" s="1653">
        <v>0</v>
      </c>
      <c r="K156" s="1653">
        <v>0</v>
      </c>
      <c r="L156" s="1653">
        <v>0</v>
      </c>
      <c r="M156" s="1653">
        <v>0</v>
      </c>
      <c r="N156" s="1653">
        <v>0</v>
      </c>
      <c r="O156" s="1653">
        <v>0</v>
      </c>
      <c r="P156" s="1653">
        <v>0</v>
      </c>
      <c r="Q156" s="288"/>
      <c r="R156" s="289"/>
      <c r="S156" s="289"/>
      <c r="T156" s="289"/>
      <c r="U156" s="289"/>
      <c r="V156" s="290"/>
      <c r="W156" s="291"/>
      <c r="X156" s="291"/>
      <c r="Y156" s="291"/>
      <c r="Z156" s="291"/>
    </row>
    <row r="157" spans="2:26" x14ac:dyDescent="0.2">
      <c r="B157" s="113" t="s">
        <v>1709</v>
      </c>
      <c r="C157" s="114" t="s">
        <v>1710</v>
      </c>
      <c r="D157" s="114" t="s">
        <v>1707</v>
      </c>
      <c r="E157" s="114" t="s">
        <v>1708</v>
      </c>
      <c r="F157" s="271">
        <v>3</v>
      </c>
      <c r="G157" s="286"/>
      <c r="H157" s="1654">
        <v>0</v>
      </c>
      <c r="I157" s="1654">
        <v>0</v>
      </c>
      <c r="J157" s="1654">
        <v>0</v>
      </c>
      <c r="K157" s="1654">
        <v>0</v>
      </c>
      <c r="L157" s="1654">
        <v>0</v>
      </c>
      <c r="M157" s="1654">
        <v>0</v>
      </c>
      <c r="N157" s="1654">
        <v>0</v>
      </c>
      <c r="O157" s="1654">
        <v>0</v>
      </c>
      <c r="P157" s="1654">
        <v>0</v>
      </c>
      <c r="Q157" s="292"/>
      <c r="R157" s="293"/>
      <c r="S157" s="293"/>
      <c r="T157" s="293"/>
      <c r="U157" s="293"/>
      <c r="V157" s="294"/>
      <c r="W157" s="295"/>
      <c r="X157" s="295"/>
      <c r="Y157" s="295"/>
      <c r="Z157" s="295"/>
    </row>
    <row r="158" spans="2:26" ht="15" thickBot="1" x14ac:dyDescent="0.25">
      <c r="B158" s="116" t="s">
        <v>1711</v>
      </c>
      <c r="C158" s="117" t="s">
        <v>1712</v>
      </c>
      <c r="D158" s="117" t="s">
        <v>1707</v>
      </c>
      <c r="E158" s="117" t="s">
        <v>1708</v>
      </c>
      <c r="F158" s="272">
        <v>3</v>
      </c>
      <c r="G158" s="287"/>
      <c r="H158" s="1652">
        <v>17.188809477456569</v>
      </c>
      <c r="I158" s="1652">
        <v>24.119923897936573</v>
      </c>
      <c r="J158" s="1652">
        <v>62.167617475936567</v>
      </c>
      <c r="K158" s="1652">
        <v>137.54264241985257</v>
      </c>
      <c r="L158" s="1652">
        <v>116.07762554038658</v>
      </c>
      <c r="M158" s="1652">
        <v>227.67441912026993</v>
      </c>
      <c r="N158" s="1652">
        <v>66.47639899699999</v>
      </c>
      <c r="O158" s="1652">
        <v>370.69271900000001</v>
      </c>
      <c r="P158" s="1652">
        <v>161.57073100000002</v>
      </c>
      <c r="Q158" s="300"/>
      <c r="R158" s="301"/>
      <c r="S158" s="301"/>
      <c r="T158" s="301"/>
      <c r="U158" s="301"/>
      <c r="V158" s="302"/>
      <c r="W158" s="303"/>
      <c r="X158" s="303"/>
      <c r="Y158" s="303"/>
      <c r="Z158" s="303"/>
    </row>
    <row r="159" spans="2:26" ht="15" thickBot="1" x14ac:dyDescent="0.25">
      <c r="R159" s="62"/>
      <c r="S159" s="62"/>
    </row>
    <row r="160" spans="2:26" ht="60.75" thickBot="1" x14ac:dyDescent="0.25">
      <c r="B160" s="193" t="str">
        <f>CONCATENATE("Table 7d: WC level - Alternative Programme  ",E134, " Enhancement Expenditure")</f>
        <v>Table 7d: WC level - Alternative Programme  Least Cost Enhancement Expenditure</v>
      </c>
      <c r="C160" s="138"/>
      <c r="D160" s="137"/>
      <c r="E160" s="137"/>
      <c r="F160" s="74"/>
      <c r="G160" s="74"/>
      <c r="H160" s="74"/>
      <c r="I160" s="74"/>
      <c r="J160" s="74"/>
      <c r="K160" s="74"/>
      <c r="L160" s="74"/>
      <c r="M160" s="1866" t="s">
        <v>1672</v>
      </c>
      <c r="N160" s="1867"/>
      <c r="O160" s="1867"/>
      <c r="P160" s="1867"/>
      <c r="Q160" s="1867"/>
      <c r="R160" s="1867"/>
      <c r="S160" s="1867"/>
      <c r="T160" s="1867"/>
      <c r="U160" s="1867"/>
      <c r="V160" s="1867"/>
      <c r="W160" s="1867"/>
      <c r="X160" s="1867"/>
      <c r="Y160" s="1867"/>
      <c r="Z160" s="1867"/>
    </row>
    <row r="161" spans="2:26" ht="30.75" thickBot="1" x14ac:dyDescent="0.25">
      <c r="B161" s="106" t="s">
        <v>70</v>
      </c>
      <c r="C161" s="107" t="s">
        <v>1702</v>
      </c>
      <c r="D161" s="107" t="s">
        <v>1703</v>
      </c>
      <c r="E161" s="107" t="s">
        <v>1704</v>
      </c>
      <c r="F161" s="108" t="s">
        <v>207</v>
      </c>
      <c r="G161" s="119" t="s">
        <v>1674</v>
      </c>
      <c r="H161" s="109" t="s">
        <v>1675</v>
      </c>
      <c r="I161" s="109" t="s">
        <v>1671</v>
      </c>
      <c r="J161" s="109" t="s">
        <v>1676</v>
      </c>
      <c r="K161" s="109" t="s">
        <v>1677</v>
      </c>
      <c r="L161" s="110" t="s">
        <v>1678</v>
      </c>
      <c r="M161" s="120" t="s">
        <v>1679</v>
      </c>
      <c r="N161" s="120" t="s">
        <v>1680</v>
      </c>
      <c r="O161" s="120" t="s">
        <v>1681</v>
      </c>
      <c r="P161" s="120" t="s">
        <v>1682</v>
      </c>
      <c r="Q161" s="119" t="s">
        <v>1683</v>
      </c>
      <c r="R161" s="109" t="s">
        <v>1684</v>
      </c>
      <c r="S161" s="109" t="s">
        <v>1685</v>
      </c>
      <c r="T161" s="109" t="s">
        <v>1686</v>
      </c>
      <c r="U161" s="109" t="s">
        <v>1687</v>
      </c>
      <c r="V161" s="110" t="s">
        <v>1688</v>
      </c>
      <c r="W161" s="120" t="s">
        <v>1689</v>
      </c>
      <c r="X161" s="120" t="s">
        <v>1690</v>
      </c>
      <c r="Y161" s="120" t="s">
        <v>1691</v>
      </c>
      <c r="Z161" s="120" t="s">
        <v>1692</v>
      </c>
    </row>
    <row r="162" spans="2:26" x14ac:dyDescent="0.2">
      <c r="B162" s="244" t="s">
        <v>1713</v>
      </c>
      <c r="C162" s="245" t="s">
        <v>1714</v>
      </c>
      <c r="D162" s="245" t="s">
        <v>1496</v>
      </c>
      <c r="E162" s="245" t="s">
        <v>1708</v>
      </c>
      <c r="F162" s="270">
        <v>3</v>
      </c>
      <c r="G162" s="285"/>
      <c r="H162" s="1653">
        <v>13.316079310055555</v>
      </c>
      <c r="I162" s="1653">
        <v>19.850622308055556</v>
      </c>
      <c r="J162" s="1653">
        <v>56.183622308055547</v>
      </c>
      <c r="K162" s="1653">
        <v>131.07562230805556</v>
      </c>
      <c r="L162" s="1653">
        <v>106.62241471305556</v>
      </c>
      <c r="M162" s="1653">
        <v>175.608</v>
      </c>
      <c r="N162" s="1653">
        <v>19.149999999999999</v>
      </c>
      <c r="O162" s="1653">
        <v>322.43200000000002</v>
      </c>
      <c r="P162" s="1653">
        <v>107.23</v>
      </c>
      <c r="Q162" s="288"/>
      <c r="R162" s="289"/>
      <c r="S162" s="289"/>
      <c r="T162" s="289"/>
      <c r="U162" s="289"/>
      <c r="V162" s="290"/>
      <c r="W162" s="291"/>
      <c r="X162" s="291"/>
      <c r="Y162" s="291"/>
      <c r="Z162" s="291"/>
    </row>
    <row r="163" spans="2:26" x14ac:dyDescent="0.2">
      <c r="B163" s="113" t="s">
        <v>1715</v>
      </c>
      <c r="C163" s="114" t="s">
        <v>1714</v>
      </c>
      <c r="D163" s="114" t="s">
        <v>1491</v>
      </c>
      <c r="E163" s="114" t="s">
        <v>1708</v>
      </c>
      <c r="F163" s="271">
        <v>3</v>
      </c>
      <c r="G163" s="286"/>
      <c r="H163" s="1654">
        <v>3.8727301674010142</v>
      </c>
      <c r="I163" s="1654">
        <v>4.2693015898810147</v>
      </c>
      <c r="J163" s="1654">
        <v>5.9839951678810142</v>
      </c>
      <c r="K163" s="1654">
        <v>6.467020111797015</v>
      </c>
      <c r="L163" s="1654">
        <v>9.4552108273310154</v>
      </c>
      <c r="M163" s="1654">
        <v>52.066419120269941</v>
      </c>
      <c r="N163" s="1654">
        <v>47.326398996999998</v>
      </c>
      <c r="O163" s="1654">
        <v>48.260718999999995</v>
      </c>
      <c r="P163" s="1654">
        <v>54.340730999999998</v>
      </c>
      <c r="Q163" s="292"/>
      <c r="R163" s="293"/>
      <c r="S163" s="293"/>
      <c r="T163" s="293"/>
      <c r="U163" s="293"/>
      <c r="V163" s="294"/>
      <c r="W163" s="295"/>
      <c r="X163" s="295"/>
      <c r="Y163" s="295"/>
      <c r="Z163" s="295"/>
    </row>
    <row r="164" spans="2:26" ht="15" thickBot="1" x14ac:dyDescent="0.25">
      <c r="B164" s="116" t="s">
        <v>1716</v>
      </c>
      <c r="C164" s="117" t="s">
        <v>1714</v>
      </c>
      <c r="D164" s="117" t="s">
        <v>1707</v>
      </c>
      <c r="E164" s="117" t="s">
        <v>1708</v>
      </c>
      <c r="F164" s="272">
        <v>3</v>
      </c>
      <c r="G164" s="287"/>
      <c r="H164" s="1652">
        <v>17.188809477456569</v>
      </c>
      <c r="I164" s="1652">
        <v>24.119923897936573</v>
      </c>
      <c r="J164" s="1652">
        <v>62.167617475936567</v>
      </c>
      <c r="K164" s="1652">
        <v>137.54264241985257</v>
      </c>
      <c r="L164" s="1652">
        <v>116.07762554038658</v>
      </c>
      <c r="M164" s="1652">
        <v>227.67441912026993</v>
      </c>
      <c r="N164" s="1652">
        <v>66.47639899699999</v>
      </c>
      <c r="O164" s="1652">
        <v>370.69271900000001</v>
      </c>
      <c r="P164" s="1652">
        <v>161.57073100000002</v>
      </c>
      <c r="Q164" s="300"/>
      <c r="R164" s="301"/>
      <c r="S164" s="301"/>
      <c r="T164" s="301"/>
      <c r="U164" s="301"/>
      <c r="V164" s="302"/>
      <c r="W164" s="303"/>
      <c r="X164" s="303"/>
      <c r="Y164" s="303"/>
      <c r="Z164" s="303"/>
    </row>
    <row r="166" spans="2:26" ht="15" thickBot="1" x14ac:dyDescent="0.25"/>
    <row r="167" spans="2:26" ht="29.25" thickBot="1" x14ac:dyDescent="0.25">
      <c r="B167" s="100" t="s">
        <v>64</v>
      </c>
      <c r="C167" s="58" t="str">
        <f>'TITLE PAGE'!$D$18</f>
        <v>Essex &amp; Suffolk Water</v>
      </c>
      <c r="D167" s="101" t="s">
        <v>1656</v>
      </c>
      <c r="E167" s="1367" t="s">
        <v>1461</v>
      </c>
      <c r="F167" s="100" t="s">
        <v>1657</v>
      </c>
      <c r="G167" s="1359" t="s">
        <v>1731</v>
      </c>
      <c r="H167" s="102" t="s">
        <v>200</v>
      </c>
      <c r="I167" s="59" t="s">
        <v>1658</v>
      </c>
    </row>
    <row r="168" spans="2:26" ht="123.75" customHeight="1" thickBot="1" x14ac:dyDescent="0.25">
      <c r="B168" s="101" t="s">
        <v>1659</v>
      </c>
      <c r="C168" s="1876" t="s">
        <v>1732</v>
      </c>
      <c r="D168" s="1877"/>
      <c r="E168" s="1877"/>
      <c r="F168" s="1877"/>
      <c r="G168" s="1877"/>
      <c r="H168" s="1877"/>
      <c r="I168" s="1878"/>
      <c r="L168" s="1552" t="s">
        <v>1661</v>
      </c>
    </row>
    <row r="169" spans="2:26" ht="63" customHeight="1" thickBot="1" x14ac:dyDescent="0.25">
      <c r="B169" s="101" t="s">
        <v>1662</v>
      </c>
      <c r="C169" s="1876" t="s">
        <v>1733</v>
      </c>
      <c r="D169" s="1879"/>
      <c r="E169" s="1879"/>
      <c r="F169" s="1879"/>
      <c r="G169" s="1879"/>
      <c r="H169" s="1879"/>
      <c r="I169" s="1880"/>
    </row>
    <row r="170" spans="2:26" ht="101.25" customHeight="1" thickBot="1" x14ac:dyDescent="0.25">
      <c r="B170" s="101" t="s">
        <v>1665</v>
      </c>
      <c r="C170" s="1881" t="s">
        <v>1734</v>
      </c>
      <c r="D170" s="1882"/>
      <c r="E170" s="1882"/>
      <c r="F170" s="1882"/>
      <c r="G170" s="1882"/>
      <c r="H170" s="1882"/>
      <c r="I170" s="1883"/>
    </row>
    <row r="171" spans="2:26" ht="57.75" thickBot="1" x14ac:dyDescent="0.25">
      <c r="B171" s="60" t="s">
        <v>1667</v>
      </c>
      <c r="C171" s="1647">
        <v>938114</v>
      </c>
      <c r="D171" s="61" t="s">
        <v>1668</v>
      </c>
      <c r="E171" s="103" t="s">
        <v>1669</v>
      </c>
      <c r="F171" s="104" t="s">
        <v>1670</v>
      </c>
      <c r="G171" s="105" t="s">
        <v>109</v>
      </c>
      <c r="H171" s="104" t="s">
        <v>2</v>
      </c>
      <c r="I171" s="1470">
        <f>I6</f>
        <v>16</v>
      </c>
    </row>
    <row r="172" spans="2:26" ht="15" thickBot="1" x14ac:dyDescent="0.25"/>
    <row r="173" spans="2:26" ht="72" customHeight="1" thickBot="1" x14ac:dyDescent="0.25">
      <c r="B173" s="193" t="str">
        <f>CONCATENATE("Table 7a: WC level - Alternative Programme ",E167, " Baseline SDB")</f>
        <v>Table 7a: WC level - Alternative Programme Ofwat Core Baseline SDB</v>
      </c>
      <c r="M173" s="1866" t="s">
        <v>1672</v>
      </c>
      <c r="N173" s="1867"/>
      <c r="O173" s="1867"/>
      <c r="P173" s="1867"/>
      <c r="Q173" s="1867"/>
      <c r="R173" s="1867"/>
      <c r="S173" s="1867"/>
      <c r="T173" s="1867"/>
      <c r="U173" s="1867"/>
      <c r="V173" s="1867"/>
      <c r="W173" s="1867"/>
      <c r="X173" s="1867"/>
      <c r="Y173" s="1867"/>
      <c r="Z173" s="1867"/>
    </row>
    <row r="174" spans="2:26" ht="30.75" thickBot="1" x14ac:dyDescent="0.25">
      <c r="B174" s="106" t="s">
        <v>70</v>
      </c>
      <c r="C174" s="107" t="s">
        <v>1673</v>
      </c>
      <c r="D174" s="1868" t="s">
        <v>206</v>
      </c>
      <c r="E174" s="1869"/>
      <c r="F174" s="108" t="s">
        <v>207</v>
      </c>
      <c r="G174" s="119" t="s">
        <v>1674</v>
      </c>
      <c r="H174" s="109" t="s">
        <v>1675</v>
      </c>
      <c r="I174" s="109" t="s">
        <v>1671</v>
      </c>
      <c r="J174" s="109" t="s">
        <v>1676</v>
      </c>
      <c r="K174" s="109" t="s">
        <v>1677</v>
      </c>
      <c r="L174" s="110" t="s">
        <v>1678</v>
      </c>
      <c r="M174" s="120" t="s">
        <v>1679</v>
      </c>
      <c r="N174" s="120" t="s">
        <v>1680</v>
      </c>
      <c r="O174" s="120" t="s">
        <v>1681</v>
      </c>
      <c r="P174" s="120" t="s">
        <v>1682</v>
      </c>
      <c r="Q174" s="119" t="s">
        <v>1683</v>
      </c>
      <c r="R174" s="109" t="s">
        <v>1684</v>
      </c>
      <c r="S174" s="109" t="s">
        <v>1685</v>
      </c>
      <c r="T174" s="109" t="s">
        <v>1686</v>
      </c>
      <c r="U174" s="109" t="s">
        <v>1687</v>
      </c>
      <c r="V174" s="110" t="s">
        <v>1688</v>
      </c>
      <c r="W174" s="120" t="s">
        <v>1689</v>
      </c>
      <c r="X174" s="120" t="s">
        <v>1690</v>
      </c>
      <c r="Y174" s="120" t="s">
        <v>1691</v>
      </c>
      <c r="Z174" s="120" t="s">
        <v>1692</v>
      </c>
    </row>
    <row r="175" spans="2:26" x14ac:dyDescent="0.2">
      <c r="B175" s="111" t="s">
        <v>1693</v>
      </c>
      <c r="C175" s="1551" t="s">
        <v>1637</v>
      </c>
      <c r="D175" s="1870" t="s">
        <v>236</v>
      </c>
      <c r="E175" s="1871"/>
      <c r="F175" s="112">
        <v>2</v>
      </c>
      <c r="G175" s="288">
        <v>466.56666346724023</v>
      </c>
      <c r="H175" s="288">
        <v>470.63087681288044</v>
      </c>
      <c r="I175" s="288">
        <v>471.53977339286632</v>
      </c>
      <c r="J175" s="288">
        <v>474.49032708280856</v>
      </c>
      <c r="K175" s="288">
        <v>477.68819040356175</v>
      </c>
      <c r="L175" s="288">
        <v>479.68133030739335</v>
      </c>
      <c r="M175" s="288">
        <v>2429.7016249187845</v>
      </c>
      <c r="N175" s="288">
        <v>2455.9914290111592</v>
      </c>
      <c r="O175" s="288">
        <v>2470.9312223844518</v>
      </c>
      <c r="P175" s="288">
        <v>2488.5544990693029</v>
      </c>
      <c r="Q175" s="288"/>
      <c r="R175" s="288"/>
      <c r="S175" s="288"/>
      <c r="T175" s="288"/>
      <c r="U175" s="288"/>
      <c r="V175" s="288"/>
      <c r="W175" s="288"/>
      <c r="X175" s="288"/>
      <c r="Y175" s="288"/>
      <c r="Z175" s="288"/>
    </row>
    <row r="176" spans="2:26" x14ac:dyDescent="0.2">
      <c r="B176" s="113" t="s">
        <v>1694</v>
      </c>
      <c r="C176" s="114" t="s">
        <v>390</v>
      </c>
      <c r="D176" s="1884" t="s">
        <v>236</v>
      </c>
      <c r="E176" s="1885"/>
      <c r="F176" s="115">
        <v>2</v>
      </c>
      <c r="G176" s="292">
        <f>G11</f>
        <v>459.27580771469349</v>
      </c>
      <c r="H176" s="292">
        <f t="shared" ref="H176:P176" si="19">H11</f>
        <v>458.37534502242755</v>
      </c>
      <c r="I176" s="292">
        <f t="shared" si="19"/>
        <v>454.56772247217123</v>
      </c>
      <c r="J176" s="292">
        <f t="shared" si="19"/>
        <v>452.16697267943806</v>
      </c>
      <c r="K176" s="292">
        <f t="shared" si="19"/>
        <v>451.26269042426333</v>
      </c>
      <c r="L176" s="292">
        <f t="shared" si="19"/>
        <v>450.35702886397183</v>
      </c>
      <c r="M176" s="292">
        <f t="shared" si="19"/>
        <v>2181.9876353382201</v>
      </c>
      <c r="N176" s="292">
        <f t="shared" si="19"/>
        <v>2267.5391976813889</v>
      </c>
      <c r="O176" s="292">
        <f t="shared" si="19"/>
        <v>2162.1786239487492</v>
      </c>
      <c r="P176" s="292">
        <f t="shared" si="19"/>
        <v>2062.944558623165</v>
      </c>
      <c r="Q176" s="292"/>
      <c r="R176" s="293"/>
      <c r="S176" s="293"/>
      <c r="T176" s="293"/>
      <c r="U176" s="293"/>
      <c r="V176" s="294"/>
      <c r="W176" s="295"/>
      <c r="X176" s="295"/>
      <c r="Y176" s="295"/>
      <c r="Z176" s="295"/>
    </row>
    <row r="177" spans="1:26" x14ac:dyDescent="0.2">
      <c r="B177" s="195" t="s">
        <v>1695</v>
      </c>
      <c r="C177" s="196" t="s">
        <v>384</v>
      </c>
      <c r="D177" s="1884" t="s">
        <v>236</v>
      </c>
      <c r="E177" s="1885"/>
      <c r="F177" s="115">
        <v>2</v>
      </c>
      <c r="G177" s="292">
        <f t="shared" ref="G177:P177" si="20">G12</f>
        <v>10.756007356367068</v>
      </c>
      <c r="H177" s="292">
        <f t="shared" si="20"/>
        <v>11.045610917873599</v>
      </c>
      <c r="I177" s="292">
        <f>I12</f>
        <v>10.125696711552145</v>
      </c>
      <c r="J177" s="292">
        <f t="shared" si="20"/>
        <v>9.2831519612602769</v>
      </c>
      <c r="K177" s="292">
        <f t="shared" si="20"/>
        <v>8.7579472448238338</v>
      </c>
      <c r="L177" s="292">
        <f t="shared" si="20"/>
        <v>8.1289085005026553</v>
      </c>
      <c r="M177" s="292">
        <f t="shared" si="20"/>
        <v>28.308469660078337</v>
      </c>
      <c r="N177" s="292">
        <f t="shared" si="20"/>
        <v>20.173551864293255</v>
      </c>
      <c r="O177" s="292">
        <f t="shared" si="20"/>
        <v>18.890900857565786</v>
      </c>
      <c r="P177" s="292">
        <f t="shared" si="20"/>
        <v>22.023299042893626</v>
      </c>
      <c r="Q177" s="296"/>
      <c r="R177" s="297"/>
      <c r="S177" s="297"/>
      <c r="T177" s="297"/>
      <c r="U177" s="297"/>
      <c r="V177" s="298"/>
      <c r="W177" s="299"/>
      <c r="X177" s="299"/>
      <c r="Y177" s="299"/>
      <c r="Z177" s="299"/>
    </row>
    <row r="178" spans="1:26" ht="15" thickBot="1" x14ac:dyDescent="0.25">
      <c r="B178" s="116" t="s">
        <v>1696</v>
      </c>
      <c r="C178" s="117" t="s">
        <v>393</v>
      </c>
      <c r="D178" s="1886" t="s">
        <v>236</v>
      </c>
      <c r="E178" s="1887"/>
      <c r="F178" s="118">
        <v>2</v>
      </c>
      <c r="G178" s="292">
        <f t="shared" ref="G178:P178" si="21">G13</f>
        <v>-22.122281721732215</v>
      </c>
      <c r="H178" s="292">
        <f t="shared" si="21"/>
        <v>-27.198434968279507</v>
      </c>
      <c r="I178" s="292">
        <f t="shared" si="21"/>
        <v>-30.959404639510925</v>
      </c>
      <c r="J178" s="292">
        <f t="shared" si="21"/>
        <v>-35.47897925149109</v>
      </c>
      <c r="K178" s="292">
        <f t="shared" si="21"/>
        <v>-39.066787553991645</v>
      </c>
      <c r="L178" s="292">
        <f t="shared" si="21"/>
        <v>-41.346792600102724</v>
      </c>
      <c r="M178" s="292">
        <f t="shared" si="21"/>
        <v>-283.8385042146308</v>
      </c>
      <c r="N178" s="292">
        <f t="shared" si="21"/>
        <v>-208.62312889906323</v>
      </c>
      <c r="O178" s="292">
        <f t="shared" si="21"/>
        <v>-327.64084499826856</v>
      </c>
      <c r="P178" s="292">
        <f t="shared" si="21"/>
        <v>-447.63058519403182</v>
      </c>
      <c r="Q178" s="300"/>
      <c r="R178" s="301"/>
      <c r="S178" s="301"/>
      <c r="T178" s="301"/>
      <c r="U178" s="301"/>
      <c r="V178" s="302"/>
      <c r="W178" s="303"/>
      <c r="X178" s="303"/>
      <c r="Y178" s="303"/>
      <c r="Z178" s="303"/>
    </row>
    <row r="179" spans="1:26" ht="15" thickBot="1" x14ac:dyDescent="0.25">
      <c r="B179" s="136"/>
      <c r="C179" s="66"/>
      <c r="D179" s="66"/>
      <c r="E179" s="66"/>
      <c r="Q179" s="62"/>
      <c r="R179" s="62"/>
    </row>
    <row r="180" spans="1:26" ht="74.099999999999994" customHeight="1" thickBot="1" x14ac:dyDescent="0.25">
      <c r="B180" s="193" t="str">
        <f>CONCATENATE("Table 7b: WC level - Alternative Programme  ",E167, " Final Plan SDB")</f>
        <v>Table 7b: WC level - Alternative Programme  Ofwat Core Final Plan SDB</v>
      </c>
      <c r="C180" s="138"/>
      <c r="D180" s="137"/>
      <c r="E180" s="137"/>
      <c r="F180" s="74"/>
      <c r="G180" s="74"/>
      <c r="H180" s="74"/>
      <c r="I180" s="74"/>
      <c r="J180" s="74"/>
      <c r="K180" s="74"/>
      <c r="L180" s="74"/>
      <c r="M180" s="1866" t="s">
        <v>1672</v>
      </c>
      <c r="N180" s="1867"/>
      <c r="O180" s="1867"/>
      <c r="P180" s="1867"/>
      <c r="Q180" s="1867"/>
      <c r="R180" s="1867"/>
      <c r="S180" s="1867"/>
      <c r="T180" s="1867"/>
      <c r="U180" s="1867"/>
      <c r="V180" s="1867"/>
      <c r="W180" s="1867"/>
      <c r="X180" s="1867"/>
      <c r="Y180" s="1867"/>
      <c r="Z180" s="1867"/>
    </row>
    <row r="181" spans="1:26" ht="30.75" thickBot="1" x14ac:dyDescent="0.25">
      <c r="B181" s="343" t="s">
        <v>70</v>
      </c>
      <c r="C181" s="344" t="s">
        <v>1697</v>
      </c>
      <c r="D181" s="1868" t="s">
        <v>206</v>
      </c>
      <c r="E181" s="1869"/>
      <c r="F181" s="345" t="s">
        <v>207</v>
      </c>
      <c r="G181" s="346" t="s">
        <v>1674</v>
      </c>
      <c r="H181" s="347" t="s">
        <v>1675</v>
      </c>
      <c r="I181" s="347" t="s">
        <v>1671</v>
      </c>
      <c r="J181" s="347" t="s">
        <v>1676</v>
      </c>
      <c r="K181" s="347" t="s">
        <v>1677</v>
      </c>
      <c r="L181" s="348" t="s">
        <v>1678</v>
      </c>
      <c r="M181" s="349" t="s">
        <v>1679</v>
      </c>
      <c r="N181" s="349" t="s">
        <v>1680</v>
      </c>
      <c r="O181" s="349" t="s">
        <v>1681</v>
      </c>
      <c r="P181" s="349" t="s">
        <v>1682</v>
      </c>
      <c r="Q181" s="119" t="s">
        <v>1683</v>
      </c>
      <c r="R181" s="109" t="s">
        <v>1684</v>
      </c>
      <c r="S181" s="109" t="s">
        <v>1685</v>
      </c>
      <c r="T181" s="109" t="s">
        <v>1686</v>
      </c>
      <c r="U181" s="109" t="s">
        <v>1687</v>
      </c>
      <c r="V181" s="110" t="s">
        <v>1688</v>
      </c>
      <c r="W181" s="120" t="s">
        <v>1689</v>
      </c>
      <c r="X181" s="120" t="s">
        <v>1690</v>
      </c>
      <c r="Y181" s="120" t="s">
        <v>1691</v>
      </c>
      <c r="Z181" s="120" t="s">
        <v>1692</v>
      </c>
    </row>
    <row r="182" spans="1:26" x14ac:dyDescent="0.2">
      <c r="B182" s="339" t="s">
        <v>1698</v>
      </c>
      <c r="C182" s="1550" t="s">
        <v>1637</v>
      </c>
      <c r="D182" s="1870" t="s">
        <v>236</v>
      </c>
      <c r="E182" s="1871"/>
      <c r="F182" s="340">
        <v>2</v>
      </c>
      <c r="G182" s="341">
        <v>466.56666346724023</v>
      </c>
      <c r="H182" s="341">
        <v>466.8126588839682</v>
      </c>
      <c r="I182" s="341">
        <v>464.28240946025761</v>
      </c>
      <c r="J182" s="341">
        <v>462.29966294103775</v>
      </c>
      <c r="K182" s="341">
        <v>460.07629239804101</v>
      </c>
      <c r="L182" s="341">
        <v>456.97390714925524</v>
      </c>
      <c r="M182" s="341">
        <v>2240.1900425918884</v>
      </c>
      <c r="N182" s="341">
        <v>2154.1748994091772</v>
      </c>
      <c r="O182" s="341">
        <v>2083.0068706085149</v>
      </c>
      <c r="P182" s="341">
        <v>2060.8588283483778</v>
      </c>
      <c r="Q182" s="341"/>
      <c r="R182" s="341"/>
      <c r="S182" s="341"/>
      <c r="T182" s="341"/>
      <c r="U182" s="341"/>
      <c r="V182" s="341"/>
      <c r="W182" s="341"/>
      <c r="X182" s="341"/>
      <c r="Y182" s="341"/>
      <c r="Z182" s="341"/>
    </row>
    <row r="183" spans="1:26" x14ac:dyDescent="0.2">
      <c r="A183" s="338"/>
      <c r="B183" s="1381" t="s">
        <v>1699</v>
      </c>
      <c r="C183" s="1382" t="s">
        <v>390</v>
      </c>
      <c r="D183" s="1872" t="s">
        <v>236</v>
      </c>
      <c r="E183" s="1873"/>
      <c r="F183" s="1378">
        <v>2</v>
      </c>
      <c r="G183" s="292">
        <f>'2. WC Level Data'!L77</f>
        <v>490.02919715434984</v>
      </c>
      <c r="H183" s="292">
        <f>'2. WC Level Data'!M77</f>
        <v>491.25196028720228</v>
      </c>
      <c r="I183" s="292">
        <f>'2. WC Level Data'!N77</f>
        <v>487.31156928422922</v>
      </c>
      <c r="J183" s="292">
        <f>'2. WC Level Data'!O77</f>
        <v>490.89508140434697</v>
      </c>
      <c r="K183" s="292">
        <f>'2. WC Level Data'!P77</f>
        <v>487.52299828714433</v>
      </c>
      <c r="L183" s="292">
        <f>'2. WC Level Data'!Q77</f>
        <v>492.46427427379541</v>
      </c>
      <c r="M183" s="295">
        <f>SUM('2. WC Level Data'!R77:V77)</f>
        <v>2422.7268212532235</v>
      </c>
      <c r="N183" s="295">
        <f>SUM('2. WC Level Data'!W77:AA77)</f>
        <v>2521.6047241143738</v>
      </c>
      <c r="O183" s="295">
        <f>(SUM('2. WC Level Data'!AB77:AF77))-('4. Options Appraisal Summary'!V54*5)</f>
        <v>2415.836328411865</v>
      </c>
      <c r="P183" s="1383">
        <f>(SUM('2. WC Level Data'!AG77:AK77))-('4. Options Appraisal Summary'!V54*5)</f>
        <v>2316.5419595373883</v>
      </c>
      <c r="Q183" s="292"/>
      <c r="R183" s="293"/>
      <c r="S183" s="293"/>
      <c r="T183" s="293"/>
      <c r="U183" s="293"/>
      <c r="V183" s="294"/>
      <c r="W183" s="295"/>
      <c r="X183" s="295"/>
      <c r="Y183" s="295"/>
      <c r="Z183" s="295"/>
    </row>
    <row r="184" spans="1:26" x14ac:dyDescent="0.2">
      <c r="B184" s="1376" t="s">
        <v>1700</v>
      </c>
      <c r="C184" s="1377" t="s">
        <v>384</v>
      </c>
      <c r="D184" s="1872" t="s">
        <v>236</v>
      </c>
      <c r="E184" s="1873"/>
      <c r="F184" s="1378">
        <v>2</v>
      </c>
      <c r="G184" s="296">
        <f>'2. WC Level Data'!L75</f>
        <v>10.674141376525171</v>
      </c>
      <c r="H184" s="296">
        <f>'2. WC Level Data'!M75</f>
        <v>11.109891465755577</v>
      </c>
      <c r="I184" s="296">
        <f>'2. WC Level Data'!N75</f>
        <v>10.054179665650723</v>
      </c>
      <c r="J184" s="296">
        <f>'2. WC Level Data'!O75</f>
        <v>11.640347628793107</v>
      </c>
      <c r="K184" s="296">
        <f>'2. WC Level Data'!P75</f>
        <v>10.94270610219057</v>
      </c>
      <c r="L184" s="296">
        <f>'2. WC Level Data'!Q75</f>
        <v>10.373156077633462</v>
      </c>
      <c r="M184" s="299">
        <f>SUM('2. WC Level Data'!R75:V75)</f>
        <v>39.511851178317592</v>
      </c>
      <c r="N184" s="299">
        <f>SUM('2. WC Level Data'!W75:AA75)</f>
        <v>31.009007306266099</v>
      </c>
      <c r="O184" s="299">
        <f>SUM('2. WC Level Data'!AB75:AF75)</f>
        <v>29.963918366670164</v>
      </c>
      <c r="P184" s="342">
        <f>SUM('2. WC Level Data'!AG75:AK75)</f>
        <v>33.33439743664723</v>
      </c>
      <c r="Q184" s="296"/>
      <c r="R184" s="297"/>
      <c r="S184" s="297"/>
      <c r="T184" s="297"/>
      <c r="U184" s="297"/>
      <c r="V184" s="298"/>
      <c r="W184" s="299"/>
      <c r="X184" s="299"/>
      <c r="Y184" s="299"/>
      <c r="Z184" s="299"/>
    </row>
    <row r="185" spans="1:26" ht="15" thickBot="1" x14ac:dyDescent="0.25">
      <c r="B185" s="1372" t="s">
        <v>1701</v>
      </c>
      <c r="C185" s="1373" t="s">
        <v>393</v>
      </c>
      <c r="D185" s="1874" t="s">
        <v>236</v>
      </c>
      <c r="E185" s="1875"/>
      <c r="F185" s="1374">
        <v>2</v>
      </c>
      <c r="G185" s="1375">
        <f>G183-G182-G184</f>
        <v>12.788392310584442</v>
      </c>
      <c r="H185" s="1375">
        <f t="shared" ref="H185:P185" si="22">H183-H182-H184</f>
        <v>13.329409937478506</v>
      </c>
      <c r="I185" s="1375">
        <f t="shared" si="22"/>
        <v>12.974980158320887</v>
      </c>
      <c r="J185" s="1375">
        <f t="shared" si="22"/>
        <v>16.955070834516107</v>
      </c>
      <c r="K185" s="1375">
        <f t="shared" si="22"/>
        <v>16.503999786912757</v>
      </c>
      <c r="L185" s="1375">
        <f t="shared" si="22"/>
        <v>25.117211046906711</v>
      </c>
      <c r="M185" s="1375">
        <f t="shared" si="22"/>
        <v>143.02492748301754</v>
      </c>
      <c r="N185" s="1375">
        <f t="shared" si="22"/>
        <v>336.42081739893047</v>
      </c>
      <c r="O185" s="1375">
        <f t="shared" si="22"/>
        <v>302.86553943667997</v>
      </c>
      <c r="P185" s="1375">
        <f t="shared" si="22"/>
        <v>222.34873375236327</v>
      </c>
      <c r="Q185" s="300"/>
      <c r="R185" s="301"/>
      <c r="S185" s="301"/>
      <c r="T185" s="301"/>
      <c r="U185" s="301"/>
      <c r="V185" s="302"/>
      <c r="W185" s="303"/>
      <c r="X185" s="303"/>
      <c r="Y185" s="303"/>
      <c r="Z185" s="303"/>
    </row>
    <row r="186" spans="1:26" ht="15" thickBot="1" x14ac:dyDescent="0.25">
      <c r="B186" s="62"/>
      <c r="M186" s="1441"/>
      <c r="Q186" s="62"/>
      <c r="R186" s="62"/>
    </row>
    <row r="187" spans="1:26" ht="60.75" customHeight="1" thickBot="1" x14ac:dyDescent="0.25">
      <c r="B187" s="193" t="str">
        <f>CONCATENATE("Table 7c: WC level - Alternative Programme  ",E167, " Totex")</f>
        <v>Table 7c: WC level - Alternative Programme  Ofwat Core Totex</v>
      </c>
      <c r="C187" s="138"/>
      <c r="D187" s="137"/>
      <c r="E187" s="74"/>
      <c r="F187" s="74"/>
      <c r="G187" s="74"/>
      <c r="H187" s="74"/>
      <c r="I187" s="74"/>
      <c r="J187" s="74"/>
      <c r="K187" s="74"/>
      <c r="L187" s="74"/>
      <c r="M187" s="1866" t="s">
        <v>1672</v>
      </c>
      <c r="N187" s="1867"/>
      <c r="O187" s="1867"/>
      <c r="P187" s="1867"/>
      <c r="Q187" s="1867"/>
      <c r="R187" s="1867"/>
      <c r="S187" s="1867"/>
      <c r="T187" s="1867"/>
      <c r="U187" s="1867"/>
      <c r="V187" s="1867"/>
      <c r="W187" s="1867"/>
      <c r="X187" s="1867"/>
      <c r="Y187" s="1867"/>
      <c r="Z187" s="1867"/>
    </row>
    <row r="188" spans="1:26" ht="30.75" thickBot="1" x14ac:dyDescent="0.25">
      <c r="B188" s="106" t="s">
        <v>70</v>
      </c>
      <c r="C188" s="107" t="s">
        <v>1702</v>
      </c>
      <c r="D188" s="107" t="s">
        <v>1703</v>
      </c>
      <c r="E188" s="107" t="s">
        <v>1704</v>
      </c>
      <c r="F188" s="108" t="s">
        <v>207</v>
      </c>
      <c r="G188" s="119" t="s">
        <v>1674</v>
      </c>
      <c r="H188" s="109" t="s">
        <v>1675</v>
      </c>
      <c r="I188" s="109" t="s">
        <v>1671</v>
      </c>
      <c r="J188" s="109" t="s">
        <v>1676</v>
      </c>
      <c r="K188" s="109" t="s">
        <v>1677</v>
      </c>
      <c r="L188" s="110" t="s">
        <v>1678</v>
      </c>
      <c r="M188" s="120" t="s">
        <v>1679</v>
      </c>
      <c r="N188" s="120" t="s">
        <v>1680</v>
      </c>
      <c r="O188" s="120" t="s">
        <v>1681</v>
      </c>
      <c r="P188" s="120" t="s">
        <v>1682</v>
      </c>
      <c r="Q188" s="119" t="s">
        <v>1683</v>
      </c>
      <c r="R188" s="109" t="s">
        <v>1684</v>
      </c>
      <c r="S188" s="109" t="s">
        <v>1685</v>
      </c>
      <c r="T188" s="109" t="s">
        <v>1686</v>
      </c>
      <c r="U188" s="109" t="s">
        <v>1687</v>
      </c>
      <c r="V188" s="110" t="s">
        <v>1688</v>
      </c>
      <c r="W188" s="120" t="s">
        <v>1689</v>
      </c>
      <c r="X188" s="120" t="s">
        <v>1690</v>
      </c>
      <c r="Y188" s="120" t="s">
        <v>1691</v>
      </c>
      <c r="Z188" s="120" t="s">
        <v>1692</v>
      </c>
    </row>
    <row r="189" spans="1:26" x14ac:dyDescent="0.2">
      <c r="B189" s="244" t="s">
        <v>1705</v>
      </c>
      <c r="C189" s="245" t="s">
        <v>1706</v>
      </c>
      <c r="D189" s="245" t="s">
        <v>1707</v>
      </c>
      <c r="E189" s="245" t="s">
        <v>1708</v>
      </c>
      <c r="F189" s="270">
        <v>3</v>
      </c>
      <c r="G189" s="285"/>
      <c r="H189" s="1653">
        <v>0</v>
      </c>
      <c r="I189" s="1653">
        <v>0</v>
      </c>
      <c r="J189" s="1653">
        <v>0</v>
      </c>
      <c r="K189" s="1653">
        <v>0</v>
      </c>
      <c r="L189" s="1653">
        <v>0</v>
      </c>
      <c r="M189" s="1653">
        <v>0</v>
      </c>
      <c r="N189" s="1653">
        <v>0</v>
      </c>
      <c r="O189" s="1653">
        <v>0</v>
      </c>
      <c r="P189" s="1653">
        <v>0</v>
      </c>
      <c r="Q189" s="288"/>
      <c r="R189" s="289"/>
      <c r="S189" s="289"/>
      <c r="T189" s="289"/>
      <c r="U189" s="289"/>
      <c r="V189" s="290"/>
      <c r="W189" s="291"/>
      <c r="X189" s="291"/>
      <c r="Y189" s="291"/>
      <c r="Z189" s="291"/>
    </row>
    <row r="190" spans="1:26" x14ac:dyDescent="0.2">
      <c r="B190" s="113" t="s">
        <v>1709</v>
      </c>
      <c r="C190" s="114" t="s">
        <v>1710</v>
      </c>
      <c r="D190" s="114" t="s">
        <v>1707</v>
      </c>
      <c r="E190" s="114" t="s">
        <v>1708</v>
      </c>
      <c r="F190" s="271">
        <v>3</v>
      </c>
      <c r="G190" s="286"/>
      <c r="H190" s="1654">
        <v>0</v>
      </c>
      <c r="I190" s="1654">
        <v>0</v>
      </c>
      <c r="J190" s="1654">
        <v>0</v>
      </c>
      <c r="K190" s="1654">
        <v>0</v>
      </c>
      <c r="L190" s="1654">
        <v>0</v>
      </c>
      <c r="M190" s="1654">
        <v>0</v>
      </c>
      <c r="N190" s="1654">
        <v>0</v>
      </c>
      <c r="O190" s="1654">
        <v>223.05574999999999</v>
      </c>
      <c r="P190" s="1654">
        <v>4.5750000000000002</v>
      </c>
      <c r="Q190" s="292"/>
      <c r="R190" s="293"/>
      <c r="S190" s="293"/>
      <c r="T190" s="293"/>
      <c r="U190" s="293"/>
      <c r="V190" s="294"/>
      <c r="W190" s="295"/>
      <c r="X190" s="295"/>
      <c r="Y190" s="295"/>
      <c r="Z190" s="295"/>
    </row>
    <row r="191" spans="1:26" ht="15" thickBot="1" x14ac:dyDescent="0.25">
      <c r="B191" s="116" t="s">
        <v>1711</v>
      </c>
      <c r="C191" s="117" t="s">
        <v>1712</v>
      </c>
      <c r="D191" s="117" t="s">
        <v>1707</v>
      </c>
      <c r="E191" s="117" t="s">
        <v>1708</v>
      </c>
      <c r="F191" s="272">
        <v>3</v>
      </c>
      <c r="G191" s="287"/>
      <c r="H191" s="1652">
        <v>17.188809477456569</v>
      </c>
      <c r="I191" s="1652">
        <v>24.119923897936573</v>
      </c>
      <c r="J191" s="1652">
        <v>62.167617475936567</v>
      </c>
      <c r="K191" s="1652">
        <v>137.54264241985257</v>
      </c>
      <c r="L191" s="1652">
        <v>116.07762554038658</v>
      </c>
      <c r="M191" s="1652">
        <v>227.67441912026993</v>
      </c>
      <c r="N191" s="1652">
        <v>66.47639899699999</v>
      </c>
      <c r="O191" s="1652">
        <v>147.63696899999999</v>
      </c>
      <c r="P191" s="1652">
        <v>156.99573100000001</v>
      </c>
      <c r="Q191" s="300"/>
      <c r="R191" s="301"/>
      <c r="S191" s="301"/>
      <c r="T191" s="301"/>
      <c r="U191" s="301"/>
      <c r="V191" s="302"/>
      <c r="W191" s="303"/>
      <c r="X191" s="303"/>
      <c r="Y191" s="303"/>
      <c r="Z191" s="303"/>
    </row>
    <row r="192" spans="1:26" ht="15" thickBot="1" x14ac:dyDescent="0.25">
      <c r="R192" s="62"/>
      <c r="S192" s="62"/>
    </row>
    <row r="193" spans="2:26" ht="90" customHeight="1" thickBot="1" x14ac:dyDescent="0.25">
      <c r="B193" s="193" t="str">
        <f>CONCATENATE("Table 7d: WC level - Alternative Programme  ",E167, " Enhancement Expenditure")</f>
        <v>Table 7d: WC level - Alternative Programme  Ofwat Core Enhancement Expenditure</v>
      </c>
      <c r="C193" s="138"/>
      <c r="D193" s="137"/>
      <c r="E193" s="137"/>
      <c r="F193" s="74"/>
      <c r="G193" s="74"/>
      <c r="H193" s="74"/>
      <c r="I193" s="74"/>
      <c r="J193" s="74"/>
      <c r="K193" s="74"/>
      <c r="L193" s="74"/>
      <c r="M193" s="1866" t="s">
        <v>1672</v>
      </c>
      <c r="N193" s="1867"/>
      <c r="O193" s="1867"/>
      <c r="P193" s="1867"/>
      <c r="Q193" s="1867"/>
      <c r="R193" s="1867"/>
      <c r="S193" s="1867"/>
      <c r="T193" s="1867"/>
      <c r="U193" s="1867"/>
      <c r="V193" s="1867"/>
      <c r="W193" s="1867"/>
      <c r="X193" s="1867"/>
      <c r="Y193" s="1867"/>
      <c r="Z193" s="1867"/>
    </row>
    <row r="194" spans="2:26" ht="30.75" thickBot="1" x14ac:dyDescent="0.25">
      <c r="B194" s="106" t="s">
        <v>70</v>
      </c>
      <c r="C194" s="107" t="s">
        <v>1702</v>
      </c>
      <c r="D194" s="107" t="s">
        <v>1703</v>
      </c>
      <c r="E194" s="107" t="s">
        <v>1704</v>
      </c>
      <c r="F194" s="108" t="s">
        <v>207</v>
      </c>
      <c r="G194" s="119" t="s">
        <v>1674</v>
      </c>
      <c r="H194" s="109" t="s">
        <v>1675</v>
      </c>
      <c r="I194" s="109" t="s">
        <v>1671</v>
      </c>
      <c r="J194" s="109" t="s">
        <v>1676</v>
      </c>
      <c r="K194" s="109" t="s">
        <v>1677</v>
      </c>
      <c r="L194" s="110" t="s">
        <v>1678</v>
      </c>
      <c r="M194" s="120" t="s">
        <v>1679</v>
      </c>
      <c r="N194" s="120" t="s">
        <v>1680</v>
      </c>
      <c r="O194" s="120" t="s">
        <v>1681</v>
      </c>
      <c r="P194" s="120" t="s">
        <v>1682</v>
      </c>
      <c r="Q194" s="119" t="s">
        <v>1683</v>
      </c>
      <c r="R194" s="109" t="s">
        <v>1684</v>
      </c>
      <c r="S194" s="109" t="s">
        <v>1685</v>
      </c>
      <c r="T194" s="109" t="s">
        <v>1686</v>
      </c>
      <c r="U194" s="109" t="s">
        <v>1687</v>
      </c>
      <c r="V194" s="110" t="s">
        <v>1688</v>
      </c>
      <c r="W194" s="120" t="s">
        <v>1689</v>
      </c>
      <c r="X194" s="120" t="s">
        <v>1690</v>
      </c>
      <c r="Y194" s="120" t="s">
        <v>1691</v>
      </c>
      <c r="Z194" s="120" t="s">
        <v>1692</v>
      </c>
    </row>
    <row r="195" spans="2:26" ht="15" thickBot="1" x14ac:dyDescent="0.25">
      <c r="B195" s="244" t="s">
        <v>1713</v>
      </c>
      <c r="C195" s="245" t="s">
        <v>1714</v>
      </c>
      <c r="D195" s="245" t="s">
        <v>1496</v>
      </c>
      <c r="E195" s="245" t="s">
        <v>1708</v>
      </c>
      <c r="F195" s="270">
        <v>3</v>
      </c>
      <c r="G195" s="285"/>
      <c r="H195" s="1653">
        <v>13.316079310055555</v>
      </c>
      <c r="I195" s="1653">
        <v>19.850622308055556</v>
      </c>
      <c r="J195" s="1653">
        <v>56.183622308055547</v>
      </c>
      <c r="K195" s="1653">
        <v>131.07562230805556</v>
      </c>
      <c r="L195" s="1653">
        <v>106.62241471305556</v>
      </c>
      <c r="M195" s="1653">
        <v>175.608</v>
      </c>
      <c r="N195" s="1653">
        <v>19.149999999999999</v>
      </c>
      <c r="O195" s="1653">
        <v>100.52</v>
      </c>
      <c r="P195" s="1653">
        <v>107.23</v>
      </c>
      <c r="Q195" s="288"/>
      <c r="R195" s="289"/>
      <c r="S195" s="289"/>
      <c r="T195" s="289"/>
      <c r="U195" s="289"/>
      <c r="V195" s="290"/>
      <c r="W195" s="291"/>
      <c r="X195" s="291"/>
      <c r="Y195" s="291"/>
      <c r="Z195" s="291"/>
    </row>
    <row r="196" spans="2:26" ht="15" thickBot="1" x14ac:dyDescent="0.25">
      <c r="B196" s="113" t="s">
        <v>1715</v>
      </c>
      <c r="C196" s="114" t="s">
        <v>1714</v>
      </c>
      <c r="D196" s="114" t="s">
        <v>1491</v>
      </c>
      <c r="E196" s="245" t="s">
        <v>1708</v>
      </c>
      <c r="F196" s="271">
        <v>3</v>
      </c>
      <c r="G196" s="286"/>
      <c r="H196" s="1654">
        <v>3.8727301674010142</v>
      </c>
      <c r="I196" s="1654">
        <v>4.2693015898810147</v>
      </c>
      <c r="J196" s="1654">
        <v>5.9839951678810142</v>
      </c>
      <c r="K196" s="1654">
        <v>6.467020111797015</v>
      </c>
      <c r="L196" s="1654">
        <v>9.4552108273310154</v>
      </c>
      <c r="M196" s="1654">
        <v>52.066419120269941</v>
      </c>
      <c r="N196" s="1654">
        <v>47.326398996999998</v>
      </c>
      <c r="O196" s="1654">
        <v>47.116968999999997</v>
      </c>
      <c r="P196" s="1654">
        <v>49.765731000000002</v>
      </c>
      <c r="Q196" s="292"/>
      <c r="R196" s="293"/>
      <c r="S196" s="293"/>
      <c r="T196" s="293"/>
      <c r="U196" s="293"/>
      <c r="V196" s="294"/>
      <c r="W196" s="295"/>
      <c r="X196" s="295"/>
      <c r="Y196" s="295"/>
      <c r="Z196" s="295"/>
    </row>
    <row r="197" spans="2:26" ht="15" thickBot="1" x14ac:dyDescent="0.25">
      <c r="B197" s="116" t="s">
        <v>1716</v>
      </c>
      <c r="C197" s="117" t="s">
        <v>1714</v>
      </c>
      <c r="D197" s="117" t="s">
        <v>1707</v>
      </c>
      <c r="E197" s="245" t="s">
        <v>1708</v>
      </c>
      <c r="F197" s="272">
        <v>3</v>
      </c>
      <c r="G197" s="287"/>
      <c r="H197" s="1652">
        <v>17.188809477456569</v>
      </c>
      <c r="I197" s="1652">
        <v>24.119923897936573</v>
      </c>
      <c r="J197" s="1652">
        <v>62.167617475936567</v>
      </c>
      <c r="K197" s="1652">
        <v>137.54264241985257</v>
      </c>
      <c r="L197" s="1652">
        <v>116.07762554038658</v>
      </c>
      <c r="M197" s="1652">
        <v>227.67441912026993</v>
      </c>
      <c r="N197" s="1652">
        <v>66.47639899699999</v>
      </c>
      <c r="O197" s="1652">
        <v>147.63696899999999</v>
      </c>
      <c r="P197" s="1652">
        <v>156.99573100000001</v>
      </c>
      <c r="Q197" s="300"/>
      <c r="R197" s="301"/>
      <c r="S197" s="301"/>
      <c r="T197" s="301"/>
      <c r="U197" s="301"/>
      <c r="V197" s="302"/>
      <c r="W197" s="303"/>
      <c r="X197" s="303"/>
      <c r="Y197" s="303"/>
      <c r="Z197" s="303"/>
    </row>
  </sheetData>
  <mergeCells count="102">
    <mergeCell ref="D116:E116"/>
    <mergeCell ref="D117:E117"/>
    <mergeCell ref="D118:E118"/>
    <mergeCell ref="D119:E119"/>
    <mergeCell ref="M121:Z121"/>
    <mergeCell ref="D110:E110"/>
    <mergeCell ref="D111:E111"/>
    <mergeCell ref="D112:E112"/>
    <mergeCell ref="M114:Z114"/>
    <mergeCell ref="D115:E115"/>
    <mergeCell ref="D109:E109"/>
    <mergeCell ref="M22:Z22"/>
    <mergeCell ref="M28:Z28"/>
    <mergeCell ref="C3:I3"/>
    <mergeCell ref="C5:I5"/>
    <mergeCell ref="C4:I4"/>
    <mergeCell ref="M8:Z8"/>
    <mergeCell ref="M15:Z15"/>
    <mergeCell ref="D16:E16"/>
    <mergeCell ref="D17:E17"/>
    <mergeCell ref="D18:E18"/>
    <mergeCell ref="D19:E19"/>
    <mergeCell ref="D20:E20"/>
    <mergeCell ref="D9:E9"/>
    <mergeCell ref="D10:E10"/>
    <mergeCell ref="D11:E11"/>
    <mergeCell ref="D12:E12"/>
    <mergeCell ref="C36:I36"/>
    <mergeCell ref="C37:I37"/>
    <mergeCell ref="C38:I38"/>
    <mergeCell ref="D42:E42"/>
    <mergeCell ref="D43:E43"/>
    <mergeCell ref="D44:E44"/>
    <mergeCell ref="D45:E45"/>
    <mergeCell ref="D46:E46"/>
    <mergeCell ref="C103:I103"/>
    <mergeCell ref="C104:I104"/>
    <mergeCell ref="M107:Z107"/>
    <mergeCell ref="D108:E108"/>
    <mergeCell ref="D77:E77"/>
    <mergeCell ref="D78:E78"/>
    <mergeCell ref="D79:E79"/>
    <mergeCell ref="C102:I102"/>
    <mergeCell ref="C69:I69"/>
    <mergeCell ref="D49:E49"/>
    <mergeCell ref="D50:E50"/>
    <mergeCell ref="D51:E51"/>
    <mergeCell ref="D52:E52"/>
    <mergeCell ref="D53:E53"/>
    <mergeCell ref="M140:Z140"/>
    <mergeCell ref="M147:Z147"/>
    <mergeCell ref="M41:Z41"/>
    <mergeCell ref="M48:Z48"/>
    <mergeCell ref="M55:Z55"/>
    <mergeCell ref="M61:Z61"/>
    <mergeCell ref="M74:Z74"/>
    <mergeCell ref="M127:Z127"/>
    <mergeCell ref="D13:E13"/>
    <mergeCell ref="M81:Z81"/>
    <mergeCell ref="M88:Z88"/>
    <mergeCell ref="M94:Z94"/>
    <mergeCell ref="C70:I70"/>
    <mergeCell ref="C71:I71"/>
    <mergeCell ref="C135:I135"/>
    <mergeCell ref="C136:I136"/>
    <mergeCell ref="C137:I137"/>
    <mergeCell ref="D82:E82"/>
    <mergeCell ref="D83:E83"/>
    <mergeCell ref="D84:E84"/>
    <mergeCell ref="D85:E85"/>
    <mergeCell ref="D86:E86"/>
    <mergeCell ref="D75:E75"/>
    <mergeCell ref="D76:E76"/>
    <mergeCell ref="M154:Z154"/>
    <mergeCell ref="M160:Z160"/>
    <mergeCell ref="D141:E141"/>
    <mergeCell ref="D142:E142"/>
    <mergeCell ref="D143:E143"/>
    <mergeCell ref="D144:E144"/>
    <mergeCell ref="D145:E145"/>
    <mergeCell ref="D148:E148"/>
    <mergeCell ref="D149:E149"/>
    <mergeCell ref="D150:E150"/>
    <mergeCell ref="D151:E151"/>
    <mergeCell ref="D152:E152"/>
    <mergeCell ref="M180:Z180"/>
    <mergeCell ref="M187:Z187"/>
    <mergeCell ref="M193:Z193"/>
    <mergeCell ref="D181:E181"/>
    <mergeCell ref="D182:E182"/>
    <mergeCell ref="D183:E183"/>
    <mergeCell ref="D184:E184"/>
    <mergeCell ref="D185:E185"/>
    <mergeCell ref="C168:I168"/>
    <mergeCell ref="C169:I169"/>
    <mergeCell ref="C170:I170"/>
    <mergeCell ref="M173:Z173"/>
    <mergeCell ref="D174:E174"/>
    <mergeCell ref="D175:E175"/>
    <mergeCell ref="D176:E176"/>
    <mergeCell ref="D177:E177"/>
    <mergeCell ref="D178:E178"/>
  </mergeCells>
  <hyperlinks>
    <hyperlink ref="K2" location="'TITLE PAGE'!A1" display="Back to title page" xr:uid="{00000000-0004-0000-0700-000000000000}"/>
  </hyperlinks>
  <pageMargins left="0.7" right="0.7" top="0.75" bottom="0.75" header="0.3" footer="0.3"/>
  <pageSetup paperSize="9" orientation="portrait" r:id="rId1"/>
  <drawing r:id="rId2"/>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pageSetUpPr fitToPage="1"/>
  </sheetPr>
  <dimension ref="B1:AA293"/>
  <sheetViews>
    <sheetView showOutlineSymbols="0" showWhiteSpace="0" workbookViewId="0">
      <selection activeCell="C3" sqref="C3"/>
    </sheetView>
  </sheetViews>
  <sheetFormatPr defaultColWidth="8.6640625" defaultRowHeight="14.25" x14ac:dyDescent="0.2"/>
  <cols>
    <col min="1" max="1" width="2.109375" style="240" customWidth="1"/>
    <col min="2" max="2" width="32" style="240" customWidth="1"/>
    <col min="3" max="3" width="14.5546875" style="240" customWidth="1"/>
    <col min="4" max="4" width="16.109375" style="240" customWidth="1"/>
    <col min="5" max="5" width="9.6640625" style="240" bestFit="1" customWidth="1"/>
    <col min="6" max="6" width="14.44140625" style="240" customWidth="1"/>
    <col min="7" max="13" width="8.6640625" style="240"/>
    <col min="14" max="17" width="9.6640625" style="240" bestFit="1" customWidth="1"/>
    <col min="18" max="27" width="11.109375" style="240" bestFit="1" customWidth="1"/>
    <col min="28" max="16384" width="8.6640625" style="240"/>
  </cols>
  <sheetData>
    <row r="1" spans="2:27" ht="15" thickBot="1" x14ac:dyDescent="0.25"/>
    <row r="2" spans="2:27" ht="44.1" customHeight="1" thickBot="1" x14ac:dyDescent="0.25">
      <c r="B2" s="365" t="s">
        <v>64</v>
      </c>
      <c r="C2" s="58" t="str">
        <f>'TITLE PAGE'!$D$18</f>
        <v>Essex &amp; Suffolk Water</v>
      </c>
      <c r="D2" s="363" t="s">
        <v>2</v>
      </c>
      <c r="E2" s="1471">
        <f>'TITLE PAGE'!D21</f>
        <v>16</v>
      </c>
      <c r="G2" s="1151" t="s">
        <v>63</v>
      </c>
    </row>
    <row r="3" spans="2:27" ht="45.75" thickBot="1" x14ac:dyDescent="0.25">
      <c r="B3" s="364" t="s">
        <v>200</v>
      </c>
      <c r="C3" s="1164" t="s">
        <v>1735</v>
      </c>
      <c r="D3" s="360" t="s">
        <v>1736</v>
      </c>
      <c r="E3" s="1356">
        <v>1325.6169701652771</v>
      </c>
      <c r="F3" s="1355"/>
      <c r="R3" s="281"/>
      <c r="S3" s="281"/>
      <c r="T3" s="281"/>
      <c r="U3" s="281"/>
    </row>
    <row r="5" spans="2:27" ht="45.75" thickBot="1" x14ac:dyDescent="0.25">
      <c r="B5" s="193" t="s">
        <v>1737</v>
      </c>
      <c r="G5" s="1832" t="s">
        <v>1738</v>
      </c>
      <c r="H5" s="1901"/>
      <c r="I5" s="1901"/>
      <c r="J5" s="1901"/>
      <c r="K5" s="1901"/>
      <c r="L5" s="1901"/>
      <c r="M5" s="1901"/>
      <c r="N5" s="1901"/>
      <c r="O5" s="1901"/>
      <c r="P5" s="1901"/>
      <c r="Q5" s="1833"/>
      <c r="R5" s="1832" t="s">
        <v>1739</v>
      </c>
      <c r="S5" s="1901"/>
      <c r="T5" s="1901"/>
      <c r="U5" s="1901"/>
      <c r="V5" s="1901"/>
      <c r="W5" s="1901"/>
      <c r="X5" s="1901"/>
      <c r="Y5" s="1901"/>
      <c r="Z5" s="1901"/>
      <c r="AA5" s="1833"/>
    </row>
    <row r="6" spans="2:27" ht="45.75" thickBot="1" x14ac:dyDescent="0.25">
      <c r="B6" s="234" t="s">
        <v>1740</v>
      </c>
      <c r="C6" s="235" t="s">
        <v>1702</v>
      </c>
      <c r="D6" s="235" t="s">
        <v>1703</v>
      </c>
      <c r="E6" s="235" t="s">
        <v>206</v>
      </c>
      <c r="F6" s="236" t="s">
        <v>207</v>
      </c>
      <c r="G6" s="234" t="s">
        <v>208</v>
      </c>
      <c r="H6" s="235" t="s">
        <v>209</v>
      </c>
      <c r="I6" s="235" t="s">
        <v>210</v>
      </c>
      <c r="J6" s="235" t="s">
        <v>211</v>
      </c>
      <c r="K6" s="235" t="s">
        <v>212</v>
      </c>
      <c r="L6" s="235" t="s">
        <v>213</v>
      </c>
      <c r="M6" s="235" t="s">
        <v>214</v>
      </c>
      <c r="N6" s="235" t="s">
        <v>215</v>
      </c>
      <c r="O6" s="235" t="s">
        <v>216</v>
      </c>
      <c r="P6" s="235" t="s">
        <v>217</v>
      </c>
      <c r="Q6" s="236" t="s">
        <v>218</v>
      </c>
      <c r="R6" s="239" t="s">
        <v>1741</v>
      </c>
      <c r="S6" s="237" t="s">
        <v>1742</v>
      </c>
      <c r="T6" s="237" t="s">
        <v>1743</v>
      </c>
      <c r="U6" s="237" t="s">
        <v>1744</v>
      </c>
      <c r="V6" s="237" t="s">
        <v>1745</v>
      </c>
      <c r="W6" s="237" t="s">
        <v>1746</v>
      </c>
      <c r="X6" s="237" t="s">
        <v>1747</v>
      </c>
      <c r="Y6" s="237" t="s">
        <v>1748</v>
      </c>
      <c r="Z6" s="237" t="s">
        <v>1749</v>
      </c>
      <c r="AA6" s="238" t="s">
        <v>1750</v>
      </c>
    </row>
    <row r="7" spans="2:27" ht="28.5" x14ac:dyDescent="0.2">
      <c r="B7" s="233" t="s">
        <v>1751</v>
      </c>
      <c r="C7" s="224" t="s">
        <v>1706</v>
      </c>
      <c r="D7" s="225" t="s">
        <v>1707</v>
      </c>
      <c r="E7" s="274" t="s">
        <v>1752</v>
      </c>
      <c r="F7" s="273">
        <v>3</v>
      </c>
      <c r="G7" s="350"/>
      <c r="H7" s="351"/>
      <c r="I7" s="351"/>
      <c r="J7" s="351"/>
      <c r="K7" s="351"/>
      <c r="L7" s="351"/>
      <c r="M7" s="275">
        <f>M28+M71</f>
        <v>123.18606875225657</v>
      </c>
      <c r="N7" s="275">
        <f t="shared" ref="N7:U7" si="0">N28+N71</f>
        <v>110.16718317273657</v>
      </c>
      <c r="O7" s="275">
        <f t="shared" si="0"/>
        <v>97.665876750736572</v>
      </c>
      <c r="P7" s="275">
        <f t="shared" si="0"/>
        <v>66.125261694652579</v>
      </c>
      <c r="Q7" s="275">
        <f t="shared" si="0"/>
        <v>63.556334815186567</v>
      </c>
      <c r="R7" s="275">
        <f t="shared" si="0"/>
        <v>219.13945890084688</v>
      </c>
      <c r="S7" s="275">
        <f t="shared" si="0"/>
        <v>248.79369176699998</v>
      </c>
      <c r="T7" s="275">
        <f t="shared" si="0"/>
        <v>218.6319773034781</v>
      </c>
      <c r="U7" s="275">
        <f t="shared" si="0"/>
        <v>227.63271281720972</v>
      </c>
      <c r="V7" s="275"/>
      <c r="W7" s="275"/>
      <c r="X7" s="275"/>
      <c r="Y7" s="275"/>
      <c r="Z7" s="275"/>
      <c r="AA7" s="275"/>
    </row>
    <row r="8" spans="2:27" ht="28.5" x14ac:dyDescent="0.2">
      <c r="B8" s="227" t="s">
        <v>1753</v>
      </c>
      <c r="C8" s="45" t="s">
        <v>1710</v>
      </c>
      <c r="D8" s="49" t="s">
        <v>1707</v>
      </c>
      <c r="E8" s="274" t="s">
        <v>1752</v>
      </c>
      <c r="F8" s="262">
        <v>3</v>
      </c>
      <c r="G8" s="352"/>
      <c r="H8" s="353"/>
      <c r="I8" s="353"/>
      <c r="J8" s="353"/>
      <c r="K8" s="353"/>
      <c r="L8" s="353"/>
      <c r="M8" s="276"/>
      <c r="N8" s="276"/>
      <c r="O8" s="276"/>
      <c r="P8" s="276"/>
      <c r="Q8" s="276"/>
      <c r="R8" s="276"/>
      <c r="S8" s="276"/>
      <c r="T8" s="276"/>
      <c r="U8" s="276"/>
      <c r="V8" s="276"/>
      <c r="W8" s="276"/>
      <c r="X8" s="276"/>
      <c r="Y8" s="276"/>
      <c r="Z8" s="276"/>
      <c r="AA8" s="278"/>
    </row>
    <row r="9" spans="2:27" ht="29.25" thickBot="1" x14ac:dyDescent="0.25">
      <c r="B9" s="228" t="s">
        <v>1754</v>
      </c>
      <c r="C9" s="46" t="s">
        <v>1755</v>
      </c>
      <c r="D9" s="51" t="s">
        <v>1707</v>
      </c>
      <c r="E9" s="1554" t="s">
        <v>1752</v>
      </c>
      <c r="F9" s="263">
        <v>3</v>
      </c>
      <c r="G9" s="277">
        <f t="shared" ref="G9:AA9" si="1">SUM(G7:G8)</f>
        <v>0</v>
      </c>
      <c r="H9" s="277">
        <f t="shared" si="1"/>
        <v>0</v>
      </c>
      <c r="I9" s="277">
        <f t="shared" si="1"/>
        <v>0</v>
      </c>
      <c r="J9" s="277">
        <f t="shared" si="1"/>
        <v>0</v>
      </c>
      <c r="K9" s="277">
        <f t="shared" si="1"/>
        <v>0</v>
      </c>
      <c r="L9" s="277">
        <f t="shared" si="1"/>
        <v>0</v>
      </c>
      <c r="M9" s="277">
        <f t="shared" si="1"/>
        <v>123.18606875225657</v>
      </c>
      <c r="N9" s="277">
        <f t="shared" si="1"/>
        <v>110.16718317273657</v>
      </c>
      <c r="O9" s="277">
        <f t="shared" si="1"/>
        <v>97.665876750736572</v>
      </c>
      <c r="P9" s="277">
        <f t="shared" si="1"/>
        <v>66.125261694652579</v>
      </c>
      <c r="Q9" s="277">
        <f t="shared" si="1"/>
        <v>63.556334815186567</v>
      </c>
      <c r="R9" s="277">
        <f t="shared" si="1"/>
        <v>219.13945890084688</v>
      </c>
      <c r="S9" s="277">
        <f t="shared" si="1"/>
        <v>248.79369176699998</v>
      </c>
      <c r="T9" s="277">
        <f t="shared" si="1"/>
        <v>218.6319773034781</v>
      </c>
      <c r="U9" s="277">
        <f t="shared" si="1"/>
        <v>227.63271281720972</v>
      </c>
      <c r="V9" s="277">
        <f t="shared" si="1"/>
        <v>0</v>
      </c>
      <c r="W9" s="277">
        <f t="shared" si="1"/>
        <v>0</v>
      </c>
      <c r="X9" s="277">
        <f t="shared" si="1"/>
        <v>0</v>
      </c>
      <c r="Y9" s="277">
        <f t="shared" si="1"/>
        <v>0</v>
      </c>
      <c r="Z9" s="277">
        <f t="shared" si="1"/>
        <v>0</v>
      </c>
      <c r="AA9" s="277">
        <f t="shared" si="1"/>
        <v>0</v>
      </c>
    </row>
    <row r="10" spans="2:27" ht="15" thickBot="1" x14ac:dyDescent="0.25">
      <c r="B10" s="1539"/>
      <c r="C10" s="1347"/>
      <c r="D10" s="1348"/>
      <c r="E10" s="1349"/>
      <c r="F10" s="1350"/>
      <c r="G10" s="1540"/>
      <c r="H10" s="1540"/>
      <c r="I10" s="1540"/>
      <c r="J10" s="1540"/>
      <c r="K10" s="1540"/>
      <c r="L10" s="1540"/>
      <c r="M10" s="1541"/>
      <c r="N10" s="1541"/>
      <c r="O10" s="1541"/>
      <c r="P10" s="1541"/>
      <c r="Q10" s="1541"/>
      <c r="R10" s="1541"/>
      <c r="S10" s="1541"/>
      <c r="T10" s="1541"/>
      <c r="U10" s="1541"/>
      <c r="V10" s="1541"/>
      <c r="W10" s="1541"/>
      <c r="X10" s="1541"/>
      <c r="Y10" s="1541"/>
      <c r="Z10" s="1541"/>
      <c r="AA10" s="1541"/>
    </row>
    <row r="11" spans="2:27" ht="60.75" thickBot="1" x14ac:dyDescent="0.25">
      <c r="B11" s="193" t="s">
        <v>1756</v>
      </c>
      <c r="G11" s="1832" t="s">
        <v>1738</v>
      </c>
      <c r="H11" s="1901"/>
      <c r="I11" s="1901"/>
      <c r="J11" s="1901"/>
      <c r="K11" s="1901"/>
      <c r="L11" s="1901"/>
      <c r="M11" s="1901"/>
      <c r="N11" s="1901"/>
      <c r="O11" s="1901"/>
      <c r="P11" s="1901"/>
      <c r="Q11" s="1833"/>
      <c r="R11" s="1832" t="s">
        <v>1739</v>
      </c>
      <c r="S11" s="1901"/>
      <c r="T11" s="1901"/>
      <c r="U11" s="1901"/>
      <c r="V11" s="1901"/>
      <c r="W11" s="1901"/>
      <c r="X11" s="1901"/>
      <c r="Y11" s="1901"/>
      <c r="Z11" s="1901"/>
      <c r="AA11" s="1833"/>
    </row>
    <row r="12" spans="2:27" ht="45.75" thickBot="1" x14ac:dyDescent="0.25">
      <c r="B12" s="234" t="s">
        <v>1740</v>
      </c>
      <c r="C12" s="235" t="s">
        <v>1702</v>
      </c>
      <c r="D12" s="235" t="s">
        <v>1703</v>
      </c>
      <c r="E12" s="235" t="s">
        <v>206</v>
      </c>
      <c r="F12" s="236" t="s">
        <v>207</v>
      </c>
      <c r="G12" s="234" t="s">
        <v>208</v>
      </c>
      <c r="H12" s="235" t="s">
        <v>209</v>
      </c>
      <c r="I12" s="235" t="s">
        <v>210</v>
      </c>
      <c r="J12" s="235" t="s">
        <v>211</v>
      </c>
      <c r="K12" s="235" t="s">
        <v>212</v>
      </c>
      <c r="L12" s="235" t="s">
        <v>213</v>
      </c>
      <c r="M12" s="235" t="s">
        <v>214</v>
      </c>
      <c r="N12" s="235" t="s">
        <v>215</v>
      </c>
      <c r="O12" s="235" t="s">
        <v>216</v>
      </c>
      <c r="P12" s="235" t="s">
        <v>217</v>
      </c>
      <c r="Q12" s="236" t="s">
        <v>218</v>
      </c>
      <c r="R12" s="239" t="s">
        <v>1741</v>
      </c>
      <c r="S12" s="237" t="s">
        <v>1742</v>
      </c>
      <c r="T12" s="237" t="s">
        <v>1743</v>
      </c>
      <c r="U12" s="237" t="s">
        <v>1744</v>
      </c>
      <c r="V12" s="237" t="s">
        <v>1745</v>
      </c>
      <c r="W12" s="237" t="s">
        <v>1746</v>
      </c>
      <c r="X12" s="237" t="s">
        <v>1747</v>
      </c>
      <c r="Y12" s="237" t="s">
        <v>1748</v>
      </c>
      <c r="Z12" s="237" t="s">
        <v>1749</v>
      </c>
      <c r="AA12" s="238" t="s">
        <v>1750</v>
      </c>
    </row>
    <row r="13" spans="2:27" ht="28.5" x14ac:dyDescent="0.2">
      <c r="B13" s="226" t="s">
        <v>1757</v>
      </c>
      <c r="C13" s="45" t="s">
        <v>1758</v>
      </c>
      <c r="D13" s="49" t="s">
        <v>1496</v>
      </c>
      <c r="E13" s="274" t="s">
        <v>1752</v>
      </c>
      <c r="F13" s="262">
        <v>3</v>
      </c>
      <c r="G13" s="352"/>
      <c r="H13" s="353"/>
      <c r="I13" s="353"/>
      <c r="J13" s="353"/>
      <c r="K13" s="353"/>
      <c r="L13" s="353"/>
      <c r="M13" s="1646">
        <v>68.92</v>
      </c>
      <c r="N13" s="1646">
        <v>48.97</v>
      </c>
      <c r="O13" s="1646">
        <v>32.620000000000005</v>
      </c>
      <c r="P13" s="1646">
        <v>32.92</v>
      </c>
      <c r="Q13" s="1646">
        <v>32.92</v>
      </c>
      <c r="R13" s="1646">
        <v>48.94</v>
      </c>
      <c r="S13" s="1646">
        <v>143.94</v>
      </c>
      <c r="T13" s="276">
        <v>0</v>
      </c>
      <c r="U13" s="276">
        <v>0</v>
      </c>
      <c r="V13" s="276"/>
      <c r="W13" s="276"/>
      <c r="X13" s="276"/>
      <c r="Y13" s="276"/>
      <c r="Z13" s="276"/>
      <c r="AA13" s="278"/>
    </row>
    <row r="14" spans="2:27" ht="28.5" x14ac:dyDescent="0.2">
      <c r="B14" s="227" t="s">
        <v>1759</v>
      </c>
      <c r="C14" s="45" t="s">
        <v>1758</v>
      </c>
      <c r="D14" s="49" t="s">
        <v>1491</v>
      </c>
      <c r="E14" s="274" t="s">
        <v>1752</v>
      </c>
      <c r="F14" s="262">
        <v>3</v>
      </c>
      <c r="G14" s="352"/>
      <c r="H14" s="353"/>
      <c r="I14" s="353"/>
      <c r="J14" s="353"/>
      <c r="K14" s="353"/>
      <c r="L14" s="353"/>
      <c r="M14" s="276">
        <v>0</v>
      </c>
      <c r="N14" s="276">
        <v>0</v>
      </c>
      <c r="O14" s="1646">
        <v>1.44</v>
      </c>
      <c r="P14" s="1646">
        <v>1.44</v>
      </c>
      <c r="Q14" s="1646">
        <v>1.44</v>
      </c>
      <c r="R14" s="1646">
        <v>50.099999999999994</v>
      </c>
      <c r="S14" s="1646">
        <v>50.099999999999994</v>
      </c>
      <c r="T14" s="1646">
        <v>54.699999999999996</v>
      </c>
      <c r="U14" s="1646">
        <v>54.699999999999996</v>
      </c>
      <c r="V14" s="276"/>
      <c r="W14" s="276"/>
      <c r="X14" s="276"/>
      <c r="Y14" s="276"/>
      <c r="Z14" s="276"/>
      <c r="AA14" s="278"/>
    </row>
    <row r="15" spans="2:27" ht="28.5" x14ac:dyDescent="0.2">
      <c r="B15" s="227" t="s">
        <v>1760</v>
      </c>
      <c r="C15" s="45" t="s">
        <v>1758</v>
      </c>
      <c r="D15" s="49" t="s">
        <v>1707</v>
      </c>
      <c r="E15" s="274" t="s">
        <v>1752</v>
      </c>
      <c r="F15" s="262">
        <v>3</v>
      </c>
      <c r="G15" s="279">
        <f t="shared" ref="G15:AA15" si="2">SUM(G13:G14)</f>
        <v>0</v>
      </c>
      <c r="H15" s="279">
        <f t="shared" si="2"/>
        <v>0</v>
      </c>
      <c r="I15" s="279">
        <f t="shared" si="2"/>
        <v>0</v>
      </c>
      <c r="J15" s="279">
        <f t="shared" si="2"/>
        <v>0</v>
      </c>
      <c r="K15" s="279">
        <f t="shared" si="2"/>
        <v>0</v>
      </c>
      <c r="L15" s="279">
        <f t="shared" si="2"/>
        <v>0</v>
      </c>
      <c r="M15" s="279">
        <f t="shared" si="2"/>
        <v>68.92</v>
      </c>
      <c r="N15" s="279">
        <f t="shared" si="2"/>
        <v>48.97</v>
      </c>
      <c r="O15" s="279">
        <f t="shared" si="2"/>
        <v>34.06</v>
      </c>
      <c r="P15" s="279">
        <f t="shared" si="2"/>
        <v>34.36</v>
      </c>
      <c r="Q15" s="279">
        <f t="shared" si="2"/>
        <v>34.36</v>
      </c>
      <c r="R15" s="279">
        <f t="shared" si="2"/>
        <v>99.039999999999992</v>
      </c>
      <c r="S15" s="279">
        <f t="shared" si="2"/>
        <v>194.04</v>
      </c>
      <c r="T15" s="279">
        <f t="shared" si="2"/>
        <v>54.699999999999996</v>
      </c>
      <c r="U15" s="279">
        <f t="shared" si="2"/>
        <v>54.699999999999996</v>
      </c>
      <c r="V15" s="279">
        <f t="shared" si="2"/>
        <v>0</v>
      </c>
      <c r="W15" s="279">
        <f t="shared" si="2"/>
        <v>0</v>
      </c>
      <c r="X15" s="279">
        <f t="shared" si="2"/>
        <v>0</v>
      </c>
      <c r="Y15" s="279">
        <f t="shared" si="2"/>
        <v>0</v>
      </c>
      <c r="Z15" s="279">
        <f t="shared" si="2"/>
        <v>0</v>
      </c>
      <c r="AA15" s="279">
        <f t="shared" si="2"/>
        <v>0</v>
      </c>
    </row>
    <row r="16" spans="2:27" ht="57" x14ac:dyDescent="0.2">
      <c r="B16" s="226" t="s">
        <v>1761</v>
      </c>
      <c r="C16" s="45" t="s">
        <v>1762</v>
      </c>
      <c r="D16" s="49" t="s">
        <v>1496</v>
      </c>
      <c r="E16" s="274" t="s">
        <v>1752</v>
      </c>
      <c r="F16" s="262">
        <v>3</v>
      </c>
      <c r="G16" s="352"/>
      <c r="H16" s="353"/>
      <c r="I16" s="353"/>
      <c r="J16" s="353"/>
      <c r="K16" s="353"/>
      <c r="L16" s="353"/>
      <c r="M16" s="276">
        <v>0</v>
      </c>
      <c r="N16" s="276">
        <v>0</v>
      </c>
      <c r="O16" s="276">
        <v>0</v>
      </c>
      <c r="P16" s="276">
        <v>0</v>
      </c>
      <c r="Q16" s="276">
        <v>0</v>
      </c>
      <c r="R16" s="276">
        <v>0</v>
      </c>
      <c r="S16" s="276">
        <v>0</v>
      </c>
      <c r="T16" s="276">
        <v>0</v>
      </c>
      <c r="U16" s="276">
        <v>0</v>
      </c>
      <c r="V16" s="276"/>
      <c r="W16" s="276"/>
      <c r="X16" s="276"/>
      <c r="Y16" s="276"/>
      <c r="Z16" s="276"/>
      <c r="AA16" s="278"/>
    </row>
    <row r="17" spans="2:27" ht="57" x14ac:dyDescent="0.2">
      <c r="B17" s="227" t="s">
        <v>1763</v>
      </c>
      <c r="C17" s="45" t="s">
        <v>1762</v>
      </c>
      <c r="D17" s="49" t="s">
        <v>1491</v>
      </c>
      <c r="E17" s="274" t="s">
        <v>1752</v>
      </c>
      <c r="F17" s="262">
        <v>3</v>
      </c>
      <c r="G17" s="352"/>
      <c r="H17" s="353"/>
      <c r="I17" s="353"/>
      <c r="J17" s="353"/>
      <c r="K17" s="353"/>
      <c r="L17" s="353"/>
      <c r="M17" s="276">
        <v>1.814490796839443</v>
      </c>
      <c r="N17" s="276">
        <v>1.9610622193194431</v>
      </c>
      <c r="O17" s="276">
        <v>1.9857557973194431</v>
      </c>
      <c r="P17" s="276">
        <v>2.0371407412354432</v>
      </c>
      <c r="Q17" s="276">
        <v>1.8774214567694432</v>
      </c>
      <c r="R17" s="276">
        <v>11.304429120269944</v>
      </c>
      <c r="S17" s="276">
        <v>5.5644689969999988</v>
      </c>
      <c r="T17" s="276">
        <v>3.7504490000000001</v>
      </c>
      <c r="U17" s="276">
        <v>3.6004309999999999</v>
      </c>
      <c r="V17" s="276"/>
      <c r="W17" s="276"/>
      <c r="X17" s="276"/>
      <c r="Y17" s="276"/>
      <c r="Z17" s="276"/>
      <c r="AA17" s="278"/>
    </row>
    <row r="18" spans="2:27" ht="57" x14ac:dyDescent="0.2">
      <c r="B18" s="227" t="s">
        <v>1764</v>
      </c>
      <c r="C18" s="45" t="s">
        <v>1762</v>
      </c>
      <c r="D18" s="49" t="s">
        <v>1707</v>
      </c>
      <c r="E18" s="274" t="s">
        <v>1752</v>
      </c>
      <c r="F18" s="262">
        <v>3</v>
      </c>
      <c r="G18" s="279">
        <f t="shared" ref="G18:AA18" si="3">SUM(G16:G17)</f>
        <v>0</v>
      </c>
      <c r="H18" s="279">
        <f t="shared" si="3"/>
        <v>0</v>
      </c>
      <c r="I18" s="279">
        <f t="shared" si="3"/>
        <v>0</v>
      </c>
      <c r="J18" s="279">
        <f t="shared" si="3"/>
        <v>0</v>
      </c>
      <c r="K18" s="279">
        <f t="shared" si="3"/>
        <v>0</v>
      </c>
      <c r="L18" s="279">
        <f t="shared" si="3"/>
        <v>0</v>
      </c>
      <c r="M18" s="279">
        <f t="shared" si="3"/>
        <v>1.814490796839443</v>
      </c>
      <c r="N18" s="279">
        <f t="shared" si="3"/>
        <v>1.9610622193194431</v>
      </c>
      <c r="O18" s="279">
        <f t="shared" si="3"/>
        <v>1.9857557973194431</v>
      </c>
      <c r="P18" s="279">
        <f t="shared" si="3"/>
        <v>2.0371407412354432</v>
      </c>
      <c r="Q18" s="279">
        <f t="shared" si="3"/>
        <v>1.8774214567694432</v>
      </c>
      <c r="R18" s="279">
        <f t="shared" si="3"/>
        <v>11.304429120269944</v>
      </c>
      <c r="S18" s="279">
        <f t="shared" si="3"/>
        <v>5.5644689969999988</v>
      </c>
      <c r="T18" s="279">
        <f t="shared" si="3"/>
        <v>3.7504490000000001</v>
      </c>
      <c r="U18" s="279">
        <f t="shared" si="3"/>
        <v>3.6004309999999999</v>
      </c>
      <c r="V18" s="279">
        <f t="shared" si="3"/>
        <v>0</v>
      </c>
      <c r="W18" s="279">
        <f t="shared" si="3"/>
        <v>0</v>
      </c>
      <c r="X18" s="279">
        <f t="shared" si="3"/>
        <v>0</v>
      </c>
      <c r="Y18" s="279">
        <f t="shared" si="3"/>
        <v>0</v>
      </c>
      <c r="Z18" s="279">
        <f t="shared" si="3"/>
        <v>0</v>
      </c>
      <c r="AA18" s="279">
        <f t="shared" si="3"/>
        <v>0</v>
      </c>
    </row>
    <row r="19" spans="2:27" ht="28.5" x14ac:dyDescent="0.2">
      <c r="B19" s="226" t="s">
        <v>1765</v>
      </c>
      <c r="C19" s="45" t="s">
        <v>1766</v>
      </c>
      <c r="D19" s="49" t="s">
        <v>1496</v>
      </c>
      <c r="E19" s="274" t="s">
        <v>1752</v>
      </c>
      <c r="F19" s="262">
        <v>3</v>
      </c>
      <c r="G19" s="352"/>
      <c r="H19" s="353"/>
      <c r="I19" s="353"/>
      <c r="J19" s="353"/>
      <c r="K19" s="353"/>
      <c r="L19" s="353"/>
      <c r="M19" s="276">
        <f>'[3]EA tables'!E7/1000</f>
        <v>4.0868590788000017</v>
      </c>
      <c r="N19" s="276">
        <f>'[3]EA tables'!F7/1000</f>
        <v>4.0868590788000017</v>
      </c>
      <c r="O19" s="276">
        <f>'[3]EA tables'!G7/1000</f>
        <v>4.0868590788000017</v>
      </c>
      <c r="P19" s="276">
        <f>'[3]EA tables'!H7/1000</f>
        <v>4.0868590788000017</v>
      </c>
      <c r="Q19" s="276">
        <f>'[3]EA tables'!I7/1000</f>
        <v>4.0868590788000017</v>
      </c>
      <c r="R19" s="276">
        <f>'[3]EA tables'!J7/1000</f>
        <v>22.324927820576924</v>
      </c>
      <c r="S19" s="276">
        <f>'[3]EA tables'!K7/1000</f>
        <v>24.529494830000008</v>
      </c>
      <c r="T19" s="276">
        <f>'[3]EA tables'!L7/1000</f>
        <v>135.52180036347812</v>
      </c>
      <c r="U19" s="276">
        <f>'[3]EA tables'!M7/1000</f>
        <v>144.67255387720977</v>
      </c>
      <c r="V19" s="276"/>
      <c r="W19" s="276"/>
      <c r="X19" s="276"/>
      <c r="Y19" s="276"/>
      <c r="Z19" s="276"/>
      <c r="AA19" s="276"/>
    </row>
    <row r="20" spans="2:27" ht="28.5" x14ac:dyDescent="0.2">
      <c r="B20" s="227" t="s">
        <v>1767</v>
      </c>
      <c r="C20" s="45" t="s">
        <v>1766</v>
      </c>
      <c r="D20" s="49" t="s">
        <v>1491</v>
      </c>
      <c r="E20" s="274" t="s">
        <v>1752</v>
      </c>
      <c r="F20" s="262">
        <v>3</v>
      </c>
      <c r="G20" s="352"/>
      <c r="H20" s="353"/>
      <c r="I20" s="353"/>
      <c r="J20" s="353"/>
      <c r="K20" s="353"/>
      <c r="L20" s="353"/>
      <c r="M20" s="276">
        <f>'[3]EA tables'!E8/1000</f>
        <v>1.5404001959999987</v>
      </c>
      <c r="N20" s="276">
        <f>'[3]EA tables'!F8/1000</f>
        <v>1.5404001959999987</v>
      </c>
      <c r="O20" s="276">
        <f>'[3]EA tables'!G8/1000</f>
        <v>1.5404001959999987</v>
      </c>
      <c r="P20" s="276">
        <f>'[3]EA tables'!H8/1000</f>
        <v>1.5404001959999987</v>
      </c>
      <c r="Q20" s="276">
        <f>'[3]EA tables'!I8/1000</f>
        <v>1.5404001959999987</v>
      </c>
      <c r="R20" s="276">
        <f>'[3]EA tables'!J8/1000</f>
        <v>14.477101959999985</v>
      </c>
      <c r="S20" s="276">
        <f>'[3]EA tables'!K8/1000</f>
        <v>21.359727939999978</v>
      </c>
      <c r="T20" s="276">
        <f>'[3]EA tables'!L8/1000</f>
        <v>21.359727939999978</v>
      </c>
      <c r="U20" s="276">
        <f>'[3]EA tables'!M8/1000</f>
        <v>21.359727939999978</v>
      </c>
      <c r="V20" s="276"/>
      <c r="W20" s="276"/>
      <c r="X20" s="276"/>
      <c r="Y20" s="276"/>
      <c r="Z20" s="276"/>
      <c r="AA20" s="276"/>
    </row>
    <row r="21" spans="2:27" ht="28.5" x14ac:dyDescent="0.2">
      <c r="B21" s="227" t="s">
        <v>1768</v>
      </c>
      <c r="C21" s="45" t="s">
        <v>1766</v>
      </c>
      <c r="D21" s="49" t="s">
        <v>1707</v>
      </c>
      <c r="E21" s="274" t="s">
        <v>1752</v>
      </c>
      <c r="F21" s="262">
        <v>3</v>
      </c>
      <c r="G21" s="279">
        <f t="shared" ref="G21:AA21" si="4">SUM(G19:G20)</f>
        <v>0</v>
      </c>
      <c r="H21" s="279">
        <f t="shared" si="4"/>
        <v>0</v>
      </c>
      <c r="I21" s="279">
        <f t="shared" si="4"/>
        <v>0</v>
      </c>
      <c r="J21" s="279">
        <f t="shared" si="4"/>
        <v>0</v>
      </c>
      <c r="K21" s="279">
        <f t="shared" si="4"/>
        <v>0</v>
      </c>
      <c r="L21" s="279">
        <f t="shared" si="4"/>
        <v>0</v>
      </c>
      <c r="M21" s="279">
        <f t="shared" si="4"/>
        <v>5.6272592748000001</v>
      </c>
      <c r="N21" s="279">
        <f t="shared" si="4"/>
        <v>5.6272592748000001</v>
      </c>
      <c r="O21" s="279">
        <f t="shared" si="4"/>
        <v>5.6272592748000001</v>
      </c>
      <c r="P21" s="279">
        <f t="shared" si="4"/>
        <v>5.6272592748000001</v>
      </c>
      <c r="Q21" s="279">
        <f t="shared" si="4"/>
        <v>5.6272592748000001</v>
      </c>
      <c r="R21" s="279">
        <f t="shared" si="4"/>
        <v>36.802029780576909</v>
      </c>
      <c r="S21" s="279">
        <f t="shared" si="4"/>
        <v>45.889222769999989</v>
      </c>
      <c r="T21" s="279">
        <f t="shared" si="4"/>
        <v>156.88152830347809</v>
      </c>
      <c r="U21" s="279">
        <f t="shared" si="4"/>
        <v>166.03228181720974</v>
      </c>
      <c r="V21" s="279">
        <f t="shared" si="4"/>
        <v>0</v>
      </c>
      <c r="W21" s="279">
        <f t="shared" si="4"/>
        <v>0</v>
      </c>
      <c r="X21" s="279">
        <f t="shared" si="4"/>
        <v>0</v>
      </c>
      <c r="Y21" s="279">
        <f t="shared" si="4"/>
        <v>0</v>
      </c>
      <c r="Z21" s="279">
        <f t="shared" si="4"/>
        <v>0</v>
      </c>
      <c r="AA21" s="279">
        <f t="shared" si="4"/>
        <v>0</v>
      </c>
    </row>
    <row r="22" spans="2:27" ht="28.5" x14ac:dyDescent="0.2">
      <c r="B22" s="226" t="s">
        <v>1769</v>
      </c>
      <c r="C22" s="45" t="s">
        <v>1770</v>
      </c>
      <c r="D22" s="49" t="s">
        <v>1496</v>
      </c>
      <c r="E22" s="274" t="s">
        <v>1752</v>
      </c>
      <c r="F22" s="262">
        <v>3</v>
      </c>
      <c r="G22" s="352"/>
      <c r="H22" s="353"/>
      <c r="I22" s="353"/>
      <c r="J22" s="353"/>
      <c r="K22" s="353"/>
      <c r="L22" s="353"/>
      <c r="M22" s="1646">
        <v>36.120000000000005</v>
      </c>
      <c r="N22" s="1646">
        <v>36.120000000000005</v>
      </c>
      <c r="O22" s="1646">
        <v>36.120000000000005</v>
      </c>
      <c r="P22" s="1646">
        <v>2.54</v>
      </c>
      <c r="Q22" s="1646">
        <v>2.54</v>
      </c>
      <c r="R22" s="276">
        <v>0</v>
      </c>
      <c r="S22" s="276">
        <v>0</v>
      </c>
      <c r="T22" s="276">
        <v>0</v>
      </c>
      <c r="U22" s="276">
        <v>0</v>
      </c>
      <c r="V22" s="276"/>
      <c r="W22" s="276"/>
      <c r="X22" s="276"/>
      <c r="Y22" s="276"/>
      <c r="Z22" s="276"/>
      <c r="AA22" s="278"/>
    </row>
    <row r="23" spans="2:27" ht="28.5" x14ac:dyDescent="0.2">
      <c r="B23" s="227" t="s">
        <v>1771</v>
      </c>
      <c r="C23" s="45" t="s">
        <v>1770</v>
      </c>
      <c r="D23" s="49" t="s">
        <v>1491</v>
      </c>
      <c r="E23" s="274" t="s">
        <v>1752</v>
      </c>
      <c r="F23" s="262">
        <v>3</v>
      </c>
      <c r="G23" s="352"/>
      <c r="H23" s="353"/>
      <c r="I23" s="353"/>
      <c r="J23" s="353"/>
      <c r="K23" s="353"/>
      <c r="L23" s="353"/>
      <c r="M23" s="276">
        <v>0</v>
      </c>
      <c r="N23" s="276">
        <v>0</v>
      </c>
      <c r="O23" s="276">
        <v>0</v>
      </c>
      <c r="P23" s="1646">
        <v>0.57000000000000006</v>
      </c>
      <c r="Q23" s="1646">
        <v>0.57000000000000006</v>
      </c>
      <c r="R23" s="1646">
        <v>3.2100000000000004</v>
      </c>
      <c r="S23" s="1646">
        <v>3.3000000000000003</v>
      </c>
      <c r="T23" s="1646">
        <v>3.3000000000000003</v>
      </c>
      <c r="U23" s="1646">
        <v>3.3000000000000003</v>
      </c>
      <c r="V23" s="276"/>
      <c r="W23" s="276"/>
      <c r="X23" s="276"/>
      <c r="Y23" s="276"/>
      <c r="Z23" s="276"/>
      <c r="AA23" s="278"/>
    </row>
    <row r="24" spans="2:27" ht="28.5" x14ac:dyDescent="0.2">
      <c r="B24" s="227" t="s">
        <v>1772</v>
      </c>
      <c r="C24" s="45" t="s">
        <v>1770</v>
      </c>
      <c r="D24" s="49" t="s">
        <v>1707</v>
      </c>
      <c r="E24" s="274" t="s">
        <v>1752</v>
      </c>
      <c r="F24" s="262">
        <v>3</v>
      </c>
      <c r="G24" s="279">
        <f t="shared" ref="G24:AA24" si="5">SUM(G22:G23)</f>
        <v>0</v>
      </c>
      <c r="H24" s="279">
        <f t="shared" si="5"/>
        <v>0</v>
      </c>
      <c r="I24" s="279">
        <f t="shared" si="5"/>
        <v>0</v>
      </c>
      <c r="J24" s="279">
        <f t="shared" si="5"/>
        <v>0</v>
      </c>
      <c r="K24" s="279">
        <f t="shared" si="5"/>
        <v>0</v>
      </c>
      <c r="L24" s="279">
        <f t="shared" si="5"/>
        <v>0</v>
      </c>
      <c r="M24" s="279">
        <f t="shared" si="5"/>
        <v>36.120000000000005</v>
      </c>
      <c r="N24" s="279">
        <f t="shared" si="5"/>
        <v>36.120000000000005</v>
      </c>
      <c r="O24" s="279">
        <f t="shared" si="5"/>
        <v>36.120000000000005</v>
      </c>
      <c r="P24" s="279">
        <f t="shared" si="5"/>
        <v>3.1100000000000003</v>
      </c>
      <c r="Q24" s="279">
        <f t="shared" si="5"/>
        <v>3.1100000000000003</v>
      </c>
      <c r="R24" s="279">
        <f t="shared" si="5"/>
        <v>3.2100000000000004</v>
      </c>
      <c r="S24" s="279">
        <f t="shared" si="5"/>
        <v>3.3000000000000003</v>
      </c>
      <c r="T24" s="279">
        <f t="shared" si="5"/>
        <v>3.3000000000000003</v>
      </c>
      <c r="U24" s="279">
        <f t="shared" si="5"/>
        <v>3.3000000000000003</v>
      </c>
      <c r="V24" s="279">
        <f t="shared" si="5"/>
        <v>0</v>
      </c>
      <c r="W24" s="279">
        <f t="shared" si="5"/>
        <v>0</v>
      </c>
      <c r="X24" s="279">
        <f t="shared" si="5"/>
        <v>0</v>
      </c>
      <c r="Y24" s="279">
        <f t="shared" si="5"/>
        <v>0</v>
      </c>
      <c r="Z24" s="279">
        <f t="shared" si="5"/>
        <v>0</v>
      </c>
      <c r="AA24" s="279">
        <f t="shared" si="5"/>
        <v>0</v>
      </c>
    </row>
    <row r="25" spans="2:27" ht="28.5" x14ac:dyDescent="0.2">
      <c r="B25" s="226" t="s">
        <v>1773</v>
      </c>
      <c r="C25" s="45" t="s">
        <v>1774</v>
      </c>
      <c r="D25" s="49" t="s">
        <v>1496</v>
      </c>
      <c r="E25" s="274" t="s">
        <v>1752</v>
      </c>
      <c r="F25" s="262">
        <v>3</v>
      </c>
      <c r="G25" s="352"/>
      <c r="H25" s="353"/>
      <c r="I25" s="353"/>
      <c r="J25" s="353"/>
      <c r="K25" s="353"/>
      <c r="L25" s="353"/>
      <c r="M25" s="276">
        <v>0</v>
      </c>
      <c r="N25" s="276">
        <v>0</v>
      </c>
      <c r="O25" s="276">
        <v>0</v>
      </c>
      <c r="P25" s="276">
        <v>0</v>
      </c>
      <c r="Q25" s="276">
        <v>0</v>
      </c>
      <c r="R25" s="276">
        <v>0</v>
      </c>
      <c r="S25" s="276">
        <v>0</v>
      </c>
      <c r="T25" s="276">
        <v>0</v>
      </c>
      <c r="U25" s="276">
        <v>0</v>
      </c>
      <c r="V25" s="276"/>
      <c r="W25" s="276"/>
      <c r="X25" s="276"/>
      <c r="Y25" s="276"/>
      <c r="Z25" s="276"/>
      <c r="AA25" s="278"/>
    </row>
    <row r="26" spans="2:27" ht="28.5" x14ac:dyDescent="0.2">
      <c r="B26" s="227" t="s">
        <v>1775</v>
      </c>
      <c r="C26" s="45" t="s">
        <v>1774</v>
      </c>
      <c r="D26" s="49" t="s">
        <v>1491</v>
      </c>
      <c r="E26" s="274" t="s">
        <v>1752</v>
      </c>
      <c r="F26" s="262">
        <v>3</v>
      </c>
      <c r="G26" s="352"/>
      <c r="H26" s="353"/>
      <c r="I26" s="353"/>
      <c r="J26" s="353"/>
      <c r="K26" s="353"/>
      <c r="L26" s="353"/>
      <c r="M26" s="276">
        <v>0</v>
      </c>
      <c r="N26" s="276">
        <v>0</v>
      </c>
      <c r="O26" s="276">
        <v>0</v>
      </c>
      <c r="P26" s="276">
        <v>0</v>
      </c>
      <c r="Q26" s="276">
        <v>0</v>
      </c>
      <c r="R26" s="276">
        <v>0</v>
      </c>
      <c r="S26" s="276">
        <v>0</v>
      </c>
      <c r="T26" s="276">
        <v>0</v>
      </c>
      <c r="U26" s="276">
        <v>0</v>
      </c>
      <c r="V26" s="276"/>
      <c r="W26" s="276"/>
      <c r="X26" s="276"/>
      <c r="Y26" s="276"/>
      <c r="Z26" s="276"/>
      <c r="AA26" s="278"/>
    </row>
    <row r="27" spans="2:27" ht="28.5" x14ac:dyDescent="0.2">
      <c r="B27" s="227" t="s">
        <v>1776</v>
      </c>
      <c r="C27" s="45" t="s">
        <v>1774</v>
      </c>
      <c r="D27" s="49" t="s">
        <v>1707</v>
      </c>
      <c r="E27" s="274" t="s">
        <v>1752</v>
      </c>
      <c r="F27" s="262">
        <v>3</v>
      </c>
      <c r="G27" s="279">
        <f t="shared" ref="G27" si="6">SUM(G25:G26)</f>
        <v>0</v>
      </c>
      <c r="H27" s="279">
        <f t="shared" ref="H27:AA27" si="7">SUM(H25:H26)</f>
        <v>0</v>
      </c>
      <c r="I27" s="279">
        <f t="shared" si="7"/>
        <v>0</v>
      </c>
      <c r="J27" s="279">
        <f t="shared" si="7"/>
        <v>0</v>
      </c>
      <c r="K27" s="279">
        <f t="shared" si="7"/>
        <v>0</v>
      </c>
      <c r="L27" s="279">
        <f t="shared" si="7"/>
        <v>0</v>
      </c>
      <c r="M27" s="279">
        <f t="shared" si="7"/>
        <v>0</v>
      </c>
      <c r="N27" s="279">
        <f t="shared" si="7"/>
        <v>0</v>
      </c>
      <c r="O27" s="279">
        <f t="shared" si="7"/>
        <v>0</v>
      </c>
      <c r="P27" s="279">
        <f t="shared" si="7"/>
        <v>0</v>
      </c>
      <c r="Q27" s="279">
        <f t="shared" si="7"/>
        <v>0</v>
      </c>
      <c r="R27" s="279">
        <f t="shared" si="7"/>
        <v>0</v>
      </c>
      <c r="S27" s="279">
        <f t="shared" si="7"/>
        <v>0</v>
      </c>
      <c r="T27" s="279">
        <f t="shared" si="7"/>
        <v>0</v>
      </c>
      <c r="U27" s="279">
        <f t="shared" si="7"/>
        <v>0</v>
      </c>
      <c r="V27" s="279">
        <f t="shared" si="7"/>
        <v>0</v>
      </c>
      <c r="W27" s="279">
        <f t="shared" si="7"/>
        <v>0</v>
      </c>
      <c r="X27" s="279">
        <f t="shared" si="7"/>
        <v>0</v>
      </c>
      <c r="Y27" s="279">
        <f t="shared" si="7"/>
        <v>0</v>
      </c>
      <c r="Z27" s="279">
        <f t="shared" si="7"/>
        <v>0</v>
      </c>
      <c r="AA27" s="279">
        <f t="shared" si="7"/>
        <v>0</v>
      </c>
    </row>
    <row r="28" spans="2:27" ht="43.5" thickBot="1" x14ac:dyDescent="0.25">
      <c r="B28" s="228" t="s">
        <v>1777</v>
      </c>
      <c r="C28" s="46" t="s">
        <v>1778</v>
      </c>
      <c r="D28" s="51" t="s">
        <v>1707</v>
      </c>
      <c r="E28" s="274" t="s">
        <v>1752</v>
      </c>
      <c r="F28" s="263">
        <v>3</v>
      </c>
      <c r="G28" s="277">
        <f t="shared" ref="G28" si="8">SUM(G27,G24,G21,G18,G15)</f>
        <v>0</v>
      </c>
      <c r="H28" s="277">
        <f t="shared" ref="H28:AA28" si="9">SUM(H27,H24,H21,H18,H15)</f>
        <v>0</v>
      </c>
      <c r="I28" s="277">
        <f t="shared" si="9"/>
        <v>0</v>
      </c>
      <c r="J28" s="277">
        <f t="shared" si="9"/>
        <v>0</v>
      </c>
      <c r="K28" s="277">
        <f t="shared" si="9"/>
        <v>0</v>
      </c>
      <c r="L28" s="277">
        <f t="shared" si="9"/>
        <v>0</v>
      </c>
      <c r="M28" s="277">
        <f t="shared" si="9"/>
        <v>112.48175007163945</v>
      </c>
      <c r="N28" s="277">
        <f t="shared" si="9"/>
        <v>92.678321494119444</v>
      </c>
      <c r="O28" s="277">
        <f t="shared" si="9"/>
        <v>77.793015072119445</v>
      </c>
      <c r="P28" s="277">
        <f t="shared" si="9"/>
        <v>45.134400016035443</v>
      </c>
      <c r="Q28" s="277">
        <f t="shared" si="9"/>
        <v>44.974680731569443</v>
      </c>
      <c r="R28" s="277">
        <f t="shared" si="9"/>
        <v>150.35645890084686</v>
      </c>
      <c r="S28" s="277">
        <f t="shared" si="9"/>
        <v>248.79369176699998</v>
      </c>
      <c r="T28" s="277">
        <f t="shared" si="9"/>
        <v>218.6319773034781</v>
      </c>
      <c r="U28" s="277">
        <f t="shared" si="9"/>
        <v>227.63271281720972</v>
      </c>
      <c r="V28" s="277">
        <f t="shared" si="9"/>
        <v>0</v>
      </c>
      <c r="W28" s="277">
        <f t="shared" si="9"/>
        <v>0</v>
      </c>
      <c r="X28" s="277">
        <f t="shared" si="9"/>
        <v>0</v>
      </c>
      <c r="Y28" s="277">
        <f t="shared" si="9"/>
        <v>0</v>
      </c>
      <c r="Z28" s="277">
        <f t="shared" si="9"/>
        <v>0</v>
      </c>
      <c r="AA28" s="277">
        <f t="shared" si="9"/>
        <v>0</v>
      </c>
    </row>
    <row r="29" spans="2:27" ht="15" thickBot="1" x14ac:dyDescent="0.25">
      <c r="B29" s="1346"/>
      <c r="C29" s="1347"/>
      <c r="D29" s="1348"/>
      <c r="E29" s="1349"/>
      <c r="F29" s="1350"/>
      <c r="G29" s="1351"/>
      <c r="H29" s="1351"/>
      <c r="I29" s="1351"/>
      <c r="J29" s="1351"/>
      <c r="K29" s="1351"/>
      <c r="L29" s="1351"/>
      <c r="M29" s="1352"/>
      <c r="N29" s="1352"/>
      <c r="O29" s="1352"/>
      <c r="P29" s="1352"/>
      <c r="Q29" s="1353"/>
      <c r="R29" s="1352"/>
      <c r="S29" s="1352"/>
      <c r="T29" s="1352"/>
      <c r="U29" s="1352"/>
      <c r="V29" s="1352"/>
      <c r="W29" s="1352"/>
      <c r="X29" s="1352"/>
      <c r="Y29" s="1352"/>
      <c r="Z29" s="1352"/>
      <c r="AA29" s="1354"/>
    </row>
    <row r="30" spans="2:27" ht="60.75" thickBot="1" x14ac:dyDescent="0.25">
      <c r="B30" s="193" t="s">
        <v>1779</v>
      </c>
      <c r="G30" s="1832" t="s">
        <v>1738</v>
      </c>
      <c r="H30" s="1901"/>
      <c r="I30" s="1901"/>
      <c r="J30" s="1901"/>
      <c r="K30" s="1901"/>
      <c r="L30" s="1901"/>
      <c r="M30" s="1901"/>
      <c r="N30" s="1901"/>
      <c r="O30" s="1901"/>
      <c r="P30" s="1901"/>
      <c r="Q30" s="1833"/>
      <c r="R30" s="1832" t="s">
        <v>1739</v>
      </c>
      <c r="S30" s="1901"/>
      <c r="T30" s="1901"/>
      <c r="U30" s="1901"/>
      <c r="V30" s="1901"/>
      <c r="W30" s="1901"/>
      <c r="X30" s="1901"/>
      <c r="Y30" s="1901"/>
      <c r="Z30" s="1901"/>
      <c r="AA30" s="1833"/>
    </row>
    <row r="31" spans="2:27" ht="45.75" thickBot="1" x14ac:dyDescent="0.25">
      <c r="B31" s="1089" t="s">
        <v>1740</v>
      </c>
      <c r="C31" s="1090" t="s">
        <v>1702</v>
      </c>
      <c r="D31" s="1090" t="s">
        <v>1703</v>
      </c>
      <c r="E31" s="1090" t="s">
        <v>206</v>
      </c>
      <c r="F31" s="1091" t="s">
        <v>207</v>
      </c>
      <c r="G31" s="234" t="s">
        <v>208</v>
      </c>
      <c r="H31" s="235" t="s">
        <v>209</v>
      </c>
      <c r="I31" s="235" t="s">
        <v>210</v>
      </c>
      <c r="J31" s="235" t="s">
        <v>211</v>
      </c>
      <c r="K31" s="235" t="s">
        <v>212</v>
      </c>
      <c r="L31" s="235" t="s">
        <v>213</v>
      </c>
      <c r="M31" s="235" t="s">
        <v>214</v>
      </c>
      <c r="N31" s="235" t="s">
        <v>215</v>
      </c>
      <c r="O31" s="235" t="s">
        <v>216</v>
      </c>
      <c r="P31" s="235" t="s">
        <v>217</v>
      </c>
      <c r="Q31" s="236" t="s">
        <v>218</v>
      </c>
      <c r="R31" s="239" t="s">
        <v>1741</v>
      </c>
      <c r="S31" s="237" t="s">
        <v>1742</v>
      </c>
      <c r="T31" s="237" t="s">
        <v>1743</v>
      </c>
      <c r="U31" s="237" t="s">
        <v>1744</v>
      </c>
      <c r="V31" s="237" t="s">
        <v>1745</v>
      </c>
      <c r="W31" s="237" t="s">
        <v>1746</v>
      </c>
      <c r="X31" s="237" t="s">
        <v>1747</v>
      </c>
      <c r="Y31" s="237" t="s">
        <v>1748</v>
      </c>
      <c r="Z31" s="237" t="s">
        <v>1749</v>
      </c>
      <c r="AA31" s="238" t="s">
        <v>1750</v>
      </c>
    </row>
    <row r="32" spans="2:27" ht="71.25" x14ac:dyDescent="0.2">
      <c r="B32" s="1082" t="s">
        <v>1780</v>
      </c>
      <c r="C32" s="1083" t="s">
        <v>1781</v>
      </c>
      <c r="D32" s="1084" t="s">
        <v>1496</v>
      </c>
      <c r="E32" s="1092" t="s">
        <v>1752</v>
      </c>
      <c r="F32" s="1086">
        <v>3</v>
      </c>
      <c r="G32" s="354"/>
      <c r="H32" s="355"/>
      <c r="I32" s="355"/>
      <c r="J32" s="355"/>
      <c r="K32" s="355"/>
      <c r="L32" s="355"/>
      <c r="M32" s="281">
        <f>SUM(M33:M35)</f>
        <v>0.194019070152986</v>
      </c>
      <c r="N32" s="281">
        <f t="shared" ref="N32:R32" si="10">SUM(N33:N35)</f>
        <v>0.17718831194665904</v>
      </c>
      <c r="O32" s="281">
        <f t="shared" si="10"/>
        <v>0.17714936124061365</v>
      </c>
      <c r="P32" s="281">
        <f t="shared" si="10"/>
        <v>0.17679446125436679</v>
      </c>
      <c r="Q32" s="281">
        <f t="shared" si="10"/>
        <v>0.1774754148317412</v>
      </c>
      <c r="R32" s="281">
        <f t="shared" si="10"/>
        <v>0.19800000000000001</v>
      </c>
      <c r="S32" s="281"/>
      <c r="T32" s="281"/>
      <c r="U32" s="281"/>
      <c r="V32" s="281"/>
      <c r="W32" s="281"/>
      <c r="X32" s="281"/>
      <c r="Y32" s="281"/>
      <c r="Z32" s="281"/>
      <c r="AA32" s="282"/>
    </row>
    <row r="33" spans="2:27" ht="71.25" x14ac:dyDescent="0.2">
      <c r="B33" s="227" t="s">
        <v>1782</v>
      </c>
      <c r="C33" s="45" t="s">
        <v>1783</v>
      </c>
      <c r="D33" s="49" t="s">
        <v>1496</v>
      </c>
      <c r="E33" s="274" t="s">
        <v>1752</v>
      </c>
      <c r="F33" s="262">
        <v>3</v>
      </c>
      <c r="G33" s="352"/>
      <c r="H33" s="352"/>
      <c r="I33" s="352"/>
      <c r="J33" s="352"/>
      <c r="K33" s="352"/>
      <c r="L33" s="352"/>
      <c r="M33" s="1087">
        <v>0</v>
      </c>
      <c r="N33" s="1087">
        <v>0</v>
      </c>
      <c r="O33" s="1087">
        <v>0</v>
      </c>
      <c r="P33" s="1087">
        <v>0</v>
      </c>
      <c r="Q33" s="1087">
        <v>0</v>
      </c>
      <c r="R33" s="1087">
        <v>0</v>
      </c>
      <c r="S33" s="1087"/>
      <c r="T33" s="1087"/>
      <c r="U33" s="1087"/>
      <c r="V33" s="1087"/>
      <c r="W33" s="1087"/>
      <c r="X33" s="1087"/>
      <c r="Y33" s="1087"/>
      <c r="Z33" s="1087"/>
      <c r="AA33" s="1088"/>
    </row>
    <row r="34" spans="2:27" ht="71.25" x14ac:dyDescent="0.2">
      <c r="B34" s="227" t="s">
        <v>1784</v>
      </c>
      <c r="C34" s="45" t="s">
        <v>1785</v>
      </c>
      <c r="D34" s="49" t="s">
        <v>1496</v>
      </c>
      <c r="E34" s="274" t="s">
        <v>1752</v>
      </c>
      <c r="F34" s="262">
        <v>3</v>
      </c>
      <c r="G34" s="352"/>
      <c r="H34" s="352"/>
      <c r="I34" s="352"/>
      <c r="J34" s="352"/>
      <c r="K34" s="352"/>
      <c r="L34" s="352"/>
      <c r="M34" s="1087">
        <v>0</v>
      </c>
      <c r="N34" s="1087">
        <v>0</v>
      </c>
      <c r="O34" s="1087">
        <v>0</v>
      </c>
      <c r="P34" s="1087">
        <v>0</v>
      </c>
      <c r="Q34" s="1087">
        <v>0</v>
      </c>
      <c r="R34" s="1087">
        <v>0</v>
      </c>
      <c r="S34" s="1087"/>
      <c r="T34" s="1087"/>
      <c r="U34" s="1087"/>
      <c r="V34" s="1087"/>
      <c r="W34" s="1087"/>
      <c r="X34" s="1087"/>
      <c r="Y34" s="1087"/>
      <c r="Z34" s="1087"/>
      <c r="AA34" s="1088"/>
    </row>
    <row r="35" spans="2:27" ht="71.25" x14ac:dyDescent="0.2">
      <c r="B35" s="227" t="s">
        <v>1786</v>
      </c>
      <c r="C35" s="45" t="s">
        <v>1787</v>
      </c>
      <c r="D35" s="49" t="s">
        <v>1496</v>
      </c>
      <c r="E35" s="274" t="s">
        <v>1752</v>
      </c>
      <c r="F35" s="262">
        <v>3</v>
      </c>
      <c r="G35" s="352"/>
      <c r="H35" s="352"/>
      <c r="I35" s="352"/>
      <c r="J35" s="352"/>
      <c r="K35" s="352"/>
      <c r="L35" s="352"/>
      <c r="M35" s="1329">
        <v>0.194019070152986</v>
      </c>
      <c r="N35" s="1329">
        <v>0.17718831194665904</v>
      </c>
      <c r="O35" s="1329">
        <v>0.17714936124061365</v>
      </c>
      <c r="P35" s="1329">
        <v>0.17679446125436679</v>
      </c>
      <c r="Q35" s="1329">
        <v>0.1774754148317412</v>
      </c>
      <c r="R35" s="1087">
        <v>0.19800000000000001</v>
      </c>
      <c r="S35" s="1087"/>
      <c r="T35" s="1087"/>
      <c r="U35" s="1087"/>
      <c r="V35" s="1087"/>
      <c r="W35" s="1087"/>
      <c r="X35" s="1087"/>
      <c r="Y35" s="1087"/>
      <c r="Z35" s="1087"/>
      <c r="AA35" s="1088"/>
    </row>
    <row r="36" spans="2:27" ht="71.25" x14ac:dyDescent="0.2">
      <c r="B36" s="227" t="s">
        <v>1788</v>
      </c>
      <c r="C36" s="45" t="s">
        <v>1781</v>
      </c>
      <c r="D36" s="49" t="s">
        <v>1491</v>
      </c>
      <c r="E36" s="274" t="s">
        <v>1752</v>
      </c>
      <c r="F36" s="262">
        <v>3</v>
      </c>
      <c r="G36" s="354"/>
      <c r="H36" s="355"/>
      <c r="I36" s="355"/>
      <c r="J36" s="355"/>
      <c r="K36" s="355"/>
      <c r="L36" s="355"/>
      <c r="M36" s="281">
        <f>SUM(M37:M39)</f>
        <v>1.654371716415338E-3</v>
      </c>
      <c r="N36" s="281">
        <f t="shared" ref="N36" si="11">SUM(N37:N39)</f>
        <v>1.222868037134676E-3</v>
      </c>
      <c r="O36" s="281">
        <f t="shared" ref="O36" si="12">SUM(O37:O39)</f>
        <v>1.2136874840113392E-3</v>
      </c>
      <c r="P36" s="281">
        <f t="shared" ref="P36" si="13">SUM(P37:P39)</f>
        <v>1.1300387261836014E-3</v>
      </c>
      <c r="Q36" s="281">
        <f t="shared" ref="Q36" si="14">SUM(Q37:Q39)</f>
        <v>1.290537241520543E-3</v>
      </c>
      <c r="R36" s="281">
        <f t="shared" ref="R36" si="15">SUM(R37:R39)</f>
        <v>2E-3</v>
      </c>
      <c r="S36" s="281"/>
      <c r="T36" s="281"/>
      <c r="U36" s="281"/>
      <c r="V36" s="281"/>
      <c r="W36" s="281"/>
      <c r="X36" s="281"/>
      <c r="Y36" s="281"/>
      <c r="Z36" s="281"/>
      <c r="AA36" s="282"/>
    </row>
    <row r="37" spans="2:27" ht="71.25" x14ac:dyDescent="0.2">
      <c r="B37" s="227" t="s">
        <v>1789</v>
      </c>
      <c r="C37" s="45" t="s">
        <v>1783</v>
      </c>
      <c r="D37" s="49" t="s">
        <v>1491</v>
      </c>
      <c r="E37" s="274" t="s">
        <v>1752</v>
      </c>
      <c r="F37" s="262">
        <v>3</v>
      </c>
      <c r="G37" s="352"/>
      <c r="H37" s="352"/>
      <c r="I37" s="352"/>
      <c r="J37" s="352"/>
      <c r="K37" s="352"/>
      <c r="L37" s="352"/>
      <c r="M37" s="1087">
        <v>0</v>
      </c>
      <c r="N37" s="1087">
        <v>0</v>
      </c>
      <c r="O37" s="1087">
        <v>0</v>
      </c>
      <c r="P37" s="1087">
        <v>0</v>
      </c>
      <c r="Q37" s="1087">
        <v>0</v>
      </c>
      <c r="R37" s="1087">
        <v>0</v>
      </c>
      <c r="S37" s="1087"/>
      <c r="T37" s="1087"/>
      <c r="U37" s="1087"/>
      <c r="V37" s="1087"/>
      <c r="W37" s="1087"/>
      <c r="X37" s="1087"/>
      <c r="Y37" s="1087"/>
      <c r="Z37" s="1087"/>
      <c r="AA37" s="1088"/>
    </row>
    <row r="38" spans="2:27" ht="71.25" x14ac:dyDescent="0.2">
      <c r="B38" s="227" t="s">
        <v>1790</v>
      </c>
      <c r="C38" s="45" t="s">
        <v>1785</v>
      </c>
      <c r="D38" s="49" t="s">
        <v>1491</v>
      </c>
      <c r="E38" s="274" t="s">
        <v>1752</v>
      </c>
      <c r="F38" s="262">
        <v>3</v>
      </c>
      <c r="G38" s="352"/>
      <c r="H38" s="352"/>
      <c r="I38" s="352"/>
      <c r="J38" s="352"/>
      <c r="K38" s="352"/>
      <c r="L38" s="352"/>
      <c r="M38" s="1087">
        <v>0</v>
      </c>
      <c r="N38" s="1087">
        <v>0</v>
      </c>
      <c r="O38" s="1087">
        <v>0</v>
      </c>
      <c r="P38" s="1087">
        <v>0</v>
      </c>
      <c r="Q38" s="1087">
        <v>0</v>
      </c>
      <c r="R38" s="1087">
        <v>0</v>
      </c>
      <c r="S38" s="1087"/>
      <c r="T38" s="1087"/>
      <c r="U38" s="1087"/>
      <c r="V38" s="1087"/>
      <c r="W38" s="1087"/>
      <c r="X38" s="1087"/>
      <c r="Y38" s="1087"/>
      <c r="Z38" s="1087"/>
      <c r="AA38" s="1088"/>
    </row>
    <row r="39" spans="2:27" ht="71.25" x14ac:dyDescent="0.2">
      <c r="B39" s="227" t="s">
        <v>1791</v>
      </c>
      <c r="C39" s="45" t="s">
        <v>1787</v>
      </c>
      <c r="D39" s="49" t="s">
        <v>1491</v>
      </c>
      <c r="E39" s="274" t="s">
        <v>1752</v>
      </c>
      <c r="F39" s="262">
        <v>3</v>
      </c>
      <c r="G39" s="352"/>
      <c r="H39" s="352"/>
      <c r="I39" s="352"/>
      <c r="J39" s="352"/>
      <c r="K39" s="352"/>
      <c r="L39" s="352"/>
      <c r="M39" s="1087">
        <v>1.654371716415338E-3</v>
      </c>
      <c r="N39" s="1087">
        <v>1.222868037134676E-3</v>
      </c>
      <c r="O39" s="1087">
        <v>1.2136874840113392E-3</v>
      </c>
      <c r="P39" s="1087">
        <v>1.1300387261836014E-3</v>
      </c>
      <c r="Q39" s="1087">
        <v>1.290537241520543E-3</v>
      </c>
      <c r="R39" s="1087">
        <v>2E-3</v>
      </c>
      <c r="S39" s="1087"/>
      <c r="T39" s="1087"/>
      <c r="U39" s="1087"/>
      <c r="V39" s="1087"/>
      <c r="W39" s="1087"/>
      <c r="X39" s="1087"/>
      <c r="Y39" s="1087"/>
      <c r="Z39" s="1087"/>
      <c r="AA39" s="1088"/>
    </row>
    <row r="40" spans="2:27" ht="71.25" x14ac:dyDescent="0.2">
      <c r="B40" s="227" t="s">
        <v>1792</v>
      </c>
      <c r="C40" s="45" t="s">
        <v>1781</v>
      </c>
      <c r="D40" s="49" t="s">
        <v>1707</v>
      </c>
      <c r="E40" s="274" t="s">
        <v>1752</v>
      </c>
      <c r="F40" s="262">
        <v>3</v>
      </c>
      <c r="G40" s="279">
        <f t="shared" ref="G40:K40" si="16">SUM(G32, G36)</f>
        <v>0</v>
      </c>
      <c r="H40" s="279">
        <f t="shared" si="16"/>
        <v>0</v>
      </c>
      <c r="I40" s="279">
        <f t="shared" si="16"/>
        <v>0</v>
      </c>
      <c r="J40" s="279">
        <f t="shared" si="16"/>
        <v>0</v>
      </c>
      <c r="K40" s="279">
        <f t="shared" si="16"/>
        <v>0</v>
      </c>
      <c r="L40" s="279">
        <f t="shared" ref="L40:Q40" si="17">SUM(L32, L36)</f>
        <v>0</v>
      </c>
      <c r="M40" s="279">
        <f>SUM(M32, M36)</f>
        <v>0.19567344186940133</v>
      </c>
      <c r="N40" s="279">
        <f t="shared" si="17"/>
        <v>0.17841117998379372</v>
      </c>
      <c r="O40" s="279">
        <f t="shared" si="17"/>
        <v>0.178363048724625</v>
      </c>
      <c r="P40" s="279">
        <f t="shared" si="17"/>
        <v>0.1779244999805504</v>
      </c>
      <c r="Q40" s="279">
        <f t="shared" si="17"/>
        <v>0.17876595207326174</v>
      </c>
      <c r="R40" s="279">
        <f>SUM(R32, R36)</f>
        <v>0.2</v>
      </c>
      <c r="S40" s="279">
        <f t="shared" ref="S40:AA40" si="18">SUM(S32, S36)</f>
        <v>0</v>
      </c>
      <c r="T40" s="279">
        <f t="shared" si="18"/>
        <v>0</v>
      </c>
      <c r="U40" s="279">
        <f t="shared" si="18"/>
        <v>0</v>
      </c>
      <c r="V40" s="279">
        <f t="shared" si="18"/>
        <v>0</v>
      </c>
      <c r="W40" s="279">
        <f t="shared" si="18"/>
        <v>0</v>
      </c>
      <c r="X40" s="279">
        <f t="shared" si="18"/>
        <v>0</v>
      </c>
      <c r="Y40" s="279">
        <f t="shared" si="18"/>
        <v>0</v>
      </c>
      <c r="Z40" s="279">
        <f t="shared" si="18"/>
        <v>0</v>
      </c>
      <c r="AA40" s="279">
        <f t="shared" si="18"/>
        <v>0</v>
      </c>
    </row>
    <row r="41" spans="2:27" ht="71.25" x14ac:dyDescent="0.2">
      <c r="B41" s="227" t="s">
        <v>1793</v>
      </c>
      <c r="C41" s="45" t="s">
        <v>1794</v>
      </c>
      <c r="D41" s="49" t="s">
        <v>1496</v>
      </c>
      <c r="E41" s="274" t="s">
        <v>1752</v>
      </c>
      <c r="F41" s="262">
        <v>3</v>
      </c>
      <c r="G41" s="354"/>
      <c r="H41" s="355"/>
      <c r="I41" s="355"/>
      <c r="J41" s="355"/>
      <c r="K41" s="355"/>
      <c r="L41" s="355"/>
      <c r="M41" s="281">
        <f>SUM(M42:M44)</f>
        <v>7.2694353217495555</v>
      </c>
      <c r="N41" s="281">
        <f t="shared" ref="N41" si="19">SUM(N42:N44)</f>
        <v>14.107462437269819</v>
      </c>
      <c r="O41" s="281">
        <f t="shared" ref="O41" si="20">SUM(O42:O44)</f>
        <v>16.31946151500895</v>
      </c>
      <c r="P41" s="281">
        <f t="shared" ref="P41" si="21">SUM(P42:P44)</f>
        <v>17.047633241837453</v>
      </c>
      <c r="Q41" s="281">
        <f t="shared" ref="Q41" si="22">SUM(Q42:Q44)</f>
        <v>14.640554610776832</v>
      </c>
      <c r="R41" s="281">
        <f t="shared" ref="R41" si="23">SUM(R42:R44)</f>
        <v>54.87</v>
      </c>
      <c r="S41" s="281"/>
      <c r="T41" s="281"/>
      <c r="U41" s="281"/>
      <c r="V41" s="281"/>
      <c r="W41" s="281"/>
      <c r="X41" s="281"/>
      <c r="Y41" s="281"/>
      <c r="Z41" s="281"/>
      <c r="AA41" s="282"/>
    </row>
    <row r="42" spans="2:27" ht="71.25" x14ac:dyDescent="0.2">
      <c r="B42" s="227" t="s">
        <v>1795</v>
      </c>
      <c r="C42" s="45" t="s">
        <v>1796</v>
      </c>
      <c r="D42" s="49" t="s">
        <v>1496</v>
      </c>
      <c r="E42" s="274" t="s">
        <v>1752</v>
      </c>
      <c r="F42" s="262">
        <v>3</v>
      </c>
      <c r="G42" s="352"/>
      <c r="H42" s="352"/>
      <c r="I42" s="352"/>
      <c r="J42" s="352"/>
      <c r="K42" s="352"/>
      <c r="L42" s="352"/>
      <c r="M42" s="1087">
        <v>0</v>
      </c>
      <c r="N42" s="1087">
        <v>0</v>
      </c>
      <c r="O42" s="1087">
        <v>0</v>
      </c>
      <c r="P42" s="1087">
        <v>0</v>
      </c>
      <c r="Q42" s="1087">
        <v>0</v>
      </c>
      <c r="R42" s="1087">
        <v>0</v>
      </c>
      <c r="S42" s="1087"/>
      <c r="T42" s="1087"/>
      <c r="U42" s="1087"/>
      <c r="V42" s="1087"/>
      <c r="W42" s="1087"/>
      <c r="X42" s="1087"/>
      <c r="Y42" s="1087"/>
      <c r="Z42" s="1087"/>
      <c r="AA42" s="1088"/>
    </row>
    <row r="43" spans="2:27" ht="71.25" x14ac:dyDescent="0.2">
      <c r="B43" s="227" t="s">
        <v>1797</v>
      </c>
      <c r="C43" s="45" t="s">
        <v>1798</v>
      </c>
      <c r="D43" s="49" t="s">
        <v>1496</v>
      </c>
      <c r="E43" s="274" t="s">
        <v>1752</v>
      </c>
      <c r="F43" s="262">
        <v>3</v>
      </c>
      <c r="G43" s="352"/>
      <c r="H43" s="352"/>
      <c r="I43" s="352"/>
      <c r="J43" s="352"/>
      <c r="K43" s="352"/>
      <c r="L43" s="352"/>
      <c r="M43" s="1087">
        <v>0</v>
      </c>
      <c r="N43" s="1087">
        <v>0</v>
      </c>
      <c r="O43" s="1087">
        <v>0</v>
      </c>
      <c r="P43" s="1087">
        <v>0</v>
      </c>
      <c r="Q43" s="1087">
        <v>0</v>
      </c>
      <c r="R43" s="1087">
        <v>0</v>
      </c>
      <c r="S43" s="1087"/>
      <c r="T43" s="1087"/>
      <c r="U43" s="1087"/>
      <c r="V43" s="1087"/>
      <c r="W43" s="1087"/>
      <c r="X43" s="1087"/>
      <c r="Y43" s="1087"/>
      <c r="Z43" s="1087"/>
      <c r="AA43" s="1088"/>
    </row>
    <row r="44" spans="2:27" ht="71.25" x14ac:dyDescent="0.2">
      <c r="B44" s="227" t="s">
        <v>1799</v>
      </c>
      <c r="C44" s="45" t="s">
        <v>1800</v>
      </c>
      <c r="D44" s="49" t="s">
        <v>1496</v>
      </c>
      <c r="E44" s="274" t="s">
        <v>1752</v>
      </c>
      <c r="F44" s="262">
        <v>3</v>
      </c>
      <c r="G44" s="352"/>
      <c r="H44" s="352"/>
      <c r="I44" s="352"/>
      <c r="J44" s="352"/>
      <c r="K44" s="352"/>
      <c r="L44" s="352"/>
      <c r="M44" s="1329">
        <v>7.2694353217495555</v>
      </c>
      <c r="N44" s="1329">
        <v>14.107462437269819</v>
      </c>
      <c r="O44" s="1329">
        <v>16.31946151500895</v>
      </c>
      <c r="P44" s="1329">
        <v>17.047633241837453</v>
      </c>
      <c r="Q44" s="1329">
        <v>14.640554610776832</v>
      </c>
      <c r="R44" s="1087">
        <v>54.87</v>
      </c>
      <c r="S44" s="1087"/>
      <c r="T44" s="1087"/>
      <c r="U44" s="1087"/>
      <c r="V44" s="1087"/>
      <c r="W44" s="1087"/>
      <c r="X44" s="1087"/>
      <c r="Y44" s="1087"/>
      <c r="Z44" s="1087"/>
      <c r="AA44" s="1088"/>
    </row>
    <row r="45" spans="2:27" ht="71.25" x14ac:dyDescent="0.2">
      <c r="B45" s="227" t="s">
        <v>1801</v>
      </c>
      <c r="C45" s="45" t="s">
        <v>1794</v>
      </c>
      <c r="D45" s="49" t="s">
        <v>1491</v>
      </c>
      <c r="E45" s="274" t="s">
        <v>1752</v>
      </c>
      <c r="F45" s="262">
        <v>3</v>
      </c>
      <c r="G45" s="354"/>
      <c r="H45" s="355"/>
      <c r="I45" s="355"/>
      <c r="J45" s="355"/>
      <c r="K45" s="355"/>
      <c r="L45" s="355"/>
      <c r="M45" s="281">
        <f>SUM(M46:M48)</f>
        <v>5.2427272703302975E-2</v>
      </c>
      <c r="N45" s="281">
        <f t="shared" ref="N45" si="24">SUM(N46:N48)</f>
        <v>8.4252719093924525E-2</v>
      </c>
      <c r="O45" s="281">
        <f t="shared" ref="O45" si="25">SUM(O46:O48)</f>
        <v>9.5565943622940089E-2</v>
      </c>
      <c r="P45" s="281">
        <f t="shared" ref="P45" si="26">SUM(P46:P48)</f>
        <v>9.0892484944610163E-2</v>
      </c>
      <c r="Q45" s="281">
        <f t="shared" ref="Q45" si="27">SUM(Q46:Q48)</f>
        <v>8.5688624323795093E-2</v>
      </c>
      <c r="R45" s="281">
        <f t="shared" ref="R45" si="28">SUM(R46:R48)</f>
        <v>0.441</v>
      </c>
      <c r="S45" s="281"/>
      <c r="T45" s="281"/>
      <c r="U45" s="281"/>
      <c r="V45" s="281"/>
      <c r="W45" s="281"/>
      <c r="X45" s="281"/>
      <c r="Y45" s="281"/>
      <c r="Z45" s="281"/>
      <c r="AA45" s="282"/>
    </row>
    <row r="46" spans="2:27" ht="71.25" x14ac:dyDescent="0.2">
      <c r="B46" s="227" t="s">
        <v>1802</v>
      </c>
      <c r="C46" s="45" t="s">
        <v>1803</v>
      </c>
      <c r="D46" s="49" t="s">
        <v>1491</v>
      </c>
      <c r="E46" s="274" t="s">
        <v>1752</v>
      </c>
      <c r="F46" s="262">
        <v>3</v>
      </c>
      <c r="G46" s="352"/>
      <c r="H46" s="352"/>
      <c r="I46" s="352"/>
      <c r="J46" s="352"/>
      <c r="K46" s="352"/>
      <c r="L46" s="352"/>
      <c r="M46" s="1087">
        <v>0</v>
      </c>
      <c r="N46" s="1087">
        <v>0</v>
      </c>
      <c r="O46" s="1087">
        <v>0</v>
      </c>
      <c r="P46" s="1087">
        <v>0</v>
      </c>
      <c r="Q46" s="1087">
        <v>0</v>
      </c>
      <c r="R46" s="1087">
        <v>0</v>
      </c>
      <c r="S46" s="1087"/>
      <c r="T46" s="1087"/>
      <c r="U46" s="1087"/>
      <c r="V46" s="1087"/>
      <c r="W46" s="1087"/>
      <c r="X46" s="1087"/>
      <c r="Y46" s="1087"/>
      <c r="Z46" s="1087"/>
      <c r="AA46" s="1088"/>
    </row>
    <row r="47" spans="2:27" ht="71.25" x14ac:dyDescent="0.2">
      <c r="B47" s="227" t="s">
        <v>1804</v>
      </c>
      <c r="C47" s="45" t="s">
        <v>1805</v>
      </c>
      <c r="D47" s="49" t="s">
        <v>1491</v>
      </c>
      <c r="E47" s="274" t="s">
        <v>1752</v>
      </c>
      <c r="F47" s="262">
        <v>3</v>
      </c>
      <c r="G47" s="352"/>
      <c r="H47" s="352"/>
      <c r="I47" s="352"/>
      <c r="J47" s="352"/>
      <c r="K47" s="352"/>
      <c r="L47" s="352"/>
      <c r="M47" s="1087">
        <v>0</v>
      </c>
      <c r="N47" s="1087">
        <v>0</v>
      </c>
      <c r="O47" s="1087">
        <v>0</v>
      </c>
      <c r="P47" s="1087">
        <v>0</v>
      </c>
      <c r="Q47" s="1087">
        <v>0</v>
      </c>
      <c r="R47" s="1087">
        <v>0</v>
      </c>
      <c r="S47" s="1087"/>
      <c r="T47" s="1087"/>
      <c r="U47" s="1087"/>
      <c r="V47" s="1087"/>
      <c r="W47" s="1087"/>
      <c r="X47" s="1087"/>
      <c r="Y47" s="1087"/>
      <c r="Z47" s="1087"/>
      <c r="AA47" s="1088"/>
    </row>
    <row r="48" spans="2:27" ht="71.25" x14ac:dyDescent="0.2">
      <c r="B48" s="227" t="s">
        <v>1806</v>
      </c>
      <c r="C48" s="45" t="s">
        <v>1800</v>
      </c>
      <c r="D48" s="49" t="s">
        <v>1491</v>
      </c>
      <c r="E48" s="274" t="s">
        <v>1752</v>
      </c>
      <c r="F48" s="262">
        <v>3</v>
      </c>
      <c r="G48" s="352"/>
      <c r="H48" s="352"/>
      <c r="I48" s="352"/>
      <c r="J48" s="352"/>
      <c r="K48" s="352"/>
      <c r="L48" s="352"/>
      <c r="M48" s="1087">
        <v>5.2427272703302975E-2</v>
      </c>
      <c r="N48" s="1087">
        <v>8.4252719093924525E-2</v>
      </c>
      <c r="O48" s="1087">
        <v>9.5565943622940089E-2</v>
      </c>
      <c r="P48" s="1087">
        <v>9.0892484944610163E-2</v>
      </c>
      <c r="Q48" s="1087">
        <v>8.5688624323795093E-2</v>
      </c>
      <c r="R48" s="1087">
        <v>0.441</v>
      </c>
      <c r="S48" s="1087"/>
      <c r="T48" s="1087"/>
      <c r="U48" s="1087"/>
      <c r="V48" s="1087"/>
      <c r="W48" s="1087"/>
      <c r="X48" s="1087"/>
      <c r="Y48" s="1087"/>
      <c r="Z48" s="1087"/>
      <c r="AA48" s="1088"/>
    </row>
    <row r="49" spans="2:27" ht="71.25" x14ac:dyDescent="0.2">
      <c r="B49" s="227" t="s">
        <v>1807</v>
      </c>
      <c r="C49" s="45" t="s">
        <v>1794</v>
      </c>
      <c r="D49" s="49" t="s">
        <v>1707</v>
      </c>
      <c r="E49" s="274" t="s">
        <v>1752</v>
      </c>
      <c r="F49" s="262">
        <v>3</v>
      </c>
      <c r="G49" s="279">
        <f t="shared" ref="G49:K49" si="29">SUM(G41,G45)</f>
        <v>0</v>
      </c>
      <c r="H49" s="279">
        <f t="shared" si="29"/>
        <v>0</v>
      </c>
      <c r="I49" s="279">
        <f t="shared" si="29"/>
        <v>0</v>
      </c>
      <c r="J49" s="279">
        <f t="shared" si="29"/>
        <v>0</v>
      </c>
      <c r="K49" s="279">
        <f t="shared" si="29"/>
        <v>0</v>
      </c>
      <c r="L49" s="279">
        <f t="shared" ref="L49:Q49" si="30">SUM(L41,L45)</f>
        <v>0</v>
      </c>
      <c r="M49" s="279">
        <f>SUM(M41,M45)</f>
        <v>7.3218625944528588</v>
      </c>
      <c r="N49" s="279">
        <f t="shared" si="30"/>
        <v>14.191715156363744</v>
      </c>
      <c r="O49" s="279">
        <f t="shared" si="30"/>
        <v>16.41502745863189</v>
      </c>
      <c r="P49" s="279">
        <f t="shared" si="30"/>
        <v>17.138525726782063</v>
      </c>
      <c r="Q49" s="279">
        <f t="shared" si="30"/>
        <v>14.726243235100627</v>
      </c>
      <c r="R49" s="279">
        <f t="shared" ref="R49:AA49" si="31">SUM(R41,R45)</f>
        <v>55.311</v>
      </c>
      <c r="S49" s="279">
        <f t="shared" si="31"/>
        <v>0</v>
      </c>
      <c r="T49" s="279">
        <f t="shared" si="31"/>
        <v>0</v>
      </c>
      <c r="U49" s="279">
        <f t="shared" si="31"/>
        <v>0</v>
      </c>
      <c r="V49" s="279">
        <f t="shared" si="31"/>
        <v>0</v>
      </c>
      <c r="W49" s="279">
        <f t="shared" si="31"/>
        <v>0</v>
      </c>
      <c r="X49" s="279">
        <f t="shared" si="31"/>
        <v>0</v>
      </c>
      <c r="Y49" s="279">
        <f t="shared" si="31"/>
        <v>0</v>
      </c>
      <c r="Z49" s="279">
        <f t="shared" si="31"/>
        <v>0</v>
      </c>
      <c r="AA49" s="279">
        <f t="shared" si="31"/>
        <v>0</v>
      </c>
    </row>
    <row r="50" spans="2:27" ht="57" x14ac:dyDescent="0.2">
      <c r="B50" s="227" t="s">
        <v>1808</v>
      </c>
      <c r="C50" s="45" t="s">
        <v>1809</v>
      </c>
      <c r="D50" s="49" t="s">
        <v>1496</v>
      </c>
      <c r="E50" s="274" t="s">
        <v>1752</v>
      </c>
      <c r="F50" s="262">
        <v>3</v>
      </c>
      <c r="G50" s="354"/>
      <c r="H50" s="355"/>
      <c r="I50" s="355"/>
      <c r="J50" s="355"/>
      <c r="K50" s="355"/>
      <c r="L50" s="355"/>
      <c r="M50" s="1087">
        <f>SUM(M51:M53)</f>
        <v>0.33187219200000007</v>
      </c>
      <c r="N50" s="1087">
        <f t="shared" ref="N50:R50" si="32">SUM(N51:N53)</f>
        <v>0.32841519000000002</v>
      </c>
      <c r="O50" s="1087">
        <f t="shared" si="32"/>
        <v>0.32841519000000002</v>
      </c>
      <c r="P50" s="1087">
        <f t="shared" si="32"/>
        <v>0.32841519000000002</v>
      </c>
      <c r="Q50" s="1087">
        <f t="shared" si="32"/>
        <v>0.16420759500000001</v>
      </c>
      <c r="R50" s="1087">
        <f t="shared" si="32"/>
        <v>0</v>
      </c>
      <c r="S50" s="281"/>
      <c r="T50" s="281"/>
      <c r="U50" s="281"/>
      <c r="V50" s="281"/>
      <c r="W50" s="281"/>
      <c r="X50" s="281"/>
      <c r="Y50" s="281"/>
      <c r="Z50" s="281"/>
      <c r="AA50" s="282"/>
    </row>
    <row r="51" spans="2:27" ht="57" x14ac:dyDescent="0.2">
      <c r="B51" s="227" t="s">
        <v>1810</v>
      </c>
      <c r="C51" s="45" t="s">
        <v>1811</v>
      </c>
      <c r="D51" s="49" t="s">
        <v>1496</v>
      </c>
      <c r="E51" s="274" t="s">
        <v>1752</v>
      </c>
      <c r="F51" s="262">
        <v>3</v>
      </c>
      <c r="G51" s="352"/>
      <c r="H51" s="352"/>
      <c r="I51" s="352"/>
      <c r="J51" s="352"/>
      <c r="K51" s="352"/>
      <c r="L51" s="352"/>
      <c r="M51" s="1087">
        <v>0</v>
      </c>
      <c r="N51" s="1087">
        <v>0</v>
      </c>
      <c r="O51" s="1087">
        <v>0</v>
      </c>
      <c r="P51" s="1087">
        <v>0</v>
      </c>
      <c r="Q51" s="1087">
        <v>0</v>
      </c>
      <c r="R51" s="1087">
        <v>0</v>
      </c>
      <c r="S51" s="1087"/>
      <c r="T51" s="1087"/>
      <c r="U51" s="1087"/>
      <c r="V51" s="1087"/>
      <c r="W51" s="1087"/>
      <c r="X51" s="1087"/>
      <c r="Y51" s="1087"/>
      <c r="Z51" s="1087"/>
      <c r="AA51" s="1088"/>
    </row>
    <row r="52" spans="2:27" ht="57" x14ac:dyDescent="0.2">
      <c r="B52" s="227" t="s">
        <v>1812</v>
      </c>
      <c r="C52" s="45" t="s">
        <v>1813</v>
      </c>
      <c r="D52" s="49" t="s">
        <v>1496</v>
      </c>
      <c r="E52" s="274" t="s">
        <v>1752</v>
      </c>
      <c r="F52" s="262">
        <v>3</v>
      </c>
      <c r="G52" s="352"/>
      <c r="H52" s="352"/>
      <c r="I52" s="352"/>
      <c r="J52" s="352"/>
      <c r="K52" s="352"/>
      <c r="L52" s="352"/>
      <c r="M52" s="1087">
        <v>0</v>
      </c>
      <c r="N52" s="1087">
        <v>0</v>
      </c>
      <c r="O52" s="1087">
        <v>0</v>
      </c>
      <c r="P52" s="1087">
        <v>0</v>
      </c>
      <c r="Q52" s="1087">
        <v>0</v>
      </c>
      <c r="R52" s="1087">
        <v>0</v>
      </c>
      <c r="S52" s="1087"/>
      <c r="T52" s="1087"/>
      <c r="U52" s="1087"/>
      <c r="V52" s="1087"/>
      <c r="W52" s="1087"/>
      <c r="X52" s="1087"/>
      <c r="Y52" s="1087"/>
      <c r="Z52" s="1087"/>
      <c r="AA52" s="1088"/>
    </row>
    <row r="53" spans="2:27" ht="57" x14ac:dyDescent="0.2">
      <c r="B53" s="227" t="s">
        <v>1814</v>
      </c>
      <c r="C53" s="45" t="s">
        <v>1815</v>
      </c>
      <c r="D53" s="49" t="s">
        <v>1496</v>
      </c>
      <c r="E53" s="274" t="s">
        <v>1752</v>
      </c>
      <c r="F53" s="262">
        <v>3</v>
      </c>
      <c r="G53" s="352"/>
      <c r="H53" s="352"/>
      <c r="I53" s="352"/>
      <c r="J53" s="352"/>
      <c r="K53" s="352"/>
      <c r="L53" s="352"/>
      <c r="M53" s="1087">
        <v>0.33187219200000007</v>
      </c>
      <c r="N53" s="1087">
        <v>0.32841519000000002</v>
      </c>
      <c r="O53" s="1087">
        <v>0.32841519000000002</v>
      </c>
      <c r="P53" s="1087">
        <v>0.32841519000000002</v>
      </c>
      <c r="Q53" s="1087">
        <v>0.16420759500000001</v>
      </c>
      <c r="R53" s="1087">
        <v>0</v>
      </c>
      <c r="S53" s="1087"/>
      <c r="T53" s="1087"/>
      <c r="U53" s="1087"/>
      <c r="V53" s="1087"/>
      <c r="W53" s="1087"/>
      <c r="X53" s="1087"/>
      <c r="Y53" s="1087"/>
      <c r="Z53" s="1087"/>
      <c r="AA53" s="1088"/>
    </row>
    <row r="54" spans="2:27" ht="57" x14ac:dyDescent="0.2">
      <c r="B54" s="227" t="s">
        <v>1816</v>
      </c>
      <c r="C54" s="45" t="s">
        <v>1809</v>
      </c>
      <c r="D54" s="49" t="s">
        <v>1491</v>
      </c>
      <c r="E54" s="274" t="s">
        <v>1752</v>
      </c>
      <c r="F54" s="262">
        <v>3</v>
      </c>
      <c r="G54" s="354"/>
      <c r="H54" s="355"/>
      <c r="I54" s="355"/>
      <c r="J54" s="355"/>
      <c r="K54" s="355"/>
      <c r="L54" s="355"/>
      <c r="M54" s="1087">
        <f>SUM(M55:M57)</f>
        <v>0</v>
      </c>
      <c r="N54" s="1087">
        <f t="shared" ref="N54:R54" si="33">SUM(N55:N57)</f>
        <v>0</v>
      </c>
      <c r="O54" s="1087">
        <f t="shared" si="33"/>
        <v>0</v>
      </c>
      <c r="P54" s="1087">
        <f t="shared" si="33"/>
        <v>0</v>
      </c>
      <c r="Q54" s="1087">
        <f t="shared" si="33"/>
        <v>0</v>
      </c>
      <c r="R54" s="1087">
        <f t="shared" si="33"/>
        <v>0</v>
      </c>
      <c r="S54" s="281"/>
      <c r="T54" s="281"/>
      <c r="U54" s="281"/>
      <c r="V54" s="281"/>
      <c r="W54" s="281"/>
      <c r="X54" s="281"/>
      <c r="Y54" s="281"/>
      <c r="Z54" s="281"/>
      <c r="AA54" s="282"/>
    </row>
    <row r="55" spans="2:27" ht="57" x14ac:dyDescent="0.2">
      <c r="B55" s="227" t="s">
        <v>1817</v>
      </c>
      <c r="C55" s="45" t="s">
        <v>1811</v>
      </c>
      <c r="D55" s="49" t="s">
        <v>1491</v>
      </c>
      <c r="E55" s="274" t="s">
        <v>1752</v>
      </c>
      <c r="F55" s="262">
        <v>3</v>
      </c>
      <c r="G55" s="352"/>
      <c r="H55" s="352"/>
      <c r="I55" s="352"/>
      <c r="J55" s="352"/>
      <c r="K55" s="352"/>
      <c r="L55" s="352"/>
      <c r="M55" s="1087">
        <v>0</v>
      </c>
      <c r="N55" s="1087">
        <v>0</v>
      </c>
      <c r="O55" s="1087">
        <v>0</v>
      </c>
      <c r="P55" s="1087">
        <v>0</v>
      </c>
      <c r="Q55" s="1087">
        <v>0</v>
      </c>
      <c r="R55" s="1087">
        <v>0</v>
      </c>
      <c r="S55" s="1087"/>
      <c r="T55" s="1087"/>
      <c r="U55" s="1087"/>
      <c r="V55" s="1087"/>
      <c r="W55" s="1087"/>
      <c r="X55" s="1087"/>
      <c r="Y55" s="1087"/>
      <c r="Z55" s="1087"/>
      <c r="AA55" s="1088"/>
    </row>
    <row r="56" spans="2:27" ht="57" x14ac:dyDescent="0.2">
      <c r="B56" s="227" t="s">
        <v>1818</v>
      </c>
      <c r="C56" s="45" t="s">
        <v>1813</v>
      </c>
      <c r="D56" s="49" t="s">
        <v>1491</v>
      </c>
      <c r="E56" s="274" t="s">
        <v>1752</v>
      </c>
      <c r="F56" s="262">
        <v>3</v>
      </c>
      <c r="G56" s="352"/>
      <c r="H56" s="352"/>
      <c r="I56" s="352"/>
      <c r="J56" s="352"/>
      <c r="K56" s="352"/>
      <c r="L56" s="352"/>
      <c r="M56" s="1087">
        <v>0</v>
      </c>
      <c r="N56" s="1087">
        <v>0</v>
      </c>
      <c r="O56" s="1087">
        <v>0</v>
      </c>
      <c r="P56" s="1087">
        <v>0</v>
      </c>
      <c r="Q56" s="1087">
        <v>0</v>
      </c>
      <c r="R56" s="1087">
        <v>0</v>
      </c>
      <c r="S56" s="1087"/>
      <c r="T56" s="1087"/>
      <c r="U56" s="1087"/>
      <c r="V56" s="1087"/>
      <c r="W56" s="1087"/>
      <c r="X56" s="1087"/>
      <c r="Y56" s="1087"/>
      <c r="Z56" s="1087"/>
      <c r="AA56" s="1088"/>
    </row>
    <row r="57" spans="2:27" ht="57" x14ac:dyDescent="0.2">
      <c r="B57" s="227" t="s">
        <v>1819</v>
      </c>
      <c r="C57" s="45" t="s">
        <v>1815</v>
      </c>
      <c r="D57" s="49" t="s">
        <v>1491</v>
      </c>
      <c r="E57" s="274" t="s">
        <v>1752</v>
      </c>
      <c r="F57" s="262">
        <v>3</v>
      </c>
      <c r="G57" s="352"/>
      <c r="H57" s="352"/>
      <c r="I57" s="352"/>
      <c r="J57" s="352"/>
      <c r="K57" s="352"/>
      <c r="L57" s="352"/>
      <c r="M57" s="1087">
        <v>0</v>
      </c>
      <c r="N57" s="1087">
        <v>0</v>
      </c>
      <c r="O57" s="1087">
        <v>0</v>
      </c>
      <c r="P57" s="1087">
        <v>0</v>
      </c>
      <c r="Q57" s="1087">
        <v>0</v>
      </c>
      <c r="R57" s="1087">
        <v>0</v>
      </c>
      <c r="S57" s="1087"/>
      <c r="T57" s="1087"/>
      <c r="U57" s="1087"/>
      <c r="V57" s="1087"/>
      <c r="W57" s="1087"/>
      <c r="X57" s="1087"/>
      <c r="Y57" s="1087"/>
      <c r="Z57" s="1087"/>
      <c r="AA57" s="1088"/>
    </row>
    <row r="58" spans="2:27" ht="57" x14ac:dyDescent="0.2">
      <c r="B58" s="227" t="s">
        <v>1820</v>
      </c>
      <c r="C58" s="45" t="s">
        <v>1811</v>
      </c>
      <c r="D58" s="49" t="s">
        <v>1707</v>
      </c>
      <c r="E58" s="274" t="s">
        <v>1752</v>
      </c>
      <c r="F58" s="262">
        <v>3</v>
      </c>
      <c r="G58" s="279">
        <f t="shared" ref="G58:AA58" si="34">SUM(G50,G54)</f>
        <v>0</v>
      </c>
      <c r="H58" s="279">
        <f t="shared" si="34"/>
        <v>0</v>
      </c>
      <c r="I58" s="279">
        <f t="shared" si="34"/>
        <v>0</v>
      </c>
      <c r="J58" s="279">
        <f t="shared" si="34"/>
        <v>0</v>
      </c>
      <c r="K58" s="279">
        <f t="shared" si="34"/>
        <v>0</v>
      </c>
      <c r="L58" s="279">
        <f t="shared" si="34"/>
        <v>0</v>
      </c>
      <c r="M58" s="279">
        <f t="shared" si="34"/>
        <v>0.33187219200000007</v>
      </c>
      <c r="N58" s="279">
        <f t="shared" si="34"/>
        <v>0.32841519000000002</v>
      </c>
      <c r="O58" s="279">
        <f t="shared" si="34"/>
        <v>0.32841519000000002</v>
      </c>
      <c r="P58" s="279">
        <f t="shared" si="34"/>
        <v>0.32841519000000002</v>
      </c>
      <c r="Q58" s="279">
        <f t="shared" si="34"/>
        <v>0.16420759500000001</v>
      </c>
      <c r="R58" s="279">
        <f t="shared" si="34"/>
        <v>0</v>
      </c>
      <c r="S58" s="279">
        <f t="shared" si="34"/>
        <v>0</v>
      </c>
      <c r="T58" s="279">
        <f t="shared" si="34"/>
        <v>0</v>
      </c>
      <c r="U58" s="279">
        <f t="shared" si="34"/>
        <v>0</v>
      </c>
      <c r="V58" s="279">
        <f t="shared" si="34"/>
        <v>0</v>
      </c>
      <c r="W58" s="279">
        <f t="shared" si="34"/>
        <v>0</v>
      </c>
      <c r="X58" s="279">
        <f t="shared" si="34"/>
        <v>0</v>
      </c>
      <c r="Y58" s="279">
        <f t="shared" si="34"/>
        <v>0</v>
      </c>
      <c r="Z58" s="279">
        <f t="shared" si="34"/>
        <v>0</v>
      </c>
      <c r="AA58" s="279">
        <f t="shared" si="34"/>
        <v>0</v>
      </c>
    </row>
    <row r="59" spans="2:27" ht="57" x14ac:dyDescent="0.2">
      <c r="B59" s="227" t="s">
        <v>1821</v>
      </c>
      <c r="C59" s="45" t="s">
        <v>1822</v>
      </c>
      <c r="D59" s="49" t="s">
        <v>1496</v>
      </c>
      <c r="E59" s="274" t="s">
        <v>1752</v>
      </c>
      <c r="F59" s="262">
        <v>3</v>
      </c>
      <c r="G59" s="352"/>
      <c r="H59" s="352"/>
      <c r="I59" s="352"/>
      <c r="J59" s="352"/>
      <c r="K59" s="352"/>
      <c r="L59" s="352"/>
      <c r="M59" s="1087">
        <v>0</v>
      </c>
      <c r="N59" s="1087">
        <v>0</v>
      </c>
      <c r="O59" s="1087">
        <v>0</v>
      </c>
      <c r="P59" s="1087">
        <v>0</v>
      </c>
      <c r="Q59" s="1087">
        <v>0</v>
      </c>
      <c r="R59" s="1087">
        <v>0</v>
      </c>
      <c r="S59" s="1087"/>
      <c r="T59" s="1087"/>
      <c r="U59" s="1087"/>
      <c r="V59" s="1087"/>
      <c r="W59" s="1087"/>
      <c r="X59" s="1087"/>
      <c r="Y59" s="1087"/>
      <c r="Z59" s="1087"/>
      <c r="AA59" s="1088"/>
    </row>
    <row r="60" spans="2:27" ht="57" x14ac:dyDescent="0.2">
      <c r="B60" s="227" t="s">
        <v>1823</v>
      </c>
      <c r="C60" s="45" t="s">
        <v>1824</v>
      </c>
      <c r="D60" s="49" t="s">
        <v>1496</v>
      </c>
      <c r="E60" s="274" t="s">
        <v>1752</v>
      </c>
      <c r="F60" s="262">
        <v>3</v>
      </c>
      <c r="G60" s="352"/>
      <c r="H60" s="352"/>
      <c r="I60" s="352"/>
      <c r="J60" s="352"/>
      <c r="K60" s="352"/>
      <c r="L60" s="352"/>
      <c r="M60" s="1329">
        <v>1.9191510553654116</v>
      </c>
      <c r="N60" s="1329">
        <v>1.890406502820039</v>
      </c>
      <c r="O60" s="1329">
        <v>1.8176500495700414</v>
      </c>
      <c r="P60" s="1329">
        <v>1.9356433484401687</v>
      </c>
      <c r="Q60" s="1329">
        <v>1.8647193779164839</v>
      </c>
      <c r="R60" s="1087">
        <v>8.3140000000000001</v>
      </c>
      <c r="S60" s="1087"/>
      <c r="T60" s="1087"/>
      <c r="U60" s="1087"/>
      <c r="V60" s="1087"/>
      <c r="W60" s="1087"/>
      <c r="X60" s="1087"/>
      <c r="Y60" s="1087"/>
      <c r="Z60" s="1087"/>
      <c r="AA60" s="1088"/>
    </row>
    <row r="61" spans="2:27" ht="57" x14ac:dyDescent="0.2">
      <c r="B61" s="227" t="s">
        <v>1825</v>
      </c>
      <c r="C61" s="45" t="s">
        <v>1826</v>
      </c>
      <c r="D61" s="49" t="s">
        <v>1496</v>
      </c>
      <c r="E61" s="274" t="s">
        <v>1752</v>
      </c>
      <c r="F61" s="262">
        <v>3</v>
      </c>
      <c r="G61" s="352"/>
      <c r="H61" s="352"/>
      <c r="I61" s="352"/>
      <c r="J61" s="352"/>
      <c r="K61" s="352"/>
      <c r="L61" s="352"/>
      <c r="M61" s="1329">
        <v>0.22160167078760196</v>
      </c>
      <c r="N61" s="1329">
        <v>0.21714986601904007</v>
      </c>
      <c r="O61" s="1329">
        <v>0.2119461922359501</v>
      </c>
      <c r="P61" s="1329">
        <v>0.2241360665235651</v>
      </c>
      <c r="Q61" s="1329">
        <v>0.21645771453049747</v>
      </c>
      <c r="R61" s="1087">
        <v>0.9890000000000001</v>
      </c>
      <c r="S61" s="1087"/>
      <c r="T61" s="1087"/>
      <c r="U61" s="1087"/>
      <c r="V61" s="1087"/>
      <c r="W61" s="1087"/>
      <c r="X61" s="1087"/>
      <c r="Y61" s="1087"/>
      <c r="Z61" s="1087"/>
      <c r="AA61" s="1088"/>
    </row>
    <row r="62" spans="2:27" ht="28.5" x14ac:dyDescent="0.2">
      <c r="B62" s="227" t="s">
        <v>1827</v>
      </c>
      <c r="C62" s="45" t="s">
        <v>1828</v>
      </c>
      <c r="D62" s="49" t="s">
        <v>1496</v>
      </c>
      <c r="E62" s="274" t="s">
        <v>1752</v>
      </c>
      <c r="F62" s="262">
        <v>3</v>
      </c>
      <c r="G62" s="352"/>
      <c r="H62" s="352"/>
      <c r="I62" s="352"/>
      <c r="J62" s="352"/>
      <c r="K62" s="352"/>
      <c r="L62" s="352"/>
      <c r="M62" s="1087">
        <v>0.25</v>
      </c>
      <c r="N62" s="1087">
        <v>0</v>
      </c>
      <c r="O62" s="1087">
        <v>0</v>
      </c>
      <c r="P62" s="1087">
        <v>0</v>
      </c>
      <c r="Q62" s="1087">
        <v>0</v>
      </c>
      <c r="R62" s="1087">
        <v>0</v>
      </c>
      <c r="S62" s="1087"/>
      <c r="T62" s="1087"/>
      <c r="U62" s="1087"/>
      <c r="V62" s="1087"/>
      <c r="W62" s="1087"/>
      <c r="X62" s="1087"/>
      <c r="Y62" s="1087"/>
      <c r="Z62" s="1087"/>
      <c r="AA62" s="1088"/>
    </row>
    <row r="63" spans="2:27" ht="57" x14ac:dyDescent="0.2">
      <c r="B63" s="227" t="s">
        <v>1829</v>
      </c>
      <c r="C63" s="45" t="s">
        <v>1822</v>
      </c>
      <c r="D63" s="49" t="s">
        <v>1491</v>
      </c>
      <c r="E63" s="274" t="s">
        <v>1752</v>
      </c>
      <c r="F63" s="262">
        <v>3</v>
      </c>
      <c r="G63" s="352"/>
      <c r="H63" s="352"/>
      <c r="I63" s="352"/>
      <c r="J63" s="352"/>
      <c r="K63" s="352"/>
      <c r="L63" s="352"/>
      <c r="M63" s="1087">
        <v>0</v>
      </c>
      <c r="N63" s="1087">
        <v>0</v>
      </c>
      <c r="O63" s="1087">
        <v>0</v>
      </c>
      <c r="P63" s="1087">
        <v>0</v>
      </c>
      <c r="Q63" s="1087">
        <v>0</v>
      </c>
      <c r="R63" s="1087">
        <v>0</v>
      </c>
      <c r="S63" s="1087"/>
      <c r="T63" s="1087"/>
      <c r="U63" s="1087"/>
      <c r="V63" s="1087"/>
      <c r="W63" s="1087"/>
      <c r="X63" s="1087"/>
      <c r="Y63" s="1087"/>
      <c r="Z63" s="1087"/>
      <c r="AA63" s="1088"/>
    </row>
    <row r="64" spans="2:27" ht="57" x14ac:dyDescent="0.2">
      <c r="B64" s="227" t="s">
        <v>1830</v>
      </c>
      <c r="C64" s="45" t="s">
        <v>1824</v>
      </c>
      <c r="D64" s="49" t="s">
        <v>1491</v>
      </c>
      <c r="E64" s="274" t="s">
        <v>1752</v>
      </c>
      <c r="F64" s="262">
        <v>3</v>
      </c>
      <c r="G64" s="352"/>
      <c r="H64" s="352"/>
      <c r="I64" s="352"/>
      <c r="J64" s="352"/>
      <c r="K64" s="352"/>
      <c r="L64" s="352"/>
      <c r="M64" s="1087">
        <v>0.2354966128554622</v>
      </c>
      <c r="N64" s="1087">
        <v>0.20750891292830184</v>
      </c>
      <c r="O64" s="1087">
        <v>0.19743135772379392</v>
      </c>
      <c r="P64" s="1087">
        <v>0.20167231900312849</v>
      </c>
      <c r="Q64" s="1087">
        <v>0.20616847632016219</v>
      </c>
      <c r="R64" s="1087">
        <v>1.024</v>
      </c>
      <c r="S64" s="1087"/>
      <c r="T64" s="1087"/>
      <c r="U64" s="1087"/>
      <c r="V64" s="1087"/>
      <c r="W64" s="1087"/>
      <c r="X64" s="1087"/>
      <c r="Y64" s="1087"/>
      <c r="Z64" s="1087"/>
      <c r="AA64" s="1088"/>
    </row>
    <row r="65" spans="2:27" ht="57" x14ac:dyDescent="0.2">
      <c r="B65" s="227" t="s">
        <v>1831</v>
      </c>
      <c r="C65" s="45" t="s">
        <v>1826</v>
      </c>
      <c r="D65" s="49" t="s">
        <v>1491</v>
      </c>
      <c r="E65" s="274" t="s">
        <v>1752</v>
      </c>
      <c r="F65" s="262">
        <v>3</v>
      </c>
      <c r="G65" s="352"/>
      <c r="H65" s="352"/>
      <c r="I65" s="352"/>
      <c r="J65" s="352"/>
      <c r="K65" s="352"/>
      <c r="L65" s="352"/>
      <c r="M65" s="1087">
        <v>2.8661113286391083E-2</v>
      </c>
      <c r="N65" s="1087">
        <v>2.5254870502210602E-2</v>
      </c>
      <c r="O65" s="1087">
        <v>2.4028381730826293E-2</v>
      </c>
      <c r="P65" s="1087">
        <v>2.4544527887649402E-2</v>
      </c>
      <c r="Q65" s="1087">
        <v>2.5091732676093773E-2</v>
      </c>
      <c r="R65" s="1087">
        <v>0.125</v>
      </c>
      <c r="S65" s="1087"/>
      <c r="T65" s="1087"/>
      <c r="U65" s="1087"/>
      <c r="V65" s="1087"/>
      <c r="W65" s="1087"/>
      <c r="X65" s="1087"/>
      <c r="Y65" s="1087"/>
      <c r="Z65" s="1087"/>
      <c r="AA65" s="1088"/>
    </row>
    <row r="66" spans="2:27" ht="28.5" x14ac:dyDescent="0.2">
      <c r="B66" s="227" t="s">
        <v>1832</v>
      </c>
      <c r="C66" s="45" t="s">
        <v>1828</v>
      </c>
      <c r="D66" s="49" t="s">
        <v>1491</v>
      </c>
      <c r="E66" s="274" t="s">
        <v>1752</v>
      </c>
      <c r="F66" s="262">
        <v>3</v>
      </c>
      <c r="G66" s="352"/>
      <c r="H66" s="352"/>
      <c r="I66" s="352"/>
      <c r="J66" s="352"/>
      <c r="K66" s="352"/>
      <c r="L66" s="352"/>
      <c r="M66" s="1329">
        <v>0.2</v>
      </c>
      <c r="N66" s="1329">
        <v>0.45</v>
      </c>
      <c r="O66" s="1329">
        <v>0.7</v>
      </c>
      <c r="P66" s="1329">
        <v>0.96</v>
      </c>
      <c r="Q66" s="1329">
        <v>1.2</v>
      </c>
      <c r="R66" s="1087">
        <v>2.82</v>
      </c>
      <c r="S66" s="1087"/>
      <c r="T66" s="1087"/>
      <c r="U66" s="1087"/>
      <c r="V66" s="1087"/>
      <c r="W66" s="1087"/>
      <c r="X66" s="1087"/>
      <c r="Y66" s="1087"/>
      <c r="Z66" s="1087"/>
      <c r="AA66" s="1088"/>
    </row>
    <row r="67" spans="2:27" ht="57" x14ac:dyDescent="0.2">
      <c r="B67" s="227" t="s">
        <v>1833</v>
      </c>
      <c r="C67" s="45" t="s">
        <v>1822</v>
      </c>
      <c r="D67" s="49" t="s">
        <v>1707</v>
      </c>
      <c r="E67" s="274" t="s">
        <v>1752</v>
      </c>
      <c r="F67" s="262">
        <v>3</v>
      </c>
      <c r="G67" s="279">
        <f t="shared" ref="G67:AA67" si="35">SUM(G59,G63)</f>
        <v>0</v>
      </c>
      <c r="H67" s="279">
        <f t="shared" si="35"/>
        <v>0</v>
      </c>
      <c r="I67" s="279">
        <f t="shared" si="35"/>
        <v>0</v>
      </c>
      <c r="J67" s="279">
        <f t="shared" si="35"/>
        <v>0</v>
      </c>
      <c r="K67" s="279">
        <f t="shared" si="35"/>
        <v>0</v>
      </c>
      <c r="L67" s="279">
        <f t="shared" si="35"/>
        <v>0</v>
      </c>
      <c r="M67" s="279">
        <f t="shared" si="35"/>
        <v>0</v>
      </c>
      <c r="N67" s="279">
        <f t="shared" si="35"/>
        <v>0</v>
      </c>
      <c r="O67" s="279">
        <f t="shared" si="35"/>
        <v>0</v>
      </c>
      <c r="P67" s="279">
        <f t="shared" si="35"/>
        <v>0</v>
      </c>
      <c r="Q67" s="279">
        <f t="shared" si="35"/>
        <v>0</v>
      </c>
      <c r="R67" s="279">
        <f t="shared" si="35"/>
        <v>0</v>
      </c>
      <c r="S67" s="279">
        <f t="shared" si="35"/>
        <v>0</v>
      </c>
      <c r="T67" s="279">
        <f t="shared" si="35"/>
        <v>0</v>
      </c>
      <c r="U67" s="279">
        <f t="shared" si="35"/>
        <v>0</v>
      </c>
      <c r="V67" s="279">
        <f t="shared" si="35"/>
        <v>0</v>
      </c>
      <c r="W67" s="279">
        <f t="shared" si="35"/>
        <v>0</v>
      </c>
      <c r="X67" s="279">
        <f t="shared" si="35"/>
        <v>0</v>
      </c>
      <c r="Y67" s="279">
        <f t="shared" si="35"/>
        <v>0</v>
      </c>
      <c r="Z67" s="279">
        <f t="shared" si="35"/>
        <v>0</v>
      </c>
      <c r="AA67" s="280">
        <f t="shared" si="35"/>
        <v>0</v>
      </c>
    </row>
    <row r="68" spans="2:27" ht="57" x14ac:dyDescent="0.2">
      <c r="B68" s="227" t="s">
        <v>1834</v>
      </c>
      <c r="C68" s="45" t="s">
        <v>1824</v>
      </c>
      <c r="D68" s="49" t="s">
        <v>1707</v>
      </c>
      <c r="E68" s="274" t="s">
        <v>1752</v>
      </c>
      <c r="F68" s="262">
        <v>3</v>
      </c>
      <c r="G68" s="279">
        <f t="shared" ref="G68:AA68" si="36">SUM(G60,G64)</f>
        <v>0</v>
      </c>
      <c r="H68" s="279">
        <f t="shared" si="36"/>
        <v>0</v>
      </c>
      <c r="I68" s="279">
        <f t="shared" si="36"/>
        <v>0</v>
      </c>
      <c r="J68" s="279">
        <f t="shared" si="36"/>
        <v>0</v>
      </c>
      <c r="K68" s="279">
        <f t="shared" si="36"/>
        <v>0</v>
      </c>
      <c r="L68" s="279">
        <f t="shared" si="36"/>
        <v>0</v>
      </c>
      <c r="M68" s="279">
        <f t="shared" si="36"/>
        <v>2.1546476682208739</v>
      </c>
      <c r="N68" s="279">
        <f t="shared" si="36"/>
        <v>2.0979154157483406</v>
      </c>
      <c r="O68" s="279">
        <f t="shared" si="36"/>
        <v>2.0150814072938354</v>
      </c>
      <c r="P68" s="279">
        <f t="shared" si="36"/>
        <v>2.1373156674432972</v>
      </c>
      <c r="Q68" s="279">
        <f t="shared" si="36"/>
        <v>2.0708878542366462</v>
      </c>
      <c r="R68" s="279">
        <f t="shared" si="36"/>
        <v>9.338000000000001</v>
      </c>
      <c r="S68" s="279">
        <f t="shared" si="36"/>
        <v>0</v>
      </c>
      <c r="T68" s="279">
        <f t="shared" si="36"/>
        <v>0</v>
      </c>
      <c r="U68" s="279">
        <f t="shared" si="36"/>
        <v>0</v>
      </c>
      <c r="V68" s="279">
        <f t="shared" si="36"/>
        <v>0</v>
      </c>
      <c r="W68" s="279">
        <f t="shared" si="36"/>
        <v>0</v>
      </c>
      <c r="X68" s="279">
        <f t="shared" si="36"/>
        <v>0</v>
      </c>
      <c r="Y68" s="279">
        <f t="shared" si="36"/>
        <v>0</v>
      </c>
      <c r="Z68" s="279">
        <f t="shared" si="36"/>
        <v>0</v>
      </c>
      <c r="AA68" s="280">
        <f t="shared" si="36"/>
        <v>0</v>
      </c>
    </row>
    <row r="69" spans="2:27" ht="57" x14ac:dyDescent="0.2">
      <c r="B69" s="227" t="s">
        <v>1835</v>
      </c>
      <c r="C69" s="45" t="s">
        <v>1826</v>
      </c>
      <c r="D69" s="49" t="s">
        <v>1707</v>
      </c>
      <c r="E69" s="274" t="s">
        <v>1752</v>
      </c>
      <c r="F69" s="262">
        <v>3</v>
      </c>
      <c r="G69" s="279">
        <f>SUM(G61,G65)</f>
        <v>0</v>
      </c>
      <c r="H69" s="279">
        <f t="shared" ref="H69:AA69" si="37">SUM(H61,H65)</f>
        <v>0</v>
      </c>
      <c r="I69" s="279">
        <f t="shared" si="37"/>
        <v>0</v>
      </c>
      <c r="J69" s="279">
        <f t="shared" si="37"/>
        <v>0</v>
      </c>
      <c r="K69" s="279">
        <f t="shared" si="37"/>
        <v>0</v>
      </c>
      <c r="L69" s="279">
        <f t="shared" si="37"/>
        <v>0</v>
      </c>
      <c r="M69" s="279">
        <f t="shared" si="37"/>
        <v>0.25026278407399305</v>
      </c>
      <c r="N69" s="279">
        <f t="shared" si="37"/>
        <v>0.24240473652125066</v>
      </c>
      <c r="O69" s="279">
        <f t="shared" si="37"/>
        <v>0.2359745739667764</v>
      </c>
      <c r="P69" s="279">
        <f t="shared" si="37"/>
        <v>0.24868059441121451</v>
      </c>
      <c r="Q69" s="279">
        <f t="shared" si="37"/>
        <v>0.24154944720659124</v>
      </c>
      <c r="R69" s="279">
        <f t="shared" si="37"/>
        <v>1.1140000000000001</v>
      </c>
      <c r="S69" s="279">
        <f t="shared" si="37"/>
        <v>0</v>
      </c>
      <c r="T69" s="279">
        <f t="shared" si="37"/>
        <v>0</v>
      </c>
      <c r="U69" s="279">
        <f t="shared" si="37"/>
        <v>0</v>
      </c>
      <c r="V69" s="279">
        <f t="shared" si="37"/>
        <v>0</v>
      </c>
      <c r="W69" s="279">
        <f t="shared" si="37"/>
        <v>0</v>
      </c>
      <c r="X69" s="279">
        <f t="shared" si="37"/>
        <v>0</v>
      </c>
      <c r="Y69" s="279">
        <f t="shared" si="37"/>
        <v>0</v>
      </c>
      <c r="Z69" s="279">
        <f t="shared" si="37"/>
        <v>0</v>
      </c>
      <c r="AA69" s="279">
        <f t="shared" si="37"/>
        <v>0</v>
      </c>
    </row>
    <row r="70" spans="2:27" ht="28.5" x14ac:dyDescent="0.2">
      <c r="B70" s="227" t="s">
        <v>1836</v>
      </c>
      <c r="C70" s="45" t="s">
        <v>1828</v>
      </c>
      <c r="D70" s="49" t="s">
        <v>1707</v>
      </c>
      <c r="E70" s="274" t="s">
        <v>1752</v>
      </c>
      <c r="F70" s="262">
        <v>3</v>
      </c>
      <c r="G70" s="279">
        <f t="shared" ref="G70" si="38">SUM(G62,G66)</f>
        <v>0</v>
      </c>
      <c r="H70" s="279">
        <f t="shared" ref="H70:AA70" si="39">SUM(H62,H66)</f>
        <v>0</v>
      </c>
      <c r="I70" s="279">
        <f t="shared" si="39"/>
        <v>0</v>
      </c>
      <c r="J70" s="279">
        <f t="shared" si="39"/>
        <v>0</v>
      </c>
      <c r="K70" s="279">
        <f t="shared" si="39"/>
        <v>0</v>
      </c>
      <c r="L70" s="279">
        <f t="shared" si="39"/>
        <v>0</v>
      </c>
      <c r="M70" s="279">
        <f t="shared" si="39"/>
        <v>0.45</v>
      </c>
      <c r="N70" s="279">
        <f t="shared" si="39"/>
        <v>0.45</v>
      </c>
      <c r="O70" s="279">
        <f t="shared" si="39"/>
        <v>0.7</v>
      </c>
      <c r="P70" s="279">
        <f t="shared" si="39"/>
        <v>0.96</v>
      </c>
      <c r="Q70" s="279">
        <f t="shared" si="39"/>
        <v>1.2</v>
      </c>
      <c r="R70" s="279">
        <f t="shared" si="39"/>
        <v>2.82</v>
      </c>
      <c r="S70" s="279">
        <f t="shared" si="39"/>
        <v>0</v>
      </c>
      <c r="T70" s="279">
        <f t="shared" si="39"/>
        <v>0</v>
      </c>
      <c r="U70" s="279">
        <f t="shared" si="39"/>
        <v>0</v>
      </c>
      <c r="V70" s="279">
        <f t="shared" si="39"/>
        <v>0</v>
      </c>
      <c r="W70" s="279">
        <f t="shared" si="39"/>
        <v>0</v>
      </c>
      <c r="X70" s="279">
        <f t="shared" si="39"/>
        <v>0</v>
      </c>
      <c r="Y70" s="279">
        <f t="shared" si="39"/>
        <v>0</v>
      </c>
      <c r="Z70" s="279">
        <f t="shared" si="39"/>
        <v>0</v>
      </c>
      <c r="AA70" s="280">
        <f t="shared" si="39"/>
        <v>0</v>
      </c>
    </row>
    <row r="71" spans="2:27" ht="28.5" x14ac:dyDescent="0.2">
      <c r="B71" s="227" t="s">
        <v>1837</v>
      </c>
      <c r="C71" s="45" t="s">
        <v>1838</v>
      </c>
      <c r="D71" s="49" t="s">
        <v>1707</v>
      </c>
      <c r="E71" s="274" t="s">
        <v>1752</v>
      </c>
      <c r="F71" s="262">
        <v>3</v>
      </c>
      <c r="G71" s="277">
        <f>SUM(G58,G49,G40,G67,G68,G70)</f>
        <v>0</v>
      </c>
      <c r="H71" s="277">
        <f t="shared" ref="H71:AA71" si="40">SUM(H58,H49,H40,H67,H68,H70)</f>
        <v>0</v>
      </c>
      <c r="I71" s="277">
        <f t="shared" si="40"/>
        <v>0</v>
      </c>
      <c r="J71" s="277">
        <f t="shared" si="40"/>
        <v>0</v>
      </c>
      <c r="K71" s="277">
        <f t="shared" si="40"/>
        <v>0</v>
      </c>
      <c r="L71" s="277">
        <f>SUM(L58,L49,L40,L67,L68,L70)</f>
        <v>0</v>
      </c>
      <c r="M71" s="277">
        <f>SUM(M58,M49,M40,M67,M68,M70,M69)</f>
        <v>10.704318680617126</v>
      </c>
      <c r="N71" s="277">
        <f t="shared" ref="N71:R71" si="41">SUM(N58,N49,N40,N67,N68,N70,N69)</f>
        <v>17.488861678617127</v>
      </c>
      <c r="O71" s="277">
        <f t="shared" si="41"/>
        <v>19.872861678617124</v>
      </c>
      <c r="P71" s="277">
        <f t="shared" si="41"/>
        <v>20.990861678617129</v>
      </c>
      <c r="Q71" s="277">
        <f t="shared" si="41"/>
        <v>18.581654083617124</v>
      </c>
      <c r="R71" s="277">
        <f t="shared" si="41"/>
        <v>68.783000000000001</v>
      </c>
      <c r="S71" s="277">
        <f t="shared" si="40"/>
        <v>0</v>
      </c>
      <c r="T71" s="277">
        <f t="shared" si="40"/>
        <v>0</v>
      </c>
      <c r="U71" s="277">
        <f t="shared" si="40"/>
        <v>0</v>
      </c>
      <c r="V71" s="277">
        <f t="shared" si="40"/>
        <v>0</v>
      </c>
      <c r="W71" s="277">
        <f t="shared" si="40"/>
        <v>0</v>
      </c>
      <c r="X71" s="277">
        <f t="shared" si="40"/>
        <v>0</v>
      </c>
      <c r="Y71" s="277">
        <f t="shared" si="40"/>
        <v>0</v>
      </c>
      <c r="Z71" s="277">
        <f t="shared" si="40"/>
        <v>0</v>
      </c>
      <c r="AA71" s="277">
        <f t="shared" si="40"/>
        <v>0</v>
      </c>
    </row>
    <row r="72" spans="2:27" ht="15" thickBot="1" x14ac:dyDescent="0.25">
      <c r="B72" s="1544"/>
      <c r="C72" s="1545"/>
      <c r="D72" s="1427"/>
      <c r="E72" s="1546"/>
      <c r="F72" s="1547"/>
      <c r="G72" s="1548"/>
      <c r="H72" s="1548"/>
      <c r="I72" s="1548"/>
      <c r="J72" s="1548"/>
      <c r="K72" s="1548"/>
      <c r="L72" s="1352"/>
      <c r="M72" s="1352"/>
      <c r="N72" s="1352"/>
      <c r="O72" s="1352"/>
      <c r="P72" s="1352"/>
      <c r="Q72" s="1352"/>
      <c r="R72" s="1352"/>
      <c r="S72" s="1352"/>
      <c r="T72" s="1352"/>
      <c r="U72" s="1352"/>
      <c r="V72" s="1352"/>
      <c r="W72" s="1352"/>
      <c r="X72" s="1352"/>
      <c r="Y72" s="1352"/>
      <c r="Z72" s="1352"/>
      <c r="AA72" s="1354"/>
    </row>
    <row r="73" spans="2:27" ht="60.75" thickBot="1" x14ac:dyDescent="0.25">
      <c r="B73" s="193" t="s">
        <v>1839</v>
      </c>
      <c r="E73" s="1442"/>
      <c r="G73" s="1832" t="s">
        <v>1738</v>
      </c>
      <c r="H73" s="1901"/>
      <c r="I73" s="1901"/>
      <c r="J73" s="1901"/>
      <c r="K73" s="1901"/>
      <c r="L73" s="1901"/>
      <c r="M73" s="1901"/>
      <c r="N73" s="1901"/>
      <c r="O73" s="1901"/>
      <c r="P73" s="1901"/>
      <c r="Q73" s="1833"/>
      <c r="R73" s="1832" t="s">
        <v>1739</v>
      </c>
      <c r="S73" s="1901"/>
      <c r="T73" s="1901"/>
      <c r="U73" s="1901"/>
      <c r="V73" s="1901"/>
      <c r="W73" s="1901"/>
      <c r="X73" s="1901"/>
      <c r="Y73" s="1901"/>
      <c r="Z73" s="1901"/>
      <c r="AA73" s="1833"/>
    </row>
    <row r="74" spans="2:27" ht="45.75" thickBot="1" x14ac:dyDescent="0.25">
      <c r="B74" s="234" t="s">
        <v>1740</v>
      </c>
      <c r="C74" s="235" t="s">
        <v>1702</v>
      </c>
      <c r="D74" s="235" t="s">
        <v>1703</v>
      </c>
      <c r="E74" s="235" t="s">
        <v>206</v>
      </c>
      <c r="F74" s="236" t="s">
        <v>207</v>
      </c>
      <c r="G74" s="234" t="s">
        <v>208</v>
      </c>
      <c r="H74" s="235" t="s">
        <v>209</v>
      </c>
      <c r="I74" s="235" t="s">
        <v>210</v>
      </c>
      <c r="J74" s="235" t="s">
        <v>211</v>
      </c>
      <c r="K74" s="235" t="s">
        <v>212</v>
      </c>
      <c r="L74" s="235" t="s">
        <v>213</v>
      </c>
      <c r="M74" s="235" t="s">
        <v>214</v>
      </c>
      <c r="N74" s="235" t="s">
        <v>215</v>
      </c>
      <c r="O74" s="235" t="s">
        <v>216</v>
      </c>
      <c r="P74" s="235" t="s">
        <v>217</v>
      </c>
      <c r="Q74" s="236" t="s">
        <v>218</v>
      </c>
      <c r="R74" s="239" t="s">
        <v>1741</v>
      </c>
      <c r="S74" s="237" t="s">
        <v>1742</v>
      </c>
      <c r="T74" s="237" t="s">
        <v>1743</v>
      </c>
      <c r="U74" s="237" t="s">
        <v>1744</v>
      </c>
      <c r="V74" s="237" t="s">
        <v>1745</v>
      </c>
      <c r="W74" s="237" t="s">
        <v>1746</v>
      </c>
      <c r="X74" s="237" t="s">
        <v>1747</v>
      </c>
      <c r="Y74" s="237" t="s">
        <v>1748</v>
      </c>
      <c r="Z74" s="237" t="s">
        <v>1749</v>
      </c>
      <c r="AA74" s="238" t="s">
        <v>1750</v>
      </c>
    </row>
    <row r="75" spans="2:27" ht="42.75" x14ac:dyDescent="0.2">
      <c r="B75" s="227" t="s">
        <v>1840</v>
      </c>
      <c r="C75" s="45" t="s">
        <v>1841</v>
      </c>
      <c r="D75" s="49" t="s">
        <v>1496</v>
      </c>
      <c r="E75" s="274" t="s">
        <v>1752</v>
      </c>
      <c r="F75" s="262">
        <v>3</v>
      </c>
      <c r="G75" s="279">
        <f>SUM(G13,G16,G19,G22,G25,G32,G41,G50,G59,G60,G61,G62)</f>
        <v>0</v>
      </c>
      <c r="H75" s="279">
        <f t="shared" ref="H75:AA75" si="42">SUM(H13,H16,H19,H22,H25,H32,H41,H50,H59,H60,H61,H62)</f>
        <v>0</v>
      </c>
      <c r="I75" s="279">
        <f t="shared" si="42"/>
        <v>0</v>
      </c>
      <c r="J75" s="279">
        <f t="shared" si="42"/>
        <v>0</v>
      </c>
      <c r="K75" s="279">
        <f t="shared" si="42"/>
        <v>0</v>
      </c>
      <c r="L75" s="279">
        <f t="shared" si="42"/>
        <v>0</v>
      </c>
      <c r="M75" s="279">
        <f t="shared" si="42"/>
        <v>119.31293838885559</v>
      </c>
      <c r="N75" s="279">
        <f t="shared" si="42"/>
        <v>105.89748138685557</v>
      </c>
      <c r="O75" s="279">
        <f t="shared" si="42"/>
        <v>91.68148138685558</v>
      </c>
      <c r="P75" s="279">
        <f t="shared" si="42"/>
        <v>59.259481386855555</v>
      </c>
      <c r="Q75" s="279">
        <f t="shared" si="42"/>
        <v>56.610273791855562</v>
      </c>
      <c r="R75" s="279">
        <f t="shared" si="42"/>
        <v>135.63592782057691</v>
      </c>
      <c r="S75" s="279">
        <f t="shared" si="42"/>
        <v>168.46949483</v>
      </c>
      <c r="T75" s="279">
        <f t="shared" si="42"/>
        <v>135.52180036347812</v>
      </c>
      <c r="U75" s="279">
        <f t="shared" si="42"/>
        <v>144.67255387720977</v>
      </c>
      <c r="V75" s="279">
        <f t="shared" si="42"/>
        <v>0</v>
      </c>
      <c r="W75" s="279">
        <f t="shared" si="42"/>
        <v>0</v>
      </c>
      <c r="X75" s="279">
        <f t="shared" si="42"/>
        <v>0</v>
      </c>
      <c r="Y75" s="279">
        <f t="shared" si="42"/>
        <v>0</v>
      </c>
      <c r="Z75" s="279">
        <f t="shared" si="42"/>
        <v>0</v>
      </c>
      <c r="AA75" s="279">
        <f t="shared" si="42"/>
        <v>0</v>
      </c>
    </row>
    <row r="76" spans="2:27" ht="42.75" x14ac:dyDescent="0.2">
      <c r="B76" s="227" t="s">
        <v>1842</v>
      </c>
      <c r="C76" s="45" t="s">
        <v>1841</v>
      </c>
      <c r="D76" s="49" t="s">
        <v>1491</v>
      </c>
      <c r="E76" s="274" t="s">
        <v>1752</v>
      </c>
      <c r="F76" s="262">
        <v>3</v>
      </c>
      <c r="G76" s="279">
        <f>SUM(G14,G17,G20,G23,G26,G36,G45,G54,G63,G64,G65,G66)</f>
        <v>0</v>
      </c>
      <c r="H76" s="279">
        <f t="shared" ref="H76:AA76" si="43">SUM(H14,H17,H20,H23,H26,H36,H45,H54,H63,H64,H65,H66)</f>
        <v>0</v>
      </c>
      <c r="I76" s="279">
        <f t="shared" si="43"/>
        <v>0</v>
      </c>
      <c r="J76" s="279">
        <f t="shared" si="43"/>
        <v>0</v>
      </c>
      <c r="K76" s="279">
        <f t="shared" si="43"/>
        <v>0</v>
      </c>
      <c r="L76" s="279">
        <f t="shared" si="43"/>
        <v>0</v>
      </c>
      <c r="M76" s="279">
        <f t="shared" si="43"/>
        <v>3.8731303634010135</v>
      </c>
      <c r="N76" s="279">
        <f t="shared" si="43"/>
        <v>4.269701785881014</v>
      </c>
      <c r="O76" s="279">
        <f t="shared" si="43"/>
        <v>5.9843953638810126</v>
      </c>
      <c r="P76" s="279">
        <f t="shared" si="43"/>
        <v>6.8657803077970136</v>
      </c>
      <c r="Q76" s="279">
        <f t="shared" si="43"/>
        <v>6.9460610233310129</v>
      </c>
      <c r="R76" s="279">
        <f t="shared" si="43"/>
        <v>83.503531080269909</v>
      </c>
      <c r="S76" s="279">
        <f t="shared" si="43"/>
        <v>80.324196936999968</v>
      </c>
      <c r="T76" s="279">
        <f t="shared" si="43"/>
        <v>83.110176939999974</v>
      </c>
      <c r="U76" s="279">
        <f t="shared" si="43"/>
        <v>82.960158939999971</v>
      </c>
      <c r="V76" s="279">
        <f t="shared" si="43"/>
        <v>0</v>
      </c>
      <c r="W76" s="279">
        <f t="shared" si="43"/>
        <v>0</v>
      </c>
      <c r="X76" s="279">
        <f t="shared" si="43"/>
        <v>0</v>
      </c>
      <c r="Y76" s="279">
        <f t="shared" si="43"/>
        <v>0</v>
      </c>
      <c r="Z76" s="279">
        <f t="shared" si="43"/>
        <v>0</v>
      </c>
      <c r="AA76" s="279">
        <f t="shared" si="43"/>
        <v>0</v>
      </c>
    </row>
    <row r="77" spans="2:27" ht="43.5" thickBot="1" x14ac:dyDescent="0.25">
      <c r="B77" s="228" t="s">
        <v>1843</v>
      </c>
      <c r="C77" s="46" t="s">
        <v>1841</v>
      </c>
      <c r="D77" s="51" t="s">
        <v>1707</v>
      </c>
      <c r="E77" s="274" t="s">
        <v>1752</v>
      </c>
      <c r="F77" s="263">
        <v>3</v>
      </c>
      <c r="G77" s="277">
        <f t="shared" ref="G77" si="44">SUM(G75:G76)</f>
        <v>0</v>
      </c>
      <c r="H77" s="277">
        <f t="shared" ref="H77:AA77" si="45">SUM(H75:H76)</f>
        <v>0</v>
      </c>
      <c r="I77" s="277">
        <f t="shared" si="45"/>
        <v>0</v>
      </c>
      <c r="J77" s="277">
        <f t="shared" si="45"/>
        <v>0</v>
      </c>
      <c r="K77" s="277">
        <f t="shared" si="45"/>
        <v>0</v>
      </c>
      <c r="L77" s="277">
        <f t="shared" si="45"/>
        <v>0</v>
      </c>
      <c r="M77" s="277">
        <f t="shared" si="45"/>
        <v>123.1860687522566</v>
      </c>
      <c r="N77" s="277">
        <f t="shared" si="45"/>
        <v>110.16718317273659</v>
      </c>
      <c r="O77" s="277">
        <f t="shared" si="45"/>
        <v>97.665876750736587</v>
      </c>
      <c r="P77" s="277">
        <f t="shared" si="45"/>
        <v>66.125261694652565</v>
      </c>
      <c r="Q77" s="277">
        <f t="shared" si="45"/>
        <v>63.556334815186574</v>
      </c>
      <c r="R77" s="277">
        <f t="shared" si="45"/>
        <v>219.13945890084682</v>
      </c>
      <c r="S77" s="277">
        <f t="shared" si="45"/>
        <v>248.79369176699998</v>
      </c>
      <c r="T77" s="277">
        <f t="shared" si="45"/>
        <v>218.6319773034781</v>
      </c>
      <c r="U77" s="277">
        <f t="shared" si="45"/>
        <v>227.63271281720972</v>
      </c>
      <c r="V77" s="277">
        <f t="shared" si="45"/>
        <v>0</v>
      </c>
      <c r="W77" s="277">
        <f t="shared" si="45"/>
        <v>0</v>
      </c>
      <c r="X77" s="277">
        <f t="shared" si="45"/>
        <v>0</v>
      </c>
      <c r="Y77" s="277">
        <f t="shared" si="45"/>
        <v>0</v>
      </c>
      <c r="Z77" s="277">
        <f t="shared" si="45"/>
        <v>0</v>
      </c>
      <c r="AA77" s="277">
        <f t="shared" si="45"/>
        <v>0</v>
      </c>
    </row>
    <row r="78" spans="2:27" ht="15" thickBot="1" x14ac:dyDescent="0.25">
      <c r="B78" s="229"/>
      <c r="C78" s="230"/>
      <c r="D78" s="53"/>
      <c r="E78" s="231"/>
      <c r="F78" s="232"/>
      <c r="G78" s="241"/>
      <c r="H78" s="241"/>
      <c r="I78" s="241"/>
      <c r="J78" s="241"/>
      <c r="K78" s="241"/>
      <c r="L78" s="241"/>
      <c r="M78" s="241"/>
      <c r="N78" s="241"/>
      <c r="O78" s="241"/>
      <c r="P78" s="241"/>
      <c r="Q78" s="241"/>
      <c r="R78" s="241"/>
      <c r="S78" s="241"/>
      <c r="T78" s="241"/>
      <c r="U78" s="241"/>
      <c r="V78" s="241"/>
      <c r="W78" s="241"/>
      <c r="X78" s="241"/>
      <c r="Y78" s="241"/>
      <c r="Z78" s="241"/>
      <c r="AA78" s="241"/>
    </row>
    <row r="79" spans="2:27" ht="75" customHeight="1" thickBot="1" x14ac:dyDescent="0.25">
      <c r="B79" s="193" t="s">
        <v>1844</v>
      </c>
      <c r="G79" s="1832" t="s">
        <v>1738</v>
      </c>
      <c r="H79" s="1901"/>
      <c r="I79" s="1901"/>
      <c r="J79" s="1901"/>
      <c r="K79" s="1901"/>
      <c r="L79" s="1901"/>
      <c r="M79" s="1901"/>
      <c r="N79" s="1901"/>
      <c r="O79" s="1901"/>
      <c r="P79" s="1901"/>
      <c r="Q79" s="1833"/>
      <c r="R79" s="1832" t="s">
        <v>1739</v>
      </c>
      <c r="S79" s="1901"/>
      <c r="T79" s="1901"/>
      <c r="U79" s="1901"/>
      <c r="V79" s="1901"/>
      <c r="W79" s="1901"/>
      <c r="X79" s="1901"/>
      <c r="Y79" s="1901"/>
      <c r="Z79" s="1901"/>
      <c r="AA79" s="1833"/>
    </row>
    <row r="80" spans="2:27" ht="45.75" thickBot="1" x14ac:dyDescent="0.25">
      <c r="B80" s="234" t="s">
        <v>1740</v>
      </c>
      <c r="C80" s="235" t="s">
        <v>1845</v>
      </c>
      <c r="D80" s="235" t="s">
        <v>1703</v>
      </c>
      <c r="E80" s="235" t="s">
        <v>206</v>
      </c>
      <c r="F80" s="236" t="s">
        <v>207</v>
      </c>
      <c r="G80" s="234" t="s">
        <v>208</v>
      </c>
      <c r="H80" s="235" t="s">
        <v>209</v>
      </c>
      <c r="I80" s="235" t="s">
        <v>210</v>
      </c>
      <c r="J80" s="235" t="s">
        <v>211</v>
      </c>
      <c r="K80" s="235" t="s">
        <v>212</v>
      </c>
      <c r="L80" s="235" t="s">
        <v>213</v>
      </c>
      <c r="M80" s="235" t="s">
        <v>214</v>
      </c>
      <c r="N80" s="235" t="s">
        <v>215</v>
      </c>
      <c r="O80" s="235" t="s">
        <v>216</v>
      </c>
      <c r="P80" s="235" t="s">
        <v>217</v>
      </c>
      <c r="Q80" s="236" t="s">
        <v>218</v>
      </c>
      <c r="R80" s="239" t="s">
        <v>1741</v>
      </c>
      <c r="S80" s="237" t="s">
        <v>1742</v>
      </c>
      <c r="T80" s="237" t="s">
        <v>1743</v>
      </c>
      <c r="U80" s="237" t="s">
        <v>1744</v>
      </c>
      <c r="V80" s="237" t="s">
        <v>1745</v>
      </c>
      <c r="W80" s="237" t="s">
        <v>1746</v>
      </c>
      <c r="X80" s="237" t="s">
        <v>1747</v>
      </c>
      <c r="Y80" s="237" t="s">
        <v>1748</v>
      </c>
      <c r="Z80" s="237" t="s">
        <v>1749</v>
      </c>
      <c r="AA80" s="238" t="s">
        <v>1750</v>
      </c>
    </row>
    <row r="81" spans="2:27" ht="28.5" x14ac:dyDescent="0.2">
      <c r="B81" s="1082" t="s">
        <v>1846</v>
      </c>
      <c r="C81" s="1083" t="s">
        <v>1847</v>
      </c>
      <c r="D81" s="1084" t="s">
        <v>1848</v>
      </c>
      <c r="E81" s="1085" t="s">
        <v>236</v>
      </c>
      <c r="F81" s="1086">
        <v>2</v>
      </c>
      <c r="G81" s="356"/>
      <c r="H81" s="357"/>
      <c r="I81" s="357"/>
      <c r="J81" s="357"/>
      <c r="K81" s="357"/>
      <c r="L81" s="357"/>
      <c r="M81" s="283">
        <v>0</v>
      </c>
      <c r="N81" s="283">
        <v>0</v>
      </c>
      <c r="O81" s="283">
        <v>7</v>
      </c>
      <c r="P81" s="283">
        <v>7</v>
      </c>
      <c r="Q81" s="283">
        <v>7</v>
      </c>
      <c r="R81" s="283">
        <v>190.5</v>
      </c>
      <c r="S81" s="283">
        <v>212.5</v>
      </c>
      <c r="T81" s="283">
        <v>294.5</v>
      </c>
      <c r="U81" s="283">
        <v>375.5</v>
      </c>
      <c r="V81" s="283"/>
      <c r="W81" s="283"/>
      <c r="X81" s="283"/>
      <c r="Y81" s="283"/>
      <c r="Z81" s="283"/>
      <c r="AA81" s="283"/>
    </row>
    <row r="82" spans="2:27" ht="57" x14ac:dyDescent="0.2">
      <c r="B82" s="227" t="s">
        <v>1849</v>
      </c>
      <c r="C82" s="45" t="s">
        <v>1850</v>
      </c>
      <c r="D82" s="49" t="s">
        <v>1848</v>
      </c>
      <c r="E82" s="50" t="s">
        <v>236</v>
      </c>
      <c r="F82" s="262">
        <v>2</v>
      </c>
      <c r="G82" s="356"/>
      <c r="H82" s="357"/>
      <c r="I82" s="357">
        <v>0</v>
      </c>
      <c r="J82" s="357">
        <v>0</v>
      </c>
      <c r="K82" s="357">
        <v>0</v>
      </c>
      <c r="L82" s="1437">
        <v>0</v>
      </c>
      <c r="M82" s="283">
        <v>3.0305155756062501</v>
      </c>
      <c r="N82" s="283">
        <v>5.9486713566369325</v>
      </c>
      <c r="O82" s="283">
        <v>9.3874668243483672</v>
      </c>
      <c r="P82" s="283">
        <v>12.690144845324282</v>
      </c>
      <c r="Q82" s="283">
        <v>15.805177314325826</v>
      </c>
      <c r="R82" s="283">
        <v>127.97005118267479</v>
      </c>
      <c r="S82" s="283">
        <v>192.07577816279789</v>
      </c>
      <c r="T82" s="283">
        <v>232.46554699673626</v>
      </c>
      <c r="U82" s="283">
        <v>245.45795806752398</v>
      </c>
      <c r="V82" s="283"/>
      <c r="W82" s="283"/>
      <c r="X82" s="283"/>
      <c r="Y82" s="283"/>
      <c r="Z82" s="283"/>
      <c r="AA82" s="1436"/>
    </row>
    <row r="83" spans="2:27" ht="28.5" x14ac:dyDescent="0.2">
      <c r="B83" s="227" t="s">
        <v>1851</v>
      </c>
      <c r="C83" s="45" t="s">
        <v>1766</v>
      </c>
      <c r="D83" s="49" t="s">
        <v>1848</v>
      </c>
      <c r="E83" s="50" t="s">
        <v>236</v>
      </c>
      <c r="F83" s="262">
        <v>2</v>
      </c>
      <c r="G83" s="356"/>
      <c r="H83" s="357"/>
      <c r="I83" s="357">
        <v>0</v>
      </c>
      <c r="J83" s="357">
        <v>0</v>
      </c>
      <c r="K83" s="357">
        <v>0</v>
      </c>
      <c r="L83" s="1437">
        <v>0</v>
      </c>
      <c r="M83" s="283">
        <v>0.54600000000000359</v>
      </c>
      <c r="N83" s="283">
        <v>1.0920000000000012</v>
      </c>
      <c r="O83" s="283">
        <v>1.6380000000000008</v>
      </c>
      <c r="P83" s="283">
        <v>2.1840000000000117</v>
      </c>
      <c r="Q83" s="283">
        <v>2.7300000000000058</v>
      </c>
      <c r="R83" s="283">
        <v>21.84000000000005</v>
      </c>
      <c r="S83" s="283">
        <v>35.490000000000094</v>
      </c>
      <c r="T83" s="283">
        <v>49.140000000000121</v>
      </c>
      <c r="U83" s="283">
        <v>62.79000000000012</v>
      </c>
      <c r="V83" s="283"/>
      <c r="W83" s="283"/>
      <c r="X83" s="283"/>
      <c r="Y83" s="283"/>
      <c r="Z83" s="283"/>
      <c r="AA83" s="1436"/>
    </row>
    <row r="84" spans="2:27" ht="28.5" x14ac:dyDescent="0.2">
      <c r="B84" s="227" t="s">
        <v>1852</v>
      </c>
      <c r="C84" s="45" t="s">
        <v>1853</v>
      </c>
      <c r="D84" s="49" t="s">
        <v>1848</v>
      </c>
      <c r="E84" s="50" t="s">
        <v>236</v>
      </c>
      <c r="F84" s="262">
        <v>2</v>
      </c>
      <c r="G84" s="356"/>
      <c r="H84" s="357"/>
      <c r="I84" s="357"/>
      <c r="J84" s="357"/>
      <c r="K84" s="357"/>
      <c r="L84" s="1437"/>
      <c r="M84" s="283"/>
      <c r="N84" s="283"/>
      <c r="O84" s="283"/>
      <c r="P84" s="283"/>
      <c r="Q84" s="283"/>
      <c r="R84" s="283"/>
      <c r="S84" s="283"/>
      <c r="T84" s="283"/>
      <c r="U84" s="283"/>
      <c r="V84" s="283"/>
      <c r="W84" s="283"/>
      <c r="X84" s="283"/>
      <c r="Y84" s="283"/>
      <c r="Z84" s="283"/>
      <c r="AA84" s="1436"/>
    </row>
    <row r="85" spans="2:27" ht="28.5" x14ac:dyDescent="0.2">
      <c r="B85" s="227" t="s">
        <v>1854</v>
      </c>
      <c r="C85" s="45" t="s">
        <v>1855</v>
      </c>
      <c r="D85" s="49" t="s">
        <v>1848</v>
      </c>
      <c r="E85" s="50" t="s">
        <v>236</v>
      </c>
      <c r="F85" s="262">
        <v>2</v>
      </c>
      <c r="G85" s="1081">
        <f t="shared" ref="G85:AA85" si="46">SUM(G86:G92)</f>
        <v>0</v>
      </c>
      <c r="H85" s="1081">
        <f t="shared" si="46"/>
        <v>0</v>
      </c>
      <c r="I85" s="1081">
        <f t="shared" si="46"/>
        <v>0</v>
      </c>
      <c r="J85" s="1081">
        <f t="shared" si="46"/>
        <v>0</v>
      </c>
      <c r="K85" s="1081">
        <f t="shared" si="46"/>
        <v>0</v>
      </c>
      <c r="L85" s="1081">
        <f t="shared" si="46"/>
        <v>0</v>
      </c>
      <c r="M85" s="1081">
        <f t="shared" si="46"/>
        <v>0.22100158769222816</v>
      </c>
      <c r="N85" s="1081">
        <f t="shared" si="46"/>
        <v>0.21010740931006378</v>
      </c>
      <c r="O85" s="1081">
        <f t="shared" si="46"/>
        <v>0.44873551135940726</v>
      </c>
      <c r="P85" s="1081">
        <f t="shared" si="46"/>
        <v>1.2925417663027809</v>
      </c>
      <c r="Q85" s="1081">
        <f t="shared" si="46"/>
        <v>2.0266760121971128</v>
      </c>
      <c r="R85" s="1081">
        <f t="shared" si="46"/>
        <v>16.866696262403924</v>
      </c>
      <c r="S85" s="1081">
        <f t="shared" si="46"/>
        <v>18.414401100437999</v>
      </c>
      <c r="T85" s="1081">
        <f t="shared" si="46"/>
        <v>19.179903525634366</v>
      </c>
      <c r="U85" s="1081">
        <f t="shared" si="46"/>
        <v>19.66045889893503</v>
      </c>
      <c r="V85" s="1081">
        <f t="shared" si="46"/>
        <v>0</v>
      </c>
      <c r="W85" s="1081">
        <f t="shared" si="46"/>
        <v>0</v>
      </c>
      <c r="X85" s="1081">
        <f t="shared" si="46"/>
        <v>0</v>
      </c>
      <c r="Y85" s="1081">
        <f t="shared" si="46"/>
        <v>0</v>
      </c>
      <c r="Z85" s="1081">
        <f t="shared" si="46"/>
        <v>0</v>
      </c>
      <c r="AA85" s="1081">
        <f t="shared" si="46"/>
        <v>0</v>
      </c>
    </row>
    <row r="86" spans="2:27" ht="57" x14ac:dyDescent="0.2">
      <c r="B86" s="227" t="s">
        <v>1856</v>
      </c>
      <c r="C86" s="45" t="s">
        <v>1857</v>
      </c>
      <c r="D86" s="49" t="s">
        <v>1848</v>
      </c>
      <c r="E86" s="50" t="s">
        <v>236</v>
      </c>
      <c r="F86" s="262">
        <v>2</v>
      </c>
      <c r="G86" s="356"/>
      <c r="H86" s="357"/>
      <c r="I86" s="357">
        <v>0</v>
      </c>
      <c r="J86" s="357">
        <v>0</v>
      </c>
      <c r="K86" s="357">
        <v>0</v>
      </c>
      <c r="L86" s="1437">
        <v>0</v>
      </c>
      <c r="M86" s="283">
        <v>0</v>
      </c>
      <c r="N86" s="283">
        <v>0</v>
      </c>
      <c r="O86" s="283">
        <v>0</v>
      </c>
      <c r="P86" s="283">
        <v>0</v>
      </c>
      <c r="Q86" s="283">
        <v>0</v>
      </c>
      <c r="R86" s="283">
        <v>0</v>
      </c>
      <c r="S86" s="283">
        <v>0</v>
      </c>
      <c r="T86" s="283">
        <v>0</v>
      </c>
      <c r="U86" s="283">
        <v>0</v>
      </c>
      <c r="V86" s="283"/>
      <c r="W86" s="283"/>
      <c r="X86" s="283"/>
      <c r="Y86" s="283"/>
      <c r="Z86" s="283"/>
      <c r="AA86" s="1436"/>
    </row>
    <row r="87" spans="2:27" ht="57" x14ac:dyDescent="0.2">
      <c r="B87" s="227" t="s">
        <v>1858</v>
      </c>
      <c r="C87" s="45" t="s">
        <v>1859</v>
      </c>
      <c r="D87" s="49" t="s">
        <v>1848</v>
      </c>
      <c r="E87" s="50" t="s">
        <v>236</v>
      </c>
      <c r="F87" s="262">
        <v>2</v>
      </c>
      <c r="G87" s="356"/>
      <c r="H87" s="357"/>
      <c r="I87" s="357">
        <v>0</v>
      </c>
      <c r="J87" s="357">
        <v>0</v>
      </c>
      <c r="K87" s="357">
        <v>0</v>
      </c>
      <c r="L87" s="1437">
        <v>0</v>
      </c>
      <c r="M87" s="283">
        <v>0</v>
      </c>
      <c r="N87" s="283">
        <v>0</v>
      </c>
      <c r="O87" s="283">
        <v>0</v>
      </c>
      <c r="P87" s="283">
        <v>0</v>
      </c>
      <c r="Q87" s="283">
        <v>0</v>
      </c>
      <c r="R87" s="283">
        <v>0</v>
      </c>
      <c r="S87" s="283">
        <v>0</v>
      </c>
      <c r="T87" s="283">
        <v>0</v>
      </c>
      <c r="U87" s="283">
        <v>0</v>
      </c>
      <c r="V87" s="283"/>
      <c r="W87" s="283"/>
      <c r="X87" s="283"/>
      <c r="Y87" s="283"/>
      <c r="Z87" s="283"/>
      <c r="AA87" s="1436"/>
    </row>
    <row r="88" spans="2:27" ht="57" x14ac:dyDescent="0.2">
      <c r="B88" s="227" t="s">
        <v>1860</v>
      </c>
      <c r="C88" s="45" t="s">
        <v>1861</v>
      </c>
      <c r="D88" s="49" t="s">
        <v>1848</v>
      </c>
      <c r="E88" s="50" t="s">
        <v>236</v>
      </c>
      <c r="F88" s="262">
        <v>2</v>
      </c>
      <c r="G88" s="356"/>
      <c r="H88" s="357"/>
      <c r="I88" s="357">
        <v>0</v>
      </c>
      <c r="J88" s="357">
        <v>0</v>
      </c>
      <c r="K88" s="357">
        <v>0</v>
      </c>
      <c r="L88" s="1437">
        <v>0</v>
      </c>
      <c r="M88" s="283">
        <v>0.15250628157361845</v>
      </c>
      <c r="N88" s="283">
        <v>0.36522850835634557</v>
      </c>
      <c r="O88" s="283">
        <v>0.38174294872393411</v>
      </c>
      <c r="P88" s="283">
        <v>0.76721555337278602</v>
      </c>
      <c r="Q88" s="283">
        <v>1.0969063736166795</v>
      </c>
      <c r="R88" s="283">
        <v>9.4313603382140005</v>
      </c>
      <c r="S88" s="283">
        <v>8.6880508543335626</v>
      </c>
      <c r="T88" s="283">
        <v>13.660877154059612</v>
      </c>
      <c r="U88" s="283">
        <v>17.319515305383938</v>
      </c>
      <c r="V88" s="283"/>
      <c r="W88" s="283"/>
      <c r="X88" s="283"/>
      <c r="Y88" s="283"/>
      <c r="Z88" s="283"/>
      <c r="AA88" s="1436"/>
    </row>
    <row r="89" spans="2:27" ht="99.75" x14ac:dyDescent="0.2">
      <c r="B89" s="227" t="s">
        <v>1862</v>
      </c>
      <c r="C89" s="45" t="s">
        <v>1863</v>
      </c>
      <c r="D89" s="49" t="s">
        <v>1848</v>
      </c>
      <c r="E89" s="50" t="s">
        <v>236</v>
      </c>
      <c r="F89" s="262">
        <v>2</v>
      </c>
      <c r="G89" s="356"/>
      <c r="H89" s="357"/>
      <c r="I89" s="357">
        <v>0</v>
      </c>
      <c r="J89" s="357">
        <v>0</v>
      </c>
      <c r="K89" s="357">
        <v>0</v>
      </c>
      <c r="L89" s="1437">
        <v>0</v>
      </c>
      <c r="M89" s="283">
        <v>0</v>
      </c>
      <c r="N89" s="283">
        <v>0</v>
      </c>
      <c r="O89" s="283">
        <v>0</v>
      </c>
      <c r="P89" s="283">
        <v>0</v>
      </c>
      <c r="Q89" s="283">
        <v>0</v>
      </c>
      <c r="R89" s="283">
        <v>0</v>
      </c>
      <c r="S89" s="283">
        <v>0</v>
      </c>
      <c r="T89" s="283">
        <v>0</v>
      </c>
      <c r="U89" s="283">
        <v>0</v>
      </c>
      <c r="V89" s="283"/>
      <c r="W89" s="283"/>
      <c r="X89" s="283"/>
      <c r="Y89" s="283"/>
      <c r="Z89" s="283"/>
      <c r="AA89" s="1436"/>
    </row>
    <row r="90" spans="2:27" ht="99.75" x14ac:dyDescent="0.2">
      <c r="B90" s="227" t="s">
        <v>1864</v>
      </c>
      <c r="C90" s="45" t="s">
        <v>1865</v>
      </c>
      <c r="D90" s="49" t="s">
        <v>1848</v>
      </c>
      <c r="E90" s="50" t="s">
        <v>236</v>
      </c>
      <c r="F90" s="262">
        <v>2</v>
      </c>
      <c r="G90" s="356"/>
      <c r="H90" s="357"/>
      <c r="I90" s="357">
        <v>0</v>
      </c>
      <c r="J90" s="357">
        <v>0</v>
      </c>
      <c r="K90" s="357">
        <v>0</v>
      </c>
      <c r="L90" s="1437">
        <v>0</v>
      </c>
      <c r="M90" s="283">
        <v>6.8495306118609711E-2</v>
      </c>
      <c r="N90" s="283">
        <v>-0.1551210990462818</v>
      </c>
      <c r="O90" s="283">
        <v>6.6992562635473152E-2</v>
      </c>
      <c r="P90" s="283">
        <v>0.52532621292999493</v>
      </c>
      <c r="Q90" s="283">
        <v>0.92976963858043327</v>
      </c>
      <c r="R90" s="283">
        <v>7.4353359241899231</v>
      </c>
      <c r="S90" s="283">
        <v>9.7263502461044364</v>
      </c>
      <c r="T90" s="283">
        <v>5.5190263715747534</v>
      </c>
      <c r="U90" s="283">
        <v>2.3409435935510921</v>
      </c>
      <c r="V90" s="283"/>
      <c r="W90" s="283"/>
      <c r="X90" s="283"/>
      <c r="Y90" s="283"/>
      <c r="Z90" s="283"/>
      <c r="AA90" s="1436"/>
    </row>
    <row r="91" spans="2:27" ht="99.75" x14ac:dyDescent="0.2">
      <c r="B91" s="227" t="s">
        <v>1866</v>
      </c>
      <c r="C91" s="45" t="s">
        <v>1867</v>
      </c>
      <c r="D91" s="49" t="s">
        <v>1848</v>
      </c>
      <c r="E91" s="50" t="s">
        <v>236</v>
      </c>
      <c r="F91" s="262">
        <v>2</v>
      </c>
      <c r="G91" s="356"/>
      <c r="H91" s="357"/>
      <c r="I91" s="357">
        <v>0</v>
      </c>
      <c r="J91" s="357">
        <v>0</v>
      </c>
      <c r="K91" s="357">
        <v>0</v>
      </c>
      <c r="L91" s="1437">
        <v>0</v>
      </c>
      <c r="M91" s="283">
        <v>0</v>
      </c>
      <c r="N91" s="283">
        <v>0</v>
      </c>
      <c r="O91" s="283">
        <v>0</v>
      </c>
      <c r="P91" s="283">
        <v>0</v>
      </c>
      <c r="Q91" s="283">
        <v>0</v>
      </c>
      <c r="R91" s="283">
        <v>0</v>
      </c>
      <c r="S91" s="283">
        <v>0</v>
      </c>
      <c r="T91" s="283">
        <v>0</v>
      </c>
      <c r="U91" s="283">
        <v>0</v>
      </c>
      <c r="V91" s="283"/>
      <c r="W91" s="283"/>
      <c r="X91" s="283"/>
      <c r="Y91" s="283"/>
      <c r="Z91" s="283"/>
      <c r="AA91" s="1436"/>
    </row>
    <row r="92" spans="2:27" ht="100.5" thickBot="1" x14ac:dyDescent="0.25">
      <c r="B92" s="228" t="s">
        <v>1868</v>
      </c>
      <c r="C92" s="46" t="s">
        <v>1869</v>
      </c>
      <c r="D92" s="51" t="s">
        <v>1848</v>
      </c>
      <c r="E92" s="52" t="s">
        <v>236</v>
      </c>
      <c r="F92" s="263">
        <v>2</v>
      </c>
      <c r="G92" s="356"/>
      <c r="H92" s="357"/>
      <c r="I92" s="357">
        <v>0</v>
      </c>
      <c r="J92" s="357">
        <v>0</v>
      </c>
      <c r="K92" s="357">
        <v>0</v>
      </c>
      <c r="L92" s="1437">
        <v>0</v>
      </c>
      <c r="M92" s="283">
        <v>0</v>
      </c>
      <c r="N92" s="283">
        <v>0</v>
      </c>
      <c r="O92" s="283">
        <v>0</v>
      </c>
      <c r="P92" s="283">
        <v>0</v>
      </c>
      <c r="Q92" s="283">
        <v>0</v>
      </c>
      <c r="R92" s="283">
        <v>0</v>
      </c>
      <c r="S92" s="283">
        <v>0</v>
      </c>
      <c r="T92" s="283">
        <v>0</v>
      </c>
      <c r="U92" s="283">
        <v>0</v>
      </c>
      <c r="V92" s="283"/>
      <c r="W92" s="283"/>
      <c r="X92" s="283"/>
      <c r="Y92" s="283"/>
      <c r="Z92" s="283"/>
      <c r="AA92" s="1436"/>
    </row>
    <row r="93" spans="2:27" ht="15" thickBot="1" x14ac:dyDescent="0.25">
      <c r="B93" s="229"/>
      <c r="C93" s="230"/>
      <c r="D93" s="53"/>
      <c r="E93" s="231"/>
      <c r="F93" s="232"/>
      <c r="G93" s="241"/>
      <c r="H93" s="241"/>
      <c r="I93" s="241"/>
      <c r="J93" s="241"/>
      <c r="K93" s="241"/>
      <c r="L93" s="241"/>
      <c r="M93" s="241"/>
      <c r="N93" s="241"/>
      <c r="O93" s="241"/>
      <c r="P93" s="241"/>
      <c r="Q93" s="241"/>
      <c r="R93" s="241"/>
      <c r="S93" s="241"/>
      <c r="T93" s="241"/>
      <c r="U93" s="241"/>
      <c r="V93" s="241"/>
      <c r="W93" s="241"/>
      <c r="X93" s="241"/>
      <c r="Y93" s="241"/>
      <c r="Z93" s="241"/>
      <c r="AA93" s="241"/>
    </row>
    <row r="94" spans="2:27" ht="45.75" thickBot="1" x14ac:dyDescent="0.25">
      <c r="B94" s="193" t="s">
        <v>1870</v>
      </c>
      <c r="G94" s="1832" t="s">
        <v>1738</v>
      </c>
      <c r="H94" s="1901"/>
      <c r="I94" s="1901"/>
      <c r="J94" s="1901"/>
      <c r="K94" s="1901"/>
      <c r="L94" s="1901"/>
      <c r="M94" s="1901"/>
      <c r="N94" s="1901"/>
      <c r="O94" s="1901"/>
      <c r="P94" s="1901"/>
      <c r="Q94" s="1833"/>
      <c r="R94" s="1832" t="s">
        <v>1739</v>
      </c>
      <c r="S94" s="1901"/>
      <c r="T94" s="1901"/>
      <c r="U94" s="1901"/>
      <c r="V94" s="1901"/>
      <c r="W94" s="1901"/>
      <c r="X94" s="1901"/>
      <c r="Y94" s="1901"/>
      <c r="Z94" s="1901"/>
      <c r="AA94" s="1833"/>
    </row>
    <row r="95" spans="2:27" ht="45.75" thickBot="1" x14ac:dyDescent="0.25">
      <c r="B95" s="234" t="s">
        <v>1740</v>
      </c>
      <c r="C95" s="235" t="s">
        <v>1702</v>
      </c>
      <c r="D95" s="235" t="s">
        <v>1703</v>
      </c>
      <c r="E95" s="235" t="s">
        <v>206</v>
      </c>
      <c r="F95" s="236" t="s">
        <v>207</v>
      </c>
      <c r="G95" s="234" t="s">
        <v>208</v>
      </c>
      <c r="H95" s="235" t="s">
        <v>209</v>
      </c>
      <c r="I95" s="235" t="s">
        <v>210</v>
      </c>
      <c r="J95" s="235" t="s">
        <v>211</v>
      </c>
      <c r="K95" s="235" t="s">
        <v>212</v>
      </c>
      <c r="L95" s="235" t="s">
        <v>213</v>
      </c>
      <c r="M95" s="235" t="s">
        <v>214</v>
      </c>
      <c r="N95" s="235" t="s">
        <v>215</v>
      </c>
      <c r="O95" s="235" t="s">
        <v>216</v>
      </c>
      <c r="P95" s="235" t="s">
        <v>217</v>
      </c>
      <c r="Q95" s="236" t="s">
        <v>218</v>
      </c>
      <c r="R95" s="239" t="s">
        <v>1741</v>
      </c>
      <c r="S95" s="237" t="s">
        <v>1742</v>
      </c>
      <c r="T95" s="237" t="s">
        <v>1743</v>
      </c>
      <c r="U95" s="237" t="s">
        <v>1744</v>
      </c>
      <c r="V95" s="237" t="s">
        <v>1745</v>
      </c>
      <c r="W95" s="237" t="s">
        <v>1746</v>
      </c>
      <c r="X95" s="237" t="s">
        <v>1747</v>
      </c>
      <c r="Y95" s="237" t="s">
        <v>1748</v>
      </c>
      <c r="Z95" s="237" t="s">
        <v>1749</v>
      </c>
      <c r="AA95" s="238" t="s">
        <v>1750</v>
      </c>
    </row>
    <row r="96" spans="2:27" ht="57" x14ac:dyDescent="0.2">
      <c r="B96" s="227" t="s">
        <v>1871</v>
      </c>
      <c r="C96" s="45" t="s">
        <v>1872</v>
      </c>
      <c r="D96" s="49" t="s">
        <v>1707</v>
      </c>
      <c r="E96" s="274" t="s">
        <v>1752</v>
      </c>
      <c r="F96" s="262">
        <v>3</v>
      </c>
      <c r="G96" s="354"/>
      <c r="H96" s="355"/>
      <c r="I96" s="355"/>
      <c r="J96" s="355"/>
      <c r="K96" s="355"/>
      <c r="L96" s="355"/>
      <c r="M96" s="281">
        <v>0</v>
      </c>
      <c r="N96" s="281">
        <v>0</v>
      </c>
      <c r="O96" s="281">
        <v>0</v>
      </c>
      <c r="P96" s="281">
        <v>0</v>
      </c>
      <c r="Q96" s="281">
        <v>0</v>
      </c>
      <c r="R96" s="281">
        <f>SUM(M97:Q97)-17.97</f>
        <v>10.166296374000002</v>
      </c>
      <c r="S96" s="281">
        <f>SUM(TBL8f_Leakage_Totex[2030-31 
to 
2034-35])-19</f>
        <v>17.802029780576909</v>
      </c>
      <c r="T96" s="281">
        <f>TBL8f_Leakage_Totex[[#This Row],[2035-36 
to 
2039-40]]</f>
        <v>17.802029780576909</v>
      </c>
      <c r="U96" s="281">
        <f>TBL8f_Leakage_Totex[[#This Row],[2040-41 
to 
2044-45]]</f>
        <v>17.802029780576909</v>
      </c>
      <c r="V96" s="281"/>
      <c r="W96" s="281"/>
      <c r="X96" s="281"/>
      <c r="Y96" s="281"/>
      <c r="Z96" s="281"/>
      <c r="AA96" s="281"/>
    </row>
    <row r="97" spans="2:27" ht="43.5" thickBot="1" x14ac:dyDescent="0.25">
      <c r="B97" s="228" t="s">
        <v>1873</v>
      </c>
      <c r="C97" s="46" t="s">
        <v>1874</v>
      </c>
      <c r="D97" s="51" t="s">
        <v>1707</v>
      </c>
      <c r="E97" s="274" t="s">
        <v>1752</v>
      </c>
      <c r="F97" s="263">
        <v>3</v>
      </c>
      <c r="G97" s="358"/>
      <c r="H97" s="359"/>
      <c r="I97" s="359"/>
      <c r="J97" s="359"/>
      <c r="K97" s="359"/>
      <c r="L97" s="359"/>
      <c r="M97" s="284">
        <f t="shared" ref="M97:Q97" si="47">M21</f>
        <v>5.6272592748000001</v>
      </c>
      <c r="N97" s="284">
        <f t="shared" si="47"/>
        <v>5.6272592748000001</v>
      </c>
      <c r="O97" s="284">
        <f t="shared" si="47"/>
        <v>5.6272592748000001</v>
      </c>
      <c r="P97" s="284">
        <f t="shared" si="47"/>
        <v>5.6272592748000001</v>
      </c>
      <c r="Q97" s="284">
        <f t="shared" si="47"/>
        <v>5.6272592748000001</v>
      </c>
      <c r="R97" s="284">
        <f>R21-R96</f>
        <v>26.635733406576907</v>
      </c>
      <c r="S97" s="284">
        <f>S21-S96</f>
        <v>28.08719298942308</v>
      </c>
      <c r="T97" s="284">
        <f>T21-T96</f>
        <v>139.07949852290119</v>
      </c>
      <c r="U97" s="284">
        <f>U21-U96</f>
        <v>148.23025203663283</v>
      </c>
      <c r="V97" s="284"/>
      <c r="W97" s="284"/>
      <c r="X97" s="284"/>
      <c r="Y97" s="284"/>
      <c r="Z97" s="284"/>
      <c r="AA97" s="284"/>
    </row>
    <row r="98" spans="2:27" ht="15" x14ac:dyDescent="0.25">
      <c r="B98" s="223"/>
      <c r="C98" s="242"/>
      <c r="D98" s="242"/>
      <c r="E98" s="242"/>
      <c r="F98" s="242"/>
    </row>
    <row r="99" spans="2:27" ht="15" thickBot="1" x14ac:dyDescent="0.25"/>
    <row r="100" spans="2:27" ht="30.75" thickBot="1" x14ac:dyDescent="0.25">
      <c r="B100" s="365" t="s">
        <v>64</v>
      </c>
      <c r="C100" s="58" t="str">
        <f>'TITLE PAGE'!$D$18</f>
        <v>Essex &amp; Suffolk Water</v>
      </c>
      <c r="D100" s="363" t="s">
        <v>2</v>
      </c>
      <c r="E100" s="1471">
        <f>E2</f>
        <v>16</v>
      </c>
      <c r="G100" s="1151" t="s">
        <v>63</v>
      </c>
    </row>
    <row r="101" spans="2:27" ht="43.5" thickBot="1" x14ac:dyDescent="0.25">
      <c r="B101" s="364" t="s">
        <v>200</v>
      </c>
      <c r="C101" s="1164" t="s">
        <v>1875</v>
      </c>
      <c r="D101" s="360" t="s">
        <v>1736</v>
      </c>
      <c r="E101" s="1356">
        <v>1325.6169701652771</v>
      </c>
      <c r="F101" s="1408"/>
    </row>
    <row r="102" spans="2:27" ht="15" thickBot="1" x14ac:dyDescent="0.25"/>
    <row r="103" spans="2:27" ht="45.75" thickBot="1" x14ac:dyDescent="0.25">
      <c r="B103" s="193" t="s">
        <v>1737</v>
      </c>
      <c r="G103" s="1832" t="s">
        <v>1738</v>
      </c>
      <c r="H103" s="1901"/>
      <c r="I103" s="1901"/>
      <c r="J103" s="1901"/>
      <c r="K103" s="1901"/>
      <c r="L103" s="1901"/>
      <c r="M103" s="1901"/>
      <c r="N103" s="1901"/>
      <c r="O103" s="1901"/>
      <c r="P103" s="1901"/>
      <c r="Q103" s="1833"/>
      <c r="R103" s="1832" t="s">
        <v>1739</v>
      </c>
      <c r="S103" s="1901"/>
      <c r="T103" s="1901"/>
      <c r="U103" s="1901"/>
      <c r="V103" s="1901"/>
      <c r="W103" s="1901"/>
      <c r="X103" s="1901"/>
      <c r="Y103" s="1901"/>
      <c r="Z103" s="1901"/>
      <c r="AA103" s="1833"/>
    </row>
    <row r="104" spans="2:27" ht="45.75" thickBot="1" x14ac:dyDescent="0.25">
      <c r="B104" s="234" t="s">
        <v>1740</v>
      </c>
      <c r="C104" s="235" t="s">
        <v>1702</v>
      </c>
      <c r="D104" s="235" t="s">
        <v>1703</v>
      </c>
      <c r="E104" s="235" t="s">
        <v>206</v>
      </c>
      <c r="F104" s="236" t="s">
        <v>207</v>
      </c>
      <c r="G104" s="234" t="s">
        <v>208</v>
      </c>
      <c r="H104" s="235" t="s">
        <v>209</v>
      </c>
      <c r="I104" s="235" t="s">
        <v>210</v>
      </c>
      <c r="J104" s="235" t="s">
        <v>211</v>
      </c>
      <c r="K104" s="235" t="s">
        <v>212</v>
      </c>
      <c r="L104" s="235" t="s">
        <v>213</v>
      </c>
      <c r="M104" s="235" t="s">
        <v>214</v>
      </c>
      <c r="N104" s="235" t="s">
        <v>215</v>
      </c>
      <c r="O104" s="235" t="s">
        <v>216</v>
      </c>
      <c r="P104" s="235" t="s">
        <v>217</v>
      </c>
      <c r="Q104" s="236" t="s">
        <v>218</v>
      </c>
      <c r="R104" s="239" t="s">
        <v>1741</v>
      </c>
      <c r="S104" s="237" t="s">
        <v>1742</v>
      </c>
      <c r="T104" s="237" t="s">
        <v>1743</v>
      </c>
      <c r="U104" s="237" t="s">
        <v>1744</v>
      </c>
      <c r="V104" s="237" t="s">
        <v>1745</v>
      </c>
      <c r="W104" s="237" t="s">
        <v>1746</v>
      </c>
      <c r="X104" s="237" t="s">
        <v>1747</v>
      </c>
      <c r="Y104" s="237" t="s">
        <v>1748</v>
      </c>
      <c r="Z104" s="237" t="s">
        <v>1749</v>
      </c>
      <c r="AA104" s="238" t="s">
        <v>1750</v>
      </c>
    </row>
    <row r="105" spans="2:27" ht="28.5" x14ac:dyDescent="0.2">
      <c r="B105" s="233" t="s">
        <v>1751</v>
      </c>
      <c r="C105" s="224" t="s">
        <v>1706</v>
      </c>
      <c r="D105" s="225" t="s">
        <v>1707</v>
      </c>
      <c r="E105" s="274" t="s">
        <v>1752</v>
      </c>
      <c r="F105" s="273">
        <v>3</v>
      </c>
      <c r="G105" s="350"/>
      <c r="H105" s="351"/>
      <c r="I105" s="351"/>
      <c r="J105" s="351"/>
      <c r="K105" s="351"/>
      <c r="L105" s="351"/>
      <c r="M105" s="275">
        <f>M126+M169</f>
        <v>122.93580596818259</v>
      </c>
      <c r="N105" s="275">
        <f t="shared" ref="N105:U105" si="48">N126+N169</f>
        <v>109.92477843621532</v>
      </c>
      <c r="O105" s="275">
        <f t="shared" si="48"/>
        <v>97.429902176769787</v>
      </c>
      <c r="P105" s="275">
        <f t="shared" si="48"/>
        <v>65.876581100241353</v>
      </c>
      <c r="Q105" s="275">
        <f t="shared" si="48"/>
        <v>63.314785367979979</v>
      </c>
      <c r="R105" s="275">
        <f t="shared" si="48"/>
        <v>218.02545890084684</v>
      </c>
      <c r="S105" s="275">
        <f t="shared" si="48"/>
        <v>248.79369176699998</v>
      </c>
      <c r="T105" s="275">
        <f t="shared" si="48"/>
        <v>218.6319773034781</v>
      </c>
      <c r="U105" s="275">
        <f t="shared" si="48"/>
        <v>227.63271281720972</v>
      </c>
      <c r="V105" s="275"/>
      <c r="W105" s="275"/>
      <c r="X105" s="275"/>
      <c r="Y105" s="275"/>
      <c r="Z105" s="275"/>
      <c r="AA105" s="275"/>
    </row>
    <row r="106" spans="2:27" ht="28.5" x14ac:dyDescent="0.2">
      <c r="B106" s="227" t="s">
        <v>1753</v>
      </c>
      <c r="C106" s="45" t="s">
        <v>1710</v>
      </c>
      <c r="D106" s="49" t="s">
        <v>1707</v>
      </c>
      <c r="E106" s="274" t="s">
        <v>1752</v>
      </c>
      <c r="F106" s="262">
        <v>3</v>
      </c>
      <c r="G106" s="352"/>
      <c r="H106" s="353"/>
      <c r="I106" s="353"/>
      <c r="J106" s="353"/>
      <c r="K106" s="353"/>
      <c r="L106" s="353"/>
      <c r="M106" s="276"/>
      <c r="N106" s="276"/>
      <c r="O106" s="276"/>
      <c r="P106" s="276"/>
      <c r="Q106" s="276"/>
      <c r="R106" s="276"/>
      <c r="S106" s="276"/>
      <c r="T106" s="276"/>
      <c r="U106" s="276"/>
      <c r="V106" s="276"/>
      <c r="W106" s="276"/>
      <c r="X106" s="276"/>
      <c r="Y106" s="276"/>
      <c r="Z106" s="276"/>
      <c r="AA106" s="278"/>
    </row>
    <row r="107" spans="2:27" ht="29.25" thickBot="1" x14ac:dyDescent="0.25">
      <c r="B107" s="228" t="s">
        <v>1754</v>
      </c>
      <c r="C107" s="46" t="s">
        <v>1755</v>
      </c>
      <c r="D107" s="51" t="s">
        <v>1707</v>
      </c>
      <c r="E107" s="274" t="s">
        <v>1752</v>
      </c>
      <c r="F107" s="263">
        <v>3</v>
      </c>
      <c r="G107" s="277">
        <f t="shared" ref="G107:AA107" si="49">SUM(G105:G106)</f>
        <v>0</v>
      </c>
      <c r="H107" s="277">
        <f t="shared" si="49"/>
        <v>0</v>
      </c>
      <c r="I107" s="277">
        <f t="shared" si="49"/>
        <v>0</v>
      </c>
      <c r="J107" s="277">
        <f t="shared" si="49"/>
        <v>0</v>
      </c>
      <c r="K107" s="277">
        <f t="shared" si="49"/>
        <v>0</v>
      </c>
      <c r="L107" s="277">
        <f t="shared" si="49"/>
        <v>0</v>
      </c>
      <c r="M107" s="277">
        <f t="shared" si="49"/>
        <v>122.93580596818259</v>
      </c>
      <c r="N107" s="277">
        <f t="shared" si="49"/>
        <v>109.92477843621532</v>
      </c>
      <c r="O107" s="277">
        <f t="shared" si="49"/>
        <v>97.429902176769787</v>
      </c>
      <c r="P107" s="277">
        <f t="shared" si="49"/>
        <v>65.876581100241353</v>
      </c>
      <c r="Q107" s="277">
        <f t="shared" si="49"/>
        <v>63.314785367979979</v>
      </c>
      <c r="R107" s="277">
        <f t="shared" si="49"/>
        <v>218.02545890084684</v>
      </c>
      <c r="S107" s="277">
        <f t="shared" si="49"/>
        <v>248.79369176699998</v>
      </c>
      <c r="T107" s="277">
        <f t="shared" si="49"/>
        <v>218.6319773034781</v>
      </c>
      <c r="U107" s="277">
        <f t="shared" si="49"/>
        <v>227.63271281720972</v>
      </c>
      <c r="V107" s="277">
        <f t="shared" si="49"/>
        <v>0</v>
      </c>
      <c r="W107" s="277">
        <f t="shared" si="49"/>
        <v>0</v>
      </c>
      <c r="X107" s="277">
        <f t="shared" si="49"/>
        <v>0</v>
      </c>
      <c r="Y107" s="277">
        <f t="shared" si="49"/>
        <v>0</v>
      </c>
      <c r="Z107" s="277">
        <f t="shared" si="49"/>
        <v>0</v>
      </c>
      <c r="AA107" s="277">
        <f t="shared" si="49"/>
        <v>0</v>
      </c>
    </row>
    <row r="108" spans="2:27" ht="15" thickBot="1" x14ac:dyDescent="0.25">
      <c r="B108" s="229"/>
      <c r="C108" s="230"/>
      <c r="D108" s="53"/>
      <c r="E108" s="231"/>
      <c r="F108" s="232"/>
      <c r="G108" s="241"/>
      <c r="H108" s="241"/>
      <c r="I108" s="241"/>
      <c r="J108" s="241"/>
      <c r="K108" s="241"/>
      <c r="L108" s="241"/>
      <c r="M108" s="241"/>
      <c r="N108" s="241"/>
      <c r="O108" s="241"/>
      <c r="P108" s="241"/>
      <c r="Q108" s="241"/>
      <c r="R108" s="241"/>
      <c r="S108" s="241"/>
      <c r="T108" s="241"/>
      <c r="U108" s="241"/>
      <c r="V108" s="241"/>
      <c r="W108" s="241"/>
      <c r="X108" s="241"/>
      <c r="Y108" s="241"/>
      <c r="Z108" s="241"/>
      <c r="AA108" s="241"/>
    </row>
    <row r="109" spans="2:27" ht="60.75" thickBot="1" x14ac:dyDescent="0.25">
      <c r="B109" s="193" t="s">
        <v>1756</v>
      </c>
      <c r="G109" s="1832" t="s">
        <v>1738</v>
      </c>
      <c r="H109" s="1901"/>
      <c r="I109" s="1901"/>
      <c r="J109" s="1901"/>
      <c r="K109" s="1901"/>
      <c r="L109" s="1901"/>
      <c r="M109" s="1901"/>
      <c r="N109" s="1901"/>
      <c r="O109" s="1901"/>
      <c r="P109" s="1901"/>
      <c r="Q109" s="1833"/>
      <c r="R109" s="1832" t="s">
        <v>1739</v>
      </c>
      <c r="S109" s="1901"/>
      <c r="T109" s="1901"/>
      <c r="U109" s="1901"/>
      <c r="V109" s="1901"/>
      <c r="W109" s="1901"/>
      <c r="X109" s="1901"/>
      <c r="Y109" s="1901"/>
      <c r="Z109" s="1901"/>
      <c r="AA109" s="1833"/>
    </row>
    <row r="110" spans="2:27" ht="45.75" thickBot="1" x14ac:dyDescent="0.25">
      <c r="B110" s="234" t="s">
        <v>1740</v>
      </c>
      <c r="C110" s="235" t="s">
        <v>1702</v>
      </c>
      <c r="D110" s="235" t="s">
        <v>1703</v>
      </c>
      <c r="E110" s="235" t="s">
        <v>206</v>
      </c>
      <c r="F110" s="236" t="s">
        <v>207</v>
      </c>
      <c r="G110" s="234" t="s">
        <v>208</v>
      </c>
      <c r="H110" s="235" t="s">
        <v>209</v>
      </c>
      <c r="I110" s="235" t="s">
        <v>210</v>
      </c>
      <c r="J110" s="235" t="s">
        <v>211</v>
      </c>
      <c r="K110" s="235" t="s">
        <v>212</v>
      </c>
      <c r="L110" s="235" t="s">
        <v>213</v>
      </c>
      <c r="M110" s="235" t="s">
        <v>214</v>
      </c>
      <c r="N110" s="235" t="s">
        <v>215</v>
      </c>
      <c r="O110" s="235" t="s">
        <v>216</v>
      </c>
      <c r="P110" s="235" t="s">
        <v>217</v>
      </c>
      <c r="Q110" s="236" t="s">
        <v>218</v>
      </c>
      <c r="R110" s="239" t="s">
        <v>1741</v>
      </c>
      <c r="S110" s="237" t="s">
        <v>1742</v>
      </c>
      <c r="T110" s="237" t="s">
        <v>1743</v>
      </c>
      <c r="U110" s="237" t="s">
        <v>1744</v>
      </c>
      <c r="V110" s="237" t="s">
        <v>1745</v>
      </c>
      <c r="W110" s="237" t="s">
        <v>1746</v>
      </c>
      <c r="X110" s="237" t="s">
        <v>1747</v>
      </c>
      <c r="Y110" s="237" t="s">
        <v>1748</v>
      </c>
      <c r="Z110" s="237" t="s">
        <v>1749</v>
      </c>
      <c r="AA110" s="238" t="s">
        <v>1750</v>
      </c>
    </row>
    <row r="111" spans="2:27" ht="28.5" x14ac:dyDescent="0.2">
      <c r="B111" s="226" t="s">
        <v>1757</v>
      </c>
      <c r="C111" s="45" t="s">
        <v>1758</v>
      </c>
      <c r="D111" s="49" t="s">
        <v>1496</v>
      </c>
      <c r="E111" s="274" t="s">
        <v>1752</v>
      </c>
      <c r="F111" s="262">
        <v>3</v>
      </c>
      <c r="G111" s="352"/>
      <c r="H111" s="353"/>
      <c r="I111" s="353"/>
      <c r="J111" s="353"/>
      <c r="K111" s="353"/>
      <c r="L111" s="353"/>
      <c r="M111" s="1646">
        <v>68.92</v>
      </c>
      <c r="N111" s="1646">
        <v>48.97</v>
      </c>
      <c r="O111" s="1646">
        <v>32.620000000000005</v>
      </c>
      <c r="P111" s="1646">
        <v>32.92</v>
      </c>
      <c r="Q111" s="1646">
        <v>32.92</v>
      </c>
      <c r="R111" s="1646">
        <v>48.94</v>
      </c>
      <c r="S111" s="1646">
        <v>143.94</v>
      </c>
      <c r="T111" s="276">
        <v>0</v>
      </c>
      <c r="U111" s="276">
        <v>0</v>
      </c>
      <c r="V111" s="276"/>
      <c r="W111" s="276"/>
      <c r="X111" s="276"/>
      <c r="Y111" s="276"/>
      <c r="Z111" s="276"/>
      <c r="AA111" s="278"/>
    </row>
    <row r="112" spans="2:27" ht="28.5" x14ac:dyDescent="0.2">
      <c r="B112" s="227" t="s">
        <v>1759</v>
      </c>
      <c r="C112" s="45" t="s">
        <v>1758</v>
      </c>
      <c r="D112" s="49" t="s">
        <v>1491</v>
      </c>
      <c r="E112" s="274" t="s">
        <v>1752</v>
      </c>
      <c r="F112" s="262">
        <v>3</v>
      </c>
      <c r="G112" s="352"/>
      <c r="H112" s="353"/>
      <c r="I112" s="353"/>
      <c r="J112" s="353"/>
      <c r="K112" s="353"/>
      <c r="L112" s="353"/>
      <c r="M112" s="276">
        <v>0</v>
      </c>
      <c r="N112" s="276">
        <v>0</v>
      </c>
      <c r="O112" s="1646">
        <v>1.44</v>
      </c>
      <c r="P112" s="1646">
        <v>1.44</v>
      </c>
      <c r="Q112" s="1646">
        <v>1.44</v>
      </c>
      <c r="R112" s="1646">
        <v>50.099999999999994</v>
      </c>
      <c r="S112" s="1646">
        <v>50.099999999999994</v>
      </c>
      <c r="T112" s="1646">
        <v>54.699999999999996</v>
      </c>
      <c r="U112" s="1646">
        <v>54.699999999999996</v>
      </c>
      <c r="V112" s="276"/>
      <c r="W112" s="276"/>
      <c r="X112" s="276"/>
      <c r="Y112" s="276"/>
      <c r="Z112" s="276"/>
      <c r="AA112" s="278"/>
    </row>
    <row r="113" spans="2:27" ht="28.5" x14ac:dyDescent="0.2">
      <c r="B113" s="227" t="s">
        <v>1760</v>
      </c>
      <c r="C113" s="45" t="s">
        <v>1758</v>
      </c>
      <c r="D113" s="49" t="s">
        <v>1707</v>
      </c>
      <c r="E113" s="274" t="s">
        <v>1752</v>
      </c>
      <c r="F113" s="262">
        <v>3</v>
      </c>
      <c r="G113" s="279">
        <f t="shared" ref="G113:AA113" si="50">SUM(G111:G112)</f>
        <v>0</v>
      </c>
      <c r="H113" s="279">
        <f t="shared" si="50"/>
        <v>0</v>
      </c>
      <c r="I113" s="279">
        <f t="shared" si="50"/>
        <v>0</v>
      </c>
      <c r="J113" s="279">
        <f t="shared" si="50"/>
        <v>0</v>
      </c>
      <c r="K113" s="279">
        <f t="shared" si="50"/>
        <v>0</v>
      </c>
      <c r="L113" s="279">
        <f t="shared" si="50"/>
        <v>0</v>
      </c>
      <c r="M113" s="279">
        <f t="shared" si="50"/>
        <v>68.92</v>
      </c>
      <c r="N113" s="279">
        <f t="shared" si="50"/>
        <v>48.97</v>
      </c>
      <c r="O113" s="279">
        <f t="shared" si="50"/>
        <v>34.06</v>
      </c>
      <c r="P113" s="279">
        <f t="shared" si="50"/>
        <v>34.36</v>
      </c>
      <c r="Q113" s="279">
        <f t="shared" si="50"/>
        <v>34.36</v>
      </c>
      <c r="R113" s="279">
        <f t="shared" si="50"/>
        <v>99.039999999999992</v>
      </c>
      <c r="S113" s="279">
        <f t="shared" si="50"/>
        <v>194.04</v>
      </c>
      <c r="T113" s="279">
        <f t="shared" si="50"/>
        <v>54.699999999999996</v>
      </c>
      <c r="U113" s="279">
        <f t="shared" si="50"/>
        <v>54.699999999999996</v>
      </c>
      <c r="V113" s="279">
        <f t="shared" si="50"/>
        <v>0</v>
      </c>
      <c r="W113" s="279">
        <f t="shared" si="50"/>
        <v>0</v>
      </c>
      <c r="X113" s="279">
        <f t="shared" si="50"/>
        <v>0</v>
      </c>
      <c r="Y113" s="279">
        <f t="shared" si="50"/>
        <v>0</v>
      </c>
      <c r="Z113" s="279">
        <f t="shared" si="50"/>
        <v>0</v>
      </c>
      <c r="AA113" s="279">
        <f t="shared" si="50"/>
        <v>0</v>
      </c>
    </row>
    <row r="114" spans="2:27" ht="57" x14ac:dyDescent="0.2">
      <c r="B114" s="226" t="s">
        <v>1761</v>
      </c>
      <c r="C114" s="45" t="s">
        <v>1762</v>
      </c>
      <c r="D114" s="49" t="s">
        <v>1496</v>
      </c>
      <c r="E114" s="274" t="s">
        <v>1752</v>
      </c>
      <c r="F114" s="262">
        <v>3</v>
      </c>
      <c r="G114" s="352"/>
      <c r="H114" s="353"/>
      <c r="I114" s="353"/>
      <c r="J114" s="353"/>
      <c r="K114" s="353"/>
      <c r="L114" s="353"/>
      <c r="M114" s="276">
        <v>0</v>
      </c>
      <c r="N114" s="276">
        <v>0</v>
      </c>
      <c r="O114" s="276">
        <v>0</v>
      </c>
      <c r="P114" s="276">
        <v>0</v>
      </c>
      <c r="Q114" s="276">
        <v>0</v>
      </c>
      <c r="R114" s="276">
        <v>0</v>
      </c>
      <c r="S114" s="276">
        <v>0</v>
      </c>
      <c r="T114" s="276">
        <v>0</v>
      </c>
      <c r="U114" s="276">
        <v>0</v>
      </c>
      <c r="V114" s="276"/>
      <c r="W114" s="276"/>
      <c r="X114" s="276"/>
      <c r="Y114" s="276"/>
      <c r="Z114" s="276"/>
      <c r="AA114" s="278"/>
    </row>
    <row r="115" spans="2:27" ht="57" x14ac:dyDescent="0.2">
      <c r="B115" s="227" t="s">
        <v>1763</v>
      </c>
      <c r="C115" s="45" t="s">
        <v>1762</v>
      </c>
      <c r="D115" s="49" t="s">
        <v>1491</v>
      </c>
      <c r="E115" s="274" t="s">
        <v>1752</v>
      </c>
      <c r="F115" s="262">
        <v>3</v>
      </c>
      <c r="G115" s="352"/>
      <c r="H115" s="353"/>
      <c r="I115" s="353"/>
      <c r="J115" s="353"/>
      <c r="K115" s="353"/>
      <c r="L115" s="353"/>
      <c r="M115" s="276">
        <v>1.814490796839443</v>
      </c>
      <c r="N115" s="276">
        <v>1.9610622193194431</v>
      </c>
      <c r="O115" s="276">
        <v>1.9857557973194431</v>
      </c>
      <c r="P115" s="276">
        <v>2.0371407412354432</v>
      </c>
      <c r="Q115" s="276">
        <v>1.8774214567694432</v>
      </c>
      <c r="R115" s="276">
        <v>11.304429120269944</v>
      </c>
      <c r="S115" s="276">
        <v>5.5644689969999988</v>
      </c>
      <c r="T115" s="276">
        <v>3.7504490000000001</v>
      </c>
      <c r="U115" s="276">
        <v>3.6004309999999999</v>
      </c>
      <c r="V115" s="276"/>
      <c r="W115" s="276"/>
      <c r="X115" s="276"/>
      <c r="Y115" s="276"/>
      <c r="Z115" s="276"/>
      <c r="AA115" s="278"/>
    </row>
    <row r="116" spans="2:27" ht="57" x14ac:dyDescent="0.2">
      <c r="B116" s="227" t="s">
        <v>1764</v>
      </c>
      <c r="C116" s="45" t="s">
        <v>1762</v>
      </c>
      <c r="D116" s="49" t="s">
        <v>1707</v>
      </c>
      <c r="E116" s="274" t="s">
        <v>1752</v>
      </c>
      <c r="F116" s="262">
        <v>3</v>
      </c>
      <c r="G116" s="279">
        <f t="shared" ref="G116:AA116" si="51">SUM(G114:G115)</f>
        <v>0</v>
      </c>
      <c r="H116" s="279">
        <f t="shared" si="51"/>
        <v>0</v>
      </c>
      <c r="I116" s="279">
        <f t="shared" si="51"/>
        <v>0</v>
      </c>
      <c r="J116" s="279">
        <f t="shared" si="51"/>
        <v>0</v>
      </c>
      <c r="K116" s="279">
        <f t="shared" si="51"/>
        <v>0</v>
      </c>
      <c r="L116" s="279">
        <f t="shared" si="51"/>
        <v>0</v>
      </c>
      <c r="M116" s="279">
        <f t="shared" si="51"/>
        <v>1.814490796839443</v>
      </c>
      <c r="N116" s="279">
        <f t="shared" si="51"/>
        <v>1.9610622193194431</v>
      </c>
      <c r="O116" s="279">
        <f t="shared" si="51"/>
        <v>1.9857557973194431</v>
      </c>
      <c r="P116" s="279">
        <f t="shared" si="51"/>
        <v>2.0371407412354432</v>
      </c>
      <c r="Q116" s="279">
        <f t="shared" si="51"/>
        <v>1.8774214567694432</v>
      </c>
      <c r="R116" s="279">
        <f t="shared" si="51"/>
        <v>11.304429120269944</v>
      </c>
      <c r="S116" s="279">
        <f t="shared" si="51"/>
        <v>5.5644689969999988</v>
      </c>
      <c r="T116" s="279">
        <f t="shared" si="51"/>
        <v>3.7504490000000001</v>
      </c>
      <c r="U116" s="279">
        <f t="shared" si="51"/>
        <v>3.6004309999999999</v>
      </c>
      <c r="V116" s="279">
        <f t="shared" si="51"/>
        <v>0</v>
      </c>
      <c r="W116" s="279">
        <f t="shared" si="51"/>
        <v>0</v>
      </c>
      <c r="X116" s="279">
        <f t="shared" si="51"/>
        <v>0</v>
      </c>
      <c r="Y116" s="279">
        <f t="shared" si="51"/>
        <v>0</v>
      </c>
      <c r="Z116" s="279">
        <f t="shared" si="51"/>
        <v>0</v>
      </c>
      <c r="AA116" s="279">
        <f t="shared" si="51"/>
        <v>0</v>
      </c>
    </row>
    <row r="117" spans="2:27" ht="28.5" x14ac:dyDescent="0.2">
      <c r="B117" s="226" t="s">
        <v>1765</v>
      </c>
      <c r="C117" s="45" t="s">
        <v>1766</v>
      </c>
      <c r="D117" s="49" t="s">
        <v>1496</v>
      </c>
      <c r="E117" s="274" t="s">
        <v>1752</v>
      </c>
      <c r="F117" s="262">
        <v>3</v>
      </c>
      <c r="G117" s="352"/>
      <c r="H117" s="353"/>
      <c r="I117" s="353"/>
      <c r="J117" s="353"/>
      <c r="K117" s="353"/>
      <c r="L117" s="353"/>
      <c r="M117" s="276">
        <f t="shared" ref="M117:U117" si="52">M19</f>
        <v>4.0868590788000017</v>
      </c>
      <c r="N117" s="276">
        <f t="shared" si="52"/>
        <v>4.0868590788000017</v>
      </c>
      <c r="O117" s="276">
        <f t="shared" si="52"/>
        <v>4.0868590788000017</v>
      </c>
      <c r="P117" s="276">
        <f t="shared" si="52"/>
        <v>4.0868590788000017</v>
      </c>
      <c r="Q117" s="276">
        <f t="shared" si="52"/>
        <v>4.0868590788000017</v>
      </c>
      <c r="R117" s="276">
        <f t="shared" si="52"/>
        <v>22.324927820576924</v>
      </c>
      <c r="S117" s="276">
        <f t="shared" si="52"/>
        <v>24.529494830000008</v>
      </c>
      <c r="T117" s="276">
        <f t="shared" si="52"/>
        <v>135.52180036347812</v>
      </c>
      <c r="U117" s="276">
        <f t="shared" si="52"/>
        <v>144.67255387720977</v>
      </c>
      <c r="V117" s="276"/>
      <c r="W117" s="276"/>
      <c r="X117" s="276"/>
      <c r="Y117" s="276"/>
      <c r="Z117" s="276"/>
      <c r="AA117" s="276"/>
    </row>
    <row r="118" spans="2:27" ht="28.5" x14ac:dyDescent="0.2">
      <c r="B118" s="227" t="s">
        <v>1767</v>
      </c>
      <c r="C118" s="45" t="s">
        <v>1766</v>
      </c>
      <c r="D118" s="49" t="s">
        <v>1491</v>
      </c>
      <c r="E118" s="274" t="s">
        <v>1752</v>
      </c>
      <c r="F118" s="262">
        <v>3</v>
      </c>
      <c r="G118" s="352"/>
      <c r="H118" s="353"/>
      <c r="I118" s="353"/>
      <c r="J118" s="353"/>
      <c r="K118" s="353"/>
      <c r="L118" s="353"/>
      <c r="M118" s="276">
        <f t="shared" ref="M118:U118" si="53">M20</f>
        <v>1.5404001959999987</v>
      </c>
      <c r="N118" s="276">
        <f t="shared" si="53"/>
        <v>1.5404001959999987</v>
      </c>
      <c r="O118" s="276">
        <f t="shared" si="53"/>
        <v>1.5404001959999987</v>
      </c>
      <c r="P118" s="276">
        <f t="shared" si="53"/>
        <v>1.5404001959999987</v>
      </c>
      <c r="Q118" s="276">
        <f t="shared" si="53"/>
        <v>1.5404001959999987</v>
      </c>
      <c r="R118" s="276">
        <f t="shared" si="53"/>
        <v>14.477101959999985</v>
      </c>
      <c r="S118" s="276">
        <f t="shared" si="53"/>
        <v>21.359727939999978</v>
      </c>
      <c r="T118" s="276">
        <f t="shared" si="53"/>
        <v>21.359727939999978</v>
      </c>
      <c r="U118" s="276">
        <f t="shared" si="53"/>
        <v>21.359727939999978</v>
      </c>
      <c r="V118" s="276"/>
      <c r="W118" s="276"/>
      <c r="X118" s="276"/>
      <c r="Y118" s="276"/>
      <c r="Z118" s="276"/>
      <c r="AA118" s="276"/>
    </row>
    <row r="119" spans="2:27" ht="28.5" x14ac:dyDescent="0.2">
      <c r="B119" s="227" t="s">
        <v>1768</v>
      </c>
      <c r="C119" s="45" t="s">
        <v>1766</v>
      </c>
      <c r="D119" s="49" t="s">
        <v>1707</v>
      </c>
      <c r="E119" s="274" t="s">
        <v>1752</v>
      </c>
      <c r="F119" s="262">
        <v>3</v>
      </c>
      <c r="G119" s="279">
        <f t="shared" ref="G119:AA119" si="54">SUM(G117:G118)</f>
        <v>0</v>
      </c>
      <c r="H119" s="279">
        <f t="shared" si="54"/>
        <v>0</v>
      </c>
      <c r="I119" s="279">
        <f t="shared" si="54"/>
        <v>0</v>
      </c>
      <c r="J119" s="279">
        <f t="shared" si="54"/>
        <v>0</v>
      </c>
      <c r="K119" s="279">
        <f t="shared" si="54"/>
        <v>0</v>
      </c>
      <c r="L119" s="279">
        <f t="shared" si="54"/>
        <v>0</v>
      </c>
      <c r="M119" s="279">
        <f t="shared" si="54"/>
        <v>5.6272592748000001</v>
      </c>
      <c r="N119" s="279">
        <f t="shared" si="54"/>
        <v>5.6272592748000001</v>
      </c>
      <c r="O119" s="279">
        <f t="shared" si="54"/>
        <v>5.6272592748000001</v>
      </c>
      <c r="P119" s="279">
        <f t="shared" si="54"/>
        <v>5.6272592748000001</v>
      </c>
      <c r="Q119" s="279">
        <f t="shared" si="54"/>
        <v>5.6272592748000001</v>
      </c>
      <c r="R119" s="279">
        <f t="shared" si="54"/>
        <v>36.802029780576909</v>
      </c>
      <c r="S119" s="279">
        <f t="shared" si="54"/>
        <v>45.889222769999989</v>
      </c>
      <c r="T119" s="279">
        <f t="shared" si="54"/>
        <v>156.88152830347809</v>
      </c>
      <c r="U119" s="279">
        <f t="shared" si="54"/>
        <v>166.03228181720974</v>
      </c>
      <c r="V119" s="279">
        <f t="shared" si="54"/>
        <v>0</v>
      </c>
      <c r="W119" s="279">
        <f t="shared" si="54"/>
        <v>0</v>
      </c>
      <c r="X119" s="279">
        <f t="shared" si="54"/>
        <v>0</v>
      </c>
      <c r="Y119" s="279">
        <f t="shared" si="54"/>
        <v>0</v>
      </c>
      <c r="Z119" s="279">
        <f t="shared" si="54"/>
        <v>0</v>
      </c>
      <c r="AA119" s="279">
        <f t="shared" si="54"/>
        <v>0</v>
      </c>
    </row>
    <row r="120" spans="2:27" ht="28.5" x14ac:dyDescent="0.2">
      <c r="B120" s="226" t="s">
        <v>1769</v>
      </c>
      <c r="C120" s="45" t="s">
        <v>1770</v>
      </c>
      <c r="D120" s="49" t="s">
        <v>1496</v>
      </c>
      <c r="E120" s="274" t="s">
        <v>1752</v>
      </c>
      <c r="F120" s="262">
        <v>3</v>
      </c>
      <c r="G120" s="352"/>
      <c r="H120" s="353"/>
      <c r="I120" s="353"/>
      <c r="J120" s="353"/>
      <c r="K120" s="353"/>
      <c r="L120" s="353"/>
      <c r="M120" s="1646">
        <v>36.120000000000005</v>
      </c>
      <c r="N120" s="1646">
        <v>36.120000000000005</v>
      </c>
      <c r="O120" s="1646">
        <v>36.120000000000005</v>
      </c>
      <c r="P120" s="1646">
        <v>2.54</v>
      </c>
      <c r="Q120" s="1646">
        <v>2.54</v>
      </c>
      <c r="R120" s="276">
        <v>0</v>
      </c>
      <c r="S120" s="276">
        <v>0</v>
      </c>
      <c r="T120" s="276">
        <v>0</v>
      </c>
      <c r="U120" s="276">
        <v>0</v>
      </c>
      <c r="V120" s="276">
        <v>0</v>
      </c>
      <c r="W120" s="276">
        <v>0</v>
      </c>
      <c r="X120" s="276">
        <v>0</v>
      </c>
      <c r="Y120" s="276">
        <v>0</v>
      </c>
      <c r="Z120" s="276">
        <v>0</v>
      </c>
      <c r="AA120" s="278">
        <v>0</v>
      </c>
    </row>
    <row r="121" spans="2:27" ht="28.5" x14ac:dyDescent="0.2">
      <c r="B121" s="227" t="s">
        <v>1771</v>
      </c>
      <c r="C121" s="45" t="s">
        <v>1770</v>
      </c>
      <c r="D121" s="49" t="s">
        <v>1491</v>
      </c>
      <c r="E121" s="274" t="s">
        <v>1752</v>
      </c>
      <c r="F121" s="262">
        <v>3</v>
      </c>
      <c r="G121" s="352"/>
      <c r="H121" s="353"/>
      <c r="I121" s="353"/>
      <c r="J121" s="353"/>
      <c r="K121" s="353"/>
      <c r="L121" s="353"/>
      <c r="M121" s="276">
        <v>0</v>
      </c>
      <c r="N121" s="276">
        <v>0</v>
      </c>
      <c r="O121" s="276">
        <v>0</v>
      </c>
      <c r="P121" s="1646">
        <v>0.57000000000000006</v>
      </c>
      <c r="Q121" s="1646">
        <v>0.57000000000000006</v>
      </c>
      <c r="R121" s="1646">
        <v>3.2100000000000004</v>
      </c>
      <c r="S121" s="1646">
        <v>3.3000000000000003</v>
      </c>
      <c r="T121" s="1646">
        <v>3.3000000000000003</v>
      </c>
      <c r="U121" s="1646">
        <v>3.3000000000000003</v>
      </c>
      <c r="V121" s="276">
        <v>0</v>
      </c>
      <c r="W121" s="276">
        <v>0</v>
      </c>
      <c r="X121" s="276">
        <v>0</v>
      </c>
      <c r="Y121" s="276">
        <v>0</v>
      </c>
      <c r="Z121" s="276">
        <v>0</v>
      </c>
      <c r="AA121" s="278">
        <v>0</v>
      </c>
    </row>
    <row r="122" spans="2:27" ht="28.5" x14ac:dyDescent="0.2">
      <c r="B122" s="227" t="s">
        <v>1772</v>
      </c>
      <c r="C122" s="45" t="s">
        <v>1770</v>
      </c>
      <c r="D122" s="49" t="s">
        <v>1707</v>
      </c>
      <c r="E122" s="274" t="s">
        <v>1752</v>
      </c>
      <c r="F122" s="262">
        <v>3</v>
      </c>
      <c r="G122" s="279">
        <f t="shared" ref="G122:AA122" si="55">SUM(G120:G121)</f>
        <v>0</v>
      </c>
      <c r="H122" s="279">
        <f t="shared" si="55"/>
        <v>0</v>
      </c>
      <c r="I122" s="279">
        <f t="shared" si="55"/>
        <v>0</v>
      </c>
      <c r="J122" s="279">
        <f t="shared" si="55"/>
        <v>0</v>
      </c>
      <c r="K122" s="279">
        <f t="shared" si="55"/>
        <v>0</v>
      </c>
      <c r="L122" s="279">
        <f t="shared" si="55"/>
        <v>0</v>
      </c>
      <c r="M122" s="279">
        <f t="shared" si="55"/>
        <v>36.120000000000005</v>
      </c>
      <c r="N122" s="279">
        <f t="shared" si="55"/>
        <v>36.120000000000005</v>
      </c>
      <c r="O122" s="279">
        <f t="shared" si="55"/>
        <v>36.120000000000005</v>
      </c>
      <c r="P122" s="279">
        <f t="shared" si="55"/>
        <v>3.1100000000000003</v>
      </c>
      <c r="Q122" s="279">
        <f t="shared" si="55"/>
        <v>3.1100000000000003</v>
      </c>
      <c r="R122" s="279">
        <f t="shared" si="55"/>
        <v>3.2100000000000004</v>
      </c>
      <c r="S122" s="279">
        <f t="shared" si="55"/>
        <v>3.3000000000000003</v>
      </c>
      <c r="T122" s="279">
        <f t="shared" si="55"/>
        <v>3.3000000000000003</v>
      </c>
      <c r="U122" s="279">
        <f t="shared" si="55"/>
        <v>3.3000000000000003</v>
      </c>
      <c r="V122" s="279">
        <f t="shared" si="55"/>
        <v>0</v>
      </c>
      <c r="W122" s="279">
        <f t="shared" si="55"/>
        <v>0</v>
      </c>
      <c r="X122" s="279">
        <f t="shared" si="55"/>
        <v>0</v>
      </c>
      <c r="Y122" s="279">
        <f t="shared" si="55"/>
        <v>0</v>
      </c>
      <c r="Z122" s="279">
        <f t="shared" si="55"/>
        <v>0</v>
      </c>
      <c r="AA122" s="279">
        <f t="shared" si="55"/>
        <v>0</v>
      </c>
    </row>
    <row r="123" spans="2:27" ht="28.5" x14ac:dyDescent="0.2">
      <c r="B123" s="226" t="s">
        <v>1773</v>
      </c>
      <c r="C123" s="45" t="s">
        <v>1774</v>
      </c>
      <c r="D123" s="49" t="s">
        <v>1496</v>
      </c>
      <c r="E123" s="274" t="s">
        <v>1752</v>
      </c>
      <c r="F123" s="262">
        <v>3</v>
      </c>
      <c r="G123" s="352"/>
      <c r="H123" s="353"/>
      <c r="I123" s="353"/>
      <c r="J123" s="353"/>
      <c r="K123" s="353"/>
      <c r="L123" s="353"/>
      <c r="M123" s="276">
        <v>0</v>
      </c>
      <c r="N123" s="276">
        <v>0</v>
      </c>
      <c r="O123" s="276">
        <v>0</v>
      </c>
      <c r="P123" s="276">
        <v>0</v>
      </c>
      <c r="Q123" s="276">
        <v>0</v>
      </c>
      <c r="R123" s="276">
        <v>0</v>
      </c>
      <c r="S123" s="276">
        <v>0</v>
      </c>
      <c r="T123" s="276">
        <v>0</v>
      </c>
      <c r="U123" s="276">
        <v>0</v>
      </c>
      <c r="V123" s="276">
        <v>0</v>
      </c>
      <c r="W123" s="276">
        <v>0</v>
      </c>
      <c r="X123" s="276">
        <v>0</v>
      </c>
      <c r="Y123" s="276">
        <v>0</v>
      </c>
      <c r="Z123" s="276">
        <v>0</v>
      </c>
      <c r="AA123" s="278">
        <v>0</v>
      </c>
    </row>
    <row r="124" spans="2:27" ht="28.5" x14ac:dyDescent="0.2">
      <c r="B124" s="227" t="s">
        <v>1775</v>
      </c>
      <c r="C124" s="45" t="s">
        <v>1774</v>
      </c>
      <c r="D124" s="49" t="s">
        <v>1491</v>
      </c>
      <c r="E124" s="274" t="s">
        <v>1752</v>
      </c>
      <c r="F124" s="262">
        <v>3</v>
      </c>
      <c r="G124" s="352"/>
      <c r="H124" s="353"/>
      <c r="I124" s="353"/>
      <c r="J124" s="353"/>
      <c r="K124" s="353"/>
      <c r="L124" s="353"/>
      <c r="M124" s="276">
        <v>0</v>
      </c>
      <c r="N124" s="276">
        <v>0</v>
      </c>
      <c r="O124" s="276">
        <v>0</v>
      </c>
      <c r="P124" s="276">
        <v>0</v>
      </c>
      <c r="Q124" s="276">
        <v>0</v>
      </c>
      <c r="R124" s="276">
        <v>0</v>
      </c>
      <c r="S124" s="276">
        <v>0</v>
      </c>
      <c r="T124" s="276">
        <v>0</v>
      </c>
      <c r="U124" s="276">
        <v>0</v>
      </c>
      <c r="V124" s="276">
        <v>0</v>
      </c>
      <c r="W124" s="276">
        <v>0</v>
      </c>
      <c r="X124" s="276">
        <v>0</v>
      </c>
      <c r="Y124" s="276">
        <v>0</v>
      </c>
      <c r="Z124" s="276">
        <v>0</v>
      </c>
      <c r="AA124" s="278">
        <v>0</v>
      </c>
    </row>
    <row r="125" spans="2:27" ht="28.5" x14ac:dyDescent="0.2">
      <c r="B125" s="227" t="s">
        <v>1776</v>
      </c>
      <c r="C125" s="45" t="s">
        <v>1774</v>
      </c>
      <c r="D125" s="49" t="s">
        <v>1707</v>
      </c>
      <c r="E125" s="274" t="s">
        <v>1752</v>
      </c>
      <c r="F125" s="262">
        <v>3</v>
      </c>
      <c r="G125" s="279">
        <f t="shared" ref="G125:AA125" si="56">SUM(G123:G124)</f>
        <v>0</v>
      </c>
      <c r="H125" s="279">
        <f t="shared" si="56"/>
        <v>0</v>
      </c>
      <c r="I125" s="279">
        <f t="shared" si="56"/>
        <v>0</v>
      </c>
      <c r="J125" s="279">
        <f t="shared" si="56"/>
        <v>0</v>
      </c>
      <c r="K125" s="279">
        <f t="shared" si="56"/>
        <v>0</v>
      </c>
      <c r="L125" s="279">
        <f t="shared" si="56"/>
        <v>0</v>
      </c>
      <c r="M125" s="279">
        <f t="shared" si="56"/>
        <v>0</v>
      </c>
      <c r="N125" s="279">
        <f t="shared" si="56"/>
        <v>0</v>
      </c>
      <c r="O125" s="279">
        <f t="shared" si="56"/>
        <v>0</v>
      </c>
      <c r="P125" s="279">
        <f t="shared" si="56"/>
        <v>0</v>
      </c>
      <c r="Q125" s="279">
        <f t="shared" si="56"/>
        <v>0</v>
      </c>
      <c r="R125" s="279">
        <f t="shared" si="56"/>
        <v>0</v>
      </c>
      <c r="S125" s="279">
        <f t="shared" si="56"/>
        <v>0</v>
      </c>
      <c r="T125" s="279">
        <f t="shared" si="56"/>
        <v>0</v>
      </c>
      <c r="U125" s="279">
        <f t="shared" si="56"/>
        <v>0</v>
      </c>
      <c r="V125" s="279">
        <f t="shared" si="56"/>
        <v>0</v>
      </c>
      <c r="W125" s="279">
        <f t="shared" si="56"/>
        <v>0</v>
      </c>
      <c r="X125" s="279">
        <f t="shared" si="56"/>
        <v>0</v>
      </c>
      <c r="Y125" s="279">
        <f t="shared" si="56"/>
        <v>0</v>
      </c>
      <c r="Z125" s="279">
        <f t="shared" si="56"/>
        <v>0</v>
      </c>
      <c r="AA125" s="279">
        <f t="shared" si="56"/>
        <v>0</v>
      </c>
    </row>
    <row r="126" spans="2:27" ht="43.5" thickBot="1" x14ac:dyDescent="0.25">
      <c r="B126" s="228" t="s">
        <v>1777</v>
      </c>
      <c r="C126" s="46" t="s">
        <v>1778</v>
      </c>
      <c r="D126" s="51" t="s">
        <v>1707</v>
      </c>
      <c r="E126" s="274" t="s">
        <v>1752</v>
      </c>
      <c r="F126" s="263">
        <v>3</v>
      </c>
      <c r="G126" s="277">
        <f t="shared" ref="G126:AA126" si="57">SUM(G125,G122,G119,G116,G113)</f>
        <v>0</v>
      </c>
      <c r="H126" s="277">
        <f t="shared" si="57"/>
        <v>0</v>
      </c>
      <c r="I126" s="277">
        <f t="shared" si="57"/>
        <v>0</v>
      </c>
      <c r="J126" s="277">
        <f t="shared" si="57"/>
        <v>0</v>
      </c>
      <c r="K126" s="277">
        <f t="shared" si="57"/>
        <v>0</v>
      </c>
      <c r="L126" s="277">
        <f t="shared" si="57"/>
        <v>0</v>
      </c>
      <c r="M126" s="277">
        <f t="shared" si="57"/>
        <v>112.48175007163945</v>
      </c>
      <c r="N126" s="277">
        <f t="shared" si="57"/>
        <v>92.678321494119444</v>
      </c>
      <c r="O126" s="277">
        <f t="shared" si="57"/>
        <v>77.793015072119445</v>
      </c>
      <c r="P126" s="277">
        <f t="shared" si="57"/>
        <v>45.134400016035443</v>
      </c>
      <c r="Q126" s="277">
        <f t="shared" si="57"/>
        <v>44.974680731569443</v>
      </c>
      <c r="R126" s="277">
        <f t="shared" si="57"/>
        <v>150.35645890084686</v>
      </c>
      <c r="S126" s="277">
        <f t="shared" si="57"/>
        <v>248.79369176699998</v>
      </c>
      <c r="T126" s="277">
        <f t="shared" si="57"/>
        <v>218.6319773034781</v>
      </c>
      <c r="U126" s="277">
        <f t="shared" si="57"/>
        <v>227.63271281720972</v>
      </c>
      <c r="V126" s="277">
        <f t="shared" si="57"/>
        <v>0</v>
      </c>
      <c r="W126" s="277">
        <f t="shared" si="57"/>
        <v>0</v>
      </c>
      <c r="X126" s="277">
        <f t="shared" si="57"/>
        <v>0</v>
      </c>
      <c r="Y126" s="277">
        <f t="shared" si="57"/>
        <v>0</v>
      </c>
      <c r="Z126" s="277">
        <f t="shared" si="57"/>
        <v>0</v>
      </c>
      <c r="AA126" s="277">
        <f t="shared" si="57"/>
        <v>0</v>
      </c>
    </row>
    <row r="127" spans="2:27" ht="15" thickBot="1" x14ac:dyDescent="0.25">
      <c r="B127" s="229"/>
      <c r="C127" s="230"/>
      <c r="D127" s="53"/>
      <c r="E127" s="231"/>
      <c r="F127" s="232"/>
      <c r="G127" s="241"/>
      <c r="H127" s="241"/>
      <c r="I127" s="241"/>
      <c r="J127" s="241"/>
      <c r="K127" s="241"/>
      <c r="L127" s="241"/>
      <c r="M127" s="241"/>
      <c r="N127" s="241"/>
      <c r="O127" s="241"/>
      <c r="P127" s="241"/>
      <c r="Q127" s="241"/>
      <c r="R127" s="241"/>
      <c r="S127" s="241"/>
      <c r="T127" s="241"/>
      <c r="U127" s="241"/>
      <c r="V127" s="241"/>
      <c r="W127" s="241"/>
      <c r="X127" s="241"/>
      <c r="Y127" s="241"/>
      <c r="Z127" s="241"/>
      <c r="AA127" s="241"/>
    </row>
    <row r="128" spans="2:27" ht="60.75" thickBot="1" x14ac:dyDescent="0.25">
      <c r="B128" s="193" t="s">
        <v>1876</v>
      </c>
      <c r="G128" s="1832" t="s">
        <v>1738</v>
      </c>
      <c r="H128" s="1901"/>
      <c r="I128" s="1901"/>
      <c r="J128" s="1901"/>
      <c r="K128" s="1901"/>
      <c r="L128" s="1901"/>
      <c r="M128" s="1901"/>
      <c r="N128" s="1901"/>
      <c r="O128" s="1901"/>
      <c r="P128" s="1901"/>
      <c r="Q128" s="1833"/>
      <c r="R128" s="1832" t="s">
        <v>1739</v>
      </c>
      <c r="S128" s="1901"/>
      <c r="T128" s="1901"/>
      <c r="U128" s="1901"/>
      <c r="V128" s="1901"/>
      <c r="W128" s="1901"/>
      <c r="X128" s="1901"/>
      <c r="Y128" s="1901"/>
      <c r="Z128" s="1901"/>
      <c r="AA128" s="1833"/>
    </row>
    <row r="129" spans="2:27" ht="45.75" thickBot="1" x14ac:dyDescent="0.25">
      <c r="B129" s="1089" t="s">
        <v>1740</v>
      </c>
      <c r="C129" s="1090" t="s">
        <v>1702</v>
      </c>
      <c r="D129" s="1090" t="s">
        <v>1703</v>
      </c>
      <c r="E129" s="1090" t="s">
        <v>206</v>
      </c>
      <c r="F129" s="1091" t="s">
        <v>207</v>
      </c>
      <c r="G129" s="234" t="s">
        <v>208</v>
      </c>
      <c r="H129" s="235" t="s">
        <v>209</v>
      </c>
      <c r="I129" s="235" t="s">
        <v>210</v>
      </c>
      <c r="J129" s="235" t="s">
        <v>211</v>
      </c>
      <c r="K129" s="235" t="s">
        <v>212</v>
      </c>
      <c r="L129" s="235" t="s">
        <v>213</v>
      </c>
      <c r="M129" s="235" t="s">
        <v>214</v>
      </c>
      <c r="N129" s="235" t="s">
        <v>215</v>
      </c>
      <c r="O129" s="235" t="s">
        <v>216</v>
      </c>
      <c r="P129" s="235" t="s">
        <v>217</v>
      </c>
      <c r="Q129" s="236" t="s">
        <v>218</v>
      </c>
      <c r="R129" s="239" t="s">
        <v>1741</v>
      </c>
      <c r="S129" s="237" t="s">
        <v>1742</v>
      </c>
      <c r="T129" s="237" t="s">
        <v>1743</v>
      </c>
      <c r="U129" s="237" t="s">
        <v>1744</v>
      </c>
      <c r="V129" s="237" t="s">
        <v>1745</v>
      </c>
      <c r="W129" s="237" t="s">
        <v>1746</v>
      </c>
      <c r="X129" s="237" t="s">
        <v>1747</v>
      </c>
      <c r="Y129" s="237" t="s">
        <v>1748</v>
      </c>
      <c r="Z129" s="237" t="s">
        <v>1749</v>
      </c>
      <c r="AA129" s="238" t="s">
        <v>1750</v>
      </c>
    </row>
    <row r="130" spans="2:27" ht="71.25" x14ac:dyDescent="0.2">
      <c r="B130" s="1082" t="s">
        <v>1780</v>
      </c>
      <c r="C130" s="1083" t="s">
        <v>1781</v>
      </c>
      <c r="D130" s="1084" t="s">
        <v>1496</v>
      </c>
      <c r="E130" s="1092" t="s">
        <v>1752</v>
      </c>
      <c r="F130" s="1086">
        <v>3</v>
      </c>
      <c r="G130" s="354"/>
      <c r="H130" s="355"/>
      <c r="I130" s="355"/>
      <c r="J130" s="355"/>
      <c r="K130" s="355"/>
      <c r="L130" s="355"/>
      <c r="M130" s="281">
        <f>SUM(M131:M133)</f>
        <v>0.194019070152986</v>
      </c>
      <c r="N130" s="281">
        <f t="shared" ref="N130:R130" si="58">SUM(N131:N133)</f>
        <v>0.17718831194665904</v>
      </c>
      <c r="O130" s="281">
        <f t="shared" si="58"/>
        <v>0.17714936124061365</v>
      </c>
      <c r="P130" s="281">
        <f t="shared" si="58"/>
        <v>0.17679446125436679</v>
      </c>
      <c r="Q130" s="281">
        <f t="shared" si="58"/>
        <v>0.1774754148317412</v>
      </c>
      <c r="R130" s="281">
        <f t="shared" si="58"/>
        <v>0.19800000000000001</v>
      </c>
      <c r="S130" s="281"/>
      <c r="T130" s="281"/>
      <c r="U130" s="281"/>
      <c r="V130" s="281"/>
      <c r="W130" s="281"/>
      <c r="X130" s="281"/>
      <c r="Y130" s="281"/>
      <c r="Z130" s="281"/>
      <c r="AA130" s="282"/>
    </row>
    <row r="131" spans="2:27" ht="71.25" x14ac:dyDescent="0.2">
      <c r="B131" s="227" t="s">
        <v>1782</v>
      </c>
      <c r="C131" s="45" t="s">
        <v>1783</v>
      </c>
      <c r="D131" s="49" t="s">
        <v>1496</v>
      </c>
      <c r="E131" s="274" t="s">
        <v>1752</v>
      </c>
      <c r="F131" s="262">
        <v>3</v>
      </c>
      <c r="G131" s="352"/>
      <c r="H131" s="352"/>
      <c r="I131" s="352"/>
      <c r="J131" s="352"/>
      <c r="K131" s="352"/>
      <c r="L131" s="352"/>
      <c r="M131" s="1087">
        <v>0</v>
      </c>
      <c r="N131" s="1087">
        <v>0</v>
      </c>
      <c r="O131" s="1087">
        <v>0</v>
      </c>
      <c r="P131" s="1087">
        <v>0</v>
      </c>
      <c r="Q131" s="1087">
        <v>0</v>
      </c>
      <c r="R131" s="1087">
        <v>0</v>
      </c>
      <c r="S131" s="1087"/>
      <c r="T131" s="1087"/>
      <c r="U131" s="1087"/>
      <c r="V131" s="1087"/>
      <c r="W131" s="1087"/>
      <c r="X131" s="1087"/>
      <c r="Y131" s="1087"/>
      <c r="Z131" s="1087"/>
      <c r="AA131" s="1088"/>
    </row>
    <row r="132" spans="2:27" ht="71.25" x14ac:dyDescent="0.2">
      <c r="B132" s="227" t="s">
        <v>1784</v>
      </c>
      <c r="C132" s="45" t="s">
        <v>1785</v>
      </c>
      <c r="D132" s="49" t="s">
        <v>1496</v>
      </c>
      <c r="E132" s="274" t="s">
        <v>1752</v>
      </c>
      <c r="F132" s="262">
        <v>3</v>
      </c>
      <c r="G132" s="352"/>
      <c r="H132" s="352"/>
      <c r="I132" s="352"/>
      <c r="J132" s="352"/>
      <c r="K132" s="352"/>
      <c r="L132" s="352"/>
      <c r="M132" s="1087">
        <v>0</v>
      </c>
      <c r="N132" s="1087">
        <v>0</v>
      </c>
      <c r="O132" s="1087">
        <v>0</v>
      </c>
      <c r="P132" s="1087">
        <v>0</v>
      </c>
      <c r="Q132" s="1087">
        <v>0</v>
      </c>
      <c r="R132" s="1087">
        <v>0</v>
      </c>
      <c r="S132" s="1087"/>
      <c r="T132" s="1087"/>
      <c r="U132" s="1087"/>
      <c r="V132" s="1087"/>
      <c r="W132" s="1087"/>
      <c r="X132" s="1087"/>
      <c r="Y132" s="1087"/>
      <c r="Z132" s="1087"/>
      <c r="AA132" s="1088"/>
    </row>
    <row r="133" spans="2:27" ht="71.25" x14ac:dyDescent="0.2">
      <c r="B133" s="227" t="s">
        <v>1786</v>
      </c>
      <c r="C133" s="45" t="s">
        <v>1787</v>
      </c>
      <c r="D133" s="49" t="s">
        <v>1496</v>
      </c>
      <c r="E133" s="274" t="s">
        <v>1752</v>
      </c>
      <c r="F133" s="262">
        <v>3</v>
      </c>
      <c r="G133" s="352"/>
      <c r="H133" s="352"/>
      <c r="I133" s="352"/>
      <c r="J133" s="352"/>
      <c r="K133" s="352"/>
      <c r="L133" s="352"/>
      <c r="M133" s="1329">
        <v>0.194019070152986</v>
      </c>
      <c r="N133" s="1329">
        <v>0.17718831194665904</v>
      </c>
      <c r="O133" s="1329">
        <v>0.17714936124061365</v>
      </c>
      <c r="P133" s="1329">
        <v>0.17679446125436679</v>
      </c>
      <c r="Q133" s="1329">
        <v>0.1774754148317412</v>
      </c>
      <c r="R133" s="1087">
        <v>0.19800000000000001</v>
      </c>
      <c r="S133" s="1087"/>
      <c r="T133" s="1087"/>
      <c r="U133" s="1087"/>
      <c r="V133" s="1087"/>
      <c r="W133" s="1087"/>
      <c r="X133" s="1087"/>
      <c r="Y133" s="1087"/>
      <c r="Z133" s="1087"/>
      <c r="AA133" s="1088"/>
    </row>
    <row r="134" spans="2:27" ht="71.25" x14ac:dyDescent="0.2">
      <c r="B134" s="227" t="s">
        <v>1788</v>
      </c>
      <c r="C134" s="45" t="s">
        <v>1781</v>
      </c>
      <c r="D134" s="49" t="s">
        <v>1491</v>
      </c>
      <c r="E134" s="274" t="s">
        <v>1752</v>
      </c>
      <c r="F134" s="262">
        <v>3</v>
      </c>
      <c r="G134" s="354"/>
      <c r="H134" s="355"/>
      <c r="I134" s="355"/>
      <c r="J134" s="355"/>
      <c r="K134" s="355"/>
      <c r="L134" s="355"/>
      <c r="M134" s="281">
        <f>SUM(M135:M137)</f>
        <v>1.654371716415338E-3</v>
      </c>
      <c r="N134" s="281">
        <f t="shared" ref="N134:R134" si="59">SUM(N135:N137)</f>
        <v>1.222868037134676E-3</v>
      </c>
      <c r="O134" s="281">
        <f t="shared" si="59"/>
        <v>1.2136874840113392E-3</v>
      </c>
      <c r="P134" s="281">
        <f t="shared" si="59"/>
        <v>1.1300387261836014E-3</v>
      </c>
      <c r="Q134" s="281">
        <f t="shared" si="59"/>
        <v>1.290537241520543E-3</v>
      </c>
      <c r="R134" s="281">
        <f t="shared" si="59"/>
        <v>2E-3</v>
      </c>
      <c r="S134" s="281"/>
      <c r="T134" s="281"/>
      <c r="U134" s="281"/>
      <c r="V134" s="281"/>
      <c r="W134" s="281"/>
      <c r="X134" s="281"/>
      <c r="Y134" s="281"/>
      <c r="Z134" s="281"/>
      <c r="AA134" s="282"/>
    </row>
    <row r="135" spans="2:27" ht="71.25" x14ac:dyDescent="0.2">
      <c r="B135" s="227" t="s">
        <v>1789</v>
      </c>
      <c r="C135" s="45" t="s">
        <v>1783</v>
      </c>
      <c r="D135" s="49" t="s">
        <v>1491</v>
      </c>
      <c r="E135" s="274" t="s">
        <v>1752</v>
      </c>
      <c r="F135" s="262">
        <v>3</v>
      </c>
      <c r="G135" s="352"/>
      <c r="H135" s="352"/>
      <c r="I135" s="352"/>
      <c r="J135" s="352"/>
      <c r="K135" s="352"/>
      <c r="L135" s="352"/>
      <c r="M135" s="1087">
        <v>0</v>
      </c>
      <c r="N135" s="1087">
        <v>0</v>
      </c>
      <c r="O135" s="1087">
        <v>0</v>
      </c>
      <c r="P135" s="1087">
        <v>0</v>
      </c>
      <c r="Q135" s="1087">
        <v>0</v>
      </c>
      <c r="R135" s="1087">
        <v>0</v>
      </c>
      <c r="S135" s="1087"/>
      <c r="T135" s="1087"/>
      <c r="U135" s="1087"/>
      <c r="V135" s="1087"/>
      <c r="W135" s="1087"/>
      <c r="X135" s="1087"/>
      <c r="Y135" s="1087"/>
      <c r="Z135" s="1087"/>
      <c r="AA135" s="1088"/>
    </row>
    <row r="136" spans="2:27" ht="71.25" x14ac:dyDescent="0.2">
      <c r="B136" s="227" t="s">
        <v>1790</v>
      </c>
      <c r="C136" s="45" t="s">
        <v>1785</v>
      </c>
      <c r="D136" s="49" t="s">
        <v>1491</v>
      </c>
      <c r="E136" s="274" t="s">
        <v>1752</v>
      </c>
      <c r="F136" s="262">
        <v>3</v>
      </c>
      <c r="G136" s="352"/>
      <c r="H136" s="352"/>
      <c r="I136" s="352"/>
      <c r="J136" s="352"/>
      <c r="K136" s="352"/>
      <c r="L136" s="352"/>
      <c r="M136" s="1087">
        <v>0</v>
      </c>
      <c r="N136" s="1087">
        <v>0</v>
      </c>
      <c r="O136" s="1087">
        <v>0</v>
      </c>
      <c r="P136" s="1087">
        <v>0</v>
      </c>
      <c r="Q136" s="1087">
        <v>0</v>
      </c>
      <c r="R136" s="1087">
        <v>0</v>
      </c>
      <c r="S136" s="1087"/>
      <c r="T136" s="1087"/>
      <c r="U136" s="1087"/>
      <c r="V136" s="1087"/>
      <c r="W136" s="1087"/>
      <c r="X136" s="1087"/>
      <c r="Y136" s="1087"/>
      <c r="Z136" s="1087"/>
      <c r="AA136" s="1088"/>
    </row>
    <row r="137" spans="2:27" ht="71.25" x14ac:dyDescent="0.2">
      <c r="B137" s="227" t="s">
        <v>1791</v>
      </c>
      <c r="C137" s="45" t="s">
        <v>1787</v>
      </c>
      <c r="D137" s="49" t="s">
        <v>1491</v>
      </c>
      <c r="E137" s="274" t="s">
        <v>1752</v>
      </c>
      <c r="F137" s="262">
        <v>3</v>
      </c>
      <c r="G137" s="352"/>
      <c r="H137" s="352"/>
      <c r="I137" s="352"/>
      <c r="J137" s="352"/>
      <c r="K137" s="352"/>
      <c r="L137" s="352"/>
      <c r="M137" s="1087">
        <v>1.654371716415338E-3</v>
      </c>
      <c r="N137" s="1087">
        <v>1.222868037134676E-3</v>
      </c>
      <c r="O137" s="1087">
        <v>1.2136874840113392E-3</v>
      </c>
      <c r="P137" s="1087">
        <v>1.1300387261836014E-3</v>
      </c>
      <c r="Q137" s="1087">
        <v>1.290537241520543E-3</v>
      </c>
      <c r="R137" s="1087">
        <v>2E-3</v>
      </c>
      <c r="S137" s="1087"/>
      <c r="T137" s="1087"/>
      <c r="U137" s="1087"/>
      <c r="V137" s="1087"/>
      <c r="W137" s="1087"/>
      <c r="X137" s="1087"/>
      <c r="Y137" s="1087"/>
      <c r="Z137" s="1087"/>
      <c r="AA137" s="1088"/>
    </row>
    <row r="138" spans="2:27" ht="71.25" x14ac:dyDescent="0.2">
      <c r="B138" s="227" t="s">
        <v>1792</v>
      </c>
      <c r="C138" s="45" t="s">
        <v>1781</v>
      </c>
      <c r="D138" s="49" t="s">
        <v>1707</v>
      </c>
      <c r="E138" s="274" t="s">
        <v>1752</v>
      </c>
      <c r="F138" s="262">
        <v>3</v>
      </c>
      <c r="G138" s="279">
        <f t="shared" ref="G138:K138" si="60">SUM(G130, G134)</f>
        <v>0</v>
      </c>
      <c r="H138" s="279">
        <f t="shared" si="60"/>
        <v>0</v>
      </c>
      <c r="I138" s="279">
        <f t="shared" si="60"/>
        <v>0</v>
      </c>
      <c r="J138" s="279">
        <f t="shared" si="60"/>
        <v>0</v>
      </c>
      <c r="K138" s="279">
        <f t="shared" si="60"/>
        <v>0</v>
      </c>
      <c r="L138" s="279">
        <f t="shared" ref="L138" si="61">SUM(L130, L134)</f>
        <v>0</v>
      </c>
      <c r="M138" s="279">
        <f>SUM(M130, M134)</f>
        <v>0.19567344186940133</v>
      </c>
      <c r="N138" s="279">
        <f t="shared" ref="N138:Q138" si="62">SUM(N130, N134)</f>
        <v>0.17841117998379372</v>
      </c>
      <c r="O138" s="279">
        <f t="shared" si="62"/>
        <v>0.178363048724625</v>
      </c>
      <c r="P138" s="279">
        <f t="shared" si="62"/>
        <v>0.1779244999805504</v>
      </c>
      <c r="Q138" s="279">
        <f t="shared" si="62"/>
        <v>0.17876595207326174</v>
      </c>
      <c r="R138" s="279">
        <f>SUM(R130, R134)</f>
        <v>0.2</v>
      </c>
      <c r="S138" s="279">
        <f t="shared" ref="S138:AA138" si="63">SUM(S130, S134)</f>
        <v>0</v>
      </c>
      <c r="T138" s="279">
        <f t="shared" si="63"/>
        <v>0</v>
      </c>
      <c r="U138" s="279">
        <f t="shared" si="63"/>
        <v>0</v>
      </c>
      <c r="V138" s="279">
        <f t="shared" si="63"/>
        <v>0</v>
      </c>
      <c r="W138" s="279">
        <f t="shared" si="63"/>
        <v>0</v>
      </c>
      <c r="X138" s="279">
        <f t="shared" si="63"/>
        <v>0</v>
      </c>
      <c r="Y138" s="279">
        <f t="shared" si="63"/>
        <v>0</v>
      </c>
      <c r="Z138" s="279">
        <f t="shared" si="63"/>
        <v>0</v>
      </c>
      <c r="AA138" s="279">
        <f t="shared" si="63"/>
        <v>0</v>
      </c>
    </row>
    <row r="139" spans="2:27" ht="71.25" x14ac:dyDescent="0.2">
      <c r="B139" s="227" t="s">
        <v>1793</v>
      </c>
      <c r="C139" s="45" t="s">
        <v>1794</v>
      </c>
      <c r="D139" s="49" t="s">
        <v>1496</v>
      </c>
      <c r="E139" s="274" t="s">
        <v>1752</v>
      </c>
      <c r="F139" s="262">
        <v>3</v>
      </c>
      <c r="G139" s="354"/>
      <c r="H139" s="355"/>
      <c r="I139" s="355"/>
      <c r="J139" s="355"/>
      <c r="K139" s="355"/>
      <c r="L139" s="355"/>
      <c r="M139" s="281">
        <f>SUM(M140:M142)</f>
        <v>7.2694353217495555</v>
      </c>
      <c r="N139" s="281">
        <f t="shared" ref="N139:R139" si="64">SUM(N140:N142)</f>
        <v>14.107462437269819</v>
      </c>
      <c r="O139" s="281">
        <f t="shared" si="64"/>
        <v>16.31946151500895</v>
      </c>
      <c r="P139" s="281">
        <f t="shared" si="64"/>
        <v>17.047633241837453</v>
      </c>
      <c r="Q139" s="281">
        <f t="shared" si="64"/>
        <v>14.640554610776832</v>
      </c>
      <c r="R139" s="281">
        <f t="shared" si="64"/>
        <v>54.87</v>
      </c>
      <c r="S139" s="281"/>
      <c r="T139" s="281"/>
      <c r="U139" s="281"/>
      <c r="V139" s="281"/>
      <c r="W139" s="281"/>
      <c r="X139" s="281"/>
      <c r="Y139" s="281"/>
      <c r="Z139" s="281"/>
      <c r="AA139" s="282"/>
    </row>
    <row r="140" spans="2:27" ht="71.25" x14ac:dyDescent="0.2">
      <c r="B140" s="227" t="s">
        <v>1795</v>
      </c>
      <c r="C140" s="45" t="s">
        <v>1796</v>
      </c>
      <c r="D140" s="49" t="s">
        <v>1496</v>
      </c>
      <c r="E140" s="274" t="s">
        <v>1752</v>
      </c>
      <c r="F140" s="262">
        <v>3</v>
      </c>
      <c r="G140" s="352"/>
      <c r="H140" s="352"/>
      <c r="I140" s="352"/>
      <c r="J140" s="352"/>
      <c r="K140" s="352"/>
      <c r="L140" s="352"/>
      <c r="M140" s="1087">
        <v>0</v>
      </c>
      <c r="N140" s="1087">
        <v>0</v>
      </c>
      <c r="O140" s="1087">
        <v>0</v>
      </c>
      <c r="P140" s="1087">
        <v>0</v>
      </c>
      <c r="Q140" s="1087">
        <v>0</v>
      </c>
      <c r="R140" s="1087">
        <v>0</v>
      </c>
      <c r="S140" s="1087"/>
      <c r="T140" s="1087"/>
      <c r="U140" s="1087"/>
      <c r="V140" s="1087"/>
      <c r="W140" s="1087"/>
      <c r="X140" s="1087"/>
      <c r="Y140" s="1087"/>
      <c r="Z140" s="1087"/>
      <c r="AA140" s="1088"/>
    </row>
    <row r="141" spans="2:27" ht="71.25" x14ac:dyDescent="0.2">
      <c r="B141" s="227" t="s">
        <v>1797</v>
      </c>
      <c r="C141" s="45" t="s">
        <v>1798</v>
      </c>
      <c r="D141" s="49" t="s">
        <v>1496</v>
      </c>
      <c r="E141" s="274" t="s">
        <v>1752</v>
      </c>
      <c r="F141" s="262">
        <v>3</v>
      </c>
      <c r="G141" s="352"/>
      <c r="H141" s="352"/>
      <c r="I141" s="352"/>
      <c r="J141" s="352"/>
      <c r="K141" s="352"/>
      <c r="L141" s="352"/>
      <c r="M141" s="1087">
        <v>0</v>
      </c>
      <c r="N141" s="1087">
        <v>0</v>
      </c>
      <c r="O141" s="1087">
        <v>0</v>
      </c>
      <c r="P141" s="1087">
        <v>0</v>
      </c>
      <c r="Q141" s="1087">
        <v>0</v>
      </c>
      <c r="R141" s="1087">
        <v>0</v>
      </c>
      <c r="S141" s="1087"/>
      <c r="T141" s="1087"/>
      <c r="U141" s="1087"/>
      <c r="V141" s="1087"/>
      <c r="W141" s="1087"/>
      <c r="X141" s="1087"/>
      <c r="Y141" s="1087"/>
      <c r="Z141" s="1087"/>
      <c r="AA141" s="1088"/>
    </row>
    <row r="142" spans="2:27" ht="71.25" x14ac:dyDescent="0.2">
      <c r="B142" s="227" t="s">
        <v>1799</v>
      </c>
      <c r="C142" s="45" t="s">
        <v>1800</v>
      </c>
      <c r="D142" s="49" t="s">
        <v>1496</v>
      </c>
      <c r="E142" s="274" t="s">
        <v>1752</v>
      </c>
      <c r="F142" s="262">
        <v>3</v>
      </c>
      <c r="G142" s="352"/>
      <c r="H142" s="352"/>
      <c r="I142" s="352"/>
      <c r="J142" s="352"/>
      <c r="K142" s="352"/>
      <c r="L142" s="352"/>
      <c r="M142" s="1329">
        <v>7.2694353217495555</v>
      </c>
      <c r="N142" s="1329">
        <v>14.107462437269819</v>
      </c>
      <c r="O142" s="1329">
        <v>16.31946151500895</v>
      </c>
      <c r="P142" s="1329">
        <v>17.047633241837453</v>
      </c>
      <c r="Q142" s="1329">
        <v>14.640554610776832</v>
      </c>
      <c r="R142" s="1087">
        <v>54.87</v>
      </c>
      <c r="S142" s="1087"/>
      <c r="T142" s="1087"/>
      <c r="U142" s="1087"/>
      <c r="V142" s="1087"/>
      <c r="W142" s="1087"/>
      <c r="X142" s="1087"/>
      <c r="Y142" s="1087"/>
      <c r="Z142" s="1087"/>
      <c r="AA142" s="1088"/>
    </row>
    <row r="143" spans="2:27" ht="71.25" x14ac:dyDescent="0.2">
      <c r="B143" s="227" t="s">
        <v>1801</v>
      </c>
      <c r="C143" s="45" t="s">
        <v>1794</v>
      </c>
      <c r="D143" s="49" t="s">
        <v>1491</v>
      </c>
      <c r="E143" s="274" t="s">
        <v>1752</v>
      </c>
      <c r="F143" s="262">
        <v>3</v>
      </c>
      <c r="G143" s="354"/>
      <c r="H143" s="355"/>
      <c r="I143" s="355"/>
      <c r="J143" s="355"/>
      <c r="K143" s="355"/>
      <c r="L143" s="355"/>
      <c r="M143" s="281">
        <f>SUM(M144:M146)</f>
        <v>5.2427272703302975E-2</v>
      </c>
      <c r="N143" s="281">
        <f t="shared" ref="N143:R143" si="65">SUM(N144:N146)</f>
        <v>8.4252719093924525E-2</v>
      </c>
      <c r="O143" s="281">
        <f t="shared" si="65"/>
        <v>9.5565943622940089E-2</v>
      </c>
      <c r="P143" s="281">
        <f t="shared" si="65"/>
        <v>9.0892484944610163E-2</v>
      </c>
      <c r="Q143" s="281">
        <f t="shared" si="65"/>
        <v>8.5688624323795093E-2</v>
      </c>
      <c r="R143" s="281">
        <f t="shared" si="65"/>
        <v>0.441</v>
      </c>
      <c r="S143" s="281"/>
      <c r="T143" s="281"/>
      <c r="U143" s="281"/>
      <c r="V143" s="281"/>
      <c r="W143" s="281"/>
      <c r="X143" s="281"/>
      <c r="Y143" s="281"/>
      <c r="Z143" s="281"/>
      <c r="AA143" s="282"/>
    </row>
    <row r="144" spans="2:27" ht="71.25" x14ac:dyDescent="0.2">
      <c r="B144" s="227" t="s">
        <v>1802</v>
      </c>
      <c r="C144" s="45" t="s">
        <v>1803</v>
      </c>
      <c r="D144" s="49" t="s">
        <v>1491</v>
      </c>
      <c r="E144" s="274" t="s">
        <v>1752</v>
      </c>
      <c r="F144" s="262">
        <v>3</v>
      </c>
      <c r="G144" s="352"/>
      <c r="H144" s="352"/>
      <c r="I144" s="352"/>
      <c r="J144" s="352"/>
      <c r="K144" s="352"/>
      <c r="L144" s="352"/>
      <c r="M144" s="1087">
        <v>0</v>
      </c>
      <c r="N144" s="1087">
        <v>0</v>
      </c>
      <c r="O144" s="1087">
        <v>0</v>
      </c>
      <c r="P144" s="1087">
        <v>0</v>
      </c>
      <c r="Q144" s="1087">
        <v>0</v>
      </c>
      <c r="R144" s="1087">
        <v>0</v>
      </c>
      <c r="S144" s="1087"/>
      <c r="T144" s="1087"/>
      <c r="U144" s="1087"/>
      <c r="V144" s="1087"/>
      <c r="W144" s="1087"/>
      <c r="X144" s="1087"/>
      <c r="Y144" s="1087"/>
      <c r="Z144" s="1087"/>
      <c r="AA144" s="1088"/>
    </row>
    <row r="145" spans="2:27" ht="71.25" x14ac:dyDescent="0.2">
      <c r="B145" s="227" t="s">
        <v>1804</v>
      </c>
      <c r="C145" s="45" t="s">
        <v>1805</v>
      </c>
      <c r="D145" s="49" t="s">
        <v>1491</v>
      </c>
      <c r="E145" s="274" t="s">
        <v>1752</v>
      </c>
      <c r="F145" s="262">
        <v>3</v>
      </c>
      <c r="G145" s="352"/>
      <c r="H145" s="352"/>
      <c r="I145" s="352"/>
      <c r="J145" s="352"/>
      <c r="K145" s="352"/>
      <c r="L145" s="352"/>
      <c r="M145" s="1087">
        <v>0</v>
      </c>
      <c r="N145" s="1087">
        <v>0</v>
      </c>
      <c r="O145" s="1087">
        <v>0</v>
      </c>
      <c r="P145" s="1087">
        <v>0</v>
      </c>
      <c r="Q145" s="1087">
        <v>0</v>
      </c>
      <c r="R145" s="1087">
        <v>0</v>
      </c>
      <c r="S145" s="1087"/>
      <c r="T145" s="1087"/>
      <c r="U145" s="1087"/>
      <c r="V145" s="1087"/>
      <c r="W145" s="1087"/>
      <c r="X145" s="1087"/>
      <c r="Y145" s="1087"/>
      <c r="Z145" s="1087"/>
      <c r="AA145" s="1088"/>
    </row>
    <row r="146" spans="2:27" ht="71.25" x14ac:dyDescent="0.2">
      <c r="B146" s="227" t="s">
        <v>1806</v>
      </c>
      <c r="C146" s="45" t="s">
        <v>1800</v>
      </c>
      <c r="D146" s="49" t="s">
        <v>1491</v>
      </c>
      <c r="E146" s="274" t="s">
        <v>1752</v>
      </c>
      <c r="F146" s="262">
        <v>3</v>
      </c>
      <c r="G146" s="352"/>
      <c r="H146" s="352"/>
      <c r="I146" s="352"/>
      <c r="J146" s="352"/>
      <c r="K146" s="352"/>
      <c r="L146" s="352"/>
      <c r="M146" s="1087">
        <v>5.2427272703302975E-2</v>
      </c>
      <c r="N146" s="1087">
        <v>8.4252719093924525E-2</v>
      </c>
      <c r="O146" s="1087">
        <v>9.5565943622940089E-2</v>
      </c>
      <c r="P146" s="1087">
        <v>9.0892484944610163E-2</v>
      </c>
      <c r="Q146" s="1087">
        <v>8.5688624323795093E-2</v>
      </c>
      <c r="R146" s="1087">
        <v>0.441</v>
      </c>
      <c r="S146" s="1087"/>
      <c r="T146" s="1087"/>
      <c r="U146" s="1087"/>
      <c r="V146" s="1087"/>
      <c r="W146" s="1087"/>
      <c r="X146" s="1087"/>
      <c r="Y146" s="1087"/>
      <c r="Z146" s="1087"/>
      <c r="AA146" s="1088"/>
    </row>
    <row r="147" spans="2:27" ht="71.25" x14ac:dyDescent="0.2">
      <c r="B147" s="227" t="s">
        <v>1807</v>
      </c>
      <c r="C147" s="45" t="s">
        <v>1794</v>
      </c>
      <c r="D147" s="49" t="s">
        <v>1707</v>
      </c>
      <c r="E147" s="274" t="s">
        <v>1752</v>
      </c>
      <c r="F147" s="262">
        <v>3</v>
      </c>
      <c r="G147" s="279">
        <f t="shared" ref="G147:K147" si="66">SUM(G139,G143)</f>
        <v>0</v>
      </c>
      <c r="H147" s="279">
        <f t="shared" si="66"/>
        <v>0</v>
      </c>
      <c r="I147" s="279">
        <f t="shared" si="66"/>
        <v>0</v>
      </c>
      <c r="J147" s="279">
        <f t="shared" si="66"/>
        <v>0</v>
      </c>
      <c r="K147" s="279">
        <f t="shared" si="66"/>
        <v>0</v>
      </c>
      <c r="L147" s="279">
        <f t="shared" ref="L147" si="67">SUM(L139,L143)</f>
        <v>0</v>
      </c>
      <c r="M147" s="279">
        <f>SUM(M139,M143)</f>
        <v>7.3218625944528588</v>
      </c>
      <c r="N147" s="279">
        <f t="shared" ref="N147:R147" si="68">SUM(N139,N143)</f>
        <v>14.191715156363744</v>
      </c>
      <c r="O147" s="279">
        <f t="shared" si="68"/>
        <v>16.41502745863189</v>
      </c>
      <c r="P147" s="279">
        <f t="shared" si="68"/>
        <v>17.138525726782063</v>
      </c>
      <c r="Q147" s="279">
        <f t="shared" si="68"/>
        <v>14.726243235100627</v>
      </c>
      <c r="R147" s="279">
        <f t="shared" si="68"/>
        <v>55.311</v>
      </c>
      <c r="S147" s="279">
        <f t="shared" ref="S147:AA147" si="69">SUM(S139,S143)</f>
        <v>0</v>
      </c>
      <c r="T147" s="279">
        <f t="shared" si="69"/>
        <v>0</v>
      </c>
      <c r="U147" s="279">
        <f t="shared" si="69"/>
        <v>0</v>
      </c>
      <c r="V147" s="279">
        <f t="shared" si="69"/>
        <v>0</v>
      </c>
      <c r="W147" s="279">
        <f t="shared" si="69"/>
        <v>0</v>
      </c>
      <c r="X147" s="279">
        <f t="shared" si="69"/>
        <v>0</v>
      </c>
      <c r="Y147" s="279">
        <f t="shared" si="69"/>
        <v>0</v>
      </c>
      <c r="Z147" s="279">
        <f t="shared" si="69"/>
        <v>0</v>
      </c>
      <c r="AA147" s="279">
        <f t="shared" si="69"/>
        <v>0</v>
      </c>
    </row>
    <row r="148" spans="2:27" ht="57" x14ac:dyDescent="0.2">
      <c r="B148" s="227" t="s">
        <v>1808</v>
      </c>
      <c r="C148" s="45" t="s">
        <v>1809</v>
      </c>
      <c r="D148" s="49" t="s">
        <v>1496</v>
      </c>
      <c r="E148" s="274" t="s">
        <v>1752</v>
      </c>
      <c r="F148" s="262">
        <v>3</v>
      </c>
      <c r="G148" s="354"/>
      <c r="H148" s="355"/>
      <c r="I148" s="355"/>
      <c r="J148" s="355"/>
      <c r="K148" s="355"/>
      <c r="L148" s="355"/>
      <c r="M148" s="1087">
        <f>SUM(M149:M151)</f>
        <v>0.33187219200000007</v>
      </c>
      <c r="N148" s="1087">
        <f t="shared" ref="N148" si="70">SUM(N149:N151)</f>
        <v>0.32841519000000002</v>
      </c>
      <c r="O148" s="1087">
        <f t="shared" ref="O148" si="71">SUM(O149:O151)</f>
        <v>0.32841519000000002</v>
      </c>
      <c r="P148" s="1087">
        <f t="shared" ref="P148" si="72">SUM(P149:P151)</f>
        <v>0.32841519000000002</v>
      </c>
      <c r="Q148" s="1087">
        <f t="shared" ref="Q148" si="73">SUM(Q149:Q151)</f>
        <v>0.16420759500000001</v>
      </c>
      <c r="R148" s="1087">
        <f t="shared" ref="R148" si="74">SUM(R149:R151)</f>
        <v>0</v>
      </c>
      <c r="S148" s="281"/>
      <c r="T148" s="281"/>
      <c r="U148" s="281"/>
      <c r="V148" s="281"/>
      <c r="W148" s="281"/>
      <c r="X148" s="281"/>
      <c r="Y148" s="281"/>
      <c r="Z148" s="281"/>
      <c r="AA148" s="282"/>
    </row>
    <row r="149" spans="2:27" ht="57" x14ac:dyDescent="0.2">
      <c r="B149" s="227" t="s">
        <v>1810</v>
      </c>
      <c r="C149" s="45" t="s">
        <v>1811</v>
      </c>
      <c r="D149" s="49" t="s">
        <v>1496</v>
      </c>
      <c r="E149" s="274" t="s">
        <v>1752</v>
      </c>
      <c r="F149" s="262">
        <v>3</v>
      </c>
      <c r="G149" s="352"/>
      <c r="H149" s="352"/>
      <c r="I149" s="352"/>
      <c r="J149" s="352"/>
      <c r="K149" s="352"/>
      <c r="L149" s="352"/>
      <c r="M149" s="1087">
        <v>0</v>
      </c>
      <c r="N149" s="1087">
        <v>0</v>
      </c>
      <c r="O149" s="1087">
        <v>0</v>
      </c>
      <c r="P149" s="1087">
        <v>0</v>
      </c>
      <c r="Q149" s="1087">
        <v>0</v>
      </c>
      <c r="R149" s="1087">
        <v>0</v>
      </c>
      <c r="S149" s="1087"/>
      <c r="T149" s="1087"/>
      <c r="U149" s="1087"/>
      <c r="V149" s="1087"/>
      <c r="W149" s="1087"/>
      <c r="X149" s="1087"/>
      <c r="Y149" s="1087"/>
      <c r="Z149" s="1087"/>
      <c r="AA149" s="1088"/>
    </row>
    <row r="150" spans="2:27" ht="57" x14ac:dyDescent="0.2">
      <c r="B150" s="227" t="s">
        <v>1812</v>
      </c>
      <c r="C150" s="45" t="s">
        <v>1813</v>
      </c>
      <c r="D150" s="49" t="s">
        <v>1496</v>
      </c>
      <c r="E150" s="274" t="s">
        <v>1752</v>
      </c>
      <c r="F150" s="262">
        <v>3</v>
      </c>
      <c r="G150" s="352"/>
      <c r="H150" s="352"/>
      <c r="I150" s="352"/>
      <c r="J150" s="352"/>
      <c r="K150" s="352"/>
      <c r="L150" s="352"/>
      <c r="M150" s="1087">
        <v>0</v>
      </c>
      <c r="N150" s="1087">
        <v>0</v>
      </c>
      <c r="O150" s="1087">
        <v>0</v>
      </c>
      <c r="P150" s="1087">
        <v>0</v>
      </c>
      <c r="Q150" s="1087">
        <v>0</v>
      </c>
      <c r="R150" s="1087">
        <v>0</v>
      </c>
      <c r="S150" s="1087"/>
      <c r="T150" s="1087"/>
      <c r="U150" s="1087"/>
      <c r="V150" s="1087"/>
      <c r="W150" s="1087"/>
      <c r="X150" s="1087"/>
      <c r="Y150" s="1087"/>
      <c r="Z150" s="1087"/>
      <c r="AA150" s="1088"/>
    </row>
    <row r="151" spans="2:27" ht="57" x14ac:dyDescent="0.2">
      <c r="B151" s="227" t="s">
        <v>1814</v>
      </c>
      <c r="C151" s="45" t="s">
        <v>1815</v>
      </c>
      <c r="D151" s="49" t="s">
        <v>1496</v>
      </c>
      <c r="E151" s="274" t="s">
        <v>1752</v>
      </c>
      <c r="F151" s="262">
        <v>3</v>
      </c>
      <c r="G151" s="352"/>
      <c r="H151" s="352"/>
      <c r="I151" s="352"/>
      <c r="J151" s="352"/>
      <c r="K151" s="352"/>
      <c r="L151" s="352"/>
      <c r="M151" s="1087">
        <v>0.33187219200000007</v>
      </c>
      <c r="N151" s="1087">
        <v>0.32841519000000002</v>
      </c>
      <c r="O151" s="1087">
        <v>0.32841519000000002</v>
      </c>
      <c r="P151" s="1087">
        <v>0.32841519000000002</v>
      </c>
      <c r="Q151" s="1087">
        <v>0.16420759500000001</v>
      </c>
      <c r="R151" s="1087">
        <v>0</v>
      </c>
      <c r="S151" s="1087"/>
      <c r="T151" s="1087"/>
      <c r="U151" s="1087"/>
      <c r="V151" s="1087"/>
      <c r="W151" s="1087"/>
      <c r="X151" s="1087"/>
      <c r="Y151" s="1087"/>
      <c r="Z151" s="1087"/>
      <c r="AA151" s="1088"/>
    </row>
    <row r="152" spans="2:27" ht="57" x14ac:dyDescent="0.2">
      <c r="B152" s="227" t="s">
        <v>1816</v>
      </c>
      <c r="C152" s="45" t="s">
        <v>1809</v>
      </c>
      <c r="D152" s="49" t="s">
        <v>1491</v>
      </c>
      <c r="E152" s="274" t="s">
        <v>1752</v>
      </c>
      <c r="F152" s="262">
        <v>3</v>
      </c>
      <c r="G152" s="354"/>
      <c r="H152" s="355"/>
      <c r="I152" s="355"/>
      <c r="J152" s="355"/>
      <c r="K152" s="355"/>
      <c r="L152" s="355"/>
      <c r="M152" s="1087">
        <f>SUM(M153:M155)</f>
        <v>0</v>
      </c>
      <c r="N152" s="1087">
        <f t="shared" ref="N152" si="75">SUM(N153:N155)</f>
        <v>0</v>
      </c>
      <c r="O152" s="1087">
        <f t="shared" ref="O152" si="76">SUM(O153:O155)</f>
        <v>0</v>
      </c>
      <c r="P152" s="1087">
        <f t="shared" ref="P152" si="77">SUM(P153:P155)</f>
        <v>0</v>
      </c>
      <c r="Q152" s="1087">
        <f t="shared" ref="Q152" si="78">SUM(Q153:Q155)</f>
        <v>0</v>
      </c>
      <c r="R152" s="1087">
        <f t="shared" ref="R152" si="79">SUM(R153:R155)</f>
        <v>0</v>
      </c>
      <c r="S152" s="281"/>
      <c r="T152" s="281"/>
      <c r="U152" s="281"/>
      <c r="V152" s="281"/>
      <c r="W152" s="281"/>
      <c r="X152" s="281"/>
      <c r="Y152" s="281"/>
      <c r="Z152" s="281"/>
      <c r="AA152" s="282"/>
    </row>
    <row r="153" spans="2:27" ht="57" x14ac:dyDescent="0.2">
      <c r="B153" s="227" t="s">
        <v>1817</v>
      </c>
      <c r="C153" s="45" t="s">
        <v>1811</v>
      </c>
      <c r="D153" s="49" t="s">
        <v>1491</v>
      </c>
      <c r="E153" s="274" t="s">
        <v>1752</v>
      </c>
      <c r="F153" s="262">
        <v>3</v>
      </c>
      <c r="G153" s="352"/>
      <c r="H153" s="352"/>
      <c r="I153" s="352"/>
      <c r="J153" s="352"/>
      <c r="K153" s="352"/>
      <c r="L153" s="352"/>
      <c r="M153" s="1087">
        <v>0</v>
      </c>
      <c r="N153" s="1087">
        <v>0</v>
      </c>
      <c r="O153" s="1087">
        <v>0</v>
      </c>
      <c r="P153" s="1087">
        <v>0</v>
      </c>
      <c r="Q153" s="1087">
        <v>0</v>
      </c>
      <c r="R153" s="1087">
        <v>0</v>
      </c>
      <c r="S153" s="1087"/>
      <c r="T153" s="1087"/>
      <c r="U153" s="1087"/>
      <c r="V153" s="1087"/>
      <c r="W153" s="1087"/>
      <c r="X153" s="1087"/>
      <c r="Y153" s="1087"/>
      <c r="Z153" s="1087"/>
      <c r="AA153" s="1088"/>
    </row>
    <row r="154" spans="2:27" ht="57" x14ac:dyDescent="0.2">
      <c r="B154" s="227" t="s">
        <v>1818</v>
      </c>
      <c r="C154" s="45" t="s">
        <v>1813</v>
      </c>
      <c r="D154" s="49" t="s">
        <v>1491</v>
      </c>
      <c r="E154" s="274" t="s">
        <v>1752</v>
      </c>
      <c r="F154" s="262">
        <v>3</v>
      </c>
      <c r="G154" s="352"/>
      <c r="H154" s="352"/>
      <c r="I154" s="352"/>
      <c r="J154" s="352"/>
      <c r="K154" s="352"/>
      <c r="L154" s="352"/>
      <c r="M154" s="1087">
        <v>0</v>
      </c>
      <c r="N154" s="1087">
        <v>0</v>
      </c>
      <c r="O154" s="1087">
        <v>0</v>
      </c>
      <c r="P154" s="1087">
        <v>0</v>
      </c>
      <c r="Q154" s="1087">
        <v>0</v>
      </c>
      <c r="R154" s="1087">
        <v>0</v>
      </c>
      <c r="S154" s="1087"/>
      <c r="T154" s="1087"/>
      <c r="U154" s="1087"/>
      <c r="V154" s="1087"/>
      <c r="W154" s="1087"/>
      <c r="X154" s="1087"/>
      <c r="Y154" s="1087"/>
      <c r="Z154" s="1087"/>
      <c r="AA154" s="1088"/>
    </row>
    <row r="155" spans="2:27" ht="57" x14ac:dyDescent="0.2">
      <c r="B155" s="227" t="s">
        <v>1819</v>
      </c>
      <c r="C155" s="45" t="s">
        <v>1815</v>
      </c>
      <c r="D155" s="49" t="s">
        <v>1491</v>
      </c>
      <c r="E155" s="274" t="s">
        <v>1752</v>
      </c>
      <c r="F155" s="262">
        <v>3</v>
      </c>
      <c r="G155" s="352"/>
      <c r="H155" s="352"/>
      <c r="I155" s="352"/>
      <c r="J155" s="352"/>
      <c r="K155" s="352"/>
      <c r="L155" s="352"/>
      <c r="M155" s="1087">
        <v>0</v>
      </c>
      <c r="N155" s="1087">
        <v>0</v>
      </c>
      <c r="O155" s="1087">
        <v>0</v>
      </c>
      <c r="P155" s="1087">
        <v>0</v>
      </c>
      <c r="Q155" s="1087">
        <v>0</v>
      </c>
      <c r="R155" s="1087">
        <v>0</v>
      </c>
      <c r="S155" s="1087"/>
      <c r="T155" s="1087"/>
      <c r="U155" s="1087"/>
      <c r="V155" s="1087"/>
      <c r="W155" s="1087"/>
      <c r="X155" s="1087"/>
      <c r="Y155" s="1087"/>
      <c r="Z155" s="1087"/>
      <c r="AA155" s="1088"/>
    </row>
    <row r="156" spans="2:27" ht="57" x14ac:dyDescent="0.2">
      <c r="B156" s="227" t="s">
        <v>1820</v>
      </c>
      <c r="C156" s="45" t="s">
        <v>1811</v>
      </c>
      <c r="D156" s="49" t="s">
        <v>1707</v>
      </c>
      <c r="E156" s="274" t="s">
        <v>1752</v>
      </c>
      <c r="F156" s="262">
        <v>3</v>
      </c>
      <c r="G156" s="279">
        <f t="shared" ref="G156:AA156" si="80">SUM(G148,G152)</f>
        <v>0</v>
      </c>
      <c r="H156" s="279">
        <f t="shared" si="80"/>
        <v>0</v>
      </c>
      <c r="I156" s="279">
        <f t="shared" si="80"/>
        <v>0</v>
      </c>
      <c r="J156" s="279">
        <f t="shared" si="80"/>
        <v>0</v>
      </c>
      <c r="K156" s="279">
        <f t="shared" si="80"/>
        <v>0</v>
      </c>
      <c r="L156" s="279">
        <f t="shared" si="80"/>
        <v>0</v>
      </c>
      <c r="M156" s="279">
        <f t="shared" si="80"/>
        <v>0.33187219200000007</v>
      </c>
      <c r="N156" s="279">
        <f t="shared" si="80"/>
        <v>0.32841519000000002</v>
      </c>
      <c r="O156" s="279">
        <f t="shared" si="80"/>
        <v>0.32841519000000002</v>
      </c>
      <c r="P156" s="279">
        <f t="shared" si="80"/>
        <v>0.32841519000000002</v>
      </c>
      <c r="Q156" s="279">
        <f t="shared" si="80"/>
        <v>0.16420759500000001</v>
      </c>
      <c r="R156" s="279">
        <f t="shared" si="80"/>
        <v>0</v>
      </c>
      <c r="S156" s="279">
        <f t="shared" si="80"/>
        <v>0</v>
      </c>
      <c r="T156" s="279">
        <f t="shared" si="80"/>
        <v>0</v>
      </c>
      <c r="U156" s="279">
        <f t="shared" si="80"/>
        <v>0</v>
      </c>
      <c r="V156" s="279">
        <f t="shared" si="80"/>
        <v>0</v>
      </c>
      <c r="W156" s="279">
        <f t="shared" si="80"/>
        <v>0</v>
      </c>
      <c r="X156" s="279">
        <f t="shared" si="80"/>
        <v>0</v>
      </c>
      <c r="Y156" s="279">
        <f t="shared" si="80"/>
        <v>0</v>
      </c>
      <c r="Z156" s="279">
        <f t="shared" si="80"/>
        <v>0</v>
      </c>
      <c r="AA156" s="279">
        <f t="shared" si="80"/>
        <v>0</v>
      </c>
    </row>
    <row r="157" spans="2:27" ht="57" x14ac:dyDescent="0.2">
      <c r="B157" s="227" t="s">
        <v>1821</v>
      </c>
      <c r="C157" s="45" t="s">
        <v>1822</v>
      </c>
      <c r="D157" s="49" t="s">
        <v>1496</v>
      </c>
      <c r="E157" s="274" t="s">
        <v>1752</v>
      </c>
      <c r="F157" s="262">
        <v>3</v>
      </c>
      <c r="G157" s="352"/>
      <c r="H157" s="352"/>
      <c r="I157" s="352"/>
      <c r="J157" s="352"/>
      <c r="K157" s="352"/>
      <c r="L157" s="352"/>
      <c r="M157" s="1087">
        <v>0</v>
      </c>
      <c r="N157" s="1087">
        <v>0</v>
      </c>
      <c r="O157" s="1087">
        <v>0</v>
      </c>
      <c r="P157" s="1087">
        <v>0</v>
      </c>
      <c r="Q157" s="1087">
        <v>0</v>
      </c>
      <c r="R157" s="1087">
        <v>0</v>
      </c>
      <c r="S157" s="1087"/>
      <c r="T157" s="1087"/>
      <c r="U157" s="1087"/>
      <c r="V157" s="1087"/>
      <c r="W157" s="1087"/>
      <c r="X157" s="1087"/>
      <c r="Y157" s="1087"/>
      <c r="Z157" s="1087"/>
      <c r="AA157" s="1088"/>
    </row>
    <row r="158" spans="2:27" ht="57" x14ac:dyDescent="0.2">
      <c r="B158" s="227" t="s">
        <v>1823</v>
      </c>
      <c r="C158" s="45" t="s">
        <v>1824</v>
      </c>
      <c r="D158" s="49" t="s">
        <v>1496</v>
      </c>
      <c r="E158" s="274" t="s">
        <v>1752</v>
      </c>
      <c r="F158" s="262">
        <v>3</v>
      </c>
      <c r="G158" s="352"/>
      <c r="H158" s="352"/>
      <c r="I158" s="352"/>
      <c r="J158" s="352"/>
      <c r="K158" s="352"/>
      <c r="L158" s="352"/>
      <c r="M158" s="1329">
        <v>1.9191510553654116</v>
      </c>
      <c r="N158" s="1329">
        <v>1.890406502820039</v>
      </c>
      <c r="O158" s="1329">
        <v>1.8176500495700414</v>
      </c>
      <c r="P158" s="1329">
        <v>1.9356433484401687</v>
      </c>
      <c r="Q158" s="1329">
        <v>1.8647193779164839</v>
      </c>
      <c r="R158" s="1087">
        <v>8.3140000000000001</v>
      </c>
      <c r="S158" s="1087"/>
      <c r="T158" s="1087"/>
      <c r="U158" s="1087"/>
      <c r="V158" s="1087"/>
      <c r="W158" s="1087"/>
      <c r="X158" s="1087"/>
      <c r="Y158" s="1087"/>
      <c r="Z158" s="1087"/>
      <c r="AA158" s="1088"/>
    </row>
    <row r="159" spans="2:27" ht="57" x14ac:dyDescent="0.2">
      <c r="B159" s="227" t="s">
        <v>1825</v>
      </c>
      <c r="C159" s="45" t="s">
        <v>1826</v>
      </c>
      <c r="D159" s="49" t="s">
        <v>1496</v>
      </c>
      <c r="E159" s="274" t="s">
        <v>1752</v>
      </c>
      <c r="F159" s="262">
        <v>3</v>
      </c>
      <c r="G159" s="352"/>
      <c r="H159" s="352"/>
      <c r="I159" s="352"/>
      <c r="J159" s="352"/>
      <c r="K159" s="352"/>
      <c r="L159" s="352"/>
      <c r="M159" s="1329">
        <v>0.22160167078760196</v>
      </c>
      <c r="N159" s="1329">
        <v>0.21714986601904007</v>
      </c>
      <c r="O159" s="1329">
        <v>0.2119461922359501</v>
      </c>
      <c r="P159" s="1329">
        <v>0.2241360665235651</v>
      </c>
      <c r="Q159" s="1329">
        <v>0.21645771453049747</v>
      </c>
      <c r="R159" s="1087">
        <v>0.9890000000000001</v>
      </c>
      <c r="S159" s="1087"/>
      <c r="T159" s="1087"/>
      <c r="U159" s="1087"/>
      <c r="V159" s="1087"/>
      <c r="W159" s="1087"/>
      <c r="X159" s="1087"/>
      <c r="Y159" s="1087"/>
      <c r="Z159" s="1087"/>
      <c r="AA159" s="1088"/>
    </row>
    <row r="160" spans="2:27" ht="28.5" x14ac:dyDescent="0.2">
      <c r="B160" s="227" t="s">
        <v>1827</v>
      </c>
      <c r="C160" s="45" t="s">
        <v>1828</v>
      </c>
      <c r="D160" s="49" t="s">
        <v>1496</v>
      </c>
      <c r="E160" s="274" t="s">
        <v>1752</v>
      </c>
      <c r="F160" s="262">
        <v>3</v>
      </c>
      <c r="G160" s="352"/>
      <c r="H160" s="352"/>
      <c r="I160" s="352"/>
      <c r="J160" s="352"/>
      <c r="K160" s="352"/>
      <c r="L160" s="352"/>
      <c r="M160" s="1087">
        <v>0.25</v>
      </c>
      <c r="N160" s="1087">
        <v>0</v>
      </c>
      <c r="O160" s="1087">
        <v>0</v>
      </c>
      <c r="P160" s="1087">
        <v>0</v>
      </c>
      <c r="Q160" s="1087">
        <v>0</v>
      </c>
      <c r="R160" s="1087">
        <v>0</v>
      </c>
      <c r="S160" s="1087"/>
      <c r="T160" s="1087"/>
      <c r="U160" s="1087"/>
      <c r="V160" s="1087"/>
      <c r="W160" s="1087"/>
      <c r="X160" s="1087"/>
      <c r="Y160" s="1087"/>
      <c r="Z160" s="1087"/>
      <c r="AA160" s="1088"/>
    </row>
    <row r="161" spans="2:27" ht="57" x14ac:dyDescent="0.2">
      <c r="B161" s="227" t="s">
        <v>1829</v>
      </c>
      <c r="C161" s="45" t="s">
        <v>1822</v>
      </c>
      <c r="D161" s="49" t="s">
        <v>1491</v>
      </c>
      <c r="E161" s="274" t="s">
        <v>1752</v>
      </c>
      <c r="F161" s="262">
        <v>3</v>
      </c>
      <c r="G161" s="352"/>
      <c r="H161" s="352"/>
      <c r="I161" s="352"/>
      <c r="J161" s="352"/>
      <c r="K161" s="352"/>
      <c r="L161" s="352"/>
      <c r="M161" s="1087">
        <v>0</v>
      </c>
      <c r="N161" s="1087">
        <v>0</v>
      </c>
      <c r="O161" s="1087">
        <v>0</v>
      </c>
      <c r="P161" s="1087">
        <v>0</v>
      </c>
      <c r="Q161" s="1087">
        <v>0</v>
      </c>
      <c r="R161" s="1087">
        <v>0</v>
      </c>
      <c r="S161" s="1087"/>
      <c r="T161" s="1087"/>
      <c r="U161" s="1087"/>
      <c r="V161" s="1087"/>
      <c r="W161" s="1087"/>
      <c r="X161" s="1087"/>
      <c r="Y161" s="1087"/>
      <c r="Z161" s="1087"/>
      <c r="AA161" s="1088"/>
    </row>
    <row r="162" spans="2:27" ht="57" x14ac:dyDescent="0.2">
      <c r="B162" s="227" t="s">
        <v>1830</v>
      </c>
      <c r="C162" s="45" t="s">
        <v>1824</v>
      </c>
      <c r="D162" s="49" t="s">
        <v>1491</v>
      </c>
      <c r="E162" s="274" t="s">
        <v>1752</v>
      </c>
      <c r="F162" s="262">
        <v>3</v>
      </c>
      <c r="G162" s="352"/>
      <c r="H162" s="352"/>
      <c r="I162" s="352"/>
      <c r="J162" s="352"/>
      <c r="K162" s="352"/>
      <c r="L162" s="352"/>
      <c r="M162" s="1087">
        <v>0.2354966128554622</v>
      </c>
      <c r="N162" s="1087">
        <v>0.20750891292830184</v>
      </c>
      <c r="O162" s="1087">
        <v>0.19743135772379392</v>
      </c>
      <c r="P162" s="1087">
        <v>0.20167231900312849</v>
      </c>
      <c r="Q162" s="1087">
        <v>0.20616847632016219</v>
      </c>
      <c r="R162" s="1087">
        <v>1.024</v>
      </c>
      <c r="S162" s="1087"/>
      <c r="T162" s="1087"/>
      <c r="U162" s="1087"/>
      <c r="V162" s="1087"/>
      <c r="W162" s="1087"/>
      <c r="X162" s="1087"/>
      <c r="Y162" s="1087"/>
      <c r="Z162" s="1087"/>
      <c r="AA162" s="1088"/>
    </row>
    <row r="163" spans="2:27" ht="57" x14ac:dyDescent="0.2">
      <c r="B163" s="227" t="s">
        <v>1831</v>
      </c>
      <c r="C163" s="45" t="s">
        <v>1826</v>
      </c>
      <c r="D163" s="49" t="s">
        <v>1491</v>
      </c>
      <c r="E163" s="274" t="s">
        <v>1752</v>
      </c>
      <c r="F163" s="262">
        <v>3</v>
      </c>
      <c r="G163" s="352"/>
      <c r="H163" s="352"/>
      <c r="I163" s="352"/>
      <c r="J163" s="352"/>
      <c r="K163" s="352"/>
      <c r="L163" s="352"/>
      <c r="M163" s="1087">
        <v>2.8661113286391083E-2</v>
      </c>
      <c r="N163" s="1087">
        <v>2.5254870502210602E-2</v>
      </c>
      <c r="O163" s="1087">
        <v>2.4028381730826293E-2</v>
      </c>
      <c r="P163" s="1087">
        <v>2.4544527887649402E-2</v>
      </c>
      <c r="Q163" s="1087">
        <v>2.5091732676093773E-2</v>
      </c>
      <c r="R163" s="1087">
        <v>0.125</v>
      </c>
      <c r="S163" s="1087"/>
      <c r="T163" s="1087"/>
      <c r="U163" s="1087"/>
      <c r="V163" s="1087"/>
      <c r="W163" s="1087"/>
      <c r="X163" s="1087"/>
      <c r="Y163" s="1087"/>
      <c r="Z163" s="1087"/>
      <c r="AA163" s="1088"/>
    </row>
    <row r="164" spans="2:27" ht="28.5" x14ac:dyDescent="0.2">
      <c r="B164" s="227" t="s">
        <v>1832</v>
      </c>
      <c r="C164" s="45" t="s">
        <v>1828</v>
      </c>
      <c r="D164" s="49" t="s">
        <v>1491</v>
      </c>
      <c r="E164" s="274" t="s">
        <v>1752</v>
      </c>
      <c r="F164" s="262">
        <v>3</v>
      </c>
      <c r="G164" s="352"/>
      <c r="H164" s="352"/>
      <c r="I164" s="352"/>
      <c r="J164" s="352"/>
      <c r="K164" s="352"/>
      <c r="L164" s="352"/>
      <c r="M164" s="1329">
        <v>0.2</v>
      </c>
      <c r="N164" s="1329">
        <v>0.45</v>
      </c>
      <c r="O164" s="1329">
        <v>0.7</v>
      </c>
      <c r="P164" s="1329">
        <v>0.96</v>
      </c>
      <c r="Q164" s="1329">
        <v>1.2</v>
      </c>
      <c r="R164" s="1087">
        <v>2.82</v>
      </c>
      <c r="S164" s="1087"/>
      <c r="T164" s="1087"/>
      <c r="U164" s="1087"/>
      <c r="V164" s="1087"/>
      <c r="W164" s="1087"/>
      <c r="X164" s="1087"/>
      <c r="Y164" s="1087"/>
      <c r="Z164" s="1087"/>
      <c r="AA164" s="1088"/>
    </row>
    <row r="165" spans="2:27" ht="57" x14ac:dyDescent="0.2">
      <c r="B165" s="227" t="s">
        <v>1833</v>
      </c>
      <c r="C165" s="45" t="s">
        <v>1822</v>
      </c>
      <c r="D165" s="49" t="s">
        <v>1707</v>
      </c>
      <c r="E165" s="274" t="s">
        <v>1752</v>
      </c>
      <c r="F165" s="262">
        <v>3</v>
      </c>
      <c r="G165" s="279">
        <f>SUM(G157,G161)</f>
        <v>0</v>
      </c>
      <c r="H165" s="279">
        <f t="shared" ref="H165:AA165" si="81">SUM(H157,H161)</f>
        <v>0</v>
      </c>
      <c r="I165" s="279">
        <f t="shared" si="81"/>
        <v>0</v>
      </c>
      <c r="J165" s="279">
        <f t="shared" si="81"/>
        <v>0</v>
      </c>
      <c r="K165" s="279">
        <f t="shared" si="81"/>
        <v>0</v>
      </c>
      <c r="L165" s="279">
        <f t="shared" si="81"/>
        <v>0</v>
      </c>
      <c r="M165" s="279">
        <f t="shared" si="81"/>
        <v>0</v>
      </c>
      <c r="N165" s="279">
        <f t="shared" si="81"/>
        <v>0</v>
      </c>
      <c r="O165" s="279">
        <f t="shared" si="81"/>
        <v>0</v>
      </c>
      <c r="P165" s="279">
        <f t="shared" si="81"/>
        <v>0</v>
      </c>
      <c r="Q165" s="279">
        <f t="shared" si="81"/>
        <v>0</v>
      </c>
      <c r="R165" s="279">
        <f t="shared" si="81"/>
        <v>0</v>
      </c>
      <c r="S165" s="279">
        <f t="shared" si="81"/>
        <v>0</v>
      </c>
      <c r="T165" s="279">
        <f t="shared" si="81"/>
        <v>0</v>
      </c>
      <c r="U165" s="279">
        <f t="shared" si="81"/>
        <v>0</v>
      </c>
      <c r="V165" s="279">
        <f t="shared" si="81"/>
        <v>0</v>
      </c>
      <c r="W165" s="279">
        <f t="shared" si="81"/>
        <v>0</v>
      </c>
      <c r="X165" s="279">
        <f t="shared" si="81"/>
        <v>0</v>
      </c>
      <c r="Y165" s="279">
        <f t="shared" si="81"/>
        <v>0</v>
      </c>
      <c r="Z165" s="279">
        <f t="shared" si="81"/>
        <v>0</v>
      </c>
      <c r="AA165" s="279">
        <f t="shared" si="81"/>
        <v>0</v>
      </c>
    </row>
    <row r="166" spans="2:27" ht="57" x14ac:dyDescent="0.2">
      <c r="B166" s="227" t="s">
        <v>1834</v>
      </c>
      <c r="C166" s="45" t="s">
        <v>1824</v>
      </c>
      <c r="D166" s="49" t="s">
        <v>1707</v>
      </c>
      <c r="E166" s="274" t="s">
        <v>1752</v>
      </c>
      <c r="F166" s="262">
        <v>3</v>
      </c>
      <c r="G166" s="279">
        <f t="shared" ref="G166" si="82">SUM(G158,G162)</f>
        <v>0</v>
      </c>
      <c r="H166" s="279">
        <f t="shared" ref="H166:AA166" si="83">SUM(H158,H162)</f>
        <v>0</v>
      </c>
      <c r="I166" s="279">
        <f t="shared" si="83"/>
        <v>0</v>
      </c>
      <c r="J166" s="279">
        <f t="shared" si="83"/>
        <v>0</v>
      </c>
      <c r="K166" s="279">
        <f t="shared" si="83"/>
        <v>0</v>
      </c>
      <c r="L166" s="279">
        <f t="shared" si="83"/>
        <v>0</v>
      </c>
      <c r="M166" s="279">
        <f t="shared" si="83"/>
        <v>2.1546476682208739</v>
      </c>
      <c r="N166" s="279">
        <f t="shared" si="83"/>
        <v>2.0979154157483406</v>
      </c>
      <c r="O166" s="279">
        <f t="shared" si="83"/>
        <v>2.0150814072938354</v>
      </c>
      <c r="P166" s="279">
        <f t="shared" si="83"/>
        <v>2.1373156674432972</v>
      </c>
      <c r="Q166" s="279">
        <f t="shared" si="83"/>
        <v>2.0708878542366462</v>
      </c>
      <c r="R166" s="279">
        <f t="shared" si="83"/>
        <v>9.338000000000001</v>
      </c>
      <c r="S166" s="279">
        <f t="shared" si="83"/>
        <v>0</v>
      </c>
      <c r="T166" s="279">
        <f t="shared" si="83"/>
        <v>0</v>
      </c>
      <c r="U166" s="279">
        <f t="shared" si="83"/>
        <v>0</v>
      </c>
      <c r="V166" s="279">
        <f t="shared" si="83"/>
        <v>0</v>
      </c>
      <c r="W166" s="279">
        <f t="shared" si="83"/>
        <v>0</v>
      </c>
      <c r="X166" s="279">
        <f t="shared" si="83"/>
        <v>0</v>
      </c>
      <c r="Y166" s="279">
        <f t="shared" si="83"/>
        <v>0</v>
      </c>
      <c r="Z166" s="279">
        <f t="shared" si="83"/>
        <v>0</v>
      </c>
      <c r="AA166" s="279">
        <f t="shared" si="83"/>
        <v>0</v>
      </c>
    </row>
    <row r="167" spans="2:27" ht="57" x14ac:dyDescent="0.2">
      <c r="B167" s="227" t="s">
        <v>1835</v>
      </c>
      <c r="C167" s="45" t="s">
        <v>1826</v>
      </c>
      <c r="D167" s="49" t="s">
        <v>1707</v>
      </c>
      <c r="E167" s="274" t="s">
        <v>1752</v>
      </c>
      <c r="F167" s="262">
        <v>3</v>
      </c>
      <c r="G167" s="279">
        <f t="shared" ref="G167" si="84">SUM(G159,G163)</f>
        <v>0</v>
      </c>
      <c r="H167" s="279">
        <f t="shared" ref="H167:AA167" si="85">SUM(H159,H163)</f>
        <v>0</v>
      </c>
      <c r="I167" s="279">
        <f t="shared" si="85"/>
        <v>0</v>
      </c>
      <c r="J167" s="279">
        <f t="shared" si="85"/>
        <v>0</v>
      </c>
      <c r="K167" s="279">
        <f t="shared" si="85"/>
        <v>0</v>
      </c>
      <c r="L167" s="279">
        <f t="shared" si="85"/>
        <v>0</v>
      </c>
      <c r="M167" s="279">
        <f t="shared" si="85"/>
        <v>0.25026278407399305</v>
      </c>
      <c r="N167" s="279">
        <f t="shared" si="85"/>
        <v>0.24240473652125066</v>
      </c>
      <c r="O167" s="279">
        <f t="shared" si="85"/>
        <v>0.2359745739667764</v>
      </c>
      <c r="P167" s="279">
        <f t="shared" si="85"/>
        <v>0.24868059441121451</v>
      </c>
      <c r="Q167" s="279">
        <f t="shared" si="85"/>
        <v>0.24154944720659124</v>
      </c>
      <c r="R167" s="279">
        <f t="shared" si="85"/>
        <v>1.1140000000000001</v>
      </c>
      <c r="S167" s="279">
        <f t="shared" si="85"/>
        <v>0</v>
      </c>
      <c r="T167" s="279">
        <f t="shared" si="85"/>
        <v>0</v>
      </c>
      <c r="U167" s="279">
        <f t="shared" si="85"/>
        <v>0</v>
      </c>
      <c r="V167" s="279">
        <f t="shared" si="85"/>
        <v>0</v>
      </c>
      <c r="W167" s="279">
        <f t="shared" si="85"/>
        <v>0</v>
      </c>
      <c r="X167" s="279">
        <f t="shared" si="85"/>
        <v>0</v>
      </c>
      <c r="Y167" s="279">
        <f t="shared" si="85"/>
        <v>0</v>
      </c>
      <c r="Z167" s="279">
        <f t="shared" si="85"/>
        <v>0</v>
      </c>
      <c r="AA167" s="279">
        <f t="shared" si="85"/>
        <v>0</v>
      </c>
    </row>
    <row r="168" spans="2:27" ht="28.5" x14ac:dyDescent="0.2">
      <c r="B168" s="227" t="s">
        <v>1836</v>
      </c>
      <c r="C168" s="45" t="s">
        <v>1828</v>
      </c>
      <c r="D168" s="49" t="s">
        <v>1707</v>
      </c>
      <c r="E168" s="274" t="s">
        <v>1752</v>
      </c>
      <c r="F168" s="262">
        <v>3</v>
      </c>
      <c r="G168" s="279">
        <f t="shared" ref="G168" si="86">SUM(G160,G164)</f>
        <v>0</v>
      </c>
      <c r="H168" s="279">
        <f t="shared" ref="H168:AA168" si="87">SUM(H160,H164)</f>
        <v>0</v>
      </c>
      <c r="I168" s="279">
        <f t="shared" si="87"/>
        <v>0</v>
      </c>
      <c r="J168" s="279">
        <f t="shared" si="87"/>
        <v>0</v>
      </c>
      <c r="K168" s="279">
        <f t="shared" si="87"/>
        <v>0</v>
      </c>
      <c r="L168" s="279">
        <f t="shared" si="87"/>
        <v>0</v>
      </c>
      <c r="M168" s="279">
        <f t="shared" si="87"/>
        <v>0.45</v>
      </c>
      <c r="N168" s="279">
        <f t="shared" si="87"/>
        <v>0.45</v>
      </c>
      <c r="O168" s="279">
        <f t="shared" si="87"/>
        <v>0.7</v>
      </c>
      <c r="P168" s="279">
        <f t="shared" si="87"/>
        <v>0.96</v>
      </c>
      <c r="Q168" s="279">
        <f t="shared" si="87"/>
        <v>1.2</v>
      </c>
      <c r="R168" s="279">
        <f t="shared" si="87"/>
        <v>2.82</v>
      </c>
      <c r="S168" s="279">
        <f t="shared" si="87"/>
        <v>0</v>
      </c>
      <c r="T168" s="279">
        <f t="shared" si="87"/>
        <v>0</v>
      </c>
      <c r="U168" s="279">
        <f t="shared" si="87"/>
        <v>0</v>
      </c>
      <c r="V168" s="279">
        <f t="shared" si="87"/>
        <v>0</v>
      </c>
      <c r="W168" s="279">
        <f t="shared" si="87"/>
        <v>0</v>
      </c>
      <c r="X168" s="279">
        <f t="shared" si="87"/>
        <v>0</v>
      </c>
      <c r="Y168" s="279">
        <f t="shared" si="87"/>
        <v>0</v>
      </c>
      <c r="Z168" s="279">
        <f t="shared" si="87"/>
        <v>0</v>
      </c>
      <c r="AA168" s="279">
        <f t="shared" si="87"/>
        <v>0</v>
      </c>
    </row>
    <row r="169" spans="2:27" ht="28.5" x14ac:dyDescent="0.2">
      <c r="B169" s="227" t="s">
        <v>1837</v>
      </c>
      <c r="C169" s="45" t="s">
        <v>1838</v>
      </c>
      <c r="D169" s="49" t="s">
        <v>1707</v>
      </c>
      <c r="E169" s="274" t="s">
        <v>1752</v>
      </c>
      <c r="F169" s="262">
        <v>3</v>
      </c>
      <c r="G169" s="277">
        <f>SUM(G156,G147,G138,G165,G166,G168)</f>
        <v>0</v>
      </c>
      <c r="H169" s="277">
        <f t="shared" ref="H169:AA169" si="88">SUM(H156,H147,H138,H165,H166,H168)</f>
        <v>0</v>
      </c>
      <c r="I169" s="277">
        <f t="shared" si="88"/>
        <v>0</v>
      </c>
      <c r="J169" s="277">
        <f t="shared" si="88"/>
        <v>0</v>
      </c>
      <c r="K169" s="277">
        <f t="shared" si="88"/>
        <v>0</v>
      </c>
      <c r="L169" s="277">
        <f t="shared" si="88"/>
        <v>0</v>
      </c>
      <c r="M169" s="277">
        <f t="shared" si="88"/>
        <v>10.454055896543133</v>
      </c>
      <c r="N169" s="277">
        <f t="shared" si="88"/>
        <v>17.246456942095875</v>
      </c>
      <c r="O169" s="277">
        <f t="shared" si="88"/>
        <v>19.636887104650349</v>
      </c>
      <c r="P169" s="277">
        <f t="shared" si="88"/>
        <v>20.742181084205914</v>
      </c>
      <c r="Q169" s="277">
        <f t="shared" si="88"/>
        <v>18.340104636410533</v>
      </c>
      <c r="R169" s="277">
        <f t="shared" si="88"/>
        <v>67.668999999999997</v>
      </c>
      <c r="S169" s="277">
        <f t="shared" si="88"/>
        <v>0</v>
      </c>
      <c r="T169" s="277">
        <f t="shared" si="88"/>
        <v>0</v>
      </c>
      <c r="U169" s="277">
        <f t="shared" si="88"/>
        <v>0</v>
      </c>
      <c r="V169" s="277">
        <f t="shared" si="88"/>
        <v>0</v>
      </c>
      <c r="W169" s="277">
        <f t="shared" si="88"/>
        <v>0</v>
      </c>
      <c r="X169" s="277">
        <f t="shared" si="88"/>
        <v>0</v>
      </c>
      <c r="Y169" s="277">
        <f t="shared" si="88"/>
        <v>0</v>
      </c>
      <c r="Z169" s="277">
        <f t="shared" si="88"/>
        <v>0</v>
      </c>
      <c r="AA169" s="277">
        <f t="shared" si="88"/>
        <v>0</v>
      </c>
    </row>
    <row r="170" spans="2:27" ht="15" thickBot="1" x14ac:dyDescent="0.25">
      <c r="B170" s="229"/>
      <c r="C170" s="230"/>
      <c r="D170" s="53"/>
      <c r="E170" s="231"/>
      <c r="F170" s="232"/>
      <c r="G170" s="241"/>
      <c r="H170" s="241"/>
      <c r="I170" s="241"/>
      <c r="J170" s="241"/>
      <c r="K170" s="241"/>
      <c r="L170" s="241"/>
      <c r="M170" s="241"/>
      <c r="N170" s="241"/>
      <c r="O170" s="241"/>
      <c r="P170" s="241"/>
      <c r="Q170" s="241"/>
      <c r="R170" s="241"/>
      <c r="S170" s="241"/>
      <c r="T170" s="241"/>
      <c r="U170" s="241"/>
      <c r="V170" s="241"/>
      <c r="W170" s="241"/>
      <c r="X170" s="241"/>
      <c r="Y170" s="241"/>
      <c r="Z170" s="241"/>
      <c r="AA170" s="241"/>
    </row>
    <row r="171" spans="2:27" ht="60.75" thickBot="1" x14ac:dyDescent="0.25">
      <c r="B171" s="193" t="s">
        <v>1839</v>
      </c>
      <c r="G171" s="1832" t="s">
        <v>1738</v>
      </c>
      <c r="H171" s="1901"/>
      <c r="I171" s="1901"/>
      <c r="J171" s="1901"/>
      <c r="K171" s="1901"/>
      <c r="L171" s="1901"/>
      <c r="M171" s="1901"/>
      <c r="N171" s="1901"/>
      <c r="O171" s="1901"/>
      <c r="P171" s="1901"/>
      <c r="Q171" s="1833"/>
      <c r="R171" s="1832" t="s">
        <v>1739</v>
      </c>
      <c r="S171" s="1901"/>
      <c r="T171" s="1901"/>
      <c r="U171" s="1901"/>
      <c r="V171" s="1901"/>
      <c r="W171" s="1901"/>
      <c r="X171" s="1901"/>
      <c r="Y171" s="1901"/>
      <c r="Z171" s="1901"/>
      <c r="AA171" s="1833"/>
    </row>
    <row r="172" spans="2:27" ht="45.75" thickBot="1" x14ac:dyDescent="0.25">
      <c r="B172" s="234" t="s">
        <v>1740</v>
      </c>
      <c r="C172" s="235" t="s">
        <v>1702</v>
      </c>
      <c r="D172" s="235" t="s">
        <v>1703</v>
      </c>
      <c r="E172" s="235" t="s">
        <v>206</v>
      </c>
      <c r="F172" s="236" t="s">
        <v>207</v>
      </c>
      <c r="G172" s="234" t="s">
        <v>208</v>
      </c>
      <c r="H172" s="235" t="s">
        <v>209</v>
      </c>
      <c r="I172" s="235" t="s">
        <v>210</v>
      </c>
      <c r="J172" s="235" t="s">
        <v>211</v>
      </c>
      <c r="K172" s="235" t="s">
        <v>212</v>
      </c>
      <c r="L172" s="235" t="s">
        <v>213</v>
      </c>
      <c r="M172" s="235" t="s">
        <v>214</v>
      </c>
      <c r="N172" s="235" t="s">
        <v>215</v>
      </c>
      <c r="O172" s="235" t="s">
        <v>216</v>
      </c>
      <c r="P172" s="235" t="s">
        <v>217</v>
      </c>
      <c r="Q172" s="236" t="s">
        <v>218</v>
      </c>
      <c r="R172" s="239" t="s">
        <v>1741</v>
      </c>
      <c r="S172" s="237" t="s">
        <v>1742</v>
      </c>
      <c r="T172" s="237" t="s">
        <v>1743</v>
      </c>
      <c r="U172" s="237" t="s">
        <v>1744</v>
      </c>
      <c r="V172" s="237" t="s">
        <v>1745</v>
      </c>
      <c r="W172" s="237" t="s">
        <v>1746</v>
      </c>
      <c r="X172" s="237" t="s">
        <v>1747</v>
      </c>
      <c r="Y172" s="237" t="s">
        <v>1748</v>
      </c>
      <c r="Z172" s="237" t="s">
        <v>1749</v>
      </c>
      <c r="AA172" s="238" t="s">
        <v>1750</v>
      </c>
    </row>
    <row r="173" spans="2:27" ht="42.75" x14ac:dyDescent="0.2">
      <c r="B173" s="227" t="s">
        <v>1840</v>
      </c>
      <c r="C173" s="45" t="s">
        <v>1841</v>
      </c>
      <c r="D173" s="49" t="s">
        <v>1496</v>
      </c>
      <c r="E173" s="274" t="s">
        <v>1752</v>
      </c>
      <c r="F173" s="262">
        <v>3</v>
      </c>
      <c r="G173" s="279">
        <f>SUM(G111,G114,G117,G120,G123,G130,G139,G148,G157,G158,G159,G160)</f>
        <v>0</v>
      </c>
      <c r="H173" s="279">
        <f t="shared" ref="H173:AA173" si="89">SUM(H111,H114,H117,H120,H123,H130,H139,H148,H157,H158,H159,H160)</f>
        <v>0</v>
      </c>
      <c r="I173" s="279">
        <f t="shared" si="89"/>
        <v>0</v>
      </c>
      <c r="J173" s="279">
        <f t="shared" si="89"/>
        <v>0</v>
      </c>
      <c r="K173" s="279">
        <f t="shared" si="89"/>
        <v>0</v>
      </c>
      <c r="L173" s="279">
        <f t="shared" si="89"/>
        <v>0</v>
      </c>
      <c r="M173" s="279">
        <f t="shared" si="89"/>
        <v>119.31293838885559</v>
      </c>
      <c r="N173" s="279">
        <f t="shared" si="89"/>
        <v>105.89748138685557</v>
      </c>
      <c r="O173" s="279">
        <f t="shared" si="89"/>
        <v>91.68148138685558</v>
      </c>
      <c r="P173" s="279">
        <f t="shared" si="89"/>
        <v>59.259481386855555</v>
      </c>
      <c r="Q173" s="279">
        <f t="shared" si="89"/>
        <v>56.610273791855562</v>
      </c>
      <c r="R173" s="279">
        <f t="shared" si="89"/>
        <v>135.63592782057691</v>
      </c>
      <c r="S173" s="279">
        <f t="shared" si="89"/>
        <v>168.46949483</v>
      </c>
      <c r="T173" s="279">
        <f t="shared" si="89"/>
        <v>135.52180036347812</v>
      </c>
      <c r="U173" s="279">
        <f t="shared" si="89"/>
        <v>144.67255387720977</v>
      </c>
      <c r="V173" s="279">
        <f t="shared" si="89"/>
        <v>0</v>
      </c>
      <c r="W173" s="279">
        <f t="shared" si="89"/>
        <v>0</v>
      </c>
      <c r="X173" s="279">
        <f t="shared" si="89"/>
        <v>0</v>
      </c>
      <c r="Y173" s="279">
        <f t="shared" si="89"/>
        <v>0</v>
      </c>
      <c r="Z173" s="279">
        <f t="shared" si="89"/>
        <v>0</v>
      </c>
      <c r="AA173" s="279">
        <f t="shared" si="89"/>
        <v>0</v>
      </c>
    </row>
    <row r="174" spans="2:27" ht="42.75" x14ac:dyDescent="0.2">
      <c r="B174" s="227" t="s">
        <v>1842</v>
      </c>
      <c r="C174" s="45" t="s">
        <v>1841</v>
      </c>
      <c r="D174" s="49" t="s">
        <v>1491</v>
      </c>
      <c r="E174" s="274" t="s">
        <v>1752</v>
      </c>
      <c r="F174" s="262">
        <v>3</v>
      </c>
      <c r="G174" s="279">
        <f>SUM(G112,G115,G118,G121,G124,G134,G143,G152,G161,G162,G163,G164)</f>
        <v>0</v>
      </c>
      <c r="H174" s="279">
        <f t="shared" ref="H174:AA174" si="90">SUM(H112,H115,H118,H121,H124,H134,H143,H152,H161,H162,H163,H164)</f>
        <v>0</v>
      </c>
      <c r="I174" s="279">
        <f t="shared" si="90"/>
        <v>0</v>
      </c>
      <c r="J174" s="279">
        <f t="shared" si="90"/>
        <v>0</v>
      </c>
      <c r="K174" s="279">
        <f t="shared" si="90"/>
        <v>0</v>
      </c>
      <c r="L174" s="279">
        <f t="shared" si="90"/>
        <v>0</v>
      </c>
      <c r="M174" s="279">
        <f t="shared" si="90"/>
        <v>3.8731303634010135</v>
      </c>
      <c r="N174" s="279">
        <f t="shared" si="90"/>
        <v>4.269701785881014</v>
      </c>
      <c r="O174" s="279">
        <f t="shared" si="90"/>
        <v>5.9843953638810126</v>
      </c>
      <c r="P174" s="279">
        <f t="shared" si="90"/>
        <v>6.8657803077970136</v>
      </c>
      <c r="Q174" s="279">
        <f t="shared" si="90"/>
        <v>6.9460610233310129</v>
      </c>
      <c r="R174" s="279">
        <f t="shared" si="90"/>
        <v>83.503531080269909</v>
      </c>
      <c r="S174" s="279">
        <f t="shared" si="90"/>
        <v>80.324196936999968</v>
      </c>
      <c r="T174" s="279">
        <f t="shared" si="90"/>
        <v>83.110176939999974</v>
      </c>
      <c r="U174" s="279">
        <f t="shared" si="90"/>
        <v>82.960158939999971</v>
      </c>
      <c r="V174" s="279">
        <f t="shared" si="90"/>
        <v>0</v>
      </c>
      <c r="W174" s="279">
        <f t="shared" si="90"/>
        <v>0</v>
      </c>
      <c r="X174" s="279">
        <f t="shared" si="90"/>
        <v>0</v>
      </c>
      <c r="Y174" s="279">
        <f t="shared" si="90"/>
        <v>0</v>
      </c>
      <c r="Z174" s="279">
        <f t="shared" si="90"/>
        <v>0</v>
      </c>
      <c r="AA174" s="279">
        <f t="shared" si="90"/>
        <v>0</v>
      </c>
    </row>
    <row r="175" spans="2:27" ht="43.5" thickBot="1" x14ac:dyDescent="0.25">
      <c r="B175" s="228" t="s">
        <v>1843</v>
      </c>
      <c r="C175" s="46" t="s">
        <v>1841</v>
      </c>
      <c r="D175" s="51" t="s">
        <v>1707</v>
      </c>
      <c r="E175" s="274" t="s">
        <v>1752</v>
      </c>
      <c r="F175" s="263">
        <v>3</v>
      </c>
      <c r="G175" s="277">
        <f t="shared" ref="G175" si="91">SUM(G173:G174)</f>
        <v>0</v>
      </c>
      <c r="H175" s="277">
        <f t="shared" ref="H175:AA175" si="92">SUM(H173:H174)</f>
        <v>0</v>
      </c>
      <c r="I175" s="277">
        <f t="shared" si="92"/>
        <v>0</v>
      </c>
      <c r="J175" s="277">
        <f t="shared" si="92"/>
        <v>0</v>
      </c>
      <c r="K175" s="277">
        <f t="shared" si="92"/>
        <v>0</v>
      </c>
      <c r="L175" s="277">
        <f t="shared" si="92"/>
        <v>0</v>
      </c>
      <c r="M175" s="277">
        <f t="shared" si="92"/>
        <v>123.1860687522566</v>
      </c>
      <c r="N175" s="277">
        <f t="shared" si="92"/>
        <v>110.16718317273659</v>
      </c>
      <c r="O175" s="277">
        <f t="shared" si="92"/>
        <v>97.665876750736587</v>
      </c>
      <c r="P175" s="277">
        <f t="shared" si="92"/>
        <v>66.125261694652565</v>
      </c>
      <c r="Q175" s="277">
        <f t="shared" si="92"/>
        <v>63.556334815186574</v>
      </c>
      <c r="R175" s="277">
        <f t="shared" si="92"/>
        <v>219.13945890084682</v>
      </c>
      <c r="S175" s="277">
        <f t="shared" si="92"/>
        <v>248.79369176699998</v>
      </c>
      <c r="T175" s="277">
        <f t="shared" si="92"/>
        <v>218.6319773034781</v>
      </c>
      <c r="U175" s="277">
        <f t="shared" si="92"/>
        <v>227.63271281720972</v>
      </c>
      <c r="V175" s="277">
        <f t="shared" si="92"/>
        <v>0</v>
      </c>
      <c r="W175" s="277">
        <f t="shared" si="92"/>
        <v>0</v>
      </c>
      <c r="X175" s="277">
        <f t="shared" si="92"/>
        <v>0</v>
      </c>
      <c r="Y175" s="277">
        <f t="shared" si="92"/>
        <v>0</v>
      </c>
      <c r="Z175" s="277">
        <f t="shared" si="92"/>
        <v>0</v>
      </c>
      <c r="AA175" s="277">
        <f t="shared" si="92"/>
        <v>0</v>
      </c>
    </row>
    <row r="176" spans="2:27" ht="15" thickBot="1" x14ac:dyDescent="0.25">
      <c r="B176" s="229"/>
      <c r="C176" s="230"/>
      <c r="D176" s="53"/>
      <c r="E176" s="231"/>
      <c r="F176" s="232"/>
      <c r="G176" s="241"/>
      <c r="H176" s="241"/>
      <c r="I176" s="241"/>
      <c r="J176" s="241"/>
      <c r="K176" s="241"/>
      <c r="L176" s="241"/>
      <c r="M176" s="241"/>
      <c r="N176" s="241"/>
      <c r="O176" s="241"/>
      <c r="P176" s="241"/>
      <c r="Q176" s="241"/>
      <c r="R176" s="241"/>
      <c r="S176" s="241"/>
      <c r="T176" s="241"/>
      <c r="U176" s="241"/>
      <c r="V176" s="241"/>
      <c r="W176" s="241"/>
      <c r="X176" s="241"/>
      <c r="Y176" s="241"/>
      <c r="Z176" s="241"/>
      <c r="AA176" s="241"/>
    </row>
    <row r="177" spans="2:27" ht="45.75" thickBot="1" x14ac:dyDescent="0.25">
      <c r="B177" s="193" t="s">
        <v>1844</v>
      </c>
      <c r="G177" s="1832" t="s">
        <v>1738</v>
      </c>
      <c r="H177" s="1901"/>
      <c r="I177" s="1901"/>
      <c r="J177" s="1901"/>
      <c r="K177" s="1901"/>
      <c r="L177" s="1901"/>
      <c r="M177" s="1901"/>
      <c r="N177" s="1901"/>
      <c r="O177" s="1901"/>
      <c r="P177" s="1901"/>
      <c r="Q177" s="1833"/>
      <c r="R177" s="1832" t="s">
        <v>1739</v>
      </c>
      <c r="S177" s="1901"/>
      <c r="T177" s="1901"/>
      <c r="U177" s="1901"/>
      <c r="V177" s="1901"/>
      <c r="W177" s="1901"/>
      <c r="X177" s="1901"/>
      <c r="Y177" s="1901"/>
      <c r="Z177" s="1901"/>
      <c r="AA177" s="1833"/>
    </row>
    <row r="178" spans="2:27" ht="45.75" thickBot="1" x14ac:dyDescent="0.25">
      <c r="B178" s="234" t="s">
        <v>1740</v>
      </c>
      <c r="C178" s="235" t="s">
        <v>1845</v>
      </c>
      <c r="D178" s="235" t="s">
        <v>1703</v>
      </c>
      <c r="E178" s="235" t="s">
        <v>206</v>
      </c>
      <c r="F178" s="236" t="s">
        <v>207</v>
      </c>
      <c r="G178" s="234" t="s">
        <v>208</v>
      </c>
      <c r="H178" s="235" t="s">
        <v>209</v>
      </c>
      <c r="I178" s="235" t="s">
        <v>210</v>
      </c>
      <c r="J178" s="235" t="s">
        <v>211</v>
      </c>
      <c r="K178" s="235" t="s">
        <v>212</v>
      </c>
      <c r="L178" s="235" t="s">
        <v>213</v>
      </c>
      <c r="M178" s="235" t="s">
        <v>214</v>
      </c>
      <c r="N178" s="235" t="s">
        <v>215</v>
      </c>
      <c r="O178" s="235" t="s">
        <v>216</v>
      </c>
      <c r="P178" s="235" t="s">
        <v>217</v>
      </c>
      <c r="Q178" s="236" t="s">
        <v>218</v>
      </c>
      <c r="R178" s="239" t="s">
        <v>1741</v>
      </c>
      <c r="S178" s="237" t="s">
        <v>1742</v>
      </c>
      <c r="T178" s="237" t="s">
        <v>1743</v>
      </c>
      <c r="U178" s="237" t="s">
        <v>1744</v>
      </c>
      <c r="V178" s="237" t="s">
        <v>1745</v>
      </c>
      <c r="W178" s="237" t="s">
        <v>1746</v>
      </c>
      <c r="X178" s="237" t="s">
        <v>1747</v>
      </c>
      <c r="Y178" s="237" t="s">
        <v>1748</v>
      </c>
      <c r="Z178" s="237" t="s">
        <v>1749</v>
      </c>
      <c r="AA178" s="238" t="s">
        <v>1750</v>
      </c>
    </row>
    <row r="179" spans="2:27" ht="28.5" x14ac:dyDescent="0.2">
      <c r="B179" s="1082" t="s">
        <v>1846</v>
      </c>
      <c r="C179" s="1083" t="s">
        <v>1847</v>
      </c>
      <c r="D179" s="1084" t="s">
        <v>1848</v>
      </c>
      <c r="E179" s="1085" t="s">
        <v>236</v>
      </c>
      <c r="F179" s="1086">
        <v>2</v>
      </c>
      <c r="G179" s="356"/>
      <c r="H179" s="357"/>
      <c r="I179" s="357"/>
      <c r="J179" s="357"/>
      <c r="K179" s="357"/>
      <c r="L179" s="357"/>
      <c r="M179" s="283">
        <v>0</v>
      </c>
      <c r="N179" s="283">
        <v>0</v>
      </c>
      <c r="O179" s="283">
        <v>7</v>
      </c>
      <c r="P179" s="283">
        <v>7</v>
      </c>
      <c r="Q179" s="283">
        <v>7</v>
      </c>
      <c r="R179" s="283">
        <v>190.5</v>
      </c>
      <c r="S179" s="283">
        <v>212.5</v>
      </c>
      <c r="T179" s="283">
        <v>294.5</v>
      </c>
      <c r="U179" s="283">
        <v>375.5</v>
      </c>
      <c r="V179" s="283"/>
      <c r="W179" s="283"/>
      <c r="X179" s="283"/>
      <c r="Y179" s="283"/>
      <c r="Z179" s="283"/>
      <c r="AA179" s="283"/>
    </row>
    <row r="180" spans="2:27" ht="57" x14ac:dyDescent="0.2">
      <c r="B180" s="227" t="s">
        <v>1849</v>
      </c>
      <c r="C180" s="45" t="s">
        <v>1850</v>
      </c>
      <c r="D180" s="49" t="s">
        <v>1848</v>
      </c>
      <c r="E180" s="50" t="s">
        <v>236</v>
      </c>
      <c r="F180" s="262">
        <v>2</v>
      </c>
      <c r="G180" s="356"/>
      <c r="H180" s="357"/>
      <c r="I180" s="357">
        <v>0</v>
      </c>
      <c r="J180" s="357">
        <v>0</v>
      </c>
      <c r="K180" s="357">
        <v>0</v>
      </c>
      <c r="L180" s="1437">
        <v>0</v>
      </c>
      <c r="M180" s="283">
        <v>3.0305155756062501</v>
      </c>
      <c r="N180" s="283">
        <v>5.9486713566369325</v>
      </c>
      <c r="O180" s="283">
        <v>9.3874668243483672</v>
      </c>
      <c r="P180" s="283">
        <v>12.690144845324282</v>
      </c>
      <c r="Q180" s="283">
        <v>15.805177314325826</v>
      </c>
      <c r="R180" s="283">
        <v>127.97005118267479</v>
      </c>
      <c r="S180" s="283">
        <v>192.07577816279789</v>
      </c>
      <c r="T180" s="283">
        <v>232.46554699673626</v>
      </c>
      <c r="U180" s="283">
        <v>245.45795806752398</v>
      </c>
      <c r="V180" s="283"/>
      <c r="W180" s="283"/>
      <c r="X180" s="283"/>
      <c r="Y180" s="283"/>
      <c r="Z180" s="283"/>
      <c r="AA180" s="283"/>
    </row>
    <row r="181" spans="2:27" ht="28.5" x14ac:dyDescent="0.2">
      <c r="B181" s="227" t="s">
        <v>1851</v>
      </c>
      <c r="C181" s="45" t="s">
        <v>1766</v>
      </c>
      <c r="D181" s="49" t="s">
        <v>1848</v>
      </c>
      <c r="E181" s="50" t="s">
        <v>236</v>
      </c>
      <c r="F181" s="262">
        <v>2</v>
      </c>
      <c r="G181" s="356"/>
      <c r="H181" s="357"/>
      <c r="I181" s="357">
        <v>0</v>
      </c>
      <c r="J181" s="357">
        <v>0</v>
      </c>
      <c r="K181" s="357">
        <v>0</v>
      </c>
      <c r="L181" s="1437">
        <v>0</v>
      </c>
      <c r="M181" s="283">
        <v>0.54600000000000393</v>
      </c>
      <c r="N181" s="283">
        <v>1.091999999999997</v>
      </c>
      <c r="O181" s="283">
        <v>1.6380000000000003</v>
      </c>
      <c r="P181" s="283">
        <v>2.1840000000000046</v>
      </c>
      <c r="Q181" s="283">
        <v>2.7300000000000102</v>
      </c>
      <c r="R181" s="283">
        <v>21.84000000000005</v>
      </c>
      <c r="S181" s="283">
        <v>35.490000000000094</v>
      </c>
      <c r="T181" s="283">
        <v>49.140000000000121</v>
      </c>
      <c r="U181" s="283">
        <v>62.79000000000012</v>
      </c>
      <c r="V181" s="283"/>
      <c r="W181" s="283"/>
      <c r="X181" s="283"/>
      <c r="Y181" s="283"/>
      <c r="Z181" s="283"/>
      <c r="AA181" s="283"/>
    </row>
    <row r="182" spans="2:27" ht="28.5" x14ac:dyDescent="0.2">
      <c r="B182" s="227" t="s">
        <v>1852</v>
      </c>
      <c r="C182" s="45" t="s">
        <v>1853</v>
      </c>
      <c r="D182" s="49" t="s">
        <v>1848</v>
      </c>
      <c r="E182" s="50" t="s">
        <v>236</v>
      </c>
      <c r="F182" s="262">
        <v>2</v>
      </c>
      <c r="G182" s="356"/>
      <c r="H182" s="357"/>
      <c r="I182" s="357"/>
      <c r="J182" s="357"/>
      <c r="K182" s="357"/>
      <c r="L182" s="1437"/>
      <c r="M182" s="283"/>
      <c r="N182" s="283"/>
      <c r="O182" s="283"/>
      <c r="P182" s="283"/>
      <c r="Q182" s="283"/>
      <c r="R182" s="283"/>
      <c r="S182" s="283"/>
      <c r="T182" s="283"/>
      <c r="U182" s="283"/>
      <c r="V182" s="283"/>
      <c r="W182" s="283"/>
      <c r="X182" s="283"/>
      <c r="Y182" s="283"/>
      <c r="Z182" s="283"/>
      <c r="AA182" s="283"/>
    </row>
    <row r="183" spans="2:27" ht="28.5" x14ac:dyDescent="0.2">
      <c r="B183" s="227" t="s">
        <v>1854</v>
      </c>
      <c r="C183" s="45" t="s">
        <v>1855</v>
      </c>
      <c r="D183" s="49" t="s">
        <v>1848</v>
      </c>
      <c r="E183" s="50" t="s">
        <v>236</v>
      </c>
      <c r="F183" s="262">
        <v>2</v>
      </c>
      <c r="G183" s="1081">
        <f>SUM(G184:G190)</f>
        <v>0</v>
      </c>
      <c r="H183" s="1081">
        <f t="shared" ref="H183:AA183" si="93">SUM(H184:H190)</f>
        <v>0</v>
      </c>
      <c r="I183" s="1081">
        <f t="shared" si="93"/>
        <v>0</v>
      </c>
      <c r="J183" s="1081">
        <f t="shared" si="93"/>
        <v>0</v>
      </c>
      <c r="K183" s="1081">
        <f t="shared" si="93"/>
        <v>0</v>
      </c>
      <c r="L183" s="1081">
        <f t="shared" si="93"/>
        <v>0</v>
      </c>
      <c r="M183" s="1081">
        <f t="shared" si="93"/>
        <v>0.22100158769222816</v>
      </c>
      <c r="N183" s="1081">
        <f t="shared" si="93"/>
        <v>0.21010740931006378</v>
      </c>
      <c r="O183" s="1081">
        <f t="shared" si="93"/>
        <v>0.44873551135940726</v>
      </c>
      <c r="P183" s="1081">
        <f t="shared" si="93"/>
        <v>1.2925417663027809</v>
      </c>
      <c r="Q183" s="1081">
        <f t="shared" si="93"/>
        <v>2.0266760121971128</v>
      </c>
      <c r="R183" s="1081">
        <f t="shared" si="93"/>
        <v>16.866696262403924</v>
      </c>
      <c r="S183" s="1081">
        <f t="shared" si="93"/>
        <v>18.414401100437999</v>
      </c>
      <c r="T183" s="1081">
        <f t="shared" si="93"/>
        <v>19.179903525634366</v>
      </c>
      <c r="U183" s="1081">
        <f t="shared" si="93"/>
        <v>19.66045889893503</v>
      </c>
      <c r="V183" s="1081">
        <f t="shared" si="93"/>
        <v>0</v>
      </c>
      <c r="W183" s="1081">
        <f t="shared" si="93"/>
        <v>0</v>
      </c>
      <c r="X183" s="1081">
        <f t="shared" si="93"/>
        <v>0</v>
      </c>
      <c r="Y183" s="1081">
        <f t="shared" si="93"/>
        <v>0</v>
      </c>
      <c r="Z183" s="1081">
        <f t="shared" si="93"/>
        <v>0</v>
      </c>
      <c r="AA183" s="1081">
        <f t="shared" si="93"/>
        <v>0</v>
      </c>
    </row>
    <row r="184" spans="2:27" ht="57" x14ac:dyDescent="0.2">
      <c r="B184" s="227" t="s">
        <v>1856</v>
      </c>
      <c r="C184" s="45" t="s">
        <v>1857</v>
      </c>
      <c r="D184" s="49" t="s">
        <v>1848</v>
      </c>
      <c r="E184" s="50" t="s">
        <v>236</v>
      </c>
      <c r="F184" s="262">
        <v>2</v>
      </c>
      <c r="G184" s="356"/>
      <c r="H184" s="357"/>
      <c r="I184" s="357">
        <v>0</v>
      </c>
      <c r="J184" s="357">
        <v>0</v>
      </c>
      <c r="K184" s="357">
        <v>0</v>
      </c>
      <c r="L184" s="1437">
        <v>0</v>
      </c>
      <c r="M184" s="283">
        <v>0</v>
      </c>
      <c r="N184" s="283">
        <v>0</v>
      </c>
      <c r="O184" s="283">
        <v>0</v>
      </c>
      <c r="P184" s="283">
        <v>0</v>
      </c>
      <c r="Q184" s="283">
        <v>0</v>
      </c>
      <c r="R184" s="283">
        <v>0</v>
      </c>
      <c r="S184" s="283">
        <v>0</v>
      </c>
      <c r="T184" s="283">
        <v>0</v>
      </c>
      <c r="U184" s="283">
        <v>0</v>
      </c>
      <c r="V184" s="283"/>
      <c r="W184" s="283"/>
      <c r="X184" s="283"/>
      <c r="Y184" s="283"/>
      <c r="Z184" s="283"/>
      <c r="AA184" s="283"/>
    </row>
    <row r="185" spans="2:27" ht="57" x14ac:dyDescent="0.2">
      <c r="B185" s="227" t="s">
        <v>1858</v>
      </c>
      <c r="C185" s="45" t="s">
        <v>1859</v>
      </c>
      <c r="D185" s="49" t="s">
        <v>1848</v>
      </c>
      <c r="E185" s="50" t="s">
        <v>236</v>
      </c>
      <c r="F185" s="262">
        <v>2</v>
      </c>
      <c r="G185" s="356"/>
      <c r="H185" s="357"/>
      <c r="I185" s="357">
        <v>0</v>
      </c>
      <c r="J185" s="357">
        <v>0</v>
      </c>
      <c r="K185" s="357">
        <v>0</v>
      </c>
      <c r="L185" s="1437">
        <v>0</v>
      </c>
      <c r="M185" s="283">
        <v>0</v>
      </c>
      <c r="N185" s="283">
        <v>0</v>
      </c>
      <c r="O185" s="283">
        <v>0</v>
      </c>
      <c r="P185" s="283">
        <v>0</v>
      </c>
      <c r="Q185" s="283">
        <v>0</v>
      </c>
      <c r="R185" s="283">
        <v>0</v>
      </c>
      <c r="S185" s="283">
        <v>0</v>
      </c>
      <c r="T185" s="283">
        <v>0</v>
      </c>
      <c r="U185" s="283">
        <v>0</v>
      </c>
      <c r="V185" s="283"/>
      <c r="W185" s="283"/>
      <c r="X185" s="283"/>
      <c r="Y185" s="283"/>
      <c r="Z185" s="283"/>
      <c r="AA185" s="283"/>
    </row>
    <row r="186" spans="2:27" ht="57" x14ac:dyDescent="0.2">
      <c r="B186" s="227" t="s">
        <v>1860</v>
      </c>
      <c r="C186" s="45" t="s">
        <v>1861</v>
      </c>
      <c r="D186" s="49" t="s">
        <v>1848</v>
      </c>
      <c r="E186" s="50" t="s">
        <v>236</v>
      </c>
      <c r="F186" s="262">
        <v>2</v>
      </c>
      <c r="G186" s="356"/>
      <c r="H186" s="357"/>
      <c r="I186" s="357">
        <v>0</v>
      </c>
      <c r="J186" s="357">
        <v>0</v>
      </c>
      <c r="K186" s="357">
        <v>0</v>
      </c>
      <c r="L186" s="1437">
        <v>0</v>
      </c>
      <c r="M186" s="283">
        <v>0.15250628157361845</v>
      </c>
      <c r="N186" s="283">
        <v>0.36522850835634557</v>
      </c>
      <c r="O186" s="283">
        <v>0.38174294872393411</v>
      </c>
      <c r="P186" s="283">
        <v>0.76721555337278602</v>
      </c>
      <c r="Q186" s="283">
        <v>1.0969063736166795</v>
      </c>
      <c r="R186" s="283">
        <v>9.4313603382140005</v>
      </c>
      <c r="S186" s="283">
        <v>8.6880508543335626</v>
      </c>
      <c r="T186" s="283">
        <v>13.660877154059612</v>
      </c>
      <c r="U186" s="283">
        <v>17.319515305383938</v>
      </c>
      <c r="V186" s="283"/>
      <c r="W186" s="283"/>
      <c r="X186" s="283"/>
      <c r="Y186" s="283"/>
      <c r="Z186" s="283"/>
      <c r="AA186" s="283"/>
    </row>
    <row r="187" spans="2:27" ht="99.75" x14ac:dyDescent="0.2">
      <c r="B187" s="227" t="s">
        <v>1862</v>
      </c>
      <c r="C187" s="45" t="s">
        <v>1863</v>
      </c>
      <c r="D187" s="49" t="s">
        <v>1848</v>
      </c>
      <c r="E187" s="50" t="s">
        <v>236</v>
      </c>
      <c r="F187" s="262">
        <v>2</v>
      </c>
      <c r="G187" s="356"/>
      <c r="H187" s="357"/>
      <c r="I187" s="357">
        <v>0</v>
      </c>
      <c r="J187" s="357">
        <v>0</v>
      </c>
      <c r="K187" s="357">
        <v>0</v>
      </c>
      <c r="L187" s="1437">
        <v>0</v>
      </c>
      <c r="M187" s="283">
        <v>0</v>
      </c>
      <c r="N187" s="283">
        <v>0</v>
      </c>
      <c r="O187" s="283">
        <v>0</v>
      </c>
      <c r="P187" s="283">
        <v>0</v>
      </c>
      <c r="Q187" s="283">
        <v>0</v>
      </c>
      <c r="R187" s="283">
        <v>0</v>
      </c>
      <c r="S187" s="283">
        <v>0</v>
      </c>
      <c r="T187" s="283">
        <v>0</v>
      </c>
      <c r="U187" s="283">
        <v>0</v>
      </c>
      <c r="V187" s="283"/>
      <c r="W187" s="283"/>
      <c r="X187" s="283"/>
      <c r="Y187" s="283"/>
      <c r="Z187" s="283"/>
      <c r="AA187" s="283"/>
    </row>
    <row r="188" spans="2:27" ht="99.75" x14ac:dyDescent="0.2">
      <c r="B188" s="227" t="s">
        <v>1864</v>
      </c>
      <c r="C188" s="45" t="s">
        <v>1865</v>
      </c>
      <c r="D188" s="49" t="s">
        <v>1848</v>
      </c>
      <c r="E188" s="50" t="s">
        <v>236</v>
      </c>
      <c r="F188" s="262">
        <v>2</v>
      </c>
      <c r="G188" s="356"/>
      <c r="H188" s="357"/>
      <c r="I188" s="357">
        <v>0</v>
      </c>
      <c r="J188" s="357">
        <v>0</v>
      </c>
      <c r="K188" s="357">
        <v>0</v>
      </c>
      <c r="L188" s="1437">
        <v>0</v>
      </c>
      <c r="M188" s="283">
        <v>6.8495306118609711E-2</v>
      </c>
      <c r="N188" s="283">
        <v>-0.1551210990462818</v>
      </c>
      <c r="O188" s="283">
        <v>6.6992562635473152E-2</v>
      </c>
      <c r="P188" s="283">
        <v>0.52532621292999493</v>
      </c>
      <c r="Q188" s="283">
        <v>0.92976963858043327</v>
      </c>
      <c r="R188" s="283">
        <v>7.4353359241899231</v>
      </c>
      <c r="S188" s="283">
        <v>9.7263502461044364</v>
      </c>
      <c r="T188" s="283">
        <v>5.5190263715747534</v>
      </c>
      <c r="U188" s="283">
        <v>2.3409435935510921</v>
      </c>
      <c r="V188" s="283"/>
      <c r="W188" s="283"/>
      <c r="X188" s="283"/>
      <c r="Y188" s="283"/>
      <c r="Z188" s="283"/>
      <c r="AA188" s="283"/>
    </row>
    <row r="189" spans="2:27" ht="99.75" x14ac:dyDescent="0.2">
      <c r="B189" s="227" t="s">
        <v>1866</v>
      </c>
      <c r="C189" s="45" t="s">
        <v>1867</v>
      </c>
      <c r="D189" s="49" t="s">
        <v>1848</v>
      </c>
      <c r="E189" s="50" t="s">
        <v>236</v>
      </c>
      <c r="F189" s="262">
        <v>2</v>
      </c>
      <c r="G189" s="356"/>
      <c r="H189" s="357"/>
      <c r="I189" s="357">
        <v>0</v>
      </c>
      <c r="J189" s="357">
        <v>0</v>
      </c>
      <c r="K189" s="357">
        <v>0</v>
      </c>
      <c r="L189" s="1437">
        <v>0</v>
      </c>
      <c r="M189" s="283">
        <v>0</v>
      </c>
      <c r="N189" s="283">
        <v>0</v>
      </c>
      <c r="O189" s="283">
        <v>0</v>
      </c>
      <c r="P189" s="283">
        <v>0</v>
      </c>
      <c r="Q189" s="283">
        <v>0</v>
      </c>
      <c r="R189" s="283">
        <v>0</v>
      </c>
      <c r="S189" s="283">
        <v>0</v>
      </c>
      <c r="T189" s="283">
        <v>0</v>
      </c>
      <c r="U189" s="283">
        <v>0</v>
      </c>
      <c r="V189" s="283"/>
      <c r="W189" s="283"/>
      <c r="X189" s="283"/>
      <c r="Y189" s="283"/>
      <c r="Z189" s="283"/>
      <c r="AA189" s="283"/>
    </row>
    <row r="190" spans="2:27" ht="100.5" thickBot="1" x14ac:dyDescent="0.25">
      <c r="B190" s="228" t="s">
        <v>1868</v>
      </c>
      <c r="C190" s="46" t="s">
        <v>1869</v>
      </c>
      <c r="D190" s="51" t="s">
        <v>1848</v>
      </c>
      <c r="E190" s="52" t="s">
        <v>236</v>
      </c>
      <c r="F190" s="263">
        <v>2</v>
      </c>
      <c r="G190" s="356"/>
      <c r="H190" s="357"/>
      <c r="I190" s="357">
        <v>0</v>
      </c>
      <c r="J190" s="357">
        <v>0</v>
      </c>
      <c r="K190" s="357">
        <v>0</v>
      </c>
      <c r="L190" s="1437">
        <v>0</v>
      </c>
      <c r="M190" s="283">
        <v>0</v>
      </c>
      <c r="N190" s="283">
        <v>0</v>
      </c>
      <c r="O190" s="283">
        <v>0</v>
      </c>
      <c r="P190" s="283">
        <v>0</v>
      </c>
      <c r="Q190" s="283">
        <v>0</v>
      </c>
      <c r="R190" s="283">
        <v>0</v>
      </c>
      <c r="S190" s="283">
        <v>0</v>
      </c>
      <c r="T190" s="283">
        <v>0</v>
      </c>
      <c r="U190" s="283">
        <v>0</v>
      </c>
      <c r="V190" s="283"/>
      <c r="W190" s="283"/>
      <c r="X190" s="283"/>
      <c r="Y190" s="283"/>
      <c r="Z190" s="283"/>
      <c r="AA190" s="283"/>
    </row>
    <row r="191" spans="2:27" ht="15" thickBot="1" x14ac:dyDescent="0.25">
      <c r="B191" s="229"/>
      <c r="C191" s="230"/>
      <c r="D191" s="53"/>
      <c r="E191" s="231"/>
      <c r="F191" s="232"/>
      <c r="G191" s="241"/>
      <c r="H191" s="241"/>
      <c r="I191" s="241"/>
      <c r="J191" s="241"/>
      <c r="K191" s="241"/>
      <c r="L191" s="241"/>
      <c r="M191" s="241"/>
      <c r="N191" s="241"/>
      <c r="O191" s="241"/>
      <c r="P191" s="241"/>
      <c r="Q191" s="241"/>
      <c r="R191" s="241"/>
      <c r="S191" s="241"/>
      <c r="T191" s="241"/>
      <c r="U191" s="241"/>
      <c r="V191" s="241"/>
      <c r="W191" s="241"/>
      <c r="X191" s="241"/>
      <c r="Y191" s="241"/>
      <c r="Z191" s="241"/>
      <c r="AA191" s="241"/>
    </row>
    <row r="192" spans="2:27" ht="45.75" thickBot="1" x14ac:dyDescent="0.25">
      <c r="B192" s="193" t="s">
        <v>1870</v>
      </c>
      <c r="G192" s="1832" t="s">
        <v>1738</v>
      </c>
      <c r="H192" s="1901"/>
      <c r="I192" s="1901"/>
      <c r="J192" s="1901"/>
      <c r="K192" s="1901"/>
      <c r="L192" s="1901"/>
      <c r="M192" s="1901"/>
      <c r="N192" s="1901"/>
      <c r="O192" s="1901"/>
      <c r="P192" s="1901"/>
      <c r="Q192" s="1833"/>
      <c r="R192" s="1832" t="s">
        <v>1739</v>
      </c>
      <c r="S192" s="1901"/>
      <c r="T192" s="1901"/>
      <c r="U192" s="1901"/>
      <c r="V192" s="1901"/>
      <c r="W192" s="1901"/>
      <c r="X192" s="1901"/>
      <c r="Y192" s="1901"/>
      <c r="Z192" s="1901"/>
      <c r="AA192" s="1833"/>
    </row>
    <row r="193" spans="2:27" ht="45.75" thickBot="1" x14ac:dyDescent="0.25">
      <c r="B193" s="234" t="s">
        <v>1740</v>
      </c>
      <c r="C193" s="235" t="s">
        <v>1702</v>
      </c>
      <c r="D193" s="235" t="s">
        <v>1703</v>
      </c>
      <c r="E193" s="235" t="s">
        <v>206</v>
      </c>
      <c r="F193" s="236" t="s">
        <v>207</v>
      </c>
      <c r="G193" s="234" t="s">
        <v>208</v>
      </c>
      <c r="H193" s="235" t="s">
        <v>209</v>
      </c>
      <c r="I193" s="235" t="s">
        <v>210</v>
      </c>
      <c r="J193" s="235" t="s">
        <v>211</v>
      </c>
      <c r="K193" s="235" t="s">
        <v>212</v>
      </c>
      <c r="L193" s="235" t="s">
        <v>213</v>
      </c>
      <c r="M193" s="235" t="s">
        <v>214</v>
      </c>
      <c r="N193" s="235" t="s">
        <v>215</v>
      </c>
      <c r="O193" s="235" t="s">
        <v>216</v>
      </c>
      <c r="P193" s="235" t="s">
        <v>217</v>
      </c>
      <c r="Q193" s="236" t="s">
        <v>218</v>
      </c>
      <c r="R193" s="239" t="s">
        <v>1741</v>
      </c>
      <c r="S193" s="237" t="s">
        <v>1742</v>
      </c>
      <c r="T193" s="237" t="s">
        <v>1743</v>
      </c>
      <c r="U193" s="237" t="s">
        <v>1744</v>
      </c>
      <c r="V193" s="237" t="s">
        <v>1745</v>
      </c>
      <c r="W193" s="237" t="s">
        <v>1746</v>
      </c>
      <c r="X193" s="237" t="s">
        <v>1747</v>
      </c>
      <c r="Y193" s="237" t="s">
        <v>1748</v>
      </c>
      <c r="Z193" s="237" t="s">
        <v>1749</v>
      </c>
      <c r="AA193" s="238" t="s">
        <v>1750</v>
      </c>
    </row>
    <row r="194" spans="2:27" ht="57" x14ac:dyDescent="0.2">
      <c r="B194" s="227" t="s">
        <v>1871</v>
      </c>
      <c r="C194" s="45" t="s">
        <v>1872</v>
      </c>
      <c r="D194" s="49" t="s">
        <v>1707</v>
      </c>
      <c r="E194" s="274" t="s">
        <v>1752</v>
      </c>
      <c r="F194" s="262">
        <v>3</v>
      </c>
      <c r="G194" s="354"/>
      <c r="H194" s="355"/>
      <c r="I194" s="355"/>
      <c r="J194" s="355"/>
      <c r="K194" s="355"/>
      <c r="L194" s="355"/>
      <c r="M194" s="281">
        <f t="shared" ref="M194:U194" si="94">M96</f>
        <v>0</v>
      </c>
      <c r="N194" s="281">
        <f t="shared" si="94"/>
        <v>0</v>
      </c>
      <c r="O194" s="281">
        <f t="shared" si="94"/>
        <v>0</v>
      </c>
      <c r="P194" s="281">
        <f t="shared" si="94"/>
        <v>0</v>
      </c>
      <c r="Q194" s="281">
        <f t="shared" si="94"/>
        <v>0</v>
      </c>
      <c r="R194" s="281">
        <f t="shared" si="94"/>
        <v>10.166296374000002</v>
      </c>
      <c r="S194" s="281">
        <f t="shared" si="94"/>
        <v>17.802029780576909</v>
      </c>
      <c r="T194" s="281">
        <f t="shared" si="94"/>
        <v>17.802029780576909</v>
      </c>
      <c r="U194" s="281">
        <f t="shared" si="94"/>
        <v>17.802029780576909</v>
      </c>
      <c r="V194" s="281"/>
      <c r="W194" s="281"/>
      <c r="X194" s="281"/>
      <c r="Y194" s="281"/>
      <c r="Z194" s="281"/>
      <c r="AA194" s="281"/>
    </row>
    <row r="195" spans="2:27" ht="43.5" thickBot="1" x14ac:dyDescent="0.25">
      <c r="B195" s="228" t="s">
        <v>1873</v>
      </c>
      <c r="C195" s="46" t="s">
        <v>1874</v>
      </c>
      <c r="D195" s="51" t="s">
        <v>1707</v>
      </c>
      <c r="E195" s="274" t="s">
        <v>1752</v>
      </c>
      <c r="F195" s="263">
        <v>3</v>
      </c>
      <c r="G195" s="358"/>
      <c r="H195" s="359"/>
      <c r="I195" s="359"/>
      <c r="J195" s="359"/>
      <c r="K195" s="359"/>
      <c r="L195" s="359"/>
      <c r="M195" s="284">
        <f t="shared" ref="M195:U195" si="95">M97</f>
        <v>5.6272592748000001</v>
      </c>
      <c r="N195" s="284">
        <f t="shared" si="95"/>
        <v>5.6272592748000001</v>
      </c>
      <c r="O195" s="284">
        <f t="shared" si="95"/>
        <v>5.6272592748000001</v>
      </c>
      <c r="P195" s="284">
        <f t="shared" si="95"/>
        <v>5.6272592748000001</v>
      </c>
      <c r="Q195" s="284">
        <f t="shared" si="95"/>
        <v>5.6272592748000001</v>
      </c>
      <c r="R195" s="284">
        <f t="shared" si="95"/>
        <v>26.635733406576907</v>
      </c>
      <c r="S195" s="284">
        <f t="shared" si="95"/>
        <v>28.08719298942308</v>
      </c>
      <c r="T195" s="284">
        <f t="shared" si="95"/>
        <v>139.07949852290119</v>
      </c>
      <c r="U195" s="284">
        <f t="shared" si="95"/>
        <v>148.23025203663283</v>
      </c>
      <c r="V195" s="284"/>
      <c r="W195" s="284"/>
      <c r="X195" s="284"/>
      <c r="Y195" s="284"/>
      <c r="Z195" s="284"/>
      <c r="AA195" s="284"/>
    </row>
    <row r="196" spans="2:27" ht="15" x14ac:dyDescent="0.25">
      <c r="B196" s="223"/>
      <c r="C196" s="242"/>
      <c r="D196" s="242"/>
      <c r="E196" s="242"/>
      <c r="F196" s="242"/>
    </row>
    <row r="197" spans="2:27" ht="15" thickBot="1" x14ac:dyDescent="0.25"/>
    <row r="198" spans="2:27" ht="30.75" thickBot="1" x14ac:dyDescent="0.25">
      <c r="B198" s="365" t="s">
        <v>64</v>
      </c>
      <c r="C198" s="58" t="str">
        <f>'TITLE PAGE'!$D$18</f>
        <v>Essex &amp; Suffolk Water</v>
      </c>
      <c r="D198" s="363" t="s">
        <v>2</v>
      </c>
      <c r="E198" s="1471">
        <f>E2</f>
        <v>16</v>
      </c>
      <c r="G198" s="1151" t="s">
        <v>63</v>
      </c>
    </row>
    <row r="199" spans="2:27" ht="43.5" thickBot="1" x14ac:dyDescent="0.25">
      <c r="B199" s="364" t="s">
        <v>200</v>
      </c>
      <c r="C199" s="1164" t="s">
        <v>1877</v>
      </c>
      <c r="D199" s="360" t="s">
        <v>1736</v>
      </c>
      <c r="E199" s="1356">
        <v>1181.2501653509294</v>
      </c>
      <c r="F199" s="1408"/>
    </row>
    <row r="200" spans="2:27" ht="15" thickBot="1" x14ac:dyDescent="0.25"/>
    <row r="201" spans="2:27" ht="45.75" thickBot="1" x14ac:dyDescent="0.25">
      <c r="B201" s="193" t="s">
        <v>1737</v>
      </c>
      <c r="G201" s="1832" t="s">
        <v>1738</v>
      </c>
      <c r="H201" s="1901"/>
      <c r="I201" s="1901"/>
      <c r="J201" s="1901"/>
      <c r="K201" s="1901"/>
      <c r="L201" s="1901"/>
      <c r="M201" s="1901"/>
      <c r="N201" s="1901"/>
      <c r="O201" s="1901"/>
      <c r="P201" s="1901"/>
      <c r="Q201" s="1833"/>
      <c r="R201" s="1832" t="s">
        <v>1739</v>
      </c>
      <c r="S201" s="1901"/>
      <c r="T201" s="1901"/>
      <c r="U201" s="1901"/>
      <c r="V201" s="1901"/>
      <c r="W201" s="1901"/>
      <c r="X201" s="1901"/>
      <c r="Y201" s="1901"/>
      <c r="Z201" s="1901"/>
      <c r="AA201" s="1833"/>
    </row>
    <row r="202" spans="2:27" ht="45.75" thickBot="1" x14ac:dyDescent="0.25">
      <c r="B202" s="234" t="s">
        <v>1740</v>
      </c>
      <c r="C202" s="235" t="s">
        <v>1702</v>
      </c>
      <c r="D202" s="235" t="s">
        <v>1703</v>
      </c>
      <c r="E202" s="235" t="s">
        <v>206</v>
      </c>
      <c r="F202" s="236" t="s">
        <v>207</v>
      </c>
      <c r="G202" s="234" t="s">
        <v>208</v>
      </c>
      <c r="H202" s="235" t="s">
        <v>209</v>
      </c>
      <c r="I202" s="235" t="s">
        <v>210</v>
      </c>
      <c r="J202" s="235" t="s">
        <v>211</v>
      </c>
      <c r="K202" s="235" t="s">
        <v>212</v>
      </c>
      <c r="L202" s="235" t="s">
        <v>213</v>
      </c>
      <c r="M202" s="235" t="s">
        <v>214</v>
      </c>
      <c r="N202" s="235" t="s">
        <v>215</v>
      </c>
      <c r="O202" s="235" t="s">
        <v>216</v>
      </c>
      <c r="P202" s="235" t="s">
        <v>217</v>
      </c>
      <c r="Q202" s="236" t="s">
        <v>218</v>
      </c>
      <c r="R202" s="239" t="s">
        <v>1741</v>
      </c>
      <c r="S202" s="237" t="s">
        <v>1742</v>
      </c>
      <c r="T202" s="237" t="s">
        <v>1743</v>
      </c>
      <c r="U202" s="237" t="s">
        <v>1744</v>
      </c>
      <c r="V202" s="237" t="s">
        <v>1745</v>
      </c>
      <c r="W202" s="237" t="s">
        <v>1746</v>
      </c>
      <c r="X202" s="237" t="s">
        <v>1747</v>
      </c>
      <c r="Y202" s="237" t="s">
        <v>1748</v>
      </c>
      <c r="Z202" s="237" t="s">
        <v>1749</v>
      </c>
      <c r="AA202" s="238" t="s">
        <v>1750</v>
      </c>
    </row>
    <row r="203" spans="2:27" ht="28.5" x14ac:dyDescent="0.2">
      <c r="B203" s="233" t="s">
        <v>1751</v>
      </c>
      <c r="C203" s="224" t="s">
        <v>1706</v>
      </c>
      <c r="D203" s="225" t="s">
        <v>1707</v>
      </c>
      <c r="E203" s="274" t="s">
        <v>1752</v>
      </c>
      <c r="F203" s="273">
        <v>3</v>
      </c>
      <c r="G203" s="350"/>
      <c r="H203" s="351"/>
      <c r="I203" s="351"/>
      <c r="J203" s="351"/>
      <c r="K203" s="351"/>
      <c r="L203" s="351"/>
      <c r="M203" s="275">
        <f>M224+M267</f>
        <v>99.965805968182593</v>
      </c>
      <c r="N203" s="275">
        <f t="shared" ref="N203:U203" si="96">N224+N267</f>
        <v>109.92477843621532</v>
      </c>
      <c r="O203" s="275">
        <f t="shared" si="96"/>
        <v>97.429902176769787</v>
      </c>
      <c r="P203" s="275">
        <f t="shared" si="96"/>
        <v>65.876581100241353</v>
      </c>
      <c r="Q203" s="275">
        <f t="shared" si="96"/>
        <v>63.314785367979979</v>
      </c>
      <c r="R203" s="275">
        <f t="shared" si="96"/>
        <v>172.08545890084685</v>
      </c>
      <c r="S203" s="275">
        <f t="shared" si="96"/>
        <v>104.85369176699999</v>
      </c>
      <c r="T203" s="275">
        <f t="shared" si="96"/>
        <v>214.0319773034781</v>
      </c>
      <c r="U203" s="275">
        <f t="shared" si="96"/>
        <v>223.03271281720973</v>
      </c>
      <c r="V203" s="275"/>
      <c r="W203" s="275"/>
      <c r="X203" s="275"/>
      <c r="Y203" s="275"/>
      <c r="Z203" s="275"/>
      <c r="AA203" s="275"/>
    </row>
    <row r="204" spans="2:27" ht="28.5" x14ac:dyDescent="0.2">
      <c r="B204" s="227" t="s">
        <v>1753</v>
      </c>
      <c r="C204" s="45" t="s">
        <v>1710</v>
      </c>
      <c r="D204" s="49" t="s">
        <v>1707</v>
      </c>
      <c r="E204" s="274" t="s">
        <v>1752</v>
      </c>
      <c r="F204" s="262">
        <v>3</v>
      </c>
      <c r="G204" s="352"/>
      <c r="H204" s="353"/>
      <c r="I204" s="353"/>
      <c r="J204" s="353"/>
      <c r="K204" s="353"/>
      <c r="L204" s="353"/>
      <c r="M204" s="276"/>
      <c r="N204" s="276"/>
      <c r="O204" s="276"/>
      <c r="P204" s="276"/>
      <c r="Q204" s="276"/>
      <c r="R204" s="276"/>
      <c r="S204" s="276"/>
      <c r="T204" s="276"/>
      <c r="U204" s="276"/>
      <c r="V204" s="276"/>
      <c r="W204" s="276"/>
      <c r="X204" s="276"/>
      <c r="Y204" s="276"/>
      <c r="Z204" s="276"/>
      <c r="AA204" s="278"/>
    </row>
    <row r="205" spans="2:27" ht="29.25" thickBot="1" x14ac:dyDescent="0.25">
      <c r="B205" s="228" t="s">
        <v>1754</v>
      </c>
      <c r="C205" s="46" t="s">
        <v>1755</v>
      </c>
      <c r="D205" s="51" t="s">
        <v>1707</v>
      </c>
      <c r="E205" s="274" t="s">
        <v>1752</v>
      </c>
      <c r="F205" s="263">
        <v>3</v>
      </c>
      <c r="G205" s="277">
        <f t="shared" ref="G205:AA205" si="97">SUM(G203:G204)</f>
        <v>0</v>
      </c>
      <c r="H205" s="277">
        <f t="shared" si="97"/>
        <v>0</v>
      </c>
      <c r="I205" s="277">
        <f t="shared" si="97"/>
        <v>0</v>
      </c>
      <c r="J205" s="277">
        <f t="shared" si="97"/>
        <v>0</v>
      </c>
      <c r="K205" s="277">
        <f t="shared" si="97"/>
        <v>0</v>
      </c>
      <c r="L205" s="277">
        <f t="shared" si="97"/>
        <v>0</v>
      </c>
      <c r="M205" s="277">
        <f t="shared" si="97"/>
        <v>99.965805968182593</v>
      </c>
      <c r="N205" s="277">
        <f t="shared" si="97"/>
        <v>109.92477843621532</v>
      </c>
      <c r="O205" s="277">
        <f t="shared" si="97"/>
        <v>97.429902176769787</v>
      </c>
      <c r="P205" s="277">
        <f t="shared" si="97"/>
        <v>65.876581100241353</v>
      </c>
      <c r="Q205" s="277">
        <f t="shared" si="97"/>
        <v>63.314785367979979</v>
      </c>
      <c r="R205" s="277">
        <f t="shared" si="97"/>
        <v>172.08545890084685</v>
      </c>
      <c r="S205" s="277">
        <f t="shared" si="97"/>
        <v>104.85369176699999</v>
      </c>
      <c r="T205" s="277">
        <f t="shared" si="97"/>
        <v>214.0319773034781</v>
      </c>
      <c r="U205" s="277">
        <f t="shared" si="97"/>
        <v>223.03271281720973</v>
      </c>
      <c r="V205" s="277">
        <f t="shared" si="97"/>
        <v>0</v>
      </c>
      <c r="W205" s="277">
        <f t="shared" si="97"/>
        <v>0</v>
      </c>
      <c r="X205" s="277">
        <f t="shared" si="97"/>
        <v>0</v>
      </c>
      <c r="Y205" s="277">
        <f t="shared" si="97"/>
        <v>0</v>
      </c>
      <c r="Z205" s="277">
        <f t="shared" si="97"/>
        <v>0</v>
      </c>
      <c r="AA205" s="277">
        <f t="shared" si="97"/>
        <v>0</v>
      </c>
    </row>
    <row r="206" spans="2:27" ht="15" thickBot="1" x14ac:dyDescent="0.25">
      <c r="B206" s="229"/>
      <c r="C206" s="230"/>
      <c r="D206" s="53"/>
      <c r="E206" s="231"/>
      <c r="F206" s="232"/>
      <c r="G206" s="241"/>
      <c r="H206" s="241"/>
      <c r="I206" s="241"/>
      <c r="J206" s="241"/>
      <c r="K206" s="241"/>
      <c r="L206" s="241"/>
      <c r="M206" s="241"/>
      <c r="N206" s="241"/>
      <c r="O206" s="241"/>
      <c r="P206" s="241"/>
      <c r="Q206" s="241"/>
      <c r="R206" s="241"/>
      <c r="S206" s="241"/>
      <c r="T206" s="241"/>
      <c r="U206" s="241"/>
      <c r="V206" s="241"/>
      <c r="W206" s="241"/>
      <c r="X206" s="241"/>
      <c r="Y206" s="241"/>
      <c r="Z206" s="241"/>
      <c r="AA206" s="241"/>
    </row>
    <row r="207" spans="2:27" ht="60.75" thickBot="1" x14ac:dyDescent="0.25">
      <c r="B207" s="193" t="s">
        <v>1756</v>
      </c>
      <c r="G207" s="1832" t="s">
        <v>1738</v>
      </c>
      <c r="H207" s="1901"/>
      <c r="I207" s="1901"/>
      <c r="J207" s="1901"/>
      <c r="K207" s="1901"/>
      <c r="L207" s="1901"/>
      <c r="M207" s="1901"/>
      <c r="N207" s="1901"/>
      <c r="O207" s="1901"/>
      <c r="P207" s="1901"/>
      <c r="Q207" s="1833"/>
      <c r="R207" s="1832" t="s">
        <v>1739</v>
      </c>
      <c r="S207" s="1901"/>
      <c r="T207" s="1901"/>
      <c r="U207" s="1901"/>
      <c r="V207" s="1901"/>
      <c r="W207" s="1901"/>
      <c r="X207" s="1901"/>
      <c r="Y207" s="1901"/>
      <c r="Z207" s="1901"/>
      <c r="AA207" s="1833"/>
    </row>
    <row r="208" spans="2:27" ht="45.75" thickBot="1" x14ac:dyDescent="0.25">
      <c r="B208" s="234" t="s">
        <v>1740</v>
      </c>
      <c r="C208" s="235" t="s">
        <v>1702</v>
      </c>
      <c r="D208" s="235" t="s">
        <v>1703</v>
      </c>
      <c r="E208" s="235" t="s">
        <v>206</v>
      </c>
      <c r="F208" s="236" t="s">
        <v>207</v>
      </c>
      <c r="G208" s="234" t="s">
        <v>208</v>
      </c>
      <c r="H208" s="235" t="s">
        <v>209</v>
      </c>
      <c r="I208" s="235" t="s">
        <v>210</v>
      </c>
      <c r="J208" s="235" t="s">
        <v>211</v>
      </c>
      <c r="K208" s="235" t="s">
        <v>212</v>
      </c>
      <c r="L208" s="235" t="s">
        <v>213</v>
      </c>
      <c r="M208" s="235" t="s">
        <v>214</v>
      </c>
      <c r="N208" s="235" t="s">
        <v>215</v>
      </c>
      <c r="O208" s="235" t="s">
        <v>216</v>
      </c>
      <c r="P208" s="235" t="s">
        <v>217</v>
      </c>
      <c r="Q208" s="236" t="s">
        <v>218</v>
      </c>
      <c r="R208" s="239" t="s">
        <v>1741</v>
      </c>
      <c r="S208" s="237" t="s">
        <v>1742</v>
      </c>
      <c r="T208" s="237" t="s">
        <v>1743</v>
      </c>
      <c r="U208" s="237" t="s">
        <v>1744</v>
      </c>
      <c r="V208" s="237" t="s">
        <v>1745</v>
      </c>
      <c r="W208" s="237" t="s">
        <v>1746</v>
      </c>
      <c r="X208" s="237" t="s">
        <v>1747</v>
      </c>
      <c r="Y208" s="237" t="s">
        <v>1748</v>
      </c>
      <c r="Z208" s="237" t="s">
        <v>1749</v>
      </c>
      <c r="AA208" s="238" t="s">
        <v>1750</v>
      </c>
    </row>
    <row r="209" spans="2:27" ht="28.5" x14ac:dyDescent="0.2">
      <c r="B209" s="226" t="s">
        <v>1757</v>
      </c>
      <c r="C209" s="45" t="s">
        <v>1758</v>
      </c>
      <c r="D209" s="49" t="s">
        <v>1496</v>
      </c>
      <c r="E209" s="274" t="s">
        <v>1752</v>
      </c>
      <c r="F209" s="262">
        <v>3</v>
      </c>
      <c r="G209" s="352"/>
      <c r="H209" s="353"/>
      <c r="I209" s="353"/>
      <c r="J209" s="353"/>
      <c r="K209" s="353"/>
      <c r="L209" s="353"/>
      <c r="M209" s="1646">
        <v>45.95</v>
      </c>
      <c r="N209" s="1646">
        <v>48.97</v>
      </c>
      <c r="O209" s="1646">
        <v>32.620000000000005</v>
      </c>
      <c r="P209" s="1646">
        <v>32.92</v>
      </c>
      <c r="Q209" s="1646">
        <v>32.92</v>
      </c>
      <c r="R209" s="1646">
        <v>3</v>
      </c>
      <c r="S209" s="276">
        <v>0</v>
      </c>
      <c r="T209" s="276">
        <v>0</v>
      </c>
      <c r="U209" s="276">
        <v>0</v>
      </c>
      <c r="V209" s="276"/>
      <c r="W209" s="276"/>
      <c r="X209" s="276"/>
      <c r="Y209" s="276"/>
      <c r="Z209" s="276"/>
      <c r="AA209" s="278"/>
    </row>
    <row r="210" spans="2:27" ht="28.5" x14ac:dyDescent="0.2">
      <c r="B210" s="227" t="s">
        <v>1759</v>
      </c>
      <c r="C210" s="45" t="s">
        <v>1758</v>
      </c>
      <c r="D210" s="49" t="s">
        <v>1491</v>
      </c>
      <c r="E210" s="274" t="s">
        <v>1752</v>
      </c>
      <c r="F210" s="262">
        <v>3</v>
      </c>
      <c r="G210" s="352"/>
      <c r="H210" s="353"/>
      <c r="I210" s="353"/>
      <c r="J210" s="353"/>
      <c r="K210" s="353"/>
      <c r="L210" s="353"/>
      <c r="M210" s="1646">
        <v>0</v>
      </c>
      <c r="N210" s="1646">
        <v>0</v>
      </c>
      <c r="O210" s="1646">
        <v>1.44</v>
      </c>
      <c r="P210" s="1646">
        <v>1.44</v>
      </c>
      <c r="Q210" s="1646">
        <v>1.44</v>
      </c>
      <c r="R210" s="1646">
        <v>50.099999999999994</v>
      </c>
      <c r="S210" s="276">
        <v>50.099999999999994</v>
      </c>
      <c r="T210" s="276">
        <v>50.099999999999994</v>
      </c>
      <c r="U210" s="276">
        <v>50.099999999999994</v>
      </c>
      <c r="V210" s="276"/>
      <c r="W210" s="276"/>
      <c r="X210" s="276"/>
      <c r="Y210" s="276"/>
      <c r="Z210" s="276"/>
      <c r="AA210" s="278"/>
    </row>
    <row r="211" spans="2:27" ht="28.5" x14ac:dyDescent="0.2">
      <c r="B211" s="227" t="s">
        <v>1760</v>
      </c>
      <c r="C211" s="45" t="s">
        <v>1758</v>
      </c>
      <c r="D211" s="49" t="s">
        <v>1707</v>
      </c>
      <c r="E211" s="274" t="s">
        <v>1752</v>
      </c>
      <c r="F211" s="262">
        <v>3</v>
      </c>
      <c r="G211" s="279">
        <f t="shared" ref="G211:AA211" si="98">SUM(G209:G210)</f>
        <v>0</v>
      </c>
      <c r="H211" s="279">
        <f t="shared" si="98"/>
        <v>0</v>
      </c>
      <c r="I211" s="279">
        <f t="shared" si="98"/>
        <v>0</v>
      </c>
      <c r="J211" s="279">
        <f t="shared" si="98"/>
        <v>0</v>
      </c>
      <c r="K211" s="279">
        <f t="shared" si="98"/>
        <v>0</v>
      </c>
      <c r="L211" s="279">
        <f t="shared" si="98"/>
        <v>0</v>
      </c>
      <c r="M211" s="279">
        <f t="shared" si="98"/>
        <v>45.95</v>
      </c>
      <c r="N211" s="279">
        <f t="shared" si="98"/>
        <v>48.97</v>
      </c>
      <c r="O211" s="279">
        <f t="shared" si="98"/>
        <v>34.06</v>
      </c>
      <c r="P211" s="279">
        <f t="shared" si="98"/>
        <v>34.36</v>
      </c>
      <c r="Q211" s="279">
        <f t="shared" si="98"/>
        <v>34.36</v>
      </c>
      <c r="R211" s="279">
        <f t="shared" si="98"/>
        <v>53.099999999999994</v>
      </c>
      <c r="S211" s="279">
        <f t="shared" si="98"/>
        <v>50.099999999999994</v>
      </c>
      <c r="T211" s="279">
        <f t="shared" si="98"/>
        <v>50.099999999999994</v>
      </c>
      <c r="U211" s="279">
        <f t="shared" si="98"/>
        <v>50.099999999999994</v>
      </c>
      <c r="V211" s="279">
        <f t="shared" si="98"/>
        <v>0</v>
      </c>
      <c r="W211" s="279">
        <f t="shared" si="98"/>
        <v>0</v>
      </c>
      <c r="X211" s="279">
        <f t="shared" si="98"/>
        <v>0</v>
      </c>
      <c r="Y211" s="279">
        <f t="shared" si="98"/>
        <v>0</v>
      </c>
      <c r="Z211" s="279">
        <f t="shared" si="98"/>
        <v>0</v>
      </c>
      <c r="AA211" s="279">
        <f t="shared" si="98"/>
        <v>0</v>
      </c>
    </row>
    <row r="212" spans="2:27" ht="57" x14ac:dyDescent="0.2">
      <c r="B212" s="226" t="s">
        <v>1761</v>
      </c>
      <c r="C212" s="45" t="s">
        <v>1762</v>
      </c>
      <c r="D212" s="49" t="s">
        <v>1496</v>
      </c>
      <c r="E212" s="274" t="s">
        <v>1752</v>
      </c>
      <c r="F212" s="262">
        <v>3</v>
      </c>
      <c r="G212" s="352"/>
      <c r="H212" s="353"/>
      <c r="I212" s="353"/>
      <c r="J212" s="353"/>
      <c r="K212" s="353"/>
      <c r="L212" s="353"/>
      <c r="M212" s="276">
        <v>0</v>
      </c>
      <c r="N212" s="276">
        <v>0</v>
      </c>
      <c r="O212" s="276">
        <v>0</v>
      </c>
      <c r="P212" s="276">
        <v>0</v>
      </c>
      <c r="Q212" s="276">
        <v>0</v>
      </c>
      <c r="R212" s="276">
        <v>0</v>
      </c>
      <c r="S212" s="276">
        <v>0</v>
      </c>
      <c r="T212" s="276">
        <v>0</v>
      </c>
      <c r="U212" s="276">
        <v>0</v>
      </c>
      <c r="V212" s="276"/>
      <c r="W212" s="276"/>
      <c r="X212" s="276"/>
      <c r="Y212" s="276"/>
      <c r="Z212" s="276"/>
      <c r="AA212" s="278"/>
    </row>
    <row r="213" spans="2:27" ht="57" x14ac:dyDescent="0.2">
      <c r="B213" s="227" t="s">
        <v>1763</v>
      </c>
      <c r="C213" s="45" t="s">
        <v>1762</v>
      </c>
      <c r="D213" s="49" t="s">
        <v>1491</v>
      </c>
      <c r="E213" s="274" t="s">
        <v>1752</v>
      </c>
      <c r="F213" s="262">
        <v>3</v>
      </c>
      <c r="G213" s="352"/>
      <c r="H213" s="353"/>
      <c r="I213" s="353"/>
      <c r="J213" s="353"/>
      <c r="K213" s="353"/>
      <c r="L213" s="353"/>
      <c r="M213" s="276">
        <v>1.814490796839443</v>
      </c>
      <c r="N213" s="276">
        <v>1.9610622193194431</v>
      </c>
      <c r="O213" s="276">
        <v>1.9857557973194431</v>
      </c>
      <c r="P213" s="276">
        <v>2.0371407412354432</v>
      </c>
      <c r="Q213" s="276">
        <v>1.8774214567694432</v>
      </c>
      <c r="R213" s="276">
        <v>11.304429120269944</v>
      </c>
      <c r="S213" s="276">
        <v>5.5644689969999988</v>
      </c>
      <c r="T213" s="276">
        <v>3.7504490000000001</v>
      </c>
      <c r="U213" s="276">
        <v>3.6004309999999999</v>
      </c>
      <c r="V213" s="276"/>
      <c r="W213" s="276"/>
      <c r="X213" s="276"/>
      <c r="Y213" s="276"/>
      <c r="Z213" s="276"/>
      <c r="AA213" s="278"/>
    </row>
    <row r="214" spans="2:27" ht="57" x14ac:dyDescent="0.2">
      <c r="B214" s="227" t="s">
        <v>1764</v>
      </c>
      <c r="C214" s="45" t="s">
        <v>1762</v>
      </c>
      <c r="D214" s="49" t="s">
        <v>1707</v>
      </c>
      <c r="E214" s="274" t="s">
        <v>1752</v>
      </c>
      <c r="F214" s="262">
        <v>3</v>
      </c>
      <c r="G214" s="279">
        <f t="shared" ref="G214:AA214" si="99">SUM(G212:G213)</f>
        <v>0</v>
      </c>
      <c r="H214" s="279">
        <f t="shared" si="99"/>
        <v>0</v>
      </c>
      <c r="I214" s="279">
        <f t="shared" si="99"/>
        <v>0</v>
      </c>
      <c r="J214" s="279">
        <f t="shared" si="99"/>
        <v>0</v>
      </c>
      <c r="K214" s="279">
        <f t="shared" si="99"/>
        <v>0</v>
      </c>
      <c r="L214" s="279">
        <f t="shared" si="99"/>
        <v>0</v>
      </c>
      <c r="M214" s="279">
        <f t="shared" si="99"/>
        <v>1.814490796839443</v>
      </c>
      <c r="N214" s="279">
        <f t="shared" si="99"/>
        <v>1.9610622193194431</v>
      </c>
      <c r="O214" s="279">
        <f t="shared" si="99"/>
        <v>1.9857557973194431</v>
      </c>
      <c r="P214" s="279">
        <f t="shared" si="99"/>
        <v>2.0371407412354432</v>
      </c>
      <c r="Q214" s="279">
        <f t="shared" si="99"/>
        <v>1.8774214567694432</v>
      </c>
      <c r="R214" s="279">
        <f t="shared" si="99"/>
        <v>11.304429120269944</v>
      </c>
      <c r="S214" s="279">
        <f t="shared" si="99"/>
        <v>5.5644689969999988</v>
      </c>
      <c r="T214" s="279">
        <f t="shared" si="99"/>
        <v>3.7504490000000001</v>
      </c>
      <c r="U214" s="279">
        <f t="shared" si="99"/>
        <v>3.6004309999999999</v>
      </c>
      <c r="V214" s="279">
        <f t="shared" si="99"/>
        <v>0</v>
      </c>
      <c r="W214" s="279">
        <f t="shared" si="99"/>
        <v>0</v>
      </c>
      <c r="X214" s="279">
        <f t="shared" si="99"/>
        <v>0</v>
      </c>
      <c r="Y214" s="279">
        <f t="shared" si="99"/>
        <v>0</v>
      </c>
      <c r="Z214" s="279">
        <f t="shared" si="99"/>
        <v>0</v>
      </c>
      <c r="AA214" s="279">
        <f t="shared" si="99"/>
        <v>0</v>
      </c>
    </row>
    <row r="215" spans="2:27" ht="28.5" x14ac:dyDescent="0.2">
      <c r="B215" s="226" t="s">
        <v>1765</v>
      </c>
      <c r="C215" s="45" t="s">
        <v>1766</v>
      </c>
      <c r="D215" s="49" t="s">
        <v>1496</v>
      </c>
      <c r="E215" s="274" t="s">
        <v>1752</v>
      </c>
      <c r="F215" s="262">
        <v>3</v>
      </c>
      <c r="G215" s="352"/>
      <c r="H215" s="353"/>
      <c r="I215" s="353"/>
      <c r="J215" s="353"/>
      <c r="K215" s="353"/>
      <c r="L215" s="353"/>
      <c r="M215" s="276">
        <f t="shared" ref="M215:U215" si="100">M117</f>
        <v>4.0868590788000017</v>
      </c>
      <c r="N215" s="276">
        <f t="shared" si="100"/>
        <v>4.0868590788000017</v>
      </c>
      <c r="O215" s="276">
        <f t="shared" si="100"/>
        <v>4.0868590788000017</v>
      </c>
      <c r="P215" s="276">
        <f t="shared" si="100"/>
        <v>4.0868590788000017</v>
      </c>
      <c r="Q215" s="276">
        <f t="shared" si="100"/>
        <v>4.0868590788000017</v>
      </c>
      <c r="R215" s="276">
        <f t="shared" si="100"/>
        <v>22.324927820576924</v>
      </c>
      <c r="S215" s="276">
        <f t="shared" si="100"/>
        <v>24.529494830000008</v>
      </c>
      <c r="T215" s="276">
        <f t="shared" si="100"/>
        <v>135.52180036347812</v>
      </c>
      <c r="U215" s="276">
        <f t="shared" si="100"/>
        <v>144.67255387720977</v>
      </c>
      <c r="V215" s="276"/>
      <c r="W215" s="276"/>
      <c r="X215" s="276"/>
      <c r="Y215" s="276"/>
      <c r="Z215" s="276"/>
      <c r="AA215" s="276"/>
    </row>
    <row r="216" spans="2:27" ht="28.5" x14ac:dyDescent="0.2">
      <c r="B216" s="227" t="s">
        <v>1767</v>
      </c>
      <c r="C216" s="45" t="s">
        <v>1766</v>
      </c>
      <c r="D216" s="49" t="s">
        <v>1491</v>
      </c>
      <c r="E216" s="274" t="s">
        <v>1752</v>
      </c>
      <c r="F216" s="262">
        <v>3</v>
      </c>
      <c r="G216" s="352"/>
      <c r="H216" s="353"/>
      <c r="I216" s="353"/>
      <c r="J216" s="353"/>
      <c r="K216" s="353"/>
      <c r="L216" s="353"/>
      <c r="M216" s="276">
        <f t="shared" ref="M216:U216" si="101">M118</f>
        <v>1.5404001959999987</v>
      </c>
      <c r="N216" s="276">
        <f t="shared" si="101"/>
        <v>1.5404001959999987</v>
      </c>
      <c r="O216" s="276">
        <f t="shared" si="101"/>
        <v>1.5404001959999987</v>
      </c>
      <c r="P216" s="276">
        <f t="shared" si="101"/>
        <v>1.5404001959999987</v>
      </c>
      <c r="Q216" s="276">
        <f t="shared" si="101"/>
        <v>1.5404001959999987</v>
      </c>
      <c r="R216" s="276">
        <f t="shared" si="101"/>
        <v>14.477101959999985</v>
      </c>
      <c r="S216" s="276">
        <f t="shared" si="101"/>
        <v>21.359727939999978</v>
      </c>
      <c r="T216" s="276">
        <f t="shared" si="101"/>
        <v>21.359727939999978</v>
      </c>
      <c r="U216" s="276">
        <f t="shared" si="101"/>
        <v>21.359727939999978</v>
      </c>
      <c r="V216" s="276"/>
      <c r="W216" s="276"/>
      <c r="X216" s="276"/>
      <c r="Y216" s="276"/>
      <c r="Z216" s="276"/>
      <c r="AA216" s="276"/>
    </row>
    <row r="217" spans="2:27" ht="28.5" x14ac:dyDescent="0.2">
      <c r="B217" s="227" t="s">
        <v>1768</v>
      </c>
      <c r="C217" s="45" t="s">
        <v>1766</v>
      </c>
      <c r="D217" s="49" t="s">
        <v>1707</v>
      </c>
      <c r="E217" s="274" t="s">
        <v>1752</v>
      </c>
      <c r="F217" s="262">
        <v>3</v>
      </c>
      <c r="G217" s="279">
        <f t="shared" ref="G217:AA217" si="102">SUM(G215:G216)</f>
        <v>0</v>
      </c>
      <c r="H217" s="279">
        <f t="shared" si="102"/>
        <v>0</v>
      </c>
      <c r="I217" s="279">
        <f t="shared" si="102"/>
        <v>0</v>
      </c>
      <c r="J217" s="279">
        <f t="shared" si="102"/>
        <v>0</v>
      </c>
      <c r="K217" s="279">
        <f t="shared" si="102"/>
        <v>0</v>
      </c>
      <c r="L217" s="279">
        <f t="shared" si="102"/>
        <v>0</v>
      </c>
      <c r="M217" s="279">
        <f t="shared" si="102"/>
        <v>5.6272592748000001</v>
      </c>
      <c r="N217" s="279">
        <f t="shared" si="102"/>
        <v>5.6272592748000001</v>
      </c>
      <c r="O217" s="279">
        <f t="shared" si="102"/>
        <v>5.6272592748000001</v>
      </c>
      <c r="P217" s="279">
        <f t="shared" si="102"/>
        <v>5.6272592748000001</v>
      </c>
      <c r="Q217" s="279">
        <f t="shared" si="102"/>
        <v>5.6272592748000001</v>
      </c>
      <c r="R217" s="279">
        <f t="shared" si="102"/>
        <v>36.802029780576909</v>
      </c>
      <c r="S217" s="279">
        <f t="shared" si="102"/>
        <v>45.889222769999989</v>
      </c>
      <c r="T217" s="279">
        <f t="shared" si="102"/>
        <v>156.88152830347809</v>
      </c>
      <c r="U217" s="279">
        <f t="shared" si="102"/>
        <v>166.03228181720974</v>
      </c>
      <c r="V217" s="279">
        <f t="shared" si="102"/>
        <v>0</v>
      </c>
      <c r="W217" s="279">
        <f t="shared" si="102"/>
        <v>0</v>
      </c>
      <c r="X217" s="279">
        <f t="shared" si="102"/>
        <v>0</v>
      </c>
      <c r="Y217" s="279">
        <f t="shared" si="102"/>
        <v>0</v>
      </c>
      <c r="Z217" s="279">
        <f t="shared" si="102"/>
        <v>0</v>
      </c>
      <c r="AA217" s="279">
        <f t="shared" si="102"/>
        <v>0</v>
      </c>
    </row>
    <row r="218" spans="2:27" ht="28.5" x14ac:dyDescent="0.2">
      <c r="B218" s="226" t="s">
        <v>1769</v>
      </c>
      <c r="C218" s="45" t="s">
        <v>1770</v>
      </c>
      <c r="D218" s="49" t="s">
        <v>1496</v>
      </c>
      <c r="E218" s="274" t="s">
        <v>1752</v>
      </c>
      <c r="F218" s="262">
        <v>3</v>
      </c>
      <c r="G218" s="352"/>
      <c r="H218" s="353"/>
      <c r="I218" s="353"/>
      <c r="J218" s="353"/>
      <c r="K218" s="353"/>
      <c r="L218" s="353"/>
      <c r="M218" s="1646">
        <v>36.120000000000005</v>
      </c>
      <c r="N218" s="1646">
        <v>36.120000000000005</v>
      </c>
      <c r="O218" s="1646">
        <v>36.120000000000005</v>
      </c>
      <c r="P218" s="1646">
        <v>2.54</v>
      </c>
      <c r="Q218" s="1646">
        <v>2.54</v>
      </c>
      <c r="R218" s="276">
        <v>0</v>
      </c>
      <c r="S218" s="276">
        <v>0</v>
      </c>
      <c r="T218" s="276">
        <v>0</v>
      </c>
      <c r="U218" s="276">
        <v>0</v>
      </c>
      <c r="V218" s="276"/>
      <c r="W218" s="276"/>
      <c r="X218" s="276"/>
      <c r="Y218" s="276"/>
      <c r="Z218" s="276"/>
      <c r="AA218" s="278"/>
    </row>
    <row r="219" spans="2:27" ht="28.5" x14ac:dyDescent="0.2">
      <c r="B219" s="227" t="s">
        <v>1771</v>
      </c>
      <c r="C219" s="45" t="s">
        <v>1770</v>
      </c>
      <c r="D219" s="49" t="s">
        <v>1491</v>
      </c>
      <c r="E219" s="274" t="s">
        <v>1752</v>
      </c>
      <c r="F219" s="262">
        <v>3</v>
      </c>
      <c r="G219" s="352"/>
      <c r="H219" s="353"/>
      <c r="I219" s="353"/>
      <c r="J219" s="353"/>
      <c r="K219" s="353"/>
      <c r="L219" s="353"/>
      <c r="M219" s="276">
        <v>0</v>
      </c>
      <c r="N219" s="276">
        <v>0</v>
      </c>
      <c r="O219" s="276">
        <v>0</v>
      </c>
      <c r="P219" s="1646">
        <v>0.57000000000000006</v>
      </c>
      <c r="Q219" s="1646">
        <v>0.57000000000000006</v>
      </c>
      <c r="R219" s="1646">
        <v>3.2100000000000004</v>
      </c>
      <c r="S219" s="1646">
        <v>3.3000000000000003</v>
      </c>
      <c r="T219" s="1646">
        <v>3.3000000000000003</v>
      </c>
      <c r="U219" s="1646">
        <v>3.3000000000000003</v>
      </c>
      <c r="V219" s="276"/>
      <c r="W219" s="276"/>
      <c r="X219" s="276"/>
      <c r="Y219" s="276"/>
      <c r="Z219" s="276"/>
      <c r="AA219" s="278"/>
    </row>
    <row r="220" spans="2:27" ht="28.5" x14ac:dyDescent="0.2">
      <c r="B220" s="227" t="s">
        <v>1772</v>
      </c>
      <c r="C220" s="45" t="s">
        <v>1770</v>
      </c>
      <c r="D220" s="49" t="s">
        <v>1707</v>
      </c>
      <c r="E220" s="274" t="s">
        <v>1752</v>
      </c>
      <c r="F220" s="262">
        <v>3</v>
      </c>
      <c r="G220" s="279">
        <f t="shared" ref="G220:AA220" si="103">SUM(G218:G219)</f>
        <v>0</v>
      </c>
      <c r="H220" s="279">
        <f t="shared" si="103"/>
        <v>0</v>
      </c>
      <c r="I220" s="279">
        <f t="shared" si="103"/>
        <v>0</v>
      </c>
      <c r="J220" s="279">
        <f t="shared" si="103"/>
        <v>0</v>
      </c>
      <c r="K220" s="279">
        <f t="shared" si="103"/>
        <v>0</v>
      </c>
      <c r="L220" s="279">
        <f t="shared" si="103"/>
        <v>0</v>
      </c>
      <c r="M220" s="279">
        <f t="shared" si="103"/>
        <v>36.120000000000005</v>
      </c>
      <c r="N220" s="279">
        <f t="shared" si="103"/>
        <v>36.120000000000005</v>
      </c>
      <c r="O220" s="279">
        <f t="shared" si="103"/>
        <v>36.120000000000005</v>
      </c>
      <c r="P220" s="279">
        <f t="shared" si="103"/>
        <v>3.1100000000000003</v>
      </c>
      <c r="Q220" s="279">
        <f t="shared" si="103"/>
        <v>3.1100000000000003</v>
      </c>
      <c r="R220" s="279">
        <f t="shared" si="103"/>
        <v>3.2100000000000004</v>
      </c>
      <c r="S220" s="279">
        <f t="shared" si="103"/>
        <v>3.3000000000000003</v>
      </c>
      <c r="T220" s="279">
        <f t="shared" si="103"/>
        <v>3.3000000000000003</v>
      </c>
      <c r="U220" s="279">
        <f t="shared" si="103"/>
        <v>3.3000000000000003</v>
      </c>
      <c r="V220" s="279">
        <f t="shared" si="103"/>
        <v>0</v>
      </c>
      <c r="W220" s="279">
        <f t="shared" si="103"/>
        <v>0</v>
      </c>
      <c r="X220" s="279">
        <f t="shared" si="103"/>
        <v>0</v>
      </c>
      <c r="Y220" s="279">
        <f t="shared" si="103"/>
        <v>0</v>
      </c>
      <c r="Z220" s="279">
        <f t="shared" si="103"/>
        <v>0</v>
      </c>
      <c r="AA220" s="279">
        <f t="shared" si="103"/>
        <v>0</v>
      </c>
    </row>
    <row r="221" spans="2:27" ht="28.5" x14ac:dyDescent="0.2">
      <c r="B221" s="226" t="s">
        <v>1773</v>
      </c>
      <c r="C221" s="45" t="s">
        <v>1774</v>
      </c>
      <c r="D221" s="49" t="s">
        <v>1496</v>
      </c>
      <c r="E221" s="274" t="s">
        <v>1752</v>
      </c>
      <c r="F221" s="262">
        <v>3</v>
      </c>
      <c r="G221" s="352"/>
      <c r="H221" s="353"/>
      <c r="I221" s="353"/>
      <c r="J221" s="353"/>
      <c r="K221" s="353"/>
      <c r="L221" s="353"/>
      <c r="M221" s="276">
        <v>0</v>
      </c>
      <c r="N221" s="276">
        <v>0</v>
      </c>
      <c r="O221" s="276">
        <v>0</v>
      </c>
      <c r="P221" s="276">
        <v>0</v>
      </c>
      <c r="Q221" s="276">
        <v>0</v>
      </c>
      <c r="R221" s="276">
        <v>0</v>
      </c>
      <c r="S221" s="276">
        <v>0</v>
      </c>
      <c r="T221" s="276">
        <v>0</v>
      </c>
      <c r="U221" s="276">
        <v>0</v>
      </c>
      <c r="V221" s="276"/>
      <c r="W221" s="276"/>
      <c r="X221" s="276"/>
      <c r="Y221" s="276"/>
      <c r="Z221" s="276"/>
      <c r="AA221" s="278"/>
    </row>
    <row r="222" spans="2:27" ht="28.5" x14ac:dyDescent="0.2">
      <c r="B222" s="227" t="s">
        <v>1775</v>
      </c>
      <c r="C222" s="45" t="s">
        <v>1774</v>
      </c>
      <c r="D222" s="49" t="s">
        <v>1491</v>
      </c>
      <c r="E222" s="274" t="s">
        <v>1752</v>
      </c>
      <c r="F222" s="262">
        <v>3</v>
      </c>
      <c r="G222" s="352"/>
      <c r="H222" s="353"/>
      <c r="I222" s="353"/>
      <c r="J222" s="353"/>
      <c r="K222" s="353"/>
      <c r="L222" s="353"/>
      <c r="M222" s="276">
        <v>0</v>
      </c>
      <c r="N222" s="276">
        <v>0</v>
      </c>
      <c r="O222" s="276">
        <v>0</v>
      </c>
      <c r="P222" s="276">
        <v>0</v>
      </c>
      <c r="Q222" s="276">
        <v>0</v>
      </c>
      <c r="R222" s="276">
        <v>0</v>
      </c>
      <c r="S222" s="276">
        <v>0</v>
      </c>
      <c r="T222" s="276">
        <v>0</v>
      </c>
      <c r="U222" s="276">
        <v>0</v>
      </c>
      <c r="V222" s="276"/>
      <c r="W222" s="276"/>
      <c r="X222" s="276"/>
      <c r="Y222" s="276"/>
      <c r="Z222" s="276"/>
      <c r="AA222" s="278"/>
    </row>
    <row r="223" spans="2:27" ht="28.5" x14ac:dyDescent="0.2">
      <c r="B223" s="227" t="s">
        <v>1776</v>
      </c>
      <c r="C223" s="45" t="s">
        <v>1774</v>
      </c>
      <c r="D223" s="49" t="s">
        <v>1707</v>
      </c>
      <c r="E223" s="274" t="s">
        <v>1752</v>
      </c>
      <c r="F223" s="262">
        <v>3</v>
      </c>
      <c r="G223" s="279">
        <f t="shared" ref="G223:AA223" si="104">SUM(G221:G222)</f>
        <v>0</v>
      </c>
      <c r="H223" s="279">
        <f t="shared" si="104"/>
        <v>0</v>
      </c>
      <c r="I223" s="279">
        <f t="shared" si="104"/>
        <v>0</v>
      </c>
      <c r="J223" s="279">
        <f t="shared" si="104"/>
        <v>0</v>
      </c>
      <c r="K223" s="279">
        <f t="shared" si="104"/>
        <v>0</v>
      </c>
      <c r="L223" s="279">
        <f t="shared" si="104"/>
        <v>0</v>
      </c>
      <c r="M223" s="279">
        <f t="shared" si="104"/>
        <v>0</v>
      </c>
      <c r="N223" s="279">
        <f t="shared" si="104"/>
        <v>0</v>
      </c>
      <c r="O223" s="279">
        <f t="shared" si="104"/>
        <v>0</v>
      </c>
      <c r="P223" s="279">
        <f t="shared" si="104"/>
        <v>0</v>
      </c>
      <c r="Q223" s="279">
        <f t="shared" si="104"/>
        <v>0</v>
      </c>
      <c r="R223" s="279">
        <f t="shared" si="104"/>
        <v>0</v>
      </c>
      <c r="S223" s="279">
        <f t="shared" si="104"/>
        <v>0</v>
      </c>
      <c r="T223" s="279">
        <f t="shared" si="104"/>
        <v>0</v>
      </c>
      <c r="U223" s="279">
        <f t="shared" si="104"/>
        <v>0</v>
      </c>
      <c r="V223" s="279">
        <f t="shared" si="104"/>
        <v>0</v>
      </c>
      <c r="W223" s="279">
        <f t="shared" si="104"/>
        <v>0</v>
      </c>
      <c r="X223" s="279">
        <f t="shared" si="104"/>
        <v>0</v>
      </c>
      <c r="Y223" s="279">
        <f t="shared" si="104"/>
        <v>0</v>
      </c>
      <c r="Z223" s="279">
        <f t="shared" si="104"/>
        <v>0</v>
      </c>
      <c r="AA223" s="279">
        <f t="shared" si="104"/>
        <v>0</v>
      </c>
    </row>
    <row r="224" spans="2:27" ht="43.5" thickBot="1" x14ac:dyDescent="0.25">
      <c r="B224" s="228" t="s">
        <v>1777</v>
      </c>
      <c r="C224" s="46" t="s">
        <v>1778</v>
      </c>
      <c r="D224" s="51" t="s">
        <v>1707</v>
      </c>
      <c r="E224" s="274" t="s">
        <v>1752</v>
      </c>
      <c r="F224" s="263">
        <v>3</v>
      </c>
      <c r="G224" s="277">
        <f t="shared" ref="G224:AA224" si="105">SUM(G223,G220,G217,G214,G211)</f>
        <v>0</v>
      </c>
      <c r="H224" s="277">
        <f t="shared" si="105"/>
        <v>0</v>
      </c>
      <c r="I224" s="277">
        <f t="shared" si="105"/>
        <v>0</v>
      </c>
      <c r="J224" s="277">
        <f t="shared" si="105"/>
        <v>0</v>
      </c>
      <c r="K224" s="277">
        <f t="shared" si="105"/>
        <v>0</v>
      </c>
      <c r="L224" s="277">
        <f t="shared" si="105"/>
        <v>0</v>
      </c>
      <c r="M224" s="277">
        <f t="shared" si="105"/>
        <v>89.511750071639455</v>
      </c>
      <c r="N224" s="277">
        <f t="shared" si="105"/>
        <v>92.678321494119444</v>
      </c>
      <c r="O224" s="277">
        <f t="shared" si="105"/>
        <v>77.793015072119445</v>
      </c>
      <c r="P224" s="277">
        <f t="shared" si="105"/>
        <v>45.134400016035443</v>
      </c>
      <c r="Q224" s="277">
        <f t="shared" si="105"/>
        <v>44.974680731569443</v>
      </c>
      <c r="R224" s="277">
        <f t="shared" si="105"/>
        <v>104.41645890084685</v>
      </c>
      <c r="S224" s="277">
        <f t="shared" si="105"/>
        <v>104.85369176699999</v>
      </c>
      <c r="T224" s="277">
        <f t="shared" si="105"/>
        <v>214.0319773034781</v>
      </c>
      <c r="U224" s="277">
        <f t="shared" si="105"/>
        <v>223.03271281720973</v>
      </c>
      <c r="V224" s="277">
        <f t="shared" si="105"/>
        <v>0</v>
      </c>
      <c r="W224" s="277">
        <f t="shared" si="105"/>
        <v>0</v>
      </c>
      <c r="X224" s="277">
        <f t="shared" si="105"/>
        <v>0</v>
      </c>
      <c r="Y224" s="277">
        <f t="shared" si="105"/>
        <v>0</v>
      </c>
      <c r="Z224" s="277">
        <f t="shared" si="105"/>
        <v>0</v>
      </c>
      <c r="AA224" s="277">
        <f t="shared" si="105"/>
        <v>0</v>
      </c>
    </row>
    <row r="225" spans="2:27" ht="15" thickBot="1" x14ac:dyDescent="0.25">
      <c r="B225" s="229"/>
      <c r="C225" s="230"/>
      <c r="D225" s="53"/>
      <c r="E225" s="231"/>
      <c r="F225" s="232"/>
      <c r="G225" s="241"/>
      <c r="H225" s="241"/>
      <c r="I225" s="241"/>
      <c r="J225" s="241"/>
      <c r="K225" s="241"/>
      <c r="L225" s="241"/>
      <c r="M225" s="241"/>
      <c r="N225" s="241"/>
      <c r="O225" s="241"/>
      <c r="P225" s="241"/>
      <c r="Q225" s="241"/>
      <c r="R225" s="241"/>
      <c r="S225" s="241"/>
      <c r="T225" s="241"/>
      <c r="U225" s="241"/>
      <c r="V225" s="241"/>
      <c r="W225" s="241"/>
      <c r="X225" s="241"/>
      <c r="Y225" s="241"/>
      <c r="Z225" s="241"/>
      <c r="AA225" s="241"/>
    </row>
    <row r="226" spans="2:27" ht="60.75" thickBot="1" x14ac:dyDescent="0.25">
      <c r="B226" s="193" t="s">
        <v>1779</v>
      </c>
      <c r="G226" s="1832" t="s">
        <v>1738</v>
      </c>
      <c r="H226" s="1901"/>
      <c r="I226" s="1901"/>
      <c r="J226" s="1901"/>
      <c r="K226" s="1901"/>
      <c r="L226" s="1901"/>
      <c r="M226" s="1901"/>
      <c r="N226" s="1901"/>
      <c r="O226" s="1901"/>
      <c r="P226" s="1901"/>
      <c r="Q226" s="1833"/>
      <c r="R226" s="1832" t="s">
        <v>1739</v>
      </c>
      <c r="S226" s="1901"/>
      <c r="T226" s="1901"/>
      <c r="U226" s="1901"/>
      <c r="V226" s="1901"/>
      <c r="W226" s="1901"/>
      <c r="X226" s="1901"/>
      <c r="Y226" s="1901"/>
      <c r="Z226" s="1901"/>
      <c r="AA226" s="1833"/>
    </row>
    <row r="227" spans="2:27" ht="45.75" thickBot="1" x14ac:dyDescent="0.25">
      <c r="B227" s="1089" t="s">
        <v>1740</v>
      </c>
      <c r="C227" s="1090" t="s">
        <v>1702</v>
      </c>
      <c r="D227" s="1090" t="s">
        <v>1703</v>
      </c>
      <c r="E227" s="1090" t="s">
        <v>206</v>
      </c>
      <c r="F227" s="1091" t="s">
        <v>207</v>
      </c>
      <c r="G227" s="234" t="s">
        <v>208</v>
      </c>
      <c r="H227" s="235" t="s">
        <v>209</v>
      </c>
      <c r="I227" s="235" t="s">
        <v>210</v>
      </c>
      <c r="J227" s="235" t="s">
        <v>211</v>
      </c>
      <c r="K227" s="235" t="s">
        <v>212</v>
      </c>
      <c r="L227" s="235" t="s">
        <v>213</v>
      </c>
      <c r="M227" s="235" t="s">
        <v>214</v>
      </c>
      <c r="N227" s="235" t="s">
        <v>215</v>
      </c>
      <c r="O227" s="235" t="s">
        <v>216</v>
      </c>
      <c r="P227" s="235" t="s">
        <v>217</v>
      </c>
      <c r="Q227" s="236" t="s">
        <v>218</v>
      </c>
      <c r="R227" s="239" t="s">
        <v>1741</v>
      </c>
      <c r="S227" s="237" t="s">
        <v>1742</v>
      </c>
      <c r="T227" s="237" t="s">
        <v>1743</v>
      </c>
      <c r="U227" s="237" t="s">
        <v>1744</v>
      </c>
      <c r="V227" s="237" t="s">
        <v>1745</v>
      </c>
      <c r="W227" s="237" t="s">
        <v>1746</v>
      </c>
      <c r="X227" s="237" t="s">
        <v>1747</v>
      </c>
      <c r="Y227" s="237" t="s">
        <v>1748</v>
      </c>
      <c r="Z227" s="237" t="s">
        <v>1749</v>
      </c>
      <c r="AA227" s="238" t="s">
        <v>1750</v>
      </c>
    </row>
    <row r="228" spans="2:27" ht="71.25" x14ac:dyDescent="0.2">
      <c r="B228" s="1082" t="s">
        <v>1780</v>
      </c>
      <c r="C228" s="1083" t="s">
        <v>1781</v>
      </c>
      <c r="D228" s="1084" t="s">
        <v>1496</v>
      </c>
      <c r="E228" s="1092" t="s">
        <v>1752</v>
      </c>
      <c r="F228" s="1086">
        <v>3</v>
      </c>
      <c r="G228" s="354"/>
      <c r="H228" s="355"/>
      <c r="I228" s="355"/>
      <c r="J228" s="355"/>
      <c r="K228" s="355"/>
      <c r="L228" s="355"/>
      <c r="M228" s="281">
        <f>SUM(M229:M231)</f>
        <v>0.194019070152986</v>
      </c>
      <c r="N228" s="281">
        <f t="shared" ref="N228:R228" si="106">SUM(N229:N231)</f>
        <v>0.17718831194665904</v>
      </c>
      <c r="O228" s="281">
        <f t="shared" si="106"/>
        <v>0.17714936124061365</v>
      </c>
      <c r="P228" s="281">
        <f t="shared" si="106"/>
        <v>0.17679446125436679</v>
      </c>
      <c r="Q228" s="281">
        <f t="shared" si="106"/>
        <v>0.1774754148317412</v>
      </c>
      <c r="R228" s="281">
        <f t="shared" si="106"/>
        <v>0.19800000000000001</v>
      </c>
      <c r="S228" s="281"/>
      <c r="T228" s="281"/>
      <c r="U228" s="281"/>
      <c r="V228" s="281"/>
      <c r="W228" s="281"/>
      <c r="X228" s="281"/>
      <c r="Y228" s="281"/>
      <c r="Z228" s="281"/>
      <c r="AA228" s="282"/>
    </row>
    <row r="229" spans="2:27" ht="71.25" x14ac:dyDescent="0.2">
      <c r="B229" s="227" t="s">
        <v>1782</v>
      </c>
      <c r="C229" s="45" t="s">
        <v>1783</v>
      </c>
      <c r="D229" s="49" t="s">
        <v>1496</v>
      </c>
      <c r="E229" s="274" t="s">
        <v>1752</v>
      </c>
      <c r="F229" s="262">
        <v>3</v>
      </c>
      <c r="G229" s="352"/>
      <c r="H229" s="352"/>
      <c r="I229" s="352"/>
      <c r="J229" s="352"/>
      <c r="K229" s="352"/>
      <c r="L229" s="352"/>
      <c r="M229" s="1087">
        <v>0</v>
      </c>
      <c r="N229" s="1087">
        <v>0</v>
      </c>
      <c r="O229" s="1087">
        <v>0</v>
      </c>
      <c r="P229" s="1087">
        <v>0</v>
      </c>
      <c r="Q229" s="1087">
        <v>0</v>
      </c>
      <c r="R229" s="1087">
        <v>0</v>
      </c>
      <c r="S229" s="1087"/>
      <c r="T229" s="1087"/>
      <c r="U229" s="1087"/>
      <c r="V229" s="1087"/>
      <c r="W229" s="1087"/>
      <c r="X229" s="1087"/>
      <c r="Y229" s="1087"/>
      <c r="Z229" s="1087"/>
      <c r="AA229" s="1088"/>
    </row>
    <row r="230" spans="2:27" ht="71.25" x14ac:dyDescent="0.2">
      <c r="B230" s="227" t="s">
        <v>1784</v>
      </c>
      <c r="C230" s="45" t="s">
        <v>1785</v>
      </c>
      <c r="D230" s="49" t="s">
        <v>1496</v>
      </c>
      <c r="E230" s="274" t="s">
        <v>1752</v>
      </c>
      <c r="F230" s="262">
        <v>3</v>
      </c>
      <c r="G230" s="352"/>
      <c r="H230" s="352"/>
      <c r="I230" s="352"/>
      <c r="J230" s="352"/>
      <c r="K230" s="352"/>
      <c r="L230" s="352"/>
      <c r="M230" s="1087">
        <v>0</v>
      </c>
      <c r="N230" s="1087">
        <v>0</v>
      </c>
      <c r="O230" s="1087">
        <v>0</v>
      </c>
      <c r="P230" s="1087">
        <v>0</v>
      </c>
      <c r="Q230" s="1087">
        <v>0</v>
      </c>
      <c r="R230" s="1087">
        <v>0</v>
      </c>
      <c r="S230" s="1087"/>
      <c r="T230" s="1087"/>
      <c r="U230" s="1087"/>
      <c r="V230" s="1087"/>
      <c r="W230" s="1087"/>
      <c r="X230" s="1087"/>
      <c r="Y230" s="1087"/>
      <c r="Z230" s="1087"/>
      <c r="AA230" s="1088"/>
    </row>
    <row r="231" spans="2:27" ht="71.25" x14ac:dyDescent="0.2">
      <c r="B231" s="227" t="s">
        <v>1786</v>
      </c>
      <c r="C231" s="45" t="s">
        <v>1787</v>
      </c>
      <c r="D231" s="49" t="s">
        <v>1496</v>
      </c>
      <c r="E231" s="274" t="s">
        <v>1752</v>
      </c>
      <c r="F231" s="262">
        <v>3</v>
      </c>
      <c r="G231" s="352"/>
      <c r="H231" s="352"/>
      <c r="I231" s="352"/>
      <c r="J231" s="352"/>
      <c r="K231" s="352"/>
      <c r="L231" s="352"/>
      <c r="M231" s="1329">
        <v>0.194019070152986</v>
      </c>
      <c r="N231" s="1329">
        <v>0.17718831194665904</v>
      </c>
      <c r="O231" s="1329">
        <v>0.17714936124061365</v>
      </c>
      <c r="P231" s="1329">
        <v>0.17679446125436679</v>
      </c>
      <c r="Q231" s="1329">
        <v>0.1774754148317412</v>
      </c>
      <c r="R231" s="1087">
        <v>0.19800000000000001</v>
      </c>
      <c r="S231" s="1087"/>
      <c r="T231" s="1087"/>
      <c r="U231" s="1087"/>
      <c r="V231" s="1087"/>
      <c r="W231" s="1087"/>
      <c r="X231" s="1087"/>
      <c r="Y231" s="1087"/>
      <c r="Z231" s="1087"/>
      <c r="AA231" s="1088"/>
    </row>
    <row r="232" spans="2:27" ht="71.25" x14ac:dyDescent="0.2">
      <c r="B232" s="227" t="s">
        <v>1788</v>
      </c>
      <c r="C232" s="45" t="s">
        <v>1781</v>
      </c>
      <c r="D232" s="49" t="s">
        <v>1491</v>
      </c>
      <c r="E232" s="274" t="s">
        <v>1752</v>
      </c>
      <c r="F232" s="262">
        <v>3</v>
      </c>
      <c r="G232" s="354"/>
      <c r="H232" s="355"/>
      <c r="I232" s="355"/>
      <c r="J232" s="355"/>
      <c r="K232" s="355"/>
      <c r="L232" s="355"/>
      <c r="M232" s="281">
        <f>SUM(M233:M235)</f>
        <v>1.654371716415338E-3</v>
      </c>
      <c r="N232" s="281">
        <f t="shared" ref="N232:R232" si="107">SUM(N233:N235)</f>
        <v>1.222868037134676E-3</v>
      </c>
      <c r="O232" s="281">
        <f t="shared" si="107"/>
        <v>1.2136874840113392E-3</v>
      </c>
      <c r="P232" s="281">
        <f t="shared" si="107"/>
        <v>1.1300387261836014E-3</v>
      </c>
      <c r="Q232" s="281">
        <f t="shared" si="107"/>
        <v>1.290537241520543E-3</v>
      </c>
      <c r="R232" s="281">
        <f t="shared" si="107"/>
        <v>2E-3</v>
      </c>
      <c r="S232" s="281"/>
      <c r="T232" s="281"/>
      <c r="U232" s="281"/>
      <c r="V232" s="281"/>
      <c r="W232" s="281"/>
      <c r="X232" s="281"/>
      <c r="Y232" s="281"/>
      <c r="Z232" s="281"/>
      <c r="AA232" s="282"/>
    </row>
    <row r="233" spans="2:27" ht="71.25" x14ac:dyDescent="0.2">
      <c r="B233" s="227" t="s">
        <v>1789</v>
      </c>
      <c r="C233" s="45" t="s">
        <v>1783</v>
      </c>
      <c r="D233" s="49" t="s">
        <v>1491</v>
      </c>
      <c r="E233" s="274" t="s">
        <v>1752</v>
      </c>
      <c r="F233" s="262">
        <v>3</v>
      </c>
      <c r="G233" s="352"/>
      <c r="H233" s="352"/>
      <c r="I233" s="352"/>
      <c r="J233" s="352"/>
      <c r="K233" s="352"/>
      <c r="L233" s="352"/>
      <c r="M233" s="1087">
        <v>0</v>
      </c>
      <c r="N233" s="1087">
        <v>0</v>
      </c>
      <c r="O233" s="1087">
        <v>0</v>
      </c>
      <c r="P233" s="1087">
        <v>0</v>
      </c>
      <c r="Q233" s="1087">
        <v>0</v>
      </c>
      <c r="R233" s="1087">
        <v>0</v>
      </c>
      <c r="S233" s="1087"/>
      <c r="T233" s="1087"/>
      <c r="U233" s="1087"/>
      <c r="V233" s="1087"/>
      <c r="W233" s="1087"/>
      <c r="X233" s="1087"/>
      <c r="Y233" s="1087"/>
      <c r="Z233" s="1087"/>
      <c r="AA233" s="1088"/>
    </row>
    <row r="234" spans="2:27" ht="71.25" x14ac:dyDescent="0.2">
      <c r="B234" s="227" t="s">
        <v>1790</v>
      </c>
      <c r="C234" s="45" t="s">
        <v>1785</v>
      </c>
      <c r="D234" s="49" t="s">
        <v>1491</v>
      </c>
      <c r="E234" s="274" t="s">
        <v>1752</v>
      </c>
      <c r="F234" s="262">
        <v>3</v>
      </c>
      <c r="G234" s="352"/>
      <c r="H234" s="352"/>
      <c r="I234" s="352"/>
      <c r="J234" s="352"/>
      <c r="K234" s="352"/>
      <c r="L234" s="352"/>
      <c r="M234" s="1087">
        <v>0</v>
      </c>
      <c r="N234" s="1087">
        <v>0</v>
      </c>
      <c r="O234" s="1087">
        <v>0</v>
      </c>
      <c r="P234" s="1087">
        <v>0</v>
      </c>
      <c r="Q234" s="1087">
        <v>0</v>
      </c>
      <c r="R234" s="1087">
        <v>0</v>
      </c>
      <c r="S234" s="1087"/>
      <c r="T234" s="1087"/>
      <c r="U234" s="1087"/>
      <c r="V234" s="1087"/>
      <c r="W234" s="1087"/>
      <c r="X234" s="1087"/>
      <c r="Y234" s="1087"/>
      <c r="Z234" s="1087"/>
      <c r="AA234" s="1088"/>
    </row>
    <row r="235" spans="2:27" ht="71.25" x14ac:dyDescent="0.2">
      <c r="B235" s="227" t="s">
        <v>1791</v>
      </c>
      <c r="C235" s="45" t="s">
        <v>1787</v>
      </c>
      <c r="D235" s="49" t="s">
        <v>1491</v>
      </c>
      <c r="E235" s="274" t="s">
        <v>1752</v>
      </c>
      <c r="F235" s="262">
        <v>3</v>
      </c>
      <c r="G235" s="352"/>
      <c r="H235" s="352"/>
      <c r="I235" s="352"/>
      <c r="J235" s="352"/>
      <c r="K235" s="352"/>
      <c r="L235" s="352"/>
      <c r="M235" s="1087">
        <v>1.654371716415338E-3</v>
      </c>
      <c r="N235" s="1087">
        <v>1.222868037134676E-3</v>
      </c>
      <c r="O235" s="1087">
        <v>1.2136874840113392E-3</v>
      </c>
      <c r="P235" s="1087">
        <v>1.1300387261836014E-3</v>
      </c>
      <c r="Q235" s="1087">
        <v>1.290537241520543E-3</v>
      </c>
      <c r="R235" s="1087">
        <v>2E-3</v>
      </c>
      <c r="S235" s="1087"/>
      <c r="T235" s="1087"/>
      <c r="U235" s="1087"/>
      <c r="V235" s="1087"/>
      <c r="W235" s="1087"/>
      <c r="X235" s="1087"/>
      <c r="Y235" s="1087"/>
      <c r="Z235" s="1087"/>
      <c r="AA235" s="1088"/>
    </row>
    <row r="236" spans="2:27" ht="71.25" x14ac:dyDescent="0.2">
      <c r="B236" s="227" t="s">
        <v>1792</v>
      </c>
      <c r="C236" s="45" t="s">
        <v>1781</v>
      </c>
      <c r="D236" s="49" t="s">
        <v>1707</v>
      </c>
      <c r="E236" s="274" t="s">
        <v>1752</v>
      </c>
      <c r="F236" s="262">
        <v>3</v>
      </c>
      <c r="G236" s="279">
        <f t="shared" ref="G236:AA236" si="108">SUM(G228, G232)</f>
        <v>0</v>
      </c>
      <c r="H236" s="279">
        <f t="shared" si="108"/>
        <v>0</v>
      </c>
      <c r="I236" s="279">
        <f t="shared" si="108"/>
        <v>0</v>
      </c>
      <c r="J236" s="279">
        <f t="shared" si="108"/>
        <v>0</v>
      </c>
      <c r="K236" s="279">
        <f t="shared" si="108"/>
        <v>0</v>
      </c>
      <c r="L236" s="279">
        <f t="shared" si="108"/>
        <v>0</v>
      </c>
      <c r="M236" s="279">
        <f t="shared" si="108"/>
        <v>0.19567344186940133</v>
      </c>
      <c r="N236" s="279">
        <f t="shared" si="108"/>
        <v>0.17841117998379372</v>
      </c>
      <c r="O236" s="279">
        <f t="shared" si="108"/>
        <v>0.178363048724625</v>
      </c>
      <c r="P236" s="279">
        <f t="shared" si="108"/>
        <v>0.1779244999805504</v>
      </c>
      <c r="Q236" s="279">
        <f t="shared" si="108"/>
        <v>0.17876595207326174</v>
      </c>
      <c r="R236" s="279">
        <f t="shared" si="108"/>
        <v>0.2</v>
      </c>
      <c r="S236" s="279">
        <f t="shared" si="108"/>
        <v>0</v>
      </c>
      <c r="T236" s="279">
        <f t="shared" si="108"/>
        <v>0</v>
      </c>
      <c r="U236" s="279">
        <f t="shared" si="108"/>
        <v>0</v>
      </c>
      <c r="V236" s="279">
        <f t="shared" si="108"/>
        <v>0</v>
      </c>
      <c r="W236" s="279">
        <f t="shared" si="108"/>
        <v>0</v>
      </c>
      <c r="X236" s="279">
        <f t="shared" si="108"/>
        <v>0</v>
      </c>
      <c r="Y236" s="279">
        <f t="shared" si="108"/>
        <v>0</v>
      </c>
      <c r="Z236" s="279">
        <f t="shared" si="108"/>
        <v>0</v>
      </c>
      <c r="AA236" s="279">
        <f t="shared" si="108"/>
        <v>0</v>
      </c>
    </row>
    <row r="237" spans="2:27" ht="71.25" x14ac:dyDescent="0.2">
      <c r="B237" s="227" t="s">
        <v>1793</v>
      </c>
      <c r="C237" s="45" t="s">
        <v>1794</v>
      </c>
      <c r="D237" s="49" t="s">
        <v>1496</v>
      </c>
      <c r="E237" s="274" t="s">
        <v>1752</v>
      </c>
      <c r="F237" s="262">
        <v>3</v>
      </c>
      <c r="G237" s="354"/>
      <c r="H237" s="355"/>
      <c r="I237" s="355"/>
      <c r="J237" s="355"/>
      <c r="K237" s="355"/>
      <c r="L237" s="355"/>
      <c r="M237" s="281">
        <f>SUM(M238:M240)</f>
        <v>7.2694353217495555</v>
      </c>
      <c r="N237" s="281">
        <f t="shared" ref="N237:R237" si="109">SUM(N238:N240)</f>
        <v>14.107462437269819</v>
      </c>
      <c r="O237" s="281">
        <f t="shared" si="109"/>
        <v>16.31946151500895</v>
      </c>
      <c r="P237" s="281">
        <f t="shared" si="109"/>
        <v>17.047633241837453</v>
      </c>
      <c r="Q237" s="281">
        <f t="shared" si="109"/>
        <v>14.640554610776832</v>
      </c>
      <c r="R237" s="281">
        <f t="shared" si="109"/>
        <v>54.87</v>
      </c>
      <c r="S237" s="281"/>
      <c r="T237" s="281"/>
      <c r="U237" s="281"/>
      <c r="V237" s="281"/>
      <c r="W237" s="281"/>
      <c r="X237" s="281"/>
      <c r="Y237" s="281"/>
      <c r="Z237" s="281"/>
      <c r="AA237" s="282"/>
    </row>
    <row r="238" spans="2:27" ht="71.25" x14ac:dyDescent="0.2">
      <c r="B238" s="227" t="s">
        <v>1795</v>
      </c>
      <c r="C238" s="45" t="s">
        <v>1796</v>
      </c>
      <c r="D238" s="49" t="s">
        <v>1496</v>
      </c>
      <c r="E238" s="274" t="s">
        <v>1752</v>
      </c>
      <c r="F238" s="262">
        <v>3</v>
      </c>
      <c r="G238" s="352"/>
      <c r="H238" s="352"/>
      <c r="I238" s="352"/>
      <c r="J238" s="352"/>
      <c r="K238" s="352"/>
      <c r="L238" s="352"/>
      <c r="M238" s="1087">
        <v>0</v>
      </c>
      <c r="N238" s="1087">
        <v>0</v>
      </c>
      <c r="O238" s="1087">
        <v>0</v>
      </c>
      <c r="P238" s="1087">
        <v>0</v>
      </c>
      <c r="Q238" s="1087">
        <v>0</v>
      </c>
      <c r="R238" s="1087">
        <v>0</v>
      </c>
      <c r="S238" s="1087"/>
      <c r="T238" s="1087"/>
      <c r="U238" s="1087"/>
      <c r="V238" s="1087"/>
      <c r="W238" s="1087"/>
      <c r="X238" s="1087"/>
      <c r="Y238" s="1087"/>
      <c r="Z238" s="1087"/>
      <c r="AA238" s="1088"/>
    </row>
    <row r="239" spans="2:27" ht="71.25" x14ac:dyDescent="0.2">
      <c r="B239" s="227" t="s">
        <v>1797</v>
      </c>
      <c r="C239" s="45" t="s">
        <v>1798</v>
      </c>
      <c r="D239" s="49" t="s">
        <v>1496</v>
      </c>
      <c r="E239" s="274" t="s">
        <v>1752</v>
      </c>
      <c r="F239" s="262">
        <v>3</v>
      </c>
      <c r="G239" s="352"/>
      <c r="H239" s="352"/>
      <c r="I239" s="352"/>
      <c r="J239" s="352"/>
      <c r="K239" s="352"/>
      <c r="L239" s="352"/>
      <c r="M239" s="1087">
        <v>0</v>
      </c>
      <c r="N239" s="1087">
        <v>0</v>
      </c>
      <c r="O239" s="1087">
        <v>0</v>
      </c>
      <c r="P239" s="1087">
        <v>0</v>
      </c>
      <c r="Q239" s="1087">
        <v>0</v>
      </c>
      <c r="R239" s="1087">
        <v>0</v>
      </c>
      <c r="S239" s="1087"/>
      <c r="T239" s="1087"/>
      <c r="U239" s="1087"/>
      <c r="V239" s="1087"/>
      <c r="W239" s="1087"/>
      <c r="X239" s="1087"/>
      <c r="Y239" s="1087"/>
      <c r="Z239" s="1087"/>
      <c r="AA239" s="1088"/>
    </row>
    <row r="240" spans="2:27" ht="71.25" x14ac:dyDescent="0.2">
      <c r="B240" s="227" t="s">
        <v>1799</v>
      </c>
      <c r="C240" s="45" t="s">
        <v>1800</v>
      </c>
      <c r="D240" s="49" t="s">
        <v>1496</v>
      </c>
      <c r="E240" s="274" t="s">
        <v>1752</v>
      </c>
      <c r="F240" s="262">
        <v>3</v>
      </c>
      <c r="G240" s="352"/>
      <c r="H240" s="352"/>
      <c r="I240" s="352"/>
      <c r="J240" s="352"/>
      <c r="K240" s="352"/>
      <c r="L240" s="352"/>
      <c r="M240" s="1329">
        <v>7.2694353217495555</v>
      </c>
      <c r="N240" s="1329">
        <v>14.107462437269819</v>
      </c>
      <c r="O240" s="1329">
        <v>16.31946151500895</v>
      </c>
      <c r="P240" s="1329">
        <v>17.047633241837453</v>
      </c>
      <c r="Q240" s="1329">
        <v>14.640554610776832</v>
      </c>
      <c r="R240" s="1087">
        <v>54.87</v>
      </c>
      <c r="S240" s="1087"/>
      <c r="T240" s="1087"/>
      <c r="U240" s="1087"/>
      <c r="V240" s="1087"/>
      <c r="W240" s="1087"/>
      <c r="X240" s="1087"/>
      <c r="Y240" s="1087"/>
      <c r="Z240" s="1087"/>
      <c r="AA240" s="1088"/>
    </row>
    <row r="241" spans="2:27" ht="71.25" x14ac:dyDescent="0.2">
      <c r="B241" s="227" t="s">
        <v>1801</v>
      </c>
      <c r="C241" s="45" t="s">
        <v>1794</v>
      </c>
      <c r="D241" s="49" t="s">
        <v>1491</v>
      </c>
      <c r="E241" s="274" t="s">
        <v>1752</v>
      </c>
      <c r="F241" s="262">
        <v>3</v>
      </c>
      <c r="G241" s="354"/>
      <c r="H241" s="355"/>
      <c r="I241" s="355"/>
      <c r="J241" s="355"/>
      <c r="K241" s="355"/>
      <c r="L241" s="355"/>
      <c r="M241" s="281">
        <f>SUM(M242:M244)</f>
        <v>5.2427272703302975E-2</v>
      </c>
      <c r="N241" s="281">
        <f t="shared" ref="N241:R241" si="110">SUM(N242:N244)</f>
        <v>8.4252719093924525E-2</v>
      </c>
      <c r="O241" s="281">
        <f t="shared" si="110"/>
        <v>9.5565943622940089E-2</v>
      </c>
      <c r="P241" s="281">
        <f t="shared" si="110"/>
        <v>9.0892484944610163E-2</v>
      </c>
      <c r="Q241" s="281">
        <f t="shared" si="110"/>
        <v>8.5688624323795093E-2</v>
      </c>
      <c r="R241" s="281">
        <f t="shared" si="110"/>
        <v>0.441</v>
      </c>
      <c r="S241" s="281"/>
      <c r="T241" s="281"/>
      <c r="U241" s="281"/>
      <c r="V241" s="281"/>
      <c r="W241" s="281"/>
      <c r="X241" s="281"/>
      <c r="Y241" s="281"/>
      <c r="Z241" s="281"/>
      <c r="AA241" s="282"/>
    </row>
    <row r="242" spans="2:27" ht="71.25" x14ac:dyDescent="0.2">
      <c r="B242" s="227" t="s">
        <v>1802</v>
      </c>
      <c r="C242" s="45" t="s">
        <v>1803</v>
      </c>
      <c r="D242" s="49" t="s">
        <v>1491</v>
      </c>
      <c r="E242" s="274" t="s">
        <v>1752</v>
      </c>
      <c r="F242" s="262">
        <v>3</v>
      </c>
      <c r="G242" s="352"/>
      <c r="H242" s="352"/>
      <c r="I242" s="352"/>
      <c r="J242" s="352"/>
      <c r="K242" s="352"/>
      <c r="L242" s="352"/>
      <c r="M242" s="1087">
        <v>0</v>
      </c>
      <c r="N242" s="1087">
        <v>0</v>
      </c>
      <c r="O242" s="1087">
        <v>0</v>
      </c>
      <c r="P242" s="1087">
        <v>0</v>
      </c>
      <c r="Q242" s="1087">
        <v>0</v>
      </c>
      <c r="R242" s="1087">
        <v>0</v>
      </c>
      <c r="S242" s="1087"/>
      <c r="T242" s="1087"/>
      <c r="U242" s="1087"/>
      <c r="V242" s="1087"/>
      <c r="W242" s="1087"/>
      <c r="X242" s="1087"/>
      <c r="Y242" s="1087"/>
      <c r="Z242" s="1087"/>
      <c r="AA242" s="1088"/>
    </row>
    <row r="243" spans="2:27" ht="71.25" x14ac:dyDescent="0.2">
      <c r="B243" s="227" t="s">
        <v>1804</v>
      </c>
      <c r="C243" s="45" t="s">
        <v>1805</v>
      </c>
      <c r="D243" s="49" t="s">
        <v>1491</v>
      </c>
      <c r="E243" s="274" t="s">
        <v>1752</v>
      </c>
      <c r="F243" s="262">
        <v>3</v>
      </c>
      <c r="G243" s="352"/>
      <c r="H243" s="352"/>
      <c r="I243" s="352"/>
      <c r="J243" s="352"/>
      <c r="K243" s="352"/>
      <c r="L243" s="352"/>
      <c r="M243" s="1087">
        <v>0</v>
      </c>
      <c r="N243" s="1087">
        <v>0</v>
      </c>
      <c r="O243" s="1087">
        <v>0</v>
      </c>
      <c r="P243" s="1087">
        <v>0</v>
      </c>
      <c r="Q243" s="1087">
        <v>0</v>
      </c>
      <c r="R243" s="1087">
        <v>0</v>
      </c>
      <c r="S243" s="1087"/>
      <c r="T243" s="1087"/>
      <c r="U243" s="1087"/>
      <c r="V243" s="1087"/>
      <c r="W243" s="1087"/>
      <c r="X243" s="1087"/>
      <c r="Y243" s="1087"/>
      <c r="Z243" s="1087"/>
      <c r="AA243" s="1088"/>
    </row>
    <row r="244" spans="2:27" ht="71.25" x14ac:dyDescent="0.2">
      <c r="B244" s="227" t="s">
        <v>1806</v>
      </c>
      <c r="C244" s="45" t="s">
        <v>1800</v>
      </c>
      <c r="D244" s="49" t="s">
        <v>1491</v>
      </c>
      <c r="E244" s="274" t="s">
        <v>1752</v>
      </c>
      <c r="F244" s="262">
        <v>3</v>
      </c>
      <c r="G244" s="352"/>
      <c r="H244" s="352"/>
      <c r="I244" s="352"/>
      <c r="J244" s="352"/>
      <c r="K244" s="352"/>
      <c r="L244" s="352"/>
      <c r="M244" s="1087">
        <v>5.2427272703302975E-2</v>
      </c>
      <c r="N244" s="1087">
        <v>8.4252719093924525E-2</v>
      </c>
      <c r="O244" s="1087">
        <v>9.5565943622940089E-2</v>
      </c>
      <c r="P244" s="1087">
        <v>9.0892484944610163E-2</v>
      </c>
      <c r="Q244" s="1087">
        <v>8.5688624323795093E-2</v>
      </c>
      <c r="R244" s="1087">
        <v>0.441</v>
      </c>
      <c r="S244" s="1087"/>
      <c r="T244" s="1087"/>
      <c r="U244" s="1087"/>
      <c r="V244" s="1087"/>
      <c r="W244" s="1087"/>
      <c r="X244" s="1087"/>
      <c r="Y244" s="1087"/>
      <c r="Z244" s="1087"/>
      <c r="AA244" s="1088"/>
    </row>
    <row r="245" spans="2:27" ht="71.25" x14ac:dyDescent="0.2">
      <c r="B245" s="227" t="s">
        <v>1807</v>
      </c>
      <c r="C245" s="45" t="s">
        <v>1794</v>
      </c>
      <c r="D245" s="49" t="s">
        <v>1707</v>
      </c>
      <c r="E245" s="274" t="s">
        <v>1752</v>
      </c>
      <c r="F245" s="262">
        <v>3</v>
      </c>
      <c r="G245" s="279">
        <f t="shared" ref="G245:K245" si="111">SUM(G237,G241)</f>
        <v>0</v>
      </c>
      <c r="H245" s="279">
        <f t="shared" si="111"/>
        <v>0</v>
      </c>
      <c r="I245" s="279">
        <f t="shared" si="111"/>
        <v>0</v>
      </c>
      <c r="J245" s="279">
        <f t="shared" si="111"/>
        <v>0</v>
      </c>
      <c r="K245" s="279">
        <f t="shared" si="111"/>
        <v>0</v>
      </c>
      <c r="L245" s="279">
        <f t="shared" ref="L245" si="112">SUM(L237,L241)</f>
        <v>0</v>
      </c>
      <c r="M245" s="279">
        <f>SUM(M237,M241)</f>
        <v>7.3218625944528588</v>
      </c>
      <c r="N245" s="279">
        <f t="shared" ref="N245:R245" si="113">SUM(N237,N241)</f>
        <v>14.191715156363744</v>
      </c>
      <c r="O245" s="279">
        <f t="shared" si="113"/>
        <v>16.41502745863189</v>
      </c>
      <c r="P245" s="279">
        <f t="shared" si="113"/>
        <v>17.138525726782063</v>
      </c>
      <c r="Q245" s="279">
        <f t="shared" si="113"/>
        <v>14.726243235100627</v>
      </c>
      <c r="R245" s="279">
        <f t="shared" si="113"/>
        <v>55.311</v>
      </c>
      <c r="S245" s="279">
        <f t="shared" ref="S245:AA245" si="114">SUM(S237,S241)</f>
        <v>0</v>
      </c>
      <c r="T245" s="279">
        <f t="shared" si="114"/>
        <v>0</v>
      </c>
      <c r="U245" s="279">
        <f t="shared" si="114"/>
        <v>0</v>
      </c>
      <c r="V245" s="279">
        <f t="shared" si="114"/>
        <v>0</v>
      </c>
      <c r="W245" s="279">
        <f t="shared" si="114"/>
        <v>0</v>
      </c>
      <c r="X245" s="279">
        <f t="shared" si="114"/>
        <v>0</v>
      </c>
      <c r="Y245" s="279">
        <f t="shared" si="114"/>
        <v>0</v>
      </c>
      <c r="Z245" s="279">
        <f t="shared" si="114"/>
        <v>0</v>
      </c>
      <c r="AA245" s="279">
        <f t="shared" si="114"/>
        <v>0</v>
      </c>
    </row>
    <row r="246" spans="2:27" ht="57" x14ac:dyDescent="0.2">
      <c r="B246" s="227" t="s">
        <v>1808</v>
      </c>
      <c r="C246" s="45" t="s">
        <v>1809</v>
      </c>
      <c r="D246" s="49" t="s">
        <v>1496</v>
      </c>
      <c r="E246" s="274" t="s">
        <v>1752</v>
      </c>
      <c r="F246" s="262">
        <v>3</v>
      </c>
      <c r="G246" s="354"/>
      <c r="H246" s="355"/>
      <c r="I246" s="355"/>
      <c r="J246" s="355"/>
      <c r="K246" s="355"/>
      <c r="L246" s="355"/>
      <c r="M246" s="1087">
        <f>SUM(M247:M249)</f>
        <v>0.33187219200000007</v>
      </c>
      <c r="N246" s="1087">
        <f t="shared" ref="N246" si="115">SUM(N247:N249)</f>
        <v>0.32841519000000002</v>
      </c>
      <c r="O246" s="1087">
        <f t="shared" ref="O246" si="116">SUM(O247:O249)</f>
        <v>0.32841519000000002</v>
      </c>
      <c r="P246" s="1087">
        <f t="shared" ref="P246" si="117">SUM(P247:P249)</f>
        <v>0.32841519000000002</v>
      </c>
      <c r="Q246" s="1087">
        <f t="shared" ref="Q246" si="118">SUM(Q247:Q249)</f>
        <v>0.16420759500000001</v>
      </c>
      <c r="R246" s="1087">
        <f t="shared" ref="R246" si="119">SUM(R247:R249)</f>
        <v>0</v>
      </c>
      <c r="S246" s="281"/>
      <c r="T246" s="281"/>
      <c r="U246" s="281"/>
      <c r="V246" s="281"/>
      <c r="W246" s="281"/>
      <c r="X246" s="281"/>
      <c r="Y246" s="281"/>
      <c r="Z246" s="281"/>
      <c r="AA246" s="282"/>
    </row>
    <row r="247" spans="2:27" ht="57" x14ac:dyDescent="0.2">
      <c r="B247" s="227" t="s">
        <v>1810</v>
      </c>
      <c r="C247" s="45" t="s">
        <v>1811</v>
      </c>
      <c r="D247" s="49" t="s">
        <v>1496</v>
      </c>
      <c r="E247" s="274" t="s">
        <v>1752</v>
      </c>
      <c r="F247" s="262">
        <v>3</v>
      </c>
      <c r="G247" s="352"/>
      <c r="H247" s="352"/>
      <c r="I247" s="352"/>
      <c r="J247" s="352"/>
      <c r="K247" s="352"/>
      <c r="L247" s="352"/>
      <c r="M247" s="1087">
        <v>0</v>
      </c>
      <c r="N247" s="1087">
        <v>0</v>
      </c>
      <c r="O247" s="1087">
        <v>0</v>
      </c>
      <c r="P247" s="1087">
        <v>0</v>
      </c>
      <c r="Q247" s="1087">
        <v>0</v>
      </c>
      <c r="R247" s="1087">
        <v>0</v>
      </c>
      <c r="S247" s="1087"/>
      <c r="T247" s="1087"/>
      <c r="U247" s="1087"/>
      <c r="V247" s="1087"/>
      <c r="W247" s="1087"/>
      <c r="X247" s="1087"/>
      <c r="Y247" s="1087"/>
      <c r="Z247" s="1087"/>
      <c r="AA247" s="1088"/>
    </row>
    <row r="248" spans="2:27" ht="57" x14ac:dyDescent="0.2">
      <c r="B248" s="227" t="s">
        <v>1812</v>
      </c>
      <c r="C248" s="45" t="s">
        <v>1813</v>
      </c>
      <c r="D248" s="49" t="s">
        <v>1496</v>
      </c>
      <c r="E248" s="274" t="s">
        <v>1752</v>
      </c>
      <c r="F248" s="262">
        <v>3</v>
      </c>
      <c r="G248" s="352"/>
      <c r="H248" s="352"/>
      <c r="I248" s="352"/>
      <c r="J248" s="352"/>
      <c r="K248" s="352"/>
      <c r="L248" s="352"/>
      <c r="M248" s="1087">
        <v>0</v>
      </c>
      <c r="N248" s="1087">
        <v>0</v>
      </c>
      <c r="O248" s="1087">
        <v>0</v>
      </c>
      <c r="P248" s="1087">
        <v>0</v>
      </c>
      <c r="Q248" s="1087">
        <v>0</v>
      </c>
      <c r="R248" s="1087">
        <v>0</v>
      </c>
      <c r="S248" s="1087"/>
      <c r="T248" s="1087"/>
      <c r="U248" s="1087"/>
      <c r="V248" s="1087"/>
      <c r="W248" s="1087"/>
      <c r="X248" s="1087"/>
      <c r="Y248" s="1087"/>
      <c r="Z248" s="1087"/>
      <c r="AA248" s="1088"/>
    </row>
    <row r="249" spans="2:27" ht="57" x14ac:dyDescent="0.2">
      <c r="B249" s="227" t="s">
        <v>1814</v>
      </c>
      <c r="C249" s="45" t="s">
        <v>1815</v>
      </c>
      <c r="D249" s="49" t="s">
        <v>1496</v>
      </c>
      <c r="E249" s="274" t="s">
        <v>1752</v>
      </c>
      <c r="F249" s="262">
        <v>3</v>
      </c>
      <c r="G249" s="352"/>
      <c r="H249" s="352"/>
      <c r="I249" s="352"/>
      <c r="J249" s="352"/>
      <c r="K249" s="352"/>
      <c r="L249" s="352"/>
      <c r="M249" s="1087">
        <v>0.33187219200000007</v>
      </c>
      <c r="N249" s="1087">
        <v>0.32841519000000002</v>
      </c>
      <c r="O249" s="1087">
        <v>0.32841519000000002</v>
      </c>
      <c r="P249" s="1087">
        <v>0.32841519000000002</v>
      </c>
      <c r="Q249" s="1087">
        <v>0.16420759500000001</v>
      </c>
      <c r="R249" s="1087">
        <v>0</v>
      </c>
      <c r="S249" s="1087"/>
      <c r="T249" s="1087"/>
      <c r="U249" s="1087"/>
      <c r="V249" s="1087"/>
      <c r="W249" s="1087"/>
      <c r="X249" s="1087"/>
      <c r="Y249" s="1087"/>
      <c r="Z249" s="1087"/>
      <c r="AA249" s="1088"/>
    </row>
    <row r="250" spans="2:27" ht="57" x14ac:dyDescent="0.2">
      <c r="B250" s="227" t="s">
        <v>1816</v>
      </c>
      <c r="C250" s="45" t="s">
        <v>1809</v>
      </c>
      <c r="D250" s="49" t="s">
        <v>1491</v>
      </c>
      <c r="E250" s="274" t="s">
        <v>1752</v>
      </c>
      <c r="F250" s="262">
        <v>3</v>
      </c>
      <c r="G250" s="354"/>
      <c r="H250" s="355"/>
      <c r="I250" s="355"/>
      <c r="J250" s="355"/>
      <c r="K250" s="355"/>
      <c r="L250" s="355"/>
      <c r="M250" s="1087">
        <f>SUM(M251:M253)</f>
        <v>0</v>
      </c>
      <c r="N250" s="1087">
        <f t="shared" ref="N250" si="120">SUM(N251:N253)</f>
        <v>0</v>
      </c>
      <c r="O250" s="1087">
        <f t="shared" ref="O250" si="121">SUM(O251:O253)</f>
        <v>0</v>
      </c>
      <c r="P250" s="1087">
        <f t="shared" ref="P250" si="122">SUM(P251:P253)</f>
        <v>0</v>
      </c>
      <c r="Q250" s="1087">
        <f t="shared" ref="Q250" si="123">SUM(Q251:Q253)</f>
        <v>0</v>
      </c>
      <c r="R250" s="1087">
        <f t="shared" ref="R250" si="124">SUM(R251:R253)</f>
        <v>0</v>
      </c>
      <c r="S250" s="281"/>
      <c r="T250" s="281"/>
      <c r="U250" s="281"/>
      <c r="V250" s="281"/>
      <c r="W250" s="281"/>
      <c r="X250" s="281"/>
      <c r="Y250" s="281"/>
      <c r="Z250" s="281"/>
      <c r="AA250" s="282"/>
    </row>
    <row r="251" spans="2:27" ht="57" x14ac:dyDescent="0.2">
      <c r="B251" s="227" t="s">
        <v>1817</v>
      </c>
      <c r="C251" s="45" t="s">
        <v>1811</v>
      </c>
      <c r="D251" s="49" t="s">
        <v>1491</v>
      </c>
      <c r="E251" s="274" t="s">
        <v>1752</v>
      </c>
      <c r="F251" s="262">
        <v>3</v>
      </c>
      <c r="G251" s="352"/>
      <c r="H251" s="352"/>
      <c r="I251" s="352"/>
      <c r="J251" s="352"/>
      <c r="K251" s="352"/>
      <c r="L251" s="352"/>
      <c r="M251" s="1087">
        <v>0</v>
      </c>
      <c r="N251" s="1087">
        <v>0</v>
      </c>
      <c r="O251" s="1087">
        <v>0</v>
      </c>
      <c r="P251" s="1087">
        <v>0</v>
      </c>
      <c r="Q251" s="1087">
        <v>0</v>
      </c>
      <c r="R251" s="1087">
        <v>0</v>
      </c>
      <c r="S251" s="1087"/>
      <c r="T251" s="1087"/>
      <c r="U251" s="1087"/>
      <c r="V251" s="1087"/>
      <c r="W251" s="1087"/>
      <c r="X251" s="1087"/>
      <c r="Y251" s="1087"/>
      <c r="Z251" s="1087"/>
      <c r="AA251" s="1088"/>
    </row>
    <row r="252" spans="2:27" ht="57" x14ac:dyDescent="0.2">
      <c r="B252" s="227" t="s">
        <v>1818</v>
      </c>
      <c r="C252" s="45" t="s">
        <v>1813</v>
      </c>
      <c r="D252" s="49" t="s">
        <v>1491</v>
      </c>
      <c r="E252" s="274" t="s">
        <v>1752</v>
      </c>
      <c r="F252" s="262">
        <v>3</v>
      </c>
      <c r="G252" s="352"/>
      <c r="H252" s="352"/>
      <c r="I252" s="352"/>
      <c r="J252" s="352"/>
      <c r="K252" s="352"/>
      <c r="L252" s="352"/>
      <c r="M252" s="1087">
        <v>0</v>
      </c>
      <c r="N252" s="1087">
        <v>0</v>
      </c>
      <c r="O252" s="1087">
        <v>0</v>
      </c>
      <c r="P252" s="1087">
        <v>0</v>
      </c>
      <c r="Q252" s="1087">
        <v>0</v>
      </c>
      <c r="R252" s="1087">
        <v>0</v>
      </c>
      <c r="S252" s="1087"/>
      <c r="T252" s="1087"/>
      <c r="U252" s="1087"/>
      <c r="V252" s="1087"/>
      <c r="W252" s="1087"/>
      <c r="X252" s="1087"/>
      <c r="Y252" s="1087"/>
      <c r="Z252" s="1087"/>
      <c r="AA252" s="1088"/>
    </row>
    <row r="253" spans="2:27" ht="57" x14ac:dyDescent="0.2">
      <c r="B253" s="227" t="s">
        <v>1819</v>
      </c>
      <c r="C253" s="45" t="s">
        <v>1815</v>
      </c>
      <c r="D253" s="49" t="s">
        <v>1491</v>
      </c>
      <c r="E253" s="274" t="s">
        <v>1752</v>
      </c>
      <c r="F253" s="262">
        <v>3</v>
      </c>
      <c r="G253" s="352"/>
      <c r="H253" s="352"/>
      <c r="I253" s="352"/>
      <c r="J253" s="352"/>
      <c r="K253" s="352"/>
      <c r="L253" s="352"/>
      <c r="M253" s="1087">
        <v>0</v>
      </c>
      <c r="N253" s="1087">
        <v>0</v>
      </c>
      <c r="O253" s="1087">
        <v>0</v>
      </c>
      <c r="P253" s="1087">
        <v>0</v>
      </c>
      <c r="Q253" s="1087">
        <v>0</v>
      </c>
      <c r="R253" s="1087">
        <v>0</v>
      </c>
      <c r="S253" s="1087"/>
      <c r="T253" s="1087"/>
      <c r="U253" s="1087"/>
      <c r="V253" s="1087"/>
      <c r="W253" s="1087"/>
      <c r="X253" s="1087"/>
      <c r="Y253" s="1087"/>
      <c r="Z253" s="1087"/>
      <c r="AA253" s="1088"/>
    </row>
    <row r="254" spans="2:27" ht="57" x14ac:dyDescent="0.2">
      <c r="B254" s="227" t="s">
        <v>1820</v>
      </c>
      <c r="C254" s="45" t="s">
        <v>1811</v>
      </c>
      <c r="D254" s="49" t="s">
        <v>1707</v>
      </c>
      <c r="E254" s="274" t="s">
        <v>1752</v>
      </c>
      <c r="F254" s="262">
        <v>3</v>
      </c>
      <c r="G254" s="279">
        <f t="shared" ref="G254:AA254" si="125">SUM(G246,G250)</f>
        <v>0</v>
      </c>
      <c r="H254" s="279">
        <f t="shared" si="125"/>
        <v>0</v>
      </c>
      <c r="I254" s="279">
        <f t="shared" si="125"/>
        <v>0</v>
      </c>
      <c r="J254" s="279">
        <f t="shared" si="125"/>
        <v>0</v>
      </c>
      <c r="K254" s="279">
        <f t="shared" si="125"/>
        <v>0</v>
      </c>
      <c r="L254" s="279">
        <f t="shared" si="125"/>
        <v>0</v>
      </c>
      <c r="M254" s="279">
        <f t="shared" si="125"/>
        <v>0.33187219200000007</v>
      </c>
      <c r="N254" s="279">
        <f t="shared" si="125"/>
        <v>0.32841519000000002</v>
      </c>
      <c r="O254" s="279">
        <f t="shared" si="125"/>
        <v>0.32841519000000002</v>
      </c>
      <c r="P254" s="279">
        <f t="shared" si="125"/>
        <v>0.32841519000000002</v>
      </c>
      <c r="Q254" s="279">
        <f t="shared" si="125"/>
        <v>0.16420759500000001</v>
      </c>
      <c r="R254" s="279">
        <f t="shared" si="125"/>
        <v>0</v>
      </c>
      <c r="S254" s="279">
        <f t="shared" si="125"/>
        <v>0</v>
      </c>
      <c r="T254" s="279">
        <f t="shared" si="125"/>
        <v>0</v>
      </c>
      <c r="U254" s="279">
        <f t="shared" si="125"/>
        <v>0</v>
      </c>
      <c r="V254" s="279">
        <f t="shared" si="125"/>
        <v>0</v>
      </c>
      <c r="W254" s="279">
        <f t="shared" si="125"/>
        <v>0</v>
      </c>
      <c r="X254" s="279">
        <f t="shared" si="125"/>
        <v>0</v>
      </c>
      <c r="Y254" s="279">
        <f t="shared" si="125"/>
        <v>0</v>
      </c>
      <c r="Z254" s="279">
        <f t="shared" si="125"/>
        <v>0</v>
      </c>
      <c r="AA254" s="279">
        <f t="shared" si="125"/>
        <v>0</v>
      </c>
    </row>
    <row r="255" spans="2:27" ht="57" x14ac:dyDescent="0.2">
      <c r="B255" s="227" t="s">
        <v>1821</v>
      </c>
      <c r="C255" s="45" t="s">
        <v>1822</v>
      </c>
      <c r="D255" s="49" t="s">
        <v>1496</v>
      </c>
      <c r="E255" s="274" t="s">
        <v>1752</v>
      </c>
      <c r="F255" s="262">
        <v>3</v>
      </c>
      <c r="G255" s="352"/>
      <c r="H255" s="352"/>
      <c r="I255" s="352"/>
      <c r="J255" s="352"/>
      <c r="K255" s="352"/>
      <c r="L255" s="352"/>
      <c r="M255" s="1087">
        <v>0</v>
      </c>
      <c r="N255" s="1087">
        <v>0</v>
      </c>
      <c r="O255" s="1087">
        <v>0</v>
      </c>
      <c r="P255" s="1087">
        <v>0</v>
      </c>
      <c r="Q255" s="1087">
        <v>0</v>
      </c>
      <c r="R255" s="1087">
        <v>0</v>
      </c>
      <c r="S255" s="1087"/>
      <c r="T255" s="1087"/>
      <c r="U255" s="1087"/>
      <c r="V255" s="1087"/>
      <c r="W255" s="1087"/>
      <c r="X255" s="1087"/>
      <c r="Y255" s="1087"/>
      <c r="Z255" s="1087"/>
      <c r="AA255" s="1088"/>
    </row>
    <row r="256" spans="2:27" ht="57" x14ac:dyDescent="0.2">
      <c r="B256" s="227" t="s">
        <v>1823</v>
      </c>
      <c r="C256" s="45" t="s">
        <v>1824</v>
      </c>
      <c r="D256" s="49" t="s">
        <v>1496</v>
      </c>
      <c r="E256" s="274" t="s">
        <v>1752</v>
      </c>
      <c r="F256" s="262">
        <v>3</v>
      </c>
      <c r="G256" s="352"/>
      <c r="H256" s="352"/>
      <c r="I256" s="352"/>
      <c r="J256" s="352"/>
      <c r="K256" s="352"/>
      <c r="L256" s="352"/>
      <c r="M256" s="1329">
        <v>1.9191510553654116</v>
      </c>
      <c r="N256" s="1329">
        <v>1.890406502820039</v>
      </c>
      <c r="O256" s="1329">
        <v>1.8176500495700414</v>
      </c>
      <c r="P256" s="1329">
        <v>1.9356433484401687</v>
      </c>
      <c r="Q256" s="1329">
        <v>1.8647193779164839</v>
      </c>
      <c r="R256" s="1087">
        <v>8.3140000000000001</v>
      </c>
      <c r="S256" s="1087"/>
      <c r="T256" s="1087"/>
      <c r="U256" s="1087"/>
      <c r="V256" s="1087"/>
      <c r="W256" s="1087"/>
      <c r="X256" s="1087"/>
      <c r="Y256" s="1087"/>
      <c r="Z256" s="1087"/>
      <c r="AA256" s="1088"/>
    </row>
    <row r="257" spans="2:27" ht="57" x14ac:dyDescent="0.2">
      <c r="B257" s="227" t="s">
        <v>1825</v>
      </c>
      <c r="C257" s="45" t="s">
        <v>1826</v>
      </c>
      <c r="D257" s="49" t="s">
        <v>1496</v>
      </c>
      <c r="E257" s="274" t="s">
        <v>1752</v>
      </c>
      <c r="F257" s="262">
        <v>3</v>
      </c>
      <c r="G257" s="352"/>
      <c r="H257" s="352"/>
      <c r="I257" s="352"/>
      <c r="J257" s="352"/>
      <c r="K257" s="352"/>
      <c r="L257" s="352"/>
      <c r="M257" s="1329">
        <v>0.22160167078760196</v>
      </c>
      <c r="N257" s="1329">
        <v>0.21714986601904007</v>
      </c>
      <c r="O257" s="1329">
        <v>0.2119461922359501</v>
      </c>
      <c r="P257" s="1329">
        <v>0.2241360665235651</v>
      </c>
      <c r="Q257" s="1329">
        <v>0.21645771453049747</v>
      </c>
      <c r="R257" s="1087">
        <v>0.9890000000000001</v>
      </c>
      <c r="S257" s="1087"/>
      <c r="T257" s="1087"/>
      <c r="U257" s="1087"/>
      <c r="V257" s="1087"/>
      <c r="W257" s="1087"/>
      <c r="X257" s="1087"/>
      <c r="Y257" s="1087"/>
      <c r="Z257" s="1087"/>
      <c r="AA257" s="1088"/>
    </row>
    <row r="258" spans="2:27" ht="28.5" x14ac:dyDescent="0.2">
      <c r="B258" s="227" t="s">
        <v>1827</v>
      </c>
      <c r="C258" s="45" t="s">
        <v>1828</v>
      </c>
      <c r="D258" s="49" t="s">
        <v>1496</v>
      </c>
      <c r="E258" s="274" t="s">
        <v>1752</v>
      </c>
      <c r="F258" s="262">
        <v>3</v>
      </c>
      <c r="G258" s="352"/>
      <c r="H258" s="352"/>
      <c r="I258" s="352"/>
      <c r="J258" s="352"/>
      <c r="K258" s="352"/>
      <c r="L258" s="352"/>
      <c r="M258" s="1087">
        <v>0.25</v>
      </c>
      <c r="N258" s="1087">
        <v>0</v>
      </c>
      <c r="O258" s="1087">
        <v>0</v>
      </c>
      <c r="P258" s="1087">
        <v>0</v>
      </c>
      <c r="Q258" s="1087">
        <v>0</v>
      </c>
      <c r="R258" s="1087">
        <v>0</v>
      </c>
      <c r="S258" s="1087"/>
      <c r="T258" s="1087"/>
      <c r="U258" s="1087"/>
      <c r="V258" s="1087"/>
      <c r="W258" s="1087"/>
      <c r="X258" s="1087"/>
      <c r="Y258" s="1087"/>
      <c r="Z258" s="1087"/>
      <c r="AA258" s="1088"/>
    </row>
    <row r="259" spans="2:27" ht="57" x14ac:dyDescent="0.2">
      <c r="B259" s="227" t="s">
        <v>1829</v>
      </c>
      <c r="C259" s="45" t="s">
        <v>1822</v>
      </c>
      <c r="D259" s="49" t="s">
        <v>1491</v>
      </c>
      <c r="E259" s="274" t="s">
        <v>1752</v>
      </c>
      <c r="F259" s="262">
        <v>3</v>
      </c>
      <c r="G259" s="352"/>
      <c r="H259" s="352"/>
      <c r="I259" s="352"/>
      <c r="J259" s="352"/>
      <c r="K259" s="352"/>
      <c r="L259" s="352"/>
      <c r="M259" s="1087">
        <v>0</v>
      </c>
      <c r="N259" s="1087">
        <v>0</v>
      </c>
      <c r="O259" s="1087">
        <v>0</v>
      </c>
      <c r="P259" s="1087">
        <v>0</v>
      </c>
      <c r="Q259" s="1087">
        <v>0</v>
      </c>
      <c r="R259" s="1087">
        <v>0</v>
      </c>
      <c r="S259" s="1087"/>
      <c r="T259" s="1087"/>
      <c r="U259" s="1087"/>
      <c r="V259" s="1087"/>
      <c r="W259" s="1087"/>
      <c r="X259" s="1087"/>
      <c r="Y259" s="1087"/>
      <c r="Z259" s="1087"/>
      <c r="AA259" s="1088"/>
    </row>
    <row r="260" spans="2:27" ht="57" x14ac:dyDescent="0.2">
      <c r="B260" s="227" t="s">
        <v>1830</v>
      </c>
      <c r="C260" s="45" t="s">
        <v>1824</v>
      </c>
      <c r="D260" s="49" t="s">
        <v>1491</v>
      </c>
      <c r="E260" s="274" t="s">
        <v>1752</v>
      </c>
      <c r="F260" s="262">
        <v>3</v>
      </c>
      <c r="G260" s="352"/>
      <c r="H260" s="352"/>
      <c r="I260" s="352"/>
      <c r="J260" s="352"/>
      <c r="K260" s="352"/>
      <c r="L260" s="352"/>
      <c r="M260" s="1087">
        <v>0.2354966128554622</v>
      </c>
      <c r="N260" s="1087">
        <v>0.20750891292830184</v>
      </c>
      <c r="O260" s="1087">
        <v>0.19743135772379392</v>
      </c>
      <c r="P260" s="1087">
        <v>0.20167231900312849</v>
      </c>
      <c r="Q260" s="1087">
        <v>0.20616847632016219</v>
      </c>
      <c r="R260" s="1087">
        <v>1.024</v>
      </c>
      <c r="S260" s="1087"/>
      <c r="T260" s="1087"/>
      <c r="U260" s="1087"/>
      <c r="V260" s="1087"/>
      <c r="W260" s="1087"/>
      <c r="X260" s="1087"/>
      <c r="Y260" s="1087"/>
      <c r="Z260" s="1087"/>
      <c r="AA260" s="1088"/>
    </row>
    <row r="261" spans="2:27" ht="57" x14ac:dyDescent="0.2">
      <c r="B261" s="227" t="s">
        <v>1831</v>
      </c>
      <c r="C261" s="45" t="s">
        <v>1826</v>
      </c>
      <c r="D261" s="49" t="s">
        <v>1491</v>
      </c>
      <c r="E261" s="274" t="s">
        <v>1752</v>
      </c>
      <c r="F261" s="262">
        <v>3</v>
      </c>
      <c r="G261" s="352"/>
      <c r="H261" s="352"/>
      <c r="I261" s="352"/>
      <c r="J261" s="352"/>
      <c r="K261" s="352"/>
      <c r="L261" s="352"/>
      <c r="M261" s="1087">
        <v>2.8661113286391083E-2</v>
      </c>
      <c r="N261" s="1087">
        <v>2.5254870502210602E-2</v>
      </c>
      <c r="O261" s="1087">
        <v>2.4028381730826293E-2</v>
      </c>
      <c r="P261" s="1087">
        <v>2.4544527887649402E-2</v>
      </c>
      <c r="Q261" s="1087">
        <v>2.5091732676093773E-2</v>
      </c>
      <c r="R261" s="1087">
        <v>0.125</v>
      </c>
      <c r="S261" s="1087"/>
      <c r="T261" s="1087"/>
      <c r="U261" s="1087"/>
      <c r="V261" s="1087"/>
      <c r="W261" s="1087"/>
      <c r="X261" s="1087"/>
      <c r="Y261" s="1087"/>
      <c r="Z261" s="1087"/>
      <c r="AA261" s="1088"/>
    </row>
    <row r="262" spans="2:27" ht="28.5" x14ac:dyDescent="0.2">
      <c r="B262" s="227" t="s">
        <v>1832</v>
      </c>
      <c r="C262" s="45" t="s">
        <v>1828</v>
      </c>
      <c r="D262" s="49" t="s">
        <v>1491</v>
      </c>
      <c r="E262" s="274" t="s">
        <v>1752</v>
      </c>
      <c r="F262" s="262">
        <v>3</v>
      </c>
      <c r="G262" s="352"/>
      <c r="H262" s="352"/>
      <c r="I262" s="352"/>
      <c r="J262" s="352"/>
      <c r="K262" s="352"/>
      <c r="L262" s="352"/>
      <c r="M262" s="1329">
        <v>0.2</v>
      </c>
      <c r="N262" s="1329">
        <v>0.45</v>
      </c>
      <c r="O262" s="1329">
        <v>0.7</v>
      </c>
      <c r="P262" s="1329">
        <v>0.96</v>
      </c>
      <c r="Q262" s="1329">
        <v>1.2</v>
      </c>
      <c r="R262" s="1087">
        <v>2.82</v>
      </c>
      <c r="S262" s="1087"/>
      <c r="T262" s="1087"/>
      <c r="U262" s="1087"/>
      <c r="V262" s="1087"/>
      <c r="W262" s="1087"/>
      <c r="X262" s="1087"/>
      <c r="Y262" s="1087"/>
      <c r="Z262" s="1087"/>
      <c r="AA262" s="1088"/>
    </row>
    <row r="263" spans="2:27" ht="57" x14ac:dyDescent="0.2">
      <c r="B263" s="227" t="s">
        <v>1833</v>
      </c>
      <c r="C263" s="45" t="s">
        <v>1822</v>
      </c>
      <c r="D263" s="49" t="s">
        <v>1707</v>
      </c>
      <c r="E263" s="274" t="s">
        <v>1752</v>
      </c>
      <c r="F263" s="262">
        <v>3</v>
      </c>
      <c r="G263" s="279">
        <f>SUM(G255,G259)</f>
        <v>0</v>
      </c>
      <c r="H263" s="279">
        <f t="shared" ref="H263:AA263" si="126">SUM(H255,H259)</f>
        <v>0</v>
      </c>
      <c r="I263" s="279">
        <f t="shared" si="126"/>
        <v>0</v>
      </c>
      <c r="J263" s="279">
        <f t="shared" si="126"/>
        <v>0</v>
      </c>
      <c r="K263" s="279">
        <f t="shared" si="126"/>
        <v>0</v>
      </c>
      <c r="L263" s="279">
        <f t="shared" si="126"/>
        <v>0</v>
      </c>
      <c r="M263" s="279">
        <f t="shared" si="126"/>
        <v>0</v>
      </c>
      <c r="N263" s="279">
        <f t="shared" si="126"/>
        <v>0</v>
      </c>
      <c r="O263" s="279">
        <f t="shared" si="126"/>
        <v>0</v>
      </c>
      <c r="P263" s="279">
        <f t="shared" si="126"/>
        <v>0</v>
      </c>
      <c r="Q263" s="279">
        <f t="shared" si="126"/>
        <v>0</v>
      </c>
      <c r="R263" s="279">
        <f t="shared" si="126"/>
        <v>0</v>
      </c>
      <c r="S263" s="279">
        <f t="shared" si="126"/>
        <v>0</v>
      </c>
      <c r="T263" s="279">
        <f t="shared" si="126"/>
        <v>0</v>
      </c>
      <c r="U263" s="279">
        <f t="shared" si="126"/>
        <v>0</v>
      </c>
      <c r="V263" s="279">
        <f t="shared" si="126"/>
        <v>0</v>
      </c>
      <c r="W263" s="279">
        <f t="shared" si="126"/>
        <v>0</v>
      </c>
      <c r="X263" s="279">
        <f t="shared" si="126"/>
        <v>0</v>
      </c>
      <c r="Y263" s="279">
        <f t="shared" si="126"/>
        <v>0</v>
      </c>
      <c r="Z263" s="279">
        <f t="shared" si="126"/>
        <v>0</v>
      </c>
      <c r="AA263" s="279">
        <f t="shared" si="126"/>
        <v>0</v>
      </c>
    </row>
    <row r="264" spans="2:27" ht="57" x14ac:dyDescent="0.2">
      <c r="B264" s="227" t="s">
        <v>1834</v>
      </c>
      <c r="C264" s="45" t="s">
        <v>1824</v>
      </c>
      <c r="D264" s="49" t="s">
        <v>1707</v>
      </c>
      <c r="E264" s="274" t="s">
        <v>1752</v>
      </c>
      <c r="F264" s="262">
        <v>3</v>
      </c>
      <c r="G264" s="279">
        <f t="shared" ref="G264" si="127">SUM(G256,G260)</f>
        <v>0</v>
      </c>
      <c r="H264" s="279">
        <f t="shared" ref="H264:AA264" si="128">SUM(H256,H260)</f>
        <v>0</v>
      </c>
      <c r="I264" s="279">
        <f t="shared" si="128"/>
        <v>0</v>
      </c>
      <c r="J264" s="279">
        <f t="shared" si="128"/>
        <v>0</v>
      </c>
      <c r="K264" s="279">
        <f t="shared" si="128"/>
        <v>0</v>
      </c>
      <c r="L264" s="279">
        <f t="shared" si="128"/>
        <v>0</v>
      </c>
      <c r="M264" s="279">
        <f t="shared" si="128"/>
        <v>2.1546476682208739</v>
      </c>
      <c r="N264" s="279">
        <f t="shared" si="128"/>
        <v>2.0979154157483406</v>
      </c>
      <c r="O264" s="279">
        <f t="shared" si="128"/>
        <v>2.0150814072938354</v>
      </c>
      <c r="P264" s="279">
        <f t="shared" si="128"/>
        <v>2.1373156674432972</v>
      </c>
      <c r="Q264" s="279">
        <f t="shared" si="128"/>
        <v>2.0708878542366462</v>
      </c>
      <c r="R264" s="279">
        <f t="shared" si="128"/>
        <v>9.338000000000001</v>
      </c>
      <c r="S264" s="279">
        <f t="shared" si="128"/>
        <v>0</v>
      </c>
      <c r="T264" s="279">
        <f t="shared" si="128"/>
        <v>0</v>
      </c>
      <c r="U264" s="279">
        <f t="shared" si="128"/>
        <v>0</v>
      </c>
      <c r="V264" s="279">
        <f t="shared" si="128"/>
        <v>0</v>
      </c>
      <c r="W264" s="279">
        <f t="shared" si="128"/>
        <v>0</v>
      </c>
      <c r="X264" s="279">
        <f t="shared" si="128"/>
        <v>0</v>
      </c>
      <c r="Y264" s="279">
        <f t="shared" si="128"/>
        <v>0</v>
      </c>
      <c r="Z264" s="279">
        <f t="shared" si="128"/>
        <v>0</v>
      </c>
      <c r="AA264" s="279">
        <f t="shared" si="128"/>
        <v>0</v>
      </c>
    </row>
    <row r="265" spans="2:27" ht="57" x14ac:dyDescent="0.2">
      <c r="B265" s="227" t="s">
        <v>1835</v>
      </c>
      <c r="C265" s="45" t="s">
        <v>1826</v>
      </c>
      <c r="D265" s="49" t="s">
        <v>1707</v>
      </c>
      <c r="E265" s="274" t="s">
        <v>1752</v>
      </c>
      <c r="F265" s="262">
        <v>3</v>
      </c>
      <c r="G265" s="279">
        <f t="shared" ref="G265" si="129">SUM(G257,G261)</f>
        <v>0</v>
      </c>
      <c r="H265" s="279">
        <f t="shared" ref="H265:AA265" si="130">SUM(H257,H261)</f>
        <v>0</v>
      </c>
      <c r="I265" s="279">
        <f t="shared" si="130"/>
        <v>0</v>
      </c>
      <c r="J265" s="279">
        <f t="shared" si="130"/>
        <v>0</v>
      </c>
      <c r="K265" s="279">
        <f t="shared" si="130"/>
        <v>0</v>
      </c>
      <c r="L265" s="279">
        <f t="shared" si="130"/>
        <v>0</v>
      </c>
      <c r="M265" s="279">
        <f t="shared" si="130"/>
        <v>0.25026278407399305</v>
      </c>
      <c r="N265" s="279">
        <f t="shared" si="130"/>
        <v>0.24240473652125066</v>
      </c>
      <c r="O265" s="279">
        <f t="shared" si="130"/>
        <v>0.2359745739667764</v>
      </c>
      <c r="P265" s="279">
        <f t="shared" si="130"/>
        <v>0.24868059441121451</v>
      </c>
      <c r="Q265" s="279">
        <f t="shared" si="130"/>
        <v>0.24154944720659124</v>
      </c>
      <c r="R265" s="279">
        <f t="shared" si="130"/>
        <v>1.1140000000000001</v>
      </c>
      <c r="S265" s="279">
        <f t="shared" si="130"/>
        <v>0</v>
      </c>
      <c r="T265" s="279">
        <f t="shared" si="130"/>
        <v>0</v>
      </c>
      <c r="U265" s="279">
        <f t="shared" si="130"/>
        <v>0</v>
      </c>
      <c r="V265" s="279">
        <f t="shared" si="130"/>
        <v>0</v>
      </c>
      <c r="W265" s="279">
        <f t="shared" si="130"/>
        <v>0</v>
      </c>
      <c r="X265" s="279">
        <f t="shared" si="130"/>
        <v>0</v>
      </c>
      <c r="Y265" s="279">
        <f t="shared" si="130"/>
        <v>0</v>
      </c>
      <c r="Z265" s="279">
        <f t="shared" si="130"/>
        <v>0</v>
      </c>
      <c r="AA265" s="279">
        <f t="shared" si="130"/>
        <v>0</v>
      </c>
    </row>
    <row r="266" spans="2:27" ht="28.5" x14ac:dyDescent="0.2">
      <c r="B266" s="227" t="s">
        <v>1836</v>
      </c>
      <c r="C266" s="45" t="s">
        <v>1828</v>
      </c>
      <c r="D266" s="49" t="s">
        <v>1707</v>
      </c>
      <c r="E266" s="274" t="s">
        <v>1752</v>
      </c>
      <c r="F266" s="262">
        <v>3</v>
      </c>
      <c r="G266" s="279">
        <f t="shared" ref="G266" si="131">SUM(G258,G262)</f>
        <v>0</v>
      </c>
      <c r="H266" s="279">
        <f t="shared" ref="H266:AA266" si="132">SUM(H258,H262)</f>
        <v>0</v>
      </c>
      <c r="I266" s="279">
        <f t="shared" si="132"/>
        <v>0</v>
      </c>
      <c r="J266" s="279">
        <f t="shared" si="132"/>
        <v>0</v>
      </c>
      <c r="K266" s="279">
        <f t="shared" si="132"/>
        <v>0</v>
      </c>
      <c r="L266" s="279">
        <f t="shared" si="132"/>
        <v>0</v>
      </c>
      <c r="M266" s="279">
        <f t="shared" si="132"/>
        <v>0.45</v>
      </c>
      <c r="N266" s="279">
        <f t="shared" si="132"/>
        <v>0.45</v>
      </c>
      <c r="O266" s="279">
        <f t="shared" si="132"/>
        <v>0.7</v>
      </c>
      <c r="P266" s="279">
        <f t="shared" si="132"/>
        <v>0.96</v>
      </c>
      <c r="Q266" s="279">
        <f t="shared" si="132"/>
        <v>1.2</v>
      </c>
      <c r="R266" s="279">
        <f t="shared" si="132"/>
        <v>2.82</v>
      </c>
      <c r="S266" s="279">
        <f t="shared" si="132"/>
        <v>0</v>
      </c>
      <c r="T266" s="279">
        <f t="shared" si="132"/>
        <v>0</v>
      </c>
      <c r="U266" s="279">
        <f t="shared" si="132"/>
        <v>0</v>
      </c>
      <c r="V266" s="279">
        <f t="shared" si="132"/>
        <v>0</v>
      </c>
      <c r="W266" s="279">
        <f t="shared" si="132"/>
        <v>0</v>
      </c>
      <c r="X266" s="279">
        <f t="shared" si="132"/>
        <v>0</v>
      </c>
      <c r="Y266" s="279">
        <f t="shared" si="132"/>
        <v>0</v>
      </c>
      <c r="Z266" s="279">
        <f t="shared" si="132"/>
        <v>0</v>
      </c>
      <c r="AA266" s="279">
        <f t="shared" si="132"/>
        <v>0</v>
      </c>
    </row>
    <row r="267" spans="2:27" ht="28.5" x14ac:dyDescent="0.2">
      <c r="B267" s="227" t="s">
        <v>1837</v>
      </c>
      <c r="C267" s="45" t="s">
        <v>1838</v>
      </c>
      <c r="D267" s="49" t="s">
        <v>1707</v>
      </c>
      <c r="E267" s="274" t="s">
        <v>1752</v>
      </c>
      <c r="F267" s="262">
        <v>3</v>
      </c>
      <c r="G267" s="277">
        <f>SUM(G254,G245,G236,G263,G264,G266)</f>
        <v>0</v>
      </c>
      <c r="H267" s="277">
        <f t="shared" ref="H267:AA267" si="133">SUM(H254,H245,H236,H263,H264,H266)</f>
        <v>0</v>
      </c>
      <c r="I267" s="277">
        <f t="shared" si="133"/>
        <v>0</v>
      </c>
      <c r="J267" s="277">
        <f t="shared" si="133"/>
        <v>0</v>
      </c>
      <c r="K267" s="277">
        <f t="shared" si="133"/>
        <v>0</v>
      </c>
      <c r="L267" s="277">
        <f t="shared" si="133"/>
        <v>0</v>
      </c>
      <c r="M267" s="277">
        <f t="shared" si="133"/>
        <v>10.454055896543133</v>
      </c>
      <c r="N267" s="277">
        <f t="shared" si="133"/>
        <v>17.246456942095875</v>
      </c>
      <c r="O267" s="277">
        <f t="shared" si="133"/>
        <v>19.636887104650349</v>
      </c>
      <c r="P267" s="277">
        <f t="shared" si="133"/>
        <v>20.742181084205914</v>
      </c>
      <c r="Q267" s="277">
        <f t="shared" si="133"/>
        <v>18.340104636410533</v>
      </c>
      <c r="R267" s="277">
        <f t="shared" si="133"/>
        <v>67.668999999999997</v>
      </c>
      <c r="S267" s="277">
        <f t="shared" si="133"/>
        <v>0</v>
      </c>
      <c r="T267" s="277">
        <f t="shared" si="133"/>
        <v>0</v>
      </c>
      <c r="U267" s="277">
        <f t="shared" si="133"/>
        <v>0</v>
      </c>
      <c r="V267" s="277">
        <f t="shared" si="133"/>
        <v>0</v>
      </c>
      <c r="W267" s="277">
        <f t="shared" si="133"/>
        <v>0</v>
      </c>
      <c r="X267" s="277">
        <f t="shared" si="133"/>
        <v>0</v>
      </c>
      <c r="Y267" s="277">
        <f t="shared" si="133"/>
        <v>0</v>
      </c>
      <c r="Z267" s="277">
        <f t="shared" si="133"/>
        <v>0</v>
      </c>
      <c r="AA267" s="277">
        <f t="shared" si="133"/>
        <v>0</v>
      </c>
    </row>
    <row r="268" spans="2:27" ht="15" thickBot="1" x14ac:dyDescent="0.25">
      <c r="B268" s="229"/>
      <c r="C268" s="230"/>
      <c r="D268" s="53"/>
      <c r="E268" s="231"/>
      <c r="F268" s="232"/>
      <c r="G268" s="241"/>
      <c r="H268" s="241"/>
      <c r="I268" s="241"/>
      <c r="J268" s="241"/>
      <c r="K268" s="241"/>
      <c r="L268" s="241"/>
      <c r="M268" s="241"/>
      <c r="N268" s="241"/>
      <c r="O268" s="241"/>
      <c r="P268" s="241"/>
      <c r="Q268" s="241"/>
      <c r="R268" s="241"/>
      <c r="S268" s="241"/>
      <c r="T268" s="241"/>
      <c r="U268" s="241"/>
      <c r="V268" s="241"/>
      <c r="W268" s="241"/>
      <c r="X268" s="241"/>
      <c r="Y268" s="241"/>
      <c r="Z268" s="241"/>
      <c r="AA268" s="241"/>
    </row>
    <row r="269" spans="2:27" ht="60.75" thickBot="1" x14ac:dyDescent="0.25">
      <c r="B269" s="193" t="s">
        <v>1839</v>
      </c>
      <c r="G269" s="1832" t="s">
        <v>1738</v>
      </c>
      <c r="H269" s="1901"/>
      <c r="I269" s="1901"/>
      <c r="J269" s="1901"/>
      <c r="K269" s="1901"/>
      <c r="L269" s="1901"/>
      <c r="M269" s="1901"/>
      <c r="N269" s="1901"/>
      <c r="O269" s="1901"/>
      <c r="P269" s="1901"/>
      <c r="Q269" s="1833"/>
      <c r="R269" s="1832" t="s">
        <v>1739</v>
      </c>
      <c r="S269" s="1901"/>
      <c r="T269" s="1901"/>
      <c r="U269" s="1901"/>
      <c r="V269" s="1901"/>
      <c r="W269" s="1901"/>
      <c r="X269" s="1901"/>
      <c r="Y269" s="1901"/>
      <c r="Z269" s="1901"/>
      <c r="AA269" s="1833"/>
    </row>
    <row r="270" spans="2:27" ht="45.75" thickBot="1" x14ac:dyDescent="0.25">
      <c r="B270" s="234" t="s">
        <v>1740</v>
      </c>
      <c r="C270" s="235" t="s">
        <v>1702</v>
      </c>
      <c r="D270" s="235" t="s">
        <v>1703</v>
      </c>
      <c r="E270" s="235" t="s">
        <v>206</v>
      </c>
      <c r="F270" s="236" t="s">
        <v>207</v>
      </c>
      <c r="G270" s="234" t="s">
        <v>208</v>
      </c>
      <c r="H270" s="235" t="s">
        <v>209</v>
      </c>
      <c r="I270" s="235" t="s">
        <v>210</v>
      </c>
      <c r="J270" s="235" t="s">
        <v>211</v>
      </c>
      <c r="K270" s="235" t="s">
        <v>212</v>
      </c>
      <c r="L270" s="235" t="s">
        <v>213</v>
      </c>
      <c r="M270" s="235" t="s">
        <v>214</v>
      </c>
      <c r="N270" s="235" t="s">
        <v>215</v>
      </c>
      <c r="O270" s="235" t="s">
        <v>216</v>
      </c>
      <c r="P270" s="235" t="s">
        <v>217</v>
      </c>
      <c r="Q270" s="236" t="s">
        <v>218</v>
      </c>
      <c r="R270" s="239" t="s">
        <v>1741</v>
      </c>
      <c r="S270" s="237" t="s">
        <v>1742</v>
      </c>
      <c r="T270" s="237" t="s">
        <v>1743</v>
      </c>
      <c r="U270" s="237" t="s">
        <v>1744</v>
      </c>
      <c r="V270" s="237" t="s">
        <v>1745</v>
      </c>
      <c r="W270" s="237" t="s">
        <v>1746</v>
      </c>
      <c r="X270" s="237" t="s">
        <v>1747</v>
      </c>
      <c r="Y270" s="237" t="s">
        <v>1748</v>
      </c>
      <c r="Z270" s="237" t="s">
        <v>1749</v>
      </c>
      <c r="AA270" s="238" t="s">
        <v>1750</v>
      </c>
    </row>
    <row r="271" spans="2:27" ht="42.75" x14ac:dyDescent="0.2">
      <c r="B271" s="227" t="s">
        <v>1840</v>
      </c>
      <c r="C271" s="45" t="s">
        <v>1841</v>
      </c>
      <c r="D271" s="49" t="s">
        <v>1496</v>
      </c>
      <c r="E271" s="274" t="s">
        <v>1752</v>
      </c>
      <c r="F271" s="262">
        <v>3</v>
      </c>
      <c r="G271" s="279">
        <f>SUM(G209,G212,G215,G218,G221,G228,G237,G246,G255,G256,G257,G258)</f>
        <v>0</v>
      </c>
      <c r="H271" s="279">
        <f t="shared" ref="H271:AA271" si="134">SUM(H209,H212,H215,H218,H221,H228,H237,H246,H255,H256,H257,H258)</f>
        <v>0</v>
      </c>
      <c r="I271" s="279">
        <f t="shared" si="134"/>
        <v>0</v>
      </c>
      <c r="J271" s="279">
        <f t="shared" si="134"/>
        <v>0</v>
      </c>
      <c r="K271" s="279">
        <f t="shared" si="134"/>
        <v>0</v>
      </c>
      <c r="L271" s="279">
        <f t="shared" si="134"/>
        <v>0</v>
      </c>
      <c r="M271" s="279">
        <f t="shared" si="134"/>
        <v>96.342938388855586</v>
      </c>
      <c r="N271" s="279">
        <f t="shared" si="134"/>
        <v>105.89748138685557</v>
      </c>
      <c r="O271" s="279">
        <f t="shared" si="134"/>
        <v>91.68148138685558</v>
      </c>
      <c r="P271" s="279">
        <f t="shared" si="134"/>
        <v>59.259481386855555</v>
      </c>
      <c r="Q271" s="279">
        <f t="shared" si="134"/>
        <v>56.610273791855562</v>
      </c>
      <c r="R271" s="279">
        <f t="shared" si="134"/>
        <v>89.695927820576912</v>
      </c>
      <c r="S271" s="279">
        <f t="shared" si="134"/>
        <v>24.529494830000008</v>
      </c>
      <c r="T271" s="279">
        <f t="shared" si="134"/>
        <v>135.52180036347812</v>
      </c>
      <c r="U271" s="279">
        <f t="shared" si="134"/>
        <v>144.67255387720977</v>
      </c>
      <c r="V271" s="279">
        <f t="shared" si="134"/>
        <v>0</v>
      </c>
      <c r="W271" s="279">
        <f t="shared" si="134"/>
        <v>0</v>
      </c>
      <c r="X271" s="279">
        <f t="shared" si="134"/>
        <v>0</v>
      </c>
      <c r="Y271" s="279">
        <f t="shared" si="134"/>
        <v>0</v>
      </c>
      <c r="Z271" s="279">
        <f t="shared" si="134"/>
        <v>0</v>
      </c>
      <c r="AA271" s="279">
        <f t="shared" si="134"/>
        <v>0</v>
      </c>
    </row>
    <row r="272" spans="2:27" ht="42.75" x14ac:dyDescent="0.2">
      <c r="B272" s="227" t="s">
        <v>1842</v>
      </c>
      <c r="C272" s="45" t="s">
        <v>1841</v>
      </c>
      <c r="D272" s="49" t="s">
        <v>1491</v>
      </c>
      <c r="E272" s="274" t="s">
        <v>1752</v>
      </c>
      <c r="F272" s="262">
        <v>3</v>
      </c>
      <c r="G272" s="279">
        <f>SUM(G210,G213,G216,G219,G222,G232,G241,G250,G259,G260,G261,G262)</f>
        <v>0</v>
      </c>
      <c r="H272" s="279">
        <f t="shared" ref="H272:AA272" si="135">SUM(H210,H213,H216,H219,H222,H232,H241,H250,H259,H260,H261,H262)</f>
        <v>0</v>
      </c>
      <c r="I272" s="279">
        <f t="shared" si="135"/>
        <v>0</v>
      </c>
      <c r="J272" s="279">
        <f t="shared" si="135"/>
        <v>0</v>
      </c>
      <c r="K272" s="279">
        <f t="shared" si="135"/>
        <v>0</v>
      </c>
      <c r="L272" s="279">
        <f t="shared" si="135"/>
        <v>0</v>
      </c>
      <c r="M272" s="279">
        <f t="shared" si="135"/>
        <v>3.8731303634010135</v>
      </c>
      <c r="N272" s="279">
        <f t="shared" si="135"/>
        <v>4.269701785881014</v>
      </c>
      <c r="O272" s="279">
        <f t="shared" si="135"/>
        <v>5.9843953638810126</v>
      </c>
      <c r="P272" s="279">
        <f t="shared" si="135"/>
        <v>6.8657803077970136</v>
      </c>
      <c r="Q272" s="279">
        <f t="shared" si="135"/>
        <v>6.9460610233310129</v>
      </c>
      <c r="R272" s="279">
        <f t="shared" si="135"/>
        <v>83.503531080269909</v>
      </c>
      <c r="S272" s="279">
        <f t="shared" si="135"/>
        <v>80.324196936999968</v>
      </c>
      <c r="T272" s="279">
        <f t="shared" si="135"/>
        <v>78.510176939999965</v>
      </c>
      <c r="U272" s="279">
        <f t="shared" si="135"/>
        <v>78.360158939999977</v>
      </c>
      <c r="V272" s="279">
        <f t="shared" si="135"/>
        <v>0</v>
      </c>
      <c r="W272" s="279">
        <f t="shared" si="135"/>
        <v>0</v>
      </c>
      <c r="X272" s="279">
        <f t="shared" si="135"/>
        <v>0</v>
      </c>
      <c r="Y272" s="279">
        <f t="shared" si="135"/>
        <v>0</v>
      </c>
      <c r="Z272" s="279">
        <f t="shared" si="135"/>
        <v>0</v>
      </c>
      <c r="AA272" s="279">
        <f t="shared" si="135"/>
        <v>0</v>
      </c>
    </row>
    <row r="273" spans="2:27" ht="43.5" thickBot="1" x14ac:dyDescent="0.25">
      <c r="B273" s="228" t="s">
        <v>1843</v>
      </c>
      <c r="C273" s="46" t="s">
        <v>1841</v>
      </c>
      <c r="D273" s="51" t="s">
        <v>1707</v>
      </c>
      <c r="E273" s="274" t="s">
        <v>1752</v>
      </c>
      <c r="F273" s="263">
        <v>3</v>
      </c>
      <c r="G273" s="277">
        <f t="shared" ref="G273" si="136">SUM(G271:G272)</f>
        <v>0</v>
      </c>
      <c r="H273" s="277">
        <f t="shared" ref="H273:AA273" si="137">SUM(H271:H272)</f>
        <v>0</v>
      </c>
      <c r="I273" s="277">
        <f t="shared" si="137"/>
        <v>0</v>
      </c>
      <c r="J273" s="277">
        <f t="shared" si="137"/>
        <v>0</v>
      </c>
      <c r="K273" s="277">
        <f t="shared" si="137"/>
        <v>0</v>
      </c>
      <c r="L273" s="277">
        <f t="shared" si="137"/>
        <v>0</v>
      </c>
      <c r="M273" s="277">
        <f t="shared" si="137"/>
        <v>100.2160687522566</v>
      </c>
      <c r="N273" s="277">
        <f t="shared" si="137"/>
        <v>110.16718317273659</v>
      </c>
      <c r="O273" s="277">
        <f t="shared" si="137"/>
        <v>97.665876750736587</v>
      </c>
      <c r="P273" s="277">
        <f t="shared" si="137"/>
        <v>66.125261694652565</v>
      </c>
      <c r="Q273" s="277">
        <f t="shared" si="137"/>
        <v>63.556334815186574</v>
      </c>
      <c r="R273" s="277">
        <f t="shared" si="137"/>
        <v>173.19945890084682</v>
      </c>
      <c r="S273" s="277">
        <f t="shared" si="137"/>
        <v>104.85369176699997</v>
      </c>
      <c r="T273" s="277">
        <f t="shared" si="137"/>
        <v>214.03197730347807</v>
      </c>
      <c r="U273" s="277">
        <f t="shared" si="137"/>
        <v>223.03271281720976</v>
      </c>
      <c r="V273" s="277">
        <f t="shared" si="137"/>
        <v>0</v>
      </c>
      <c r="W273" s="277">
        <f t="shared" si="137"/>
        <v>0</v>
      </c>
      <c r="X273" s="277">
        <f t="shared" si="137"/>
        <v>0</v>
      </c>
      <c r="Y273" s="277">
        <f t="shared" si="137"/>
        <v>0</v>
      </c>
      <c r="Z273" s="277">
        <f t="shared" si="137"/>
        <v>0</v>
      </c>
      <c r="AA273" s="277">
        <f t="shared" si="137"/>
        <v>0</v>
      </c>
    </row>
    <row r="274" spans="2:27" ht="15" thickBot="1" x14ac:dyDescent="0.25">
      <c r="B274" s="229"/>
      <c r="C274" s="230"/>
      <c r="D274" s="53"/>
      <c r="E274" s="231"/>
      <c r="F274" s="232"/>
      <c r="G274" s="241"/>
      <c r="H274" s="241"/>
      <c r="I274" s="241"/>
      <c r="J274" s="241"/>
      <c r="K274" s="241"/>
      <c r="L274" s="241"/>
      <c r="M274" s="241"/>
      <c r="N274" s="241"/>
      <c r="O274" s="241"/>
      <c r="P274" s="241"/>
      <c r="Q274" s="241"/>
      <c r="R274" s="241"/>
      <c r="S274" s="241"/>
      <c r="T274" s="241"/>
      <c r="U274" s="241"/>
      <c r="V274" s="241"/>
      <c r="W274" s="241"/>
      <c r="X274" s="241"/>
      <c r="Y274" s="241"/>
      <c r="Z274" s="241"/>
      <c r="AA274" s="241"/>
    </row>
    <row r="275" spans="2:27" ht="45.75" thickBot="1" x14ac:dyDescent="0.25">
      <c r="B275" s="193" t="s">
        <v>1844</v>
      </c>
      <c r="G275" s="1832" t="s">
        <v>1738</v>
      </c>
      <c r="H275" s="1901"/>
      <c r="I275" s="1901"/>
      <c r="J275" s="1901"/>
      <c r="K275" s="1901"/>
      <c r="L275" s="1901"/>
      <c r="M275" s="1901"/>
      <c r="N275" s="1901"/>
      <c r="O275" s="1901"/>
      <c r="P275" s="1901"/>
      <c r="Q275" s="1833"/>
      <c r="R275" s="1832" t="s">
        <v>1739</v>
      </c>
      <c r="S275" s="1901"/>
      <c r="T275" s="1901"/>
      <c r="U275" s="1901"/>
      <c r="V275" s="1901"/>
      <c r="W275" s="1901"/>
      <c r="X275" s="1901"/>
      <c r="Y275" s="1901"/>
      <c r="Z275" s="1901"/>
      <c r="AA275" s="1833"/>
    </row>
    <row r="276" spans="2:27" ht="45.75" thickBot="1" x14ac:dyDescent="0.25">
      <c r="B276" s="234" t="s">
        <v>1740</v>
      </c>
      <c r="C276" s="235" t="s">
        <v>1845</v>
      </c>
      <c r="D276" s="235" t="s">
        <v>1703</v>
      </c>
      <c r="E276" s="235" t="s">
        <v>206</v>
      </c>
      <c r="F276" s="236" t="s">
        <v>207</v>
      </c>
      <c r="G276" s="234" t="s">
        <v>208</v>
      </c>
      <c r="H276" s="235" t="s">
        <v>209</v>
      </c>
      <c r="I276" s="235" t="s">
        <v>210</v>
      </c>
      <c r="J276" s="235" t="s">
        <v>211</v>
      </c>
      <c r="K276" s="235" t="s">
        <v>212</v>
      </c>
      <c r="L276" s="235" t="s">
        <v>213</v>
      </c>
      <c r="M276" s="235" t="s">
        <v>214</v>
      </c>
      <c r="N276" s="235" t="s">
        <v>215</v>
      </c>
      <c r="O276" s="235" t="s">
        <v>216</v>
      </c>
      <c r="P276" s="235" t="s">
        <v>217</v>
      </c>
      <c r="Q276" s="236" t="s">
        <v>218</v>
      </c>
      <c r="R276" s="239" t="s">
        <v>1741</v>
      </c>
      <c r="S276" s="237" t="s">
        <v>1742</v>
      </c>
      <c r="T276" s="237" t="s">
        <v>1743</v>
      </c>
      <c r="U276" s="237" t="s">
        <v>1744</v>
      </c>
      <c r="V276" s="237" t="s">
        <v>1745</v>
      </c>
      <c r="W276" s="237" t="s">
        <v>1746</v>
      </c>
      <c r="X276" s="237" t="s">
        <v>1747</v>
      </c>
      <c r="Y276" s="237" t="s">
        <v>1748</v>
      </c>
      <c r="Z276" s="237" t="s">
        <v>1749</v>
      </c>
      <c r="AA276" s="238" t="s">
        <v>1750</v>
      </c>
    </row>
    <row r="277" spans="2:27" ht="28.5" x14ac:dyDescent="0.2">
      <c r="B277" s="1082" t="s">
        <v>1846</v>
      </c>
      <c r="C277" s="1083" t="s">
        <v>1847</v>
      </c>
      <c r="D277" s="1084" t="s">
        <v>1848</v>
      </c>
      <c r="E277" s="1085" t="s">
        <v>236</v>
      </c>
      <c r="F277" s="1086">
        <v>2</v>
      </c>
      <c r="G277" s="356"/>
      <c r="H277" s="357"/>
      <c r="I277" s="357"/>
      <c r="J277" s="357"/>
      <c r="K277" s="357"/>
      <c r="L277" s="357"/>
      <c r="M277" s="283">
        <v>0</v>
      </c>
      <c r="N277" s="283">
        <v>0</v>
      </c>
      <c r="O277" s="283">
        <v>7</v>
      </c>
      <c r="P277" s="283">
        <v>7</v>
      </c>
      <c r="Q277" s="283">
        <v>7</v>
      </c>
      <c r="R277" s="283">
        <v>190.5</v>
      </c>
      <c r="S277" s="283">
        <v>212.5</v>
      </c>
      <c r="T277" s="283">
        <v>212.5</v>
      </c>
      <c r="U277" s="283">
        <v>212.5</v>
      </c>
      <c r="V277" s="283"/>
      <c r="W277" s="283"/>
      <c r="X277" s="283"/>
      <c r="Y277" s="283"/>
      <c r="Z277" s="283"/>
      <c r="AA277" s="283"/>
    </row>
    <row r="278" spans="2:27" ht="57" x14ac:dyDescent="0.2">
      <c r="B278" s="227" t="s">
        <v>1849</v>
      </c>
      <c r="C278" s="45" t="s">
        <v>1850</v>
      </c>
      <c r="D278" s="49" t="s">
        <v>1848</v>
      </c>
      <c r="E278" s="50" t="s">
        <v>236</v>
      </c>
      <c r="F278" s="262">
        <v>2</v>
      </c>
      <c r="G278" s="356"/>
      <c r="H278" s="357"/>
      <c r="I278" s="357">
        <v>0</v>
      </c>
      <c r="J278" s="357">
        <v>0</v>
      </c>
      <c r="K278" s="357">
        <v>0</v>
      </c>
      <c r="L278" s="1437">
        <v>0</v>
      </c>
      <c r="M278" s="283">
        <v>3.0305155756062501</v>
      </c>
      <c r="N278" s="283">
        <v>5.9486713566369325</v>
      </c>
      <c r="O278" s="283">
        <v>9.3874668243483672</v>
      </c>
      <c r="P278" s="283">
        <v>12.690144845324282</v>
      </c>
      <c r="Q278" s="283">
        <v>15.805177314325826</v>
      </c>
      <c r="R278" s="283">
        <v>127.97005118267479</v>
      </c>
      <c r="S278" s="283">
        <v>192.07577816279789</v>
      </c>
      <c r="T278" s="283">
        <v>232.46554699673626</v>
      </c>
      <c r="U278" s="283">
        <v>245.45795806752398</v>
      </c>
      <c r="V278" s="283"/>
      <c r="W278" s="283"/>
      <c r="X278" s="283"/>
      <c r="Y278" s="283"/>
      <c r="Z278" s="283"/>
      <c r="AA278" s="283"/>
    </row>
    <row r="279" spans="2:27" ht="28.5" x14ac:dyDescent="0.2">
      <c r="B279" s="227" t="s">
        <v>1851</v>
      </c>
      <c r="C279" s="45" t="s">
        <v>1766</v>
      </c>
      <c r="D279" s="49" t="s">
        <v>1848</v>
      </c>
      <c r="E279" s="50" t="s">
        <v>236</v>
      </c>
      <c r="F279" s="262">
        <v>2</v>
      </c>
      <c r="G279" s="356"/>
      <c r="H279" s="357"/>
      <c r="I279" s="357">
        <v>0</v>
      </c>
      <c r="J279" s="357">
        <v>0</v>
      </c>
      <c r="K279" s="357">
        <v>0</v>
      </c>
      <c r="L279" s="1437">
        <v>0</v>
      </c>
      <c r="M279" s="283">
        <v>0.54600000000000393</v>
      </c>
      <c r="N279" s="283">
        <v>1.091999999999997</v>
      </c>
      <c r="O279" s="283">
        <v>1.6380000000000003</v>
      </c>
      <c r="P279" s="283">
        <v>2.1840000000000046</v>
      </c>
      <c r="Q279" s="283">
        <v>2.7300000000000102</v>
      </c>
      <c r="R279" s="283">
        <v>21.84000000000005</v>
      </c>
      <c r="S279" s="283">
        <v>35.490000000000094</v>
      </c>
      <c r="T279" s="283">
        <v>49.140000000000121</v>
      </c>
      <c r="U279" s="283">
        <v>62.79000000000012</v>
      </c>
      <c r="V279" s="283"/>
      <c r="W279" s="283"/>
      <c r="X279" s="283"/>
      <c r="Y279" s="283"/>
      <c r="Z279" s="283"/>
      <c r="AA279" s="283"/>
    </row>
    <row r="280" spans="2:27" ht="28.5" x14ac:dyDescent="0.2">
      <c r="B280" s="227" t="s">
        <v>1852</v>
      </c>
      <c r="C280" s="45" t="s">
        <v>1853</v>
      </c>
      <c r="D280" s="49" t="s">
        <v>1848</v>
      </c>
      <c r="E280" s="50" t="s">
        <v>236</v>
      </c>
      <c r="F280" s="262">
        <v>2</v>
      </c>
      <c r="G280" s="356"/>
      <c r="H280" s="357"/>
      <c r="I280" s="357"/>
      <c r="J280" s="357"/>
      <c r="K280" s="357"/>
      <c r="L280" s="1437"/>
      <c r="M280" s="283"/>
      <c r="N280" s="283"/>
      <c r="O280" s="283"/>
      <c r="P280" s="283"/>
      <c r="Q280" s="283"/>
      <c r="R280" s="283"/>
      <c r="S280" s="283"/>
      <c r="T280" s="283"/>
      <c r="U280" s="283"/>
      <c r="V280" s="283"/>
      <c r="W280" s="283"/>
      <c r="X280" s="283"/>
      <c r="Y280" s="283"/>
      <c r="Z280" s="283"/>
      <c r="AA280" s="283"/>
    </row>
    <row r="281" spans="2:27" ht="28.5" x14ac:dyDescent="0.2">
      <c r="B281" s="227" t="s">
        <v>1854</v>
      </c>
      <c r="C281" s="45" t="s">
        <v>1855</v>
      </c>
      <c r="D281" s="49" t="s">
        <v>1848</v>
      </c>
      <c r="E281" s="50" t="s">
        <v>236</v>
      </c>
      <c r="F281" s="262">
        <v>2</v>
      </c>
      <c r="G281" s="1081">
        <f>SUM(G282:G288)</f>
        <v>0</v>
      </c>
      <c r="H281" s="1081">
        <f t="shared" ref="H281:AA281" si="138">SUM(H282:H288)</f>
        <v>0</v>
      </c>
      <c r="I281" s="1081">
        <f t="shared" si="138"/>
        <v>0</v>
      </c>
      <c r="J281" s="1081">
        <f t="shared" si="138"/>
        <v>0</v>
      </c>
      <c r="K281" s="1081">
        <f t="shared" si="138"/>
        <v>0</v>
      </c>
      <c r="L281" s="1081">
        <f t="shared" si="138"/>
        <v>0</v>
      </c>
      <c r="M281" s="1081">
        <f t="shared" si="138"/>
        <v>0.22100158769222816</v>
      </c>
      <c r="N281" s="1081">
        <f t="shared" si="138"/>
        <v>0.21010740931006378</v>
      </c>
      <c r="O281" s="1081">
        <f t="shared" si="138"/>
        <v>0.44873551135940726</v>
      </c>
      <c r="P281" s="1081">
        <f t="shared" si="138"/>
        <v>1.2925417663027809</v>
      </c>
      <c r="Q281" s="1081">
        <f t="shared" si="138"/>
        <v>2.0266760121971128</v>
      </c>
      <c r="R281" s="1081">
        <f t="shared" si="138"/>
        <v>16.866696262403924</v>
      </c>
      <c r="S281" s="1081">
        <f t="shared" si="138"/>
        <v>18.414401100437999</v>
      </c>
      <c r="T281" s="1081">
        <f t="shared" si="138"/>
        <v>19.179903525634366</v>
      </c>
      <c r="U281" s="1081">
        <f t="shared" si="138"/>
        <v>19.66045889893503</v>
      </c>
      <c r="V281" s="1081">
        <f t="shared" si="138"/>
        <v>0</v>
      </c>
      <c r="W281" s="1081">
        <f t="shared" si="138"/>
        <v>0</v>
      </c>
      <c r="X281" s="1081">
        <f t="shared" si="138"/>
        <v>0</v>
      </c>
      <c r="Y281" s="1081">
        <f t="shared" si="138"/>
        <v>0</v>
      </c>
      <c r="Z281" s="1081">
        <f t="shared" si="138"/>
        <v>0</v>
      </c>
      <c r="AA281" s="1081">
        <f t="shared" si="138"/>
        <v>0</v>
      </c>
    </row>
    <row r="282" spans="2:27" ht="57" x14ac:dyDescent="0.2">
      <c r="B282" s="227" t="s">
        <v>1856</v>
      </c>
      <c r="C282" s="45" t="s">
        <v>1857</v>
      </c>
      <c r="D282" s="49" t="s">
        <v>1848</v>
      </c>
      <c r="E282" s="50" t="s">
        <v>236</v>
      </c>
      <c r="F282" s="262">
        <v>2</v>
      </c>
      <c r="G282" s="356"/>
      <c r="H282" s="357"/>
      <c r="I282" s="357">
        <v>0</v>
      </c>
      <c r="J282" s="357">
        <v>0</v>
      </c>
      <c r="K282" s="357">
        <v>0</v>
      </c>
      <c r="L282" s="1437">
        <v>0</v>
      </c>
      <c r="M282" s="283">
        <v>0</v>
      </c>
      <c r="N282" s="283">
        <v>0</v>
      </c>
      <c r="O282" s="283">
        <v>0</v>
      </c>
      <c r="P282" s="283">
        <v>0</v>
      </c>
      <c r="Q282" s="283">
        <v>0</v>
      </c>
      <c r="R282" s="283">
        <v>0</v>
      </c>
      <c r="S282" s="283">
        <v>0</v>
      </c>
      <c r="T282" s="283">
        <v>0</v>
      </c>
      <c r="U282" s="283">
        <v>0</v>
      </c>
      <c r="V282" s="283"/>
      <c r="W282" s="283"/>
      <c r="X282" s="283"/>
      <c r="Y282" s="283"/>
      <c r="Z282" s="283"/>
      <c r="AA282" s="283"/>
    </row>
    <row r="283" spans="2:27" ht="57" x14ac:dyDescent="0.2">
      <c r="B283" s="227" t="s">
        <v>1858</v>
      </c>
      <c r="C283" s="45" t="s">
        <v>1859</v>
      </c>
      <c r="D283" s="49" t="s">
        <v>1848</v>
      </c>
      <c r="E283" s="50" t="s">
        <v>236</v>
      </c>
      <c r="F283" s="262">
        <v>2</v>
      </c>
      <c r="G283" s="356"/>
      <c r="H283" s="357"/>
      <c r="I283" s="357">
        <v>0</v>
      </c>
      <c r="J283" s="357">
        <v>0</v>
      </c>
      <c r="K283" s="357">
        <v>0</v>
      </c>
      <c r="L283" s="1437">
        <v>0</v>
      </c>
      <c r="M283" s="283">
        <v>0</v>
      </c>
      <c r="N283" s="283">
        <v>0</v>
      </c>
      <c r="O283" s="283">
        <v>0</v>
      </c>
      <c r="P283" s="283">
        <v>0</v>
      </c>
      <c r="Q283" s="283">
        <v>0</v>
      </c>
      <c r="R283" s="283">
        <v>0</v>
      </c>
      <c r="S283" s="283">
        <v>0</v>
      </c>
      <c r="T283" s="283">
        <v>0</v>
      </c>
      <c r="U283" s="283">
        <v>0</v>
      </c>
      <c r="V283" s="283"/>
      <c r="W283" s="283"/>
      <c r="X283" s="283"/>
      <c r="Y283" s="283"/>
      <c r="Z283" s="283"/>
      <c r="AA283" s="283"/>
    </row>
    <row r="284" spans="2:27" ht="57" x14ac:dyDescent="0.2">
      <c r="B284" s="227" t="s">
        <v>1860</v>
      </c>
      <c r="C284" s="45" t="s">
        <v>1861</v>
      </c>
      <c r="D284" s="49" t="s">
        <v>1848</v>
      </c>
      <c r="E284" s="50" t="s">
        <v>236</v>
      </c>
      <c r="F284" s="262">
        <v>2</v>
      </c>
      <c r="G284" s="356"/>
      <c r="H284" s="357"/>
      <c r="I284" s="357">
        <v>0</v>
      </c>
      <c r="J284" s="357">
        <v>0</v>
      </c>
      <c r="K284" s="357">
        <v>0</v>
      </c>
      <c r="L284" s="1437">
        <v>0</v>
      </c>
      <c r="M284" s="283">
        <v>0.15250628157361845</v>
      </c>
      <c r="N284" s="283">
        <v>0.36522850835634557</v>
      </c>
      <c r="O284" s="283">
        <v>0.38174294872393411</v>
      </c>
      <c r="P284" s="283">
        <v>0.76721555337278602</v>
      </c>
      <c r="Q284" s="283">
        <v>1.0969063736166795</v>
      </c>
      <c r="R284" s="283">
        <v>9.4313603382140005</v>
      </c>
      <c r="S284" s="283">
        <v>8.6880508543335626</v>
      </c>
      <c r="T284" s="283">
        <v>13.660877154059612</v>
      </c>
      <c r="U284" s="283">
        <v>17.319515305383938</v>
      </c>
      <c r="V284" s="283"/>
      <c r="W284" s="283"/>
      <c r="X284" s="283"/>
      <c r="Y284" s="283"/>
      <c r="Z284" s="283"/>
      <c r="AA284" s="283"/>
    </row>
    <row r="285" spans="2:27" ht="99.75" x14ac:dyDescent="0.2">
      <c r="B285" s="227" t="s">
        <v>1862</v>
      </c>
      <c r="C285" s="45" t="s">
        <v>1863</v>
      </c>
      <c r="D285" s="49" t="s">
        <v>1848</v>
      </c>
      <c r="E285" s="50" t="s">
        <v>236</v>
      </c>
      <c r="F285" s="262">
        <v>2</v>
      </c>
      <c r="G285" s="356"/>
      <c r="H285" s="357"/>
      <c r="I285" s="357">
        <v>0</v>
      </c>
      <c r="J285" s="357">
        <v>0</v>
      </c>
      <c r="K285" s="357">
        <v>0</v>
      </c>
      <c r="L285" s="1437">
        <v>0</v>
      </c>
      <c r="M285" s="283">
        <v>0</v>
      </c>
      <c r="N285" s="283">
        <v>0</v>
      </c>
      <c r="O285" s="283">
        <v>0</v>
      </c>
      <c r="P285" s="283">
        <v>0</v>
      </c>
      <c r="Q285" s="283">
        <v>0</v>
      </c>
      <c r="R285" s="283">
        <v>0</v>
      </c>
      <c r="S285" s="283">
        <v>0</v>
      </c>
      <c r="T285" s="283">
        <v>0</v>
      </c>
      <c r="U285" s="283">
        <v>0</v>
      </c>
      <c r="V285" s="283"/>
      <c r="W285" s="283"/>
      <c r="X285" s="283"/>
      <c r="Y285" s="283"/>
      <c r="Z285" s="283"/>
      <c r="AA285" s="283"/>
    </row>
    <row r="286" spans="2:27" ht="99.75" x14ac:dyDescent="0.2">
      <c r="B286" s="227" t="s">
        <v>1864</v>
      </c>
      <c r="C286" s="45" t="s">
        <v>1865</v>
      </c>
      <c r="D286" s="49" t="s">
        <v>1848</v>
      </c>
      <c r="E286" s="50" t="s">
        <v>236</v>
      </c>
      <c r="F286" s="262">
        <v>2</v>
      </c>
      <c r="G286" s="356"/>
      <c r="H286" s="357"/>
      <c r="I286" s="357">
        <v>0</v>
      </c>
      <c r="J286" s="357">
        <v>0</v>
      </c>
      <c r="K286" s="357">
        <v>0</v>
      </c>
      <c r="L286" s="1437">
        <v>0</v>
      </c>
      <c r="M286" s="283">
        <v>6.8495306118609711E-2</v>
      </c>
      <c r="N286" s="283">
        <v>-0.1551210990462818</v>
      </c>
      <c r="O286" s="283">
        <v>6.6992562635473152E-2</v>
      </c>
      <c r="P286" s="283">
        <v>0.52532621292999493</v>
      </c>
      <c r="Q286" s="283">
        <v>0.92976963858043327</v>
      </c>
      <c r="R286" s="283">
        <v>7.4353359241899231</v>
      </c>
      <c r="S286" s="283">
        <v>9.7263502461044364</v>
      </c>
      <c r="T286" s="283">
        <v>5.5190263715747534</v>
      </c>
      <c r="U286" s="283">
        <v>2.3409435935510921</v>
      </c>
      <c r="V286" s="283"/>
      <c r="W286" s="283"/>
      <c r="X286" s="283"/>
      <c r="Y286" s="283"/>
      <c r="Z286" s="283"/>
      <c r="AA286" s="283"/>
    </row>
    <row r="287" spans="2:27" ht="99.75" x14ac:dyDescent="0.2">
      <c r="B287" s="227" t="s">
        <v>1866</v>
      </c>
      <c r="C287" s="45" t="s">
        <v>1867</v>
      </c>
      <c r="D287" s="49" t="s">
        <v>1848</v>
      </c>
      <c r="E287" s="50" t="s">
        <v>236</v>
      </c>
      <c r="F287" s="262">
        <v>2</v>
      </c>
      <c r="G287" s="356"/>
      <c r="H287" s="357"/>
      <c r="I287" s="357">
        <v>0</v>
      </c>
      <c r="J287" s="357">
        <v>0</v>
      </c>
      <c r="K287" s="357">
        <v>0</v>
      </c>
      <c r="L287" s="1437">
        <v>0</v>
      </c>
      <c r="M287" s="283">
        <v>0</v>
      </c>
      <c r="N287" s="283">
        <v>0</v>
      </c>
      <c r="O287" s="283">
        <v>0</v>
      </c>
      <c r="P287" s="283">
        <v>0</v>
      </c>
      <c r="Q287" s="283">
        <v>0</v>
      </c>
      <c r="R287" s="283">
        <v>0</v>
      </c>
      <c r="S287" s="283">
        <v>0</v>
      </c>
      <c r="T287" s="283">
        <v>0</v>
      </c>
      <c r="U287" s="283">
        <v>0</v>
      </c>
      <c r="V287" s="283"/>
      <c r="W287" s="283"/>
      <c r="X287" s="283"/>
      <c r="Y287" s="283"/>
      <c r="Z287" s="283"/>
      <c r="AA287" s="283"/>
    </row>
    <row r="288" spans="2:27" ht="100.5" thickBot="1" x14ac:dyDescent="0.25">
      <c r="B288" s="228" t="s">
        <v>1868</v>
      </c>
      <c r="C288" s="46" t="s">
        <v>1869</v>
      </c>
      <c r="D288" s="51" t="s">
        <v>1848</v>
      </c>
      <c r="E288" s="52" t="s">
        <v>236</v>
      </c>
      <c r="F288" s="263">
        <v>2</v>
      </c>
      <c r="G288" s="356"/>
      <c r="H288" s="357"/>
      <c r="I288" s="357">
        <v>0</v>
      </c>
      <c r="J288" s="357">
        <v>0</v>
      </c>
      <c r="K288" s="357">
        <v>0</v>
      </c>
      <c r="L288" s="1437">
        <v>0</v>
      </c>
      <c r="M288" s="283">
        <v>0</v>
      </c>
      <c r="N288" s="283">
        <v>0</v>
      </c>
      <c r="O288" s="283">
        <v>0</v>
      </c>
      <c r="P288" s="283">
        <v>0</v>
      </c>
      <c r="Q288" s="283">
        <v>0</v>
      </c>
      <c r="R288" s="283">
        <v>0</v>
      </c>
      <c r="S288" s="283">
        <v>0</v>
      </c>
      <c r="T288" s="283">
        <v>0</v>
      </c>
      <c r="U288" s="283">
        <v>0</v>
      </c>
      <c r="V288" s="283"/>
      <c r="W288" s="283"/>
      <c r="X288" s="283"/>
      <c r="Y288" s="283"/>
      <c r="Z288" s="283"/>
      <c r="AA288" s="283"/>
    </row>
    <row r="289" spans="2:27" ht="15" thickBot="1" x14ac:dyDescent="0.25">
      <c r="B289" s="229"/>
      <c r="C289" s="230"/>
      <c r="D289" s="53"/>
      <c r="E289" s="231"/>
      <c r="F289" s="232"/>
      <c r="G289" s="241"/>
      <c r="H289" s="241"/>
      <c r="I289" s="241"/>
      <c r="J289" s="241"/>
      <c r="K289" s="241"/>
      <c r="L289" s="241"/>
      <c r="M289" s="241"/>
      <c r="N289" s="241"/>
      <c r="O289" s="241"/>
      <c r="P289" s="241"/>
      <c r="Q289" s="241"/>
      <c r="R289" s="241"/>
      <c r="S289" s="241"/>
      <c r="T289" s="241"/>
      <c r="U289" s="241"/>
      <c r="V289" s="241"/>
      <c r="W289" s="241"/>
      <c r="X289" s="241"/>
      <c r="Y289" s="241"/>
      <c r="Z289" s="241"/>
      <c r="AA289" s="241"/>
    </row>
    <row r="290" spans="2:27" ht="45.75" thickBot="1" x14ac:dyDescent="0.25">
      <c r="B290" s="193" t="s">
        <v>1870</v>
      </c>
      <c r="G290" s="1832" t="s">
        <v>1738</v>
      </c>
      <c r="H290" s="1901"/>
      <c r="I290" s="1901"/>
      <c r="J290" s="1901"/>
      <c r="K290" s="1901"/>
      <c r="L290" s="1901"/>
      <c r="M290" s="1901"/>
      <c r="N290" s="1901"/>
      <c r="O290" s="1901"/>
      <c r="P290" s="1901"/>
      <c r="Q290" s="1833"/>
      <c r="R290" s="1832" t="s">
        <v>1739</v>
      </c>
      <c r="S290" s="1901"/>
      <c r="T290" s="1901"/>
      <c r="U290" s="1901"/>
      <c r="V290" s="1901"/>
      <c r="W290" s="1901"/>
      <c r="X290" s="1901"/>
      <c r="Y290" s="1901"/>
      <c r="Z290" s="1901"/>
      <c r="AA290" s="1833"/>
    </row>
    <row r="291" spans="2:27" ht="45.75" thickBot="1" x14ac:dyDescent="0.25">
      <c r="B291" s="234" t="s">
        <v>1740</v>
      </c>
      <c r="C291" s="235" t="s">
        <v>1702</v>
      </c>
      <c r="D291" s="235" t="s">
        <v>1703</v>
      </c>
      <c r="E291" s="235" t="s">
        <v>206</v>
      </c>
      <c r="F291" s="236" t="s">
        <v>207</v>
      </c>
      <c r="G291" s="234" t="s">
        <v>208</v>
      </c>
      <c r="H291" s="235" t="s">
        <v>209</v>
      </c>
      <c r="I291" s="235" t="s">
        <v>210</v>
      </c>
      <c r="J291" s="235" t="s">
        <v>211</v>
      </c>
      <c r="K291" s="235" t="s">
        <v>212</v>
      </c>
      <c r="L291" s="235" t="s">
        <v>213</v>
      </c>
      <c r="M291" s="235" t="s">
        <v>214</v>
      </c>
      <c r="N291" s="235" t="s">
        <v>215</v>
      </c>
      <c r="O291" s="235" t="s">
        <v>216</v>
      </c>
      <c r="P291" s="235" t="s">
        <v>217</v>
      </c>
      <c r="Q291" s="236" t="s">
        <v>218</v>
      </c>
      <c r="R291" s="239" t="s">
        <v>1741</v>
      </c>
      <c r="S291" s="237" t="s">
        <v>1742</v>
      </c>
      <c r="T291" s="237" t="s">
        <v>1743</v>
      </c>
      <c r="U291" s="237" t="s">
        <v>1744</v>
      </c>
      <c r="V291" s="237" t="s">
        <v>1745</v>
      </c>
      <c r="W291" s="237" t="s">
        <v>1746</v>
      </c>
      <c r="X291" s="237" t="s">
        <v>1747</v>
      </c>
      <c r="Y291" s="237" t="s">
        <v>1748</v>
      </c>
      <c r="Z291" s="237" t="s">
        <v>1749</v>
      </c>
      <c r="AA291" s="238" t="s">
        <v>1750</v>
      </c>
    </row>
    <row r="292" spans="2:27" ht="57" x14ac:dyDescent="0.2">
      <c r="B292" s="227" t="s">
        <v>1871</v>
      </c>
      <c r="C292" s="45" t="s">
        <v>1872</v>
      </c>
      <c r="D292" s="49" t="s">
        <v>1707</v>
      </c>
      <c r="E292" s="274" t="s">
        <v>1752</v>
      </c>
      <c r="F292" s="262">
        <v>3</v>
      </c>
      <c r="G292" s="354"/>
      <c r="H292" s="355"/>
      <c r="I292" s="355"/>
      <c r="J292" s="355"/>
      <c r="K292" s="355"/>
      <c r="L292" s="355"/>
      <c r="M292" s="281">
        <f t="shared" ref="M292:U292" si="139">M194</f>
        <v>0</v>
      </c>
      <c r="N292" s="281">
        <f t="shared" si="139"/>
        <v>0</v>
      </c>
      <c r="O292" s="281">
        <f t="shared" si="139"/>
        <v>0</v>
      </c>
      <c r="P292" s="281">
        <f t="shared" si="139"/>
        <v>0</v>
      </c>
      <c r="Q292" s="281">
        <f t="shared" si="139"/>
        <v>0</v>
      </c>
      <c r="R292" s="281">
        <f t="shared" si="139"/>
        <v>10.166296374000002</v>
      </c>
      <c r="S292" s="281">
        <f t="shared" si="139"/>
        <v>17.802029780576909</v>
      </c>
      <c r="T292" s="281">
        <f t="shared" si="139"/>
        <v>17.802029780576909</v>
      </c>
      <c r="U292" s="281">
        <f t="shared" si="139"/>
        <v>17.802029780576909</v>
      </c>
      <c r="V292" s="281"/>
      <c r="W292" s="281"/>
      <c r="X292" s="281"/>
      <c r="Y292" s="281"/>
      <c r="Z292" s="281"/>
      <c r="AA292" s="281"/>
    </row>
    <row r="293" spans="2:27" ht="43.5" thickBot="1" x14ac:dyDescent="0.25">
      <c r="B293" s="228" t="s">
        <v>1873</v>
      </c>
      <c r="C293" s="46" t="s">
        <v>1874</v>
      </c>
      <c r="D293" s="51" t="s">
        <v>1707</v>
      </c>
      <c r="E293" s="274" t="s">
        <v>1752</v>
      </c>
      <c r="F293" s="263">
        <v>3</v>
      </c>
      <c r="G293" s="358"/>
      <c r="H293" s="359"/>
      <c r="I293" s="359"/>
      <c r="J293" s="359"/>
      <c r="K293" s="359"/>
      <c r="L293" s="359"/>
      <c r="M293" s="284">
        <f t="shared" ref="M293:U293" si="140">M195</f>
        <v>5.6272592748000001</v>
      </c>
      <c r="N293" s="284">
        <f t="shared" si="140"/>
        <v>5.6272592748000001</v>
      </c>
      <c r="O293" s="284">
        <f t="shared" si="140"/>
        <v>5.6272592748000001</v>
      </c>
      <c r="P293" s="284">
        <f t="shared" si="140"/>
        <v>5.6272592748000001</v>
      </c>
      <c r="Q293" s="284">
        <f t="shared" si="140"/>
        <v>5.6272592748000001</v>
      </c>
      <c r="R293" s="284">
        <f t="shared" si="140"/>
        <v>26.635733406576907</v>
      </c>
      <c r="S293" s="284">
        <f t="shared" si="140"/>
        <v>28.08719298942308</v>
      </c>
      <c r="T293" s="284">
        <f t="shared" si="140"/>
        <v>139.07949852290119</v>
      </c>
      <c r="U293" s="284">
        <f t="shared" si="140"/>
        <v>148.23025203663283</v>
      </c>
      <c r="V293" s="284"/>
      <c r="W293" s="284"/>
      <c r="X293" s="284"/>
      <c r="Y293" s="284"/>
      <c r="Z293" s="284"/>
      <c r="AA293" s="284"/>
    </row>
  </sheetData>
  <mergeCells count="36">
    <mergeCell ref="G290:Q290"/>
    <mergeCell ref="R290:AA290"/>
    <mergeCell ref="G5:Q5"/>
    <mergeCell ref="R5:AA5"/>
    <mergeCell ref="G11:Q11"/>
    <mergeCell ref="R11:AA11"/>
    <mergeCell ref="G30:Q30"/>
    <mergeCell ref="R30:AA30"/>
    <mergeCell ref="G73:Q73"/>
    <mergeCell ref="R73:AA73"/>
    <mergeCell ref="G79:Q79"/>
    <mergeCell ref="R79:AA79"/>
    <mergeCell ref="G94:Q94"/>
    <mergeCell ref="R94:AA94"/>
    <mergeCell ref="G103:Q103"/>
    <mergeCell ref="R103:AA103"/>
    <mergeCell ref="G109:Q109"/>
    <mergeCell ref="R109:AA109"/>
    <mergeCell ref="G128:Q128"/>
    <mergeCell ref="R128:AA128"/>
    <mergeCell ref="G269:Q269"/>
    <mergeCell ref="R269:AA269"/>
    <mergeCell ref="G275:Q275"/>
    <mergeCell ref="R275:AA275"/>
    <mergeCell ref="G171:Q171"/>
    <mergeCell ref="R171:AA171"/>
    <mergeCell ref="G177:Q177"/>
    <mergeCell ref="R177:AA177"/>
    <mergeCell ref="G192:Q192"/>
    <mergeCell ref="R192:AA192"/>
    <mergeCell ref="G201:Q201"/>
    <mergeCell ref="R201:AA201"/>
    <mergeCell ref="G207:Q207"/>
    <mergeCell ref="R207:AA207"/>
    <mergeCell ref="G226:Q226"/>
    <mergeCell ref="R226:AA226"/>
  </mergeCells>
  <phoneticPr fontId="34" type="noConversion"/>
  <pageMargins left="0.7" right="0.7" top="0.75" bottom="0.75" header="0.3" footer="0.3"/>
  <pageSetup paperSize="9" fitToHeight="0" orientation="landscape" r:id="rId1"/>
  <tableParts count="18">
    <tablePart r:id="rId2"/>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B2:Q133"/>
  <sheetViews>
    <sheetView showOutlineSymbols="0" showWhiteSpace="0" workbookViewId="0"/>
  </sheetViews>
  <sheetFormatPr defaultRowHeight="15" x14ac:dyDescent="0.2"/>
  <cols>
    <col min="2" max="2" width="26.109375" customWidth="1"/>
    <col min="3" max="3" width="21" customWidth="1"/>
    <col min="5" max="5" width="21.109375" bestFit="1" customWidth="1"/>
    <col min="6" max="6" width="31.5546875" bestFit="1" customWidth="1"/>
    <col min="10" max="10" width="13.109375" customWidth="1"/>
  </cols>
  <sheetData>
    <row r="2" spans="2:17" ht="15.75" x14ac:dyDescent="0.25">
      <c r="B2" s="1075" t="s">
        <v>1878</v>
      </c>
      <c r="C2" s="1075" t="s">
        <v>810</v>
      </c>
      <c r="E2" s="1280" t="s">
        <v>1879</v>
      </c>
      <c r="F2" s="1281" t="s">
        <v>1880</v>
      </c>
      <c r="G2" s="1281" t="s">
        <v>1881</v>
      </c>
      <c r="H2" s="1281" t="s">
        <v>1882</v>
      </c>
      <c r="I2" s="1281" t="s">
        <v>1883</v>
      </c>
      <c r="J2" s="1282" t="s">
        <v>1884</v>
      </c>
      <c r="L2" t="s">
        <v>444</v>
      </c>
      <c r="M2" t="s">
        <v>1885</v>
      </c>
      <c r="N2">
        <v>56</v>
      </c>
      <c r="O2" t="s">
        <v>1886</v>
      </c>
      <c r="P2" t="s">
        <v>1887</v>
      </c>
      <c r="Q2" t="s">
        <v>93</v>
      </c>
    </row>
    <row r="3" spans="2:17" ht="28.5" x14ac:dyDescent="0.25">
      <c r="B3" s="1076" t="s">
        <v>1888</v>
      </c>
      <c r="C3" s="1077" t="s">
        <v>1473</v>
      </c>
      <c r="E3" s="1274" t="s">
        <v>1889</v>
      </c>
      <c r="F3" s="1275" t="s">
        <v>1890</v>
      </c>
      <c r="G3" s="1275">
        <v>63</v>
      </c>
      <c r="H3" s="1275" t="s">
        <v>1891</v>
      </c>
      <c r="I3" s="1275" t="s">
        <v>1892</v>
      </c>
      <c r="J3" s="1276" t="s">
        <v>1893</v>
      </c>
      <c r="L3" t="s">
        <v>444</v>
      </c>
      <c r="M3" t="s">
        <v>1894</v>
      </c>
      <c r="N3">
        <v>58</v>
      </c>
      <c r="O3" t="s">
        <v>1886</v>
      </c>
      <c r="P3" t="s">
        <v>1895</v>
      </c>
      <c r="Q3" t="s">
        <v>88</v>
      </c>
    </row>
    <row r="4" spans="2:17" ht="15.75" x14ac:dyDescent="0.25">
      <c r="B4" s="1078" t="s">
        <v>1896</v>
      </c>
      <c r="C4" s="1079" t="s">
        <v>1473</v>
      </c>
      <c r="E4" s="1274" t="s">
        <v>1889</v>
      </c>
      <c r="F4" s="1275" t="s">
        <v>1897</v>
      </c>
      <c r="G4" s="1275">
        <v>62</v>
      </c>
      <c r="H4" s="1275" t="s">
        <v>1891</v>
      </c>
      <c r="I4" s="1275" t="s">
        <v>1898</v>
      </c>
      <c r="J4" s="1276" t="s">
        <v>1899</v>
      </c>
      <c r="L4" t="s">
        <v>444</v>
      </c>
      <c r="M4" t="s">
        <v>1900</v>
      </c>
      <c r="N4">
        <v>57</v>
      </c>
      <c r="O4" t="s">
        <v>1886</v>
      </c>
      <c r="P4" t="s">
        <v>1901</v>
      </c>
      <c r="Q4" t="s">
        <v>102</v>
      </c>
    </row>
    <row r="5" spans="2:17" ht="15.75" x14ac:dyDescent="0.25">
      <c r="B5" s="1078" t="s">
        <v>1902</v>
      </c>
      <c r="C5" s="1079" t="s">
        <v>1473</v>
      </c>
      <c r="E5" s="1274" t="s">
        <v>1889</v>
      </c>
      <c r="F5" s="1275" t="s">
        <v>1903</v>
      </c>
      <c r="G5" s="1275">
        <v>61</v>
      </c>
      <c r="H5" s="1275" t="s">
        <v>1891</v>
      </c>
      <c r="I5" s="1275" t="s">
        <v>1904</v>
      </c>
      <c r="J5" s="1276" t="s">
        <v>1905</v>
      </c>
      <c r="L5" t="s">
        <v>444</v>
      </c>
      <c r="M5" t="s">
        <v>1906</v>
      </c>
      <c r="N5">
        <v>55</v>
      </c>
      <c r="O5" t="s">
        <v>1886</v>
      </c>
      <c r="P5" t="s">
        <v>1907</v>
      </c>
      <c r="Q5" t="s">
        <v>105</v>
      </c>
    </row>
    <row r="6" spans="2:17" ht="15.75" x14ac:dyDescent="0.25">
      <c r="B6" s="1078" t="s">
        <v>916</v>
      </c>
      <c r="C6" s="1079" t="s">
        <v>1473</v>
      </c>
      <c r="E6" s="1274" t="s">
        <v>1889</v>
      </c>
      <c r="F6" s="1275" t="s">
        <v>1908</v>
      </c>
      <c r="G6" s="1275">
        <v>64</v>
      </c>
      <c r="H6" s="1275" t="s">
        <v>1891</v>
      </c>
      <c r="I6" s="1275" t="s">
        <v>1909</v>
      </c>
      <c r="J6" s="1276" t="s">
        <v>1910</v>
      </c>
    </row>
    <row r="7" spans="2:17" ht="15.75" x14ac:dyDescent="0.25">
      <c r="B7" s="1078" t="s">
        <v>1911</v>
      </c>
      <c r="C7" s="1079" t="s">
        <v>1473</v>
      </c>
      <c r="E7" s="1274" t="s">
        <v>1889</v>
      </c>
      <c r="F7" s="1275" t="s">
        <v>1912</v>
      </c>
      <c r="G7" s="1275">
        <v>60</v>
      </c>
      <c r="H7" s="1275" t="s">
        <v>1891</v>
      </c>
      <c r="I7" s="1275" t="s">
        <v>1913</v>
      </c>
      <c r="J7" s="1276" t="s">
        <v>1914</v>
      </c>
    </row>
    <row r="8" spans="2:17" ht="30" x14ac:dyDescent="0.25">
      <c r="B8" s="1079" t="s">
        <v>882</v>
      </c>
      <c r="C8" s="1079" t="s">
        <v>1473</v>
      </c>
      <c r="E8" s="1274" t="s">
        <v>1889</v>
      </c>
      <c r="F8" s="1275" t="s">
        <v>1915</v>
      </c>
      <c r="G8" s="1275">
        <v>65</v>
      </c>
      <c r="H8" s="1275" t="s">
        <v>1891</v>
      </c>
      <c r="I8" s="1275" t="s">
        <v>1916</v>
      </c>
      <c r="J8" s="1276" t="s">
        <v>1917</v>
      </c>
    </row>
    <row r="9" spans="2:17" ht="15.75" x14ac:dyDescent="0.25">
      <c r="B9" s="1079" t="s">
        <v>875</v>
      </c>
      <c r="C9" s="1079" t="s">
        <v>1473</v>
      </c>
      <c r="E9" s="1274" t="s">
        <v>1889</v>
      </c>
      <c r="F9" s="1275" t="s">
        <v>1918</v>
      </c>
      <c r="G9" s="1275">
        <v>66</v>
      </c>
      <c r="H9" s="1275" t="s">
        <v>1891</v>
      </c>
      <c r="I9" s="1275" t="s">
        <v>1919</v>
      </c>
      <c r="J9" s="1276" t="s">
        <v>1920</v>
      </c>
    </row>
    <row r="10" spans="2:17" ht="15.75" x14ac:dyDescent="0.25">
      <c r="B10" s="1079" t="s">
        <v>1041</v>
      </c>
      <c r="C10" s="1079" t="s">
        <v>1473</v>
      </c>
      <c r="E10" s="1274" t="s">
        <v>1889</v>
      </c>
      <c r="F10" s="1275" t="s">
        <v>1921</v>
      </c>
      <c r="G10" s="1275">
        <v>59</v>
      </c>
      <c r="H10" s="1275" t="s">
        <v>1891</v>
      </c>
      <c r="I10" s="1275" t="s">
        <v>1922</v>
      </c>
      <c r="J10" s="1276" t="s">
        <v>1923</v>
      </c>
    </row>
    <row r="11" spans="2:17" ht="15.75" x14ac:dyDescent="0.25">
      <c r="B11" s="1079" t="s">
        <v>1924</v>
      </c>
      <c r="C11" s="1079" t="s">
        <v>1473</v>
      </c>
      <c r="E11" s="1274" t="s">
        <v>1925</v>
      </c>
      <c r="F11" s="1275" t="s">
        <v>1926</v>
      </c>
      <c r="G11" s="1275"/>
      <c r="H11" s="1275" t="s">
        <v>1927</v>
      </c>
      <c r="I11" s="1275" t="s">
        <v>1928</v>
      </c>
      <c r="J11" s="1276" t="s">
        <v>1929</v>
      </c>
    </row>
    <row r="12" spans="2:17" ht="15.75" x14ac:dyDescent="0.25">
      <c r="B12" s="1078" t="s">
        <v>1930</v>
      </c>
      <c r="C12" s="1079" t="s">
        <v>1473</v>
      </c>
      <c r="E12" s="1274" t="s">
        <v>1925</v>
      </c>
      <c r="F12" s="1275" t="s">
        <v>1931</v>
      </c>
      <c r="G12" s="1275"/>
      <c r="H12" s="1275" t="s">
        <v>1927</v>
      </c>
      <c r="I12" s="1275" t="s">
        <v>1932</v>
      </c>
      <c r="J12" s="1276" t="s">
        <v>193</v>
      </c>
    </row>
    <row r="13" spans="2:17" ht="15.75" x14ac:dyDescent="0.25">
      <c r="B13" s="1079" t="s">
        <v>1933</v>
      </c>
      <c r="C13" s="1079" t="s">
        <v>1473</v>
      </c>
      <c r="E13" s="1274" t="s">
        <v>1925</v>
      </c>
      <c r="F13" s="1275" t="s">
        <v>1934</v>
      </c>
      <c r="G13" s="1275"/>
      <c r="H13" s="1275" t="s">
        <v>1927</v>
      </c>
      <c r="I13" s="1275" t="s">
        <v>1935</v>
      </c>
      <c r="J13" s="1276" t="s">
        <v>1936</v>
      </c>
    </row>
    <row r="14" spans="2:17" ht="15.75" x14ac:dyDescent="0.25">
      <c r="B14" s="1078" t="s">
        <v>1937</v>
      </c>
      <c r="C14" s="1079" t="s">
        <v>1473</v>
      </c>
      <c r="E14" s="1274" t="s">
        <v>1925</v>
      </c>
      <c r="F14" s="1275" t="s">
        <v>1938</v>
      </c>
      <c r="G14" s="1275"/>
      <c r="H14" s="1275" t="s">
        <v>1927</v>
      </c>
      <c r="I14" s="1275" t="s">
        <v>1939</v>
      </c>
      <c r="J14" s="1276" t="s">
        <v>1940</v>
      </c>
    </row>
    <row r="15" spans="2:17" ht="15.75" x14ac:dyDescent="0.25">
      <c r="B15" s="1079" t="s">
        <v>1941</v>
      </c>
      <c r="C15" s="1079" t="s">
        <v>1473</v>
      </c>
      <c r="E15" s="1274" t="s">
        <v>1925</v>
      </c>
      <c r="F15" s="1275" t="s">
        <v>1942</v>
      </c>
      <c r="G15" s="1275"/>
      <c r="H15" s="1275" t="s">
        <v>1927</v>
      </c>
      <c r="I15" s="1275" t="s">
        <v>1943</v>
      </c>
      <c r="J15" s="1276" t="s">
        <v>1944</v>
      </c>
    </row>
    <row r="16" spans="2:17" ht="15.75" x14ac:dyDescent="0.25">
      <c r="B16" s="1079" t="s">
        <v>1945</v>
      </c>
      <c r="C16" s="1079" t="s">
        <v>1473</v>
      </c>
      <c r="E16" s="1274" t="s">
        <v>1925</v>
      </c>
      <c r="F16" s="1275" t="s">
        <v>1946</v>
      </c>
      <c r="G16" s="1275"/>
      <c r="H16" s="1275" t="s">
        <v>1927</v>
      </c>
      <c r="I16" s="1275" t="s">
        <v>1947</v>
      </c>
      <c r="J16" s="1276" t="s">
        <v>1948</v>
      </c>
    </row>
    <row r="17" spans="2:10" ht="15.75" x14ac:dyDescent="0.25">
      <c r="B17" s="1079" t="s">
        <v>1949</v>
      </c>
      <c r="C17" s="1079" t="s">
        <v>1473</v>
      </c>
      <c r="E17" s="1274" t="s">
        <v>1925</v>
      </c>
      <c r="F17" s="1275" t="s">
        <v>1950</v>
      </c>
      <c r="G17" s="1275"/>
      <c r="H17" s="1275" t="s">
        <v>1927</v>
      </c>
      <c r="I17" s="1275" t="s">
        <v>1951</v>
      </c>
      <c r="J17" s="1276" t="s">
        <v>1952</v>
      </c>
    </row>
    <row r="18" spans="2:10" ht="15.75" x14ac:dyDescent="0.25">
      <c r="B18" s="1079" t="s">
        <v>1953</v>
      </c>
      <c r="C18" s="1079" t="s">
        <v>1473</v>
      </c>
      <c r="E18" s="1274" t="s">
        <v>1925</v>
      </c>
      <c r="F18" s="1275" t="s">
        <v>1954</v>
      </c>
      <c r="G18" s="1275"/>
      <c r="H18" s="1275" t="s">
        <v>1927</v>
      </c>
      <c r="I18" s="1275" t="s">
        <v>1955</v>
      </c>
      <c r="J18" s="1276" t="s">
        <v>1956</v>
      </c>
    </row>
    <row r="19" spans="2:10" ht="15.75" x14ac:dyDescent="0.25">
      <c r="B19" s="1078" t="s">
        <v>1957</v>
      </c>
      <c r="C19" s="1079" t="s">
        <v>1473</v>
      </c>
      <c r="E19" s="1274" t="s">
        <v>1925</v>
      </c>
      <c r="F19" s="1275" t="s">
        <v>1958</v>
      </c>
      <c r="G19" s="1275"/>
      <c r="H19" s="1275" t="s">
        <v>1927</v>
      </c>
      <c r="I19" s="1275" t="s">
        <v>1959</v>
      </c>
      <c r="J19" s="1276" t="s">
        <v>1960</v>
      </c>
    </row>
    <row r="20" spans="2:10" ht="15.75" x14ac:dyDescent="0.25">
      <c r="B20" s="1079" t="s">
        <v>1961</v>
      </c>
      <c r="C20" s="1079" t="s">
        <v>1473</v>
      </c>
      <c r="E20" s="1274" t="s">
        <v>1925</v>
      </c>
      <c r="F20" s="1275" t="s">
        <v>1962</v>
      </c>
      <c r="G20" s="1275"/>
      <c r="H20" s="1275" t="s">
        <v>1927</v>
      </c>
      <c r="I20" s="1275" t="s">
        <v>1963</v>
      </c>
      <c r="J20" s="1276" t="s">
        <v>1964</v>
      </c>
    </row>
    <row r="21" spans="2:10" ht="15.75" x14ac:dyDescent="0.25">
      <c r="B21" s="1078" t="s">
        <v>913</v>
      </c>
      <c r="C21" s="1079" t="s">
        <v>1473</v>
      </c>
      <c r="E21" s="1274" t="s">
        <v>1925</v>
      </c>
      <c r="F21" s="1275" t="s">
        <v>1965</v>
      </c>
      <c r="G21" s="1275"/>
      <c r="H21" s="1275" t="s">
        <v>1927</v>
      </c>
      <c r="I21" s="1275" t="s">
        <v>1966</v>
      </c>
      <c r="J21" s="1276" t="s">
        <v>1967</v>
      </c>
    </row>
    <row r="22" spans="2:10" ht="15.75" x14ac:dyDescent="0.25">
      <c r="B22" s="1079" t="s">
        <v>1968</v>
      </c>
      <c r="C22" s="1079" t="s">
        <v>1969</v>
      </c>
      <c r="E22" s="1274" t="s">
        <v>1925</v>
      </c>
      <c r="F22" s="1275" t="s">
        <v>1970</v>
      </c>
      <c r="G22" s="1275"/>
      <c r="H22" s="1275" t="s">
        <v>1927</v>
      </c>
      <c r="I22" s="1275" t="s">
        <v>1971</v>
      </c>
      <c r="J22" s="1276" t="s">
        <v>1972</v>
      </c>
    </row>
    <row r="23" spans="2:10" x14ac:dyDescent="0.2">
      <c r="B23" s="1078" t="s">
        <v>885</v>
      </c>
      <c r="C23" s="1078" t="s">
        <v>1969</v>
      </c>
      <c r="E23" s="1274" t="s">
        <v>1925</v>
      </c>
      <c r="F23" s="1275" t="s">
        <v>1973</v>
      </c>
      <c r="G23" s="1275"/>
      <c r="H23" s="1275" t="s">
        <v>1927</v>
      </c>
      <c r="I23" s="1275" t="s">
        <v>1974</v>
      </c>
      <c r="J23" s="1276" t="s">
        <v>1975</v>
      </c>
    </row>
    <row r="24" spans="2:10" ht="28.5" x14ac:dyDescent="0.2">
      <c r="B24" s="1078" t="s">
        <v>892</v>
      </c>
      <c r="C24" s="1078" t="s">
        <v>1969</v>
      </c>
      <c r="E24" s="1274" t="s">
        <v>1925</v>
      </c>
      <c r="F24" s="1275" t="s">
        <v>1976</v>
      </c>
      <c r="G24" s="1275"/>
      <c r="H24" s="1275" t="s">
        <v>1927</v>
      </c>
      <c r="I24" s="1275" t="s">
        <v>1977</v>
      </c>
      <c r="J24" s="1276" t="s">
        <v>1978</v>
      </c>
    </row>
    <row r="25" spans="2:10" ht="28.5" x14ac:dyDescent="0.2">
      <c r="B25" s="1078" t="s">
        <v>1979</v>
      </c>
      <c r="C25" s="1078" t="s">
        <v>1969</v>
      </c>
      <c r="E25" s="1274" t="s">
        <v>1925</v>
      </c>
      <c r="F25" s="1275" t="s">
        <v>1980</v>
      </c>
      <c r="G25" s="1275"/>
      <c r="H25" s="1275" t="s">
        <v>1927</v>
      </c>
      <c r="I25" s="1275" t="s">
        <v>1981</v>
      </c>
      <c r="J25" s="1276" t="s">
        <v>1982</v>
      </c>
    </row>
    <row r="26" spans="2:10" x14ac:dyDescent="0.2">
      <c r="B26" s="1078" t="s">
        <v>1983</v>
      </c>
      <c r="C26" s="1078" t="s">
        <v>1471</v>
      </c>
      <c r="E26" s="1274" t="s">
        <v>1925</v>
      </c>
      <c r="F26" s="1275" t="s">
        <v>1984</v>
      </c>
      <c r="G26" s="1275"/>
      <c r="H26" s="1275" t="s">
        <v>1927</v>
      </c>
      <c r="I26" s="1275" t="s">
        <v>1985</v>
      </c>
      <c r="J26" s="1276" t="s">
        <v>904</v>
      </c>
    </row>
    <row r="27" spans="2:10" ht="28.5" x14ac:dyDescent="0.2">
      <c r="B27" s="1078" t="s">
        <v>1986</v>
      </c>
      <c r="C27" s="1078" t="s">
        <v>1471</v>
      </c>
      <c r="E27" s="1274" t="s">
        <v>1925</v>
      </c>
      <c r="F27" s="1275" t="s">
        <v>1987</v>
      </c>
      <c r="G27" s="1275"/>
      <c r="H27" s="1275" t="s">
        <v>1927</v>
      </c>
      <c r="I27" s="1275" t="s">
        <v>1988</v>
      </c>
      <c r="J27" s="1276" t="s">
        <v>1989</v>
      </c>
    </row>
    <row r="28" spans="2:10" x14ac:dyDescent="0.2">
      <c r="B28" s="1078" t="s">
        <v>1990</v>
      </c>
      <c r="C28" s="1078" t="s">
        <v>1471</v>
      </c>
      <c r="E28" s="1274" t="s">
        <v>1925</v>
      </c>
      <c r="F28" s="1275" t="s">
        <v>1991</v>
      </c>
      <c r="G28" s="1275"/>
      <c r="H28" s="1275" t="s">
        <v>1927</v>
      </c>
      <c r="I28" s="1275" t="s">
        <v>1992</v>
      </c>
      <c r="J28" s="1276" t="s">
        <v>1993</v>
      </c>
    </row>
    <row r="29" spans="2:10" ht="28.5" x14ac:dyDescent="0.2">
      <c r="B29" s="1078" t="s">
        <v>1994</v>
      </c>
      <c r="C29" s="1078" t="s">
        <v>1471</v>
      </c>
      <c r="E29" s="1274" t="s">
        <v>1925</v>
      </c>
      <c r="F29" s="1275" t="s">
        <v>1995</v>
      </c>
      <c r="G29" s="1275"/>
      <c r="H29" s="1275" t="s">
        <v>1927</v>
      </c>
      <c r="I29" s="1275" t="s">
        <v>1996</v>
      </c>
      <c r="J29" s="1276" t="s">
        <v>1997</v>
      </c>
    </row>
    <row r="30" spans="2:10" x14ac:dyDescent="0.2">
      <c r="B30" s="1078" t="s">
        <v>860</v>
      </c>
      <c r="C30" s="1078" t="s">
        <v>1471</v>
      </c>
      <c r="E30" s="1274" t="s">
        <v>1925</v>
      </c>
      <c r="F30" s="1275" t="s">
        <v>1998</v>
      </c>
      <c r="G30" s="1275"/>
      <c r="H30" s="1275" t="s">
        <v>1927</v>
      </c>
      <c r="I30" s="1275" t="s">
        <v>1999</v>
      </c>
      <c r="J30" s="1276" t="s">
        <v>2000</v>
      </c>
    </row>
    <row r="31" spans="2:10" x14ac:dyDescent="0.2">
      <c r="B31" s="1078" t="s">
        <v>2001</v>
      </c>
      <c r="C31" s="1078" t="s">
        <v>1471</v>
      </c>
      <c r="E31" s="1274" t="s">
        <v>1925</v>
      </c>
      <c r="F31" s="1275" t="s">
        <v>2002</v>
      </c>
      <c r="G31" s="1275"/>
      <c r="H31" s="1275" t="s">
        <v>1927</v>
      </c>
      <c r="I31" s="1275" t="s">
        <v>2003</v>
      </c>
      <c r="J31" s="1276" t="s">
        <v>2004</v>
      </c>
    </row>
    <row r="32" spans="2:10" x14ac:dyDescent="0.2">
      <c r="B32" s="1078" t="s">
        <v>2005</v>
      </c>
      <c r="C32" s="1078" t="s">
        <v>1471</v>
      </c>
      <c r="E32" s="1274" t="s">
        <v>1925</v>
      </c>
      <c r="F32" s="1275" t="s">
        <v>2006</v>
      </c>
      <c r="G32" s="1275"/>
      <c r="H32" s="1275" t="s">
        <v>1927</v>
      </c>
      <c r="I32" s="1275" t="s">
        <v>2007</v>
      </c>
      <c r="J32" s="1276" t="s">
        <v>2008</v>
      </c>
    </row>
    <row r="33" spans="2:10" x14ac:dyDescent="0.2">
      <c r="B33" s="1078" t="s">
        <v>973</v>
      </c>
      <c r="C33" s="1078" t="s">
        <v>1470</v>
      </c>
      <c r="E33" s="1274" t="s">
        <v>1925</v>
      </c>
      <c r="F33" s="1275" t="s">
        <v>2009</v>
      </c>
      <c r="G33" s="1275"/>
      <c r="H33" s="1275" t="s">
        <v>1927</v>
      </c>
      <c r="I33" s="1275" t="s">
        <v>2010</v>
      </c>
      <c r="J33" s="1276" t="s">
        <v>1172</v>
      </c>
    </row>
    <row r="34" spans="2:10" x14ac:dyDescent="0.2">
      <c r="B34" s="1078" t="s">
        <v>1142</v>
      </c>
      <c r="C34" s="1078" t="s">
        <v>1470</v>
      </c>
      <c r="E34" s="1274" t="s">
        <v>1925</v>
      </c>
      <c r="F34" s="1275" t="s">
        <v>2011</v>
      </c>
      <c r="G34" s="1275"/>
      <c r="H34" s="1275" t="s">
        <v>1927</v>
      </c>
      <c r="I34" s="1275" t="s">
        <v>2012</v>
      </c>
      <c r="J34" s="1276" t="s">
        <v>992</v>
      </c>
    </row>
    <row r="35" spans="2:10" x14ac:dyDescent="0.2">
      <c r="B35" s="1078" t="s">
        <v>2013</v>
      </c>
      <c r="C35" s="1078" t="s">
        <v>1470</v>
      </c>
      <c r="E35" s="1274" t="s">
        <v>1925</v>
      </c>
      <c r="F35" s="1275" t="s">
        <v>2014</v>
      </c>
      <c r="G35" s="1275"/>
      <c r="H35" s="1275" t="s">
        <v>1927</v>
      </c>
      <c r="I35" s="1275" t="s">
        <v>2015</v>
      </c>
      <c r="J35" s="1276" t="s">
        <v>2016</v>
      </c>
    </row>
    <row r="36" spans="2:10" x14ac:dyDescent="0.2">
      <c r="B36" s="1078" t="s">
        <v>2017</v>
      </c>
      <c r="C36" s="1078" t="s">
        <v>1470</v>
      </c>
      <c r="E36" s="1274" t="s">
        <v>1925</v>
      </c>
      <c r="F36" s="1275" t="s">
        <v>2018</v>
      </c>
      <c r="G36" s="1275"/>
      <c r="H36" s="1275" t="s">
        <v>1927</v>
      </c>
      <c r="I36" s="1275" t="s">
        <v>2019</v>
      </c>
      <c r="J36" s="1276" t="s">
        <v>2020</v>
      </c>
    </row>
    <row r="37" spans="2:10" x14ac:dyDescent="0.2">
      <c r="B37" s="1078" t="s">
        <v>1068</v>
      </c>
      <c r="C37" s="1078" t="s">
        <v>1470</v>
      </c>
      <c r="E37" s="1274" t="s">
        <v>1925</v>
      </c>
      <c r="F37" s="1275" t="s">
        <v>2021</v>
      </c>
      <c r="G37" s="1275"/>
      <c r="H37" s="1275" t="s">
        <v>1927</v>
      </c>
      <c r="I37" s="1275" t="s">
        <v>2022</v>
      </c>
      <c r="J37" s="1276" t="s">
        <v>2023</v>
      </c>
    </row>
    <row r="38" spans="2:10" x14ac:dyDescent="0.2">
      <c r="B38" s="1078" t="s">
        <v>1058</v>
      </c>
      <c r="C38" s="1078" t="s">
        <v>1470</v>
      </c>
      <c r="E38" s="1274" t="s">
        <v>2024</v>
      </c>
      <c r="F38" s="1275" t="s">
        <v>2025</v>
      </c>
      <c r="G38" s="1275">
        <v>97</v>
      </c>
      <c r="H38" s="1275" t="s">
        <v>2026</v>
      </c>
      <c r="I38" s="1275" t="s">
        <v>2027</v>
      </c>
      <c r="J38" s="1276" t="s">
        <v>2028</v>
      </c>
    </row>
    <row r="39" spans="2:10" x14ac:dyDescent="0.2">
      <c r="B39" s="1078" t="s">
        <v>2029</v>
      </c>
      <c r="C39" s="1078" t="s">
        <v>1470</v>
      </c>
      <c r="E39" s="1274" t="s">
        <v>2030</v>
      </c>
      <c r="F39" s="1275" t="s">
        <v>2031</v>
      </c>
      <c r="G39" s="1275">
        <v>54</v>
      </c>
      <c r="H39" s="1275" t="s">
        <v>2032</v>
      </c>
      <c r="I39" s="1275" t="s">
        <v>2032</v>
      </c>
      <c r="J39" s="1276" t="s">
        <v>2033</v>
      </c>
    </row>
    <row r="40" spans="2:10" x14ac:dyDescent="0.2">
      <c r="B40" s="1078" t="s">
        <v>1366</v>
      </c>
      <c r="C40" s="1078" t="s">
        <v>1470</v>
      </c>
      <c r="E40" s="1274" t="s">
        <v>2034</v>
      </c>
      <c r="F40" s="1275" t="s">
        <v>2035</v>
      </c>
      <c r="G40" s="1275">
        <v>203</v>
      </c>
      <c r="H40" s="1275" t="s">
        <v>2036</v>
      </c>
      <c r="I40" s="1275" t="s">
        <v>2037</v>
      </c>
      <c r="J40" s="1276" t="s">
        <v>2038</v>
      </c>
    </row>
    <row r="41" spans="2:10" x14ac:dyDescent="0.2">
      <c r="B41" s="1078" t="s">
        <v>987</v>
      </c>
      <c r="C41" s="1078" t="s">
        <v>1470</v>
      </c>
      <c r="E41" s="1274" t="s">
        <v>2034</v>
      </c>
      <c r="F41" s="1275" t="s">
        <v>2039</v>
      </c>
      <c r="G41" s="1275">
        <v>209</v>
      </c>
      <c r="H41" s="1275" t="s">
        <v>2036</v>
      </c>
      <c r="I41" s="1275" t="s">
        <v>2040</v>
      </c>
      <c r="J41" s="1276" t="s">
        <v>2041</v>
      </c>
    </row>
    <row r="42" spans="2:10" x14ac:dyDescent="0.2">
      <c r="B42" s="1078" t="s">
        <v>1359</v>
      </c>
      <c r="C42" s="1078" t="s">
        <v>1470</v>
      </c>
      <c r="E42" s="1274" t="s">
        <v>2034</v>
      </c>
      <c r="F42" s="1275" t="s">
        <v>2042</v>
      </c>
      <c r="G42" s="1275">
        <v>208</v>
      </c>
      <c r="H42" s="1275" t="s">
        <v>2036</v>
      </c>
      <c r="I42" s="1275" t="s">
        <v>2043</v>
      </c>
      <c r="J42" s="1276" t="s">
        <v>2044</v>
      </c>
    </row>
    <row r="43" spans="2:10" ht="28.5" x14ac:dyDescent="0.2">
      <c r="B43" s="1078" t="s">
        <v>2045</v>
      </c>
      <c r="C43" s="1078" t="s">
        <v>1470</v>
      </c>
      <c r="E43" s="1274" t="s">
        <v>2034</v>
      </c>
      <c r="F43" s="1275" t="s">
        <v>2046</v>
      </c>
      <c r="G43" s="1275">
        <v>221</v>
      </c>
      <c r="H43" s="1275" t="s">
        <v>2036</v>
      </c>
      <c r="I43" s="1275" t="s">
        <v>2047</v>
      </c>
      <c r="J43" s="1276" t="s">
        <v>2048</v>
      </c>
    </row>
    <row r="44" spans="2:10" x14ac:dyDescent="0.2">
      <c r="B44" s="1078" t="s">
        <v>1099</v>
      </c>
      <c r="C44" s="1078" t="s">
        <v>1470</v>
      </c>
      <c r="E44" s="1274" t="s">
        <v>2034</v>
      </c>
      <c r="F44" s="1275" t="s">
        <v>2049</v>
      </c>
      <c r="G44" s="1275">
        <v>204</v>
      </c>
      <c r="H44" s="1275" t="s">
        <v>2036</v>
      </c>
      <c r="I44" s="1275" t="s">
        <v>2050</v>
      </c>
      <c r="J44" s="1276" t="s">
        <v>2051</v>
      </c>
    </row>
    <row r="45" spans="2:10" x14ac:dyDescent="0.2">
      <c r="B45" s="1078" t="s">
        <v>1186</v>
      </c>
      <c r="C45" s="1078" t="s">
        <v>1470</v>
      </c>
      <c r="E45" s="1274" t="s">
        <v>2034</v>
      </c>
      <c r="F45" s="1275" t="s">
        <v>2052</v>
      </c>
      <c r="G45" s="1275">
        <v>205</v>
      </c>
      <c r="H45" s="1275" t="s">
        <v>2036</v>
      </c>
      <c r="I45" s="1275" t="s">
        <v>2053</v>
      </c>
      <c r="J45" s="1276" t="s">
        <v>2054</v>
      </c>
    </row>
    <row r="46" spans="2:10" ht="28.5" x14ac:dyDescent="0.2">
      <c r="B46" s="1078" t="s">
        <v>1006</v>
      </c>
      <c r="C46" s="1078" t="s">
        <v>1470</v>
      </c>
      <c r="E46" s="1274" t="s">
        <v>2034</v>
      </c>
      <c r="F46" s="1275" t="s">
        <v>2055</v>
      </c>
      <c r="G46" s="1275">
        <v>215</v>
      </c>
      <c r="H46" s="1275" t="s">
        <v>2036</v>
      </c>
      <c r="I46" s="1275" t="s">
        <v>2056</v>
      </c>
      <c r="J46" s="1276" t="s">
        <v>2057</v>
      </c>
    </row>
    <row r="47" spans="2:10" x14ac:dyDescent="0.2">
      <c r="B47" s="1078" t="s">
        <v>1053</v>
      </c>
      <c r="C47" s="1078" t="s">
        <v>1470</v>
      </c>
      <c r="E47" s="1274" t="s">
        <v>2034</v>
      </c>
      <c r="F47" s="1275" t="s">
        <v>2058</v>
      </c>
      <c r="G47" s="1275">
        <v>210</v>
      </c>
      <c r="H47" s="1275" t="s">
        <v>2036</v>
      </c>
      <c r="I47" s="1275" t="s">
        <v>2059</v>
      </c>
      <c r="J47" s="1276" t="s">
        <v>2060</v>
      </c>
    </row>
    <row r="48" spans="2:10" x14ac:dyDescent="0.2">
      <c r="E48" s="1274" t="s">
        <v>2034</v>
      </c>
      <c r="F48" s="1275" t="s">
        <v>2061</v>
      </c>
      <c r="G48" s="1275">
        <v>217</v>
      </c>
      <c r="H48" s="1275" t="s">
        <v>2036</v>
      </c>
      <c r="I48" s="1275" t="s">
        <v>2062</v>
      </c>
      <c r="J48" s="1276" t="s">
        <v>2063</v>
      </c>
    </row>
    <row r="49" spans="5:10" x14ac:dyDescent="0.2">
      <c r="E49" s="1274" t="s">
        <v>2034</v>
      </c>
      <c r="F49" s="1275" t="s">
        <v>2064</v>
      </c>
      <c r="G49" s="1275">
        <v>207</v>
      </c>
      <c r="H49" s="1275" t="s">
        <v>2036</v>
      </c>
      <c r="I49" s="1275" t="s">
        <v>2065</v>
      </c>
      <c r="J49" s="1276" t="s">
        <v>2066</v>
      </c>
    </row>
    <row r="50" spans="5:10" x14ac:dyDescent="0.2">
      <c r="E50" s="1274" t="s">
        <v>2034</v>
      </c>
      <c r="F50" s="1275" t="s">
        <v>2067</v>
      </c>
      <c r="G50" s="1275">
        <v>220</v>
      </c>
      <c r="H50" s="1275" t="s">
        <v>2036</v>
      </c>
      <c r="I50" s="1275" t="s">
        <v>2068</v>
      </c>
      <c r="J50" s="1276" t="s">
        <v>2069</v>
      </c>
    </row>
    <row r="51" spans="5:10" x14ac:dyDescent="0.2">
      <c r="E51" s="1274" t="s">
        <v>2034</v>
      </c>
      <c r="F51" s="1275" t="s">
        <v>2070</v>
      </c>
      <c r="G51" s="1275">
        <v>214</v>
      </c>
      <c r="H51" s="1275" t="s">
        <v>2036</v>
      </c>
      <c r="I51" s="1275" t="s">
        <v>2071</v>
      </c>
      <c r="J51" s="1276" t="s">
        <v>2072</v>
      </c>
    </row>
    <row r="52" spans="5:10" x14ac:dyDescent="0.2">
      <c r="E52" s="1274" t="s">
        <v>2034</v>
      </c>
      <c r="F52" s="1275" t="s">
        <v>2073</v>
      </c>
      <c r="G52" s="1275">
        <v>226</v>
      </c>
      <c r="H52" s="1275" t="s">
        <v>2036</v>
      </c>
      <c r="I52" s="1275" t="s">
        <v>2074</v>
      </c>
      <c r="J52" s="1276" t="s">
        <v>2075</v>
      </c>
    </row>
    <row r="53" spans="5:10" x14ac:dyDescent="0.2">
      <c r="E53" s="1274" t="s">
        <v>2034</v>
      </c>
      <c r="F53" s="1275" t="s">
        <v>2076</v>
      </c>
      <c r="G53" s="1275">
        <v>213</v>
      </c>
      <c r="H53" s="1275" t="s">
        <v>2036</v>
      </c>
      <c r="I53" s="1275" t="s">
        <v>2077</v>
      </c>
      <c r="J53" s="1276" t="s">
        <v>2078</v>
      </c>
    </row>
    <row r="54" spans="5:10" x14ac:dyDescent="0.2">
      <c r="E54" s="1274" t="s">
        <v>2034</v>
      </c>
      <c r="F54" s="1275" t="s">
        <v>2079</v>
      </c>
      <c r="G54" s="1275">
        <v>206</v>
      </c>
      <c r="H54" s="1275" t="s">
        <v>2036</v>
      </c>
      <c r="I54" s="1275" t="s">
        <v>2080</v>
      </c>
      <c r="J54" s="1276" t="s">
        <v>2081</v>
      </c>
    </row>
    <row r="55" spans="5:10" x14ac:dyDescent="0.2">
      <c r="E55" s="1274" t="s">
        <v>2034</v>
      </c>
      <c r="F55" s="1275" t="s">
        <v>2082</v>
      </c>
      <c r="G55" s="1275">
        <v>223</v>
      </c>
      <c r="H55" s="1275" t="s">
        <v>2036</v>
      </c>
      <c r="I55" s="1275" t="s">
        <v>2083</v>
      </c>
      <c r="J55" s="1276" t="s">
        <v>2084</v>
      </c>
    </row>
    <row r="56" spans="5:10" x14ac:dyDescent="0.2">
      <c r="E56" s="1274" t="s">
        <v>2034</v>
      </c>
      <c r="F56" s="1275" t="s">
        <v>2085</v>
      </c>
      <c r="G56" s="1275">
        <v>216</v>
      </c>
      <c r="H56" s="1275" t="s">
        <v>2036</v>
      </c>
      <c r="I56" s="1275" t="s">
        <v>2086</v>
      </c>
      <c r="J56" s="1276" t="s">
        <v>2087</v>
      </c>
    </row>
    <row r="57" spans="5:10" x14ac:dyDescent="0.2">
      <c r="E57" s="1274" t="s">
        <v>2034</v>
      </c>
      <c r="F57" s="1275" t="s">
        <v>2088</v>
      </c>
      <c r="G57" s="1275">
        <v>225</v>
      </c>
      <c r="H57" s="1275" t="s">
        <v>2036</v>
      </c>
      <c r="I57" s="1275" t="s">
        <v>2089</v>
      </c>
      <c r="J57" s="1276" t="s">
        <v>2090</v>
      </c>
    </row>
    <row r="58" spans="5:10" x14ac:dyDescent="0.2">
      <c r="E58" s="1274" t="s">
        <v>2034</v>
      </c>
      <c r="F58" s="1275" t="s">
        <v>2091</v>
      </c>
      <c r="G58" s="1275">
        <v>224</v>
      </c>
      <c r="H58" s="1275" t="s">
        <v>2036</v>
      </c>
      <c r="I58" s="1275" t="s">
        <v>2092</v>
      </c>
      <c r="J58" s="1276" t="s">
        <v>2093</v>
      </c>
    </row>
    <row r="59" spans="5:10" x14ac:dyDescent="0.2">
      <c r="E59" s="1274" t="s">
        <v>2034</v>
      </c>
      <c r="F59" s="1275" t="s">
        <v>2094</v>
      </c>
      <c r="G59" s="1275">
        <v>211</v>
      </c>
      <c r="H59" s="1275" t="s">
        <v>2036</v>
      </c>
      <c r="I59" s="1275" t="s">
        <v>2095</v>
      </c>
      <c r="J59" s="1276" t="s">
        <v>2096</v>
      </c>
    </row>
    <row r="60" spans="5:10" x14ac:dyDescent="0.2">
      <c r="E60" s="1274" t="s">
        <v>2034</v>
      </c>
      <c r="F60" s="1275" t="s">
        <v>2097</v>
      </c>
      <c r="G60" s="1275">
        <v>222</v>
      </c>
      <c r="H60" s="1275" t="s">
        <v>2036</v>
      </c>
      <c r="I60" s="1275" t="s">
        <v>2098</v>
      </c>
      <c r="J60" s="1276" t="s">
        <v>2099</v>
      </c>
    </row>
    <row r="61" spans="5:10" x14ac:dyDescent="0.2">
      <c r="E61" s="1274" t="s">
        <v>2034</v>
      </c>
      <c r="F61" s="1275" t="s">
        <v>2100</v>
      </c>
      <c r="G61" s="1275">
        <v>212</v>
      </c>
      <c r="H61" s="1275" t="s">
        <v>2036</v>
      </c>
      <c r="I61" s="1275" t="s">
        <v>2101</v>
      </c>
      <c r="J61" s="1276" t="s">
        <v>2102</v>
      </c>
    </row>
    <row r="62" spans="5:10" x14ac:dyDescent="0.2">
      <c r="E62" s="1274" t="s">
        <v>2034</v>
      </c>
      <c r="F62" s="1275" t="s">
        <v>2103</v>
      </c>
      <c r="G62" s="1275">
        <v>219</v>
      </c>
      <c r="H62" s="1275" t="s">
        <v>2036</v>
      </c>
      <c r="I62" s="1275" t="s">
        <v>2104</v>
      </c>
      <c r="J62" s="1276" t="s">
        <v>2105</v>
      </c>
    </row>
    <row r="63" spans="5:10" x14ac:dyDescent="0.2">
      <c r="E63" s="1274" t="s">
        <v>2034</v>
      </c>
      <c r="F63" s="1275" t="s">
        <v>2106</v>
      </c>
      <c r="G63" s="1275">
        <v>218</v>
      </c>
      <c r="H63" s="1275" t="s">
        <v>2036</v>
      </c>
      <c r="I63" s="1275" t="s">
        <v>2107</v>
      </c>
      <c r="J63" s="1276" t="s">
        <v>2108</v>
      </c>
    </row>
    <row r="64" spans="5:10" x14ac:dyDescent="0.2">
      <c r="E64" s="1274" t="s">
        <v>444</v>
      </c>
      <c r="F64" s="1275" t="s">
        <v>1885</v>
      </c>
      <c r="G64" s="1275">
        <v>56</v>
      </c>
      <c r="H64" s="1275" t="s">
        <v>1886</v>
      </c>
      <c r="I64" s="1275" t="s">
        <v>1887</v>
      </c>
      <c r="J64" s="1276" t="s">
        <v>93</v>
      </c>
    </row>
    <row r="65" spans="5:10" x14ac:dyDescent="0.2">
      <c r="E65" s="1274" t="s">
        <v>444</v>
      </c>
      <c r="F65" s="1275" t="s">
        <v>1894</v>
      </c>
      <c r="G65" s="1275">
        <v>58</v>
      </c>
      <c r="H65" s="1275" t="s">
        <v>1886</v>
      </c>
      <c r="I65" s="1275" t="s">
        <v>1895</v>
      </c>
      <c r="J65" s="1276" t="s">
        <v>88</v>
      </c>
    </row>
    <row r="66" spans="5:10" x14ac:dyDescent="0.2">
      <c r="E66" s="1274" t="s">
        <v>444</v>
      </c>
      <c r="F66" s="1275" t="s">
        <v>1900</v>
      </c>
      <c r="G66" s="1275">
        <v>57</v>
      </c>
      <c r="H66" s="1275" t="s">
        <v>1886</v>
      </c>
      <c r="I66" s="1275" t="s">
        <v>1901</v>
      </c>
      <c r="J66" s="1276" t="s">
        <v>102</v>
      </c>
    </row>
    <row r="67" spans="5:10" x14ac:dyDescent="0.2">
      <c r="E67" s="1274" t="s">
        <v>444</v>
      </c>
      <c r="F67" s="1275" t="s">
        <v>1906</v>
      </c>
      <c r="G67" s="1275">
        <v>55</v>
      </c>
      <c r="H67" s="1275" t="s">
        <v>1886</v>
      </c>
      <c r="I67" s="1275" t="s">
        <v>1907</v>
      </c>
      <c r="J67" s="1276" t="s">
        <v>105</v>
      </c>
    </row>
    <row r="68" spans="5:10" x14ac:dyDescent="0.2">
      <c r="E68" s="1274" t="s">
        <v>2109</v>
      </c>
      <c r="F68" s="1275" t="s">
        <v>2110</v>
      </c>
      <c r="G68" s="1275">
        <v>50</v>
      </c>
      <c r="H68" s="1275" t="s">
        <v>2111</v>
      </c>
      <c r="I68" s="1275" t="s">
        <v>2112</v>
      </c>
      <c r="J68" s="1276" t="s">
        <v>2113</v>
      </c>
    </row>
    <row r="69" spans="5:10" x14ac:dyDescent="0.2">
      <c r="E69" s="1274" t="s">
        <v>2109</v>
      </c>
      <c r="F69" s="1275" t="s">
        <v>2114</v>
      </c>
      <c r="G69" s="1275"/>
      <c r="H69" s="1275" t="s">
        <v>2111</v>
      </c>
      <c r="I69" s="1275" t="s">
        <v>2115</v>
      </c>
      <c r="J69" s="1276" t="s">
        <v>2116</v>
      </c>
    </row>
    <row r="70" spans="5:10" x14ac:dyDescent="0.2">
      <c r="E70" s="1274" t="s">
        <v>2109</v>
      </c>
      <c r="F70" s="1275" t="s">
        <v>2117</v>
      </c>
      <c r="G70" s="1275"/>
      <c r="H70" s="1275" t="s">
        <v>2111</v>
      </c>
      <c r="I70" s="1275" t="s">
        <v>2118</v>
      </c>
      <c r="J70" s="1276" t="s">
        <v>2119</v>
      </c>
    </row>
    <row r="71" spans="5:10" x14ac:dyDescent="0.2">
      <c r="E71" s="1274" t="s">
        <v>2109</v>
      </c>
      <c r="F71" s="1275" t="s">
        <v>2120</v>
      </c>
      <c r="G71" s="1275">
        <v>202</v>
      </c>
      <c r="H71" s="1275" t="s">
        <v>2111</v>
      </c>
      <c r="I71" s="1275" t="s">
        <v>2121</v>
      </c>
      <c r="J71" s="1276" t="s">
        <v>2122</v>
      </c>
    </row>
    <row r="72" spans="5:10" x14ac:dyDescent="0.2">
      <c r="E72" s="1274" t="s">
        <v>2123</v>
      </c>
      <c r="F72" s="1275" t="s">
        <v>2124</v>
      </c>
      <c r="G72" s="1275">
        <v>1</v>
      </c>
      <c r="H72" s="1275" t="s">
        <v>2125</v>
      </c>
      <c r="I72" s="1275" t="s">
        <v>2126</v>
      </c>
      <c r="J72" s="1276" t="s">
        <v>2127</v>
      </c>
    </row>
    <row r="73" spans="5:10" x14ac:dyDescent="0.2">
      <c r="E73" s="1274" t="s">
        <v>2123</v>
      </c>
      <c r="F73" s="1275" t="s">
        <v>2128</v>
      </c>
      <c r="G73" s="1275">
        <v>2</v>
      </c>
      <c r="H73" s="1275" t="s">
        <v>2125</v>
      </c>
      <c r="I73" s="1275" t="s">
        <v>2129</v>
      </c>
      <c r="J73" s="1276" t="s">
        <v>2130</v>
      </c>
    </row>
    <row r="74" spans="5:10" x14ac:dyDescent="0.2">
      <c r="E74" s="1274" t="s">
        <v>2131</v>
      </c>
      <c r="F74" s="1275" t="s">
        <v>2132</v>
      </c>
      <c r="G74" s="1275">
        <v>96</v>
      </c>
      <c r="H74" s="1275" t="s">
        <v>2133</v>
      </c>
      <c r="I74" s="1275" t="s">
        <v>2134</v>
      </c>
      <c r="J74" s="1276" t="s">
        <v>2135</v>
      </c>
    </row>
    <row r="75" spans="5:10" x14ac:dyDescent="0.2">
      <c r="E75" s="1274" t="s">
        <v>2136</v>
      </c>
      <c r="F75" s="1275" t="s">
        <v>2136</v>
      </c>
      <c r="G75" s="1275">
        <v>95</v>
      </c>
      <c r="H75" s="1275" t="s">
        <v>2137</v>
      </c>
      <c r="I75" s="1275" t="s">
        <v>2137</v>
      </c>
      <c r="J75" s="1276" t="s">
        <v>2138</v>
      </c>
    </row>
    <row r="76" spans="5:10" x14ac:dyDescent="0.2">
      <c r="E76" s="1274" t="s">
        <v>2139</v>
      </c>
      <c r="F76" s="1275" t="s">
        <v>2140</v>
      </c>
      <c r="G76" s="1275">
        <v>51</v>
      </c>
      <c r="H76" s="1275" t="s">
        <v>2141</v>
      </c>
      <c r="I76" s="1275" t="s">
        <v>2142</v>
      </c>
      <c r="J76" s="1276" t="s">
        <v>2143</v>
      </c>
    </row>
    <row r="77" spans="5:10" x14ac:dyDescent="0.2">
      <c r="E77" s="1274" t="s">
        <v>2139</v>
      </c>
      <c r="F77" s="1275" t="s">
        <v>2144</v>
      </c>
      <c r="G77" s="1275">
        <v>92</v>
      </c>
      <c r="H77" s="1275" t="s">
        <v>2141</v>
      </c>
      <c r="I77" s="1275" t="s">
        <v>2145</v>
      </c>
      <c r="J77" s="1276" t="s">
        <v>2146</v>
      </c>
    </row>
    <row r="78" spans="5:10" x14ac:dyDescent="0.2">
      <c r="E78" s="1274" t="s">
        <v>2139</v>
      </c>
      <c r="F78" s="1275" t="s">
        <v>2147</v>
      </c>
      <c r="G78" s="1275">
        <v>52</v>
      </c>
      <c r="H78" s="1275" t="s">
        <v>2141</v>
      </c>
      <c r="I78" s="1275" t="s">
        <v>2148</v>
      </c>
      <c r="J78" s="1276" t="s">
        <v>2149</v>
      </c>
    </row>
    <row r="79" spans="5:10" x14ac:dyDescent="0.2">
      <c r="E79" s="1274" t="s">
        <v>2139</v>
      </c>
      <c r="F79" s="1275" t="s">
        <v>2150</v>
      </c>
      <c r="G79" s="1275">
        <v>47</v>
      </c>
      <c r="H79" s="1275" t="s">
        <v>2141</v>
      </c>
      <c r="I79" s="1275" t="s">
        <v>2151</v>
      </c>
      <c r="J79" s="1276" t="s">
        <v>2152</v>
      </c>
    </row>
    <row r="80" spans="5:10" x14ac:dyDescent="0.2">
      <c r="E80" s="1274" t="s">
        <v>2139</v>
      </c>
      <c r="F80" s="1275" t="s">
        <v>2153</v>
      </c>
      <c r="G80" s="1275">
        <v>48</v>
      </c>
      <c r="H80" s="1275" t="s">
        <v>2141</v>
      </c>
      <c r="I80" s="1275" t="s">
        <v>2154</v>
      </c>
      <c r="J80" s="1276" t="s">
        <v>2155</v>
      </c>
    </row>
    <row r="81" spans="5:10" x14ac:dyDescent="0.2">
      <c r="E81" s="1274" t="s">
        <v>2139</v>
      </c>
      <c r="F81" s="1275" t="s">
        <v>2156</v>
      </c>
      <c r="G81" s="1275">
        <v>39</v>
      </c>
      <c r="H81" s="1275" t="s">
        <v>2141</v>
      </c>
      <c r="I81" s="1275" t="s">
        <v>2157</v>
      </c>
      <c r="J81" s="1276" t="s">
        <v>2158</v>
      </c>
    </row>
    <row r="82" spans="5:10" x14ac:dyDescent="0.2">
      <c r="E82" s="1274" t="s">
        <v>2139</v>
      </c>
      <c r="F82" s="1275" t="s">
        <v>2159</v>
      </c>
      <c r="G82" s="1275">
        <v>42</v>
      </c>
      <c r="H82" s="1275" t="s">
        <v>2141</v>
      </c>
      <c r="I82" s="1275" t="s">
        <v>2160</v>
      </c>
      <c r="J82" s="1276" t="s">
        <v>2161</v>
      </c>
    </row>
    <row r="83" spans="5:10" x14ac:dyDescent="0.2">
      <c r="E83" s="1274" t="s">
        <v>2139</v>
      </c>
      <c r="F83" s="1275" t="s">
        <v>2162</v>
      </c>
      <c r="G83" s="1275">
        <v>40</v>
      </c>
      <c r="H83" s="1275" t="s">
        <v>2141</v>
      </c>
      <c r="I83" s="1275" t="s">
        <v>2163</v>
      </c>
      <c r="J83" s="1276" t="s">
        <v>2164</v>
      </c>
    </row>
    <row r="84" spans="5:10" x14ac:dyDescent="0.2">
      <c r="E84" s="1274" t="s">
        <v>2139</v>
      </c>
      <c r="F84" s="1275" t="s">
        <v>2165</v>
      </c>
      <c r="G84" s="1275">
        <v>49</v>
      </c>
      <c r="H84" s="1275" t="s">
        <v>2141</v>
      </c>
      <c r="I84" s="1275" t="s">
        <v>2166</v>
      </c>
      <c r="J84" s="1276" t="s">
        <v>2167</v>
      </c>
    </row>
    <row r="85" spans="5:10" x14ac:dyDescent="0.2">
      <c r="E85" s="1274" t="s">
        <v>2139</v>
      </c>
      <c r="F85" s="1275" t="s">
        <v>2168</v>
      </c>
      <c r="G85" s="1275">
        <v>44</v>
      </c>
      <c r="H85" s="1275" t="s">
        <v>2141</v>
      </c>
      <c r="I85" s="1275" t="s">
        <v>2169</v>
      </c>
      <c r="J85" s="1276" t="s">
        <v>2170</v>
      </c>
    </row>
    <row r="86" spans="5:10" x14ac:dyDescent="0.2">
      <c r="E86" s="1274" t="s">
        <v>2139</v>
      </c>
      <c r="F86" s="1275" t="s">
        <v>2171</v>
      </c>
      <c r="G86" s="1275">
        <v>43</v>
      </c>
      <c r="H86" s="1275" t="s">
        <v>2141</v>
      </c>
      <c r="I86" s="1275" t="s">
        <v>2172</v>
      </c>
      <c r="J86" s="1276" t="s">
        <v>2173</v>
      </c>
    </row>
    <row r="87" spans="5:10" x14ac:dyDescent="0.2">
      <c r="E87" s="1274" t="s">
        <v>2139</v>
      </c>
      <c r="F87" s="1275" t="s">
        <v>2174</v>
      </c>
      <c r="G87" s="1275">
        <v>38</v>
      </c>
      <c r="H87" s="1275" t="s">
        <v>2141</v>
      </c>
      <c r="I87" s="1275" t="s">
        <v>2175</v>
      </c>
      <c r="J87" s="1276" t="s">
        <v>2176</v>
      </c>
    </row>
    <row r="88" spans="5:10" x14ac:dyDescent="0.2">
      <c r="E88" s="1274" t="s">
        <v>2139</v>
      </c>
      <c r="F88" s="1275" t="s">
        <v>2177</v>
      </c>
      <c r="G88" s="1275">
        <v>41</v>
      </c>
      <c r="H88" s="1275" t="s">
        <v>2141</v>
      </c>
      <c r="I88" s="1275" t="s">
        <v>2178</v>
      </c>
      <c r="J88" s="1276" t="s">
        <v>2179</v>
      </c>
    </row>
    <row r="89" spans="5:10" x14ac:dyDescent="0.2">
      <c r="E89" s="1274" t="s">
        <v>2139</v>
      </c>
      <c r="F89" s="1275" t="s">
        <v>2180</v>
      </c>
      <c r="G89" s="1275">
        <v>46</v>
      </c>
      <c r="H89" s="1275" t="s">
        <v>2141</v>
      </c>
      <c r="I89" s="1275" t="s">
        <v>2181</v>
      </c>
      <c r="J89" s="1276" t="s">
        <v>2182</v>
      </c>
    </row>
    <row r="90" spans="5:10" x14ac:dyDescent="0.2">
      <c r="E90" s="1274" t="s">
        <v>2139</v>
      </c>
      <c r="F90" s="1275" t="s">
        <v>2183</v>
      </c>
      <c r="G90" s="1275">
        <v>45</v>
      </c>
      <c r="H90" s="1275" t="s">
        <v>2141</v>
      </c>
      <c r="I90" s="1275" t="s">
        <v>2184</v>
      </c>
      <c r="J90" s="1276" t="s">
        <v>2185</v>
      </c>
    </row>
    <row r="91" spans="5:10" x14ac:dyDescent="0.2">
      <c r="E91" s="1274" t="s">
        <v>2186</v>
      </c>
      <c r="F91" s="1275" t="s">
        <v>2187</v>
      </c>
      <c r="G91" s="1275">
        <v>91</v>
      </c>
      <c r="H91" s="1275" t="s">
        <v>2092</v>
      </c>
      <c r="I91" s="1275" t="s">
        <v>2188</v>
      </c>
      <c r="J91" s="1276" t="s">
        <v>2189</v>
      </c>
    </row>
    <row r="92" spans="5:10" x14ac:dyDescent="0.2">
      <c r="E92" s="1274" t="s">
        <v>2186</v>
      </c>
      <c r="F92" s="1275" t="s">
        <v>2190</v>
      </c>
      <c r="G92" s="1275">
        <v>92</v>
      </c>
      <c r="H92" s="1275" t="s">
        <v>2092</v>
      </c>
      <c r="I92" s="1275" t="s">
        <v>2191</v>
      </c>
      <c r="J92" s="1276" t="s">
        <v>2192</v>
      </c>
    </row>
    <row r="93" spans="5:10" x14ac:dyDescent="0.2">
      <c r="E93" s="1274" t="s">
        <v>2186</v>
      </c>
      <c r="F93" s="1275" t="s">
        <v>2193</v>
      </c>
      <c r="G93" s="1275">
        <v>90</v>
      </c>
      <c r="H93" s="1275" t="s">
        <v>2092</v>
      </c>
      <c r="I93" s="1275" t="s">
        <v>2194</v>
      </c>
      <c r="J93" s="1276" t="s">
        <v>2195</v>
      </c>
    </row>
    <row r="94" spans="5:10" x14ac:dyDescent="0.2">
      <c r="E94" s="1274" t="s">
        <v>2186</v>
      </c>
      <c r="F94" s="1275" t="s">
        <v>2196</v>
      </c>
      <c r="G94" s="1275">
        <v>93</v>
      </c>
      <c r="H94" s="1275" t="s">
        <v>2092</v>
      </c>
      <c r="I94" s="1275" t="s">
        <v>2197</v>
      </c>
      <c r="J94" s="1276" t="s">
        <v>2198</v>
      </c>
    </row>
    <row r="95" spans="5:10" x14ac:dyDescent="0.2">
      <c r="E95" s="1274" t="s">
        <v>2186</v>
      </c>
      <c r="F95" s="1275" t="s">
        <v>2199</v>
      </c>
      <c r="G95" s="1275">
        <v>94</v>
      </c>
      <c r="H95" s="1275" t="s">
        <v>2092</v>
      </c>
      <c r="I95" s="1275" t="s">
        <v>2200</v>
      </c>
      <c r="J95" s="1276" t="s">
        <v>2201</v>
      </c>
    </row>
    <row r="96" spans="5:10" x14ac:dyDescent="0.2">
      <c r="E96" s="1274" t="s">
        <v>2186</v>
      </c>
      <c r="F96" s="1275" t="s">
        <v>2202</v>
      </c>
      <c r="G96" s="1275">
        <v>88</v>
      </c>
      <c r="H96" s="1275" t="s">
        <v>2092</v>
      </c>
      <c r="I96" s="1275" t="s">
        <v>2203</v>
      </c>
      <c r="J96" s="1276" t="s">
        <v>2204</v>
      </c>
    </row>
    <row r="97" spans="5:10" x14ac:dyDescent="0.2">
      <c r="E97" s="1274" t="s">
        <v>2186</v>
      </c>
      <c r="F97" s="1275" t="s">
        <v>2205</v>
      </c>
      <c r="G97" s="1275">
        <v>89</v>
      </c>
      <c r="H97" s="1275" t="s">
        <v>2092</v>
      </c>
      <c r="I97" s="1275" t="s">
        <v>2206</v>
      </c>
      <c r="J97" s="1276" t="s">
        <v>2207</v>
      </c>
    </row>
    <row r="98" spans="5:10" x14ac:dyDescent="0.2">
      <c r="E98" s="1274" t="s">
        <v>2186</v>
      </c>
      <c r="F98" s="1275" t="s">
        <v>2208</v>
      </c>
      <c r="G98" s="1275">
        <v>87</v>
      </c>
      <c r="H98" s="1275" t="s">
        <v>2092</v>
      </c>
      <c r="I98" s="1275" t="s">
        <v>2209</v>
      </c>
      <c r="J98" s="1276" t="s">
        <v>2210</v>
      </c>
    </row>
    <row r="99" spans="5:10" x14ac:dyDescent="0.2">
      <c r="E99" s="1274" t="s">
        <v>2211</v>
      </c>
      <c r="F99" s="1275" t="s">
        <v>2212</v>
      </c>
      <c r="G99" s="1275">
        <v>53</v>
      </c>
      <c r="H99" s="1275" t="s">
        <v>2213</v>
      </c>
      <c r="I99" s="1275" t="s">
        <v>2213</v>
      </c>
      <c r="J99" s="1276" t="s">
        <v>2214</v>
      </c>
    </row>
    <row r="100" spans="5:10" x14ac:dyDescent="0.2">
      <c r="E100" s="1274" t="s">
        <v>2215</v>
      </c>
      <c r="F100" s="1275" t="s">
        <v>2216</v>
      </c>
      <c r="G100" s="1275">
        <v>99</v>
      </c>
      <c r="H100" s="1275" t="s">
        <v>2217</v>
      </c>
      <c r="I100" s="1275" t="s">
        <v>2218</v>
      </c>
      <c r="J100" s="1276" t="s">
        <v>2219</v>
      </c>
    </row>
    <row r="101" spans="5:10" x14ac:dyDescent="0.2">
      <c r="E101" s="1274" t="s">
        <v>2215</v>
      </c>
      <c r="F101" s="1275" t="s">
        <v>2220</v>
      </c>
      <c r="G101" s="1275">
        <v>102</v>
      </c>
      <c r="H101" s="1275" t="s">
        <v>2217</v>
      </c>
      <c r="I101" s="1275" t="s">
        <v>2221</v>
      </c>
      <c r="J101" s="1276" t="s">
        <v>2222</v>
      </c>
    </row>
    <row r="102" spans="5:10" x14ac:dyDescent="0.2">
      <c r="E102" s="1274" t="s">
        <v>2215</v>
      </c>
      <c r="F102" s="1275" t="s">
        <v>2223</v>
      </c>
      <c r="G102" s="1275">
        <v>101</v>
      </c>
      <c r="H102" s="1275" t="s">
        <v>2217</v>
      </c>
      <c r="I102" s="1275" t="s">
        <v>2224</v>
      </c>
      <c r="J102" s="1276" t="s">
        <v>2225</v>
      </c>
    </row>
    <row r="103" spans="5:10" x14ac:dyDescent="0.2">
      <c r="E103" s="1274" t="s">
        <v>2215</v>
      </c>
      <c r="F103" s="1275" t="s">
        <v>2226</v>
      </c>
      <c r="G103" s="1275">
        <v>100</v>
      </c>
      <c r="H103" s="1275" t="s">
        <v>2217</v>
      </c>
      <c r="I103" s="1275" t="s">
        <v>2227</v>
      </c>
      <c r="J103" s="1276" t="s">
        <v>2228</v>
      </c>
    </row>
    <row r="104" spans="5:10" x14ac:dyDescent="0.2">
      <c r="E104" s="1274" t="s">
        <v>2229</v>
      </c>
      <c r="F104" s="1275" t="s">
        <v>2230</v>
      </c>
      <c r="G104" s="1275">
        <v>81</v>
      </c>
      <c r="H104" s="1275" t="s">
        <v>2231</v>
      </c>
      <c r="I104" s="1275" t="s">
        <v>2232</v>
      </c>
      <c r="J104" s="1276" t="s">
        <v>2233</v>
      </c>
    </row>
    <row r="105" spans="5:10" x14ac:dyDescent="0.2">
      <c r="E105" s="1274" t="s">
        <v>2229</v>
      </c>
      <c r="F105" s="1275" t="s">
        <v>2234</v>
      </c>
      <c r="G105" s="1275">
        <v>80</v>
      </c>
      <c r="H105" s="1275" t="s">
        <v>2231</v>
      </c>
      <c r="I105" s="1275" t="s">
        <v>2235</v>
      </c>
      <c r="J105" s="1276" t="s">
        <v>2236</v>
      </c>
    </row>
    <row r="106" spans="5:10" x14ac:dyDescent="0.2">
      <c r="E106" s="1274" t="s">
        <v>2229</v>
      </c>
      <c r="F106" s="1275" t="s">
        <v>2237</v>
      </c>
      <c r="G106" s="1275">
        <v>82</v>
      </c>
      <c r="H106" s="1275" t="s">
        <v>2231</v>
      </c>
      <c r="I106" s="1275" t="s">
        <v>2238</v>
      </c>
      <c r="J106" s="1276" t="s">
        <v>2239</v>
      </c>
    </row>
    <row r="107" spans="5:10" x14ac:dyDescent="0.2">
      <c r="E107" s="1274" t="s">
        <v>2229</v>
      </c>
      <c r="F107" s="1275" t="s">
        <v>2240</v>
      </c>
      <c r="G107" s="1275">
        <v>83</v>
      </c>
      <c r="H107" s="1275" t="s">
        <v>2231</v>
      </c>
      <c r="I107" s="1275" t="s">
        <v>2241</v>
      </c>
      <c r="J107" s="1276" t="s">
        <v>2242</v>
      </c>
    </row>
    <row r="108" spans="5:10" x14ac:dyDescent="0.2">
      <c r="E108" s="1274" t="s">
        <v>2229</v>
      </c>
      <c r="F108" s="1275" t="s">
        <v>2243</v>
      </c>
      <c r="G108" s="1275">
        <v>86</v>
      </c>
      <c r="H108" s="1275" t="s">
        <v>2231</v>
      </c>
      <c r="I108" s="1275" t="s">
        <v>2244</v>
      </c>
      <c r="J108" s="1276" t="s">
        <v>2245</v>
      </c>
    </row>
    <row r="109" spans="5:10" x14ac:dyDescent="0.2">
      <c r="E109" s="1274" t="s">
        <v>2229</v>
      </c>
      <c r="F109" s="1275" t="s">
        <v>2246</v>
      </c>
      <c r="G109" s="1275">
        <v>74</v>
      </c>
      <c r="H109" s="1275" t="s">
        <v>2231</v>
      </c>
      <c r="I109" s="1275" t="s">
        <v>2247</v>
      </c>
      <c r="J109" s="1276" t="s">
        <v>2248</v>
      </c>
    </row>
    <row r="110" spans="5:10" x14ac:dyDescent="0.2">
      <c r="E110" s="1274" t="s">
        <v>2229</v>
      </c>
      <c r="F110" s="1275" t="s">
        <v>2249</v>
      </c>
      <c r="G110" s="1275">
        <v>73</v>
      </c>
      <c r="H110" s="1275" t="s">
        <v>2231</v>
      </c>
      <c r="I110" s="1275" t="s">
        <v>2250</v>
      </c>
      <c r="J110" s="1276" t="s">
        <v>2251</v>
      </c>
    </row>
    <row r="111" spans="5:10" x14ac:dyDescent="0.2">
      <c r="E111" s="1274" t="s">
        <v>2229</v>
      </c>
      <c r="F111" s="1275" t="s">
        <v>2252</v>
      </c>
      <c r="G111" s="1275">
        <v>75</v>
      </c>
      <c r="H111" s="1275" t="s">
        <v>2231</v>
      </c>
      <c r="I111" s="1275" t="s">
        <v>2253</v>
      </c>
      <c r="J111" s="1276" t="s">
        <v>2254</v>
      </c>
    </row>
    <row r="112" spans="5:10" x14ac:dyDescent="0.2">
      <c r="E112" s="1274" t="s">
        <v>2229</v>
      </c>
      <c r="F112" s="1275" t="s">
        <v>2255</v>
      </c>
      <c r="G112" s="1275">
        <v>84</v>
      </c>
      <c r="H112" s="1275" t="s">
        <v>2231</v>
      </c>
      <c r="I112" s="1275" t="s">
        <v>2256</v>
      </c>
      <c r="J112" s="1276" t="s">
        <v>2257</v>
      </c>
    </row>
    <row r="113" spans="5:10" x14ac:dyDescent="0.2">
      <c r="E113" s="1274" t="s">
        <v>2229</v>
      </c>
      <c r="F113" s="1275" t="s">
        <v>2258</v>
      </c>
      <c r="G113" s="1275">
        <v>85</v>
      </c>
      <c r="H113" s="1275" t="s">
        <v>2231</v>
      </c>
      <c r="I113" s="1275" t="s">
        <v>2259</v>
      </c>
      <c r="J113" s="1276" t="s">
        <v>2260</v>
      </c>
    </row>
    <row r="114" spans="5:10" x14ac:dyDescent="0.2">
      <c r="E114" s="1274" t="s">
        <v>2229</v>
      </c>
      <c r="F114" s="1275" t="s">
        <v>2261</v>
      </c>
      <c r="G114" s="1275">
        <v>77</v>
      </c>
      <c r="H114" s="1275" t="s">
        <v>2231</v>
      </c>
      <c r="I114" s="1275" t="s">
        <v>2262</v>
      </c>
      <c r="J114" s="1276" t="s">
        <v>2263</v>
      </c>
    </row>
    <row r="115" spans="5:10" x14ac:dyDescent="0.2">
      <c r="E115" s="1274" t="s">
        <v>2229</v>
      </c>
      <c r="F115" s="1275" t="s">
        <v>2264</v>
      </c>
      <c r="G115" s="1275">
        <v>76</v>
      </c>
      <c r="H115" s="1275" t="s">
        <v>2231</v>
      </c>
      <c r="I115" s="1275" t="s">
        <v>2265</v>
      </c>
      <c r="J115" s="1276" t="s">
        <v>2266</v>
      </c>
    </row>
    <row r="116" spans="5:10" x14ac:dyDescent="0.2">
      <c r="E116" s="1274" t="s">
        <v>2229</v>
      </c>
      <c r="F116" s="1275" t="s">
        <v>2267</v>
      </c>
      <c r="G116" s="1275">
        <v>79</v>
      </c>
      <c r="H116" s="1275" t="s">
        <v>2231</v>
      </c>
      <c r="I116" s="1275" t="s">
        <v>2268</v>
      </c>
      <c r="J116" s="1276" t="s">
        <v>2269</v>
      </c>
    </row>
    <row r="117" spans="5:10" x14ac:dyDescent="0.2">
      <c r="E117" s="1274" t="s">
        <v>2229</v>
      </c>
      <c r="F117" s="1275" t="s">
        <v>2270</v>
      </c>
      <c r="G117" s="1275">
        <v>78</v>
      </c>
      <c r="H117" s="1275" t="s">
        <v>2231</v>
      </c>
      <c r="I117" s="1275" t="s">
        <v>2271</v>
      </c>
      <c r="J117" s="1276" t="s">
        <v>2272</v>
      </c>
    </row>
    <row r="118" spans="5:10" x14ac:dyDescent="0.2">
      <c r="E118" s="1274" t="s">
        <v>2273</v>
      </c>
      <c r="F118" s="1275" t="s">
        <v>2274</v>
      </c>
      <c r="G118" s="1275">
        <v>72</v>
      </c>
      <c r="H118" s="1275" t="s">
        <v>2275</v>
      </c>
      <c r="I118" s="1275" t="s">
        <v>2276</v>
      </c>
      <c r="J118" s="1276" t="s">
        <v>2277</v>
      </c>
    </row>
    <row r="119" spans="5:10" x14ac:dyDescent="0.2">
      <c r="E119" s="1274" t="s">
        <v>2273</v>
      </c>
      <c r="F119" s="1275" t="s">
        <v>2278</v>
      </c>
      <c r="G119" s="1275">
        <v>70</v>
      </c>
      <c r="H119" s="1275" t="s">
        <v>2275</v>
      </c>
      <c r="I119" s="1275" t="s">
        <v>2279</v>
      </c>
      <c r="J119" s="1276" t="s">
        <v>2280</v>
      </c>
    </row>
    <row r="120" spans="5:10" x14ac:dyDescent="0.2">
      <c r="E120" s="1274" t="s">
        <v>2273</v>
      </c>
      <c r="F120" s="1275" t="s">
        <v>2281</v>
      </c>
      <c r="G120" s="1275">
        <v>69</v>
      </c>
      <c r="H120" s="1275" t="s">
        <v>2275</v>
      </c>
      <c r="I120" s="1275" t="s">
        <v>2282</v>
      </c>
      <c r="J120" s="1276" t="s">
        <v>2283</v>
      </c>
    </row>
    <row r="121" spans="5:10" x14ac:dyDescent="0.2">
      <c r="E121" s="1274" t="s">
        <v>2273</v>
      </c>
      <c r="F121" s="1275" t="s">
        <v>2284</v>
      </c>
      <c r="G121" s="1275">
        <v>71</v>
      </c>
      <c r="H121" s="1275" t="s">
        <v>2275</v>
      </c>
      <c r="I121" s="1275" t="s">
        <v>2285</v>
      </c>
      <c r="J121" s="1276" t="s">
        <v>186</v>
      </c>
    </row>
    <row r="122" spans="5:10" x14ac:dyDescent="0.2">
      <c r="E122" s="1274" t="s">
        <v>2273</v>
      </c>
      <c r="F122" s="1275" t="s">
        <v>2286</v>
      </c>
      <c r="G122" s="1275">
        <v>68</v>
      </c>
      <c r="H122" s="1275" t="s">
        <v>2275</v>
      </c>
      <c r="I122" s="1275" t="s">
        <v>2287</v>
      </c>
      <c r="J122" s="1276" t="s">
        <v>2288</v>
      </c>
    </row>
    <row r="123" spans="5:10" x14ac:dyDescent="0.2">
      <c r="E123" s="1274" t="s">
        <v>2273</v>
      </c>
      <c r="F123" s="1275" t="s">
        <v>2289</v>
      </c>
      <c r="G123" s="1275">
        <v>67</v>
      </c>
      <c r="H123" s="1275" t="s">
        <v>2275</v>
      </c>
      <c r="I123" s="1275" t="s">
        <v>2290</v>
      </c>
      <c r="J123" s="1276" t="s">
        <v>2291</v>
      </c>
    </row>
    <row r="124" spans="5:10" x14ac:dyDescent="0.2">
      <c r="E124" s="1274" t="s">
        <v>2292</v>
      </c>
      <c r="F124" s="1275" t="s">
        <v>2293</v>
      </c>
      <c r="G124" s="1275">
        <v>5</v>
      </c>
      <c r="H124" s="1275" t="s">
        <v>2294</v>
      </c>
      <c r="I124" s="1275" t="s">
        <v>2295</v>
      </c>
      <c r="J124" s="1276" t="s">
        <v>2296</v>
      </c>
    </row>
    <row r="125" spans="5:10" x14ac:dyDescent="0.2">
      <c r="E125" s="1274" t="s">
        <v>2292</v>
      </c>
      <c r="F125" s="1275" t="s">
        <v>2297</v>
      </c>
      <c r="G125" s="1275">
        <v>6</v>
      </c>
      <c r="H125" s="1275" t="s">
        <v>2294</v>
      </c>
      <c r="I125" s="1275" t="s">
        <v>1966</v>
      </c>
      <c r="J125" s="1276" t="s">
        <v>2298</v>
      </c>
    </row>
    <row r="126" spans="5:10" x14ac:dyDescent="0.2">
      <c r="E126" s="1274" t="s">
        <v>2292</v>
      </c>
      <c r="F126" s="1275" t="s">
        <v>2299</v>
      </c>
      <c r="G126" s="1275">
        <v>7</v>
      </c>
      <c r="H126" s="1275" t="s">
        <v>2294</v>
      </c>
      <c r="I126" s="1275" t="s">
        <v>2300</v>
      </c>
      <c r="J126" s="1276" t="s">
        <v>2301</v>
      </c>
    </row>
    <row r="127" spans="5:10" x14ac:dyDescent="0.2">
      <c r="E127" s="1274" t="s">
        <v>2302</v>
      </c>
      <c r="F127" s="1275" t="s">
        <v>2303</v>
      </c>
      <c r="G127" s="1275">
        <v>103</v>
      </c>
      <c r="H127" s="1275" t="s">
        <v>2304</v>
      </c>
      <c r="I127" s="1275" t="s">
        <v>2305</v>
      </c>
      <c r="J127" s="1276" t="s">
        <v>2306</v>
      </c>
    </row>
    <row r="128" spans="5:10" x14ac:dyDescent="0.2">
      <c r="E128" s="1274" t="s">
        <v>2307</v>
      </c>
      <c r="F128" s="1275" t="s">
        <v>2308</v>
      </c>
      <c r="G128" s="1275">
        <v>98</v>
      </c>
      <c r="H128" s="1275" t="s">
        <v>2309</v>
      </c>
      <c r="I128" s="1275" t="s">
        <v>2310</v>
      </c>
      <c r="J128" s="1276" t="s">
        <v>2311</v>
      </c>
    </row>
    <row r="129" spans="5:10" x14ac:dyDescent="0.2">
      <c r="E129" s="1274" t="s">
        <v>2312</v>
      </c>
      <c r="F129" s="1275" t="s">
        <v>2313</v>
      </c>
      <c r="G129" s="1275">
        <v>8</v>
      </c>
      <c r="H129" s="1275" t="s">
        <v>2314</v>
      </c>
      <c r="I129" s="1275" t="s">
        <v>2315</v>
      </c>
      <c r="J129" s="1276" t="s">
        <v>2316</v>
      </c>
    </row>
    <row r="130" spans="5:10" x14ac:dyDescent="0.2">
      <c r="E130" s="1277" t="s">
        <v>2312</v>
      </c>
      <c r="F130" s="1278" t="s">
        <v>2317</v>
      </c>
      <c r="G130" s="1278">
        <v>9</v>
      </c>
      <c r="H130" s="1278" t="s">
        <v>2314</v>
      </c>
      <c r="I130" s="1278" t="s">
        <v>2318</v>
      </c>
      <c r="J130" s="1279" t="s">
        <v>2319</v>
      </c>
    </row>
    <row r="131" spans="5:10" x14ac:dyDescent="0.2">
      <c r="E131" s="1274" t="s">
        <v>2320</v>
      </c>
      <c r="F131" s="1275" t="s">
        <v>2320</v>
      </c>
      <c r="G131" s="1275"/>
      <c r="H131" s="1275" t="s">
        <v>2320</v>
      </c>
      <c r="I131" s="1275" t="s">
        <v>2320</v>
      </c>
      <c r="J131" s="1276" t="s">
        <v>2321</v>
      </c>
    </row>
    <row r="132" spans="5:10" x14ac:dyDescent="0.2">
      <c r="E132" s="1277" t="s">
        <v>109</v>
      </c>
      <c r="F132" s="1278" t="s">
        <v>109</v>
      </c>
      <c r="G132" s="1278" t="s">
        <v>109</v>
      </c>
      <c r="H132" s="1278" t="s">
        <v>109</v>
      </c>
      <c r="I132" s="1278" t="s">
        <v>109</v>
      </c>
      <c r="J132" s="1279" t="s">
        <v>109</v>
      </c>
    </row>
    <row r="133" spans="5:10" x14ac:dyDescent="0.2">
      <c r="E133" s="1277" t="s">
        <v>109</v>
      </c>
      <c r="F133" s="1278" t="s">
        <v>109</v>
      </c>
      <c r="G133" s="1278" t="s">
        <v>109</v>
      </c>
      <c r="H133" s="1278" t="s">
        <v>109</v>
      </c>
      <c r="I133" s="1278" t="s">
        <v>109</v>
      </c>
      <c r="J133" s="1279" t="s">
        <v>109</v>
      </c>
    </row>
  </sheetData>
  <phoneticPr fontId="34" type="noConversion"/>
  <pageMargins left="0.7" right="0.7" top="0.75" bottom="0.75" header="0.3" footer="0.3"/>
  <pageSetup paperSize="9" orientation="portrait" horizontalDpi="90" verticalDpi="90" r:id="rId1"/>
  <tableParts count="1">
    <tablePart r:id="rId2"/>
  </tablePar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P99"/>
  <sheetViews>
    <sheetView showOutlineSymbols="0" showWhiteSpace="0" zoomScale="85" zoomScaleNormal="85" workbookViewId="0">
      <selection activeCell="D52" sqref="D52:D54"/>
    </sheetView>
  </sheetViews>
  <sheetFormatPr defaultColWidth="8.6640625" defaultRowHeight="14.25" x14ac:dyDescent="0.2"/>
  <cols>
    <col min="1" max="1" width="2.109375" style="7" customWidth="1"/>
    <col min="2" max="2" width="22.6640625" style="7" customWidth="1"/>
    <col min="3" max="3" width="18.109375" style="7" customWidth="1"/>
    <col min="4" max="4" width="23.109375" style="7" customWidth="1"/>
    <col min="5" max="5" width="29.6640625" style="7" bestFit="1" customWidth="1"/>
    <col min="6" max="6" width="32" style="7" customWidth="1"/>
    <col min="7" max="7" width="23.5546875" style="7" customWidth="1"/>
    <col min="8" max="8" width="16.5546875" style="7" customWidth="1"/>
    <col min="9" max="10" width="26.6640625" style="7" customWidth="1"/>
    <col min="11" max="11" width="32.6640625" style="7" customWidth="1"/>
    <col min="12" max="12" width="41.21875" style="7" customWidth="1"/>
    <col min="13" max="256" width="8.6640625" style="7"/>
    <col min="257" max="257" width="1.44140625" style="7" customWidth="1"/>
    <col min="258" max="258" width="3.6640625" style="7" customWidth="1"/>
    <col min="259" max="259" width="17.109375" style="7" customWidth="1"/>
    <col min="260" max="260" width="16.109375" style="7" customWidth="1"/>
    <col min="261" max="261" width="23.109375" style="7" customWidth="1"/>
    <col min="262" max="262" width="29.6640625" style="7" bestFit="1" customWidth="1"/>
    <col min="263" max="263" width="16.109375" style="7" customWidth="1"/>
    <col min="264" max="264" width="16.5546875" style="7" customWidth="1"/>
    <col min="265" max="265" width="16.44140625" style="7" customWidth="1"/>
    <col min="266" max="266" width="36.6640625" style="7" customWidth="1"/>
    <col min="267" max="267" width="8.6640625" style="7"/>
    <col min="268" max="268" width="2" style="7" customWidth="1"/>
    <col min="269" max="512" width="8.6640625" style="7"/>
    <col min="513" max="513" width="1.44140625" style="7" customWidth="1"/>
    <col min="514" max="514" width="3.6640625" style="7" customWidth="1"/>
    <col min="515" max="515" width="17.109375" style="7" customWidth="1"/>
    <col min="516" max="516" width="16.109375" style="7" customWidth="1"/>
    <col min="517" max="517" width="23.109375" style="7" customWidth="1"/>
    <col min="518" max="518" width="29.6640625" style="7" bestFit="1" customWidth="1"/>
    <col min="519" max="519" width="16.109375" style="7" customWidth="1"/>
    <col min="520" max="520" width="16.5546875" style="7" customWidth="1"/>
    <col min="521" max="521" width="16.44140625" style="7" customWidth="1"/>
    <col min="522" max="522" width="36.6640625" style="7" customWidth="1"/>
    <col min="523" max="523" width="8.6640625" style="7"/>
    <col min="524" max="524" width="2" style="7" customWidth="1"/>
    <col min="525" max="768" width="8.6640625" style="7"/>
    <col min="769" max="769" width="1.44140625" style="7" customWidth="1"/>
    <col min="770" max="770" width="3.6640625" style="7" customWidth="1"/>
    <col min="771" max="771" width="17.109375" style="7" customWidth="1"/>
    <col min="772" max="772" width="16.109375" style="7" customWidth="1"/>
    <col min="773" max="773" width="23.109375" style="7" customWidth="1"/>
    <col min="774" max="774" width="29.6640625" style="7" bestFit="1" customWidth="1"/>
    <col min="775" max="775" width="16.109375" style="7" customWidth="1"/>
    <col min="776" max="776" width="16.5546875" style="7" customWidth="1"/>
    <col min="777" max="777" width="16.44140625" style="7" customWidth="1"/>
    <col min="778" max="778" width="36.6640625" style="7" customWidth="1"/>
    <col min="779" max="779" width="8.6640625" style="7"/>
    <col min="780" max="780" width="2" style="7" customWidth="1"/>
    <col min="781" max="1024" width="8.6640625" style="7"/>
    <col min="1025" max="1025" width="1.44140625" style="7" customWidth="1"/>
    <col min="1026" max="1026" width="3.6640625" style="7" customWidth="1"/>
    <col min="1027" max="1027" width="17.109375" style="7" customWidth="1"/>
    <col min="1028" max="1028" width="16.109375" style="7" customWidth="1"/>
    <col min="1029" max="1029" width="23.109375" style="7" customWidth="1"/>
    <col min="1030" max="1030" width="29.6640625" style="7" bestFit="1" customWidth="1"/>
    <col min="1031" max="1031" width="16.109375" style="7" customWidth="1"/>
    <col min="1032" max="1032" width="16.5546875" style="7" customWidth="1"/>
    <col min="1033" max="1033" width="16.44140625" style="7" customWidth="1"/>
    <col min="1034" max="1034" width="36.6640625" style="7" customWidth="1"/>
    <col min="1035" max="1035" width="8.6640625" style="7"/>
    <col min="1036" max="1036" width="2" style="7" customWidth="1"/>
    <col min="1037" max="1280" width="8.6640625" style="7"/>
    <col min="1281" max="1281" width="1.44140625" style="7" customWidth="1"/>
    <col min="1282" max="1282" width="3.6640625" style="7" customWidth="1"/>
    <col min="1283" max="1283" width="17.109375" style="7" customWidth="1"/>
    <col min="1284" max="1284" width="16.109375" style="7" customWidth="1"/>
    <col min="1285" max="1285" width="23.109375" style="7" customWidth="1"/>
    <col min="1286" max="1286" width="29.6640625" style="7" bestFit="1" customWidth="1"/>
    <col min="1287" max="1287" width="16.109375" style="7" customWidth="1"/>
    <col min="1288" max="1288" width="16.5546875" style="7" customWidth="1"/>
    <col min="1289" max="1289" width="16.44140625" style="7" customWidth="1"/>
    <col min="1290" max="1290" width="36.6640625" style="7" customWidth="1"/>
    <col min="1291" max="1291" width="8.6640625" style="7"/>
    <col min="1292" max="1292" width="2" style="7" customWidth="1"/>
    <col min="1293" max="1536" width="8.6640625" style="7"/>
    <col min="1537" max="1537" width="1.44140625" style="7" customWidth="1"/>
    <col min="1538" max="1538" width="3.6640625" style="7" customWidth="1"/>
    <col min="1539" max="1539" width="17.109375" style="7" customWidth="1"/>
    <col min="1540" max="1540" width="16.109375" style="7" customWidth="1"/>
    <col min="1541" max="1541" width="23.109375" style="7" customWidth="1"/>
    <col min="1542" max="1542" width="29.6640625" style="7" bestFit="1" customWidth="1"/>
    <col min="1543" max="1543" width="16.109375" style="7" customWidth="1"/>
    <col min="1544" max="1544" width="16.5546875" style="7" customWidth="1"/>
    <col min="1545" max="1545" width="16.44140625" style="7" customWidth="1"/>
    <col min="1546" max="1546" width="36.6640625" style="7" customWidth="1"/>
    <col min="1547" max="1547" width="8.6640625" style="7"/>
    <col min="1548" max="1548" width="2" style="7" customWidth="1"/>
    <col min="1549" max="1792" width="8.6640625" style="7"/>
    <col min="1793" max="1793" width="1.44140625" style="7" customWidth="1"/>
    <col min="1794" max="1794" width="3.6640625" style="7" customWidth="1"/>
    <col min="1795" max="1795" width="17.109375" style="7" customWidth="1"/>
    <col min="1796" max="1796" width="16.109375" style="7" customWidth="1"/>
    <col min="1797" max="1797" width="23.109375" style="7" customWidth="1"/>
    <col min="1798" max="1798" width="29.6640625" style="7" bestFit="1" customWidth="1"/>
    <col min="1799" max="1799" width="16.109375" style="7" customWidth="1"/>
    <col min="1800" max="1800" width="16.5546875" style="7" customWidth="1"/>
    <col min="1801" max="1801" width="16.44140625" style="7" customWidth="1"/>
    <col min="1802" max="1802" width="36.6640625" style="7" customWidth="1"/>
    <col min="1803" max="1803" width="8.6640625" style="7"/>
    <col min="1804" max="1804" width="2" style="7" customWidth="1"/>
    <col min="1805" max="2048" width="8.6640625" style="7"/>
    <col min="2049" max="2049" width="1.44140625" style="7" customWidth="1"/>
    <col min="2050" max="2050" width="3.6640625" style="7" customWidth="1"/>
    <col min="2051" max="2051" width="17.109375" style="7" customWidth="1"/>
    <col min="2052" max="2052" width="16.109375" style="7" customWidth="1"/>
    <col min="2053" max="2053" width="23.109375" style="7" customWidth="1"/>
    <col min="2054" max="2054" width="29.6640625" style="7" bestFit="1" customWidth="1"/>
    <col min="2055" max="2055" width="16.109375" style="7" customWidth="1"/>
    <col min="2056" max="2056" width="16.5546875" style="7" customWidth="1"/>
    <col min="2057" max="2057" width="16.44140625" style="7" customWidth="1"/>
    <col min="2058" max="2058" width="36.6640625" style="7" customWidth="1"/>
    <col min="2059" max="2059" width="8.6640625" style="7"/>
    <col min="2060" max="2060" width="2" style="7" customWidth="1"/>
    <col min="2061" max="2304" width="8.6640625" style="7"/>
    <col min="2305" max="2305" width="1.44140625" style="7" customWidth="1"/>
    <col min="2306" max="2306" width="3.6640625" style="7" customWidth="1"/>
    <col min="2307" max="2307" width="17.109375" style="7" customWidth="1"/>
    <col min="2308" max="2308" width="16.109375" style="7" customWidth="1"/>
    <col min="2309" max="2309" width="23.109375" style="7" customWidth="1"/>
    <col min="2310" max="2310" width="29.6640625" style="7" bestFit="1" customWidth="1"/>
    <col min="2311" max="2311" width="16.109375" style="7" customWidth="1"/>
    <col min="2312" max="2312" width="16.5546875" style="7" customWidth="1"/>
    <col min="2313" max="2313" width="16.44140625" style="7" customWidth="1"/>
    <col min="2314" max="2314" width="36.6640625" style="7" customWidth="1"/>
    <col min="2315" max="2315" width="8.6640625" style="7"/>
    <col min="2316" max="2316" width="2" style="7" customWidth="1"/>
    <col min="2317" max="2560" width="8.6640625" style="7"/>
    <col min="2561" max="2561" width="1.44140625" style="7" customWidth="1"/>
    <col min="2562" max="2562" width="3.6640625" style="7" customWidth="1"/>
    <col min="2563" max="2563" width="17.109375" style="7" customWidth="1"/>
    <col min="2564" max="2564" width="16.109375" style="7" customWidth="1"/>
    <col min="2565" max="2565" width="23.109375" style="7" customWidth="1"/>
    <col min="2566" max="2566" width="29.6640625" style="7" bestFit="1" customWidth="1"/>
    <col min="2567" max="2567" width="16.109375" style="7" customWidth="1"/>
    <col min="2568" max="2568" width="16.5546875" style="7" customWidth="1"/>
    <col min="2569" max="2569" width="16.44140625" style="7" customWidth="1"/>
    <col min="2570" max="2570" width="36.6640625" style="7" customWidth="1"/>
    <col min="2571" max="2571" width="8.6640625" style="7"/>
    <col min="2572" max="2572" width="2" style="7" customWidth="1"/>
    <col min="2573" max="2816" width="8.6640625" style="7"/>
    <col min="2817" max="2817" width="1.44140625" style="7" customWidth="1"/>
    <col min="2818" max="2818" width="3.6640625" style="7" customWidth="1"/>
    <col min="2819" max="2819" width="17.109375" style="7" customWidth="1"/>
    <col min="2820" max="2820" width="16.109375" style="7" customWidth="1"/>
    <col min="2821" max="2821" width="23.109375" style="7" customWidth="1"/>
    <col min="2822" max="2822" width="29.6640625" style="7" bestFit="1" customWidth="1"/>
    <col min="2823" max="2823" width="16.109375" style="7" customWidth="1"/>
    <col min="2824" max="2824" width="16.5546875" style="7" customWidth="1"/>
    <col min="2825" max="2825" width="16.44140625" style="7" customWidth="1"/>
    <col min="2826" max="2826" width="36.6640625" style="7" customWidth="1"/>
    <col min="2827" max="2827" width="8.6640625" style="7"/>
    <col min="2828" max="2828" width="2" style="7" customWidth="1"/>
    <col min="2829" max="3072" width="8.6640625" style="7"/>
    <col min="3073" max="3073" width="1.44140625" style="7" customWidth="1"/>
    <col min="3074" max="3074" width="3.6640625" style="7" customWidth="1"/>
    <col min="3075" max="3075" width="17.109375" style="7" customWidth="1"/>
    <col min="3076" max="3076" width="16.109375" style="7" customWidth="1"/>
    <col min="3077" max="3077" width="23.109375" style="7" customWidth="1"/>
    <col min="3078" max="3078" width="29.6640625" style="7" bestFit="1" customWidth="1"/>
    <col min="3079" max="3079" width="16.109375" style="7" customWidth="1"/>
    <col min="3080" max="3080" width="16.5546875" style="7" customWidth="1"/>
    <col min="3081" max="3081" width="16.44140625" style="7" customWidth="1"/>
    <col min="3082" max="3082" width="36.6640625" style="7" customWidth="1"/>
    <col min="3083" max="3083" width="8.6640625" style="7"/>
    <col min="3084" max="3084" width="2" style="7" customWidth="1"/>
    <col min="3085" max="3328" width="8.6640625" style="7"/>
    <col min="3329" max="3329" width="1.44140625" style="7" customWidth="1"/>
    <col min="3330" max="3330" width="3.6640625" style="7" customWidth="1"/>
    <col min="3331" max="3331" width="17.109375" style="7" customWidth="1"/>
    <col min="3332" max="3332" width="16.109375" style="7" customWidth="1"/>
    <col min="3333" max="3333" width="23.109375" style="7" customWidth="1"/>
    <col min="3334" max="3334" width="29.6640625" style="7" bestFit="1" customWidth="1"/>
    <col min="3335" max="3335" width="16.109375" style="7" customWidth="1"/>
    <col min="3336" max="3336" width="16.5546875" style="7" customWidth="1"/>
    <col min="3337" max="3337" width="16.44140625" style="7" customWidth="1"/>
    <col min="3338" max="3338" width="36.6640625" style="7" customWidth="1"/>
    <col min="3339" max="3339" width="8.6640625" style="7"/>
    <col min="3340" max="3340" width="2" style="7" customWidth="1"/>
    <col min="3341" max="3584" width="8.6640625" style="7"/>
    <col min="3585" max="3585" width="1.44140625" style="7" customWidth="1"/>
    <col min="3586" max="3586" width="3.6640625" style="7" customWidth="1"/>
    <col min="3587" max="3587" width="17.109375" style="7" customWidth="1"/>
    <col min="3588" max="3588" width="16.109375" style="7" customWidth="1"/>
    <col min="3589" max="3589" width="23.109375" style="7" customWidth="1"/>
    <col min="3590" max="3590" width="29.6640625" style="7" bestFit="1" customWidth="1"/>
    <col min="3591" max="3591" width="16.109375" style="7" customWidth="1"/>
    <col min="3592" max="3592" width="16.5546875" style="7" customWidth="1"/>
    <col min="3593" max="3593" width="16.44140625" style="7" customWidth="1"/>
    <col min="3594" max="3594" width="36.6640625" style="7" customWidth="1"/>
    <col min="3595" max="3595" width="8.6640625" style="7"/>
    <col min="3596" max="3596" width="2" style="7" customWidth="1"/>
    <col min="3597" max="3840" width="8.6640625" style="7"/>
    <col min="3841" max="3841" width="1.44140625" style="7" customWidth="1"/>
    <col min="3842" max="3842" width="3.6640625" style="7" customWidth="1"/>
    <col min="3843" max="3843" width="17.109375" style="7" customWidth="1"/>
    <col min="3844" max="3844" width="16.109375" style="7" customWidth="1"/>
    <col min="3845" max="3845" width="23.109375" style="7" customWidth="1"/>
    <col min="3846" max="3846" width="29.6640625" style="7" bestFit="1" customWidth="1"/>
    <col min="3847" max="3847" width="16.109375" style="7" customWidth="1"/>
    <col min="3848" max="3848" width="16.5546875" style="7" customWidth="1"/>
    <col min="3849" max="3849" width="16.44140625" style="7" customWidth="1"/>
    <col min="3850" max="3850" width="36.6640625" style="7" customWidth="1"/>
    <col min="3851" max="3851" width="8.6640625" style="7"/>
    <col min="3852" max="3852" width="2" style="7" customWidth="1"/>
    <col min="3853" max="4096" width="8.6640625" style="7"/>
    <col min="4097" max="4097" width="1.44140625" style="7" customWidth="1"/>
    <col min="4098" max="4098" width="3.6640625" style="7" customWidth="1"/>
    <col min="4099" max="4099" width="17.109375" style="7" customWidth="1"/>
    <col min="4100" max="4100" width="16.109375" style="7" customWidth="1"/>
    <col min="4101" max="4101" width="23.109375" style="7" customWidth="1"/>
    <col min="4102" max="4102" width="29.6640625" style="7" bestFit="1" customWidth="1"/>
    <col min="4103" max="4103" width="16.109375" style="7" customWidth="1"/>
    <col min="4104" max="4104" width="16.5546875" style="7" customWidth="1"/>
    <col min="4105" max="4105" width="16.44140625" style="7" customWidth="1"/>
    <col min="4106" max="4106" width="36.6640625" style="7" customWidth="1"/>
    <col min="4107" max="4107" width="8.6640625" style="7"/>
    <col min="4108" max="4108" width="2" style="7" customWidth="1"/>
    <col min="4109" max="4352" width="8.6640625" style="7"/>
    <col min="4353" max="4353" width="1.44140625" style="7" customWidth="1"/>
    <col min="4354" max="4354" width="3.6640625" style="7" customWidth="1"/>
    <col min="4355" max="4355" width="17.109375" style="7" customWidth="1"/>
    <col min="4356" max="4356" width="16.109375" style="7" customWidth="1"/>
    <col min="4357" max="4357" width="23.109375" style="7" customWidth="1"/>
    <col min="4358" max="4358" width="29.6640625" style="7" bestFit="1" customWidth="1"/>
    <col min="4359" max="4359" width="16.109375" style="7" customWidth="1"/>
    <col min="4360" max="4360" width="16.5546875" style="7" customWidth="1"/>
    <col min="4361" max="4361" width="16.44140625" style="7" customWidth="1"/>
    <col min="4362" max="4362" width="36.6640625" style="7" customWidth="1"/>
    <col min="4363" max="4363" width="8.6640625" style="7"/>
    <col min="4364" max="4364" width="2" style="7" customWidth="1"/>
    <col min="4365" max="4608" width="8.6640625" style="7"/>
    <col min="4609" max="4609" width="1.44140625" style="7" customWidth="1"/>
    <col min="4610" max="4610" width="3.6640625" style="7" customWidth="1"/>
    <col min="4611" max="4611" width="17.109375" style="7" customWidth="1"/>
    <col min="4612" max="4612" width="16.109375" style="7" customWidth="1"/>
    <col min="4613" max="4613" width="23.109375" style="7" customWidth="1"/>
    <col min="4614" max="4614" width="29.6640625" style="7" bestFit="1" customWidth="1"/>
    <col min="4615" max="4615" width="16.109375" style="7" customWidth="1"/>
    <col min="4616" max="4616" width="16.5546875" style="7" customWidth="1"/>
    <col min="4617" max="4617" width="16.44140625" style="7" customWidth="1"/>
    <col min="4618" max="4618" width="36.6640625" style="7" customWidth="1"/>
    <col min="4619" max="4619" width="8.6640625" style="7"/>
    <col min="4620" max="4620" width="2" style="7" customWidth="1"/>
    <col min="4621" max="4864" width="8.6640625" style="7"/>
    <col min="4865" max="4865" width="1.44140625" style="7" customWidth="1"/>
    <col min="4866" max="4866" width="3.6640625" style="7" customWidth="1"/>
    <col min="4867" max="4867" width="17.109375" style="7" customWidth="1"/>
    <col min="4868" max="4868" width="16.109375" style="7" customWidth="1"/>
    <col min="4869" max="4869" width="23.109375" style="7" customWidth="1"/>
    <col min="4870" max="4870" width="29.6640625" style="7" bestFit="1" customWidth="1"/>
    <col min="4871" max="4871" width="16.109375" style="7" customWidth="1"/>
    <col min="4872" max="4872" width="16.5546875" style="7" customWidth="1"/>
    <col min="4873" max="4873" width="16.44140625" style="7" customWidth="1"/>
    <col min="4874" max="4874" width="36.6640625" style="7" customWidth="1"/>
    <col min="4875" max="4875" width="8.6640625" style="7"/>
    <col min="4876" max="4876" width="2" style="7" customWidth="1"/>
    <col min="4877" max="5120" width="8.6640625" style="7"/>
    <col min="5121" max="5121" width="1.44140625" style="7" customWidth="1"/>
    <col min="5122" max="5122" width="3.6640625" style="7" customWidth="1"/>
    <col min="5123" max="5123" width="17.109375" style="7" customWidth="1"/>
    <col min="5124" max="5124" width="16.109375" style="7" customWidth="1"/>
    <col min="5125" max="5125" width="23.109375" style="7" customWidth="1"/>
    <col min="5126" max="5126" width="29.6640625" style="7" bestFit="1" customWidth="1"/>
    <col min="5127" max="5127" width="16.109375" style="7" customWidth="1"/>
    <col min="5128" max="5128" width="16.5546875" style="7" customWidth="1"/>
    <col min="5129" max="5129" width="16.44140625" style="7" customWidth="1"/>
    <col min="5130" max="5130" width="36.6640625" style="7" customWidth="1"/>
    <col min="5131" max="5131" width="8.6640625" style="7"/>
    <col min="5132" max="5132" width="2" style="7" customWidth="1"/>
    <col min="5133" max="5376" width="8.6640625" style="7"/>
    <col min="5377" max="5377" width="1.44140625" style="7" customWidth="1"/>
    <col min="5378" max="5378" width="3.6640625" style="7" customWidth="1"/>
    <col min="5379" max="5379" width="17.109375" style="7" customWidth="1"/>
    <col min="5380" max="5380" width="16.109375" style="7" customWidth="1"/>
    <col min="5381" max="5381" width="23.109375" style="7" customWidth="1"/>
    <col min="5382" max="5382" width="29.6640625" style="7" bestFit="1" customWidth="1"/>
    <col min="5383" max="5383" width="16.109375" style="7" customWidth="1"/>
    <col min="5384" max="5384" width="16.5546875" style="7" customWidth="1"/>
    <col min="5385" max="5385" width="16.44140625" style="7" customWidth="1"/>
    <col min="5386" max="5386" width="36.6640625" style="7" customWidth="1"/>
    <col min="5387" max="5387" width="8.6640625" style="7"/>
    <col min="5388" max="5388" width="2" style="7" customWidth="1"/>
    <col min="5389" max="5632" width="8.6640625" style="7"/>
    <col min="5633" max="5633" width="1.44140625" style="7" customWidth="1"/>
    <col min="5634" max="5634" width="3.6640625" style="7" customWidth="1"/>
    <col min="5635" max="5635" width="17.109375" style="7" customWidth="1"/>
    <col min="5636" max="5636" width="16.109375" style="7" customWidth="1"/>
    <col min="5637" max="5637" width="23.109375" style="7" customWidth="1"/>
    <col min="5638" max="5638" width="29.6640625" style="7" bestFit="1" customWidth="1"/>
    <col min="5639" max="5639" width="16.109375" style="7" customWidth="1"/>
    <col min="5640" max="5640" width="16.5546875" style="7" customWidth="1"/>
    <col min="5641" max="5641" width="16.44140625" style="7" customWidth="1"/>
    <col min="5642" max="5642" width="36.6640625" style="7" customWidth="1"/>
    <col min="5643" max="5643" width="8.6640625" style="7"/>
    <col min="5644" max="5644" width="2" style="7" customWidth="1"/>
    <col min="5645" max="5888" width="8.6640625" style="7"/>
    <col min="5889" max="5889" width="1.44140625" style="7" customWidth="1"/>
    <col min="5890" max="5890" width="3.6640625" style="7" customWidth="1"/>
    <col min="5891" max="5891" width="17.109375" style="7" customWidth="1"/>
    <col min="5892" max="5892" width="16.109375" style="7" customWidth="1"/>
    <col min="5893" max="5893" width="23.109375" style="7" customWidth="1"/>
    <col min="5894" max="5894" width="29.6640625" style="7" bestFit="1" customWidth="1"/>
    <col min="5895" max="5895" width="16.109375" style="7" customWidth="1"/>
    <col min="5896" max="5896" width="16.5546875" style="7" customWidth="1"/>
    <col min="5897" max="5897" width="16.44140625" style="7" customWidth="1"/>
    <col min="5898" max="5898" width="36.6640625" style="7" customWidth="1"/>
    <col min="5899" max="5899" width="8.6640625" style="7"/>
    <col min="5900" max="5900" width="2" style="7" customWidth="1"/>
    <col min="5901" max="6144" width="8.6640625" style="7"/>
    <col min="6145" max="6145" width="1.44140625" style="7" customWidth="1"/>
    <col min="6146" max="6146" width="3.6640625" style="7" customWidth="1"/>
    <col min="6147" max="6147" width="17.109375" style="7" customWidth="1"/>
    <col min="6148" max="6148" width="16.109375" style="7" customWidth="1"/>
    <col min="6149" max="6149" width="23.109375" style="7" customWidth="1"/>
    <col min="6150" max="6150" width="29.6640625" style="7" bestFit="1" customWidth="1"/>
    <col min="6151" max="6151" width="16.109375" style="7" customWidth="1"/>
    <col min="6152" max="6152" width="16.5546875" style="7" customWidth="1"/>
    <col min="6153" max="6153" width="16.44140625" style="7" customWidth="1"/>
    <col min="6154" max="6154" width="36.6640625" style="7" customWidth="1"/>
    <col min="6155" max="6155" width="8.6640625" style="7"/>
    <col min="6156" max="6156" width="2" style="7" customWidth="1"/>
    <col min="6157" max="6400" width="8.6640625" style="7"/>
    <col min="6401" max="6401" width="1.44140625" style="7" customWidth="1"/>
    <col min="6402" max="6402" width="3.6640625" style="7" customWidth="1"/>
    <col min="6403" max="6403" width="17.109375" style="7" customWidth="1"/>
    <col min="6404" max="6404" width="16.109375" style="7" customWidth="1"/>
    <col min="6405" max="6405" width="23.109375" style="7" customWidth="1"/>
    <col min="6406" max="6406" width="29.6640625" style="7" bestFit="1" customWidth="1"/>
    <col min="6407" max="6407" width="16.109375" style="7" customWidth="1"/>
    <col min="6408" max="6408" width="16.5546875" style="7" customWidth="1"/>
    <col min="6409" max="6409" width="16.44140625" style="7" customWidth="1"/>
    <col min="6410" max="6410" width="36.6640625" style="7" customWidth="1"/>
    <col min="6411" max="6411" width="8.6640625" style="7"/>
    <col min="6412" max="6412" width="2" style="7" customWidth="1"/>
    <col min="6413" max="6656" width="8.6640625" style="7"/>
    <col min="6657" max="6657" width="1.44140625" style="7" customWidth="1"/>
    <col min="6658" max="6658" width="3.6640625" style="7" customWidth="1"/>
    <col min="6659" max="6659" width="17.109375" style="7" customWidth="1"/>
    <col min="6660" max="6660" width="16.109375" style="7" customWidth="1"/>
    <col min="6661" max="6661" width="23.109375" style="7" customWidth="1"/>
    <col min="6662" max="6662" width="29.6640625" style="7" bestFit="1" customWidth="1"/>
    <col min="6663" max="6663" width="16.109375" style="7" customWidth="1"/>
    <col min="6664" max="6664" width="16.5546875" style="7" customWidth="1"/>
    <col min="6665" max="6665" width="16.44140625" style="7" customWidth="1"/>
    <col min="6666" max="6666" width="36.6640625" style="7" customWidth="1"/>
    <col min="6667" max="6667" width="8.6640625" style="7"/>
    <col min="6668" max="6668" width="2" style="7" customWidth="1"/>
    <col min="6669" max="6912" width="8.6640625" style="7"/>
    <col min="6913" max="6913" width="1.44140625" style="7" customWidth="1"/>
    <col min="6914" max="6914" width="3.6640625" style="7" customWidth="1"/>
    <col min="6915" max="6915" width="17.109375" style="7" customWidth="1"/>
    <col min="6916" max="6916" width="16.109375" style="7" customWidth="1"/>
    <col min="6917" max="6917" width="23.109375" style="7" customWidth="1"/>
    <col min="6918" max="6918" width="29.6640625" style="7" bestFit="1" customWidth="1"/>
    <col min="6919" max="6919" width="16.109375" style="7" customWidth="1"/>
    <col min="6920" max="6920" width="16.5546875" style="7" customWidth="1"/>
    <col min="6921" max="6921" width="16.44140625" style="7" customWidth="1"/>
    <col min="6922" max="6922" width="36.6640625" style="7" customWidth="1"/>
    <col min="6923" max="6923" width="8.6640625" style="7"/>
    <col min="6924" max="6924" width="2" style="7" customWidth="1"/>
    <col min="6925" max="7168" width="8.6640625" style="7"/>
    <col min="7169" max="7169" width="1.44140625" style="7" customWidth="1"/>
    <col min="7170" max="7170" width="3.6640625" style="7" customWidth="1"/>
    <col min="7171" max="7171" width="17.109375" style="7" customWidth="1"/>
    <col min="7172" max="7172" width="16.109375" style="7" customWidth="1"/>
    <col min="7173" max="7173" width="23.109375" style="7" customWidth="1"/>
    <col min="7174" max="7174" width="29.6640625" style="7" bestFit="1" customWidth="1"/>
    <col min="7175" max="7175" width="16.109375" style="7" customWidth="1"/>
    <col min="7176" max="7176" width="16.5546875" style="7" customWidth="1"/>
    <col min="7177" max="7177" width="16.44140625" style="7" customWidth="1"/>
    <col min="7178" max="7178" width="36.6640625" style="7" customWidth="1"/>
    <col min="7179" max="7179" width="8.6640625" style="7"/>
    <col min="7180" max="7180" width="2" style="7" customWidth="1"/>
    <col min="7181" max="7424" width="8.6640625" style="7"/>
    <col min="7425" max="7425" width="1.44140625" style="7" customWidth="1"/>
    <col min="7426" max="7426" width="3.6640625" style="7" customWidth="1"/>
    <col min="7427" max="7427" width="17.109375" style="7" customWidth="1"/>
    <col min="7428" max="7428" width="16.109375" style="7" customWidth="1"/>
    <col min="7429" max="7429" width="23.109375" style="7" customWidth="1"/>
    <col min="7430" max="7430" width="29.6640625" style="7" bestFit="1" customWidth="1"/>
    <col min="7431" max="7431" width="16.109375" style="7" customWidth="1"/>
    <col min="7432" max="7432" width="16.5546875" style="7" customWidth="1"/>
    <col min="7433" max="7433" width="16.44140625" style="7" customWidth="1"/>
    <col min="7434" max="7434" width="36.6640625" style="7" customWidth="1"/>
    <col min="7435" max="7435" width="8.6640625" style="7"/>
    <col min="7436" max="7436" width="2" style="7" customWidth="1"/>
    <col min="7437" max="7680" width="8.6640625" style="7"/>
    <col min="7681" max="7681" width="1.44140625" style="7" customWidth="1"/>
    <col min="7682" max="7682" width="3.6640625" style="7" customWidth="1"/>
    <col min="7683" max="7683" width="17.109375" style="7" customWidth="1"/>
    <col min="7684" max="7684" width="16.109375" style="7" customWidth="1"/>
    <col min="7685" max="7685" width="23.109375" style="7" customWidth="1"/>
    <col min="7686" max="7686" width="29.6640625" style="7" bestFit="1" customWidth="1"/>
    <col min="7687" max="7687" width="16.109375" style="7" customWidth="1"/>
    <col min="7688" max="7688" width="16.5546875" style="7" customWidth="1"/>
    <col min="7689" max="7689" width="16.44140625" style="7" customWidth="1"/>
    <col min="7690" max="7690" width="36.6640625" style="7" customWidth="1"/>
    <col min="7691" max="7691" width="8.6640625" style="7"/>
    <col min="7692" max="7692" width="2" style="7" customWidth="1"/>
    <col min="7693" max="7936" width="8.6640625" style="7"/>
    <col min="7937" max="7937" width="1.44140625" style="7" customWidth="1"/>
    <col min="7938" max="7938" width="3.6640625" style="7" customWidth="1"/>
    <col min="7939" max="7939" width="17.109375" style="7" customWidth="1"/>
    <col min="7940" max="7940" width="16.109375" style="7" customWidth="1"/>
    <col min="7941" max="7941" width="23.109375" style="7" customWidth="1"/>
    <col min="7942" max="7942" width="29.6640625" style="7" bestFit="1" customWidth="1"/>
    <col min="7943" max="7943" width="16.109375" style="7" customWidth="1"/>
    <col min="7944" max="7944" width="16.5546875" style="7" customWidth="1"/>
    <col min="7945" max="7945" width="16.44140625" style="7" customWidth="1"/>
    <col min="7946" max="7946" width="36.6640625" style="7" customWidth="1"/>
    <col min="7947" max="7947" width="8.6640625" style="7"/>
    <col min="7948" max="7948" width="2" style="7" customWidth="1"/>
    <col min="7949" max="8192" width="8.6640625" style="7"/>
    <col min="8193" max="8193" width="1.44140625" style="7" customWidth="1"/>
    <col min="8194" max="8194" width="3.6640625" style="7" customWidth="1"/>
    <col min="8195" max="8195" width="17.109375" style="7" customWidth="1"/>
    <col min="8196" max="8196" width="16.109375" style="7" customWidth="1"/>
    <col min="8197" max="8197" width="23.109375" style="7" customWidth="1"/>
    <col min="8198" max="8198" width="29.6640625" style="7" bestFit="1" customWidth="1"/>
    <col min="8199" max="8199" width="16.109375" style="7" customWidth="1"/>
    <col min="8200" max="8200" width="16.5546875" style="7" customWidth="1"/>
    <col min="8201" max="8201" width="16.44140625" style="7" customWidth="1"/>
    <col min="8202" max="8202" width="36.6640625" style="7" customWidth="1"/>
    <col min="8203" max="8203" width="8.6640625" style="7"/>
    <col min="8204" max="8204" width="2" style="7" customWidth="1"/>
    <col min="8205" max="8448" width="8.6640625" style="7"/>
    <col min="8449" max="8449" width="1.44140625" style="7" customWidth="1"/>
    <col min="8450" max="8450" width="3.6640625" style="7" customWidth="1"/>
    <col min="8451" max="8451" width="17.109375" style="7" customWidth="1"/>
    <col min="8452" max="8452" width="16.109375" style="7" customWidth="1"/>
    <col min="8453" max="8453" width="23.109375" style="7" customWidth="1"/>
    <col min="8454" max="8454" width="29.6640625" style="7" bestFit="1" customWidth="1"/>
    <col min="8455" max="8455" width="16.109375" style="7" customWidth="1"/>
    <col min="8456" max="8456" width="16.5546875" style="7" customWidth="1"/>
    <col min="8457" max="8457" width="16.44140625" style="7" customWidth="1"/>
    <col min="8458" max="8458" width="36.6640625" style="7" customWidth="1"/>
    <col min="8459" max="8459" width="8.6640625" style="7"/>
    <col min="8460" max="8460" width="2" style="7" customWidth="1"/>
    <col min="8461" max="8704" width="8.6640625" style="7"/>
    <col min="8705" max="8705" width="1.44140625" style="7" customWidth="1"/>
    <col min="8706" max="8706" width="3.6640625" style="7" customWidth="1"/>
    <col min="8707" max="8707" width="17.109375" style="7" customWidth="1"/>
    <col min="8708" max="8708" width="16.109375" style="7" customWidth="1"/>
    <col min="8709" max="8709" width="23.109375" style="7" customWidth="1"/>
    <col min="8710" max="8710" width="29.6640625" style="7" bestFit="1" customWidth="1"/>
    <col min="8711" max="8711" width="16.109375" style="7" customWidth="1"/>
    <col min="8712" max="8712" width="16.5546875" style="7" customWidth="1"/>
    <col min="8713" max="8713" width="16.44140625" style="7" customWidth="1"/>
    <col min="8714" max="8714" width="36.6640625" style="7" customWidth="1"/>
    <col min="8715" max="8715" width="8.6640625" style="7"/>
    <col min="8716" max="8716" width="2" style="7" customWidth="1"/>
    <col min="8717" max="8960" width="8.6640625" style="7"/>
    <col min="8961" max="8961" width="1.44140625" style="7" customWidth="1"/>
    <col min="8962" max="8962" width="3.6640625" style="7" customWidth="1"/>
    <col min="8963" max="8963" width="17.109375" style="7" customWidth="1"/>
    <col min="8964" max="8964" width="16.109375" style="7" customWidth="1"/>
    <col min="8965" max="8965" width="23.109375" style="7" customWidth="1"/>
    <col min="8966" max="8966" width="29.6640625" style="7" bestFit="1" customWidth="1"/>
    <col min="8967" max="8967" width="16.109375" style="7" customWidth="1"/>
    <col min="8968" max="8968" width="16.5546875" style="7" customWidth="1"/>
    <col min="8969" max="8969" width="16.44140625" style="7" customWidth="1"/>
    <col min="8970" max="8970" width="36.6640625" style="7" customWidth="1"/>
    <col min="8971" max="8971" width="8.6640625" style="7"/>
    <col min="8972" max="8972" width="2" style="7" customWidth="1"/>
    <col min="8973" max="9216" width="8.6640625" style="7"/>
    <col min="9217" max="9217" width="1.44140625" style="7" customWidth="1"/>
    <col min="9218" max="9218" width="3.6640625" style="7" customWidth="1"/>
    <col min="9219" max="9219" width="17.109375" style="7" customWidth="1"/>
    <col min="9220" max="9220" width="16.109375" style="7" customWidth="1"/>
    <col min="9221" max="9221" width="23.109375" style="7" customWidth="1"/>
    <col min="9222" max="9222" width="29.6640625" style="7" bestFit="1" customWidth="1"/>
    <col min="9223" max="9223" width="16.109375" style="7" customWidth="1"/>
    <col min="9224" max="9224" width="16.5546875" style="7" customWidth="1"/>
    <col min="9225" max="9225" width="16.44140625" style="7" customWidth="1"/>
    <col min="9226" max="9226" width="36.6640625" style="7" customWidth="1"/>
    <col min="9227" max="9227" width="8.6640625" style="7"/>
    <col min="9228" max="9228" width="2" style="7" customWidth="1"/>
    <col min="9229" max="9472" width="8.6640625" style="7"/>
    <col min="9473" max="9473" width="1.44140625" style="7" customWidth="1"/>
    <col min="9474" max="9474" width="3.6640625" style="7" customWidth="1"/>
    <col min="9475" max="9475" width="17.109375" style="7" customWidth="1"/>
    <col min="9476" max="9476" width="16.109375" style="7" customWidth="1"/>
    <col min="9477" max="9477" width="23.109375" style="7" customWidth="1"/>
    <col min="9478" max="9478" width="29.6640625" style="7" bestFit="1" customWidth="1"/>
    <col min="9479" max="9479" width="16.109375" style="7" customWidth="1"/>
    <col min="9480" max="9480" width="16.5546875" style="7" customWidth="1"/>
    <col min="9481" max="9481" width="16.44140625" style="7" customWidth="1"/>
    <col min="9482" max="9482" width="36.6640625" style="7" customWidth="1"/>
    <col min="9483" max="9483" width="8.6640625" style="7"/>
    <col min="9484" max="9484" width="2" style="7" customWidth="1"/>
    <col min="9485" max="9728" width="8.6640625" style="7"/>
    <col min="9729" max="9729" width="1.44140625" style="7" customWidth="1"/>
    <col min="9730" max="9730" width="3.6640625" style="7" customWidth="1"/>
    <col min="9731" max="9731" width="17.109375" style="7" customWidth="1"/>
    <col min="9732" max="9732" width="16.109375" style="7" customWidth="1"/>
    <col min="9733" max="9733" width="23.109375" style="7" customWidth="1"/>
    <col min="9734" max="9734" width="29.6640625" style="7" bestFit="1" customWidth="1"/>
    <col min="9735" max="9735" width="16.109375" style="7" customWidth="1"/>
    <col min="9736" max="9736" width="16.5546875" style="7" customWidth="1"/>
    <col min="9737" max="9737" width="16.44140625" style="7" customWidth="1"/>
    <col min="9738" max="9738" width="36.6640625" style="7" customWidth="1"/>
    <col min="9739" max="9739" width="8.6640625" style="7"/>
    <col min="9740" max="9740" width="2" style="7" customWidth="1"/>
    <col min="9741" max="9984" width="8.6640625" style="7"/>
    <col min="9985" max="9985" width="1.44140625" style="7" customWidth="1"/>
    <col min="9986" max="9986" width="3.6640625" style="7" customWidth="1"/>
    <col min="9987" max="9987" width="17.109375" style="7" customWidth="1"/>
    <col min="9988" max="9988" width="16.109375" style="7" customWidth="1"/>
    <col min="9989" max="9989" width="23.109375" style="7" customWidth="1"/>
    <col min="9990" max="9990" width="29.6640625" style="7" bestFit="1" customWidth="1"/>
    <col min="9991" max="9991" width="16.109375" style="7" customWidth="1"/>
    <col min="9992" max="9992" width="16.5546875" style="7" customWidth="1"/>
    <col min="9993" max="9993" width="16.44140625" style="7" customWidth="1"/>
    <col min="9994" max="9994" width="36.6640625" style="7" customWidth="1"/>
    <col min="9995" max="9995" width="8.6640625" style="7"/>
    <col min="9996" max="9996" width="2" style="7" customWidth="1"/>
    <col min="9997" max="10240" width="8.6640625" style="7"/>
    <col min="10241" max="10241" width="1.44140625" style="7" customWidth="1"/>
    <col min="10242" max="10242" width="3.6640625" style="7" customWidth="1"/>
    <col min="10243" max="10243" width="17.109375" style="7" customWidth="1"/>
    <col min="10244" max="10244" width="16.109375" style="7" customWidth="1"/>
    <col min="10245" max="10245" width="23.109375" style="7" customWidth="1"/>
    <col min="10246" max="10246" width="29.6640625" style="7" bestFit="1" customWidth="1"/>
    <col min="10247" max="10247" width="16.109375" style="7" customWidth="1"/>
    <col min="10248" max="10248" width="16.5546875" style="7" customWidth="1"/>
    <col min="10249" max="10249" width="16.44140625" style="7" customWidth="1"/>
    <col min="10250" max="10250" width="36.6640625" style="7" customWidth="1"/>
    <col min="10251" max="10251" width="8.6640625" style="7"/>
    <col min="10252" max="10252" width="2" style="7" customWidth="1"/>
    <col min="10253" max="10496" width="8.6640625" style="7"/>
    <col min="10497" max="10497" width="1.44140625" style="7" customWidth="1"/>
    <col min="10498" max="10498" width="3.6640625" style="7" customWidth="1"/>
    <col min="10499" max="10499" width="17.109375" style="7" customWidth="1"/>
    <col min="10500" max="10500" width="16.109375" style="7" customWidth="1"/>
    <col min="10501" max="10501" width="23.109375" style="7" customWidth="1"/>
    <col min="10502" max="10502" width="29.6640625" style="7" bestFit="1" customWidth="1"/>
    <col min="10503" max="10503" width="16.109375" style="7" customWidth="1"/>
    <col min="10504" max="10504" width="16.5546875" style="7" customWidth="1"/>
    <col min="10505" max="10505" width="16.44140625" style="7" customWidth="1"/>
    <col min="10506" max="10506" width="36.6640625" style="7" customWidth="1"/>
    <col min="10507" max="10507" width="8.6640625" style="7"/>
    <col min="10508" max="10508" width="2" style="7" customWidth="1"/>
    <col min="10509" max="10752" width="8.6640625" style="7"/>
    <col min="10753" max="10753" width="1.44140625" style="7" customWidth="1"/>
    <col min="10754" max="10754" width="3.6640625" style="7" customWidth="1"/>
    <col min="10755" max="10755" width="17.109375" style="7" customWidth="1"/>
    <col min="10756" max="10756" width="16.109375" style="7" customWidth="1"/>
    <col min="10757" max="10757" width="23.109375" style="7" customWidth="1"/>
    <col min="10758" max="10758" width="29.6640625" style="7" bestFit="1" customWidth="1"/>
    <col min="10759" max="10759" width="16.109375" style="7" customWidth="1"/>
    <col min="10760" max="10760" width="16.5546875" style="7" customWidth="1"/>
    <col min="10761" max="10761" width="16.44140625" style="7" customWidth="1"/>
    <col min="10762" max="10762" width="36.6640625" style="7" customWidth="1"/>
    <col min="10763" max="10763" width="8.6640625" style="7"/>
    <col min="10764" max="10764" width="2" style="7" customWidth="1"/>
    <col min="10765" max="11008" width="8.6640625" style="7"/>
    <col min="11009" max="11009" width="1.44140625" style="7" customWidth="1"/>
    <col min="11010" max="11010" width="3.6640625" style="7" customWidth="1"/>
    <col min="11011" max="11011" width="17.109375" style="7" customWidth="1"/>
    <col min="11012" max="11012" width="16.109375" style="7" customWidth="1"/>
    <col min="11013" max="11013" width="23.109375" style="7" customWidth="1"/>
    <col min="11014" max="11014" width="29.6640625" style="7" bestFit="1" customWidth="1"/>
    <col min="11015" max="11015" width="16.109375" style="7" customWidth="1"/>
    <col min="11016" max="11016" width="16.5546875" style="7" customWidth="1"/>
    <col min="11017" max="11017" width="16.44140625" style="7" customWidth="1"/>
    <col min="11018" max="11018" width="36.6640625" style="7" customWidth="1"/>
    <col min="11019" max="11019" width="8.6640625" style="7"/>
    <col min="11020" max="11020" width="2" style="7" customWidth="1"/>
    <col min="11021" max="11264" width="8.6640625" style="7"/>
    <col min="11265" max="11265" width="1.44140625" style="7" customWidth="1"/>
    <col min="11266" max="11266" width="3.6640625" style="7" customWidth="1"/>
    <col min="11267" max="11267" width="17.109375" style="7" customWidth="1"/>
    <col min="11268" max="11268" width="16.109375" style="7" customWidth="1"/>
    <col min="11269" max="11269" width="23.109375" style="7" customWidth="1"/>
    <col min="11270" max="11270" width="29.6640625" style="7" bestFit="1" customWidth="1"/>
    <col min="11271" max="11271" width="16.109375" style="7" customWidth="1"/>
    <col min="11272" max="11272" width="16.5546875" style="7" customWidth="1"/>
    <col min="11273" max="11273" width="16.44140625" style="7" customWidth="1"/>
    <col min="11274" max="11274" width="36.6640625" style="7" customWidth="1"/>
    <col min="11275" max="11275" width="8.6640625" style="7"/>
    <col min="11276" max="11276" width="2" style="7" customWidth="1"/>
    <col min="11277" max="11520" width="8.6640625" style="7"/>
    <col min="11521" max="11521" width="1.44140625" style="7" customWidth="1"/>
    <col min="11522" max="11522" width="3.6640625" style="7" customWidth="1"/>
    <col min="11523" max="11523" width="17.109375" style="7" customWidth="1"/>
    <col min="11524" max="11524" width="16.109375" style="7" customWidth="1"/>
    <col min="11525" max="11525" width="23.109375" style="7" customWidth="1"/>
    <col min="11526" max="11526" width="29.6640625" style="7" bestFit="1" customWidth="1"/>
    <col min="11527" max="11527" width="16.109375" style="7" customWidth="1"/>
    <col min="11528" max="11528" width="16.5546875" style="7" customWidth="1"/>
    <col min="11529" max="11529" width="16.44140625" style="7" customWidth="1"/>
    <col min="11530" max="11530" width="36.6640625" style="7" customWidth="1"/>
    <col min="11531" max="11531" width="8.6640625" style="7"/>
    <col min="11532" max="11532" width="2" style="7" customWidth="1"/>
    <col min="11533" max="11776" width="8.6640625" style="7"/>
    <col min="11777" max="11777" width="1.44140625" style="7" customWidth="1"/>
    <col min="11778" max="11778" width="3.6640625" style="7" customWidth="1"/>
    <col min="11779" max="11779" width="17.109375" style="7" customWidth="1"/>
    <col min="11780" max="11780" width="16.109375" style="7" customWidth="1"/>
    <col min="11781" max="11781" width="23.109375" style="7" customWidth="1"/>
    <col min="11782" max="11782" width="29.6640625" style="7" bestFit="1" customWidth="1"/>
    <col min="11783" max="11783" width="16.109375" style="7" customWidth="1"/>
    <col min="11784" max="11784" width="16.5546875" style="7" customWidth="1"/>
    <col min="11785" max="11785" width="16.44140625" style="7" customWidth="1"/>
    <col min="11786" max="11786" width="36.6640625" style="7" customWidth="1"/>
    <col min="11787" max="11787" width="8.6640625" style="7"/>
    <col min="11788" max="11788" width="2" style="7" customWidth="1"/>
    <col min="11789" max="12032" width="8.6640625" style="7"/>
    <col min="12033" max="12033" width="1.44140625" style="7" customWidth="1"/>
    <col min="12034" max="12034" width="3.6640625" style="7" customWidth="1"/>
    <col min="12035" max="12035" width="17.109375" style="7" customWidth="1"/>
    <col min="12036" max="12036" width="16.109375" style="7" customWidth="1"/>
    <col min="12037" max="12037" width="23.109375" style="7" customWidth="1"/>
    <col min="12038" max="12038" width="29.6640625" style="7" bestFit="1" customWidth="1"/>
    <col min="12039" max="12039" width="16.109375" style="7" customWidth="1"/>
    <col min="12040" max="12040" width="16.5546875" style="7" customWidth="1"/>
    <col min="12041" max="12041" width="16.44140625" style="7" customWidth="1"/>
    <col min="12042" max="12042" width="36.6640625" style="7" customWidth="1"/>
    <col min="12043" max="12043" width="8.6640625" style="7"/>
    <col min="12044" max="12044" width="2" style="7" customWidth="1"/>
    <col min="12045" max="12288" width="8.6640625" style="7"/>
    <col min="12289" max="12289" width="1.44140625" style="7" customWidth="1"/>
    <col min="12290" max="12290" width="3.6640625" style="7" customWidth="1"/>
    <col min="12291" max="12291" width="17.109375" style="7" customWidth="1"/>
    <col min="12292" max="12292" width="16.109375" style="7" customWidth="1"/>
    <col min="12293" max="12293" width="23.109375" style="7" customWidth="1"/>
    <col min="12294" max="12294" width="29.6640625" style="7" bestFit="1" customWidth="1"/>
    <col min="12295" max="12295" width="16.109375" style="7" customWidth="1"/>
    <col min="12296" max="12296" width="16.5546875" style="7" customWidth="1"/>
    <col min="12297" max="12297" width="16.44140625" style="7" customWidth="1"/>
    <col min="12298" max="12298" width="36.6640625" style="7" customWidth="1"/>
    <col min="12299" max="12299" width="8.6640625" style="7"/>
    <col min="12300" max="12300" width="2" style="7" customWidth="1"/>
    <col min="12301" max="12544" width="8.6640625" style="7"/>
    <col min="12545" max="12545" width="1.44140625" style="7" customWidth="1"/>
    <col min="12546" max="12546" width="3.6640625" style="7" customWidth="1"/>
    <col min="12547" max="12547" width="17.109375" style="7" customWidth="1"/>
    <col min="12548" max="12548" width="16.109375" style="7" customWidth="1"/>
    <col min="12549" max="12549" width="23.109375" style="7" customWidth="1"/>
    <col min="12550" max="12550" width="29.6640625" style="7" bestFit="1" customWidth="1"/>
    <col min="12551" max="12551" width="16.109375" style="7" customWidth="1"/>
    <col min="12552" max="12552" width="16.5546875" style="7" customWidth="1"/>
    <col min="12553" max="12553" width="16.44140625" style="7" customWidth="1"/>
    <col min="12554" max="12554" width="36.6640625" style="7" customWidth="1"/>
    <col min="12555" max="12555" width="8.6640625" style="7"/>
    <col min="12556" max="12556" width="2" style="7" customWidth="1"/>
    <col min="12557" max="12800" width="8.6640625" style="7"/>
    <col min="12801" max="12801" width="1.44140625" style="7" customWidth="1"/>
    <col min="12802" max="12802" width="3.6640625" style="7" customWidth="1"/>
    <col min="12803" max="12803" width="17.109375" style="7" customWidth="1"/>
    <col min="12804" max="12804" width="16.109375" style="7" customWidth="1"/>
    <col min="12805" max="12805" width="23.109375" style="7" customWidth="1"/>
    <col min="12806" max="12806" width="29.6640625" style="7" bestFit="1" customWidth="1"/>
    <col min="12807" max="12807" width="16.109375" style="7" customWidth="1"/>
    <col min="12808" max="12808" width="16.5546875" style="7" customWidth="1"/>
    <col min="12809" max="12809" width="16.44140625" style="7" customWidth="1"/>
    <col min="12810" max="12810" width="36.6640625" style="7" customWidth="1"/>
    <col min="12811" max="12811" width="8.6640625" style="7"/>
    <col min="12812" max="12812" width="2" style="7" customWidth="1"/>
    <col min="12813" max="13056" width="8.6640625" style="7"/>
    <col min="13057" max="13057" width="1.44140625" style="7" customWidth="1"/>
    <col min="13058" max="13058" width="3.6640625" style="7" customWidth="1"/>
    <col min="13059" max="13059" width="17.109375" style="7" customWidth="1"/>
    <col min="13060" max="13060" width="16.109375" style="7" customWidth="1"/>
    <col min="13061" max="13061" width="23.109375" style="7" customWidth="1"/>
    <col min="13062" max="13062" width="29.6640625" style="7" bestFit="1" customWidth="1"/>
    <col min="13063" max="13063" width="16.109375" style="7" customWidth="1"/>
    <col min="13064" max="13064" width="16.5546875" style="7" customWidth="1"/>
    <col min="13065" max="13065" width="16.44140625" style="7" customWidth="1"/>
    <col min="13066" max="13066" width="36.6640625" style="7" customWidth="1"/>
    <col min="13067" max="13067" width="8.6640625" style="7"/>
    <col min="13068" max="13068" width="2" style="7" customWidth="1"/>
    <col min="13069" max="13312" width="8.6640625" style="7"/>
    <col min="13313" max="13313" width="1.44140625" style="7" customWidth="1"/>
    <col min="13314" max="13314" width="3.6640625" style="7" customWidth="1"/>
    <col min="13315" max="13315" width="17.109375" style="7" customWidth="1"/>
    <col min="13316" max="13316" width="16.109375" style="7" customWidth="1"/>
    <col min="13317" max="13317" width="23.109375" style="7" customWidth="1"/>
    <col min="13318" max="13318" width="29.6640625" style="7" bestFit="1" customWidth="1"/>
    <col min="13319" max="13319" width="16.109375" style="7" customWidth="1"/>
    <col min="13320" max="13320" width="16.5546875" style="7" customWidth="1"/>
    <col min="13321" max="13321" width="16.44140625" style="7" customWidth="1"/>
    <col min="13322" max="13322" width="36.6640625" style="7" customWidth="1"/>
    <col min="13323" max="13323" width="8.6640625" style="7"/>
    <col min="13324" max="13324" width="2" style="7" customWidth="1"/>
    <col min="13325" max="13568" width="8.6640625" style="7"/>
    <col min="13569" max="13569" width="1.44140625" style="7" customWidth="1"/>
    <col min="13570" max="13570" width="3.6640625" style="7" customWidth="1"/>
    <col min="13571" max="13571" width="17.109375" style="7" customWidth="1"/>
    <col min="13572" max="13572" width="16.109375" style="7" customWidth="1"/>
    <col min="13573" max="13573" width="23.109375" style="7" customWidth="1"/>
    <col min="13574" max="13574" width="29.6640625" style="7" bestFit="1" customWidth="1"/>
    <col min="13575" max="13575" width="16.109375" style="7" customWidth="1"/>
    <col min="13576" max="13576" width="16.5546875" style="7" customWidth="1"/>
    <col min="13577" max="13577" width="16.44140625" style="7" customWidth="1"/>
    <col min="13578" max="13578" width="36.6640625" style="7" customWidth="1"/>
    <col min="13579" max="13579" width="8.6640625" style="7"/>
    <col min="13580" max="13580" width="2" style="7" customWidth="1"/>
    <col min="13581" max="13824" width="8.6640625" style="7"/>
    <col min="13825" max="13825" width="1.44140625" style="7" customWidth="1"/>
    <col min="13826" max="13826" width="3.6640625" style="7" customWidth="1"/>
    <col min="13827" max="13827" width="17.109375" style="7" customWidth="1"/>
    <col min="13828" max="13828" width="16.109375" style="7" customWidth="1"/>
    <col min="13829" max="13829" width="23.109375" style="7" customWidth="1"/>
    <col min="13830" max="13830" width="29.6640625" style="7" bestFit="1" customWidth="1"/>
    <col min="13831" max="13831" width="16.109375" style="7" customWidth="1"/>
    <col min="13832" max="13832" width="16.5546875" style="7" customWidth="1"/>
    <col min="13833" max="13833" width="16.44140625" style="7" customWidth="1"/>
    <col min="13834" max="13834" width="36.6640625" style="7" customWidth="1"/>
    <col min="13835" max="13835" width="8.6640625" style="7"/>
    <col min="13836" max="13836" width="2" style="7" customWidth="1"/>
    <col min="13837" max="14080" width="8.6640625" style="7"/>
    <col min="14081" max="14081" width="1.44140625" style="7" customWidth="1"/>
    <col min="14082" max="14082" width="3.6640625" style="7" customWidth="1"/>
    <col min="14083" max="14083" width="17.109375" style="7" customWidth="1"/>
    <col min="14084" max="14084" width="16.109375" style="7" customWidth="1"/>
    <col min="14085" max="14085" width="23.109375" style="7" customWidth="1"/>
    <col min="14086" max="14086" width="29.6640625" style="7" bestFit="1" customWidth="1"/>
    <col min="14087" max="14087" width="16.109375" style="7" customWidth="1"/>
    <col min="14088" max="14088" width="16.5546875" style="7" customWidth="1"/>
    <col min="14089" max="14089" width="16.44140625" style="7" customWidth="1"/>
    <col min="14090" max="14090" width="36.6640625" style="7" customWidth="1"/>
    <col min="14091" max="14091" width="8.6640625" style="7"/>
    <col min="14092" max="14092" width="2" style="7" customWidth="1"/>
    <col min="14093" max="14336" width="8.6640625" style="7"/>
    <col min="14337" max="14337" width="1.44140625" style="7" customWidth="1"/>
    <col min="14338" max="14338" width="3.6640625" style="7" customWidth="1"/>
    <col min="14339" max="14339" width="17.109375" style="7" customWidth="1"/>
    <col min="14340" max="14340" width="16.109375" style="7" customWidth="1"/>
    <col min="14341" max="14341" width="23.109375" style="7" customWidth="1"/>
    <col min="14342" max="14342" width="29.6640625" style="7" bestFit="1" customWidth="1"/>
    <col min="14343" max="14343" width="16.109375" style="7" customWidth="1"/>
    <col min="14344" max="14344" width="16.5546875" style="7" customWidth="1"/>
    <col min="14345" max="14345" width="16.44140625" style="7" customWidth="1"/>
    <col min="14346" max="14346" width="36.6640625" style="7" customWidth="1"/>
    <col min="14347" max="14347" width="8.6640625" style="7"/>
    <col min="14348" max="14348" width="2" style="7" customWidth="1"/>
    <col min="14349" max="14592" width="8.6640625" style="7"/>
    <col min="14593" max="14593" width="1.44140625" style="7" customWidth="1"/>
    <col min="14594" max="14594" width="3.6640625" style="7" customWidth="1"/>
    <col min="14595" max="14595" width="17.109375" style="7" customWidth="1"/>
    <col min="14596" max="14596" width="16.109375" style="7" customWidth="1"/>
    <col min="14597" max="14597" width="23.109375" style="7" customWidth="1"/>
    <col min="14598" max="14598" width="29.6640625" style="7" bestFit="1" customWidth="1"/>
    <col min="14599" max="14599" width="16.109375" style="7" customWidth="1"/>
    <col min="14600" max="14600" width="16.5546875" style="7" customWidth="1"/>
    <col min="14601" max="14601" width="16.44140625" style="7" customWidth="1"/>
    <col min="14602" max="14602" width="36.6640625" style="7" customWidth="1"/>
    <col min="14603" max="14603" width="8.6640625" style="7"/>
    <col min="14604" max="14604" width="2" style="7" customWidth="1"/>
    <col min="14605" max="14848" width="8.6640625" style="7"/>
    <col min="14849" max="14849" width="1.44140625" style="7" customWidth="1"/>
    <col min="14850" max="14850" width="3.6640625" style="7" customWidth="1"/>
    <col min="14851" max="14851" width="17.109375" style="7" customWidth="1"/>
    <col min="14852" max="14852" width="16.109375" style="7" customWidth="1"/>
    <col min="14853" max="14853" width="23.109375" style="7" customWidth="1"/>
    <col min="14854" max="14854" width="29.6640625" style="7" bestFit="1" customWidth="1"/>
    <col min="14855" max="14855" width="16.109375" style="7" customWidth="1"/>
    <col min="14856" max="14856" width="16.5546875" style="7" customWidth="1"/>
    <col min="14857" max="14857" width="16.44140625" style="7" customWidth="1"/>
    <col min="14858" max="14858" width="36.6640625" style="7" customWidth="1"/>
    <col min="14859" max="14859" width="8.6640625" style="7"/>
    <col min="14860" max="14860" width="2" style="7" customWidth="1"/>
    <col min="14861" max="15104" width="8.6640625" style="7"/>
    <col min="15105" max="15105" width="1.44140625" style="7" customWidth="1"/>
    <col min="15106" max="15106" width="3.6640625" style="7" customWidth="1"/>
    <col min="15107" max="15107" width="17.109375" style="7" customWidth="1"/>
    <col min="15108" max="15108" width="16.109375" style="7" customWidth="1"/>
    <col min="15109" max="15109" width="23.109375" style="7" customWidth="1"/>
    <col min="15110" max="15110" width="29.6640625" style="7" bestFit="1" customWidth="1"/>
    <col min="15111" max="15111" width="16.109375" style="7" customWidth="1"/>
    <col min="15112" max="15112" width="16.5546875" style="7" customWidth="1"/>
    <col min="15113" max="15113" width="16.44140625" style="7" customWidth="1"/>
    <col min="15114" max="15114" width="36.6640625" style="7" customWidth="1"/>
    <col min="15115" max="15115" width="8.6640625" style="7"/>
    <col min="15116" max="15116" width="2" style="7" customWidth="1"/>
    <col min="15117" max="15360" width="8.6640625" style="7"/>
    <col min="15361" max="15361" width="1.44140625" style="7" customWidth="1"/>
    <col min="15362" max="15362" width="3.6640625" style="7" customWidth="1"/>
    <col min="15363" max="15363" width="17.109375" style="7" customWidth="1"/>
    <col min="15364" max="15364" width="16.109375" style="7" customWidth="1"/>
    <col min="15365" max="15365" width="23.109375" style="7" customWidth="1"/>
    <col min="15366" max="15366" width="29.6640625" style="7" bestFit="1" customWidth="1"/>
    <col min="15367" max="15367" width="16.109375" style="7" customWidth="1"/>
    <col min="15368" max="15368" width="16.5546875" style="7" customWidth="1"/>
    <col min="15369" max="15369" width="16.44140625" style="7" customWidth="1"/>
    <col min="15370" max="15370" width="36.6640625" style="7" customWidth="1"/>
    <col min="15371" max="15371" width="8.6640625" style="7"/>
    <col min="15372" max="15372" width="2" style="7" customWidth="1"/>
    <col min="15373" max="15616" width="8.6640625" style="7"/>
    <col min="15617" max="15617" width="1.44140625" style="7" customWidth="1"/>
    <col min="15618" max="15618" width="3.6640625" style="7" customWidth="1"/>
    <col min="15619" max="15619" width="17.109375" style="7" customWidth="1"/>
    <col min="15620" max="15620" width="16.109375" style="7" customWidth="1"/>
    <col min="15621" max="15621" width="23.109375" style="7" customWidth="1"/>
    <col min="15622" max="15622" width="29.6640625" style="7" bestFit="1" customWidth="1"/>
    <col min="15623" max="15623" width="16.109375" style="7" customWidth="1"/>
    <col min="15624" max="15624" width="16.5546875" style="7" customWidth="1"/>
    <col min="15625" max="15625" width="16.44140625" style="7" customWidth="1"/>
    <col min="15626" max="15626" width="36.6640625" style="7" customWidth="1"/>
    <col min="15627" max="15627" width="8.6640625" style="7"/>
    <col min="15628" max="15628" width="2" style="7" customWidth="1"/>
    <col min="15629" max="15872" width="8.6640625" style="7"/>
    <col min="15873" max="15873" width="1.44140625" style="7" customWidth="1"/>
    <col min="15874" max="15874" width="3.6640625" style="7" customWidth="1"/>
    <col min="15875" max="15875" width="17.109375" style="7" customWidth="1"/>
    <col min="15876" max="15876" width="16.109375" style="7" customWidth="1"/>
    <col min="15877" max="15877" width="23.109375" style="7" customWidth="1"/>
    <col min="15878" max="15878" width="29.6640625" style="7" bestFit="1" customWidth="1"/>
    <col min="15879" max="15879" width="16.109375" style="7" customWidth="1"/>
    <col min="15880" max="15880" width="16.5546875" style="7" customWidth="1"/>
    <col min="15881" max="15881" width="16.44140625" style="7" customWidth="1"/>
    <col min="15882" max="15882" width="36.6640625" style="7" customWidth="1"/>
    <col min="15883" max="15883" width="8.6640625" style="7"/>
    <col min="15884" max="15884" width="2" style="7" customWidth="1"/>
    <col min="15885" max="16128" width="8.6640625" style="7"/>
    <col min="16129" max="16129" width="1.44140625" style="7" customWidth="1"/>
    <col min="16130" max="16130" width="3.6640625" style="7" customWidth="1"/>
    <col min="16131" max="16131" width="17.109375" style="7" customWidth="1"/>
    <col min="16132" max="16132" width="16.109375" style="7" customWidth="1"/>
    <col min="16133" max="16133" width="23.109375" style="7" customWidth="1"/>
    <col min="16134" max="16134" width="29.6640625" style="7" bestFit="1" customWidth="1"/>
    <col min="16135" max="16135" width="16.109375" style="7" customWidth="1"/>
    <col min="16136" max="16136" width="16.5546875" style="7" customWidth="1"/>
    <col min="16137" max="16137" width="16.44140625" style="7" customWidth="1"/>
    <col min="16138" max="16138" width="36.6640625" style="7" customWidth="1"/>
    <col min="16139" max="16139" width="8.6640625" style="7"/>
    <col min="16140" max="16140" width="2" style="7" customWidth="1"/>
    <col min="16141" max="16384" width="8.6640625" style="7"/>
  </cols>
  <sheetData>
    <row r="1" spans="1:16" ht="15" thickBot="1" x14ac:dyDescent="0.25"/>
    <row r="2" spans="1:16" ht="15.75" thickBot="1" x14ac:dyDescent="0.25">
      <c r="B2" s="1151" t="s">
        <v>63</v>
      </c>
    </row>
    <row r="5" spans="1:16" ht="15" thickBot="1" x14ac:dyDescent="0.25"/>
    <row r="6" spans="1:16" ht="44.1" customHeight="1" thickBot="1" x14ac:dyDescent="0.25">
      <c r="B6" s="398" t="s">
        <v>64</v>
      </c>
      <c r="C6" s="399" t="str">
        <f>'TITLE PAGE'!$D$18</f>
        <v>Essex &amp; Suffolk Water</v>
      </c>
      <c r="D6" s="1699" t="s">
        <v>2</v>
      </c>
      <c r="E6" s="194" t="s">
        <v>65</v>
      </c>
    </row>
    <row r="7" spans="1:16" ht="15.75" thickBot="1" x14ac:dyDescent="0.25">
      <c r="A7" s="8"/>
      <c r="B7" s="4"/>
      <c r="C7" s="4"/>
      <c r="D7" s="1698">
        <f>'TITLE PAGE'!D21</f>
        <v>16</v>
      </c>
      <c r="E7" s="3"/>
      <c r="F7" s="4"/>
      <c r="G7" s="9"/>
      <c r="H7" s="9"/>
      <c r="I7" s="5" t="s">
        <v>66</v>
      </c>
      <c r="J7" s="4"/>
      <c r="K7" s="6"/>
      <c r="L7" s="9"/>
      <c r="P7" s="1258" t="s">
        <v>67</v>
      </c>
    </row>
    <row r="8" spans="1:16" ht="73.349999999999994" customHeight="1" thickBot="1" x14ac:dyDescent="0.25">
      <c r="A8" s="10"/>
      <c r="B8" s="479" t="s">
        <v>68</v>
      </c>
      <c r="C8" s="6"/>
      <c r="D8" s="6"/>
      <c r="E8" s="6"/>
      <c r="F8" s="6"/>
      <c r="G8" s="6"/>
      <c r="H8" s="6"/>
      <c r="I8" s="6"/>
      <c r="J8" s="6"/>
      <c r="K8" s="6"/>
      <c r="P8" s="1244" t="s">
        <v>69</v>
      </c>
    </row>
    <row r="9" spans="1:16" ht="72.95" customHeight="1" thickBot="1" x14ac:dyDescent="0.25">
      <c r="A9" s="11"/>
      <c r="B9" s="465" t="s">
        <v>70</v>
      </c>
      <c r="C9" s="466" t="s">
        <v>71</v>
      </c>
      <c r="D9" s="466" t="s">
        <v>72</v>
      </c>
      <c r="E9" s="466" t="s">
        <v>73</v>
      </c>
      <c r="F9" s="466" t="s">
        <v>74</v>
      </c>
      <c r="G9" s="466" t="s">
        <v>75</v>
      </c>
      <c r="H9" s="466" t="s">
        <v>76</v>
      </c>
      <c r="I9" s="1146" t="s">
        <v>77</v>
      </c>
      <c r="J9" s="466" t="s">
        <v>78</v>
      </c>
      <c r="K9" s="466" t="s">
        <v>79</v>
      </c>
      <c r="L9" s="469" t="s">
        <v>80</v>
      </c>
      <c r="P9" s="1244" t="s">
        <v>81</v>
      </c>
    </row>
    <row r="10" spans="1:16" x14ac:dyDescent="0.2">
      <c r="A10" s="12"/>
      <c r="B10" s="467" t="s">
        <v>82</v>
      </c>
      <c r="C10" s="468" t="s">
        <v>83</v>
      </c>
      <c r="D10" s="468" t="s">
        <v>84</v>
      </c>
      <c r="E10" s="468" t="s">
        <v>84</v>
      </c>
      <c r="F10" s="468" t="s">
        <v>84</v>
      </c>
      <c r="G10" s="1243"/>
      <c r="H10" s="1080">
        <f>SUM(H11:H31)</f>
        <v>43.067999999999998</v>
      </c>
      <c r="I10" s="1080">
        <f>SUM(I11:I31)</f>
        <v>46.67</v>
      </c>
      <c r="J10" s="470">
        <f>SUM(J11:J31)</f>
        <v>1104.4355479452056</v>
      </c>
      <c r="K10" s="471" t="s">
        <v>84</v>
      </c>
      <c r="L10" s="472" t="s">
        <v>84</v>
      </c>
      <c r="P10" s="1244" t="s">
        <v>85</v>
      </c>
    </row>
    <row r="11" spans="1:16" ht="28.5" x14ac:dyDescent="0.2">
      <c r="A11" s="2"/>
      <c r="B11" s="21" t="s">
        <v>84</v>
      </c>
      <c r="C11" s="13" t="s">
        <v>86</v>
      </c>
      <c r="D11" s="1317" t="s">
        <v>2341</v>
      </c>
      <c r="E11" s="21" t="s">
        <v>87</v>
      </c>
      <c r="F11" s="14" t="s">
        <v>69</v>
      </c>
      <c r="G11" s="14" t="s">
        <v>88</v>
      </c>
      <c r="H11" s="1623"/>
      <c r="I11" s="1623"/>
      <c r="J11" s="258">
        <v>5.4550000000000001</v>
      </c>
      <c r="K11" s="14" t="s">
        <v>89</v>
      </c>
      <c r="L11" s="1599" t="s">
        <v>90</v>
      </c>
      <c r="P11" s="7" t="s">
        <v>91</v>
      </c>
    </row>
    <row r="12" spans="1:16" ht="28.5" x14ac:dyDescent="0.2">
      <c r="A12" s="2"/>
      <c r="B12" s="21"/>
      <c r="C12" s="13" t="s">
        <v>86</v>
      </c>
      <c r="D12" s="1317" t="s">
        <v>2341</v>
      </c>
      <c r="E12" s="21" t="s">
        <v>92</v>
      </c>
      <c r="F12" s="14" t="s">
        <v>69</v>
      </c>
      <c r="G12" s="14" t="s">
        <v>93</v>
      </c>
      <c r="H12" s="258">
        <v>3.11</v>
      </c>
      <c r="I12" s="1620"/>
      <c r="J12" s="258" t="s">
        <v>94</v>
      </c>
      <c r="K12" s="14" t="s">
        <v>95</v>
      </c>
      <c r="L12" s="1599" t="s">
        <v>96</v>
      </c>
    </row>
    <row r="13" spans="1:16" x14ac:dyDescent="0.2">
      <c r="A13" s="2"/>
      <c r="B13" s="21"/>
      <c r="C13" s="13" t="s">
        <v>86</v>
      </c>
      <c r="D13" s="1317" t="s">
        <v>2341</v>
      </c>
      <c r="E13" s="21" t="s">
        <v>97</v>
      </c>
      <c r="F13" s="14" t="s">
        <v>69</v>
      </c>
      <c r="G13" s="14" t="s">
        <v>93</v>
      </c>
      <c r="H13" s="258">
        <v>2.27</v>
      </c>
      <c r="I13" s="1620"/>
      <c r="J13" s="1319">
        <v>2.27</v>
      </c>
      <c r="K13" s="14" t="s">
        <v>95</v>
      </c>
      <c r="L13" s="1599" t="s">
        <v>98</v>
      </c>
    </row>
    <row r="14" spans="1:16" ht="28.5" x14ac:dyDescent="0.2">
      <c r="A14" s="2"/>
      <c r="B14" s="21"/>
      <c r="C14" s="13" t="s">
        <v>86</v>
      </c>
      <c r="D14" s="1317" t="s">
        <v>2341</v>
      </c>
      <c r="E14" s="21" t="s">
        <v>99</v>
      </c>
      <c r="F14" s="14" t="s">
        <v>69</v>
      </c>
      <c r="G14" s="14" t="s">
        <v>93</v>
      </c>
      <c r="H14" s="258">
        <v>2.21</v>
      </c>
      <c r="I14" s="258">
        <v>4.9800000000000004</v>
      </c>
      <c r="J14" s="1319">
        <v>2.21</v>
      </c>
      <c r="K14" s="14" t="s">
        <v>95</v>
      </c>
      <c r="L14" s="1599" t="s">
        <v>100</v>
      </c>
      <c r="O14" s="1320"/>
    </row>
    <row r="15" spans="1:16" ht="15" x14ac:dyDescent="0.2">
      <c r="A15" s="2"/>
      <c r="B15" s="21"/>
      <c r="C15" s="13" t="s">
        <v>86</v>
      </c>
      <c r="D15" s="1317" t="s">
        <v>2341</v>
      </c>
      <c r="E15" s="21" t="s">
        <v>101</v>
      </c>
      <c r="F15" s="14" t="s">
        <v>69</v>
      </c>
      <c r="G15" s="14" t="s">
        <v>102</v>
      </c>
      <c r="H15" s="258">
        <v>1.25</v>
      </c>
      <c r="I15" s="259">
        <v>2.16</v>
      </c>
      <c r="J15" s="1321">
        <v>1.2454794520547945</v>
      </c>
      <c r="K15" s="14" t="s">
        <v>95</v>
      </c>
      <c r="L15" s="22"/>
    </row>
    <row r="16" spans="1:16" ht="15" x14ac:dyDescent="0.2">
      <c r="A16" s="2"/>
      <c r="B16" s="21"/>
      <c r="C16" s="13" t="s">
        <v>86</v>
      </c>
      <c r="D16" s="1317" t="s">
        <v>2341</v>
      </c>
      <c r="E16" s="21" t="s">
        <v>103</v>
      </c>
      <c r="F16" s="14" t="s">
        <v>69</v>
      </c>
      <c r="G16" s="14" t="s">
        <v>102</v>
      </c>
      <c r="H16" s="258">
        <v>0.54800000000000004</v>
      </c>
      <c r="I16" s="258">
        <v>1.03</v>
      </c>
      <c r="J16" s="1321">
        <v>0.54794520547945202</v>
      </c>
      <c r="K16" s="14" t="s">
        <v>95</v>
      </c>
      <c r="L16" s="22"/>
    </row>
    <row r="17" spans="1:12" ht="15" x14ac:dyDescent="0.2">
      <c r="A17" s="2"/>
      <c r="B17" s="21"/>
      <c r="C17" s="13" t="s">
        <v>86</v>
      </c>
      <c r="D17" s="1317" t="s">
        <v>2341</v>
      </c>
      <c r="E17" s="21" t="s">
        <v>104</v>
      </c>
      <c r="F17" s="14" t="s">
        <v>69</v>
      </c>
      <c r="G17" s="14" t="s">
        <v>105</v>
      </c>
      <c r="H17" s="258">
        <v>2.84</v>
      </c>
      <c r="I17" s="1622"/>
      <c r="J17" s="1321">
        <v>3.4126027397260272</v>
      </c>
      <c r="K17" s="14" t="s">
        <v>89</v>
      </c>
      <c r="L17" s="22"/>
    </row>
    <row r="18" spans="1:12" ht="15" x14ac:dyDescent="0.2">
      <c r="A18" s="2"/>
      <c r="B18" s="21"/>
      <c r="C18" s="13" t="s">
        <v>86</v>
      </c>
      <c r="D18" s="1317" t="s">
        <v>2341</v>
      </c>
      <c r="E18" s="21" t="s">
        <v>106</v>
      </c>
      <c r="F18" s="14" t="s">
        <v>69</v>
      </c>
      <c r="G18" s="14" t="s">
        <v>105</v>
      </c>
      <c r="H18" s="258">
        <v>2.25</v>
      </c>
      <c r="I18" s="1622"/>
      <c r="J18" s="1321">
        <v>2.2791780821917809</v>
      </c>
      <c r="K18" s="14" t="s">
        <v>95</v>
      </c>
      <c r="L18" s="22"/>
    </row>
    <row r="19" spans="1:12" ht="15" x14ac:dyDescent="0.2">
      <c r="A19" s="2"/>
      <c r="B19" s="21"/>
      <c r="C19" s="13" t="s">
        <v>86</v>
      </c>
      <c r="D19" s="1317" t="s">
        <v>2341</v>
      </c>
      <c r="E19" s="21" t="s">
        <v>107</v>
      </c>
      <c r="F19" s="14" t="s">
        <v>81</v>
      </c>
      <c r="G19" s="14" t="s">
        <v>105</v>
      </c>
      <c r="H19" s="258">
        <v>8.09</v>
      </c>
      <c r="I19" s="259">
        <v>18</v>
      </c>
      <c r="J19" s="1321">
        <v>8.0956164383561653</v>
      </c>
      <c r="K19" s="14"/>
      <c r="L19" s="22"/>
    </row>
    <row r="20" spans="1:12" x14ac:dyDescent="0.2">
      <c r="A20" s="2"/>
      <c r="B20" s="21"/>
      <c r="C20" s="13" t="s">
        <v>86</v>
      </c>
      <c r="D20" s="1317" t="s">
        <v>2341</v>
      </c>
      <c r="E20" s="21" t="s">
        <v>108</v>
      </c>
      <c r="F20" s="14" t="s">
        <v>69</v>
      </c>
      <c r="G20" s="14" t="s">
        <v>105</v>
      </c>
      <c r="H20" s="258">
        <v>0</v>
      </c>
      <c r="I20" s="1622"/>
      <c r="J20" s="1321">
        <v>2.9917808219178084</v>
      </c>
      <c r="K20" s="14" t="s">
        <v>109</v>
      </c>
      <c r="L20" s="1599" t="s">
        <v>110</v>
      </c>
    </row>
    <row r="21" spans="1:12" ht="15" x14ac:dyDescent="0.2">
      <c r="A21" s="2"/>
      <c r="B21" s="21"/>
      <c r="C21" s="13" t="s">
        <v>86</v>
      </c>
      <c r="D21" s="1317" t="s">
        <v>2341</v>
      </c>
      <c r="E21" s="21" t="s">
        <v>111</v>
      </c>
      <c r="F21" s="14" t="s">
        <v>85</v>
      </c>
      <c r="G21" s="14" t="s">
        <v>105</v>
      </c>
      <c r="H21" s="258">
        <v>20.5</v>
      </c>
      <c r="I21" s="258">
        <v>20.5</v>
      </c>
      <c r="J21" s="1321">
        <v>20.547945205479451</v>
      </c>
      <c r="K21" s="14"/>
      <c r="L21" s="22"/>
    </row>
    <row r="22" spans="1:12" ht="28.5" x14ac:dyDescent="0.2">
      <c r="A22" s="2"/>
      <c r="B22" s="21"/>
      <c r="C22" s="13" t="s">
        <v>86</v>
      </c>
      <c r="D22" s="1317" t="s">
        <v>2341</v>
      </c>
      <c r="E22" s="21" t="s">
        <v>112</v>
      </c>
      <c r="F22" s="14" t="s">
        <v>69</v>
      </c>
      <c r="G22" s="14" t="s">
        <v>88</v>
      </c>
      <c r="H22" s="1623"/>
      <c r="I22" s="1620"/>
      <c r="J22" s="1321">
        <v>1.93</v>
      </c>
      <c r="K22" s="14" t="s">
        <v>95</v>
      </c>
      <c r="L22" s="1599" t="s">
        <v>113</v>
      </c>
    </row>
    <row r="23" spans="1:12" ht="57" x14ac:dyDescent="0.2">
      <c r="A23" s="2"/>
      <c r="B23" s="21"/>
      <c r="C23" s="13" t="s">
        <v>86</v>
      </c>
      <c r="D23" s="1317" t="s">
        <v>2341</v>
      </c>
      <c r="E23" s="21" t="s">
        <v>114</v>
      </c>
      <c r="F23" s="14" t="s">
        <v>69</v>
      </c>
      <c r="G23" s="14" t="s">
        <v>88</v>
      </c>
      <c r="H23" s="1623"/>
      <c r="I23" s="1620"/>
      <c r="J23" s="1602">
        <v>22.73</v>
      </c>
      <c r="K23" s="14" t="s">
        <v>89</v>
      </c>
      <c r="L23" s="1599" t="s">
        <v>115</v>
      </c>
    </row>
    <row r="24" spans="1:12" ht="57" x14ac:dyDescent="0.2">
      <c r="A24" s="2"/>
      <c r="B24" s="21"/>
      <c r="C24" s="13" t="s">
        <v>86</v>
      </c>
      <c r="D24" s="1317" t="s">
        <v>2341</v>
      </c>
      <c r="E24" s="23" t="s">
        <v>116</v>
      </c>
      <c r="F24" s="14" t="s">
        <v>69</v>
      </c>
      <c r="G24" s="25" t="s">
        <v>88</v>
      </c>
      <c r="H24" s="1623"/>
      <c r="I24" s="1620"/>
      <c r="J24" s="258">
        <v>2.98</v>
      </c>
      <c r="K24" s="14"/>
      <c r="L24" s="1599" t="s">
        <v>117</v>
      </c>
    </row>
    <row r="25" spans="1:12" ht="42.75" x14ac:dyDescent="0.2">
      <c r="A25" s="2"/>
      <c r="B25" s="21"/>
      <c r="C25" s="13" t="s">
        <v>86</v>
      </c>
      <c r="D25" s="1317" t="s">
        <v>2341</v>
      </c>
      <c r="E25" s="1595" t="s">
        <v>118</v>
      </c>
      <c r="F25" s="14" t="s">
        <v>81</v>
      </c>
      <c r="G25" s="14" t="s">
        <v>88</v>
      </c>
      <c r="H25" s="1623"/>
      <c r="I25" s="1620"/>
      <c r="J25" s="258">
        <v>205.48</v>
      </c>
      <c r="K25" s="14"/>
      <c r="L25" s="1595" t="s">
        <v>119</v>
      </c>
    </row>
    <row r="26" spans="1:12" ht="42.75" x14ac:dyDescent="0.2">
      <c r="A26" s="2"/>
      <c r="B26" s="21"/>
      <c r="C26" s="13" t="s">
        <v>86</v>
      </c>
      <c r="D26" s="1317" t="s">
        <v>2341</v>
      </c>
      <c r="E26" s="1595" t="s">
        <v>120</v>
      </c>
      <c r="F26" s="14" t="s">
        <v>81</v>
      </c>
      <c r="G26" s="14" t="s">
        <v>88</v>
      </c>
      <c r="H26" s="1623"/>
      <c r="I26" s="1620"/>
      <c r="J26" s="258">
        <v>205.48</v>
      </c>
      <c r="K26" s="14"/>
      <c r="L26" s="1595" t="s">
        <v>119</v>
      </c>
    </row>
    <row r="27" spans="1:12" x14ac:dyDescent="0.2">
      <c r="A27" s="2"/>
      <c r="B27" s="21"/>
      <c r="C27" s="13" t="s">
        <v>86</v>
      </c>
      <c r="D27" s="1317" t="s">
        <v>2341</v>
      </c>
      <c r="E27" s="1600" t="s">
        <v>121</v>
      </c>
      <c r="F27" s="14" t="s">
        <v>85</v>
      </c>
      <c r="G27" s="14" t="s">
        <v>88</v>
      </c>
      <c r="H27" s="1623"/>
      <c r="I27" s="1620"/>
      <c r="J27" s="258">
        <v>123.29</v>
      </c>
      <c r="K27" s="14"/>
      <c r="L27" s="1595" t="s">
        <v>122</v>
      </c>
    </row>
    <row r="28" spans="1:12" x14ac:dyDescent="0.2">
      <c r="A28" s="2"/>
      <c r="B28" s="21"/>
      <c r="C28" s="13" t="s">
        <v>86</v>
      </c>
      <c r="D28" s="1317" t="s">
        <v>2341</v>
      </c>
      <c r="E28" s="1600" t="s">
        <v>123</v>
      </c>
      <c r="F28" s="14" t="s">
        <v>85</v>
      </c>
      <c r="G28" s="14" t="s">
        <v>88</v>
      </c>
      <c r="H28" s="1623"/>
      <c r="I28" s="1620"/>
      <c r="J28" s="258">
        <v>139.59</v>
      </c>
      <c r="K28" s="14"/>
      <c r="L28" s="1595" t="s">
        <v>122</v>
      </c>
    </row>
    <row r="29" spans="1:12" x14ac:dyDescent="0.2">
      <c r="A29" s="2"/>
      <c r="B29" s="21"/>
      <c r="C29" s="13" t="s">
        <v>86</v>
      </c>
      <c r="D29" s="1317" t="s">
        <v>2341</v>
      </c>
      <c r="E29" s="1600" t="s">
        <v>124</v>
      </c>
      <c r="F29" s="14" t="s">
        <v>85</v>
      </c>
      <c r="G29" s="14" t="s">
        <v>88</v>
      </c>
      <c r="H29" s="1623"/>
      <c r="I29" s="1620"/>
      <c r="J29" s="258">
        <v>167.6</v>
      </c>
      <c r="K29" s="14"/>
      <c r="L29" s="1595" t="s">
        <v>122</v>
      </c>
    </row>
    <row r="30" spans="1:12" ht="28.5" x14ac:dyDescent="0.2">
      <c r="A30" s="2"/>
      <c r="B30" s="21"/>
      <c r="C30" s="13" t="s">
        <v>86</v>
      </c>
      <c r="D30" s="1317" t="s">
        <v>2341</v>
      </c>
      <c r="E30" s="1600" t="s">
        <v>125</v>
      </c>
      <c r="F30" s="14" t="s">
        <v>85</v>
      </c>
      <c r="G30" s="14" t="s">
        <v>88</v>
      </c>
      <c r="H30" s="1623"/>
      <c r="I30" s="1620"/>
      <c r="J30" s="258">
        <v>13.7</v>
      </c>
      <c r="K30" s="14"/>
      <c r="L30" s="1595" t="s">
        <v>126</v>
      </c>
    </row>
    <row r="31" spans="1:12" ht="57" x14ac:dyDescent="0.2">
      <c r="A31" s="2"/>
      <c r="B31" s="21"/>
      <c r="C31" s="13" t="s">
        <v>86</v>
      </c>
      <c r="D31" s="1317" t="s">
        <v>2341</v>
      </c>
      <c r="E31" s="1601" t="s">
        <v>127</v>
      </c>
      <c r="F31" s="14" t="s">
        <v>85</v>
      </c>
      <c r="G31" s="14" t="s">
        <v>88</v>
      </c>
      <c r="H31" s="1623"/>
      <c r="I31" s="1620"/>
      <c r="J31" s="1603">
        <v>172.6</v>
      </c>
      <c r="K31" s="14"/>
      <c r="L31" s="1599" t="s">
        <v>115</v>
      </c>
    </row>
    <row r="32" spans="1:12" ht="15" x14ac:dyDescent="0.2">
      <c r="A32" s="2"/>
      <c r="B32" s="55"/>
      <c r="C32" s="31"/>
      <c r="D32" s="31"/>
      <c r="E32" s="20"/>
      <c r="F32" s="20"/>
      <c r="G32" s="20"/>
      <c r="H32" s="1097"/>
      <c r="J32" s="1097"/>
      <c r="K32" s="20"/>
      <c r="L32" s="56"/>
    </row>
    <row r="33" spans="1:13" ht="15.75" thickBot="1" x14ac:dyDescent="0.25">
      <c r="A33" s="2"/>
      <c r="B33" s="55"/>
      <c r="C33" s="31"/>
      <c r="D33" s="31"/>
      <c r="E33" s="20"/>
      <c r="F33" s="20"/>
      <c r="G33" s="20"/>
      <c r="H33" s="39"/>
      <c r="I33" s="1097"/>
      <c r="J33" s="20"/>
      <c r="K33" s="56"/>
    </row>
    <row r="34" spans="1:13" ht="45.75" thickBot="1" x14ac:dyDescent="0.25">
      <c r="A34" s="2"/>
      <c r="B34" s="480" t="s">
        <v>128</v>
      </c>
      <c r="C34" s="26"/>
      <c r="D34" s="26"/>
      <c r="E34" s="27"/>
      <c r="F34" s="27"/>
      <c r="G34" s="27"/>
      <c r="H34" s="28"/>
      <c r="I34" s="28"/>
      <c r="J34" s="27"/>
      <c r="K34" s="29"/>
    </row>
    <row r="35" spans="1:13" ht="78.599999999999994" customHeight="1" thickBot="1" x14ac:dyDescent="0.25">
      <c r="A35" s="15"/>
      <c r="B35" s="465" t="s">
        <v>70</v>
      </c>
      <c r="C35" s="466" t="s">
        <v>71</v>
      </c>
      <c r="D35" s="466" t="s">
        <v>72</v>
      </c>
      <c r="E35" s="466" t="s">
        <v>73</v>
      </c>
      <c r="F35" s="466" t="s">
        <v>74</v>
      </c>
      <c r="G35" s="466" t="s">
        <v>75</v>
      </c>
      <c r="H35" s="466" t="s">
        <v>76</v>
      </c>
      <c r="I35" s="466" t="s">
        <v>77</v>
      </c>
      <c r="J35" s="466" t="s">
        <v>78</v>
      </c>
      <c r="K35" s="466" t="s">
        <v>79</v>
      </c>
      <c r="L35" s="475" t="s">
        <v>80</v>
      </c>
    </row>
    <row r="36" spans="1:13" ht="15" x14ac:dyDescent="0.2">
      <c r="A36" s="15"/>
      <c r="B36" s="473" t="s">
        <v>129</v>
      </c>
      <c r="C36" s="471" t="s">
        <v>130</v>
      </c>
      <c r="D36" s="468" t="s">
        <v>84</v>
      </c>
      <c r="E36" s="474" t="s">
        <v>131</v>
      </c>
      <c r="F36" s="468" t="s">
        <v>84</v>
      </c>
      <c r="G36" s="1243"/>
      <c r="H36" s="260">
        <f>SUM(H37,H39:H46)</f>
        <v>485.47899999999998</v>
      </c>
      <c r="I36" s="260">
        <f>SUM(I37,I39:I46)</f>
        <v>664.36</v>
      </c>
      <c r="J36" s="260">
        <f>SUM(J37:J46)</f>
        <v>776.85917808219176</v>
      </c>
      <c r="K36" s="471" t="s">
        <v>84</v>
      </c>
      <c r="L36" s="472" t="s">
        <v>84</v>
      </c>
    </row>
    <row r="37" spans="1:13" ht="121.5" customHeight="1" x14ac:dyDescent="0.2">
      <c r="A37" s="2"/>
      <c r="B37" s="21" t="s">
        <v>84</v>
      </c>
      <c r="C37" s="13" t="s">
        <v>86</v>
      </c>
      <c r="D37" s="1606" t="s">
        <v>2341</v>
      </c>
      <c r="E37" s="1607" t="s">
        <v>132</v>
      </c>
      <c r="F37" s="1608" t="s">
        <v>81</v>
      </c>
      <c r="G37" s="1609" t="s">
        <v>88</v>
      </c>
      <c r="H37" s="1610">
        <v>428</v>
      </c>
      <c r="I37" s="1610">
        <v>601.5</v>
      </c>
      <c r="J37" s="1611">
        <v>678.7534246575342</v>
      </c>
      <c r="K37" s="1608" t="s">
        <v>133</v>
      </c>
      <c r="L37" s="36" t="s">
        <v>134</v>
      </c>
    </row>
    <row r="38" spans="1:13" ht="57" x14ac:dyDescent="0.2">
      <c r="A38" s="2"/>
      <c r="B38" s="1595" t="s">
        <v>84</v>
      </c>
      <c r="C38" s="13" t="s">
        <v>86</v>
      </c>
      <c r="D38" s="1606" t="s">
        <v>2341</v>
      </c>
      <c r="E38" s="1634" t="s">
        <v>135</v>
      </c>
      <c r="F38" s="1608" t="s">
        <v>69</v>
      </c>
      <c r="G38" s="1608" t="s">
        <v>88</v>
      </c>
      <c r="H38" s="1610"/>
      <c r="I38" s="1610"/>
      <c r="J38" s="1611">
        <v>10.213698630136987</v>
      </c>
      <c r="K38" s="1608" t="s">
        <v>136</v>
      </c>
      <c r="L38" s="1630" t="s">
        <v>137</v>
      </c>
    </row>
    <row r="39" spans="1:13" ht="28.5" x14ac:dyDescent="0.2">
      <c r="A39" s="2"/>
      <c r="B39" s="1595" t="s">
        <v>84</v>
      </c>
      <c r="C39" s="13" t="s">
        <v>86</v>
      </c>
      <c r="D39" s="1606" t="s">
        <v>2341</v>
      </c>
      <c r="E39" s="1634" t="s">
        <v>138</v>
      </c>
      <c r="F39" s="1608" t="s">
        <v>69</v>
      </c>
      <c r="G39" s="1608" t="s">
        <v>93</v>
      </c>
      <c r="H39" s="1610">
        <v>4.24</v>
      </c>
      <c r="I39" s="1610">
        <v>10.220000000000001</v>
      </c>
      <c r="J39" s="1611">
        <v>3.9852054794520546</v>
      </c>
      <c r="K39" s="1608" t="s">
        <v>95</v>
      </c>
      <c r="L39" s="1630" t="s">
        <v>139</v>
      </c>
    </row>
    <row r="40" spans="1:13" ht="15" x14ac:dyDescent="0.2">
      <c r="A40" s="2"/>
      <c r="B40" s="1595"/>
      <c r="C40" s="13" t="s">
        <v>86</v>
      </c>
      <c r="D40" s="1606" t="s">
        <v>2341</v>
      </c>
      <c r="E40" s="1634" t="s">
        <v>140</v>
      </c>
      <c r="F40" s="1608" t="s">
        <v>69</v>
      </c>
      <c r="G40" s="1608" t="s">
        <v>105</v>
      </c>
      <c r="H40" s="1613">
        <v>9.02</v>
      </c>
      <c r="I40" s="1635"/>
      <c r="J40" s="1636">
        <v>9.3410958904109584</v>
      </c>
      <c r="K40" s="1608" t="s">
        <v>95</v>
      </c>
      <c r="L40" s="16"/>
    </row>
    <row r="41" spans="1:13" ht="25.5" x14ac:dyDescent="0.2">
      <c r="A41" s="2"/>
      <c r="B41" s="1595" t="s">
        <v>84</v>
      </c>
      <c r="C41" s="13" t="s">
        <v>86</v>
      </c>
      <c r="D41" s="1606" t="s">
        <v>2341</v>
      </c>
      <c r="E41" s="1634" t="s">
        <v>141</v>
      </c>
      <c r="F41" s="1608" t="s">
        <v>69</v>
      </c>
      <c r="G41" s="1608" t="s">
        <v>102</v>
      </c>
      <c r="H41" s="1610">
        <v>6.8490000000000002</v>
      </c>
      <c r="I41" s="1610">
        <v>10.51</v>
      </c>
      <c r="J41" s="1611">
        <v>6.8493150684931505</v>
      </c>
      <c r="K41" s="1608" t="s">
        <v>95</v>
      </c>
      <c r="L41" s="1637"/>
    </row>
    <row r="42" spans="1:13" x14ac:dyDescent="0.2">
      <c r="A42" s="2"/>
      <c r="B42" s="21"/>
      <c r="C42" s="13" t="s">
        <v>86</v>
      </c>
      <c r="D42" s="1606" t="s">
        <v>2341</v>
      </c>
      <c r="E42" s="1612" t="s">
        <v>142</v>
      </c>
      <c r="F42" s="1616" t="s">
        <v>85</v>
      </c>
      <c r="G42" s="1616" t="s">
        <v>105</v>
      </c>
      <c r="H42" s="1610">
        <f>17.84+9.56</f>
        <v>27.4</v>
      </c>
      <c r="I42" s="1610">
        <v>36</v>
      </c>
      <c r="J42" s="1617">
        <v>27.397260273972602</v>
      </c>
      <c r="K42" s="1608" t="s">
        <v>95</v>
      </c>
      <c r="L42" s="37" t="s">
        <v>143</v>
      </c>
    </row>
    <row r="43" spans="1:13" ht="42.75" x14ac:dyDescent="0.2">
      <c r="A43" s="2"/>
      <c r="B43" s="21"/>
      <c r="C43" s="13" t="s">
        <v>86</v>
      </c>
      <c r="D43" s="1606" t="s">
        <v>2341</v>
      </c>
      <c r="E43" s="1612" t="s">
        <v>144</v>
      </c>
      <c r="F43" s="1616" t="s">
        <v>69</v>
      </c>
      <c r="G43" s="1616" t="s">
        <v>105</v>
      </c>
      <c r="H43" s="1610">
        <v>2.87</v>
      </c>
      <c r="I43" s="1621"/>
      <c r="J43" s="1617">
        <v>5.7136986301369861</v>
      </c>
      <c r="K43" s="1608" t="s">
        <v>95</v>
      </c>
      <c r="L43" s="1604" t="s">
        <v>145</v>
      </c>
    </row>
    <row r="44" spans="1:13" x14ac:dyDescent="0.2">
      <c r="A44" s="2"/>
      <c r="B44" s="21"/>
      <c r="C44" s="13" t="s">
        <v>86</v>
      </c>
      <c r="D44" s="1606" t="s">
        <v>2341</v>
      </c>
      <c r="E44" s="1612" t="s">
        <v>146</v>
      </c>
      <c r="F44" s="1616" t="s">
        <v>69</v>
      </c>
      <c r="G44" s="1616" t="s">
        <v>105</v>
      </c>
      <c r="H44" s="1610">
        <v>4.25</v>
      </c>
      <c r="I44" s="1621"/>
      <c r="J44" s="1617">
        <v>4.3561643835616435</v>
      </c>
      <c r="K44" s="1608" t="s">
        <v>147</v>
      </c>
      <c r="L44" s="36" t="s">
        <v>148</v>
      </c>
    </row>
    <row r="45" spans="1:13" ht="28.5" x14ac:dyDescent="0.2">
      <c r="A45" s="2"/>
      <c r="B45" s="21"/>
      <c r="C45" s="13" t="s">
        <v>86</v>
      </c>
      <c r="D45" s="1606" t="s">
        <v>2341</v>
      </c>
      <c r="E45" s="1612" t="s">
        <v>149</v>
      </c>
      <c r="F45" s="1616" t="s">
        <v>69</v>
      </c>
      <c r="G45" s="1616" t="s">
        <v>105</v>
      </c>
      <c r="H45" s="1610"/>
      <c r="I45" s="1621"/>
      <c r="J45" s="1611">
        <v>27.4</v>
      </c>
      <c r="K45" s="1608" t="s">
        <v>95</v>
      </c>
      <c r="L45" s="36" t="s">
        <v>150</v>
      </c>
    </row>
    <row r="46" spans="1:13" ht="42.75" x14ac:dyDescent="0.2">
      <c r="A46" s="2"/>
      <c r="B46" s="23" t="s">
        <v>84</v>
      </c>
      <c r="C46" s="24" t="s">
        <v>86</v>
      </c>
      <c r="D46" s="1606" t="s">
        <v>2341</v>
      </c>
      <c r="E46" s="1618" t="s">
        <v>151</v>
      </c>
      <c r="F46" s="1608" t="s">
        <v>69</v>
      </c>
      <c r="G46" s="1608" t="s">
        <v>93</v>
      </c>
      <c r="H46" s="1613">
        <v>2.85</v>
      </c>
      <c r="I46" s="1614">
        <v>6.13</v>
      </c>
      <c r="J46" s="1615">
        <v>2.8493150684931505</v>
      </c>
      <c r="K46" s="1608" t="s">
        <v>95</v>
      </c>
      <c r="L46" s="1604" t="s">
        <v>152</v>
      </c>
      <c r="M46" s="9"/>
    </row>
    <row r="47" spans="1:13" x14ac:dyDescent="0.2">
      <c r="A47" s="2"/>
      <c r="B47" s="55"/>
      <c r="C47" s="31"/>
      <c r="D47" s="32"/>
      <c r="E47" s="32"/>
      <c r="F47" s="33"/>
      <c r="G47" s="33"/>
      <c r="H47" s="1099"/>
      <c r="I47" s="1099"/>
      <c r="J47" s="1100"/>
      <c r="K47" s="20"/>
      <c r="L47" s="9"/>
      <c r="M47" s="9"/>
    </row>
    <row r="48" spans="1:13" ht="15" thickBot="1" x14ac:dyDescent="0.25">
      <c r="A48" s="2"/>
      <c r="B48" s="55"/>
      <c r="C48" s="31"/>
      <c r="D48" s="32"/>
      <c r="E48" s="32"/>
      <c r="F48" s="33"/>
      <c r="G48" s="33"/>
      <c r="H48" s="34"/>
      <c r="I48" s="35"/>
      <c r="J48" s="20"/>
      <c r="K48" s="9"/>
      <c r="L48" s="9"/>
    </row>
    <row r="49" spans="1:13" ht="45.75" thickBot="1" x14ac:dyDescent="0.25">
      <c r="A49" s="8"/>
      <c r="B49" s="479" t="s">
        <v>153</v>
      </c>
      <c r="C49" s="31"/>
      <c r="D49" s="32"/>
      <c r="E49" s="32"/>
      <c r="F49" s="33"/>
      <c r="G49" s="33"/>
      <c r="H49" s="34"/>
      <c r="I49" s="35"/>
      <c r="J49" s="20"/>
      <c r="K49" s="9"/>
    </row>
    <row r="50" spans="1:13" ht="74.849999999999994" customHeight="1" thickBot="1" x14ac:dyDescent="0.25">
      <c r="A50" s="17"/>
      <c r="B50" s="476" t="s">
        <v>70</v>
      </c>
      <c r="C50" s="466" t="s">
        <v>71</v>
      </c>
      <c r="D50" s="466" t="s">
        <v>72</v>
      </c>
      <c r="E50" s="466" t="s">
        <v>73</v>
      </c>
      <c r="F50" s="466" t="s">
        <v>74</v>
      </c>
      <c r="G50" s="466" t="s">
        <v>75</v>
      </c>
      <c r="H50" s="466" t="s">
        <v>76</v>
      </c>
      <c r="I50" s="1146" t="s">
        <v>77</v>
      </c>
      <c r="J50" s="466" t="s">
        <v>78</v>
      </c>
      <c r="K50" s="466" t="s">
        <v>154</v>
      </c>
      <c r="L50" s="469" t="s">
        <v>80</v>
      </c>
    </row>
    <row r="51" spans="1:13" x14ac:dyDescent="0.2">
      <c r="A51" s="2"/>
      <c r="B51" s="473" t="s">
        <v>155</v>
      </c>
      <c r="C51" s="471" t="s">
        <v>156</v>
      </c>
      <c r="D51" s="471" t="s">
        <v>84</v>
      </c>
      <c r="E51" s="471" t="s">
        <v>84</v>
      </c>
      <c r="F51" s="471" t="s">
        <v>84</v>
      </c>
      <c r="G51" s="1243"/>
      <c r="H51" s="257">
        <f>SUM(H52:H54)</f>
        <v>0</v>
      </c>
      <c r="I51" s="257">
        <f t="shared" ref="I51" si="0">SUM(I52:I54)</f>
        <v>0</v>
      </c>
      <c r="J51" s="257">
        <f>SUM(J52:J54)</f>
        <v>2.4828767123287672</v>
      </c>
      <c r="K51" s="471" t="s">
        <v>84</v>
      </c>
      <c r="L51" s="472" t="s">
        <v>84</v>
      </c>
    </row>
    <row r="52" spans="1:13" ht="28.5" x14ac:dyDescent="0.2">
      <c r="A52" s="2"/>
      <c r="B52" s="21" t="s">
        <v>84</v>
      </c>
      <c r="C52" s="13" t="s">
        <v>86</v>
      </c>
      <c r="D52" s="1318" t="s">
        <v>2341</v>
      </c>
      <c r="E52" s="21" t="s">
        <v>157</v>
      </c>
      <c r="F52" s="14" t="s">
        <v>69</v>
      </c>
      <c r="G52" s="14" t="s">
        <v>93</v>
      </c>
      <c r="H52" s="258">
        <v>0</v>
      </c>
      <c r="I52" s="258">
        <v>0</v>
      </c>
      <c r="J52" s="258">
        <v>0.21</v>
      </c>
      <c r="K52" s="1605" t="s">
        <v>158</v>
      </c>
      <c r="L52" s="36" t="s">
        <v>159</v>
      </c>
    </row>
    <row r="53" spans="1:13" x14ac:dyDescent="0.2">
      <c r="A53" s="2"/>
      <c r="B53" s="21"/>
      <c r="C53" s="13"/>
      <c r="D53" s="1318" t="s">
        <v>2341</v>
      </c>
      <c r="E53" s="21" t="s">
        <v>160</v>
      </c>
      <c r="F53" s="14" t="s">
        <v>69</v>
      </c>
      <c r="G53" s="14" t="s">
        <v>105</v>
      </c>
      <c r="H53" s="258">
        <v>0</v>
      </c>
      <c r="I53" s="259">
        <v>0</v>
      </c>
      <c r="J53" s="1321">
        <v>1.2328767123287672</v>
      </c>
      <c r="K53" s="14" t="s">
        <v>161</v>
      </c>
      <c r="L53" s="37"/>
    </row>
    <row r="54" spans="1:13" ht="28.5" x14ac:dyDescent="0.2">
      <c r="A54" s="2"/>
      <c r="B54" s="23" t="s">
        <v>84</v>
      </c>
      <c r="C54" s="24" t="s">
        <v>86</v>
      </c>
      <c r="D54" s="1318" t="s">
        <v>2341</v>
      </c>
      <c r="E54" s="23" t="s">
        <v>162</v>
      </c>
      <c r="F54" s="14" t="s">
        <v>69</v>
      </c>
      <c r="G54" s="14" t="s">
        <v>93</v>
      </c>
      <c r="H54" s="259">
        <v>0</v>
      </c>
      <c r="I54" s="259">
        <v>0</v>
      </c>
      <c r="J54" s="259">
        <v>1.04</v>
      </c>
      <c r="K54" s="25" t="s">
        <v>163</v>
      </c>
      <c r="L54" s="38" t="s">
        <v>164</v>
      </c>
      <c r="M54" s="9"/>
    </row>
    <row r="55" spans="1:13" x14ac:dyDescent="0.2">
      <c r="A55" s="2"/>
      <c r="B55" s="55"/>
      <c r="C55" s="31"/>
      <c r="D55" s="31"/>
      <c r="E55" s="20"/>
      <c r="F55" s="20"/>
      <c r="G55" s="20"/>
      <c r="H55" s="1097"/>
      <c r="I55" s="1097"/>
      <c r="J55" s="1097"/>
      <c r="K55" s="20"/>
      <c r="L55" s="9"/>
      <c r="M55" s="9"/>
    </row>
    <row r="56" spans="1:13" ht="15" thickBot="1" x14ac:dyDescent="0.25">
      <c r="A56" s="2"/>
      <c r="B56" s="55"/>
      <c r="C56" s="31"/>
      <c r="D56" s="31"/>
      <c r="E56" s="20"/>
      <c r="F56" s="20"/>
      <c r="G56" s="20"/>
      <c r="H56" s="39"/>
      <c r="I56" s="39"/>
      <c r="J56" s="20"/>
      <c r="K56" s="9"/>
      <c r="L56" s="9"/>
    </row>
    <row r="57" spans="1:13" ht="45.75" thickBot="1" x14ac:dyDescent="0.25">
      <c r="A57" s="8"/>
      <c r="B57" s="479" t="s">
        <v>165</v>
      </c>
      <c r="C57" s="54"/>
      <c r="D57" s="31"/>
      <c r="E57" s="20"/>
      <c r="F57" s="20"/>
      <c r="G57" s="20"/>
      <c r="H57" s="39"/>
      <c r="I57" s="39"/>
      <c r="J57" s="20"/>
      <c r="K57" s="9"/>
    </row>
    <row r="58" spans="1:13" ht="30.75" thickBot="1" x14ac:dyDescent="0.25">
      <c r="A58" s="17"/>
      <c r="B58" s="476" t="s">
        <v>70</v>
      </c>
      <c r="C58" s="466" t="s">
        <v>71</v>
      </c>
      <c r="D58" s="466" t="s">
        <v>72</v>
      </c>
      <c r="E58" s="466" t="s">
        <v>73</v>
      </c>
      <c r="F58" s="466" t="s">
        <v>74</v>
      </c>
      <c r="G58" s="466" t="s">
        <v>75</v>
      </c>
      <c r="H58" s="466" t="s">
        <v>76</v>
      </c>
      <c r="I58" s="1146" t="s">
        <v>77</v>
      </c>
      <c r="J58" s="466" t="s">
        <v>78</v>
      </c>
      <c r="K58" s="466" t="s">
        <v>154</v>
      </c>
      <c r="L58" s="469" t="s">
        <v>80</v>
      </c>
    </row>
    <row r="59" spans="1:13" x14ac:dyDescent="0.2">
      <c r="A59" s="2"/>
      <c r="B59" s="473" t="s">
        <v>166</v>
      </c>
      <c r="C59" s="471" t="s">
        <v>167</v>
      </c>
      <c r="D59" s="471"/>
      <c r="E59" s="471"/>
      <c r="F59" s="471"/>
      <c r="G59" s="1243"/>
      <c r="H59" s="257">
        <f>SUM(H60:H61)</f>
        <v>0</v>
      </c>
      <c r="I59" s="257">
        <f t="shared" ref="I59" si="1">SUM(I60:I61)</f>
        <v>0</v>
      </c>
      <c r="J59" s="257">
        <f>SUM(J60:J61)</f>
        <v>0</v>
      </c>
      <c r="K59" s="471" t="s">
        <v>84</v>
      </c>
      <c r="L59" s="472" t="s">
        <v>84</v>
      </c>
    </row>
    <row r="60" spans="1:13" x14ac:dyDescent="0.2">
      <c r="A60" s="2"/>
      <c r="B60" s="21" t="s">
        <v>84</v>
      </c>
      <c r="C60" s="13" t="s">
        <v>86</v>
      </c>
      <c r="D60" s="1624" t="s">
        <v>168</v>
      </c>
      <c r="E60" s="14"/>
      <c r="F60" s="14"/>
      <c r="G60" s="14"/>
      <c r="H60" s="258"/>
      <c r="I60" s="258"/>
      <c r="J60" s="258"/>
      <c r="K60" s="14"/>
      <c r="L60" s="37"/>
    </row>
    <row r="61" spans="1:13" x14ac:dyDescent="0.2">
      <c r="A61" s="2"/>
      <c r="B61" s="23" t="s">
        <v>84</v>
      </c>
      <c r="C61" s="24" t="s">
        <v>86</v>
      </c>
      <c r="D61" s="24"/>
      <c r="E61" s="25"/>
      <c r="F61" s="14"/>
      <c r="G61" s="25"/>
      <c r="H61" s="259"/>
      <c r="I61" s="259"/>
      <c r="J61" s="259"/>
      <c r="K61" s="25"/>
      <c r="L61" s="38"/>
      <c r="M61" s="9"/>
    </row>
    <row r="62" spans="1:13" x14ac:dyDescent="0.2">
      <c r="A62" s="2"/>
      <c r="B62" s="55"/>
      <c r="C62" s="31"/>
      <c r="D62" s="31"/>
      <c r="E62" s="20"/>
      <c r="F62" s="20"/>
      <c r="G62" s="20"/>
      <c r="H62" s="1097"/>
      <c r="I62" s="1097"/>
      <c r="J62" s="1097"/>
      <c r="K62" s="20"/>
      <c r="L62" s="9"/>
      <c r="M62" s="9"/>
    </row>
    <row r="63" spans="1:13" ht="15" thickBot="1" x14ac:dyDescent="0.25">
      <c r="A63" s="2"/>
      <c r="B63" s="55"/>
      <c r="C63" s="31"/>
      <c r="D63" s="31"/>
      <c r="E63" s="20"/>
      <c r="F63" s="20"/>
      <c r="G63" s="20"/>
      <c r="H63" s="39"/>
      <c r="I63" s="39"/>
      <c r="J63" s="20"/>
      <c r="K63" s="9"/>
      <c r="L63" s="9"/>
    </row>
    <row r="64" spans="1:13" ht="60.75" thickBot="1" x14ac:dyDescent="0.25">
      <c r="A64" s="17"/>
      <c r="B64" s="479" t="s">
        <v>169</v>
      </c>
      <c r="C64" s="54"/>
      <c r="D64" s="31"/>
      <c r="E64" s="20"/>
      <c r="F64" s="20"/>
      <c r="G64" s="20"/>
      <c r="H64" s="39"/>
      <c r="I64" s="39"/>
      <c r="J64" s="20"/>
      <c r="K64" s="9"/>
    </row>
    <row r="65" spans="1:12" ht="30.75" thickBot="1" x14ac:dyDescent="0.25">
      <c r="A65" s="17"/>
      <c r="B65" s="476" t="s">
        <v>70</v>
      </c>
      <c r="C65" s="466" t="s">
        <v>71</v>
      </c>
      <c r="D65" s="466" t="s">
        <v>72</v>
      </c>
      <c r="E65" s="466" t="s">
        <v>73</v>
      </c>
      <c r="F65" s="466" t="s">
        <v>74</v>
      </c>
      <c r="G65" s="466" t="s">
        <v>75</v>
      </c>
      <c r="H65" s="466" t="s">
        <v>76</v>
      </c>
      <c r="I65" s="1146" t="s">
        <v>77</v>
      </c>
      <c r="J65" s="466" t="s">
        <v>78</v>
      </c>
      <c r="K65" s="466" t="s">
        <v>170</v>
      </c>
      <c r="L65" s="469" t="s">
        <v>80</v>
      </c>
    </row>
    <row r="66" spans="1:12" x14ac:dyDescent="0.2">
      <c r="A66" s="17"/>
      <c r="B66" s="473" t="s">
        <v>171</v>
      </c>
      <c r="C66" s="471" t="s">
        <v>172</v>
      </c>
      <c r="D66" s="471" t="s">
        <v>84</v>
      </c>
      <c r="E66" s="471" t="s">
        <v>84</v>
      </c>
      <c r="F66" s="471" t="s">
        <v>84</v>
      </c>
      <c r="G66" s="1243"/>
      <c r="H66" s="257">
        <f>SUM(H67:H68)</f>
        <v>0</v>
      </c>
      <c r="I66" s="257">
        <f t="shared" ref="I66" si="2">SUM(I67:I68)</f>
        <v>0</v>
      </c>
      <c r="J66" s="257">
        <f>SUM(J67:J68)</f>
        <v>0</v>
      </c>
      <c r="K66" s="471" t="s">
        <v>84</v>
      </c>
      <c r="L66" s="472" t="s">
        <v>84</v>
      </c>
    </row>
    <row r="67" spans="1:12" x14ac:dyDescent="0.2">
      <c r="A67" s="17"/>
      <c r="B67" s="21" t="s">
        <v>84</v>
      </c>
      <c r="C67" s="13" t="s">
        <v>86</v>
      </c>
      <c r="D67" s="1624" t="s">
        <v>168</v>
      </c>
      <c r="E67" s="14"/>
      <c r="F67" s="14"/>
      <c r="G67" s="14"/>
      <c r="H67" s="258"/>
      <c r="I67" s="258"/>
      <c r="J67" s="258"/>
      <c r="K67" s="14"/>
      <c r="L67" s="37"/>
    </row>
    <row r="68" spans="1:12" x14ac:dyDescent="0.2">
      <c r="B68" s="23" t="s">
        <v>84</v>
      </c>
      <c r="C68" s="24" t="s">
        <v>86</v>
      </c>
      <c r="D68" s="24"/>
      <c r="E68" s="25"/>
      <c r="F68" s="14"/>
      <c r="G68" s="25"/>
      <c r="H68" s="259"/>
      <c r="I68" s="259"/>
      <c r="J68" s="259"/>
      <c r="K68" s="25"/>
      <c r="L68" s="38"/>
    </row>
    <row r="69" spans="1:12" x14ac:dyDescent="0.2">
      <c r="B69" s="55"/>
      <c r="C69" s="31"/>
      <c r="D69" s="31"/>
      <c r="E69" s="20"/>
      <c r="F69" s="20"/>
      <c r="G69" s="20"/>
      <c r="H69" s="1097"/>
      <c r="I69" s="1097"/>
      <c r="J69" s="1097"/>
      <c r="K69" s="20"/>
      <c r="L69" s="9"/>
    </row>
    <row r="70" spans="1:12" ht="15.75" thickBot="1" x14ac:dyDescent="0.25">
      <c r="A70" s="10"/>
      <c r="L70" s="6"/>
    </row>
    <row r="71" spans="1:12" ht="45.75" thickBot="1" x14ac:dyDescent="0.25">
      <c r="A71" s="10"/>
      <c r="B71" s="480" t="s">
        <v>173</v>
      </c>
      <c r="C71" s="6"/>
      <c r="D71" s="6"/>
      <c r="E71" s="6"/>
      <c r="F71" s="6"/>
      <c r="G71" s="6"/>
      <c r="H71" s="6"/>
      <c r="I71" s="6"/>
      <c r="J71" s="6"/>
      <c r="K71" s="6"/>
    </row>
    <row r="72" spans="1:12" ht="30.75" thickBot="1" x14ac:dyDescent="0.25">
      <c r="A72" s="2"/>
      <c r="B72" s="477" t="s">
        <v>70</v>
      </c>
      <c r="C72" s="477" t="s">
        <v>71</v>
      </c>
      <c r="D72" s="477" t="s">
        <v>174</v>
      </c>
      <c r="E72" s="477" t="s">
        <v>175</v>
      </c>
      <c r="F72" s="477" t="s">
        <v>176</v>
      </c>
      <c r="G72" s="477" t="s">
        <v>177</v>
      </c>
      <c r="H72" s="477" t="s">
        <v>76</v>
      </c>
      <c r="I72" s="477" t="s">
        <v>77</v>
      </c>
      <c r="J72" s="477" t="s">
        <v>178</v>
      </c>
      <c r="K72" s="477" t="s">
        <v>179</v>
      </c>
      <c r="L72" s="478" t="s">
        <v>80</v>
      </c>
    </row>
    <row r="73" spans="1:12" ht="42.75" x14ac:dyDescent="0.2">
      <c r="A73" s="2"/>
      <c r="B73" s="1625" t="s">
        <v>180</v>
      </c>
      <c r="C73" s="1626" t="s">
        <v>86</v>
      </c>
      <c r="D73" s="1626" t="s">
        <v>181</v>
      </c>
      <c r="E73" s="1627" t="s">
        <v>109</v>
      </c>
      <c r="F73" s="1626" t="s">
        <v>105</v>
      </c>
      <c r="G73" s="1626" t="s">
        <v>93</v>
      </c>
      <c r="H73" s="1628">
        <v>2.27</v>
      </c>
      <c r="I73" s="1628">
        <v>2.27</v>
      </c>
      <c r="J73" s="1628">
        <v>2.27</v>
      </c>
      <c r="K73" s="1626" t="s">
        <v>109</v>
      </c>
      <c r="L73" s="1629" t="s">
        <v>182</v>
      </c>
    </row>
    <row r="74" spans="1:12" ht="42.75" x14ac:dyDescent="0.2">
      <c r="B74" s="18" t="s">
        <v>84</v>
      </c>
      <c r="C74" s="13" t="s">
        <v>86</v>
      </c>
      <c r="D74" s="1597" t="s">
        <v>183</v>
      </c>
      <c r="E74" s="1630" t="s">
        <v>109</v>
      </c>
      <c r="F74" s="1598" t="s">
        <v>105</v>
      </c>
      <c r="G74" s="14" t="s">
        <v>102</v>
      </c>
      <c r="H74" s="258">
        <v>2</v>
      </c>
      <c r="I74" s="258">
        <v>2</v>
      </c>
      <c r="J74" s="258">
        <v>2</v>
      </c>
      <c r="K74" s="16"/>
      <c r="L74" s="1599" t="s">
        <v>184</v>
      </c>
    </row>
    <row r="75" spans="1:12" ht="61.5" customHeight="1" x14ac:dyDescent="0.2">
      <c r="B75" s="40" t="s">
        <v>84</v>
      </c>
      <c r="C75" s="24" t="s">
        <v>86</v>
      </c>
      <c r="D75" s="1596" t="s">
        <v>185</v>
      </c>
      <c r="E75" s="1631" t="s">
        <v>109</v>
      </c>
      <c r="F75" s="41" t="s">
        <v>186</v>
      </c>
      <c r="G75" s="41" t="s">
        <v>88</v>
      </c>
      <c r="H75" s="261">
        <v>91</v>
      </c>
      <c r="I75" s="261">
        <v>118</v>
      </c>
      <c r="J75" s="261">
        <v>91</v>
      </c>
      <c r="K75" s="1596" t="s">
        <v>187</v>
      </c>
      <c r="L75" s="42"/>
    </row>
    <row r="76" spans="1:12" ht="19.5" customHeight="1" x14ac:dyDescent="0.2">
      <c r="B76" s="30"/>
      <c r="C76" s="31"/>
      <c r="H76" s="1098"/>
      <c r="I76" s="1098"/>
      <c r="J76" s="1098"/>
    </row>
    <row r="77" spans="1:12" ht="19.5" customHeight="1" thickBot="1" x14ac:dyDescent="0.25">
      <c r="B77" s="4"/>
      <c r="C77" s="31"/>
    </row>
    <row r="78" spans="1:12" ht="45.75" thickBot="1" x14ac:dyDescent="0.25">
      <c r="B78" s="480" t="s">
        <v>188</v>
      </c>
      <c r="C78" s="30"/>
      <c r="D78" s="31"/>
    </row>
    <row r="79" spans="1:12" ht="30.75" thickBot="1" x14ac:dyDescent="0.25">
      <c r="A79" s="2"/>
      <c r="B79" s="477" t="s">
        <v>70</v>
      </c>
      <c r="C79" s="477" t="s">
        <v>71</v>
      </c>
      <c r="D79" s="477" t="s">
        <v>174</v>
      </c>
      <c r="E79" s="477" t="s">
        <v>175</v>
      </c>
      <c r="F79" s="477" t="s">
        <v>176</v>
      </c>
      <c r="G79" s="477" t="s">
        <v>177</v>
      </c>
      <c r="H79" s="477" t="s">
        <v>76</v>
      </c>
      <c r="I79" s="477" t="s">
        <v>77</v>
      </c>
      <c r="J79" s="477" t="s">
        <v>178</v>
      </c>
      <c r="K79" s="477" t="s">
        <v>179</v>
      </c>
      <c r="L79" s="478" t="s">
        <v>80</v>
      </c>
    </row>
    <row r="80" spans="1:12" ht="37.5" customHeight="1" x14ac:dyDescent="0.2">
      <c r="A80" s="2"/>
      <c r="B80" s="1625" t="s">
        <v>189</v>
      </c>
      <c r="C80" s="1627" t="s">
        <v>86</v>
      </c>
      <c r="D80" s="1627" t="s">
        <v>190</v>
      </c>
      <c r="E80" s="1627" t="s">
        <v>109</v>
      </c>
      <c r="F80" s="1626" t="s">
        <v>93</v>
      </c>
      <c r="G80" s="1626" t="s">
        <v>105</v>
      </c>
      <c r="H80" s="1628">
        <v>1.35</v>
      </c>
      <c r="I80" s="1628">
        <v>1.35</v>
      </c>
      <c r="J80" s="1628">
        <v>1.35</v>
      </c>
      <c r="K80" s="1626" t="s">
        <v>109</v>
      </c>
      <c r="L80" s="1632"/>
    </row>
    <row r="81" spans="1:12" ht="37.5" customHeight="1" x14ac:dyDescent="0.2">
      <c r="A81" s="2"/>
      <c r="B81" s="1672" t="s">
        <v>84</v>
      </c>
      <c r="C81" s="1673" t="s">
        <v>86</v>
      </c>
      <c r="D81" s="1673" t="s">
        <v>191</v>
      </c>
      <c r="E81" s="1673" t="s">
        <v>109</v>
      </c>
      <c r="F81" s="1674" t="s">
        <v>105</v>
      </c>
      <c r="G81" s="1674" t="s">
        <v>904</v>
      </c>
      <c r="H81" s="1675">
        <v>0.13</v>
      </c>
      <c r="I81" s="1675">
        <v>0.13</v>
      </c>
      <c r="J81" s="1675">
        <v>0.13</v>
      </c>
      <c r="K81" s="1674" t="s">
        <v>109</v>
      </c>
      <c r="L81" s="1645"/>
    </row>
    <row r="82" spans="1:12" ht="37.5" customHeight="1" x14ac:dyDescent="0.2">
      <c r="A82" s="2"/>
      <c r="B82" s="1672" t="s">
        <v>84</v>
      </c>
      <c r="C82" s="1673" t="s">
        <v>86</v>
      </c>
      <c r="D82" s="1673" t="s">
        <v>192</v>
      </c>
      <c r="E82" s="1673" t="s">
        <v>109</v>
      </c>
      <c r="F82" s="1674" t="s">
        <v>105</v>
      </c>
      <c r="G82" s="1674" t="s">
        <v>1978</v>
      </c>
      <c r="H82" s="1675">
        <v>0.24</v>
      </c>
      <c r="I82" s="1675">
        <v>0.24</v>
      </c>
      <c r="J82" s="1675">
        <v>0.24</v>
      </c>
      <c r="K82" s="1674" t="s">
        <v>109</v>
      </c>
      <c r="L82" s="1645"/>
    </row>
    <row r="83" spans="1:12" ht="37.5" customHeight="1" x14ac:dyDescent="0.2">
      <c r="A83" s="2"/>
      <c r="B83" s="1672" t="s">
        <v>84</v>
      </c>
      <c r="C83" s="1673" t="s">
        <v>86</v>
      </c>
      <c r="D83" s="1630" t="s">
        <v>2329</v>
      </c>
      <c r="E83" s="1673" t="s">
        <v>109</v>
      </c>
      <c r="F83" s="41" t="s">
        <v>88</v>
      </c>
      <c r="G83" s="41" t="s">
        <v>193</v>
      </c>
      <c r="H83" s="1696">
        <v>3.1052989648127149E-2</v>
      </c>
      <c r="I83" s="1696">
        <v>3.1052989648127149E-2</v>
      </c>
      <c r="J83" s="1696">
        <v>3.1052989648127149E-2</v>
      </c>
      <c r="K83" s="1674" t="s">
        <v>109</v>
      </c>
      <c r="L83" s="1645"/>
    </row>
    <row r="84" spans="1:12" ht="37.5" customHeight="1" x14ac:dyDescent="0.2">
      <c r="A84" s="2"/>
      <c r="B84" s="1672" t="s">
        <v>84</v>
      </c>
      <c r="C84" s="1673" t="s">
        <v>86</v>
      </c>
      <c r="D84" s="1630" t="s">
        <v>2330</v>
      </c>
      <c r="E84" s="1673" t="s">
        <v>109</v>
      </c>
      <c r="F84" s="41" t="s">
        <v>88</v>
      </c>
      <c r="G84" s="41" t="s">
        <v>193</v>
      </c>
      <c r="H84" s="1696">
        <v>1.8827401661523569E-2</v>
      </c>
      <c r="I84" s="1696">
        <v>1.8827401661523569E-2</v>
      </c>
      <c r="J84" s="1696">
        <v>1.8827401661523569E-2</v>
      </c>
      <c r="K84" s="1674" t="s">
        <v>109</v>
      </c>
      <c r="L84" s="1645"/>
    </row>
    <row r="85" spans="1:12" ht="37.5" customHeight="1" x14ac:dyDescent="0.2">
      <c r="A85" s="2"/>
      <c r="B85" s="1672" t="s">
        <v>84</v>
      </c>
      <c r="C85" s="1673" t="s">
        <v>86</v>
      </c>
      <c r="D85" s="1630" t="s">
        <v>2331</v>
      </c>
      <c r="E85" s="1673" t="s">
        <v>109</v>
      </c>
      <c r="F85" s="41" t="s">
        <v>88</v>
      </c>
      <c r="G85" s="41" t="s">
        <v>193</v>
      </c>
      <c r="H85" s="1696">
        <v>7.9863265627347635E-3</v>
      </c>
      <c r="I85" s="1696">
        <v>7.9863265627347635E-3</v>
      </c>
      <c r="J85" s="1696">
        <v>7.9863265627347635E-3</v>
      </c>
      <c r="K85" s="1674" t="s">
        <v>109</v>
      </c>
      <c r="L85" s="1645"/>
    </row>
    <row r="86" spans="1:12" ht="37.5" customHeight="1" x14ac:dyDescent="0.2">
      <c r="A86" s="2"/>
      <c r="B86" s="1672" t="s">
        <v>84</v>
      </c>
      <c r="C86" s="1673" t="s">
        <v>86</v>
      </c>
      <c r="D86" s="1630" t="s">
        <v>2332</v>
      </c>
      <c r="E86" s="1673" t="s">
        <v>109</v>
      </c>
      <c r="F86" s="41" t="s">
        <v>88</v>
      </c>
      <c r="G86" s="41" t="s">
        <v>193</v>
      </c>
      <c r="H86" s="1696">
        <v>9.0857315965308647E-2</v>
      </c>
      <c r="I86" s="1696">
        <v>9.0857315965308647E-2</v>
      </c>
      <c r="J86" s="1696">
        <v>9.0857315965308647E-2</v>
      </c>
      <c r="K86" s="1674" t="s">
        <v>109</v>
      </c>
      <c r="L86" s="1645"/>
    </row>
    <row r="87" spans="1:12" ht="37.5" customHeight="1" x14ac:dyDescent="0.2">
      <c r="A87" s="2"/>
      <c r="B87" s="1672" t="s">
        <v>84</v>
      </c>
      <c r="C87" s="1673" t="s">
        <v>86</v>
      </c>
      <c r="D87" s="1630" t="s">
        <v>2333</v>
      </c>
      <c r="E87" s="1673" t="s">
        <v>109</v>
      </c>
      <c r="F87" s="41" t="s">
        <v>88</v>
      </c>
      <c r="G87" s="41" t="s">
        <v>193</v>
      </c>
      <c r="H87" s="1696">
        <v>0.39461553474666533</v>
      </c>
      <c r="I87" s="1696">
        <v>0.39461553474666533</v>
      </c>
      <c r="J87" s="1696">
        <v>0.39461553474666533</v>
      </c>
      <c r="K87" s="1674" t="s">
        <v>109</v>
      </c>
      <c r="L87" s="1645"/>
    </row>
    <row r="88" spans="1:12" ht="37.5" customHeight="1" x14ac:dyDescent="0.2">
      <c r="A88" s="2"/>
      <c r="B88" s="1672" t="s">
        <v>84</v>
      </c>
      <c r="C88" s="1673" t="s">
        <v>86</v>
      </c>
      <c r="D88" s="1630" t="s">
        <v>2334</v>
      </c>
      <c r="E88" s="1673" t="s">
        <v>109</v>
      </c>
      <c r="F88" s="41" t="s">
        <v>88</v>
      </c>
      <c r="G88" s="41" t="s">
        <v>193</v>
      </c>
      <c r="H88" s="1696">
        <v>0</v>
      </c>
      <c r="I88" s="1696">
        <v>2.9999999999999997E-4</v>
      </c>
      <c r="J88" s="1696">
        <v>2.9999999999999997E-4</v>
      </c>
      <c r="K88" s="1674" t="s">
        <v>109</v>
      </c>
      <c r="L88" s="1701" t="s">
        <v>2338</v>
      </c>
    </row>
    <row r="89" spans="1:12" ht="37.5" customHeight="1" x14ac:dyDescent="0.2">
      <c r="A89" s="2"/>
      <c r="B89" s="1672" t="s">
        <v>84</v>
      </c>
      <c r="C89" s="1673" t="s">
        <v>86</v>
      </c>
      <c r="D89" s="1630" t="s">
        <v>2335</v>
      </c>
      <c r="E89" s="1673" t="s">
        <v>109</v>
      </c>
      <c r="F89" s="41" t="s">
        <v>88</v>
      </c>
      <c r="G89" s="41" t="s">
        <v>193</v>
      </c>
      <c r="H89" s="1696">
        <v>2.5066604314156407</v>
      </c>
      <c r="I89" s="1696">
        <v>2.5066604314156407</v>
      </c>
      <c r="J89" s="1696">
        <v>2.5066604314156407</v>
      </c>
      <c r="K89" s="1674" t="s">
        <v>109</v>
      </c>
      <c r="L89" s="1645"/>
    </row>
    <row r="90" spans="1:12" ht="27" customHeight="1" x14ac:dyDescent="0.2">
      <c r="B90" s="40" t="s">
        <v>84</v>
      </c>
      <c r="C90" s="24" t="s">
        <v>86</v>
      </c>
      <c r="D90" s="1596" t="s">
        <v>194</v>
      </c>
      <c r="E90" s="41" t="s">
        <v>109</v>
      </c>
      <c r="F90" s="41" t="s">
        <v>193</v>
      </c>
      <c r="G90" s="41" t="s">
        <v>88</v>
      </c>
      <c r="H90" s="261">
        <v>1</v>
      </c>
      <c r="I90" s="261">
        <v>1</v>
      </c>
      <c r="J90" s="261">
        <v>1</v>
      </c>
      <c r="K90" s="41" t="s">
        <v>109</v>
      </c>
      <c r="L90" s="1671"/>
    </row>
    <row r="91" spans="1:12" ht="19.5" customHeight="1" x14ac:dyDescent="0.2">
      <c r="B91" s="40" t="s">
        <v>84</v>
      </c>
      <c r="C91" s="24" t="s">
        <v>86</v>
      </c>
      <c r="D91" s="25" t="s">
        <v>2323</v>
      </c>
      <c r="E91" s="41" t="s">
        <v>109</v>
      </c>
      <c r="F91" s="14" t="s">
        <v>88</v>
      </c>
      <c r="G91" s="14"/>
      <c r="H91" s="259">
        <v>1.5372320821917806</v>
      </c>
      <c r="I91" s="259">
        <v>1.54</v>
      </c>
      <c r="J91" s="258">
        <v>1.54</v>
      </c>
      <c r="K91" s="41" t="s">
        <v>109</v>
      </c>
      <c r="L91" s="1671"/>
    </row>
    <row r="92" spans="1:12" ht="19.5" customHeight="1" x14ac:dyDescent="0.2">
      <c r="B92" s="40" t="s">
        <v>84</v>
      </c>
      <c r="C92" s="24" t="s">
        <v>86</v>
      </c>
      <c r="D92" s="25" t="s">
        <v>2324</v>
      </c>
      <c r="E92" s="41" t="s">
        <v>109</v>
      </c>
      <c r="F92" s="14" t="s">
        <v>88</v>
      </c>
      <c r="G92" s="258"/>
      <c r="H92" s="259">
        <v>0.14386000000000002</v>
      </c>
      <c r="I92" s="259">
        <v>0.14000000000000001</v>
      </c>
      <c r="J92" s="258">
        <v>0.14000000000000001</v>
      </c>
      <c r="K92" s="41" t="s">
        <v>109</v>
      </c>
      <c r="L92" s="1671"/>
    </row>
    <row r="93" spans="1:12" ht="55.5" customHeight="1" x14ac:dyDescent="0.2">
      <c r="B93" s="40" t="s">
        <v>84</v>
      </c>
      <c r="C93" s="24" t="s">
        <v>86</v>
      </c>
      <c r="D93" s="14" t="s">
        <v>2325</v>
      </c>
      <c r="E93" s="1689" t="s">
        <v>109</v>
      </c>
      <c r="F93" s="14" t="s">
        <v>88</v>
      </c>
      <c r="G93" s="258"/>
      <c r="H93" s="258">
        <v>7.18</v>
      </c>
      <c r="I93" s="258">
        <v>7.18</v>
      </c>
      <c r="J93" s="258">
        <v>7.18</v>
      </c>
      <c r="K93" s="41" t="s">
        <v>109</v>
      </c>
      <c r="L93" s="1697" t="s">
        <v>2336</v>
      </c>
    </row>
    <row r="94" spans="1:12" ht="19.5" customHeight="1" x14ac:dyDescent="0.2">
      <c r="B94" s="40" t="s">
        <v>84</v>
      </c>
      <c r="C94" s="13" t="s">
        <v>86</v>
      </c>
      <c r="D94" s="14" t="s">
        <v>2326</v>
      </c>
      <c r="E94" s="1689" t="s">
        <v>109</v>
      </c>
      <c r="F94" s="14" t="s">
        <v>88</v>
      </c>
      <c r="G94" s="14"/>
      <c r="H94" s="258">
        <v>1.3236480547945204</v>
      </c>
      <c r="I94" s="258">
        <v>1.32</v>
      </c>
      <c r="J94" s="258">
        <v>1.32</v>
      </c>
      <c r="K94" s="41" t="s">
        <v>109</v>
      </c>
      <c r="L94" s="1671"/>
    </row>
    <row r="95" spans="1:12" ht="19.5" customHeight="1" x14ac:dyDescent="0.2">
      <c r="B95" s="40" t="s">
        <v>84</v>
      </c>
      <c r="C95" s="24" t="s">
        <v>86</v>
      </c>
      <c r="D95" s="25" t="s">
        <v>2323</v>
      </c>
      <c r="E95" s="41" t="s">
        <v>109</v>
      </c>
      <c r="F95" s="14" t="s">
        <v>102</v>
      </c>
      <c r="G95" s="14"/>
      <c r="H95" s="258">
        <v>0.2</v>
      </c>
      <c r="I95" s="259">
        <v>0.2</v>
      </c>
      <c r="J95" s="258">
        <v>0.2</v>
      </c>
      <c r="K95" s="41" t="s">
        <v>109</v>
      </c>
      <c r="L95" s="1671"/>
    </row>
    <row r="96" spans="1:12" ht="19.5" customHeight="1" x14ac:dyDescent="0.2">
      <c r="B96" s="40" t="s">
        <v>84</v>
      </c>
      <c r="C96" s="13" t="s">
        <v>86</v>
      </c>
      <c r="D96" s="14" t="s">
        <v>2323</v>
      </c>
      <c r="E96" s="1689" t="s">
        <v>109</v>
      </c>
      <c r="F96" s="1673" t="s">
        <v>105</v>
      </c>
      <c r="G96" s="14"/>
      <c r="H96" s="258">
        <v>0.06</v>
      </c>
      <c r="I96" s="258">
        <v>0.06</v>
      </c>
      <c r="J96" s="258">
        <v>0.06</v>
      </c>
      <c r="K96" s="1689" t="s">
        <v>109</v>
      </c>
      <c r="L96" s="1671"/>
    </row>
    <row r="97" spans="2:12" ht="19.5" customHeight="1" x14ac:dyDescent="0.2">
      <c r="B97" s="40" t="s">
        <v>84</v>
      </c>
      <c r="C97" s="1687" t="s">
        <v>86</v>
      </c>
      <c r="D97" s="1688" t="s">
        <v>2327</v>
      </c>
      <c r="E97" s="1691">
        <v>48213</v>
      </c>
      <c r="F97" s="1674" t="s">
        <v>88</v>
      </c>
      <c r="G97" s="1683"/>
      <c r="H97" s="1684">
        <v>1.5</v>
      </c>
      <c r="I97" s="1098">
        <v>1.5</v>
      </c>
      <c r="J97" s="1685">
        <v>1.5</v>
      </c>
      <c r="K97" s="1686" t="s">
        <v>109</v>
      </c>
      <c r="L97" s="1671"/>
    </row>
    <row r="98" spans="2:12" ht="19.5" customHeight="1" x14ac:dyDescent="0.2">
      <c r="B98" s="1677"/>
      <c r="C98" s="1678"/>
      <c r="D98" s="1676"/>
      <c r="E98" s="1679"/>
      <c r="F98" s="1680"/>
      <c r="G98" s="1676"/>
      <c r="H98" s="1681"/>
      <c r="I98" s="1681"/>
      <c r="J98" s="1681"/>
      <c r="K98" s="1679"/>
      <c r="L98" s="1682"/>
    </row>
    <row r="99" spans="2:12" x14ac:dyDescent="0.2">
      <c r="F99" s="1690"/>
    </row>
  </sheetData>
  <conditionalFormatting sqref="D52:D54">
    <cfRule type="cellIs" dxfId="4734" priority="2" stopIfTrue="1" operator="equal">
      <formula>""</formula>
    </cfRule>
  </conditionalFormatting>
  <conditionalFormatting sqref="D53">
    <cfRule type="cellIs" dxfId="4733" priority="3" stopIfTrue="1" operator="equal">
      <formula>""</formula>
    </cfRule>
  </conditionalFormatting>
  <conditionalFormatting sqref="J41">
    <cfRule type="cellIs" dxfId="4732" priority="7" stopIfTrue="1" operator="lessThan">
      <formula>0</formula>
    </cfRule>
    <cfRule type="cellIs" dxfId="4731" priority="8" stopIfTrue="1" operator="equal">
      <formula>""</formula>
    </cfRule>
  </conditionalFormatting>
  <conditionalFormatting sqref="J41:J44">
    <cfRule type="cellIs" dxfId="4730" priority="6" stopIfTrue="1" operator="equal">
      <formula>""</formula>
    </cfRule>
  </conditionalFormatting>
  <conditionalFormatting sqref="J42:J44">
    <cfRule type="cellIs" dxfId="4729" priority="5" stopIfTrue="1" operator="equal">
      <formula>""</formula>
    </cfRule>
  </conditionalFormatting>
  <conditionalFormatting sqref="K52">
    <cfRule type="cellIs" dxfId="4728" priority="1" stopIfTrue="1" operator="equal">
      <formula>""</formula>
    </cfRule>
  </conditionalFormatting>
  <dataValidations count="4">
    <dataValidation type="list" allowBlank="1" showInputMessage="1" showErrorMessage="1" sqref="G59 G33:G34 G36 G51 G10 G66" xr:uid="{00000000-0002-0000-0100-000000000000}">
      <formula1>Source_Types</formula1>
    </dataValidation>
    <dataValidation type="list" allowBlank="1" showInputMessage="1" showErrorMessage="1" sqref="K67:K69" xr:uid="{00000000-0002-0000-0100-000001000000}">
      <formula1>"Approved, Granted yet to be implemented, Other"</formula1>
    </dataValidation>
    <dataValidation type="list" allowBlank="1" showInputMessage="1" showErrorMessage="1" sqref="F67:F68 F60:F61" xr:uid="{4852FE0A-FBB7-4A95-A057-4EF3ADDCDEB8}">
      <formula1>$P$8:$P$11</formula1>
    </dataValidation>
    <dataValidation type="list" allowBlank="1" showInputMessage="1" showErrorMessage="1" sqref="F11:F31 F37:F46 F52:F54" xr:uid="{A8C86362-C257-44C6-8C32-9CBC1CDF61F8}">
      <formula1>$P$9:$P$11</formula1>
    </dataValidation>
  </dataValidations>
  <pageMargins left="0.7" right="0.7" top="0.75" bottom="0.75" header="0.3" footer="0.3"/>
  <pageSetup paperSize="9" orientation="portrait" r:id="rId1"/>
  <ignoredErrors>
    <ignoredError sqref="D7" unlockedFormula="1"/>
  </ignoredErrors>
  <legacyDrawing r:id="rId2"/>
  <tableParts count="7">
    <tablePart r:id="rId3"/>
    <tablePart r:id="rId4"/>
    <tablePart r:id="rId5"/>
    <tablePart r:id="rId6"/>
    <tablePart r:id="rId7"/>
    <tablePart r:id="rId8"/>
    <tablePart r:id="rId9"/>
  </tableParts>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02000000}">
          <x14:formula1>
            <xm:f>'Option Typs_Grps'!$J$3:$J$130</xm:f>
          </x14:formula1>
          <xm:sqref>F76:G76</xm:sqref>
        </x14:dataValidation>
        <x14:dataValidation type="list" allowBlank="1" showInputMessage="1" showErrorMessage="1" xr:uid="{E68B0AF0-B9D8-4622-AF22-ED5000F2E7A5}">
          <x14:formula1>
            <xm:f>'Option Typs_Grps'!$J$3:$J$131</xm:f>
          </x14:formula1>
          <xm:sqref>F73:G75 F98:G98 F97 F80:G96</xm:sqref>
        </x14:dataValidation>
        <x14:dataValidation type="list" allowBlank="1" showInputMessage="1" showErrorMessage="1" xr:uid="{D769B60C-65FC-4AE4-A396-AFAABA2D7F2F}">
          <x14:formula1>
            <xm:f>'Option Typs_Grps'!$Q$2:$Q$5</xm:f>
          </x14:formula1>
          <xm:sqref>G47 G60:G62 G67:G69 G32 G55</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B1:CZ91"/>
  <sheetViews>
    <sheetView showOutlineSymbols="0" showWhiteSpace="0" workbookViewId="0">
      <selection activeCell="D5" sqref="D5"/>
    </sheetView>
  </sheetViews>
  <sheetFormatPr defaultColWidth="9.44140625" defaultRowHeight="14.25" x14ac:dyDescent="0.2"/>
  <cols>
    <col min="1" max="1" width="2.109375" style="1" customWidth="1"/>
    <col min="2" max="2" width="22.6640625" style="1" customWidth="1"/>
    <col min="3" max="3" width="31.109375" style="1" bestFit="1" customWidth="1"/>
    <col min="4" max="4" width="38" style="1" customWidth="1"/>
    <col min="5" max="5" width="6.109375" style="1" customWidth="1"/>
    <col min="6" max="6" width="16.5546875" style="1" customWidth="1"/>
    <col min="7" max="9" width="10.109375" style="1" customWidth="1"/>
    <col min="10" max="17" width="10.5546875" style="1" customWidth="1"/>
    <col min="18" max="19" width="10.109375" style="1" customWidth="1"/>
    <col min="20" max="27" width="10.5546875" style="1" customWidth="1"/>
    <col min="28" max="29" width="10.109375" style="1" customWidth="1"/>
    <col min="30" max="37" width="10.5546875" style="1" customWidth="1"/>
    <col min="38" max="39" width="10.109375" style="1" customWidth="1"/>
    <col min="40" max="47" width="10.5546875" style="1" customWidth="1"/>
    <col min="48" max="49" width="10.109375" style="1" customWidth="1"/>
    <col min="50" max="57" width="10.5546875" style="1" customWidth="1"/>
    <col min="58" max="59" width="10.109375" style="1" customWidth="1"/>
    <col min="60" max="67" width="10.5546875" style="1" customWidth="1"/>
    <col min="68" max="69" width="10.109375" style="1" customWidth="1"/>
    <col min="70" max="77" width="10.5546875" style="1" customWidth="1"/>
    <col min="78" max="79" width="10.109375" style="1" customWidth="1"/>
    <col min="80" max="86" width="10.5546875" style="1" customWidth="1"/>
    <col min="87" max="87" width="11.109375" style="1" customWidth="1"/>
    <col min="88" max="89" width="9.6640625" style="1" customWidth="1"/>
    <col min="90" max="92" width="10.109375" style="1" customWidth="1"/>
    <col min="93" max="16384" width="9.44140625" style="1"/>
  </cols>
  <sheetData>
    <row r="1" spans="2:104" ht="15.75" thickBot="1" x14ac:dyDescent="0.25">
      <c r="B1" s="1151" t="s">
        <v>63</v>
      </c>
    </row>
    <row r="2" spans="2:104" ht="39" thickBot="1" x14ac:dyDescent="0.25">
      <c r="F2" s="1312" t="s">
        <v>195</v>
      </c>
      <c r="G2" s="1315" t="s">
        <v>196</v>
      </c>
    </row>
    <row r="3" spans="2:104" ht="44.1" customHeight="1" x14ac:dyDescent="0.2">
      <c r="B3" s="398" t="s">
        <v>64</v>
      </c>
      <c r="C3" s="399" t="str">
        <f>'TITLE PAGE'!$D$18</f>
        <v>Essex &amp; Suffolk Water</v>
      </c>
      <c r="D3" s="1699" t="s">
        <v>2</v>
      </c>
      <c r="E3" s="2"/>
      <c r="F3" s="1313" t="s">
        <v>198</v>
      </c>
      <c r="G3" s="1316" t="s">
        <v>199</v>
      </c>
      <c r="H3" s="20"/>
      <c r="I3" s="20"/>
      <c r="J3" s="20"/>
      <c r="K3" s="20"/>
      <c r="L3" s="20"/>
      <c r="M3" s="20"/>
      <c r="N3" s="20"/>
      <c r="O3" s="20"/>
      <c r="P3" s="20"/>
      <c r="Q3" s="20"/>
      <c r="R3" s="20"/>
      <c r="S3" s="20"/>
      <c r="T3" s="20"/>
      <c r="U3" s="20"/>
      <c r="V3" s="20"/>
      <c r="W3" s="20"/>
      <c r="X3" s="20"/>
      <c r="Y3" s="20"/>
      <c r="Z3" s="20"/>
      <c r="AA3" s="20"/>
      <c r="AB3" s="20"/>
      <c r="AC3" s="20"/>
      <c r="AD3" s="20"/>
      <c r="AE3" s="20"/>
      <c r="AF3" s="20"/>
      <c r="AG3" s="20"/>
      <c r="AH3" s="20"/>
      <c r="AI3" s="20"/>
      <c r="AJ3" s="20"/>
      <c r="AK3" s="20"/>
      <c r="AL3" s="20"/>
      <c r="AM3" s="20"/>
      <c r="AN3" s="20"/>
      <c r="AO3" s="20"/>
      <c r="AP3" s="20"/>
      <c r="AQ3" s="20"/>
      <c r="AR3" s="20"/>
      <c r="AS3" s="20"/>
      <c r="AT3" s="20"/>
      <c r="AU3" s="20"/>
      <c r="AV3" s="20"/>
      <c r="AW3" s="20"/>
      <c r="AX3" s="20"/>
      <c r="AY3" s="20"/>
      <c r="AZ3" s="20"/>
      <c r="BA3" s="20"/>
      <c r="BB3" s="20"/>
      <c r="BC3" s="20"/>
      <c r="BD3" s="20"/>
      <c r="BE3" s="20"/>
      <c r="BF3" s="20"/>
      <c r="BG3" s="20"/>
      <c r="BH3" s="20"/>
      <c r="BI3" s="20"/>
      <c r="BJ3" s="20"/>
      <c r="BK3" s="20"/>
      <c r="BL3" s="20"/>
      <c r="BM3" s="20"/>
      <c r="BN3" s="20"/>
      <c r="BO3" s="20"/>
      <c r="BP3" s="20"/>
      <c r="BQ3" s="20"/>
      <c r="BR3" s="20"/>
      <c r="BS3" s="20"/>
      <c r="BT3" s="20"/>
      <c r="BU3" s="20"/>
      <c r="BV3" s="20"/>
      <c r="BW3" s="20"/>
      <c r="BX3" s="20"/>
      <c r="BY3" s="20"/>
      <c r="BZ3" s="20"/>
      <c r="CA3" s="20"/>
      <c r="CB3" s="20"/>
      <c r="CC3" s="20"/>
      <c r="CD3" s="20"/>
      <c r="CE3" s="20"/>
      <c r="CF3" s="20"/>
      <c r="CG3" s="20"/>
      <c r="CH3" s="20"/>
      <c r="CI3" s="20"/>
      <c r="CJ3" s="20"/>
      <c r="CK3" s="20"/>
      <c r="CL3" s="20"/>
    </row>
    <row r="4" spans="2:104" ht="77.25" thickBot="1" x14ac:dyDescent="0.25">
      <c r="B4" s="48" t="s">
        <v>200</v>
      </c>
      <c r="C4" s="408" t="s">
        <v>201</v>
      </c>
      <c r="D4" s="1467">
        <f>'TITLE PAGE'!D21</f>
        <v>16</v>
      </c>
      <c r="E4" s="20"/>
      <c r="F4" s="1314" t="s">
        <v>202</v>
      </c>
      <c r="G4" s="1316" t="s">
        <v>203</v>
      </c>
      <c r="H4" s="20"/>
      <c r="I4" s="20"/>
      <c r="J4" s="20"/>
      <c r="K4" s="20"/>
      <c r="L4" s="20"/>
      <c r="M4" s="20"/>
      <c r="N4" s="20"/>
      <c r="O4" s="20"/>
      <c r="P4" s="20"/>
      <c r="Q4" s="20"/>
      <c r="R4" s="20"/>
      <c r="S4" s="20"/>
      <c r="T4" s="20"/>
      <c r="U4" s="20"/>
      <c r="V4" s="20"/>
      <c r="W4" s="20"/>
      <c r="X4" s="20"/>
      <c r="Y4" s="20"/>
      <c r="Z4" s="20"/>
      <c r="AA4" s="20"/>
      <c r="AB4" s="20"/>
      <c r="AC4" s="20"/>
      <c r="AD4" s="20"/>
      <c r="AE4" s="20"/>
      <c r="AF4" s="20"/>
      <c r="AG4" s="20"/>
      <c r="AH4" s="20"/>
      <c r="AI4" s="20"/>
      <c r="AJ4" s="20"/>
      <c r="AK4" s="20"/>
      <c r="AL4" s="20"/>
      <c r="AM4" s="20"/>
      <c r="AN4" s="20"/>
      <c r="AO4" s="20"/>
      <c r="AP4" s="20"/>
      <c r="AQ4" s="20"/>
      <c r="AR4" s="20"/>
      <c r="AS4" s="20"/>
      <c r="AT4" s="20"/>
      <c r="AU4" s="20"/>
      <c r="AV4" s="20"/>
      <c r="AW4" s="20"/>
      <c r="AX4" s="20"/>
      <c r="AY4" s="20"/>
      <c r="AZ4" s="20"/>
      <c r="BA4" s="20"/>
      <c r="BB4" s="20"/>
      <c r="BC4" s="20"/>
      <c r="BD4" s="20"/>
      <c r="BE4" s="20"/>
      <c r="BF4" s="20"/>
      <c r="BG4" s="20"/>
      <c r="BH4" s="20"/>
      <c r="BI4" s="20"/>
      <c r="BJ4" s="20"/>
      <c r="BK4" s="20"/>
      <c r="BL4" s="20"/>
      <c r="BM4" s="20"/>
      <c r="BN4" s="20"/>
      <c r="BO4" s="20"/>
      <c r="BP4" s="20"/>
      <c r="BQ4" s="20"/>
      <c r="BR4" s="20"/>
      <c r="BS4" s="20"/>
      <c r="BT4" s="20"/>
      <c r="BU4" s="20"/>
      <c r="BV4" s="20"/>
      <c r="BW4" s="20"/>
      <c r="BX4" s="20"/>
      <c r="BY4" s="20"/>
      <c r="BZ4" s="20"/>
      <c r="CA4" s="20"/>
      <c r="CB4" s="20"/>
      <c r="CC4" s="20"/>
      <c r="CD4" s="20"/>
      <c r="CE4" s="20"/>
      <c r="CF4" s="20"/>
      <c r="CG4" s="20"/>
      <c r="CH4" s="20"/>
      <c r="CI4" s="20"/>
    </row>
    <row r="5" spans="2:104" ht="15" thickBot="1" x14ac:dyDescent="0.25"/>
    <row r="6" spans="2:104" ht="58.35" customHeight="1" thickBot="1" x14ac:dyDescent="0.25">
      <c r="B6" s="409" t="s">
        <v>195</v>
      </c>
      <c r="C6" s="1312" t="s">
        <v>204</v>
      </c>
    </row>
    <row r="7" spans="2:104" ht="15.75" thickBot="1" x14ac:dyDescent="0.25">
      <c r="B7" s="407" t="s">
        <v>70</v>
      </c>
      <c r="C7" s="405" t="s">
        <v>205</v>
      </c>
      <c r="D7" s="405" t="s">
        <v>71</v>
      </c>
      <c r="E7" s="405" t="s">
        <v>206</v>
      </c>
      <c r="F7" s="406" t="s">
        <v>207</v>
      </c>
      <c r="G7" s="1447" t="s">
        <v>208</v>
      </c>
      <c r="H7" s="1448" t="s">
        <v>209</v>
      </c>
      <c r="I7" s="1448" t="s">
        <v>210</v>
      </c>
      <c r="J7" s="1448" t="s">
        <v>211</v>
      </c>
      <c r="K7" s="1448" t="s">
        <v>212</v>
      </c>
      <c r="L7" s="1448" t="s">
        <v>213</v>
      </c>
      <c r="M7" s="1448" t="s">
        <v>214</v>
      </c>
      <c r="N7" s="1448" t="s">
        <v>215</v>
      </c>
      <c r="O7" s="1448" t="s">
        <v>216</v>
      </c>
      <c r="P7" s="1448" t="s">
        <v>217</v>
      </c>
      <c r="Q7" s="1449" t="s">
        <v>218</v>
      </c>
      <c r="R7" s="1450" t="s">
        <v>219</v>
      </c>
      <c r="S7" s="1450" t="s">
        <v>220</v>
      </c>
      <c r="T7" s="1450" t="s">
        <v>221</v>
      </c>
      <c r="U7" s="1450" t="s">
        <v>222</v>
      </c>
      <c r="V7" s="1450" t="s">
        <v>223</v>
      </c>
      <c r="W7" s="1450" t="s">
        <v>224</v>
      </c>
      <c r="X7" s="1450" t="s">
        <v>225</v>
      </c>
      <c r="Y7" s="1450" t="s">
        <v>226</v>
      </c>
      <c r="Z7" s="1450" t="s">
        <v>227</v>
      </c>
      <c r="AA7" s="1450" t="s">
        <v>228</v>
      </c>
      <c r="AB7" s="1450" t="s">
        <v>229</v>
      </c>
      <c r="AC7" s="1450" t="s">
        <v>230</v>
      </c>
      <c r="AD7" s="1450" t="s">
        <v>231</v>
      </c>
      <c r="AE7" s="1450" t="s">
        <v>232</v>
      </c>
      <c r="AF7" s="415" t="s">
        <v>233</v>
      </c>
    </row>
    <row r="8" spans="2:104" x14ac:dyDescent="0.2">
      <c r="B8" s="418" t="s">
        <v>234</v>
      </c>
      <c r="C8" s="419" t="s">
        <v>235</v>
      </c>
      <c r="D8" s="420" t="s">
        <v>86</v>
      </c>
      <c r="E8" s="421" t="s">
        <v>236</v>
      </c>
      <c r="F8" s="422">
        <v>2</v>
      </c>
      <c r="G8" s="249"/>
      <c r="H8" s="250"/>
      <c r="I8" s="250">
        <v>322.9023324290589</v>
      </c>
      <c r="J8" s="250">
        <v>315.46181723916789</v>
      </c>
      <c r="K8" s="250">
        <v>311.48632144966075</v>
      </c>
      <c r="L8" s="1451">
        <v>305.46882107360636</v>
      </c>
      <c r="M8" s="1451">
        <v>298.12822818155837</v>
      </c>
      <c r="N8" s="1451">
        <v>292.17734246865939</v>
      </c>
      <c r="O8" s="1451">
        <v>287.11694334176696</v>
      </c>
      <c r="P8" s="1451">
        <v>282.15553090951033</v>
      </c>
      <c r="Q8" s="1452">
        <v>277.81478976175214</v>
      </c>
      <c r="R8" s="1453">
        <v>258.49375503183143</v>
      </c>
      <c r="S8" s="1453">
        <v>247.86323145537642</v>
      </c>
      <c r="T8" s="1453">
        <v>239.3567758968004</v>
      </c>
      <c r="U8" s="1453">
        <v>240.39274509964059</v>
      </c>
      <c r="V8" s="1453"/>
      <c r="W8" s="1453"/>
      <c r="X8" s="1453"/>
      <c r="Y8" s="1453"/>
      <c r="Z8" s="1453"/>
      <c r="AA8" s="1453"/>
      <c r="AB8" s="1453"/>
      <c r="AC8" s="1453"/>
      <c r="AD8" s="1453"/>
      <c r="AE8" s="1453"/>
      <c r="AF8" s="330"/>
    </row>
    <row r="9" spans="2:104" x14ac:dyDescent="0.2">
      <c r="B9" s="423" t="s">
        <v>237</v>
      </c>
      <c r="C9" s="413" t="s">
        <v>238</v>
      </c>
      <c r="D9" s="414" t="s">
        <v>86</v>
      </c>
      <c r="E9" s="424" t="s">
        <v>239</v>
      </c>
      <c r="F9" s="425">
        <v>1</v>
      </c>
      <c r="G9" s="336"/>
      <c r="H9" s="337"/>
      <c r="I9" s="337">
        <v>157.70645680254972</v>
      </c>
      <c r="J9" s="337">
        <v>154.06579045459949</v>
      </c>
      <c r="K9" s="337">
        <v>151.63975743923382</v>
      </c>
      <c r="L9" s="1463">
        <v>148.43822737571759</v>
      </c>
      <c r="M9" s="1463">
        <v>144.53141158223869</v>
      </c>
      <c r="N9" s="1463">
        <v>141.36821333438377</v>
      </c>
      <c r="O9" s="1463">
        <v>138.44042445348134</v>
      </c>
      <c r="P9" s="1463">
        <v>135.79588163881246</v>
      </c>
      <c r="Q9" s="1464">
        <v>133.27950547864683</v>
      </c>
      <c r="R9" s="1465">
        <v>122.55085162860617</v>
      </c>
      <c r="S9" s="1465">
        <v>115.40149975521989</v>
      </c>
      <c r="T9" s="1465">
        <v>109.45533407673095</v>
      </c>
      <c r="U9" s="1465">
        <v>108.30896573620863</v>
      </c>
      <c r="V9" s="1465"/>
      <c r="W9" s="1465"/>
      <c r="X9" s="1465"/>
      <c r="Y9" s="1465"/>
      <c r="Z9" s="1465"/>
      <c r="AA9" s="1465"/>
      <c r="AB9" s="1465"/>
      <c r="AC9" s="1465"/>
      <c r="AD9" s="1465"/>
      <c r="AE9" s="1465"/>
      <c r="AF9" s="330"/>
    </row>
    <row r="10" spans="2:104" ht="15" thickBot="1" x14ac:dyDescent="0.25">
      <c r="B10" s="426" t="s">
        <v>240</v>
      </c>
      <c r="C10" s="427" t="s">
        <v>241</v>
      </c>
      <c r="D10" s="428" t="s">
        <v>86</v>
      </c>
      <c r="E10" s="429" t="s">
        <v>236</v>
      </c>
      <c r="F10" s="430">
        <v>2</v>
      </c>
      <c r="G10" s="251"/>
      <c r="H10" s="252"/>
      <c r="I10" s="252">
        <v>74.027339056921335</v>
      </c>
      <c r="J10" s="252">
        <v>70.507406703639532</v>
      </c>
      <c r="K10" s="252">
        <v>74.741918744925187</v>
      </c>
      <c r="L10" s="1454">
        <v>78.311972947569657</v>
      </c>
      <c r="M10" s="1454">
        <v>83.416781450280382</v>
      </c>
      <c r="N10" s="1454">
        <v>84.0630615599744</v>
      </c>
      <c r="O10" s="1454">
        <v>84.925886749077677</v>
      </c>
      <c r="P10" s="1454">
        <v>85.910328454884862</v>
      </c>
      <c r="Q10" s="1455">
        <v>86.408144022373008</v>
      </c>
      <c r="R10" s="1456">
        <v>90.386699658048443</v>
      </c>
      <c r="S10" s="1456">
        <v>86.824636882610662</v>
      </c>
      <c r="T10" s="1456">
        <v>87.07459137689348</v>
      </c>
      <c r="U10" s="1456">
        <v>87.322896564923397</v>
      </c>
      <c r="V10" s="1456"/>
      <c r="W10" s="1456"/>
      <c r="X10" s="1456"/>
      <c r="Y10" s="1456"/>
      <c r="Z10" s="1456"/>
      <c r="AA10" s="1456"/>
      <c r="AB10" s="1456"/>
      <c r="AC10" s="1456"/>
      <c r="AD10" s="1456"/>
      <c r="AE10" s="1456"/>
      <c r="AF10" s="330"/>
      <c r="CZ10" s="7"/>
    </row>
    <row r="11" spans="2:104" ht="15" thickBot="1" x14ac:dyDescent="0.25">
      <c r="B11" s="416" t="s">
        <v>242</v>
      </c>
      <c r="C11" s="410" t="s">
        <v>243</v>
      </c>
      <c r="D11" s="411" t="s">
        <v>86</v>
      </c>
      <c r="E11" s="417" t="s">
        <v>236</v>
      </c>
      <c r="F11" s="412">
        <v>2</v>
      </c>
      <c r="G11" s="253"/>
      <c r="H11" s="254"/>
      <c r="I11" s="254">
        <v>59.310489927390002</v>
      </c>
      <c r="J11" s="254">
        <v>55.62</v>
      </c>
      <c r="K11" s="254">
        <v>56.071999999999989</v>
      </c>
      <c r="L11" s="1457">
        <v>53.79</v>
      </c>
      <c r="M11" s="1457">
        <v>53.244</v>
      </c>
      <c r="N11" s="1457">
        <v>52.698</v>
      </c>
      <c r="O11" s="1457">
        <v>52.152000000000001</v>
      </c>
      <c r="P11" s="1457">
        <v>51.605999999999995</v>
      </c>
      <c r="Q11" s="1458">
        <v>51.059999999999995</v>
      </c>
      <c r="R11" s="1459">
        <v>48.329999999999991</v>
      </c>
      <c r="S11" s="1459">
        <v>45.59999999999998</v>
      </c>
      <c r="T11" s="1459">
        <v>42.869999999999976</v>
      </c>
      <c r="U11" s="1459">
        <v>40.14</v>
      </c>
      <c r="V11" s="1459"/>
      <c r="W11" s="1459"/>
      <c r="X11" s="1459"/>
      <c r="Y11" s="1459"/>
      <c r="Z11" s="1459"/>
      <c r="AA11" s="1459"/>
      <c r="AB11" s="1459"/>
      <c r="AC11" s="1459"/>
      <c r="AD11" s="1459"/>
      <c r="AE11" s="1459"/>
      <c r="AF11" s="330"/>
      <c r="CZ11" s="7"/>
    </row>
    <row r="12" spans="2:104" x14ac:dyDescent="0.2">
      <c r="B12" s="431" t="s">
        <v>244</v>
      </c>
      <c r="C12" s="432" t="s">
        <v>245</v>
      </c>
      <c r="D12" s="433" t="s">
        <v>86</v>
      </c>
      <c r="E12" s="434" t="s">
        <v>236</v>
      </c>
      <c r="F12" s="435">
        <v>2</v>
      </c>
      <c r="G12" s="255"/>
      <c r="H12" s="256"/>
      <c r="I12" s="256">
        <v>463.22712509090991</v>
      </c>
      <c r="J12" s="256">
        <v>463.98974260852884</v>
      </c>
      <c r="K12" s="256">
        <v>454.38749736115841</v>
      </c>
      <c r="L12" s="1460">
        <v>449.65568860172812</v>
      </c>
      <c r="M12" s="1460">
        <v>446.90977578912685</v>
      </c>
      <c r="N12" s="1460">
        <v>441.05751662236514</v>
      </c>
      <c r="O12" s="1460">
        <v>436.31177745658897</v>
      </c>
      <c r="P12" s="1460">
        <v>431.78668678587616</v>
      </c>
      <c r="Q12" s="1461">
        <v>427.39538668526399</v>
      </c>
      <c r="R12" s="1462">
        <v>409.30647138491929</v>
      </c>
      <c r="S12" s="1462">
        <v>392.36456562974968</v>
      </c>
      <c r="T12" s="1462">
        <v>381.36007378386898</v>
      </c>
      <c r="U12" s="1462">
        <v>379.90023602447212</v>
      </c>
      <c r="V12" s="1462"/>
      <c r="W12" s="1462"/>
      <c r="X12" s="1462"/>
      <c r="Y12" s="1462"/>
      <c r="Z12" s="1462"/>
      <c r="AA12" s="1462"/>
      <c r="AB12" s="1462"/>
      <c r="AC12" s="1462"/>
      <c r="AD12" s="1462"/>
      <c r="AE12" s="1462"/>
      <c r="AF12" s="330"/>
      <c r="CZ12" s="7"/>
    </row>
    <row r="13" spans="2:104" ht="15" thickBot="1" x14ac:dyDescent="0.25"/>
    <row r="14" spans="2:104" x14ac:dyDescent="0.2">
      <c r="B14" s="47" t="s">
        <v>64</v>
      </c>
      <c r="C14" s="135" t="str">
        <f>'TITLE PAGE'!D18</f>
        <v>Essex &amp; Suffolk Water</v>
      </c>
      <c r="D14" s="71" t="s">
        <v>2</v>
      </c>
    </row>
    <row r="15" spans="2:104" ht="15" thickBot="1" x14ac:dyDescent="0.25">
      <c r="B15" s="48" t="s">
        <v>200</v>
      </c>
      <c r="C15" s="404" t="s">
        <v>246</v>
      </c>
      <c r="D15" s="1467">
        <f>D4</f>
        <v>16</v>
      </c>
    </row>
    <row r="16" spans="2:104" ht="15" thickBot="1" x14ac:dyDescent="0.25"/>
    <row r="17" spans="2:88" ht="45" x14ac:dyDescent="0.2">
      <c r="B17" s="436" t="s">
        <v>198</v>
      </c>
      <c r="C17" s="1312" t="s">
        <v>204</v>
      </c>
    </row>
    <row r="18" spans="2:88" ht="15.75" thickBot="1" x14ac:dyDescent="0.25">
      <c r="B18" s="437" t="s">
        <v>70</v>
      </c>
      <c r="C18" s="402" t="s">
        <v>205</v>
      </c>
      <c r="D18" s="402" t="s">
        <v>71</v>
      </c>
      <c r="E18" s="402" t="s">
        <v>206</v>
      </c>
      <c r="F18" s="403" t="s">
        <v>207</v>
      </c>
      <c r="G18" s="401" t="s">
        <v>208</v>
      </c>
      <c r="H18" s="402" t="s">
        <v>209</v>
      </c>
      <c r="I18" s="402" t="s">
        <v>210</v>
      </c>
      <c r="J18" s="402" t="s">
        <v>211</v>
      </c>
      <c r="K18" s="402" t="s">
        <v>212</v>
      </c>
      <c r="L18" s="402" t="s">
        <v>213</v>
      </c>
      <c r="M18" s="402" t="s">
        <v>214</v>
      </c>
      <c r="N18" s="402" t="s">
        <v>215</v>
      </c>
      <c r="O18" s="402" t="s">
        <v>216</v>
      </c>
      <c r="P18" s="402" t="s">
        <v>217</v>
      </c>
      <c r="Q18" s="402" t="s">
        <v>218</v>
      </c>
      <c r="R18" s="402" t="s">
        <v>247</v>
      </c>
      <c r="S18" s="402" t="s">
        <v>248</v>
      </c>
      <c r="T18" s="402" t="s">
        <v>249</v>
      </c>
      <c r="U18" s="402" t="s">
        <v>250</v>
      </c>
      <c r="V18" s="402" t="s">
        <v>219</v>
      </c>
      <c r="W18" s="402" t="s">
        <v>251</v>
      </c>
      <c r="X18" s="402" t="s">
        <v>252</v>
      </c>
      <c r="Y18" s="402" t="s">
        <v>253</v>
      </c>
      <c r="Z18" s="402" t="s">
        <v>254</v>
      </c>
      <c r="AA18" s="402" t="s">
        <v>220</v>
      </c>
      <c r="AB18" s="402" t="s">
        <v>255</v>
      </c>
      <c r="AC18" s="402" t="s">
        <v>256</v>
      </c>
      <c r="AD18" s="402" t="s">
        <v>257</v>
      </c>
      <c r="AE18" s="402" t="s">
        <v>258</v>
      </c>
      <c r="AF18" s="402" t="s">
        <v>221</v>
      </c>
      <c r="AG18" s="402" t="s">
        <v>259</v>
      </c>
      <c r="AH18" s="402" t="s">
        <v>260</v>
      </c>
      <c r="AI18" s="402" t="s">
        <v>261</v>
      </c>
      <c r="AJ18" s="402" t="s">
        <v>262</v>
      </c>
      <c r="AK18" s="402" t="s">
        <v>222</v>
      </c>
      <c r="AL18" s="402" t="s">
        <v>263</v>
      </c>
      <c r="AM18" s="402" t="s">
        <v>264</v>
      </c>
      <c r="AN18" s="402" t="s">
        <v>265</v>
      </c>
      <c r="AO18" s="402" t="s">
        <v>266</v>
      </c>
      <c r="AP18" s="402" t="s">
        <v>223</v>
      </c>
      <c r="AQ18" s="402" t="s">
        <v>267</v>
      </c>
      <c r="AR18" s="402" t="s">
        <v>268</v>
      </c>
      <c r="AS18" s="402" t="s">
        <v>269</v>
      </c>
      <c r="AT18" s="402" t="s">
        <v>270</v>
      </c>
      <c r="AU18" s="402" t="s">
        <v>224</v>
      </c>
      <c r="AV18" s="402" t="s">
        <v>271</v>
      </c>
      <c r="AW18" s="402" t="s">
        <v>272</v>
      </c>
      <c r="AX18" s="402" t="s">
        <v>273</v>
      </c>
      <c r="AY18" s="402" t="s">
        <v>274</v>
      </c>
      <c r="AZ18" s="402" t="s">
        <v>225</v>
      </c>
      <c r="BA18" s="402" t="s">
        <v>275</v>
      </c>
      <c r="BB18" s="402" t="s">
        <v>276</v>
      </c>
      <c r="BC18" s="402" t="s">
        <v>277</v>
      </c>
      <c r="BD18" s="402" t="s">
        <v>278</v>
      </c>
      <c r="BE18" s="402" t="s">
        <v>226</v>
      </c>
      <c r="BF18" s="402" t="s">
        <v>279</v>
      </c>
      <c r="BG18" s="402" t="s">
        <v>280</v>
      </c>
      <c r="BH18" s="402" t="s">
        <v>281</v>
      </c>
      <c r="BI18" s="402" t="s">
        <v>282</v>
      </c>
      <c r="BJ18" s="402" t="s">
        <v>227</v>
      </c>
      <c r="BK18" s="402" t="s">
        <v>283</v>
      </c>
      <c r="BL18" s="402" t="s">
        <v>284</v>
      </c>
      <c r="BM18" s="402" t="s">
        <v>285</v>
      </c>
      <c r="BN18" s="402" t="s">
        <v>286</v>
      </c>
      <c r="BO18" s="402" t="s">
        <v>228</v>
      </c>
      <c r="BP18" s="402" t="s">
        <v>287</v>
      </c>
      <c r="BQ18" s="402" t="s">
        <v>288</v>
      </c>
      <c r="BR18" s="402" t="s">
        <v>289</v>
      </c>
      <c r="BS18" s="402" t="s">
        <v>290</v>
      </c>
      <c r="BT18" s="402" t="s">
        <v>229</v>
      </c>
      <c r="BU18" s="402" t="s">
        <v>291</v>
      </c>
      <c r="BV18" s="402" t="s">
        <v>292</v>
      </c>
      <c r="BW18" s="402" t="s">
        <v>293</v>
      </c>
      <c r="BX18" s="402" t="s">
        <v>294</v>
      </c>
      <c r="BY18" s="402" t="s">
        <v>230</v>
      </c>
      <c r="BZ18" s="402" t="s">
        <v>295</v>
      </c>
      <c r="CA18" s="402" t="s">
        <v>296</v>
      </c>
      <c r="CB18" s="402" t="s">
        <v>297</v>
      </c>
      <c r="CC18" s="402" t="s">
        <v>298</v>
      </c>
      <c r="CD18" s="402" t="s">
        <v>231</v>
      </c>
      <c r="CE18" s="402" t="s">
        <v>299</v>
      </c>
      <c r="CF18" s="402" t="s">
        <v>300</v>
      </c>
      <c r="CG18" s="402" t="s">
        <v>301</v>
      </c>
      <c r="CH18" s="402" t="s">
        <v>302</v>
      </c>
      <c r="CI18" s="402" t="s">
        <v>232</v>
      </c>
      <c r="CJ18" s="402" t="s">
        <v>303</v>
      </c>
    </row>
    <row r="19" spans="2:88" ht="17.850000000000001" customHeight="1" x14ac:dyDescent="0.2">
      <c r="B19" s="481" t="s">
        <v>304</v>
      </c>
      <c r="C19" s="482" t="s">
        <v>305</v>
      </c>
      <c r="D19" s="483" t="s">
        <v>306</v>
      </c>
      <c r="E19" s="483" t="s">
        <v>239</v>
      </c>
      <c r="F19" s="484">
        <v>1</v>
      </c>
      <c r="G19" s="323">
        <f>SUM(G20:G28)</f>
        <v>0</v>
      </c>
      <c r="H19" s="324">
        <f t="shared" ref="H19:BS19" si="0">SUM(H20:H28)</f>
        <v>0</v>
      </c>
      <c r="I19" s="324">
        <f t="shared" si="0"/>
        <v>153.11809963530538</v>
      </c>
      <c r="J19" s="324">
        <f t="shared" si="0"/>
        <v>153.56636765646542</v>
      </c>
      <c r="K19" s="324">
        <f t="shared" si="0"/>
        <v>150.67517980657666</v>
      </c>
      <c r="L19" s="324">
        <f t="shared" si="0"/>
        <v>147.13159898849952</v>
      </c>
      <c r="M19" s="324">
        <f t="shared" si="0"/>
        <v>143.95735826257345</v>
      </c>
      <c r="N19" s="324">
        <f t="shared" si="0"/>
        <v>142.33096369142768</v>
      </c>
      <c r="O19" s="324">
        <f t="shared" si="0"/>
        <v>140.03793018294996</v>
      </c>
      <c r="P19" s="324">
        <f t="shared" si="0"/>
        <v>137.7277578536947</v>
      </c>
      <c r="Q19" s="324">
        <f t="shared" si="0"/>
        <v>135.69105475191543</v>
      </c>
      <c r="R19" s="324">
        <f t="shared" si="0"/>
        <v>134.03275795229317</v>
      </c>
      <c r="S19" s="324">
        <f t="shared" si="0"/>
        <v>132.43558523370598</v>
      </c>
      <c r="T19" s="324">
        <f t="shared" si="0"/>
        <v>130.90184770638785</v>
      </c>
      <c r="U19" s="324">
        <f t="shared" si="0"/>
        <v>129.03300744949811</v>
      </c>
      <c r="V19" s="324">
        <f t="shared" si="0"/>
        <v>127.3327888529376</v>
      </c>
      <c r="W19" s="324">
        <f t="shared" si="0"/>
        <v>126.0437056171904</v>
      </c>
      <c r="X19" s="324">
        <f t="shared" si="0"/>
        <v>124.67210133803667</v>
      </c>
      <c r="Y19" s="324">
        <f t="shared" si="0"/>
        <v>123.27534622151917</v>
      </c>
      <c r="Z19" s="324">
        <f t="shared" si="0"/>
        <v>121.91302497512586</v>
      </c>
      <c r="AA19" s="324">
        <f t="shared" si="0"/>
        <v>120.54835003348813</v>
      </c>
      <c r="AB19" s="324">
        <f t="shared" si="0"/>
        <v>117.85833611894486</v>
      </c>
      <c r="AC19" s="324">
        <f t="shared" si="0"/>
        <v>116.56961869241735</v>
      </c>
      <c r="AD19" s="324">
        <f t="shared" si="0"/>
        <v>115.32516657978009</v>
      </c>
      <c r="AE19" s="324">
        <f t="shared" si="0"/>
        <v>114.46687570605043</v>
      </c>
      <c r="AF19" s="324">
        <f t="shared" si="0"/>
        <v>113.62572700536718</v>
      </c>
      <c r="AG19" s="324">
        <f t="shared" si="0"/>
        <v>113.41245749799687</v>
      </c>
      <c r="AH19" s="324">
        <f t="shared" si="0"/>
        <v>111.43817059572672</v>
      </c>
      <c r="AI19" s="324">
        <f t="shared" si="0"/>
        <v>111.24557921978146</v>
      </c>
      <c r="AJ19" s="324">
        <f t="shared" si="0"/>
        <v>110.16074217198707</v>
      </c>
      <c r="AK19" s="324">
        <f t="shared" si="0"/>
        <v>109.96603602490951</v>
      </c>
      <c r="AL19" s="324">
        <f t="shared" si="0"/>
        <v>0</v>
      </c>
      <c r="AM19" s="324">
        <f t="shared" si="0"/>
        <v>0</v>
      </c>
      <c r="AN19" s="324">
        <f t="shared" si="0"/>
        <v>0</v>
      </c>
      <c r="AO19" s="324">
        <f t="shared" si="0"/>
        <v>0</v>
      </c>
      <c r="AP19" s="324">
        <f t="shared" si="0"/>
        <v>0</v>
      </c>
      <c r="AQ19" s="324">
        <f t="shared" si="0"/>
        <v>0</v>
      </c>
      <c r="AR19" s="324">
        <f t="shared" si="0"/>
        <v>0</v>
      </c>
      <c r="AS19" s="324">
        <f t="shared" si="0"/>
        <v>0</v>
      </c>
      <c r="AT19" s="324">
        <f t="shared" si="0"/>
        <v>0</v>
      </c>
      <c r="AU19" s="324">
        <f t="shared" si="0"/>
        <v>0</v>
      </c>
      <c r="AV19" s="324">
        <f t="shared" si="0"/>
        <v>0</v>
      </c>
      <c r="AW19" s="324">
        <f t="shared" si="0"/>
        <v>0</v>
      </c>
      <c r="AX19" s="324">
        <f t="shared" si="0"/>
        <v>0</v>
      </c>
      <c r="AY19" s="324">
        <f t="shared" si="0"/>
        <v>0</v>
      </c>
      <c r="AZ19" s="324">
        <f t="shared" si="0"/>
        <v>0</v>
      </c>
      <c r="BA19" s="324">
        <f t="shared" si="0"/>
        <v>0</v>
      </c>
      <c r="BB19" s="324">
        <f t="shared" si="0"/>
        <v>0</v>
      </c>
      <c r="BC19" s="324">
        <f t="shared" si="0"/>
        <v>0</v>
      </c>
      <c r="BD19" s="324">
        <f t="shared" si="0"/>
        <v>0</v>
      </c>
      <c r="BE19" s="324">
        <f t="shared" si="0"/>
        <v>0</v>
      </c>
      <c r="BF19" s="324">
        <f t="shared" si="0"/>
        <v>0</v>
      </c>
      <c r="BG19" s="324">
        <f t="shared" si="0"/>
        <v>0</v>
      </c>
      <c r="BH19" s="324">
        <f t="shared" si="0"/>
        <v>0</v>
      </c>
      <c r="BI19" s="324">
        <f t="shared" si="0"/>
        <v>0</v>
      </c>
      <c r="BJ19" s="324">
        <f t="shared" si="0"/>
        <v>0</v>
      </c>
      <c r="BK19" s="324">
        <f t="shared" si="0"/>
        <v>0</v>
      </c>
      <c r="BL19" s="324">
        <f t="shared" si="0"/>
        <v>0</v>
      </c>
      <c r="BM19" s="324">
        <f t="shared" si="0"/>
        <v>0</v>
      </c>
      <c r="BN19" s="324">
        <f t="shared" si="0"/>
        <v>0</v>
      </c>
      <c r="BO19" s="324">
        <f t="shared" si="0"/>
        <v>0</v>
      </c>
      <c r="BP19" s="324">
        <f t="shared" si="0"/>
        <v>0</v>
      </c>
      <c r="BQ19" s="324">
        <f t="shared" si="0"/>
        <v>0</v>
      </c>
      <c r="BR19" s="324">
        <f t="shared" si="0"/>
        <v>0</v>
      </c>
      <c r="BS19" s="324">
        <f t="shared" si="0"/>
        <v>0</v>
      </c>
      <c r="BT19" s="324">
        <f t="shared" ref="BT19:CI19" si="1">SUM(BT20:BT28)</f>
        <v>0</v>
      </c>
      <c r="BU19" s="324">
        <f t="shared" si="1"/>
        <v>0</v>
      </c>
      <c r="BV19" s="324">
        <f t="shared" si="1"/>
        <v>0</v>
      </c>
      <c r="BW19" s="324">
        <f t="shared" si="1"/>
        <v>0</v>
      </c>
      <c r="BX19" s="324">
        <f t="shared" si="1"/>
        <v>0</v>
      </c>
      <c r="BY19" s="324">
        <f t="shared" si="1"/>
        <v>0</v>
      </c>
      <c r="BZ19" s="324">
        <f t="shared" si="1"/>
        <v>0</v>
      </c>
      <c r="CA19" s="324">
        <f t="shared" si="1"/>
        <v>0</v>
      </c>
      <c r="CB19" s="324">
        <f t="shared" si="1"/>
        <v>0</v>
      </c>
      <c r="CC19" s="324">
        <f t="shared" si="1"/>
        <v>0</v>
      </c>
      <c r="CD19" s="324">
        <f t="shared" si="1"/>
        <v>0</v>
      </c>
      <c r="CE19" s="324">
        <f t="shared" si="1"/>
        <v>0</v>
      </c>
      <c r="CF19" s="324">
        <f t="shared" si="1"/>
        <v>0</v>
      </c>
      <c r="CG19" s="324">
        <f t="shared" si="1"/>
        <v>0</v>
      </c>
      <c r="CH19" s="324">
        <f t="shared" si="1"/>
        <v>0</v>
      </c>
      <c r="CI19" s="324">
        <f t="shared" si="1"/>
        <v>0</v>
      </c>
      <c r="CJ19" s="324"/>
    </row>
    <row r="20" spans="2:88" x14ac:dyDescent="0.2">
      <c r="B20" s="485" t="s">
        <v>307</v>
      </c>
      <c r="C20" s="486" t="s">
        <v>308</v>
      </c>
      <c r="D20" s="487" t="s">
        <v>86</v>
      </c>
      <c r="E20" s="487" t="s">
        <v>239</v>
      </c>
      <c r="F20" s="488">
        <v>1</v>
      </c>
      <c r="G20" s="325"/>
      <c r="H20" s="326"/>
      <c r="I20" s="326">
        <v>34.781204612781188</v>
      </c>
      <c r="J20" s="326">
        <v>34.777906904420405</v>
      </c>
      <c r="K20" s="326">
        <v>34.049315387784553</v>
      </c>
      <c r="L20" s="327">
        <v>33.219449748933449</v>
      </c>
      <c r="M20" s="327">
        <v>32.469453718647166</v>
      </c>
      <c r="N20" s="327">
        <v>32.053464887400814</v>
      </c>
      <c r="O20" s="327">
        <v>31.538378896796743</v>
      </c>
      <c r="P20" s="327">
        <v>31.001422450319311</v>
      </c>
      <c r="Q20" s="327">
        <v>30.536769486203223</v>
      </c>
      <c r="R20" s="327">
        <v>30.128992923064374</v>
      </c>
      <c r="S20" s="327">
        <v>29.766802251136649</v>
      </c>
      <c r="T20" s="327">
        <v>29.402831032238634</v>
      </c>
      <c r="U20" s="327">
        <v>29.018998426250999</v>
      </c>
      <c r="V20" s="327">
        <v>28.653242197722101</v>
      </c>
      <c r="W20" s="327">
        <v>28.408394064431935</v>
      </c>
      <c r="X20" s="327">
        <v>28.148831866915128</v>
      </c>
      <c r="Y20" s="327">
        <v>27.881400437036561</v>
      </c>
      <c r="Z20" s="327">
        <v>27.622954126153299</v>
      </c>
      <c r="AA20" s="327">
        <v>27.373999812386661</v>
      </c>
      <c r="AB20" s="327">
        <v>26.881129632341295</v>
      </c>
      <c r="AC20" s="327">
        <v>26.654890479943308</v>
      </c>
      <c r="AD20" s="327">
        <v>26.436497369689405</v>
      </c>
      <c r="AE20" s="327">
        <v>26.283194908494213</v>
      </c>
      <c r="AF20" s="327">
        <v>26.13903057646711</v>
      </c>
      <c r="AG20" s="327">
        <v>26.144208968336603</v>
      </c>
      <c r="AH20" s="327">
        <v>25.738462795498318</v>
      </c>
      <c r="AI20" s="327">
        <v>25.751351017605259</v>
      </c>
      <c r="AJ20" s="327">
        <v>25.560716037695414</v>
      </c>
      <c r="AK20" s="327">
        <v>25.580412812115917</v>
      </c>
      <c r="AL20" s="327"/>
      <c r="AM20" s="327"/>
      <c r="AN20" s="327"/>
      <c r="AO20" s="327"/>
      <c r="AP20" s="327"/>
      <c r="AQ20" s="327"/>
      <c r="AR20" s="327"/>
      <c r="AS20" s="327"/>
      <c r="AT20" s="327"/>
      <c r="AU20" s="327"/>
      <c r="AV20" s="327"/>
      <c r="AW20" s="327"/>
      <c r="AX20" s="327"/>
      <c r="AY20" s="327"/>
      <c r="AZ20" s="327"/>
      <c r="BA20" s="327"/>
      <c r="BB20" s="327"/>
      <c r="BC20" s="327"/>
      <c r="BD20" s="327"/>
      <c r="BE20" s="327"/>
      <c r="BF20" s="327"/>
      <c r="BG20" s="327"/>
      <c r="BH20" s="327"/>
      <c r="BI20" s="327"/>
      <c r="BJ20" s="327"/>
      <c r="BK20" s="327"/>
      <c r="BL20" s="327"/>
      <c r="BM20" s="327"/>
      <c r="BN20" s="327"/>
      <c r="BO20" s="327"/>
      <c r="BP20" s="327"/>
      <c r="BQ20" s="327"/>
      <c r="BR20" s="327"/>
      <c r="BS20" s="327"/>
      <c r="BT20" s="327"/>
      <c r="BU20" s="327"/>
      <c r="BV20" s="327"/>
      <c r="BW20" s="327"/>
      <c r="BX20" s="327"/>
      <c r="BY20" s="327"/>
      <c r="BZ20" s="327"/>
      <c r="CA20" s="327"/>
      <c r="CB20" s="327"/>
      <c r="CC20" s="327"/>
      <c r="CD20" s="327"/>
      <c r="CE20" s="327"/>
      <c r="CF20" s="327"/>
      <c r="CG20" s="327"/>
      <c r="CH20" s="327"/>
      <c r="CI20" s="327"/>
      <c r="CJ20" s="330"/>
    </row>
    <row r="21" spans="2:88" x14ac:dyDescent="0.2">
      <c r="B21" s="485" t="s">
        <v>309</v>
      </c>
      <c r="C21" s="486" t="s">
        <v>310</v>
      </c>
      <c r="D21" s="487" t="s">
        <v>86</v>
      </c>
      <c r="E21" s="487" t="s">
        <v>239</v>
      </c>
      <c r="F21" s="488">
        <v>1</v>
      </c>
      <c r="G21" s="325"/>
      <c r="H21" s="326"/>
      <c r="I21" s="326">
        <v>69.337597594765825</v>
      </c>
      <c r="J21" s="326">
        <v>69.735894872953835</v>
      </c>
      <c r="K21" s="326">
        <v>68.641152011671323</v>
      </c>
      <c r="L21" s="327">
        <v>67.292956831337222</v>
      </c>
      <c r="M21" s="327">
        <v>66.063678517689965</v>
      </c>
      <c r="N21" s="327">
        <v>65.47785262053074</v>
      </c>
      <c r="O21" s="327">
        <v>64.56158497823013</v>
      </c>
      <c r="P21" s="327">
        <v>63.573860976373112</v>
      </c>
      <c r="Q21" s="327">
        <v>62.709608473197271</v>
      </c>
      <c r="R21" s="327">
        <v>61.94059974209636</v>
      </c>
      <c r="S21" s="327">
        <v>61.244936816844586</v>
      </c>
      <c r="T21" s="327">
        <v>60.527604163009947</v>
      </c>
      <c r="U21" s="327">
        <v>59.654224167731087</v>
      </c>
      <c r="V21" s="327">
        <v>58.805046985805745</v>
      </c>
      <c r="W21" s="327">
        <v>58.191655018384509</v>
      </c>
      <c r="X21" s="327">
        <v>57.536310027092838</v>
      </c>
      <c r="Y21" s="327">
        <v>56.854973225947703</v>
      </c>
      <c r="Z21" s="327">
        <v>56.182783591779952</v>
      </c>
      <c r="AA21" s="327">
        <v>55.521667205982801</v>
      </c>
      <c r="AB21" s="327">
        <v>54.359943895650709</v>
      </c>
      <c r="AC21" s="327">
        <v>53.732331043637643</v>
      </c>
      <c r="AD21" s="327">
        <v>53.114294113748706</v>
      </c>
      <c r="AE21" s="327">
        <v>52.740333462064271</v>
      </c>
      <c r="AF21" s="327">
        <v>52.378155171402064</v>
      </c>
      <c r="AG21" s="327">
        <v>52.309051917118893</v>
      </c>
      <c r="AH21" s="327">
        <v>51.412939142961768</v>
      </c>
      <c r="AI21" s="327">
        <v>51.348705724738977</v>
      </c>
      <c r="AJ21" s="327">
        <v>50.874051952280269</v>
      </c>
      <c r="AK21" s="327">
        <v>50.813808930964647</v>
      </c>
      <c r="AL21" s="327"/>
      <c r="AM21" s="327"/>
      <c r="AN21" s="327"/>
      <c r="AO21" s="327"/>
      <c r="AP21" s="327"/>
      <c r="AQ21" s="327"/>
      <c r="AR21" s="327"/>
      <c r="AS21" s="327"/>
      <c r="AT21" s="327"/>
      <c r="AU21" s="327"/>
      <c r="AV21" s="327"/>
      <c r="AW21" s="327"/>
      <c r="AX21" s="327"/>
      <c r="AY21" s="327"/>
      <c r="AZ21" s="327"/>
      <c r="BA21" s="327"/>
      <c r="BB21" s="327"/>
      <c r="BC21" s="327"/>
      <c r="BD21" s="327"/>
      <c r="BE21" s="327"/>
      <c r="BF21" s="327"/>
      <c r="BG21" s="327"/>
      <c r="BH21" s="327"/>
      <c r="BI21" s="327"/>
      <c r="BJ21" s="327"/>
      <c r="BK21" s="327"/>
      <c r="BL21" s="327"/>
      <c r="BM21" s="327"/>
      <c r="BN21" s="327"/>
      <c r="BO21" s="327"/>
      <c r="BP21" s="327"/>
      <c r="BQ21" s="327"/>
      <c r="BR21" s="327"/>
      <c r="BS21" s="327"/>
      <c r="BT21" s="327"/>
      <c r="BU21" s="327"/>
      <c r="BV21" s="327"/>
      <c r="BW21" s="327"/>
      <c r="BX21" s="327"/>
      <c r="BY21" s="327"/>
      <c r="BZ21" s="327"/>
      <c r="CA21" s="327"/>
      <c r="CB21" s="327"/>
      <c r="CC21" s="327"/>
      <c r="CD21" s="327"/>
      <c r="CE21" s="327"/>
      <c r="CF21" s="327"/>
      <c r="CG21" s="327"/>
      <c r="CH21" s="327"/>
      <c r="CI21" s="327"/>
      <c r="CJ21" s="330"/>
    </row>
    <row r="22" spans="2:88" x14ac:dyDescent="0.2">
      <c r="B22" s="485" t="s">
        <v>311</v>
      </c>
      <c r="C22" s="486" t="s">
        <v>312</v>
      </c>
      <c r="D22" s="487" t="s">
        <v>86</v>
      </c>
      <c r="E22" s="487" t="s">
        <v>239</v>
      </c>
      <c r="F22" s="488">
        <v>1</v>
      </c>
      <c r="G22" s="325"/>
      <c r="H22" s="326"/>
      <c r="I22" s="326">
        <v>14.714403487908308</v>
      </c>
      <c r="J22" s="326">
        <v>14.789099456416633</v>
      </c>
      <c r="K22" s="326">
        <v>14.468655628005049</v>
      </c>
      <c r="L22" s="327">
        <v>14.043459124526862</v>
      </c>
      <c r="M22" s="327">
        <v>13.67867426633542</v>
      </c>
      <c r="N22" s="327">
        <v>13.47941979761865</v>
      </c>
      <c r="O22" s="327">
        <v>13.220916439953184</v>
      </c>
      <c r="P22" s="327">
        <v>12.988963390129005</v>
      </c>
      <c r="Q22" s="327">
        <v>12.784320745513678</v>
      </c>
      <c r="R22" s="327">
        <v>12.645921361985227</v>
      </c>
      <c r="S22" s="327">
        <v>12.481709384152769</v>
      </c>
      <c r="T22" s="327">
        <v>12.330514144087806</v>
      </c>
      <c r="U22" s="327">
        <v>12.136948536702759</v>
      </c>
      <c r="V22" s="327">
        <v>11.973171708619009</v>
      </c>
      <c r="W22" s="327">
        <v>11.832737640647258</v>
      </c>
      <c r="X22" s="327">
        <v>11.719466071600445</v>
      </c>
      <c r="Y22" s="327">
        <v>11.591698025156166</v>
      </c>
      <c r="Z22" s="327">
        <v>11.457248814762677</v>
      </c>
      <c r="AA22" s="327">
        <v>11.317007609282031</v>
      </c>
      <c r="AB22" s="327">
        <v>11.075786430679106</v>
      </c>
      <c r="AC22" s="327">
        <v>10.940970560037394</v>
      </c>
      <c r="AD22" s="327">
        <v>10.803682261792646</v>
      </c>
      <c r="AE22" s="327">
        <v>10.691127167799252</v>
      </c>
      <c r="AF22" s="327">
        <v>10.576124264824253</v>
      </c>
      <c r="AG22" s="327">
        <v>10.520014090734758</v>
      </c>
      <c r="AH22" s="327">
        <v>10.298271462540965</v>
      </c>
      <c r="AI22" s="327">
        <v>10.238694204252793</v>
      </c>
      <c r="AJ22" s="327">
        <v>10.094573223749132</v>
      </c>
      <c r="AK22" s="327">
        <v>10.032791538832107</v>
      </c>
      <c r="AL22" s="327"/>
      <c r="AM22" s="327"/>
      <c r="AN22" s="327"/>
      <c r="AO22" s="327"/>
      <c r="AP22" s="327"/>
      <c r="AQ22" s="327"/>
      <c r="AR22" s="327"/>
      <c r="AS22" s="327"/>
      <c r="AT22" s="327"/>
      <c r="AU22" s="327"/>
      <c r="AV22" s="327"/>
      <c r="AW22" s="327"/>
      <c r="AX22" s="327"/>
      <c r="AY22" s="327"/>
      <c r="AZ22" s="327"/>
      <c r="BA22" s="327"/>
      <c r="BB22" s="327"/>
      <c r="BC22" s="327"/>
      <c r="BD22" s="327"/>
      <c r="BE22" s="327"/>
      <c r="BF22" s="327"/>
      <c r="BG22" s="327"/>
      <c r="BH22" s="327"/>
      <c r="BI22" s="327"/>
      <c r="BJ22" s="327"/>
      <c r="BK22" s="327"/>
      <c r="BL22" s="327"/>
      <c r="BM22" s="327"/>
      <c r="BN22" s="327"/>
      <c r="BO22" s="327"/>
      <c r="BP22" s="327"/>
      <c r="BQ22" s="327"/>
      <c r="BR22" s="327"/>
      <c r="BS22" s="327"/>
      <c r="BT22" s="327"/>
      <c r="BU22" s="327"/>
      <c r="BV22" s="327"/>
      <c r="BW22" s="327"/>
      <c r="BX22" s="327"/>
      <c r="BY22" s="327"/>
      <c r="BZ22" s="327"/>
      <c r="CA22" s="327"/>
      <c r="CB22" s="327"/>
      <c r="CC22" s="327"/>
      <c r="CD22" s="327"/>
      <c r="CE22" s="327"/>
      <c r="CF22" s="327"/>
      <c r="CG22" s="327"/>
      <c r="CH22" s="327"/>
      <c r="CI22" s="327"/>
      <c r="CJ22" s="330"/>
    </row>
    <row r="23" spans="2:88" x14ac:dyDescent="0.2">
      <c r="B23" s="485" t="s">
        <v>313</v>
      </c>
      <c r="C23" s="486" t="s">
        <v>314</v>
      </c>
      <c r="D23" s="487" t="s">
        <v>86</v>
      </c>
      <c r="E23" s="487" t="s">
        <v>239</v>
      </c>
      <c r="F23" s="488">
        <v>1</v>
      </c>
      <c r="G23" s="325"/>
      <c r="H23" s="326"/>
      <c r="I23" s="326">
        <v>9.6898295182311678</v>
      </c>
      <c r="J23" s="326">
        <v>9.5810998230024325</v>
      </c>
      <c r="K23" s="326">
        <v>9.3312092694456616</v>
      </c>
      <c r="L23" s="327">
        <v>9.0312980971475056</v>
      </c>
      <c r="M23" s="327">
        <v>8.7704971661271696</v>
      </c>
      <c r="N23" s="327">
        <v>8.6156527887457202</v>
      </c>
      <c r="O23" s="327">
        <v>8.4176531546325997</v>
      </c>
      <c r="P23" s="327">
        <v>8.2359874856519699</v>
      </c>
      <c r="Q23" s="327">
        <v>8.0710510214381088</v>
      </c>
      <c r="R23" s="327">
        <v>7.9543450132536018</v>
      </c>
      <c r="S23" s="327">
        <v>7.8401949890021969</v>
      </c>
      <c r="T23" s="327">
        <v>7.7589555787489406</v>
      </c>
      <c r="U23" s="327">
        <v>7.6444083236091922</v>
      </c>
      <c r="V23" s="327">
        <v>7.5482529213478911</v>
      </c>
      <c r="W23" s="327">
        <v>7.4663393968573297</v>
      </c>
      <c r="X23" s="327">
        <v>7.3772668299335775</v>
      </c>
      <c r="Y23" s="327">
        <v>7.2788697578009867</v>
      </c>
      <c r="Z23" s="327">
        <v>7.1760610371282496</v>
      </c>
      <c r="AA23" s="327">
        <v>7.0694046515445574</v>
      </c>
      <c r="AB23" s="327">
        <v>6.8997135873472288</v>
      </c>
      <c r="AC23" s="327">
        <v>6.7963180714833182</v>
      </c>
      <c r="AD23" s="327">
        <v>6.6911637262655868</v>
      </c>
      <c r="AE23" s="327">
        <v>6.6106550540568474</v>
      </c>
      <c r="AF23" s="327">
        <v>6.5286500617963403</v>
      </c>
      <c r="AG23" s="327">
        <v>6.4830526302985856</v>
      </c>
      <c r="AH23" s="327">
        <v>6.3355518213986297</v>
      </c>
      <c r="AI23" s="327">
        <v>6.2878929198774882</v>
      </c>
      <c r="AJ23" s="327">
        <v>6.1883338002027797</v>
      </c>
      <c r="AK23" s="327">
        <v>6.1393286165292968</v>
      </c>
      <c r="AL23" s="327"/>
      <c r="AM23" s="327"/>
      <c r="AN23" s="327"/>
      <c r="AO23" s="327"/>
      <c r="AP23" s="327"/>
      <c r="AQ23" s="327"/>
      <c r="AR23" s="327"/>
      <c r="AS23" s="327"/>
      <c r="AT23" s="327"/>
      <c r="AU23" s="327"/>
      <c r="AV23" s="327"/>
      <c r="AW23" s="327"/>
      <c r="AX23" s="327"/>
      <c r="AY23" s="327"/>
      <c r="AZ23" s="327"/>
      <c r="BA23" s="327"/>
      <c r="BB23" s="327"/>
      <c r="BC23" s="327"/>
      <c r="BD23" s="327"/>
      <c r="BE23" s="327"/>
      <c r="BF23" s="327"/>
      <c r="BG23" s="327"/>
      <c r="BH23" s="327"/>
      <c r="BI23" s="327"/>
      <c r="BJ23" s="327"/>
      <c r="BK23" s="327"/>
      <c r="BL23" s="327"/>
      <c r="BM23" s="327"/>
      <c r="BN23" s="327"/>
      <c r="BO23" s="327"/>
      <c r="BP23" s="327"/>
      <c r="BQ23" s="327"/>
      <c r="BR23" s="327"/>
      <c r="BS23" s="327"/>
      <c r="BT23" s="327"/>
      <c r="BU23" s="327"/>
      <c r="BV23" s="327"/>
      <c r="BW23" s="327"/>
      <c r="BX23" s="327"/>
      <c r="BY23" s="327"/>
      <c r="BZ23" s="327"/>
      <c r="CA23" s="327"/>
      <c r="CB23" s="327"/>
      <c r="CC23" s="327"/>
      <c r="CD23" s="327"/>
      <c r="CE23" s="327"/>
      <c r="CF23" s="327"/>
      <c r="CG23" s="327"/>
      <c r="CH23" s="327"/>
      <c r="CI23" s="327"/>
      <c r="CJ23" s="330"/>
    </row>
    <row r="24" spans="2:88" x14ac:dyDescent="0.2">
      <c r="B24" s="485" t="s">
        <v>315</v>
      </c>
      <c r="C24" s="486" t="s">
        <v>316</v>
      </c>
      <c r="D24" s="487" t="s">
        <v>86</v>
      </c>
      <c r="E24" s="487" t="s">
        <v>239</v>
      </c>
      <c r="F24" s="488">
        <v>1</v>
      </c>
      <c r="G24" s="325"/>
      <c r="H24" s="326"/>
      <c r="I24" s="326">
        <v>12.760057078277415</v>
      </c>
      <c r="J24" s="326">
        <v>12.773244242519045</v>
      </c>
      <c r="K24" s="326">
        <v>12.536264834998184</v>
      </c>
      <c r="L24" s="327">
        <v>12.219303229368867</v>
      </c>
      <c r="M24" s="327">
        <v>11.941842896213844</v>
      </c>
      <c r="N24" s="327">
        <v>11.797301593151134</v>
      </c>
      <c r="O24" s="327">
        <v>11.606661433314438</v>
      </c>
      <c r="P24" s="327">
        <v>11.424882846663259</v>
      </c>
      <c r="Q24" s="327">
        <v>11.266773694399014</v>
      </c>
      <c r="R24" s="327">
        <v>11.15045552175769</v>
      </c>
      <c r="S24" s="327">
        <v>11.029917616059047</v>
      </c>
      <c r="T24" s="327">
        <v>10.92352916508545</v>
      </c>
      <c r="U24" s="327">
        <v>10.79524862139184</v>
      </c>
      <c r="V24" s="327">
        <v>10.685671498320941</v>
      </c>
      <c r="W24" s="327">
        <v>10.606519130668966</v>
      </c>
      <c r="X24" s="327">
        <v>10.519503315175484</v>
      </c>
      <c r="Y24" s="327">
        <v>10.42421894838885</v>
      </c>
      <c r="Z24" s="327">
        <v>10.327424575985674</v>
      </c>
      <c r="AA24" s="327">
        <v>10.229834635274553</v>
      </c>
      <c r="AB24" s="327">
        <v>10.041495824151065</v>
      </c>
      <c r="AC24" s="327">
        <v>9.9514261914211612</v>
      </c>
      <c r="AD24" s="327">
        <v>9.8618994135981186</v>
      </c>
      <c r="AE24" s="327">
        <v>9.7870510804075685</v>
      </c>
      <c r="AF24" s="327">
        <v>9.7122301459381539</v>
      </c>
      <c r="AG24" s="327">
        <v>9.6920063933177758</v>
      </c>
      <c r="AH24" s="327">
        <v>9.5191761259308567</v>
      </c>
      <c r="AI24" s="327">
        <v>9.498378836518123</v>
      </c>
      <c r="AJ24" s="327">
        <v>9.400736904119583</v>
      </c>
      <c r="AK24" s="327">
        <v>9.3802080973113267</v>
      </c>
      <c r="AL24" s="327"/>
      <c r="AM24" s="327"/>
      <c r="AN24" s="327"/>
      <c r="AO24" s="327"/>
      <c r="AP24" s="327"/>
      <c r="AQ24" s="327"/>
      <c r="AR24" s="327"/>
      <c r="AS24" s="327"/>
      <c r="AT24" s="327"/>
      <c r="AU24" s="327"/>
      <c r="AV24" s="327"/>
      <c r="AW24" s="327"/>
      <c r="AX24" s="327"/>
      <c r="AY24" s="327"/>
      <c r="AZ24" s="327"/>
      <c r="BA24" s="327"/>
      <c r="BB24" s="327"/>
      <c r="BC24" s="327"/>
      <c r="BD24" s="327"/>
      <c r="BE24" s="327"/>
      <c r="BF24" s="327"/>
      <c r="BG24" s="327"/>
      <c r="BH24" s="327"/>
      <c r="BI24" s="327"/>
      <c r="BJ24" s="327"/>
      <c r="BK24" s="327"/>
      <c r="BL24" s="327"/>
      <c r="BM24" s="327"/>
      <c r="BN24" s="327"/>
      <c r="BO24" s="327"/>
      <c r="BP24" s="327"/>
      <c r="BQ24" s="327"/>
      <c r="BR24" s="327"/>
      <c r="BS24" s="327"/>
      <c r="BT24" s="327"/>
      <c r="BU24" s="327"/>
      <c r="BV24" s="327"/>
      <c r="BW24" s="327"/>
      <c r="BX24" s="327"/>
      <c r="BY24" s="327"/>
      <c r="BZ24" s="327"/>
      <c r="CA24" s="327"/>
      <c r="CB24" s="327"/>
      <c r="CC24" s="327"/>
      <c r="CD24" s="327"/>
      <c r="CE24" s="327"/>
      <c r="CF24" s="327"/>
      <c r="CG24" s="327"/>
      <c r="CH24" s="327"/>
      <c r="CI24" s="327"/>
      <c r="CJ24" s="330"/>
    </row>
    <row r="25" spans="2:88" x14ac:dyDescent="0.2">
      <c r="B25" s="489" t="s">
        <v>317</v>
      </c>
      <c r="C25" s="486" t="s">
        <v>318</v>
      </c>
      <c r="D25" s="487" t="s">
        <v>86</v>
      </c>
      <c r="E25" s="487" t="s">
        <v>239</v>
      </c>
      <c r="F25" s="488">
        <v>1</v>
      </c>
      <c r="G25" s="328"/>
      <c r="H25" s="326"/>
      <c r="I25" s="329">
        <v>11.835007343341466</v>
      </c>
      <c r="J25" s="329">
        <v>11.909122357153072</v>
      </c>
      <c r="K25" s="329">
        <v>11.648582674671879</v>
      </c>
      <c r="L25" s="330">
        <v>11.325131957185622</v>
      </c>
      <c r="M25" s="330">
        <v>11.033211697559874</v>
      </c>
      <c r="N25" s="330">
        <v>10.90727200398061</v>
      </c>
      <c r="O25" s="330">
        <v>10.692735280022861</v>
      </c>
      <c r="P25" s="330">
        <v>10.502640704558047</v>
      </c>
      <c r="Q25" s="330">
        <v>10.32253133116413</v>
      </c>
      <c r="R25" s="330">
        <v>10.21244339013591</v>
      </c>
      <c r="S25" s="330">
        <v>10.072024176510723</v>
      </c>
      <c r="T25" s="330">
        <v>9.958413623217071</v>
      </c>
      <c r="U25" s="330">
        <v>9.7831793738122332</v>
      </c>
      <c r="V25" s="330">
        <v>9.6674035411218959</v>
      </c>
      <c r="W25" s="330">
        <v>9.5380603662003907</v>
      </c>
      <c r="X25" s="330">
        <v>9.3707232273191892</v>
      </c>
      <c r="Y25" s="330">
        <v>9.244185827188895</v>
      </c>
      <c r="Z25" s="330">
        <v>9.1465528293160112</v>
      </c>
      <c r="AA25" s="330">
        <v>9.0364361190175249</v>
      </c>
      <c r="AB25" s="330">
        <v>8.6002667487754465</v>
      </c>
      <c r="AC25" s="330">
        <v>8.4936823458945341</v>
      </c>
      <c r="AD25" s="330">
        <v>8.4176296946856297</v>
      </c>
      <c r="AE25" s="330">
        <v>8.3545140332282806</v>
      </c>
      <c r="AF25" s="330">
        <v>8.2915367849392521</v>
      </c>
      <c r="AG25" s="330">
        <v>8.2641234981902496</v>
      </c>
      <c r="AH25" s="330">
        <v>8.133769247396188</v>
      </c>
      <c r="AI25" s="330">
        <v>8.1205565167888132</v>
      </c>
      <c r="AJ25" s="330">
        <v>8.0423302539398787</v>
      </c>
      <c r="AK25" s="330">
        <v>8.0194860291562087</v>
      </c>
      <c r="AL25" s="330"/>
      <c r="AM25" s="330"/>
      <c r="AN25" s="330"/>
      <c r="AO25" s="330"/>
      <c r="AP25" s="330"/>
      <c r="AQ25" s="330"/>
      <c r="AR25" s="330"/>
      <c r="AS25" s="330"/>
      <c r="AT25" s="330"/>
      <c r="AU25" s="330"/>
      <c r="AV25" s="330"/>
      <c r="AW25" s="330"/>
      <c r="AX25" s="330"/>
      <c r="AY25" s="330"/>
      <c r="AZ25" s="330"/>
      <c r="BA25" s="330"/>
      <c r="BB25" s="330"/>
      <c r="BC25" s="330"/>
      <c r="BD25" s="330"/>
      <c r="BE25" s="330"/>
      <c r="BF25" s="330"/>
      <c r="BG25" s="330"/>
      <c r="BH25" s="330"/>
      <c r="BI25" s="330"/>
      <c r="BJ25" s="330"/>
      <c r="BK25" s="330"/>
      <c r="BL25" s="330"/>
      <c r="BM25" s="330"/>
      <c r="BN25" s="330"/>
      <c r="BO25" s="330"/>
      <c r="BP25" s="330"/>
      <c r="BQ25" s="330"/>
      <c r="BR25" s="330"/>
      <c r="BS25" s="330"/>
      <c r="BT25" s="330"/>
      <c r="BU25" s="330"/>
      <c r="BV25" s="330"/>
      <c r="BW25" s="330"/>
      <c r="BX25" s="330"/>
      <c r="BY25" s="330"/>
      <c r="BZ25" s="330"/>
      <c r="CA25" s="330"/>
      <c r="CB25" s="330"/>
      <c r="CC25" s="330"/>
      <c r="CD25" s="330"/>
      <c r="CE25" s="330"/>
      <c r="CF25" s="330"/>
      <c r="CG25" s="330"/>
      <c r="CH25" s="330"/>
      <c r="CI25" s="330"/>
      <c r="CJ25" s="330"/>
    </row>
    <row r="26" spans="2:88" x14ac:dyDescent="0.2">
      <c r="B26" s="489" t="s">
        <v>319</v>
      </c>
      <c r="C26" s="486" t="s">
        <v>320</v>
      </c>
      <c r="D26" s="487" t="s">
        <v>86</v>
      </c>
      <c r="E26" s="487" t="s">
        <v>239</v>
      </c>
      <c r="F26" s="488">
        <v>1</v>
      </c>
      <c r="G26" s="328"/>
      <c r="H26" s="329"/>
      <c r="I26" s="329"/>
      <c r="J26" s="329"/>
      <c r="K26" s="329"/>
      <c r="L26" s="330"/>
      <c r="M26" s="330"/>
      <c r="N26" s="330"/>
      <c r="O26" s="330"/>
      <c r="P26" s="330"/>
      <c r="Q26" s="330"/>
      <c r="R26" s="330"/>
      <c r="S26" s="330"/>
      <c r="T26" s="330"/>
      <c r="U26" s="330"/>
      <c r="V26" s="330"/>
      <c r="W26" s="330"/>
      <c r="X26" s="330"/>
      <c r="Y26" s="330"/>
      <c r="Z26" s="330"/>
      <c r="AA26" s="330"/>
      <c r="AB26" s="330"/>
      <c r="AC26" s="330"/>
      <c r="AD26" s="330"/>
      <c r="AE26" s="330"/>
      <c r="AF26" s="330"/>
      <c r="AG26" s="330"/>
      <c r="AH26" s="330"/>
      <c r="AI26" s="330"/>
      <c r="AJ26" s="330"/>
      <c r="AK26" s="330"/>
      <c r="AL26" s="330"/>
      <c r="AM26" s="330"/>
      <c r="AN26" s="330"/>
      <c r="AO26" s="330"/>
      <c r="AP26" s="330"/>
      <c r="AQ26" s="330"/>
      <c r="AR26" s="330"/>
      <c r="AS26" s="330"/>
      <c r="AT26" s="330"/>
      <c r="AU26" s="330"/>
      <c r="AV26" s="330"/>
      <c r="AW26" s="330"/>
      <c r="AX26" s="330"/>
      <c r="AY26" s="330"/>
      <c r="AZ26" s="330"/>
      <c r="BA26" s="330"/>
      <c r="BB26" s="330"/>
      <c r="BC26" s="330"/>
      <c r="BD26" s="330"/>
      <c r="BE26" s="330"/>
      <c r="BF26" s="330"/>
      <c r="BG26" s="330"/>
      <c r="BH26" s="330"/>
      <c r="BI26" s="330"/>
      <c r="BJ26" s="330"/>
      <c r="BK26" s="330"/>
      <c r="BL26" s="330"/>
      <c r="BM26" s="330"/>
      <c r="BN26" s="330"/>
      <c r="BO26" s="330"/>
      <c r="BP26" s="330"/>
      <c r="BQ26" s="330"/>
      <c r="BR26" s="330"/>
      <c r="BS26" s="330"/>
      <c r="BT26" s="330"/>
      <c r="BU26" s="330"/>
      <c r="BV26" s="330"/>
      <c r="BW26" s="330"/>
      <c r="BX26" s="330"/>
      <c r="BY26" s="330"/>
      <c r="BZ26" s="330"/>
      <c r="CA26" s="330"/>
      <c r="CB26" s="330"/>
      <c r="CC26" s="330"/>
      <c r="CD26" s="330"/>
      <c r="CE26" s="330"/>
      <c r="CF26" s="330"/>
      <c r="CG26" s="330"/>
      <c r="CH26" s="330"/>
      <c r="CI26" s="330"/>
      <c r="CJ26" s="330"/>
    </row>
    <row r="27" spans="2:88" x14ac:dyDescent="0.2">
      <c r="B27" s="489" t="s">
        <v>321</v>
      </c>
      <c r="C27" s="490" t="s">
        <v>320</v>
      </c>
      <c r="D27" s="491" t="s">
        <v>86</v>
      </c>
      <c r="E27" s="491" t="s">
        <v>239</v>
      </c>
      <c r="F27" s="492">
        <v>1</v>
      </c>
      <c r="G27" s="328"/>
      <c r="H27" s="329"/>
      <c r="I27" s="329"/>
      <c r="J27" s="329"/>
      <c r="K27" s="329"/>
      <c r="L27" s="330"/>
      <c r="M27" s="330"/>
      <c r="N27" s="330"/>
      <c r="O27" s="330"/>
      <c r="P27" s="330"/>
      <c r="Q27" s="330"/>
      <c r="R27" s="330"/>
      <c r="S27" s="330"/>
      <c r="T27" s="330"/>
      <c r="U27" s="330"/>
      <c r="V27" s="330"/>
      <c r="W27" s="330"/>
      <c r="X27" s="330"/>
      <c r="Y27" s="330"/>
      <c r="Z27" s="330"/>
      <c r="AA27" s="330"/>
      <c r="AB27" s="330"/>
      <c r="AC27" s="330"/>
      <c r="AD27" s="330"/>
      <c r="AE27" s="330"/>
      <c r="AF27" s="330"/>
      <c r="AG27" s="330"/>
      <c r="AH27" s="330"/>
      <c r="AI27" s="330"/>
      <c r="AJ27" s="330"/>
      <c r="AK27" s="330"/>
      <c r="AL27" s="330"/>
      <c r="AM27" s="330"/>
      <c r="AN27" s="330"/>
      <c r="AO27" s="330"/>
      <c r="AP27" s="330"/>
      <c r="AQ27" s="330"/>
      <c r="AR27" s="330"/>
      <c r="AS27" s="330"/>
      <c r="AT27" s="330"/>
      <c r="AU27" s="330"/>
      <c r="AV27" s="330"/>
      <c r="AW27" s="330"/>
      <c r="AX27" s="330"/>
      <c r="AY27" s="330"/>
      <c r="AZ27" s="330"/>
      <c r="BA27" s="330"/>
      <c r="BB27" s="330"/>
      <c r="BC27" s="330"/>
      <c r="BD27" s="330"/>
      <c r="BE27" s="330"/>
      <c r="BF27" s="330"/>
      <c r="BG27" s="330"/>
      <c r="BH27" s="330"/>
      <c r="BI27" s="330"/>
      <c r="BJ27" s="330"/>
      <c r="BK27" s="330"/>
      <c r="BL27" s="330"/>
      <c r="BM27" s="330"/>
      <c r="BN27" s="330"/>
      <c r="BO27" s="330"/>
      <c r="BP27" s="330"/>
      <c r="BQ27" s="330"/>
      <c r="BR27" s="330"/>
      <c r="BS27" s="330"/>
      <c r="BT27" s="330"/>
      <c r="BU27" s="330"/>
      <c r="BV27" s="330"/>
      <c r="BW27" s="330"/>
      <c r="BX27" s="330"/>
      <c r="BY27" s="330"/>
      <c r="BZ27" s="330"/>
      <c r="CA27" s="330"/>
      <c r="CB27" s="330"/>
      <c r="CC27" s="330"/>
      <c r="CD27" s="330"/>
      <c r="CE27" s="330"/>
      <c r="CF27" s="330"/>
      <c r="CG27" s="330"/>
      <c r="CH27" s="330"/>
      <c r="CI27" s="330"/>
      <c r="CJ27" s="330"/>
    </row>
    <row r="28" spans="2:88" ht="15" thickBot="1" x14ac:dyDescent="0.25">
      <c r="B28" s="489" t="s">
        <v>322</v>
      </c>
      <c r="C28" s="490" t="s">
        <v>320</v>
      </c>
      <c r="D28" s="491" t="s">
        <v>86</v>
      </c>
      <c r="E28" s="491" t="s">
        <v>239</v>
      </c>
      <c r="F28" s="492">
        <v>1</v>
      </c>
      <c r="G28" s="331"/>
      <c r="H28" s="332"/>
      <c r="I28" s="332"/>
      <c r="J28" s="332"/>
      <c r="K28" s="332"/>
      <c r="L28" s="333"/>
      <c r="M28" s="333"/>
      <c r="N28" s="333"/>
      <c r="O28" s="333"/>
      <c r="P28" s="333"/>
      <c r="Q28" s="333"/>
      <c r="R28" s="333"/>
      <c r="S28" s="333"/>
      <c r="T28" s="333"/>
      <c r="U28" s="333"/>
      <c r="V28" s="333"/>
      <c r="W28" s="333"/>
      <c r="X28" s="333"/>
      <c r="Y28" s="333"/>
      <c r="Z28" s="333"/>
      <c r="AA28" s="333"/>
      <c r="AB28" s="333"/>
      <c r="AC28" s="333"/>
      <c r="AD28" s="333"/>
      <c r="AE28" s="333"/>
      <c r="AF28" s="333"/>
      <c r="AG28" s="333"/>
      <c r="AH28" s="333"/>
      <c r="AI28" s="333"/>
      <c r="AJ28" s="333"/>
      <c r="AK28" s="333"/>
      <c r="AL28" s="333"/>
      <c r="AM28" s="333"/>
      <c r="AN28" s="333"/>
      <c r="AO28" s="333"/>
      <c r="AP28" s="333"/>
      <c r="AQ28" s="333"/>
      <c r="AR28" s="333"/>
      <c r="AS28" s="333"/>
      <c r="AT28" s="333"/>
      <c r="AU28" s="333"/>
      <c r="AV28" s="333"/>
      <c r="AW28" s="333"/>
      <c r="AX28" s="333"/>
      <c r="AY28" s="333"/>
      <c r="AZ28" s="333"/>
      <c r="BA28" s="333"/>
      <c r="BB28" s="333"/>
      <c r="BC28" s="333"/>
      <c r="BD28" s="333"/>
      <c r="BE28" s="333"/>
      <c r="BF28" s="333"/>
      <c r="BG28" s="333"/>
      <c r="BH28" s="333"/>
      <c r="BI28" s="333"/>
      <c r="BJ28" s="333"/>
      <c r="BK28" s="333"/>
      <c r="BL28" s="333"/>
      <c r="BM28" s="333"/>
      <c r="BN28" s="333"/>
      <c r="BO28" s="333"/>
      <c r="BP28" s="333"/>
      <c r="BQ28" s="333"/>
      <c r="BR28" s="333"/>
      <c r="BS28" s="333"/>
      <c r="BT28" s="333"/>
      <c r="BU28" s="333"/>
      <c r="BV28" s="333"/>
      <c r="BW28" s="333"/>
      <c r="BX28" s="333"/>
      <c r="BY28" s="333"/>
      <c r="BZ28" s="333"/>
      <c r="CA28" s="333"/>
      <c r="CB28" s="333"/>
      <c r="CC28" s="333"/>
      <c r="CD28" s="333"/>
      <c r="CE28" s="333"/>
      <c r="CF28" s="333"/>
      <c r="CG28" s="333"/>
      <c r="CH28" s="333"/>
      <c r="CI28" s="333"/>
      <c r="CJ28" s="333"/>
    </row>
    <row r="29" spans="2:88" ht="17.850000000000001" customHeight="1" x14ac:dyDescent="0.2">
      <c r="B29" s="438" t="s">
        <v>323</v>
      </c>
      <c r="C29" s="439" t="s">
        <v>324</v>
      </c>
      <c r="D29" s="440" t="s">
        <v>325</v>
      </c>
      <c r="E29" s="440" t="s">
        <v>239</v>
      </c>
      <c r="F29" s="441">
        <v>1</v>
      </c>
      <c r="G29" s="334">
        <f>SUM(G30:G38)</f>
        <v>0</v>
      </c>
      <c r="H29" s="335">
        <f t="shared" ref="H29:BS29" si="2">SUM(H30:H38)</f>
        <v>0</v>
      </c>
      <c r="I29" s="335">
        <f t="shared" si="2"/>
        <v>169.36520997669271</v>
      </c>
      <c r="J29" s="335">
        <f t="shared" si="2"/>
        <v>166.12880532726859</v>
      </c>
      <c r="K29" s="335">
        <f t="shared" si="2"/>
        <v>164.31721109858407</v>
      </c>
      <c r="L29" s="335">
        <f t="shared" si="2"/>
        <v>161.7267970488854</v>
      </c>
      <c r="M29" s="335">
        <f t="shared" si="2"/>
        <v>158.60663652430122</v>
      </c>
      <c r="N29" s="335">
        <f t="shared" si="2"/>
        <v>156.19645486689353</v>
      </c>
      <c r="O29" s="335">
        <f t="shared" si="2"/>
        <v>154.44927366650202</v>
      </c>
      <c r="P29" s="335">
        <f t="shared" si="2"/>
        <v>153.28292419138637</v>
      </c>
      <c r="Q29" s="335">
        <f t="shared" si="2"/>
        <v>152.37351977760252</v>
      </c>
      <c r="R29" s="335">
        <f t="shared" si="2"/>
        <v>151.32944888073072</v>
      </c>
      <c r="S29" s="335">
        <f t="shared" si="2"/>
        <v>149.8103696990018</v>
      </c>
      <c r="T29" s="335">
        <f t="shared" si="2"/>
        <v>148.08807349965753</v>
      </c>
      <c r="U29" s="335">
        <f t="shared" si="2"/>
        <v>145.85384273069835</v>
      </c>
      <c r="V29" s="335">
        <f t="shared" si="2"/>
        <v>143.25615323108428</v>
      </c>
      <c r="W29" s="335">
        <f t="shared" si="2"/>
        <v>140.98332478534243</v>
      </c>
      <c r="X29" s="335">
        <f t="shared" si="2"/>
        <v>139.62270174036044</v>
      </c>
      <c r="Y29" s="335">
        <f t="shared" si="2"/>
        <v>138.25487177661859</v>
      </c>
      <c r="Z29" s="335">
        <f t="shared" si="2"/>
        <v>136.90837193932472</v>
      </c>
      <c r="AA29" s="335">
        <f t="shared" si="2"/>
        <v>135.54198197602196</v>
      </c>
      <c r="AB29" s="335">
        <f t="shared" si="2"/>
        <v>134.20698259120991</v>
      </c>
      <c r="AC29" s="335">
        <f t="shared" si="2"/>
        <v>132.8652701604336</v>
      </c>
      <c r="AD29" s="335">
        <f t="shared" si="2"/>
        <v>131.55887054925535</v>
      </c>
      <c r="AE29" s="335">
        <f t="shared" si="2"/>
        <v>130.71937836178012</v>
      </c>
      <c r="AF29" s="335">
        <f t="shared" si="2"/>
        <v>129.89192356469272</v>
      </c>
      <c r="AG29" s="335">
        <f t="shared" si="2"/>
        <v>128.76058211471567</v>
      </c>
      <c r="AH29" s="335">
        <f t="shared" si="2"/>
        <v>128.76114586822791</v>
      </c>
      <c r="AI29" s="335">
        <f t="shared" si="2"/>
        <v>128.75153927729758</v>
      </c>
      <c r="AJ29" s="335">
        <f t="shared" si="2"/>
        <v>128.74615779604926</v>
      </c>
      <c r="AK29" s="335">
        <f t="shared" si="2"/>
        <v>128.72657607345636</v>
      </c>
      <c r="AL29" s="335">
        <f t="shared" si="2"/>
        <v>0</v>
      </c>
      <c r="AM29" s="335">
        <f t="shared" si="2"/>
        <v>0</v>
      </c>
      <c r="AN29" s="335">
        <f t="shared" si="2"/>
        <v>0</v>
      </c>
      <c r="AO29" s="335">
        <f t="shared" si="2"/>
        <v>0</v>
      </c>
      <c r="AP29" s="335">
        <f t="shared" si="2"/>
        <v>0</v>
      </c>
      <c r="AQ29" s="335">
        <f t="shared" si="2"/>
        <v>0</v>
      </c>
      <c r="AR29" s="335">
        <f t="shared" si="2"/>
        <v>0</v>
      </c>
      <c r="AS29" s="335">
        <f t="shared" si="2"/>
        <v>0</v>
      </c>
      <c r="AT29" s="335">
        <f t="shared" si="2"/>
        <v>0</v>
      </c>
      <c r="AU29" s="335">
        <f t="shared" si="2"/>
        <v>0</v>
      </c>
      <c r="AV29" s="335">
        <f t="shared" si="2"/>
        <v>0</v>
      </c>
      <c r="AW29" s="335">
        <f t="shared" si="2"/>
        <v>0</v>
      </c>
      <c r="AX29" s="335">
        <f t="shared" si="2"/>
        <v>0</v>
      </c>
      <c r="AY29" s="335">
        <f t="shared" si="2"/>
        <v>0</v>
      </c>
      <c r="AZ29" s="335">
        <f t="shared" si="2"/>
        <v>0</v>
      </c>
      <c r="BA29" s="335">
        <f t="shared" si="2"/>
        <v>0</v>
      </c>
      <c r="BB29" s="335">
        <f t="shared" si="2"/>
        <v>0</v>
      </c>
      <c r="BC29" s="335">
        <f t="shared" si="2"/>
        <v>0</v>
      </c>
      <c r="BD29" s="335">
        <f t="shared" si="2"/>
        <v>0</v>
      </c>
      <c r="BE29" s="335">
        <f t="shared" si="2"/>
        <v>0</v>
      </c>
      <c r="BF29" s="335">
        <f t="shared" si="2"/>
        <v>0</v>
      </c>
      <c r="BG29" s="335">
        <f t="shared" si="2"/>
        <v>0</v>
      </c>
      <c r="BH29" s="335">
        <f t="shared" si="2"/>
        <v>0</v>
      </c>
      <c r="BI29" s="335">
        <f t="shared" si="2"/>
        <v>0</v>
      </c>
      <c r="BJ29" s="335">
        <f t="shared" si="2"/>
        <v>0</v>
      </c>
      <c r="BK29" s="335">
        <f t="shared" si="2"/>
        <v>0</v>
      </c>
      <c r="BL29" s="335">
        <f t="shared" si="2"/>
        <v>0</v>
      </c>
      <c r="BM29" s="335">
        <f t="shared" si="2"/>
        <v>0</v>
      </c>
      <c r="BN29" s="335">
        <f t="shared" si="2"/>
        <v>0</v>
      </c>
      <c r="BO29" s="335">
        <f t="shared" si="2"/>
        <v>0</v>
      </c>
      <c r="BP29" s="335">
        <f t="shared" si="2"/>
        <v>0</v>
      </c>
      <c r="BQ29" s="335">
        <f t="shared" si="2"/>
        <v>0</v>
      </c>
      <c r="BR29" s="335">
        <f t="shared" si="2"/>
        <v>0</v>
      </c>
      <c r="BS29" s="335">
        <f t="shared" si="2"/>
        <v>0</v>
      </c>
      <c r="BT29" s="335">
        <f t="shared" ref="BT29:CI29" si="3">SUM(BT30:BT38)</f>
        <v>0</v>
      </c>
      <c r="BU29" s="335">
        <f t="shared" si="3"/>
        <v>0</v>
      </c>
      <c r="BV29" s="335">
        <f t="shared" si="3"/>
        <v>0</v>
      </c>
      <c r="BW29" s="335">
        <f t="shared" si="3"/>
        <v>0</v>
      </c>
      <c r="BX29" s="335">
        <f t="shared" si="3"/>
        <v>0</v>
      </c>
      <c r="BY29" s="335">
        <f t="shared" si="3"/>
        <v>0</v>
      </c>
      <c r="BZ29" s="335">
        <f t="shared" si="3"/>
        <v>0</v>
      </c>
      <c r="CA29" s="335">
        <f t="shared" si="3"/>
        <v>0</v>
      </c>
      <c r="CB29" s="335">
        <f t="shared" si="3"/>
        <v>0</v>
      </c>
      <c r="CC29" s="335">
        <f t="shared" si="3"/>
        <v>0</v>
      </c>
      <c r="CD29" s="335">
        <f t="shared" si="3"/>
        <v>0</v>
      </c>
      <c r="CE29" s="335">
        <f t="shared" si="3"/>
        <v>0</v>
      </c>
      <c r="CF29" s="335">
        <f t="shared" si="3"/>
        <v>0</v>
      </c>
      <c r="CG29" s="335">
        <f t="shared" si="3"/>
        <v>0</v>
      </c>
      <c r="CH29" s="335">
        <f t="shared" si="3"/>
        <v>0</v>
      </c>
      <c r="CI29" s="335">
        <f t="shared" si="3"/>
        <v>0</v>
      </c>
      <c r="CJ29" s="335"/>
    </row>
    <row r="30" spans="2:88" x14ac:dyDescent="0.2">
      <c r="B30" s="442" t="s">
        <v>326</v>
      </c>
      <c r="C30" s="443" t="s">
        <v>327</v>
      </c>
      <c r="D30" s="444" t="s">
        <v>86</v>
      </c>
      <c r="E30" s="444" t="s">
        <v>239</v>
      </c>
      <c r="F30" s="445">
        <v>1</v>
      </c>
      <c r="G30" s="325"/>
      <c r="H30" s="326"/>
      <c r="I30" s="326">
        <v>36.912086171154797</v>
      </c>
      <c r="J30" s="326">
        <v>36.116611540242957</v>
      </c>
      <c r="K30" s="326">
        <v>35.635538701886958</v>
      </c>
      <c r="L30" s="327">
        <v>35.124155662923918</v>
      </c>
      <c r="M30" s="327">
        <v>34.53619570007136</v>
      </c>
      <c r="N30" s="327">
        <v>34.041591156299283</v>
      </c>
      <c r="O30" s="327">
        <v>33.603126655177384</v>
      </c>
      <c r="P30" s="327">
        <v>33.297846018243753</v>
      </c>
      <c r="Q30" s="327">
        <v>33.057352750662602</v>
      </c>
      <c r="R30" s="327">
        <v>32.767368854113123</v>
      </c>
      <c r="S30" s="327">
        <v>32.358366496367047</v>
      </c>
      <c r="T30" s="327">
        <v>31.909355386771146</v>
      </c>
      <c r="U30" s="327">
        <v>31.378962327347686</v>
      </c>
      <c r="V30" s="327">
        <v>30.77153019105468</v>
      </c>
      <c r="W30" s="327">
        <v>30.2261855436894</v>
      </c>
      <c r="X30" s="327">
        <v>29.870745752980618</v>
      </c>
      <c r="Y30" s="327">
        <v>29.52053727160526</v>
      </c>
      <c r="Z30" s="327">
        <v>29.175796996856512</v>
      </c>
      <c r="AA30" s="327">
        <v>28.83521768352081</v>
      </c>
      <c r="AB30" s="327">
        <v>28.505559430300131</v>
      </c>
      <c r="AC30" s="327">
        <v>28.180124102801095</v>
      </c>
      <c r="AD30" s="327">
        <v>27.859444689978982</v>
      </c>
      <c r="AE30" s="327">
        <v>27.617164415782703</v>
      </c>
      <c r="AF30" s="327">
        <v>27.380501071007487</v>
      </c>
      <c r="AG30" s="327">
        <v>27.085428987150692</v>
      </c>
      <c r="AH30" s="327">
        <v>27.025813462769783</v>
      </c>
      <c r="AI30" s="327">
        <v>26.968620522254948</v>
      </c>
      <c r="AJ30" s="327">
        <v>26.914232361153363</v>
      </c>
      <c r="AK30" s="327">
        <v>26.862207562396616</v>
      </c>
      <c r="AL30" s="327"/>
      <c r="AM30" s="327"/>
      <c r="AN30" s="327"/>
      <c r="AO30" s="327"/>
      <c r="AP30" s="327"/>
      <c r="AQ30" s="327"/>
      <c r="AR30" s="327"/>
      <c r="AS30" s="327"/>
      <c r="AT30" s="327"/>
      <c r="AU30" s="327"/>
      <c r="AV30" s="327"/>
      <c r="AW30" s="327"/>
      <c r="AX30" s="327"/>
      <c r="AY30" s="327"/>
      <c r="AZ30" s="327"/>
      <c r="BA30" s="327"/>
      <c r="BB30" s="327"/>
      <c r="BC30" s="327"/>
      <c r="BD30" s="327"/>
      <c r="BE30" s="327"/>
      <c r="BF30" s="327"/>
      <c r="BG30" s="327"/>
      <c r="BH30" s="327"/>
      <c r="BI30" s="327"/>
      <c r="BJ30" s="327"/>
      <c r="BK30" s="327"/>
      <c r="BL30" s="327"/>
      <c r="BM30" s="327"/>
      <c r="BN30" s="327"/>
      <c r="BO30" s="327"/>
      <c r="BP30" s="327"/>
      <c r="BQ30" s="327"/>
      <c r="BR30" s="327"/>
      <c r="BS30" s="327"/>
      <c r="BT30" s="327"/>
      <c r="BU30" s="327"/>
      <c r="BV30" s="327"/>
      <c r="BW30" s="327"/>
      <c r="BX30" s="327"/>
      <c r="BY30" s="327"/>
      <c r="BZ30" s="327"/>
      <c r="CA30" s="327"/>
      <c r="CB30" s="327"/>
      <c r="CC30" s="327"/>
      <c r="CD30" s="327"/>
      <c r="CE30" s="327"/>
      <c r="CF30" s="327"/>
      <c r="CG30" s="327"/>
      <c r="CH30" s="327"/>
      <c r="CI30" s="327"/>
      <c r="CJ30" s="327"/>
    </row>
    <row r="31" spans="2:88" x14ac:dyDescent="0.2">
      <c r="B31" s="442" t="s">
        <v>328</v>
      </c>
      <c r="C31" s="443" t="s">
        <v>329</v>
      </c>
      <c r="D31" s="444" t="s">
        <v>86</v>
      </c>
      <c r="E31" s="444" t="s">
        <v>239</v>
      </c>
      <c r="F31" s="445">
        <v>1</v>
      </c>
      <c r="G31" s="325"/>
      <c r="H31" s="326"/>
      <c r="I31" s="326">
        <v>76.010722618497795</v>
      </c>
      <c r="J31" s="326">
        <v>74.766541046744237</v>
      </c>
      <c r="K31" s="326">
        <v>74.150963608640865</v>
      </c>
      <c r="L31" s="327">
        <v>73.451811609932847</v>
      </c>
      <c r="M31" s="327">
        <v>72.570265955975373</v>
      </c>
      <c r="N31" s="327">
        <v>71.861200122111228</v>
      </c>
      <c r="O31" s="327">
        <v>71.155210278479359</v>
      </c>
      <c r="P31" s="327">
        <v>70.716030280776678</v>
      </c>
      <c r="Q31" s="327">
        <v>70.400820524378744</v>
      </c>
      <c r="R31" s="327">
        <v>69.96823474062893</v>
      </c>
      <c r="S31" s="327">
        <v>69.269703662003963</v>
      </c>
      <c r="T31" s="327">
        <v>68.472179958932344</v>
      </c>
      <c r="U31" s="327">
        <v>67.396091212362435</v>
      </c>
      <c r="V31" s="327">
        <v>66.144300367061888</v>
      </c>
      <c r="W31" s="327">
        <v>65.017214569726733</v>
      </c>
      <c r="X31" s="327">
        <v>64.289467329071854</v>
      </c>
      <c r="Y31" s="327">
        <v>63.565704513276991</v>
      </c>
      <c r="Z31" s="327">
        <v>62.846887784933294</v>
      </c>
      <c r="AA31" s="327">
        <v>62.130630137932243</v>
      </c>
      <c r="AB31" s="327">
        <v>61.431650654599672</v>
      </c>
      <c r="AC31" s="327">
        <v>60.736321438403088</v>
      </c>
      <c r="AD31" s="327">
        <v>60.046260553431082</v>
      </c>
      <c r="AE31" s="327">
        <v>59.62407655734691</v>
      </c>
      <c r="AF31" s="327">
        <v>59.207463050667222</v>
      </c>
      <c r="AG31" s="327">
        <v>58.658340118038616</v>
      </c>
      <c r="AH31" s="327">
        <v>58.613856394493041</v>
      </c>
      <c r="AI31" s="327">
        <v>58.570282609505362</v>
      </c>
      <c r="AJ31" s="327">
        <v>58.528694822137993</v>
      </c>
      <c r="AK31" s="327">
        <v>58.488001693889792</v>
      </c>
      <c r="AL31" s="327"/>
      <c r="AM31" s="327"/>
      <c r="AN31" s="327"/>
      <c r="AO31" s="327"/>
      <c r="AP31" s="327"/>
      <c r="AQ31" s="327"/>
      <c r="AR31" s="327"/>
      <c r="AS31" s="327"/>
      <c r="AT31" s="327"/>
      <c r="AU31" s="327"/>
      <c r="AV31" s="327"/>
      <c r="AW31" s="327"/>
      <c r="AX31" s="327"/>
      <c r="AY31" s="327"/>
      <c r="AZ31" s="327"/>
      <c r="BA31" s="327"/>
      <c r="BB31" s="327"/>
      <c r="BC31" s="327"/>
      <c r="BD31" s="327"/>
      <c r="BE31" s="327"/>
      <c r="BF31" s="327"/>
      <c r="BG31" s="327"/>
      <c r="BH31" s="327"/>
      <c r="BI31" s="327"/>
      <c r="BJ31" s="327"/>
      <c r="BK31" s="327"/>
      <c r="BL31" s="327"/>
      <c r="BM31" s="327"/>
      <c r="BN31" s="327"/>
      <c r="BO31" s="327"/>
      <c r="BP31" s="327"/>
      <c r="BQ31" s="327"/>
      <c r="BR31" s="327"/>
      <c r="BS31" s="327"/>
      <c r="BT31" s="327"/>
      <c r="BU31" s="327"/>
      <c r="BV31" s="327"/>
      <c r="BW31" s="327"/>
      <c r="BX31" s="327"/>
      <c r="BY31" s="327"/>
      <c r="BZ31" s="327"/>
      <c r="CA31" s="327"/>
      <c r="CB31" s="327"/>
      <c r="CC31" s="327"/>
      <c r="CD31" s="327"/>
      <c r="CE31" s="327"/>
      <c r="CF31" s="327"/>
      <c r="CG31" s="327"/>
      <c r="CH31" s="327"/>
      <c r="CI31" s="327"/>
      <c r="CJ31" s="327"/>
    </row>
    <row r="32" spans="2:88" x14ac:dyDescent="0.2">
      <c r="B32" s="442" t="s">
        <v>330</v>
      </c>
      <c r="C32" s="443" t="s">
        <v>331</v>
      </c>
      <c r="D32" s="444" t="s">
        <v>86</v>
      </c>
      <c r="E32" s="444" t="s">
        <v>239</v>
      </c>
      <c r="F32" s="445">
        <v>1</v>
      </c>
      <c r="G32" s="325"/>
      <c r="H32" s="326"/>
      <c r="I32" s="326">
        <v>13.238682504937012</v>
      </c>
      <c r="J32" s="326">
        <v>12.95069732260191</v>
      </c>
      <c r="K32" s="326">
        <v>12.808766544993098</v>
      </c>
      <c r="L32" s="327">
        <v>12.388351548547154</v>
      </c>
      <c r="M32" s="327">
        <v>11.925608370856818</v>
      </c>
      <c r="N32" s="327">
        <v>11.587790065057943</v>
      </c>
      <c r="O32" s="327">
        <v>11.427613815259695</v>
      </c>
      <c r="P32" s="327">
        <v>11.307732598340783</v>
      </c>
      <c r="Q32" s="327">
        <v>11.204858536016356</v>
      </c>
      <c r="R32" s="327">
        <v>11.111060512476183</v>
      </c>
      <c r="S32" s="327">
        <v>11.003018791526308</v>
      </c>
      <c r="T32" s="327">
        <v>10.876898982553868</v>
      </c>
      <c r="U32" s="327">
        <v>10.717218971458108</v>
      </c>
      <c r="V32" s="327">
        <v>10.521793951270618</v>
      </c>
      <c r="W32" s="327">
        <v>10.372605280375762</v>
      </c>
      <c r="X32" s="327">
        <v>10.297090383434989</v>
      </c>
      <c r="Y32" s="327">
        <v>10.217833174457889</v>
      </c>
      <c r="Z32" s="327">
        <v>10.125858901191197</v>
      </c>
      <c r="AA32" s="327">
        <v>10.020875660091614</v>
      </c>
      <c r="AB32" s="327">
        <v>9.9146697541125146</v>
      </c>
      <c r="AC32" s="327">
        <v>9.8050915429564842</v>
      </c>
      <c r="AD32" s="327">
        <v>9.6924455824361964</v>
      </c>
      <c r="AE32" s="327">
        <v>9.6138908181822114</v>
      </c>
      <c r="AF32" s="327">
        <v>9.5345632626048662</v>
      </c>
      <c r="AG32" s="327">
        <v>9.4322402522227193</v>
      </c>
      <c r="AH32" s="327">
        <v>9.409334187954336</v>
      </c>
      <c r="AI32" s="327">
        <v>9.3847376611888791</v>
      </c>
      <c r="AJ32" s="327">
        <v>9.3585804894649165</v>
      </c>
      <c r="AK32" s="327">
        <v>9.3307289294856144</v>
      </c>
      <c r="AL32" s="327"/>
      <c r="AM32" s="327"/>
      <c r="AN32" s="327"/>
      <c r="AO32" s="327"/>
      <c r="AP32" s="327"/>
      <c r="AQ32" s="327"/>
      <c r="AR32" s="327"/>
      <c r="AS32" s="327"/>
      <c r="AT32" s="327"/>
      <c r="AU32" s="327"/>
      <c r="AV32" s="327"/>
      <c r="AW32" s="327"/>
      <c r="AX32" s="327"/>
      <c r="AY32" s="327"/>
      <c r="AZ32" s="327"/>
      <c r="BA32" s="327"/>
      <c r="BB32" s="327"/>
      <c r="BC32" s="327"/>
      <c r="BD32" s="327"/>
      <c r="BE32" s="327"/>
      <c r="BF32" s="327"/>
      <c r="BG32" s="327"/>
      <c r="BH32" s="327"/>
      <c r="BI32" s="327"/>
      <c r="BJ32" s="327"/>
      <c r="BK32" s="327"/>
      <c r="BL32" s="327"/>
      <c r="BM32" s="327"/>
      <c r="BN32" s="327"/>
      <c r="BO32" s="327"/>
      <c r="BP32" s="327"/>
      <c r="BQ32" s="327"/>
      <c r="BR32" s="327"/>
      <c r="BS32" s="327"/>
      <c r="BT32" s="327"/>
      <c r="BU32" s="327"/>
      <c r="BV32" s="327"/>
      <c r="BW32" s="327"/>
      <c r="BX32" s="327"/>
      <c r="BY32" s="327"/>
      <c r="BZ32" s="327"/>
      <c r="CA32" s="327"/>
      <c r="CB32" s="327"/>
      <c r="CC32" s="327"/>
      <c r="CD32" s="327"/>
      <c r="CE32" s="327"/>
      <c r="CF32" s="327"/>
      <c r="CG32" s="327"/>
      <c r="CH32" s="327"/>
      <c r="CI32" s="327"/>
      <c r="CJ32" s="327"/>
    </row>
    <row r="33" spans="2:88" x14ac:dyDescent="0.2">
      <c r="B33" s="442" t="s">
        <v>332</v>
      </c>
      <c r="C33" s="443" t="s">
        <v>333</v>
      </c>
      <c r="D33" s="444" t="s">
        <v>86</v>
      </c>
      <c r="E33" s="444" t="s">
        <v>239</v>
      </c>
      <c r="F33" s="445">
        <v>1</v>
      </c>
      <c r="G33" s="325"/>
      <c r="H33" s="326"/>
      <c r="I33" s="326">
        <v>11.251906781513805</v>
      </c>
      <c r="J33" s="326">
        <v>10.995151504297105</v>
      </c>
      <c r="K33" s="326">
        <v>10.793571650591575</v>
      </c>
      <c r="L33" s="327">
        <v>10.410889031693866</v>
      </c>
      <c r="M33" s="327">
        <v>9.9942347802995481</v>
      </c>
      <c r="N33" s="327">
        <v>9.6837207715759845</v>
      </c>
      <c r="O33" s="327">
        <v>9.5223756577688761</v>
      </c>
      <c r="P33" s="327">
        <v>9.3946201709639361</v>
      </c>
      <c r="Q33" s="327">
        <v>9.2808326018553409</v>
      </c>
      <c r="R33" s="327">
        <v>9.1718922519303767</v>
      </c>
      <c r="S33" s="327">
        <v>9.0618208388911565</v>
      </c>
      <c r="T33" s="327">
        <v>8.9458850606673579</v>
      </c>
      <c r="U33" s="327">
        <v>8.8000835071176144</v>
      </c>
      <c r="V33" s="327">
        <v>8.6279877434208512</v>
      </c>
      <c r="W33" s="327">
        <v>8.4830550988810529</v>
      </c>
      <c r="X33" s="327">
        <v>8.3986938937316395</v>
      </c>
      <c r="Y33" s="327">
        <v>8.3111944637615931</v>
      </c>
      <c r="Z33" s="327">
        <v>8.2207013555106911</v>
      </c>
      <c r="AA33" s="327">
        <v>8.1269425869918681</v>
      </c>
      <c r="AB33" s="327">
        <v>8.0312727087136171</v>
      </c>
      <c r="AC33" s="327">
        <v>7.9346480475420895</v>
      </c>
      <c r="AD33" s="327">
        <v>7.8395226884567029</v>
      </c>
      <c r="AE33" s="327">
        <v>7.7827893361654645</v>
      </c>
      <c r="AF33" s="327">
        <v>7.7255585345425963</v>
      </c>
      <c r="AG33" s="327">
        <v>7.649809607471119</v>
      </c>
      <c r="AH33" s="327">
        <v>7.6386367131947654</v>
      </c>
      <c r="AI33" s="327">
        <v>7.6263149238903534</v>
      </c>
      <c r="AJ33" s="327">
        <v>7.6129547153281321</v>
      </c>
      <c r="AK33" s="327">
        <v>7.598398669713454</v>
      </c>
      <c r="AL33" s="327"/>
      <c r="AM33" s="327"/>
      <c r="AN33" s="327"/>
      <c r="AO33" s="327"/>
      <c r="AP33" s="327"/>
      <c r="AQ33" s="327"/>
      <c r="AR33" s="327"/>
      <c r="AS33" s="327"/>
      <c r="AT33" s="327"/>
      <c r="AU33" s="327"/>
      <c r="AV33" s="327"/>
      <c r="AW33" s="327"/>
      <c r="AX33" s="327"/>
      <c r="AY33" s="327"/>
      <c r="AZ33" s="327"/>
      <c r="BA33" s="327"/>
      <c r="BB33" s="327"/>
      <c r="BC33" s="327"/>
      <c r="BD33" s="327"/>
      <c r="BE33" s="327"/>
      <c r="BF33" s="327"/>
      <c r="BG33" s="327"/>
      <c r="BH33" s="327"/>
      <c r="BI33" s="327"/>
      <c r="BJ33" s="327"/>
      <c r="BK33" s="327"/>
      <c r="BL33" s="327"/>
      <c r="BM33" s="327"/>
      <c r="BN33" s="327"/>
      <c r="BO33" s="327"/>
      <c r="BP33" s="327"/>
      <c r="BQ33" s="327"/>
      <c r="BR33" s="327"/>
      <c r="BS33" s="327"/>
      <c r="BT33" s="327"/>
      <c r="BU33" s="327"/>
      <c r="BV33" s="327"/>
      <c r="BW33" s="327"/>
      <c r="BX33" s="327"/>
      <c r="BY33" s="327"/>
      <c r="BZ33" s="327"/>
      <c r="CA33" s="327"/>
      <c r="CB33" s="327"/>
      <c r="CC33" s="327"/>
      <c r="CD33" s="327"/>
      <c r="CE33" s="327"/>
      <c r="CF33" s="327"/>
      <c r="CG33" s="327"/>
      <c r="CH33" s="327"/>
      <c r="CI33" s="327"/>
      <c r="CJ33" s="327"/>
    </row>
    <row r="34" spans="2:88" x14ac:dyDescent="0.2">
      <c r="B34" s="442" t="s">
        <v>334</v>
      </c>
      <c r="C34" s="443" t="s">
        <v>335</v>
      </c>
      <c r="D34" s="444" t="s">
        <v>86</v>
      </c>
      <c r="E34" s="444" t="s">
        <v>239</v>
      </c>
      <c r="F34" s="445">
        <v>1</v>
      </c>
      <c r="G34" s="325"/>
      <c r="H34" s="326"/>
      <c r="I34" s="326">
        <v>18.333883225524364</v>
      </c>
      <c r="J34" s="326">
        <v>17.916126918985963</v>
      </c>
      <c r="K34" s="326">
        <v>17.698683417957916</v>
      </c>
      <c r="L34" s="327">
        <v>17.366735537254673</v>
      </c>
      <c r="M34" s="327">
        <v>16.993732647977932</v>
      </c>
      <c r="N34" s="327">
        <v>16.702366442822104</v>
      </c>
      <c r="O34" s="327">
        <v>16.522498949237821</v>
      </c>
      <c r="P34" s="327">
        <v>16.403830322391975</v>
      </c>
      <c r="Q34" s="327">
        <v>16.313144224099116</v>
      </c>
      <c r="R34" s="327">
        <v>16.205967993816046</v>
      </c>
      <c r="S34" s="327">
        <v>16.048373135885715</v>
      </c>
      <c r="T34" s="327">
        <v>15.867396099627904</v>
      </c>
      <c r="U34" s="327">
        <v>15.653981237734683</v>
      </c>
      <c r="V34" s="327">
        <v>15.39800445748056</v>
      </c>
      <c r="W34" s="327">
        <v>15.176563487942833</v>
      </c>
      <c r="X34" s="327">
        <v>15.054159293987286</v>
      </c>
      <c r="Y34" s="327">
        <v>14.931511818936769</v>
      </c>
      <c r="Z34" s="327">
        <v>14.80891558662436</v>
      </c>
      <c r="AA34" s="327">
        <v>14.685778927530411</v>
      </c>
      <c r="AB34" s="327">
        <v>14.565529834960596</v>
      </c>
      <c r="AC34" s="327">
        <v>14.44499643596315</v>
      </c>
      <c r="AD34" s="327">
        <v>14.324661084265054</v>
      </c>
      <c r="AE34" s="327">
        <v>14.230038725621263</v>
      </c>
      <c r="AF34" s="327">
        <v>14.136630252256879</v>
      </c>
      <c r="AG34" s="327">
        <v>14.011339928319215</v>
      </c>
      <c r="AH34" s="327">
        <v>14.006373078171679</v>
      </c>
      <c r="AI34" s="327">
        <v>14.001439656034172</v>
      </c>
      <c r="AJ34" s="327">
        <v>13.996763768507625</v>
      </c>
      <c r="AK34" s="327">
        <v>13.992029847822485</v>
      </c>
      <c r="AL34" s="327"/>
      <c r="AM34" s="327"/>
      <c r="AN34" s="327"/>
      <c r="AO34" s="327"/>
      <c r="AP34" s="327"/>
      <c r="AQ34" s="327"/>
      <c r="AR34" s="327"/>
      <c r="AS34" s="327"/>
      <c r="AT34" s="327"/>
      <c r="AU34" s="327"/>
      <c r="AV34" s="327"/>
      <c r="AW34" s="327"/>
      <c r="AX34" s="327"/>
      <c r="AY34" s="327"/>
      <c r="AZ34" s="327"/>
      <c r="BA34" s="327"/>
      <c r="BB34" s="327"/>
      <c r="BC34" s="327"/>
      <c r="BD34" s="327"/>
      <c r="BE34" s="327"/>
      <c r="BF34" s="327"/>
      <c r="BG34" s="327"/>
      <c r="BH34" s="327"/>
      <c r="BI34" s="327"/>
      <c r="BJ34" s="327"/>
      <c r="BK34" s="327"/>
      <c r="BL34" s="327"/>
      <c r="BM34" s="327"/>
      <c r="BN34" s="327"/>
      <c r="BO34" s="327"/>
      <c r="BP34" s="327"/>
      <c r="BQ34" s="327"/>
      <c r="BR34" s="327"/>
      <c r="BS34" s="327"/>
      <c r="BT34" s="327"/>
      <c r="BU34" s="327"/>
      <c r="BV34" s="327"/>
      <c r="BW34" s="327"/>
      <c r="BX34" s="327"/>
      <c r="BY34" s="327"/>
      <c r="BZ34" s="327"/>
      <c r="CA34" s="327"/>
      <c r="CB34" s="327"/>
      <c r="CC34" s="327"/>
      <c r="CD34" s="327"/>
      <c r="CE34" s="327"/>
      <c r="CF34" s="327"/>
      <c r="CG34" s="327"/>
      <c r="CH34" s="327"/>
      <c r="CI34" s="327"/>
      <c r="CJ34" s="327"/>
    </row>
    <row r="35" spans="2:88" x14ac:dyDescent="0.2">
      <c r="B35" s="442" t="s">
        <v>336</v>
      </c>
      <c r="C35" s="443" t="s">
        <v>337</v>
      </c>
      <c r="D35" s="444" t="s">
        <v>86</v>
      </c>
      <c r="E35" s="444" t="s">
        <v>239</v>
      </c>
      <c r="F35" s="445">
        <v>1</v>
      </c>
      <c r="G35" s="325"/>
      <c r="H35" s="326"/>
      <c r="I35" s="326">
        <v>13.61792867506491</v>
      </c>
      <c r="J35" s="326">
        <v>13.383676994396428</v>
      </c>
      <c r="K35" s="326">
        <v>13.229687174513668</v>
      </c>
      <c r="L35" s="327">
        <v>12.984853658532964</v>
      </c>
      <c r="M35" s="327">
        <v>12.586599069120185</v>
      </c>
      <c r="N35" s="327">
        <v>12.319786309026986</v>
      </c>
      <c r="O35" s="327">
        <v>12.21844831057887</v>
      </c>
      <c r="P35" s="327">
        <v>12.162864800669249</v>
      </c>
      <c r="Q35" s="327">
        <v>12.116511140590374</v>
      </c>
      <c r="R35" s="327">
        <v>12.10492452776605</v>
      </c>
      <c r="S35" s="327">
        <v>12.069086774327605</v>
      </c>
      <c r="T35" s="327">
        <v>12.016358011104888</v>
      </c>
      <c r="U35" s="327">
        <v>11.907505474677826</v>
      </c>
      <c r="V35" s="327">
        <v>11.792536520795702</v>
      </c>
      <c r="W35" s="327">
        <v>11.70770080472664</v>
      </c>
      <c r="X35" s="327">
        <v>11.712545087154043</v>
      </c>
      <c r="Y35" s="327">
        <v>11.708090534580073</v>
      </c>
      <c r="Z35" s="327">
        <v>11.730211314208667</v>
      </c>
      <c r="AA35" s="327">
        <v>11.742536979955</v>
      </c>
      <c r="AB35" s="327">
        <v>11.758300208523375</v>
      </c>
      <c r="AC35" s="327">
        <v>11.764088592767687</v>
      </c>
      <c r="AD35" s="327">
        <v>11.79653595068733</v>
      </c>
      <c r="AE35" s="327">
        <v>11.851418508681583</v>
      </c>
      <c r="AF35" s="327">
        <v>11.907207393613664</v>
      </c>
      <c r="AG35" s="327">
        <v>11.923423221513314</v>
      </c>
      <c r="AH35" s="327">
        <v>12.067132031644315</v>
      </c>
      <c r="AI35" s="327">
        <v>12.200143904423856</v>
      </c>
      <c r="AJ35" s="327">
        <v>12.334931639457235</v>
      </c>
      <c r="AK35" s="327">
        <v>12.455209370148406</v>
      </c>
      <c r="AL35" s="327"/>
      <c r="AM35" s="327"/>
      <c r="AN35" s="327"/>
      <c r="AO35" s="327"/>
      <c r="AP35" s="327"/>
      <c r="AQ35" s="327"/>
      <c r="AR35" s="327"/>
      <c r="AS35" s="327"/>
      <c r="AT35" s="327"/>
      <c r="AU35" s="327"/>
      <c r="AV35" s="327"/>
      <c r="AW35" s="327"/>
      <c r="AX35" s="327"/>
      <c r="AY35" s="327"/>
      <c r="AZ35" s="327"/>
      <c r="BA35" s="327"/>
      <c r="BB35" s="327"/>
      <c r="BC35" s="327"/>
      <c r="BD35" s="327"/>
      <c r="BE35" s="327"/>
      <c r="BF35" s="327"/>
      <c r="BG35" s="327"/>
      <c r="BH35" s="327"/>
      <c r="BI35" s="327"/>
      <c r="BJ35" s="327"/>
      <c r="BK35" s="327"/>
      <c r="BL35" s="327"/>
      <c r="BM35" s="327"/>
      <c r="BN35" s="327"/>
      <c r="BO35" s="327"/>
      <c r="BP35" s="327"/>
      <c r="BQ35" s="327"/>
      <c r="BR35" s="327"/>
      <c r="BS35" s="327"/>
      <c r="BT35" s="327"/>
      <c r="BU35" s="327"/>
      <c r="BV35" s="327"/>
      <c r="BW35" s="327"/>
      <c r="BX35" s="327"/>
      <c r="BY35" s="327"/>
      <c r="BZ35" s="327"/>
      <c r="CA35" s="327"/>
      <c r="CB35" s="327"/>
      <c r="CC35" s="327"/>
      <c r="CD35" s="327"/>
      <c r="CE35" s="327"/>
      <c r="CF35" s="327"/>
      <c r="CG35" s="327"/>
      <c r="CH35" s="327"/>
      <c r="CI35" s="327"/>
      <c r="CJ35" s="327"/>
    </row>
    <row r="36" spans="2:88" x14ac:dyDescent="0.2">
      <c r="B36" s="442" t="s">
        <v>338</v>
      </c>
      <c r="C36" s="443" t="s">
        <v>339</v>
      </c>
      <c r="D36" s="444" t="s">
        <v>86</v>
      </c>
      <c r="E36" s="444" t="s">
        <v>239</v>
      </c>
      <c r="F36" s="445">
        <v>1</v>
      </c>
      <c r="G36" s="325"/>
      <c r="H36" s="326"/>
      <c r="I36" s="326"/>
      <c r="J36" s="326"/>
      <c r="K36" s="326"/>
      <c r="L36" s="327"/>
      <c r="M36" s="327"/>
      <c r="N36" s="327"/>
      <c r="O36" s="327"/>
      <c r="P36" s="327"/>
      <c r="Q36" s="327"/>
      <c r="R36" s="327"/>
      <c r="S36" s="327"/>
      <c r="T36" s="327"/>
      <c r="U36" s="327"/>
      <c r="V36" s="327"/>
      <c r="W36" s="327"/>
      <c r="X36" s="327"/>
      <c r="Y36" s="327"/>
      <c r="Z36" s="327"/>
      <c r="AA36" s="327"/>
      <c r="AB36" s="327"/>
      <c r="AC36" s="327"/>
      <c r="AD36" s="327"/>
      <c r="AE36" s="327"/>
      <c r="AF36" s="327"/>
      <c r="AG36" s="327"/>
      <c r="AH36" s="327"/>
      <c r="AI36" s="327"/>
      <c r="AJ36" s="327"/>
      <c r="AK36" s="327"/>
      <c r="AL36" s="327"/>
      <c r="AM36" s="327"/>
      <c r="AN36" s="327"/>
      <c r="AO36" s="327"/>
      <c r="AP36" s="327"/>
      <c r="AQ36" s="327"/>
      <c r="AR36" s="327"/>
      <c r="AS36" s="327"/>
      <c r="AT36" s="327"/>
      <c r="AU36" s="327"/>
      <c r="AV36" s="327"/>
      <c r="AW36" s="327"/>
      <c r="AX36" s="327"/>
      <c r="AY36" s="327"/>
      <c r="AZ36" s="327"/>
      <c r="BA36" s="327"/>
      <c r="BB36" s="327"/>
      <c r="BC36" s="327"/>
      <c r="BD36" s="327"/>
      <c r="BE36" s="327"/>
      <c r="BF36" s="327"/>
      <c r="BG36" s="327"/>
      <c r="BH36" s="327"/>
      <c r="BI36" s="327"/>
      <c r="BJ36" s="327"/>
      <c r="BK36" s="327"/>
      <c r="BL36" s="327"/>
      <c r="BM36" s="327"/>
      <c r="BN36" s="327"/>
      <c r="BO36" s="327"/>
      <c r="BP36" s="327"/>
      <c r="BQ36" s="327"/>
      <c r="BR36" s="327"/>
      <c r="BS36" s="327"/>
      <c r="BT36" s="327"/>
      <c r="BU36" s="327"/>
      <c r="BV36" s="327"/>
      <c r="BW36" s="327"/>
      <c r="BX36" s="327"/>
      <c r="BY36" s="327"/>
      <c r="BZ36" s="327"/>
      <c r="CA36" s="327"/>
      <c r="CB36" s="327"/>
      <c r="CC36" s="327"/>
      <c r="CD36" s="327"/>
      <c r="CE36" s="327"/>
      <c r="CF36" s="327"/>
      <c r="CG36" s="327"/>
      <c r="CH36" s="327"/>
      <c r="CI36" s="327"/>
      <c r="CJ36" s="327"/>
    </row>
    <row r="37" spans="2:88" x14ac:dyDescent="0.2">
      <c r="B37" s="442" t="s">
        <v>340</v>
      </c>
      <c r="C37" s="443" t="s">
        <v>339</v>
      </c>
      <c r="D37" s="444" t="s">
        <v>86</v>
      </c>
      <c r="E37" s="444" t="s">
        <v>239</v>
      </c>
      <c r="F37" s="445">
        <v>1</v>
      </c>
      <c r="G37" s="325"/>
      <c r="H37" s="326"/>
      <c r="I37" s="326"/>
      <c r="J37" s="326"/>
      <c r="K37" s="326"/>
      <c r="L37" s="327"/>
      <c r="M37" s="327"/>
      <c r="N37" s="327"/>
      <c r="O37" s="327"/>
      <c r="P37" s="327"/>
      <c r="Q37" s="327"/>
      <c r="R37" s="327"/>
      <c r="S37" s="327"/>
      <c r="T37" s="327"/>
      <c r="U37" s="327"/>
      <c r="V37" s="327"/>
      <c r="W37" s="327"/>
      <c r="X37" s="327"/>
      <c r="Y37" s="327"/>
      <c r="Z37" s="327"/>
      <c r="AA37" s="327"/>
      <c r="AB37" s="327"/>
      <c r="AC37" s="327"/>
      <c r="AD37" s="327"/>
      <c r="AE37" s="327"/>
      <c r="AF37" s="327"/>
      <c r="AG37" s="327"/>
      <c r="AH37" s="327"/>
      <c r="AI37" s="327"/>
      <c r="AJ37" s="327"/>
      <c r="AK37" s="327"/>
      <c r="AL37" s="327"/>
      <c r="AM37" s="327"/>
      <c r="AN37" s="327"/>
      <c r="AO37" s="327"/>
      <c r="AP37" s="327"/>
      <c r="AQ37" s="327"/>
      <c r="AR37" s="327"/>
      <c r="AS37" s="327"/>
      <c r="AT37" s="327"/>
      <c r="AU37" s="327"/>
      <c r="AV37" s="327"/>
      <c r="AW37" s="327"/>
      <c r="AX37" s="327"/>
      <c r="AY37" s="327"/>
      <c r="AZ37" s="327"/>
      <c r="BA37" s="327"/>
      <c r="BB37" s="327"/>
      <c r="BC37" s="327"/>
      <c r="BD37" s="327"/>
      <c r="BE37" s="327"/>
      <c r="BF37" s="327"/>
      <c r="BG37" s="327"/>
      <c r="BH37" s="327"/>
      <c r="BI37" s="327"/>
      <c r="BJ37" s="327"/>
      <c r="BK37" s="327"/>
      <c r="BL37" s="327"/>
      <c r="BM37" s="327"/>
      <c r="BN37" s="327"/>
      <c r="BO37" s="327"/>
      <c r="BP37" s="327"/>
      <c r="BQ37" s="327"/>
      <c r="BR37" s="327"/>
      <c r="BS37" s="327"/>
      <c r="BT37" s="327"/>
      <c r="BU37" s="327"/>
      <c r="BV37" s="327"/>
      <c r="BW37" s="327"/>
      <c r="BX37" s="327"/>
      <c r="BY37" s="327"/>
      <c r="BZ37" s="327"/>
      <c r="CA37" s="327"/>
      <c r="CB37" s="327"/>
      <c r="CC37" s="327"/>
      <c r="CD37" s="327"/>
      <c r="CE37" s="327"/>
      <c r="CF37" s="327"/>
      <c r="CG37" s="327"/>
      <c r="CH37" s="327"/>
      <c r="CI37" s="327"/>
      <c r="CJ37" s="327"/>
    </row>
    <row r="38" spans="2:88" ht="15" thickBot="1" x14ac:dyDescent="0.25">
      <c r="B38" s="446" t="s">
        <v>341</v>
      </c>
      <c r="C38" s="447" t="s">
        <v>339</v>
      </c>
      <c r="D38" s="448" t="s">
        <v>86</v>
      </c>
      <c r="E38" s="448" t="s">
        <v>239</v>
      </c>
      <c r="F38" s="449">
        <v>1</v>
      </c>
      <c r="G38" s="331"/>
      <c r="H38" s="332"/>
      <c r="I38" s="332"/>
      <c r="J38" s="332"/>
      <c r="K38" s="332"/>
      <c r="L38" s="333"/>
      <c r="M38" s="333"/>
      <c r="N38" s="333"/>
      <c r="O38" s="333"/>
      <c r="P38" s="333"/>
      <c r="Q38" s="333"/>
      <c r="R38" s="333"/>
      <c r="S38" s="333"/>
      <c r="T38" s="333"/>
      <c r="U38" s="333"/>
      <c r="V38" s="333"/>
      <c r="W38" s="333"/>
      <c r="X38" s="333"/>
      <c r="Y38" s="333"/>
      <c r="Z38" s="333"/>
      <c r="AA38" s="333"/>
      <c r="AB38" s="333"/>
      <c r="AC38" s="333"/>
      <c r="AD38" s="333"/>
      <c r="AE38" s="333"/>
      <c r="AF38" s="333"/>
      <c r="AG38" s="333"/>
      <c r="AH38" s="333"/>
      <c r="AI38" s="333"/>
      <c r="AJ38" s="333"/>
      <c r="AK38" s="333"/>
      <c r="AL38" s="333"/>
      <c r="AM38" s="333"/>
      <c r="AN38" s="333"/>
      <c r="AO38" s="333"/>
      <c r="AP38" s="333"/>
      <c r="AQ38" s="333"/>
      <c r="AR38" s="333"/>
      <c r="AS38" s="333"/>
      <c r="AT38" s="333"/>
      <c r="AU38" s="333"/>
      <c r="AV38" s="333"/>
      <c r="AW38" s="333"/>
      <c r="AX38" s="333"/>
      <c r="AY38" s="333"/>
      <c r="AZ38" s="333"/>
      <c r="BA38" s="333"/>
      <c r="BB38" s="333"/>
      <c r="BC38" s="333"/>
      <c r="BD38" s="333"/>
      <c r="BE38" s="333"/>
      <c r="BF38" s="333"/>
      <c r="BG38" s="333"/>
      <c r="BH38" s="333"/>
      <c r="BI38" s="333"/>
      <c r="BJ38" s="333"/>
      <c r="BK38" s="333"/>
      <c r="BL38" s="333"/>
      <c r="BM38" s="333"/>
      <c r="BN38" s="333"/>
      <c r="BO38" s="333"/>
      <c r="BP38" s="333"/>
      <c r="BQ38" s="333"/>
      <c r="BR38" s="333"/>
      <c r="BS38" s="333"/>
      <c r="BT38" s="333"/>
      <c r="BU38" s="333"/>
      <c r="BV38" s="333"/>
      <c r="BW38" s="333"/>
      <c r="BX38" s="333"/>
      <c r="BY38" s="333"/>
      <c r="BZ38" s="333"/>
      <c r="CA38" s="333"/>
      <c r="CB38" s="333"/>
      <c r="CC38" s="333"/>
      <c r="CD38" s="333"/>
      <c r="CE38" s="333"/>
      <c r="CF38" s="333"/>
      <c r="CG38" s="333"/>
      <c r="CH38" s="333"/>
      <c r="CI38" s="333"/>
      <c r="CJ38" s="333"/>
    </row>
    <row r="39" spans="2:88" ht="15" thickBot="1" x14ac:dyDescent="0.25"/>
    <row r="40" spans="2:88" ht="109.7" customHeight="1" x14ac:dyDescent="0.2">
      <c r="B40" s="436" t="s">
        <v>202</v>
      </c>
      <c r="C40" s="1312" t="s">
        <v>204</v>
      </c>
    </row>
    <row r="41" spans="2:88" ht="17.100000000000001" customHeight="1" thickBot="1" x14ac:dyDescent="0.25">
      <c r="B41" s="450" t="s">
        <v>70</v>
      </c>
      <c r="C41" s="451" t="s">
        <v>205</v>
      </c>
      <c r="D41" s="451" t="s">
        <v>71</v>
      </c>
      <c r="E41" s="451" t="s">
        <v>206</v>
      </c>
      <c r="F41" s="452" t="s">
        <v>207</v>
      </c>
      <c r="G41" s="453" t="s">
        <v>208</v>
      </c>
      <c r="H41" s="451" t="s">
        <v>209</v>
      </c>
      <c r="I41" s="451" t="s">
        <v>210</v>
      </c>
      <c r="J41" s="451" t="s">
        <v>211</v>
      </c>
      <c r="K41" s="451" t="s">
        <v>212</v>
      </c>
      <c r="L41" s="451" t="s">
        <v>213</v>
      </c>
      <c r="M41" s="451" t="s">
        <v>214</v>
      </c>
      <c r="N41" s="451" t="s">
        <v>215</v>
      </c>
      <c r="O41" s="451" t="s">
        <v>216</v>
      </c>
      <c r="P41" s="451" t="s">
        <v>217</v>
      </c>
      <c r="Q41" s="451" t="s">
        <v>218</v>
      </c>
      <c r="R41" s="451" t="s">
        <v>247</v>
      </c>
      <c r="S41" s="451" t="s">
        <v>248</v>
      </c>
      <c r="T41" s="451" t="s">
        <v>249</v>
      </c>
      <c r="U41" s="451" t="s">
        <v>250</v>
      </c>
      <c r="V41" s="451" t="s">
        <v>219</v>
      </c>
      <c r="W41" s="451" t="s">
        <v>251</v>
      </c>
      <c r="X41" s="451" t="s">
        <v>252</v>
      </c>
      <c r="Y41" s="451" t="s">
        <v>253</v>
      </c>
      <c r="Z41" s="451" t="s">
        <v>254</v>
      </c>
      <c r="AA41" s="451" t="s">
        <v>220</v>
      </c>
      <c r="AB41" s="451" t="s">
        <v>255</v>
      </c>
      <c r="AC41" s="451" t="s">
        <v>256</v>
      </c>
      <c r="AD41" s="451" t="s">
        <v>257</v>
      </c>
      <c r="AE41" s="451" t="s">
        <v>258</v>
      </c>
      <c r="AF41" s="451" t="s">
        <v>221</v>
      </c>
      <c r="AG41" s="451" t="s">
        <v>259</v>
      </c>
      <c r="AH41" s="451" t="s">
        <v>260</v>
      </c>
      <c r="AI41" s="451" t="s">
        <v>261</v>
      </c>
      <c r="AJ41" s="451" t="s">
        <v>262</v>
      </c>
      <c r="AK41" s="451" t="s">
        <v>222</v>
      </c>
      <c r="AL41" s="451" t="s">
        <v>263</v>
      </c>
      <c r="AM41" s="451" t="s">
        <v>264</v>
      </c>
      <c r="AN41" s="451" t="s">
        <v>265</v>
      </c>
      <c r="AO41" s="451" t="s">
        <v>266</v>
      </c>
      <c r="AP41" s="451" t="s">
        <v>223</v>
      </c>
      <c r="AQ41" s="451" t="s">
        <v>267</v>
      </c>
      <c r="AR41" s="451" t="s">
        <v>268</v>
      </c>
      <c r="AS41" s="451" t="s">
        <v>269</v>
      </c>
      <c r="AT41" s="451" t="s">
        <v>270</v>
      </c>
      <c r="AU41" s="451" t="s">
        <v>224</v>
      </c>
      <c r="AV41" s="451" t="s">
        <v>271</v>
      </c>
      <c r="AW41" s="451" t="s">
        <v>272</v>
      </c>
      <c r="AX41" s="451" t="s">
        <v>273</v>
      </c>
      <c r="AY41" s="451" t="s">
        <v>274</v>
      </c>
      <c r="AZ41" s="451" t="s">
        <v>225</v>
      </c>
      <c r="BA41" s="451" t="s">
        <v>275</v>
      </c>
      <c r="BB41" s="451" t="s">
        <v>276</v>
      </c>
      <c r="BC41" s="451" t="s">
        <v>277</v>
      </c>
      <c r="BD41" s="451" t="s">
        <v>278</v>
      </c>
      <c r="BE41" s="451" t="s">
        <v>226</v>
      </c>
      <c r="BF41" s="451" t="s">
        <v>279</v>
      </c>
      <c r="BG41" s="451" t="s">
        <v>280</v>
      </c>
      <c r="BH41" s="451" t="s">
        <v>281</v>
      </c>
      <c r="BI41" s="451" t="s">
        <v>282</v>
      </c>
      <c r="BJ41" s="451" t="s">
        <v>227</v>
      </c>
      <c r="BK41" s="451" t="s">
        <v>283</v>
      </c>
      <c r="BL41" s="451" t="s">
        <v>284</v>
      </c>
      <c r="BM41" s="451" t="s">
        <v>285</v>
      </c>
      <c r="BN41" s="451" t="s">
        <v>286</v>
      </c>
      <c r="BO41" s="451" t="s">
        <v>228</v>
      </c>
      <c r="BP41" s="451" t="s">
        <v>287</v>
      </c>
      <c r="BQ41" s="451" t="s">
        <v>288</v>
      </c>
      <c r="BR41" s="451" t="s">
        <v>289</v>
      </c>
      <c r="BS41" s="451" t="s">
        <v>290</v>
      </c>
      <c r="BT41" s="451" t="s">
        <v>229</v>
      </c>
      <c r="BU41" s="451" t="s">
        <v>291</v>
      </c>
      <c r="BV41" s="451" t="s">
        <v>292</v>
      </c>
      <c r="BW41" s="451" t="s">
        <v>293</v>
      </c>
      <c r="BX41" s="451" t="s">
        <v>294</v>
      </c>
      <c r="BY41" s="451" t="s">
        <v>230</v>
      </c>
      <c r="BZ41" s="451" t="s">
        <v>295</v>
      </c>
      <c r="CA41" s="451" t="s">
        <v>296</v>
      </c>
      <c r="CB41" s="451" t="s">
        <v>297</v>
      </c>
      <c r="CC41" s="451" t="s">
        <v>298</v>
      </c>
      <c r="CD41" s="451" t="s">
        <v>231</v>
      </c>
      <c r="CE41" s="451" t="s">
        <v>299</v>
      </c>
      <c r="CF41" s="451" t="s">
        <v>300</v>
      </c>
      <c r="CG41" s="451" t="s">
        <v>301</v>
      </c>
      <c r="CH41" s="451" t="s">
        <v>302</v>
      </c>
      <c r="CI41" s="451" t="s">
        <v>232</v>
      </c>
      <c r="CJ41" s="451" t="s">
        <v>303</v>
      </c>
    </row>
    <row r="42" spans="2:88" ht="35.85" customHeight="1" x14ac:dyDescent="0.2">
      <c r="B42" s="1259" t="s">
        <v>342</v>
      </c>
      <c r="C42" s="1260" t="s">
        <v>343</v>
      </c>
      <c r="D42" s="1261" t="s">
        <v>86</v>
      </c>
      <c r="E42" s="1261" t="s">
        <v>344</v>
      </c>
      <c r="F42" s="1262">
        <v>0</v>
      </c>
      <c r="G42" s="1263"/>
      <c r="H42" s="1264"/>
      <c r="I42" s="1476">
        <v>6.32</v>
      </c>
      <c r="J42" s="1476">
        <v>42.965153628828801</v>
      </c>
      <c r="K42" s="1476">
        <v>59.693480256008307</v>
      </c>
      <c r="L42" s="1476">
        <v>94.086904042704816</v>
      </c>
      <c r="M42" s="1476">
        <v>157.04871167790245</v>
      </c>
      <c r="N42" s="1476">
        <v>222.25252164591913</v>
      </c>
      <c r="O42" s="1476">
        <v>262.06625316290712</v>
      </c>
      <c r="P42" s="1476">
        <v>299.04756814203432</v>
      </c>
      <c r="Q42" s="1476">
        <v>324.12129821773362</v>
      </c>
      <c r="R42" s="1476">
        <v>342.86552831199901</v>
      </c>
      <c r="S42" s="1476">
        <v>362.60055240508893</v>
      </c>
      <c r="T42" s="1476">
        <v>380.95219786463315</v>
      </c>
      <c r="U42" s="1476">
        <v>398.44846013494987</v>
      </c>
      <c r="V42" s="1476">
        <v>416.58011924988352</v>
      </c>
      <c r="W42" s="1476">
        <v>391.63795507231993</v>
      </c>
      <c r="X42" s="1476">
        <v>397.82527341522893</v>
      </c>
      <c r="Y42" s="1476">
        <v>404.12185750733954</v>
      </c>
      <c r="Z42" s="1476">
        <v>410.5164562596662</v>
      </c>
      <c r="AA42" s="1476">
        <v>417.01462778660584</v>
      </c>
      <c r="AB42" s="1476">
        <v>423.61118120432121</v>
      </c>
      <c r="AC42" s="1476">
        <v>430.31298981692163</v>
      </c>
      <c r="AD42" s="1476">
        <v>437.11690561498233</v>
      </c>
      <c r="AE42" s="1476">
        <v>444.02463586583315</v>
      </c>
      <c r="AF42" s="1476">
        <v>451.03567274506287</v>
      </c>
      <c r="AG42" s="1476">
        <v>458.14376114177747</v>
      </c>
      <c r="AH42" s="1476">
        <v>465.35001695632002</v>
      </c>
      <c r="AI42" s="1476">
        <v>472.65302796355473</v>
      </c>
      <c r="AJ42" s="1476">
        <v>480.05158978681237</v>
      </c>
      <c r="AK42" s="1476">
        <v>487.54441635028923</v>
      </c>
      <c r="AL42" s="1476"/>
      <c r="AM42" s="1476"/>
      <c r="AN42" s="1476"/>
      <c r="AO42" s="1476"/>
      <c r="AP42" s="1476"/>
      <c r="AQ42" s="1476"/>
      <c r="AR42" s="1476"/>
      <c r="AS42" s="1476"/>
      <c r="AT42" s="1476"/>
      <c r="AU42" s="1476"/>
      <c r="AV42" s="1476"/>
      <c r="AW42" s="1476"/>
      <c r="AX42" s="1476"/>
      <c r="AY42" s="1476"/>
      <c r="AZ42" s="1476"/>
      <c r="BA42" s="1476"/>
      <c r="BB42" s="1476"/>
      <c r="BC42" s="1476"/>
      <c r="BD42" s="1476"/>
      <c r="BE42" s="1476"/>
      <c r="BF42" s="1476"/>
      <c r="BG42" s="1476"/>
      <c r="BH42" s="1476"/>
      <c r="BI42" s="1476"/>
      <c r="BJ42" s="1476"/>
      <c r="BK42" s="1476"/>
      <c r="BL42" s="1476"/>
      <c r="BM42" s="1476"/>
      <c r="BN42" s="1476"/>
      <c r="BO42" s="1476"/>
      <c r="BP42" s="1476"/>
      <c r="BQ42" s="1476"/>
      <c r="BR42" s="1476"/>
      <c r="BS42" s="1476"/>
      <c r="BT42" s="1476"/>
      <c r="BU42" s="1476"/>
      <c r="BV42" s="1476"/>
      <c r="BW42" s="1476"/>
      <c r="BX42" s="1476"/>
      <c r="BY42" s="1476"/>
      <c r="BZ42" s="1476"/>
      <c r="CA42" s="1476"/>
      <c r="CB42" s="1476"/>
      <c r="CC42" s="1476"/>
      <c r="CD42" s="1476"/>
      <c r="CE42" s="1476"/>
      <c r="CF42" s="1476"/>
      <c r="CG42" s="1476"/>
      <c r="CH42" s="1476"/>
      <c r="CI42" s="1476"/>
      <c r="CJ42" s="1264"/>
    </row>
    <row r="43" spans="2:88" ht="17.100000000000001" customHeight="1" x14ac:dyDescent="0.2">
      <c r="B43" s="493" t="s">
        <v>345</v>
      </c>
      <c r="C43" s="494" t="s">
        <v>346</v>
      </c>
      <c r="D43" s="495" t="s">
        <v>347</v>
      </c>
      <c r="E43" s="495" t="s">
        <v>344</v>
      </c>
      <c r="F43" s="496">
        <v>0</v>
      </c>
      <c r="G43" s="1270">
        <f>SUM(G44:G48)</f>
        <v>0</v>
      </c>
      <c r="H43" s="1270">
        <f t="shared" ref="H43:AK43" si="4">SUM(H44:H48)</f>
        <v>0</v>
      </c>
      <c r="I43" s="1477">
        <f t="shared" si="4"/>
        <v>7.3780000000000001</v>
      </c>
      <c r="J43" s="1477">
        <f t="shared" si="4"/>
        <v>36.645153628828808</v>
      </c>
      <c r="K43" s="1477">
        <f>SUM(K44:K48)</f>
        <v>53.373480256008307</v>
      </c>
      <c r="L43" s="1477">
        <f t="shared" si="4"/>
        <v>87.766904042704823</v>
      </c>
      <c r="M43" s="1477">
        <f t="shared" si="4"/>
        <v>150.72871167790242</v>
      </c>
      <c r="N43" s="1477">
        <f t="shared" si="4"/>
        <v>215.93252164591914</v>
      </c>
      <c r="O43" s="1477">
        <f t="shared" si="4"/>
        <v>255.74625316290712</v>
      </c>
      <c r="P43" s="1477">
        <f t="shared" si="4"/>
        <v>292.72756814203433</v>
      </c>
      <c r="Q43" s="1477">
        <f t="shared" si="4"/>
        <v>317.80129821773363</v>
      </c>
      <c r="R43" s="1477">
        <f t="shared" si="4"/>
        <v>336.54552831199902</v>
      </c>
      <c r="S43" s="1477">
        <f t="shared" si="4"/>
        <v>356.28055240508894</v>
      </c>
      <c r="T43" s="1477">
        <f t="shared" si="4"/>
        <v>374.63219786463316</v>
      </c>
      <c r="U43" s="1477">
        <f t="shared" si="4"/>
        <v>392.12846013494993</v>
      </c>
      <c r="V43" s="1477">
        <f t="shared" si="4"/>
        <v>410.26011924988359</v>
      </c>
      <c r="W43" s="1477">
        <f t="shared" si="4"/>
        <v>385.31795507231993</v>
      </c>
      <c r="X43" s="1477">
        <f t="shared" si="4"/>
        <v>391.50527341522894</v>
      </c>
      <c r="Y43" s="1477">
        <f t="shared" si="4"/>
        <v>397.80185750733955</v>
      </c>
      <c r="Z43" s="1477">
        <f t="shared" si="4"/>
        <v>404.19645625966621</v>
      </c>
      <c r="AA43" s="1477">
        <f t="shared" si="4"/>
        <v>410.69462778660585</v>
      </c>
      <c r="AB43" s="1477">
        <f t="shared" si="4"/>
        <v>417.29118120432122</v>
      </c>
      <c r="AC43" s="1477">
        <f t="shared" si="4"/>
        <v>423.99298981692164</v>
      </c>
      <c r="AD43" s="1477">
        <f t="shared" si="4"/>
        <v>430.79690561498234</v>
      </c>
      <c r="AE43" s="1477">
        <f t="shared" si="4"/>
        <v>437.70463586583315</v>
      </c>
      <c r="AF43" s="1477">
        <f t="shared" si="4"/>
        <v>444.71567274506288</v>
      </c>
      <c r="AG43" s="1477">
        <f t="shared" si="4"/>
        <v>451.82376114177748</v>
      </c>
      <c r="AH43" s="1477">
        <f t="shared" si="4"/>
        <v>459.03001695632003</v>
      </c>
      <c r="AI43" s="1477">
        <f t="shared" si="4"/>
        <v>466.33302796355474</v>
      </c>
      <c r="AJ43" s="1477">
        <f t="shared" si="4"/>
        <v>473.73158978681238</v>
      </c>
      <c r="AK43" s="1477">
        <f t="shared" si="4"/>
        <v>481.22441635028923</v>
      </c>
      <c r="AL43" s="1466"/>
      <c r="AM43" s="1466"/>
      <c r="AN43" s="1466"/>
      <c r="AO43" s="1466"/>
      <c r="AP43" s="1466"/>
      <c r="AQ43" s="1466"/>
      <c r="AR43" s="1466"/>
      <c r="AS43" s="1466"/>
      <c r="AT43" s="1466"/>
      <c r="AU43" s="1466"/>
      <c r="AV43" s="1466"/>
      <c r="AW43" s="1466"/>
      <c r="AX43" s="1466"/>
      <c r="AY43" s="1466"/>
      <c r="AZ43" s="1466"/>
      <c r="BA43" s="1466"/>
      <c r="BB43" s="1466"/>
      <c r="BC43" s="1466"/>
      <c r="BD43" s="1466"/>
      <c r="BE43" s="1466"/>
      <c r="BF43" s="1466"/>
      <c r="BG43" s="1466"/>
      <c r="BH43" s="1466"/>
      <c r="BI43" s="1466"/>
      <c r="BJ43" s="1466"/>
      <c r="BK43" s="1466"/>
      <c r="BL43" s="1466"/>
      <c r="BM43" s="1466"/>
      <c r="BN43" s="1466"/>
      <c r="BO43" s="1466"/>
      <c r="BP43" s="1466"/>
      <c r="BQ43" s="1466"/>
      <c r="BR43" s="1466"/>
      <c r="BS43" s="1466"/>
      <c r="BT43" s="1466"/>
      <c r="BU43" s="1466"/>
      <c r="BV43" s="1466"/>
      <c r="BW43" s="1466"/>
      <c r="BX43" s="1466"/>
      <c r="BY43" s="1466"/>
      <c r="BZ43" s="1466"/>
      <c r="CA43" s="1466"/>
      <c r="CB43" s="1466"/>
      <c r="CC43" s="1466"/>
      <c r="CD43" s="1466"/>
      <c r="CE43" s="1466"/>
      <c r="CF43" s="1466"/>
      <c r="CG43" s="1466"/>
      <c r="CH43" s="1466"/>
      <c r="CI43" s="1466"/>
      <c r="CJ43" s="1270">
        <f t="shared" ref="CJ43" si="5">SUM(CJ44:CJ48)</f>
        <v>0</v>
      </c>
    </row>
    <row r="44" spans="2:88" ht="40.35" customHeight="1" x14ac:dyDescent="0.2">
      <c r="B44" s="497" t="s">
        <v>348</v>
      </c>
      <c r="C44" s="498" t="s">
        <v>349</v>
      </c>
      <c r="D44" s="499" t="s">
        <v>86</v>
      </c>
      <c r="E44" s="499" t="s">
        <v>344</v>
      </c>
      <c r="F44" s="500">
        <v>0</v>
      </c>
      <c r="G44" s="1143"/>
      <c r="H44" s="1144"/>
      <c r="I44" s="1474">
        <v>4.0289999999999999</v>
      </c>
      <c r="J44" s="1474">
        <v>0</v>
      </c>
      <c r="K44" s="1474">
        <v>0</v>
      </c>
      <c r="L44" s="1474">
        <v>0</v>
      </c>
      <c r="M44" s="1474">
        <v>0</v>
      </c>
      <c r="N44" s="1474">
        <v>0</v>
      </c>
      <c r="O44" s="1474">
        <v>0</v>
      </c>
      <c r="P44" s="1474">
        <v>0</v>
      </c>
      <c r="Q44" s="1474">
        <v>0</v>
      </c>
      <c r="R44" s="1474">
        <v>0</v>
      </c>
      <c r="S44" s="1474">
        <v>0</v>
      </c>
      <c r="T44" s="1474">
        <v>0</v>
      </c>
      <c r="U44" s="1474">
        <v>0</v>
      </c>
      <c r="V44" s="1474">
        <v>0</v>
      </c>
      <c r="W44" s="1474">
        <v>0</v>
      </c>
      <c r="X44" s="1474">
        <v>0</v>
      </c>
      <c r="Y44" s="1474">
        <v>0</v>
      </c>
      <c r="Z44" s="1474">
        <v>0</v>
      </c>
      <c r="AA44" s="1474">
        <v>0</v>
      </c>
      <c r="AB44" s="1474">
        <v>0</v>
      </c>
      <c r="AC44" s="1474">
        <v>0</v>
      </c>
      <c r="AD44" s="1474">
        <v>0</v>
      </c>
      <c r="AE44" s="1474">
        <v>0</v>
      </c>
      <c r="AF44" s="1474">
        <v>0</v>
      </c>
      <c r="AG44" s="1474">
        <v>0</v>
      </c>
      <c r="AH44" s="1474">
        <v>0</v>
      </c>
      <c r="AI44" s="1474">
        <v>0</v>
      </c>
      <c r="AJ44" s="1474">
        <v>0</v>
      </c>
      <c r="AK44" s="1474">
        <v>0</v>
      </c>
      <c r="AL44" s="1474"/>
      <c r="AM44" s="1474"/>
      <c r="AN44" s="1474"/>
      <c r="AO44" s="1474"/>
      <c r="AP44" s="1474"/>
      <c r="AQ44" s="1474"/>
      <c r="AR44" s="1474"/>
      <c r="AS44" s="1474"/>
      <c r="AT44" s="1474"/>
      <c r="AU44" s="1474"/>
      <c r="AV44" s="1474"/>
      <c r="AW44" s="1474"/>
      <c r="AX44" s="1474"/>
      <c r="AY44" s="1474"/>
      <c r="AZ44" s="1474"/>
      <c r="BA44" s="1474"/>
      <c r="BB44" s="1474"/>
      <c r="BC44" s="1474"/>
      <c r="BD44" s="1474"/>
      <c r="BE44" s="1474"/>
      <c r="BF44" s="1474"/>
      <c r="BG44" s="1474"/>
      <c r="BH44" s="1474"/>
      <c r="BI44" s="1474"/>
      <c r="BJ44" s="1474"/>
      <c r="BK44" s="1474"/>
      <c r="BL44" s="1474"/>
      <c r="BM44" s="1474"/>
      <c r="BN44" s="1474"/>
      <c r="BO44" s="1474"/>
      <c r="BP44" s="1474"/>
      <c r="BQ44" s="1474"/>
      <c r="BR44" s="1474"/>
      <c r="BS44" s="1474"/>
      <c r="BT44" s="1474"/>
      <c r="BU44" s="1474"/>
      <c r="BV44" s="1474"/>
      <c r="BW44" s="1474"/>
      <c r="BX44" s="1474"/>
      <c r="BY44" s="1474"/>
      <c r="BZ44" s="1474"/>
      <c r="CA44" s="1474"/>
      <c r="CB44" s="1474"/>
      <c r="CC44" s="1474"/>
      <c r="CD44" s="1474"/>
      <c r="CE44" s="1474"/>
      <c r="CF44" s="1474"/>
      <c r="CG44" s="1474"/>
      <c r="CH44" s="1474"/>
      <c r="CI44" s="1474"/>
      <c r="CJ44" s="1144"/>
    </row>
    <row r="45" spans="2:88" ht="33.75" customHeight="1" x14ac:dyDescent="0.2">
      <c r="B45" s="497" t="s">
        <v>350</v>
      </c>
      <c r="C45" s="498" t="s">
        <v>351</v>
      </c>
      <c r="D45" s="499" t="s">
        <v>86</v>
      </c>
      <c r="E45" s="499" t="s">
        <v>344</v>
      </c>
      <c r="F45" s="500">
        <v>0</v>
      </c>
      <c r="G45" s="1143"/>
      <c r="H45" s="1144"/>
      <c r="I45" s="1474">
        <v>0</v>
      </c>
      <c r="J45" s="1474">
        <v>0</v>
      </c>
      <c r="K45" s="1474">
        <v>0</v>
      </c>
      <c r="L45" s="1474">
        <v>0</v>
      </c>
      <c r="M45" s="1474">
        <v>0</v>
      </c>
      <c r="N45" s="1474">
        <v>0</v>
      </c>
      <c r="O45" s="1474">
        <v>0</v>
      </c>
      <c r="P45" s="1474">
        <v>0</v>
      </c>
      <c r="Q45" s="1474">
        <v>0</v>
      </c>
      <c r="R45" s="1474">
        <v>0</v>
      </c>
      <c r="S45" s="1474">
        <v>0</v>
      </c>
      <c r="T45" s="1474">
        <v>0</v>
      </c>
      <c r="U45" s="1474">
        <v>0</v>
      </c>
      <c r="V45" s="1474">
        <v>0</v>
      </c>
      <c r="W45" s="1474">
        <v>0</v>
      </c>
      <c r="X45" s="1474">
        <v>0</v>
      </c>
      <c r="Y45" s="1474">
        <v>0</v>
      </c>
      <c r="Z45" s="1474">
        <v>0</v>
      </c>
      <c r="AA45" s="1474">
        <v>0</v>
      </c>
      <c r="AB45" s="1474">
        <v>0</v>
      </c>
      <c r="AC45" s="1474">
        <v>0</v>
      </c>
      <c r="AD45" s="1474">
        <v>0</v>
      </c>
      <c r="AE45" s="1474">
        <v>0</v>
      </c>
      <c r="AF45" s="1474">
        <v>0</v>
      </c>
      <c r="AG45" s="1474">
        <v>0</v>
      </c>
      <c r="AH45" s="1474">
        <v>0</v>
      </c>
      <c r="AI45" s="1474">
        <v>0</v>
      </c>
      <c r="AJ45" s="1474">
        <v>0</v>
      </c>
      <c r="AK45" s="1474">
        <v>0</v>
      </c>
      <c r="AL45" s="1474"/>
      <c r="AM45" s="1474"/>
      <c r="AN45" s="1474"/>
      <c r="AO45" s="1474"/>
      <c r="AP45" s="1474"/>
      <c r="AQ45" s="1474"/>
      <c r="AR45" s="1474"/>
      <c r="AS45" s="1474"/>
      <c r="AT45" s="1474"/>
      <c r="AU45" s="1474"/>
      <c r="AV45" s="1474"/>
      <c r="AW45" s="1474"/>
      <c r="AX45" s="1474"/>
      <c r="AY45" s="1474"/>
      <c r="AZ45" s="1474"/>
      <c r="BA45" s="1474"/>
      <c r="BB45" s="1474"/>
      <c r="BC45" s="1474"/>
      <c r="BD45" s="1474"/>
      <c r="BE45" s="1474"/>
      <c r="BF45" s="1474"/>
      <c r="BG45" s="1474"/>
      <c r="BH45" s="1474"/>
      <c r="BI45" s="1474"/>
      <c r="BJ45" s="1474"/>
      <c r="BK45" s="1474"/>
      <c r="BL45" s="1474"/>
      <c r="BM45" s="1474"/>
      <c r="BN45" s="1474"/>
      <c r="BO45" s="1474"/>
      <c r="BP45" s="1474"/>
      <c r="BQ45" s="1474"/>
      <c r="BR45" s="1474"/>
      <c r="BS45" s="1474"/>
      <c r="BT45" s="1474"/>
      <c r="BU45" s="1474"/>
      <c r="BV45" s="1474"/>
      <c r="BW45" s="1474"/>
      <c r="BX45" s="1474"/>
      <c r="BY45" s="1474"/>
      <c r="BZ45" s="1474"/>
      <c r="CA45" s="1474"/>
      <c r="CB45" s="1474"/>
      <c r="CC45" s="1474"/>
      <c r="CD45" s="1474"/>
      <c r="CE45" s="1474"/>
      <c r="CF45" s="1474"/>
      <c r="CG45" s="1474"/>
      <c r="CH45" s="1474"/>
      <c r="CI45" s="1474"/>
      <c r="CJ45" s="1144"/>
    </row>
    <row r="46" spans="2:88" ht="33.75" customHeight="1" x14ac:dyDescent="0.2">
      <c r="B46" s="497" t="s">
        <v>352</v>
      </c>
      <c r="C46" s="498" t="s">
        <v>353</v>
      </c>
      <c r="D46" s="499" t="s">
        <v>86</v>
      </c>
      <c r="E46" s="503" t="s">
        <v>344</v>
      </c>
      <c r="F46" s="504">
        <v>0</v>
      </c>
      <c r="G46" s="1143"/>
      <c r="H46" s="1144"/>
      <c r="I46" s="1474">
        <v>0</v>
      </c>
      <c r="J46" s="1474">
        <v>0</v>
      </c>
      <c r="K46" s="1474">
        <v>0</v>
      </c>
      <c r="L46" s="1474">
        <v>0</v>
      </c>
      <c r="M46" s="1474">
        <v>0</v>
      </c>
      <c r="N46" s="1474">
        <v>0</v>
      </c>
      <c r="O46" s="1474">
        <v>0</v>
      </c>
      <c r="P46" s="1474">
        <v>0</v>
      </c>
      <c r="Q46" s="1474">
        <v>0</v>
      </c>
      <c r="R46" s="1474">
        <v>0</v>
      </c>
      <c r="S46" s="1474">
        <v>0</v>
      </c>
      <c r="T46" s="1474">
        <v>0</v>
      </c>
      <c r="U46" s="1474">
        <v>0</v>
      </c>
      <c r="V46" s="1474">
        <v>0</v>
      </c>
      <c r="W46" s="1474">
        <v>0</v>
      </c>
      <c r="X46" s="1474">
        <v>0</v>
      </c>
      <c r="Y46" s="1474">
        <v>0</v>
      </c>
      <c r="Z46" s="1474">
        <v>0</v>
      </c>
      <c r="AA46" s="1474">
        <v>0</v>
      </c>
      <c r="AB46" s="1474">
        <v>0</v>
      </c>
      <c r="AC46" s="1474">
        <v>0</v>
      </c>
      <c r="AD46" s="1474">
        <v>0</v>
      </c>
      <c r="AE46" s="1474">
        <v>0</v>
      </c>
      <c r="AF46" s="1474">
        <v>0</v>
      </c>
      <c r="AG46" s="1474">
        <v>0</v>
      </c>
      <c r="AH46" s="1474">
        <v>0</v>
      </c>
      <c r="AI46" s="1474">
        <v>0</v>
      </c>
      <c r="AJ46" s="1474">
        <v>0</v>
      </c>
      <c r="AK46" s="1474">
        <v>0</v>
      </c>
      <c r="AL46" s="1474"/>
      <c r="AM46" s="1474"/>
      <c r="AN46" s="1474"/>
      <c r="AO46" s="1474"/>
      <c r="AP46" s="1474"/>
      <c r="AQ46" s="1474"/>
      <c r="AR46" s="1474"/>
      <c r="AS46" s="1474"/>
      <c r="AT46" s="1474"/>
      <c r="AU46" s="1474"/>
      <c r="AV46" s="1474"/>
      <c r="AW46" s="1474"/>
      <c r="AX46" s="1474"/>
      <c r="AY46" s="1474"/>
      <c r="AZ46" s="1474"/>
      <c r="BA46" s="1474"/>
      <c r="BB46" s="1474"/>
      <c r="BC46" s="1474"/>
      <c r="BD46" s="1474"/>
      <c r="BE46" s="1474"/>
      <c r="BF46" s="1474"/>
      <c r="BG46" s="1474"/>
      <c r="BH46" s="1474"/>
      <c r="BI46" s="1474"/>
      <c r="BJ46" s="1474"/>
      <c r="BK46" s="1474"/>
      <c r="BL46" s="1474"/>
      <c r="BM46" s="1474"/>
      <c r="BN46" s="1474"/>
      <c r="BO46" s="1474"/>
      <c r="BP46" s="1474"/>
      <c r="BQ46" s="1474"/>
      <c r="BR46" s="1474"/>
      <c r="BS46" s="1474"/>
      <c r="BT46" s="1474"/>
      <c r="BU46" s="1474"/>
      <c r="BV46" s="1474"/>
      <c r="BW46" s="1474"/>
      <c r="BX46" s="1474"/>
      <c r="BY46" s="1474"/>
      <c r="BZ46" s="1474"/>
      <c r="CA46" s="1474"/>
      <c r="CB46" s="1474"/>
      <c r="CC46" s="1474"/>
      <c r="CD46" s="1474"/>
      <c r="CE46" s="1474"/>
      <c r="CF46" s="1474"/>
      <c r="CG46" s="1474"/>
      <c r="CH46" s="1474"/>
      <c r="CI46" s="1474"/>
      <c r="CJ46" s="1144"/>
    </row>
    <row r="47" spans="2:88" ht="28.5" x14ac:dyDescent="0.2">
      <c r="B47" s="501" t="s">
        <v>354</v>
      </c>
      <c r="C47" s="502" t="s">
        <v>355</v>
      </c>
      <c r="D47" s="503" t="s">
        <v>86</v>
      </c>
      <c r="E47" s="503" t="s">
        <v>344</v>
      </c>
      <c r="F47" s="504">
        <v>0</v>
      </c>
      <c r="G47" s="1145"/>
      <c r="H47" s="1144"/>
      <c r="I47" s="1475">
        <v>0</v>
      </c>
      <c r="J47" s="1475">
        <v>13.193153628828805</v>
      </c>
      <c r="K47" s="1475">
        <v>32.922480256008306</v>
      </c>
      <c r="L47" s="1475">
        <v>57.315904042704815</v>
      </c>
      <c r="M47" s="1475">
        <v>107.73871167790243</v>
      </c>
      <c r="N47" s="1475">
        <v>169.94252164591913</v>
      </c>
      <c r="O47" s="1475">
        <v>211.75625316290711</v>
      </c>
      <c r="P47" s="1475">
        <v>244.23756814203435</v>
      </c>
      <c r="Q47" s="1475">
        <v>274.64229821773364</v>
      </c>
      <c r="R47" s="1475">
        <v>299.45132831199902</v>
      </c>
      <c r="S47" s="1475">
        <v>319.18635240508894</v>
      </c>
      <c r="T47" s="1475">
        <v>337.53799786463316</v>
      </c>
      <c r="U47" s="1475">
        <v>355.05926013494991</v>
      </c>
      <c r="V47" s="1475">
        <v>373.19091924988356</v>
      </c>
      <c r="W47" s="1475">
        <v>385.31795507231993</v>
      </c>
      <c r="X47" s="1475">
        <v>391.50527341522894</v>
      </c>
      <c r="Y47" s="1475">
        <v>397.80185750733955</v>
      </c>
      <c r="Z47" s="1475">
        <v>404.19645625966621</v>
      </c>
      <c r="AA47" s="1475">
        <v>410.69462778660585</v>
      </c>
      <c r="AB47" s="1475">
        <v>417.29118120432122</v>
      </c>
      <c r="AC47" s="1475">
        <v>423.99298981692164</v>
      </c>
      <c r="AD47" s="1475">
        <v>430.79690561498234</v>
      </c>
      <c r="AE47" s="1475">
        <v>437.70463586583315</v>
      </c>
      <c r="AF47" s="1475">
        <v>444.71567274506288</v>
      </c>
      <c r="AG47" s="1475">
        <v>451.82376114177748</v>
      </c>
      <c r="AH47" s="1475">
        <v>459.03001695632003</v>
      </c>
      <c r="AI47" s="1475">
        <v>466.33302796355474</v>
      </c>
      <c r="AJ47" s="1475">
        <v>473.73158978681238</v>
      </c>
      <c r="AK47" s="1475">
        <v>481.22441635028923</v>
      </c>
      <c r="AL47" s="1475"/>
      <c r="AM47" s="1475"/>
      <c r="AN47" s="1475"/>
      <c r="AO47" s="1475"/>
      <c r="AP47" s="1475"/>
      <c r="AQ47" s="1475"/>
      <c r="AR47" s="1475"/>
      <c r="AS47" s="1475"/>
      <c r="AT47" s="1475"/>
      <c r="AU47" s="1475"/>
      <c r="AV47" s="1475"/>
      <c r="AW47" s="1475"/>
      <c r="AX47" s="1475"/>
      <c r="AY47" s="1475"/>
      <c r="AZ47" s="1475"/>
      <c r="BA47" s="1475"/>
      <c r="BB47" s="1475"/>
      <c r="BC47" s="1475"/>
      <c r="BD47" s="1475"/>
      <c r="BE47" s="1475"/>
      <c r="BF47" s="1475"/>
      <c r="BG47" s="1475"/>
      <c r="BH47" s="1475"/>
      <c r="BI47" s="1475"/>
      <c r="BJ47" s="1475"/>
      <c r="BK47" s="1475"/>
      <c r="BL47" s="1475"/>
      <c r="BM47" s="1475"/>
      <c r="BN47" s="1475"/>
      <c r="BO47" s="1475"/>
      <c r="BP47" s="1475"/>
      <c r="BQ47" s="1475"/>
      <c r="BR47" s="1475"/>
      <c r="BS47" s="1475"/>
      <c r="BT47" s="1475"/>
      <c r="BU47" s="1475"/>
      <c r="BV47" s="1475"/>
      <c r="BW47" s="1475"/>
      <c r="BX47" s="1475"/>
      <c r="BY47" s="1475"/>
      <c r="BZ47" s="1475"/>
      <c r="CA47" s="1475"/>
      <c r="CB47" s="1475"/>
      <c r="CC47" s="1475"/>
      <c r="CD47" s="1475"/>
      <c r="CE47" s="1475"/>
      <c r="CF47" s="1475"/>
      <c r="CG47" s="1475"/>
      <c r="CH47" s="1475"/>
      <c r="CI47" s="1475"/>
      <c r="CJ47" s="1144"/>
    </row>
    <row r="48" spans="2:88" ht="42.75" x14ac:dyDescent="0.2">
      <c r="B48" s="497" t="s">
        <v>356</v>
      </c>
      <c r="C48" s="498" t="s">
        <v>357</v>
      </c>
      <c r="D48" s="499" t="s">
        <v>86</v>
      </c>
      <c r="E48" s="503" t="s">
        <v>344</v>
      </c>
      <c r="F48" s="504">
        <v>0</v>
      </c>
      <c r="G48" s="1143"/>
      <c r="H48" s="1144"/>
      <c r="I48" s="1474">
        <v>3.3490000000000002</v>
      </c>
      <c r="J48" s="1474">
        <v>23.452000000000002</v>
      </c>
      <c r="K48" s="1474">
        <v>20.451000000000001</v>
      </c>
      <c r="L48" s="1474">
        <v>30.451000000000001</v>
      </c>
      <c r="M48" s="1474">
        <v>42.99</v>
      </c>
      <c r="N48" s="1474">
        <v>45.99</v>
      </c>
      <c r="O48" s="1474">
        <v>43.99</v>
      </c>
      <c r="P48" s="1474">
        <v>48.49</v>
      </c>
      <c r="Q48" s="1474">
        <v>43.158999999999999</v>
      </c>
      <c r="R48" s="1474">
        <v>37.094199999999994</v>
      </c>
      <c r="S48" s="1474">
        <v>37.094199999999994</v>
      </c>
      <c r="T48" s="1474">
        <v>37.094199999999994</v>
      </c>
      <c r="U48" s="1474">
        <v>37.069199999999995</v>
      </c>
      <c r="V48" s="1474">
        <v>37.069199999999995</v>
      </c>
      <c r="W48" s="1474">
        <v>0</v>
      </c>
      <c r="X48" s="1474">
        <v>0</v>
      </c>
      <c r="Y48" s="1474">
        <v>0</v>
      </c>
      <c r="Z48" s="1474">
        <v>0</v>
      </c>
      <c r="AA48" s="1474">
        <v>0</v>
      </c>
      <c r="AB48" s="1474">
        <v>0</v>
      </c>
      <c r="AC48" s="1474">
        <v>0</v>
      </c>
      <c r="AD48" s="1474">
        <v>0</v>
      </c>
      <c r="AE48" s="1474">
        <v>0</v>
      </c>
      <c r="AF48" s="1474">
        <v>0</v>
      </c>
      <c r="AG48" s="1474">
        <v>0</v>
      </c>
      <c r="AH48" s="1474">
        <v>0</v>
      </c>
      <c r="AI48" s="1474">
        <v>0</v>
      </c>
      <c r="AJ48" s="1474">
        <v>0</v>
      </c>
      <c r="AK48" s="1474">
        <v>0</v>
      </c>
      <c r="AL48" s="1474"/>
      <c r="AM48" s="1474"/>
      <c r="AN48" s="1474"/>
      <c r="AO48" s="1474"/>
      <c r="AP48" s="1474"/>
      <c r="AQ48" s="1474"/>
      <c r="AR48" s="1474"/>
      <c r="AS48" s="1474"/>
      <c r="AT48" s="1474"/>
      <c r="AU48" s="1474"/>
      <c r="AV48" s="1474"/>
      <c r="AW48" s="1474"/>
      <c r="AX48" s="1474"/>
      <c r="AY48" s="1474"/>
      <c r="AZ48" s="1474"/>
      <c r="BA48" s="1474"/>
      <c r="BB48" s="1474"/>
      <c r="BC48" s="1474"/>
      <c r="BD48" s="1474"/>
      <c r="BE48" s="1474"/>
      <c r="BF48" s="1474"/>
      <c r="BG48" s="1474"/>
      <c r="BH48" s="1474"/>
      <c r="BI48" s="1474"/>
      <c r="BJ48" s="1474"/>
      <c r="BK48" s="1474"/>
      <c r="BL48" s="1474"/>
      <c r="BM48" s="1474"/>
      <c r="BN48" s="1474"/>
      <c r="BO48" s="1474"/>
      <c r="BP48" s="1474"/>
      <c r="BQ48" s="1474"/>
      <c r="BR48" s="1474"/>
      <c r="BS48" s="1474"/>
      <c r="BT48" s="1474"/>
      <c r="BU48" s="1474"/>
      <c r="BV48" s="1474"/>
      <c r="BW48" s="1474"/>
      <c r="BX48" s="1474"/>
      <c r="BY48" s="1474"/>
      <c r="BZ48" s="1474"/>
      <c r="CA48" s="1474"/>
      <c r="CB48" s="1474"/>
      <c r="CC48" s="1474"/>
      <c r="CD48" s="1474"/>
      <c r="CE48" s="1474"/>
      <c r="CF48" s="1474"/>
      <c r="CG48" s="1474"/>
      <c r="CH48" s="1474"/>
      <c r="CI48" s="1474"/>
      <c r="CJ48" s="1144"/>
    </row>
    <row r="49" spans="2:92" ht="15" x14ac:dyDescent="0.2">
      <c r="B49" s="497" t="s">
        <v>358</v>
      </c>
      <c r="C49" s="498" t="s">
        <v>359</v>
      </c>
      <c r="D49" s="499" t="s">
        <v>86</v>
      </c>
      <c r="E49" s="503" t="s">
        <v>344</v>
      </c>
      <c r="F49" s="504">
        <v>0</v>
      </c>
      <c r="G49" s="1143"/>
      <c r="H49" s="1144"/>
      <c r="I49" s="1474">
        <v>0.16600000000000001</v>
      </c>
      <c r="J49" s="1474">
        <v>0.18050000000000002</v>
      </c>
      <c r="K49" s="1474">
        <v>0.19500000000000001</v>
      </c>
      <c r="L49" s="1474">
        <v>0.19500000000000001</v>
      </c>
      <c r="M49" s="1474">
        <v>2.1950000000000003</v>
      </c>
      <c r="N49" s="1474">
        <v>4.1950000000000003</v>
      </c>
      <c r="O49" s="1474">
        <v>4.6950000000000003</v>
      </c>
      <c r="P49" s="1474">
        <v>5.1950000000000003</v>
      </c>
      <c r="Q49" s="1474">
        <v>5.6949999999999994</v>
      </c>
      <c r="R49" s="1474">
        <v>3.9266000000000005</v>
      </c>
      <c r="S49" s="1474">
        <v>3.9266000000000005</v>
      </c>
      <c r="T49" s="1474">
        <v>3.9266000000000005</v>
      </c>
      <c r="U49" s="1474">
        <v>3.9266000000000005</v>
      </c>
      <c r="V49" s="1474">
        <v>3.9266000000000005</v>
      </c>
      <c r="W49" s="1474">
        <v>0.19500000000000001</v>
      </c>
      <c r="X49" s="1474">
        <v>0.19500000000000001</v>
      </c>
      <c r="Y49" s="1474">
        <v>0.19500000000000001</v>
      </c>
      <c r="Z49" s="1474">
        <v>0.19500000000000001</v>
      </c>
      <c r="AA49" s="1474">
        <v>0.19500000000000001</v>
      </c>
      <c r="AB49" s="1474">
        <v>0.19500000000000001</v>
      </c>
      <c r="AC49" s="1474">
        <v>0.19500000000000001</v>
      </c>
      <c r="AD49" s="1474">
        <v>0.19500000000000001</v>
      </c>
      <c r="AE49" s="1474">
        <v>0.19500000000000001</v>
      </c>
      <c r="AF49" s="1474">
        <v>0.19500000000000001</v>
      </c>
      <c r="AG49" s="1474">
        <v>0.19500000000000001</v>
      </c>
      <c r="AH49" s="1474">
        <v>0.19500000000000001</v>
      </c>
      <c r="AI49" s="1474">
        <v>0.19500000000000001</v>
      </c>
      <c r="AJ49" s="1474">
        <v>0.19500000000000001</v>
      </c>
      <c r="AK49" s="1474">
        <v>0.19500000000000001</v>
      </c>
      <c r="AL49" s="1474"/>
      <c r="AM49" s="1474"/>
      <c r="AN49" s="1474"/>
      <c r="AO49" s="1474"/>
      <c r="AP49" s="1474"/>
      <c r="AQ49" s="1474"/>
      <c r="AR49" s="1474"/>
      <c r="AS49" s="1474"/>
      <c r="AT49" s="1474"/>
      <c r="AU49" s="1474"/>
      <c r="AV49" s="1474"/>
      <c r="AW49" s="1474"/>
      <c r="AX49" s="1474"/>
      <c r="AY49" s="1474"/>
      <c r="AZ49" s="1474"/>
      <c r="BA49" s="1474"/>
      <c r="BB49" s="1474"/>
      <c r="BC49" s="1474"/>
      <c r="BD49" s="1474"/>
      <c r="BE49" s="1474"/>
      <c r="BF49" s="1474"/>
      <c r="BG49" s="1474"/>
      <c r="BH49" s="1474"/>
      <c r="BI49" s="1474"/>
      <c r="BJ49" s="1474"/>
      <c r="BK49" s="1474"/>
      <c r="BL49" s="1474"/>
      <c r="BM49" s="1474"/>
      <c r="BN49" s="1474"/>
      <c r="BO49" s="1474"/>
      <c r="BP49" s="1474"/>
      <c r="BQ49" s="1474"/>
      <c r="BR49" s="1474"/>
      <c r="BS49" s="1474"/>
      <c r="BT49" s="1474"/>
      <c r="BU49" s="1474"/>
      <c r="BV49" s="1474"/>
      <c r="BW49" s="1474"/>
      <c r="BX49" s="1474"/>
      <c r="BY49" s="1474"/>
      <c r="BZ49" s="1474"/>
      <c r="CA49" s="1474"/>
      <c r="CB49" s="1474"/>
      <c r="CC49" s="1474"/>
      <c r="CD49" s="1474"/>
      <c r="CE49" s="1474"/>
      <c r="CF49" s="1474"/>
      <c r="CG49" s="1474"/>
      <c r="CH49" s="1474"/>
      <c r="CI49" s="1474"/>
      <c r="CJ49" s="1144"/>
      <c r="CK49" s="1152"/>
    </row>
    <row r="50" spans="2:92" ht="28.5" x14ac:dyDescent="0.2">
      <c r="B50" s="497" t="s">
        <v>360</v>
      </c>
      <c r="C50" s="498" t="s">
        <v>361</v>
      </c>
      <c r="D50" s="499" t="s">
        <v>86</v>
      </c>
      <c r="E50" s="503" t="s">
        <v>344</v>
      </c>
      <c r="F50" s="504">
        <v>0</v>
      </c>
      <c r="G50" s="1143"/>
      <c r="H50" s="1144"/>
      <c r="I50" s="1474">
        <v>0.13900000000000001</v>
      </c>
      <c r="J50" s="1474">
        <v>0.13950000000000001</v>
      </c>
      <c r="K50" s="1474">
        <v>0.14000000000000001</v>
      </c>
      <c r="L50" s="1474">
        <v>0.14000000000000001</v>
      </c>
      <c r="M50" s="1474">
        <v>0</v>
      </c>
      <c r="N50" s="1474">
        <v>0</v>
      </c>
      <c r="O50" s="1474">
        <v>0</v>
      </c>
      <c r="P50" s="1474">
        <v>0</v>
      </c>
      <c r="Q50" s="1474">
        <v>0</v>
      </c>
      <c r="R50" s="1474">
        <v>0</v>
      </c>
      <c r="S50" s="1474">
        <v>0</v>
      </c>
      <c r="T50" s="1474">
        <v>0</v>
      </c>
      <c r="U50" s="1474">
        <v>0</v>
      </c>
      <c r="V50" s="1474">
        <v>0</v>
      </c>
      <c r="W50" s="1474">
        <v>0</v>
      </c>
      <c r="X50" s="1474">
        <v>0</v>
      </c>
      <c r="Y50" s="1474">
        <v>0</v>
      </c>
      <c r="Z50" s="1474">
        <v>0</v>
      </c>
      <c r="AA50" s="1474">
        <v>0</v>
      </c>
      <c r="AB50" s="1474">
        <v>0</v>
      </c>
      <c r="AC50" s="1474">
        <v>0</v>
      </c>
      <c r="AD50" s="1474">
        <v>0</v>
      </c>
      <c r="AE50" s="1474">
        <v>0</v>
      </c>
      <c r="AF50" s="1474">
        <v>0</v>
      </c>
      <c r="AG50" s="1474">
        <v>0</v>
      </c>
      <c r="AH50" s="1474">
        <v>0</v>
      </c>
      <c r="AI50" s="1474">
        <v>0</v>
      </c>
      <c r="AJ50" s="1474">
        <v>0</v>
      </c>
      <c r="AK50" s="1474">
        <v>0</v>
      </c>
      <c r="AL50" s="1474"/>
      <c r="AM50" s="1474"/>
      <c r="AN50" s="1474"/>
      <c r="AO50" s="1474"/>
      <c r="AP50" s="1474"/>
      <c r="AQ50" s="1474"/>
      <c r="AR50" s="1474"/>
      <c r="AS50" s="1474"/>
      <c r="AT50" s="1474"/>
      <c r="AU50" s="1474"/>
      <c r="AV50" s="1474"/>
      <c r="AW50" s="1474"/>
      <c r="AX50" s="1474"/>
      <c r="AY50" s="1474"/>
      <c r="AZ50" s="1474"/>
      <c r="BA50" s="1474"/>
      <c r="BB50" s="1474"/>
      <c r="BC50" s="1474"/>
      <c r="BD50" s="1474"/>
      <c r="BE50" s="1474"/>
      <c r="BF50" s="1474"/>
      <c r="BG50" s="1474"/>
      <c r="BH50" s="1474"/>
      <c r="BI50" s="1474"/>
      <c r="BJ50" s="1474"/>
      <c r="BK50" s="1474"/>
      <c r="BL50" s="1474"/>
      <c r="BM50" s="1474"/>
      <c r="BN50" s="1474"/>
      <c r="BO50" s="1474"/>
      <c r="BP50" s="1474"/>
      <c r="BQ50" s="1474"/>
      <c r="BR50" s="1474"/>
      <c r="BS50" s="1474"/>
      <c r="BT50" s="1474"/>
      <c r="BU50" s="1474"/>
      <c r="BV50" s="1474"/>
      <c r="BW50" s="1474"/>
      <c r="BX50" s="1474"/>
      <c r="BY50" s="1474"/>
      <c r="BZ50" s="1474"/>
      <c r="CA50" s="1474"/>
      <c r="CB50" s="1474"/>
      <c r="CC50" s="1474"/>
      <c r="CD50" s="1474"/>
      <c r="CE50" s="1474"/>
      <c r="CF50" s="1474"/>
      <c r="CG50" s="1474"/>
      <c r="CH50" s="1474"/>
      <c r="CI50" s="1474"/>
      <c r="CJ50" s="1144"/>
    </row>
    <row r="51" spans="2:92" ht="28.5" x14ac:dyDescent="0.2">
      <c r="B51" s="497" t="s">
        <v>362</v>
      </c>
      <c r="C51" s="498" t="s">
        <v>363</v>
      </c>
      <c r="D51" s="499" t="s">
        <v>86</v>
      </c>
      <c r="E51" s="503" t="s">
        <v>344</v>
      </c>
      <c r="F51" s="504">
        <v>0</v>
      </c>
      <c r="G51" s="1143"/>
      <c r="H51" s="1144"/>
      <c r="I51" s="1474">
        <v>0</v>
      </c>
      <c r="J51" s="1474">
        <v>0</v>
      </c>
      <c r="K51" s="1474">
        <v>0</v>
      </c>
      <c r="L51" s="1474">
        <v>0</v>
      </c>
      <c r="M51" s="1474">
        <v>0</v>
      </c>
      <c r="N51" s="1474">
        <v>0</v>
      </c>
      <c r="O51" s="1474">
        <v>0</v>
      </c>
      <c r="P51" s="1474">
        <v>0</v>
      </c>
      <c r="Q51" s="1474">
        <v>0</v>
      </c>
      <c r="R51" s="1474">
        <v>0</v>
      </c>
      <c r="S51" s="1474">
        <v>0</v>
      </c>
      <c r="T51" s="1474">
        <v>0</v>
      </c>
      <c r="U51" s="1474">
        <v>0</v>
      </c>
      <c r="V51" s="1474">
        <v>0</v>
      </c>
      <c r="W51" s="1474">
        <v>0</v>
      </c>
      <c r="X51" s="1474">
        <v>0</v>
      </c>
      <c r="Y51" s="1474">
        <v>0</v>
      </c>
      <c r="Z51" s="1474">
        <v>0</v>
      </c>
      <c r="AA51" s="1474">
        <v>0</v>
      </c>
      <c r="AB51" s="1474">
        <v>0</v>
      </c>
      <c r="AC51" s="1474">
        <v>0</v>
      </c>
      <c r="AD51" s="1474">
        <v>0</v>
      </c>
      <c r="AE51" s="1474">
        <v>0</v>
      </c>
      <c r="AF51" s="1474">
        <v>0</v>
      </c>
      <c r="AG51" s="1474">
        <v>0</v>
      </c>
      <c r="AH51" s="1474">
        <v>0</v>
      </c>
      <c r="AI51" s="1474">
        <v>0</v>
      </c>
      <c r="AJ51" s="1474">
        <v>0</v>
      </c>
      <c r="AK51" s="1474">
        <v>0</v>
      </c>
      <c r="AL51" s="1474"/>
      <c r="AM51" s="1474"/>
      <c r="AN51" s="1474"/>
      <c r="AO51" s="1474"/>
      <c r="AP51" s="1474"/>
      <c r="AQ51" s="1474"/>
      <c r="AR51" s="1474"/>
      <c r="AS51" s="1474"/>
      <c r="AT51" s="1474"/>
      <c r="AU51" s="1474"/>
      <c r="AV51" s="1474"/>
      <c r="AW51" s="1474"/>
      <c r="AX51" s="1474"/>
      <c r="AY51" s="1474"/>
      <c r="AZ51" s="1474"/>
      <c r="BA51" s="1474"/>
      <c r="BB51" s="1474"/>
      <c r="BC51" s="1474"/>
      <c r="BD51" s="1474"/>
      <c r="BE51" s="1474"/>
      <c r="BF51" s="1474"/>
      <c r="BG51" s="1474"/>
      <c r="BH51" s="1474"/>
      <c r="BI51" s="1474"/>
      <c r="BJ51" s="1474"/>
      <c r="BK51" s="1474"/>
      <c r="BL51" s="1474"/>
      <c r="BM51" s="1474"/>
      <c r="BN51" s="1474"/>
      <c r="BO51" s="1474"/>
      <c r="BP51" s="1474"/>
      <c r="BQ51" s="1474"/>
      <c r="BR51" s="1474"/>
      <c r="BS51" s="1474"/>
      <c r="BT51" s="1474"/>
      <c r="BU51" s="1474"/>
      <c r="BV51" s="1474"/>
      <c r="BW51" s="1474"/>
      <c r="BX51" s="1474"/>
      <c r="BY51" s="1474"/>
      <c r="BZ51" s="1474"/>
      <c r="CA51" s="1474"/>
      <c r="CB51" s="1474"/>
      <c r="CC51" s="1474"/>
      <c r="CD51" s="1474"/>
      <c r="CE51" s="1474"/>
      <c r="CF51" s="1474"/>
      <c r="CG51" s="1474"/>
      <c r="CH51" s="1474"/>
      <c r="CI51" s="1474"/>
      <c r="CJ51" s="1144"/>
    </row>
    <row r="52" spans="2:92" ht="28.5" x14ac:dyDescent="0.2">
      <c r="B52" s="497" t="s">
        <v>364</v>
      </c>
      <c r="C52" s="498" t="s">
        <v>365</v>
      </c>
      <c r="D52" s="499" t="s">
        <v>86</v>
      </c>
      <c r="E52" s="503" t="s">
        <v>344</v>
      </c>
      <c r="F52" s="504">
        <v>0</v>
      </c>
      <c r="G52" s="1143"/>
      <c r="H52" s="1144"/>
      <c r="I52" s="1474">
        <v>2.7E-2</v>
      </c>
      <c r="J52" s="1474">
        <v>4.1000000000000002E-2</v>
      </c>
      <c r="K52" s="1474">
        <v>5.5E-2</v>
      </c>
      <c r="L52" s="1474">
        <v>5.5E-2</v>
      </c>
      <c r="M52" s="1474">
        <v>2.1950000000000003</v>
      </c>
      <c r="N52" s="1474">
        <v>4.1950000000000003</v>
      </c>
      <c r="O52" s="1474">
        <v>4.6950000000000003</v>
      </c>
      <c r="P52" s="1474">
        <v>5.1950000000000003</v>
      </c>
      <c r="Q52" s="1474">
        <v>5.6949999999999994</v>
      </c>
      <c r="R52" s="1474">
        <v>3.9266000000000005</v>
      </c>
      <c r="S52" s="1474">
        <v>3.9266000000000005</v>
      </c>
      <c r="T52" s="1474">
        <v>3.9266000000000005</v>
      </c>
      <c r="U52" s="1474">
        <v>3.9266000000000005</v>
      </c>
      <c r="V52" s="1474">
        <v>3.9266000000000005</v>
      </c>
      <c r="W52" s="1474">
        <v>0.19500000000000001</v>
      </c>
      <c r="X52" s="1474">
        <v>0.19500000000000001</v>
      </c>
      <c r="Y52" s="1474">
        <v>0.19500000000000001</v>
      </c>
      <c r="Z52" s="1474">
        <v>0.19500000000000001</v>
      </c>
      <c r="AA52" s="1474">
        <v>0.19500000000000001</v>
      </c>
      <c r="AB52" s="1474">
        <v>0.19500000000000001</v>
      </c>
      <c r="AC52" s="1474">
        <v>0.19500000000000001</v>
      </c>
      <c r="AD52" s="1474">
        <v>0.19500000000000001</v>
      </c>
      <c r="AE52" s="1474">
        <v>0.19500000000000001</v>
      </c>
      <c r="AF52" s="1474">
        <v>0.19500000000000001</v>
      </c>
      <c r="AG52" s="1474">
        <v>0.19500000000000001</v>
      </c>
      <c r="AH52" s="1474">
        <v>0.19500000000000001</v>
      </c>
      <c r="AI52" s="1474">
        <v>0.19500000000000001</v>
      </c>
      <c r="AJ52" s="1474">
        <v>0.19500000000000001</v>
      </c>
      <c r="AK52" s="1474">
        <v>0.19500000000000001</v>
      </c>
      <c r="AL52" s="1474"/>
      <c r="AM52" s="1474"/>
      <c r="AN52" s="1474"/>
      <c r="AO52" s="1474"/>
      <c r="AP52" s="1474"/>
      <c r="AQ52" s="1474"/>
      <c r="AR52" s="1474"/>
      <c r="AS52" s="1474"/>
      <c r="AT52" s="1474"/>
      <c r="AU52" s="1474"/>
      <c r="AV52" s="1474"/>
      <c r="AW52" s="1474"/>
      <c r="AX52" s="1474"/>
      <c r="AY52" s="1474"/>
      <c r="AZ52" s="1474"/>
      <c r="BA52" s="1474"/>
      <c r="BB52" s="1474"/>
      <c r="BC52" s="1474"/>
      <c r="BD52" s="1474"/>
      <c r="BE52" s="1474"/>
      <c r="BF52" s="1474"/>
      <c r="BG52" s="1474"/>
      <c r="BH52" s="1474"/>
      <c r="BI52" s="1474"/>
      <c r="BJ52" s="1474"/>
      <c r="BK52" s="1474"/>
      <c r="BL52" s="1474"/>
      <c r="BM52" s="1474"/>
      <c r="BN52" s="1474"/>
      <c r="BO52" s="1474"/>
      <c r="BP52" s="1474"/>
      <c r="BQ52" s="1474"/>
      <c r="BR52" s="1474"/>
      <c r="BS52" s="1474"/>
      <c r="BT52" s="1474"/>
      <c r="BU52" s="1474"/>
      <c r="BV52" s="1474"/>
      <c r="BW52" s="1474"/>
      <c r="BX52" s="1474"/>
      <c r="BY52" s="1474"/>
      <c r="BZ52" s="1474"/>
      <c r="CA52" s="1474"/>
      <c r="CB52" s="1474"/>
      <c r="CC52" s="1474"/>
      <c r="CD52" s="1474"/>
      <c r="CE52" s="1474"/>
      <c r="CF52" s="1474"/>
      <c r="CG52" s="1474"/>
      <c r="CH52" s="1474"/>
      <c r="CI52" s="1474"/>
      <c r="CJ52" s="1144"/>
    </row>
    <row r="53" spans="2:92" ht="15" thickBot="1" x14ac:dyDescent="0.25">
      <c r="C53" s="1312" t="s">
        <v>204</v>
      </c>
    </row>
    <row r="54" spans="2:92" ht="56.1" customHeight="1" thickBot="1" x14ac:dyDescent="0.25">
      <c r="B54" s="400" t="s">
        <v>366</v>
      </c>
      <c r="C54" s="43"/>
      <c r="D54" s="44"/>
      <c r="E54" s="44"/>
      <c r="F54" s="44"/>
      <c r="G54" s="44"/>
      <c r="H54" s="44"/>
      <c r="I54" s="44"/>
      <c r="J54" s="44"/>
      <c r="K54" s="44"/>
      <c r="L54" s="44"/>
      <c r="M54" s="44"/>
      <c r="N54" s="44"/>
      <c r="O54" s="44"/>
      <c r="P54" s="44"/>
      <c r="Q54" s="44"/>
      <c r="R54" s="44"/>
      <c r="S54" s="44"/>
      <c r="T54" s="44"/>
      <c r="U54" s="44"/>
      <c r="V54" s="44"/>
      <c r="W54" s="44"/>
      <c r="X54" s="44"/>
      <c r="Y54" s="44"/>
      <c r="Z54" s="44"/>
      <c r="AA54" s="44"/>
      <c r="AB54" s="44"/>
      <c r="AC54" s="44"/>
      <c r="AD54" s="44"/>
      <c r="AE54" s="44"/>
      <c r="AF54" s="44"/>
      <c r="AG54" s="44"/>
      <c r="AH54" s="44"/>
      <c r="AI54" s="44"/>
      <c r="AJ54" s="44"/>
      <c r="AK54" s="44"/>
      <c r="AL54" s="44"/>
      <c r="AM54" s="44"/>
      <c r="AN54" s="44"/>
      <c r="AO54" s="44"/>
      <c r="AP54" s="44"/>
      <c r="AQ54" s="44"/>
      <c r="AR54" s="44"/>
      <c r="AS54" s="44"/>
      <c r="AT54" s="44"/>
      <c r="AU54" s="44"/>
      <c r="AV54" s="44"/>
      <c r="AW54" s="44"/>
      <c r="AX54" s="44"/>
      <c r="AY54" s="44"/>
      <c r="AZ54" s="44"/>
      <c r="BA54" s="44"/>
      <c r="BB54" s="44"/>
      <c r="BC54" s="44"/>
      <c r="BD54" s="44"/>
      <c r="BE54" s="44"/>
      <c r="BF54" s="44"/>
      <c r="BG54" s="44"/>
      <c r="BH54" s="44"/>
      <c r="BI54" s="44"/>
      <c r="BJ54" s="44"/>
      <c r="BK54" s="44"/>
      <c r="BL54" s="44"/>
      <c r="BM54" s="44"/>
      <c r="BN54" s="44"/>
      <c r="BO54" s="44"/>
      <c r="BP54" s="44"/>
      <c r="BQ54" s="44"/>
      <c r="BR54" s="44"/>
      <c r="BS54" s="44"/>
      <c r="BT54" s="44"/>
      <c r="BU54" s="44"/>
      <c r="BV54" s="44"/>
      <c r="BW54" s="44"/>
      <c r="BX54" s="44"/>
      <c r="BY54" s="44"/>
      <c r="BZ54" s="44"/>
      <c r="CA54" s="44"/>
      <c r="CB54" s="44"/>
      <c r="CC54" s="44"/>
      <c r="CD54" s="44"/>
      <c r="CE54" s="44"/>
      <c r="CF54" s="44"/>
      <c r="CG54" s="44"/>
      <c r="CH54" s="44"/>
      <c r="CI54" s="44"/>
      <c r="CJ54" s="44"/>
      <c r="CK54" s="1152"/>
      <c r="CL54" s="1152"/>
      <c r="CM54" s="1152"/>
      <c r="CN54" s="1152"/>
    </row>
    <row r="55" spans="2:92" ht="15.75" thickBot="1" x14ac:dyDescent="0.25">
      <c r="B55" s="1119" t="s">
        <v>70</v>
      </c>
      <c r="C55" s="1120" t="s">
        <v>205</v>
      </c>
      <c r="D55" s="1120" t="s">
        <v>71</v>
      </c>
      <c r="E55" s="1120" t="s">
        <v>206</v>
      </c>
      <c r="F55" s="1120" t="s">
        <v>207</v>
      </c>
      <c r="G55" s="1119" t="s">
        <v>208</v>
      </c>
      <c r="H55" s="1120" t="s">
        <v>209</v>
      </c>
      <c r="I55" s="1120" t="s">
        <v>210</v>
      </c>
      <c r="J55" s="1120" t="s">
        <v>211</v>
      </c>
      <c r="K55" s="1120" t="s">
        <v>212</v>
      </c>
      <c r="L55" s="1120" t="s">
        <v>213</v>
      </c>
      <c r="M55" s="1120" t="s">
        <v>214</v>
      </c>
      <c r="N55" s="1120" t="s">
        <v>215</v>
      </c>
      <c r="O55" s="1120" t="s">
        <v>216</v>
      </c>
      <c r="P55" s="1120" t="s">
        <v>217</v>
      </c>
      <c r="Q55" s="1120" t="s">
        <v>218</v>
      </c>
      <c r="R55" s="1120" t="s">
        <v>247</v>
      </c>
      <c r="S55" s="1120" t="s">
        <v>248</v>
      </c>
      <c r="T55" s="1120" t="s">
        <v>249</v>
      </c>
      <c r="U55" s="1120" t="s">
        <v>250</v>
      </c>
      <c r="V55" s="1120" t="s">
        <v>219</v>
      </c>
      <c r="W55" s="1120" t="s">
        <v>251</v>
      </c>
      <c r="X55" s="1120" t="s">
        <v>252</v>
      </c>
      <c r="Y55" s="1120" t="s">
        <v>253</v>
      </c>
      <c r="Z55" s="1120" t="s">
        <v>254</v>
      </c>
      <c r="AA55" s="1120" t="s">
        <v>220</v>
      </c>
      <c r="AB55" s="1120" t="s">
        <v>255</v>
      </c>
      <c r="AC55" s="1120" t="s">
        <v>256</v>
      </c>
      <c r="AD55" s="1120" t="s">
        <v>257</v>
      </c>
      <c r="AE55" s="1120" t="s">
        <v>258</v>
      </c>
      <c r="AF55" s="1120" t="s">
        <v>221</v>
      </c>
      <c r="AG55" s="1120" t="s">
        <v>259</v>
      </c>
      <c r="AH55" s="1120" t="s">
        <v>260</v>
      </c>
      <c r="AI55" s="1120" t="s">
        <v>261</v>
      </c>
      <c r="AJ55" s="1120" t="s">
        <v>262</v>
      </c>
      <c r="AK55" s="1120" t="s">
        <v>222</v>
      </c>
      <c r="AL55" s="1120" t="s">
        <v>263</v>
      </c>
      <c r="AM55" s="1120" t="s">
        <v>264</v>
      </c>
      <c r="AN55" s="1120" t="s">
        <v>265</v>
      </c>
      <c r="AO55" s="1120" t="s">
        <v>266</v>
      </c>
      <c r="AP55" s="1120" t="s">
        <v>223</v>
      </c>
      <c r="AQ55" s="1120" t="s">
        <v>267</v>
      </c>
      <c r="AR55" s="1120" t="s">
        <v>268</v>
      </c>
      <c r="AS55" s="1120" t="s">
        <v>269</v>
      </c>
      <c r="AT55" s="1120" t="s">
        <v>270</v>
      </c>
      <c r="AU55" s="1120" t="s">
        <v>224</v>
      </c>
      <c r="AV55" s="1120" t="s">
        <v>271</v>
      </c>
      <c r="AW55" s="1120" t="s">
        <v>272</v>
      </c>
      <c r="AX55" s="1120" t="s">
        <v>273</v>
      </c>
      <c r="AY55" s="1120" t="s">
        <v>274</v>
      </c>
      <c r="AZ55" s="1120" t="s">
        <v>225</v>
      </c>
      <c r="BA55" s="1120" t="s">
        <v>275</v>
      </c>
      <c r="BB55" s="1120" t="s">
        <v>276</v>
      </c>
      <c r="BC55" s="1120" t="s">
        <v>277</v>
      </c>
      <c r="BD55" s="1120" t="s">
        <v>278</v>
      </c>
      <c r="BE55" s="1120" t="s">
        <v>226</v>
      </c>
      <c r="BF55" s="1120" t="s">
        <v>279</v>
      </c>
      <c r="BG55" s="1120" t="s">
        <v>280</v>
      </c>
      <c r="BH55" s="1120" t="s">
        <v>281</v>
      </c>
      <c r="BI55" s="1120" t="s">
        <v>282</v>
      </c>
      <c r="BJ55" s="1120" t="s">
        <v>227</v>
      </c>
      <c r="BK55" s="1120" t="s">
        <v>283</v>
      </c>
      <c r="BL55" s="1120" t="s">
        <v>284</v>
      </c>
      <c r="BM55" s="1120" t="s">
        <v>285</v>
      </c>
      <c r="BN55" s="1120" t="s">
        <v>286</v>
      </c>
      <c r="BO55" s="1120" t="s">
        <v>228</v>
      </c>
      <c r="BP55" s="1120" t="s">
        <v>287</v>
      </c>
      <c r="BQ55" s="1120" t="s">
        <v>288</v>
      </c>
      <c r="BR55" s="1120" t="s">
        <v>289</v>
      </c>
      <c r="BS55" s="1120" t="s">
        <v>290</v>
      </c>
      <c r="BT55" s="1120" t="s">
        <v>229</v>
      </c>
      <c r="BU55" s="1120" t="s">
        <v>291</v>
      </c>
      <c r="BV55" s="1120" t="s">
        <v>292</v>
      </c>
      <c r="BW55" s="1120" t="s">
        <v>293</v>
      </c>
      <c r="BX55" s="1120" t="s">
        <v>294</v>
      </c>
      <c r="BY55" s="1120" t="s">
        <v>230</v>
      </c>
      <c r="BZ55" s="1120" t="s">
        <v>295</v>
      </c>
      <c r="CA55" s="1120" t="s">
        <v>296</v>
      </c>
      <c r="CB55" s="1120" t="s">
        <v>297</v>
      </c>
      <c r="CC55" s="1120" t="s">
        <v>298</v>
      </c>
      <c r="CD55" s="1120" t="s">
        <v>231</v>
      </c>
      <c r="CE55" s="1120" t="s">
        <v>299</v>
      </c>
      <c r="CF55" s="1120" t="s">
        <v>300</v>
      </c>
      <c r="CG55" s="1120" t="s">
        <v>301</v>
      </c>
      <c r="CH55" s="1120" t="s">
        <v>302</v>
      </c>
      <c r="CI55" s="1120" t="s">
        <v>232</v>
      </c>
      <c r="CJ55" s="1161" t="s">
        <v>303</v>
      </c>
    </row>
    <row r="56" spans="2:92" ht="15" thickBot="1" x14ac:dyDescent="0.25">
      <c r="B56" s="1121" t="s">
        <v>367</v>
      </c>
      <c r="C56" s="505" t="s">
        <v>368</v>
      </c>
      <c r="D56" s="506" t="s">
        <v>369</v>
      </c>
      <c r="E56" s="505" t="s">
        <v>236</v>
      </c>
      <c r="F56" s="507">
        <v>2</v>
      </c>
      <c r="G56" s="366" t="e">
        <f>SUM(ESWBLY:ESWNCT!G$40)</f>
        <v>#REF!</v>
      </c>
      <c r="H56" s="366">
        <f>SUM(ESWBLY:ESWNCT!H$40)</f>
        <v>0</v>
      </c>
      <c r="I56" s="366">
        <f>SUM(ESWBLY:ESWNCT!I$40)</f>
        <v>9.5500000000000007</v>
      </c>
      <c r="J56" s="366">
        <f>SUM(ESWBLY:ESWNCT!J$40)</f>
        <v>9.5500000000000007</v>
      </c>
      <c r="K56" s="366">
        <f>SUM(ESWBLY:ESWNCT!K$40)</f>
        <v>9.5500000000000007</v>
      </c>
      <c r="L56" s="366">
        <f>SUM(ESWBLY:ESWNCT!L$40)</f>
        <v>9.5500000000000007</v>
      </c>
      <c r="M56" s="366">
        <f>SUM(ESWBLY:ESWNCT!M$40)</f>
        <v>9.5500000000000007</v>
      </c>
      <c r="N56" s="366">
        <f>SUM(ESWBLY:ESWNCT!N$40)</f>
        <v>9.5500000000000007</v>
      </c>
      <c r="O56" s="366">
        <f>SUM(ESWBLY:ESWNCT!O$40)</f>
        <v>9.5500000000000007</v>
      </c>
      <c r="P56" s="366">
        <f>SUM(ESWBLY:ESWNCT!P$40)</f>
        <v>9.5500000000000007</v>
      </c>
      <c r="Q56" s="366">
        <f>SUM(ESWBLY:ESWNCT!Q$40)</f>
        <v>9.5500000000000007</v>
      </c>
      <c r="R56" s="366">
        <f>SUM(ESWBLY:ESWNCT!R$40)</f>
        <v>9.5500000000000007</v>
      </c>
      <c r="S56" s="366">
        <f>SUM(ESWBLY:ESWNCT!S$40)</f>
        <v>9.5500000000000007</v>
      </c>
      <c r="T56" s="366">
        <f>SUM(ESWBLY:ESWNCT!T$40)</f>
        <v>9.5500000000000007</v>
      </c>
      <c r="U56" s="366">
        <f>SUM(ESWBLY:ESWNCT!U$40)</f>
        <v>9.5500000000000007</v>
      </c>
      <c r="V56" s="366">
        <f>SUM(ESWBLY:ESWNCT!V$40)</f>
        <v>9.5500000000000007</v>
      </c>
      <c r="W56" s="366">
        <f>SUM(ESWBLY:ESWNCT!W$40)</f>
        <v>9.5500000000000007</v>
      </c>
      <c r="X56" s="366">
        <f>SUM(ESWBLY:ESWNCT!X$40)</f>
        <v>9.5500000000000007</v>
      </c>
      <c r="Y56" s="366">
        <f>SUM(ESWBLY:ESWNCT!Y$40)</f>
        <v>9.5500000000000007</v>
      </c>
      <c r="Z56" s="366">
        <f>SUM(ESWBLY:ESWNCT!Z$40)</f>
        <v>9.5500000000000007</v>
      </c>
      <c r="AA56" s="366">
        <f>SUM(ESWBLY:ESWNCT!AA$40)</f>
        <v>9.5500000000000007</v>
      </c>
      <c r="AB56" s="366">
        <f>SUM(ESWBLY:ESWNCT!AB$40)</f>
        <v>9.5500000000000007</v>
      </c>
      <c r="AC56" s="366">
        <f>SUM(ESWBLY:ESWNCT!AC$40)</f>
        <v>9.5500000000000007</v>
      </c>
      <c r="AD56" s="366">
        <f>SUM(ESWBLY:ESWNCT!AD$40)</f>
        <v>9.5500000000000007</v>
      </c>
      <c r="AE56" s="366">
        <f>SUM(ESWBLY:ESWNCT!AE$40)</f>
        <v>9.5500000000000007</v>
      </c>
      <c r="AF56" s="366">
        <f>SUM(ESWBLY:ESWNCT!AF$40)</f>
        <v>9.5500000000000007</v>
      </c>
      <c r="AG56" s="366">
        <f>SUM(ESWBLY:ESWNCT!AG$40)</f>
        <v>9.5500000000000007</v>
      </c>
      <c r="AH56" s="366">
        <f>SUM(ESWBLY:ESWNCT!AH$40)</f>
        <v>9.5500000000000007</v>
      </c>
      <c r="AI56" s="366">
        <f>SUM(ESWBLY:ESWNCT!AI$40)</f>
        <v>9.5500000000000007</v>
      </c>
      <c r="AJ56" s="366">
        <f>SUM(ESWBLY:ESWNCT!AJ$40)</f>
        <v>9.5500000000000007</v>
      </c>
      <c r="AK56" s="366">
        <f>SUM(ESWBLY:ESWNCT!AK$40)</f>
        <v>9.5500000000000007</v>
      </c>
      <c r="AL56" s="366"/>
      <c r="AM56" s="366"/>
      <c r="AN56" s="366"/>
      <c r="AO56" s="366"/>
      <c r="AP56" s="366"/>
      <c r="AQ56" s="366"/>
      <c r="AR56" s="366"/>
      <c r="AS56" s="366"/>
      <c r="AT56" s="366"/>
      <c r="AU56" s="366"/>
      <c r="AV56" s="366"/>
      <c r="AW56" s="366"/>
      <c r="AX56" s="366"/>
      <c r="AY56" s="366"/>
      <c r="AZ56" s="366"/>
      <c r="BA56" s="366"/>
      <c r="BB56" s="366"/>
      <c r="BC56" s="366"/>
      <c r="BD56" s="366"/>
      <c r="BE56" s="366"/>
      <c r="BF56" s="366"/>
      <c r="BG56" s="366"/>
      <c r="BH56" s="366"/>
      <c r="BI56" s="366"/>
      <c r="BJ56" s="366"/>
      <c r="BK56" s="366"/>
      <c r="BL56" s="366"/>
      <c r="BM56" s="366"/>
      <c r="BN56" s="366"/>
      <c r="BO56" s="366"/>
      <c r="BP56" s="366"/>
      <c r="BQ56" s="366"/>
      <c r="BR56" s="366"/>
      <c r="BS56" s="366"/>
      <c r="BT56" s="366"/>
      <c r="BU56" s="366"/>
      <c r="BV56" s="366"/>
      <c r="BW56" s="366"/>
      <c r="BX56" s="366"/>
      <c r="BY56" s="366"/>
      <c r="BZ56" s="366"/>
      <c r="CA56" s="366"/>
      <c r="CB56" s="366"/>
      <c r="CC56" s="366"/>
      <c r="CD56" s="366"/>
      <c r="CE56" s="366"/>
      <c r="CF56" s="366"/>
      <c r="CG56" s="366"/>
      <c r="CH56" s="366"/>
      <c r="CI56" s="366"/>
      <c r="CJ56" s="1154"/>
    </row>
    <row r="57" spans="2:92" ht="42.75" x14ac:dyDescent="0.2">
      <c r="B57" s="1122" t="s">
        <v>370</v>
      </c>
      <c r="C57" s="1123" t="s">
        <v>238</v>
      </c>
      <c r="D57" s="454" t="s">
        <v>371</v>
      </c>
      <c r="E57" s="1123" t="s">
        <v>239</v>
      </c>
      <c r="F57" s="455">
        <v>1</v>
      </c>
      <c r="G57" s="367" t="e">
        <f xml:space="preserve"> ( ( SUM(ESWBLY:ESWNCT!G$46) + SUM(ESWBLY:ESWNCT!G$47)  -  SUM(ESWBLY:ESWNCT!G$57) - SUM(ESWBLY:ESWNCT!G$58) ) * 1000000 )/ ( ( SUM(ESWBLY:ESWNCT!G$79) + SUM(ESWBLY:ESWNCT!G$80) ) * 1000 )</f>
        <v>#DIV/0!</v>
      </c>
      <c r="H57" s="367" t="e">
        <f xml:space="preserve"> ( ( SUM(ESWBLY:ESWNCT!H$46) + SUM(ESWBLY:ESWNCT!H$47)  -  SUM(ESWBLY:ESWNCT!H$57) - SUM(ESWBLY:ESWNCT!H$58) ) * 1000000 )/ ( ( SUM(ESWBLY:ESWNCT!H$79) + SUM(ESWBLY:ESWNCT!H$80) ) * 1000 )</f>
        <v>#DIV/0!</v>
      </c>
      <c r="I57" s="367">
        <f xml:space="preserve"> ( ( SUM(ESWBLY:ESWNCT!I$46) + SUM(ESWBLY:ESWNCT!I$47)  -  SUM(ESWBLY:ESWNCT!I$57) - SUM(ESWBLY:ESWNCT!I$58) ) * 1000000 )/ ( ( SUM(ESWBLY:ESWNCT!I$79) + SUM(ESWBLY:ESWNCT!I$80) ) * 1000 )</f>
        <v>162.92833149480998</v>
      </c>
      <c r="J57" s="367">
        <f xml:space="preserve"> ( ( SUM(ESWBLY:ESWNCT!J$46) + SUM(ESWBLY:ESWNCT!J$47)  -  SUM(ESWBLY:ESWNCT!J$57) - SUM(ESWBLY:ESWNCT!J$58) ) * 1000000 )/ ( ( SUM(ESWBLY:ESWNCT!J$79) + SUM(ESWBLY:ESWNCT!J$80) ) * 1000 )</f>
        <v>159.18828673597113</v>
      </c>
      <c r="K57" s="367">
        <f xml:space="preserve"> ( ( SUM(ESWBLY:ESWNCT!K$46) + SUM(ESWBLY:ESWNCT!K$47)  -  SUM(ESWBLY:ESWNCT!K$57) - SUM(ESWBLY:ESWNCT!K$58) ) * 1000000 )/ ( ( SUM(ESWBLY:ESWNCT!K$79) + SUM(ESWBLY:ESWNCT!K$80) ) * 1000 )</f>
        <v>156.55431783885771</v>
      </c>
      <c r="L57" s="367">
        <f xml:space="preserve"> ( ( SUM(ESWBLY:ESWNCT!L$46) + SUM(ESWBLY:ESWNCT!L$47)  -  SUM(ESWBLY:ESWNCT!L$57) - SUM(ESWBLY:ESWNCT!L$58) ) * 1000000 )/ ( ( SUM(ESWBLY:ESWNCT!L$79) + SUM(ESWBLY:ESWNCT!L$80) ) * 1000 )</f>
        <v>153.11940532609975</v>
      </c>
      <c r="M57" s="367">
        <f xml:space="preserve"> ( ( SUM(ESWBLY:ESWNCT!M$46) + SUM(ESWBLY:ESWNCT!M$47)  -  SUM(ESWBLY:ESWNCT!M$57) - SUM(ESWBLY:ESWNCT!M$58) ) * 1000000 )/ ( ( SUM(ESWBLY:ESWNCT!M$79) + SUM(ESWBLY:ESWNCT!M$80) ) * 1000 )</f>
        <v>150.43718864938424</v>
      </c>
      <c r="N57" s="367">
        <f xml:space="preserve"> ( ( SUM(ESWBLY:ESWNCT!N$46) + SUM(ESWBLY:ESWNCT!N$47)  -  SUM(ESWBLY:ESWNCT!N$57) - SUM(ESWBLY:ESWNCT!N$58) ) * 1000000 )/ ( ( SUM(ESWBLY:ESWNCT!N$79) + SUM(ESWBLY:ESWNCT!N$80) ) * 1000 )</f>
        <v>148.49634483167935</v>
      </c>
      <c r="O57" s="367">
        <f xml:space="preserve"> ( ( SUM(ESWBLY:ESWNCT!O$46) + SUM(ESWBLY:ESWNCT!O$47)  -  SUM(ESWBLY:ESWNCT!O$57) - SUM(ESWBLY:ESWNCT!O$58) ) * 1000000 )/ ( ( SUM(ESWBLY:ESWNCT!O$79) + SUM(ESWBLY:ESWNCT!O$80) ) * 1000 )</f>
        <v>147.35490899191478</v>
      </c>
      <c r="P57" s="367">
        <f xml:space="preserve"> ( ( SUM(ESWBLY:ESWNCT!P$46) + SUM(ESWBLY:ESWNCT!P$47)  -  SUM(ESWBLY:ESWNCT!P$57) - SUM(ESWBLY:ESWNCT!P$58) ) * 1000000 )/ ( ( SUM(ESWBLY:ESWNCT!P$79) + SUM(ESWBLY:ESWNCT!P$80) ) * 1000 )</f>
        <v>146.670145062328</v>
      </c>
      <c r="Q57" s="367">
        <f xml:space="preserve"> ( ( SUM(ESWBLY:ESWNCT!Q$46) + SUM(ESWBLY:ESWNCT!Q$47)  -  SUM(ESWBLY:ESWNCT!Q$57) - SUM(ESWBLY:ESWNCT!Q$58) ) * 1000000 )/ ( ( SUM(ESWBLY:ESWNCT!Q$79) + SUM(ESWBLY:ESWNCT!Q$80) ) * 1000 )</f>
        <v>146.04117940033115</v>
      </c>
      <c r="R57" s="367">
        <f xml:space="preserve"> ( ( SUM(ESWBLY:ESWNCT!R$46) + SUM(ESWBLY:ESWNCT!R$47)  -  SUM(ESWBLY:ESWNCT!R$57) - SUM(ESWBLY:ESWNCT!R$58) ) * 1000000 )/ ( ( SUM(ESWBLY:ESWNCT!R$79) + SUM(ESWBLY:ESWNCT!R$80) ) * 1000 )</f>
        <v>145.62287223010901</v>
      </c>
      <c r="S57" s="367">
        <f xml:space="preserve"> ( ( SUM(ESWBLY:ESWNCT!S$46) + SUM(ESWBLY:ESWNCT!S$47)  -  SUM(ESWBLY:ESWNCT!S$57) - SUM(ESWBLY:ESWNCT!S$58) ) * 1000000 )/ ( ( SUM(ESWBLY:ESWNCT!S$79) + SUM(ESWBLY:ESWNCT!S$80) ) * 1000 )</f>
        <v>145.24885769073771</v>
      </c>
      <c r="T57" s="367">
        <f xml:space="preserve"> ( ( SUM(ESWBLY:ESWNCT!T$46) + SUM(ESWBLY:ESWNCT!T$47)  -  SUM(ESWBLY:ESWNCT!T$57) - SUM(ESWBLY:ESWNCT!T$58) ) * 1000000 )/ ( ( SUM(ESWBLY:ESWNCT!T$79) + SUM(ESWBLY:ESWNCT!T$80) ) * 1000 )</f>
        <v>144.95261516291899</v>
      </c>
      <c r="U57" s="367">
        <f xml:space="preserve"> ( ( SUM(ESWBLY:ESWNCT!U$46) + SUM(ESWBLY:ESWNCT!U$47)  -  SUM(ESWBLY:ESWNCT!U$57) - SUM(ESWBLY:ESWNCT!U$58) ) * 1000000 )/ ( ( SUM(ESWBLY:ESWNCT!U$79) + SUM(ESWBLY:ESWNCT!U$80) ) * 1000 )</f>
        <v>144.61951429755288</v>
      </c>
      <c r="V57" s="367">
        <f xml:space="preserve"> ( ( SUM(ESWBLY:ESWNCT!V$46) + SUM(ESWBLY:ESWNCT!V$47)  -  SUM(ESWBLY:ESWNCT!V$57) - SUM(ESWBLY:ESWNCT!V$58) ) * 1000000 )/ ( ( SUM(ESWBLY:ESWNCT!V$79) + SUM(ESWBLY:ESWNCT!V$80) ) * 1000 )</f>
        <v>144.35007737670324</v>
      </c>
      <c r="W57" s="367">
        <f xml:space="preserve"> ( ( SUM(ESWBLY:ESWNCT!W$46) + SUM(ESWBLY:ESWNCT!W$47)  -  SUM(ESWBLY:ESWNCT!W$57) - SUM(ESWBLY:ESWNCT!W$58) ) * 1000000 )/ ( ( SUM(ESWBLY:ESWNCT!W$79) + SUM(ESWBLY:ESWNCT!W$80) ) * 1000 )</f>
        <v>144.07792114908082</v>
      </c>
      <c r="X57" s="367">
        <f xml:space="preserve"> ( ( SUM(ESWBLY:ESWNCT!X$46) + SUM(ESWBLY:ESWNCT!X$47)  -  SUM(ESWBLY:ESWNCT!X$57) - SUM(ESWBLY:ESWNCT!X$58) ) * 1000000 )/ ( ( SUM(ESWBLY:ESWNCT!X$79) + SUM(ESWBLY:ESWNCT!X$80) ) * 1000 )</f>
        <v>143.85489545580748</v>
      </c>
      <c r="Y57" s="367">
        <f xml:space="preserve"> ( ( SUM(ESWBLY:ESWNCT!Y$46) + SUM(ESWBLY:ESWNCT!Y$47)  -  SUM(ESWBLY:ESWNCT!Y$57) - SUM(ESWBLY:ESWNCT!Y$58) ) * 1000000 )/ ( ( SUM(ESWBLY:ESWNCT!Y$79) + SUM(ESWBLY:ESWNCT!Y$80) ) * 1000 )</f>
        <v>143.64929268941549</v>
      </c>
      <c r="Z57" s="367">
        <f xml:space="preserve"> ( ( SUM(ESWBLY:ESWNCT!Z$46) + SUM(ESWBLY:ESWNCT!Z$47)  -  SUM(ESWBLY:ESWNCT!Z$57) - SUM(ESWBLY:ESWNCT!Z$58) ) * 1000000 )/ ( ( SUM(ESWBLY:ESWNCT!Z$79) + SUM(ESWBLY:ESWNCT!Z$80) ) * 1000 )</f>
        <v>143.46116275757709</v>
      </c>
      <c r="AA57" s="367">
        <f xml:space="preserve"> ( ( SUM(ESWBLY:ESWNCT!AA$46) + SUM(ESWBLY:ESWNCT!AA$47)  -  SUM(ESWBLY:ESWNCT!AA$57) - SUM(ESWBLY:ESWNCT!AA$58) ) * 1000000 )/ ( ( SUM(ESWBLY:ESWNCT!AA$79) + SUM(ESWBLY:ESWNCT!AA$80) ) * 1000 )</f>
        <v>143.25293607736305</v>
      </c>
      <c r="AB57" s="367">
        <f xml:space="preserve"> ( ( SUM(ESWBLY:ESWNCT!AB$46) + SUM(ESWBLY:ESWNCT!AB$47)  -  SUM(ESWBLY:ESWNCT!AB$57) - SUM(ESWBLY:ESWNCT!AB$58) ) * 1000000 )/ ( ( SUM(ESWBLY:ESWNCT!AB$79) + SUM(ESWBLY:ESWNCT!AB$80) ) * 1000 )</f>
        <v>141.80642688464602</v>
      </c>
      <c r="AC57" s="367">
        <f xml:space="preserve"> ( ( SUM(ESWBLY:ESWNCT!AC$46) + SUM(ESWBLY:ESWNCT!AC$47)  -  SUM(ESWBLY:ESWNCT!AC$57) - SUM(ESWBLY:ESWNCT!AC$58) ) * 1000000 )/ ( ( SUM(ESWBLY:ESWNCT!AC$79) + SUM(ESWBLY:ESWNCT!AC$80) ) * 1000 )</f>
        <v>141.59856625407005</v>
      </c>
      <c r="AD57" s="367">
        <f xml:space="preserve"> ( ( SUM(ESWBLY:ESWNCT!AD$46) + SUM(ESWBLY:ESWNCT!AD$47)  -  SUM(ESWBLY:ESWNCT!AD$57) - SUM(ESWBLY:ESWNCT!AD$58) ) * 1000000 )/ ( ( SUM(ESWBLY:ESWNCT!AD$79) + SUM(ESWBLY:ESWNCT!AD$80) ) * 1000 )</f>
        <v>141.41815952094893</v>
      </c>
      <c r="AE57" s="367">
        <f xml:space="preserve"> ( ( SUM(ESWBLY:ESWNCT!AE$46) + SUM(ESWBLY:ESWNCT!AE$47)  -  SUM(ESWBLY:ESWNCT!AE$57) - SUM(ESWBLY:ESWNCT!AE$58) ) * 1000000 )/ ( ( SUM(ESWBLY:ESWNCT!AE$79) + SUM(ESWBLY:ESWNCT!AE$80) ) * 1000 )</f>
        <v>141.2227069906869</v>
      </c>
      <c r="AF57" s="367">
        <f xml:space="preserve"> ( ( SUM(ESWBLY:ESWNCT!AF$46) + SUM(ESWBLY:ESWNCT!AF$47)  -  SUM(ESWBLY:ESWNCT!AF$57) - SUM(ESWBLY:ESWNCT!AF$58) ) * 1000000 )/ ( ( SUM(ESWBLY:ESWNCT!AF$79) + SUM(ESWBLY:ESWNCT!AF$80) ) * 1000 )</f>
        <v>141.02407034042147</v>
      </c>
      <c r="AG57" s="367">
        <f xml:space="preserve"> ( ( SUM(ESWBLY:ESWNCT!AG$46) + SUM(ESWBLY:ESWNCT!AG$47)  -  SUM(ESWBLY:ESWNCT!AG$57) - SUM(ESWBLY:ESWNCT!AG$58) ) * 1000000 )/ ( ( SUM(ESWBLY:ESWNCT!AG$79) + SUM(ESWBLY:ESWNCT!AG$80) ) * 1000 )</f>
        <v>140.54258606956739</v>
      </c>
      <c r="AH57" s="367">
        <f xml:space="preserve"> ( ( SUM(ESWBLY:ESWNCT!AH$46) + SUM(ESWBLY:ESWNCT!AH$47)  -  SUM(ESWBLY:ESWNCT!AH$57) - SUM(ESWBLY:ESWNCT!AH$58) ) * 1000000 )/ ( ( SUM(ESWBLY:ESWNCT!AH$79) + SUM(ESWBLY:ESWNCT!AH$80) ) * 1000 )</f>
        <v>138.67706756208736</v>
      </c>
      <c r="AI57" s="367">
        <f xml:space="preserve"> ( ( SUM(ESWBLY:ESWNCT!AI$46) + SUM(ESWBLY:ESWNCT!AI$47)  -  SUM(ESWBLY:ESWNCT!AI$57) - SUM(ESWBLY:ESWNCT!AI$58) ) * 1000000 )/ ( ( SUM(ESWBLY:ESWNCT!AI$79) + SUM(ESWBLY:ESWNCT!AI$80) ) * 1000 )</f>
        <v>138.4831609194753</v>
      </c>
      <c r="AJ57" s="367">
        <f xml:space="preserve"> ( ( SUM(ESWBLY:ESWNCT!AJ$46) + SUM(ESWBLY:ESWNCT!AJ$47)  -  SUM(ESWBLY:ESWNCT!AJ$57) - SUM(ESWBLY:ESWNCT!AJ$58) ) * 1000000 )/ ( ( SUM(ESWBLY:ESWNCT!AJ$79) + SUM(ESWBLY:ESWNCT!AJ$80) ) * 1000 )</f>
        <v>137.43683793465593</v>
      </c>
      <c r="AK57" s="367">
        <f xml:space="preserve"> ( ( SUM(ESWBLY:ESWNCT!AK$46) + SUM(ESWBLY:ESWNCT!AK$47)  -  SUM(ESWBLY:ESWNCT!AK$57) - SUM(ESWBLY:ESWNCT!AK$58) ) * 1000000 )/ ( ( SUM(ESWBLY:ESWNCT!AK$79) + SUM(ESWBLY:ESWNCT!AK$80) ) * 1000 )</f>
        <v>137.23157775648374</v>
      </c>
      <c r="AL57" s="367"/>
      <c r="AM57" s="367"/>
      <c r="AN57" s="367"/>
      <c r="AO57" s="367"/>
      <c r="AP57" s="367"/>
      <c r="AQ57" s="367"/>
      <c r="AR57" s="367"/>
      <c r="AS57" s="367"/>
      <c r="AT57" s="367"/>
      <c r="AU57" s="367"/>
      <c r="AV57" s="367"/>
      <c r="AW57" s="367"/>
      <c r="AX57" s="367"/>
      <c r="AY57" s="367"/>
      <c r="AZ57" s="367"/>
      <c r="BA57" s="367"/>
      <c r="BB57" s="367"/>
      <c r="BC57" s="367"/>
      <c r="BD57" s="367"/>
      <c r="BE57" s="367"/>
      <c r="BF57" s="367"/>
      <c r="BG57" s="367"/>
      <c r="BH57" s="367"/>
      <c r="BI57" s="367"/>
      <c r="BJ57" s="367"/>
      <c r="BK57" s="367"/>
      <c r="BL57" s="367"/>
      <c r="BM57" s="367"/>
      <c r="BN57" s="367"/>
      <c r="BO57" s="367"/>
      <c r="BP57" s="367"/>
      <c r="BQ57" s="367"/>
      <c r="BR57" s="367"/>
      <c r="BS57" s="367"/>
      <c r="BT57" s="367"/>
      <c r="BU57" s="367"/>
      <c r="BV57" s="367"/>
      <c r="BW57" s="367"/>
      <c r="BX57" s="367"/>
      <c r="BY57" s="367"/>
      <c r="BZ57" s="367"/>
      <c r="CA57" s="367"/>
      <c r="CB57" s="367"/>
      <c r="CC57" s="367"/>
      <c r="CD57" s="367"/>
      <c r="CE57" s="367"/>
      <c r="CF57" s="367"/>
      <c r="CG57" s="367"/>
      <c r="CH57" s="367"/>
      <c r="CI57" s="367"/>
      <c r="CJ57" s="1155"/>
    </row>
    <row r="58" spans="2:92" ht="28.5" x14ac:dyDescent="0.2">
      <c r="B58" s="1124" t="s">
        <v>372</v>
      </c>
      <c r="C58" s="1125" t="s">
        <v>373</v>
      </c>
      <c r="D58" s="456" t="s">
        <v>374</v>
      </c>
      <c r="E58" s="1125" t="s">
        <v>375</v>
      </c>
      <c r="F58" s="457">
        <v>1</v>
      </c>
      <c r="G58" s="368" t="e">
        <f>( SUM(ESWBLY:ESWNCT!G$66) ) / ( SUM(ESWBLY:ESWNCT!G$66) + SUM(ESWBLY:ESWNCT!G$73) + SUM(ESWBLY:ESWNCT!G$74) + SUM(ESWBLY:ESWNCT!G$75) )</f>
        <v>#DIV/0!</v>
      </c>
      <c r="H58" s="368" t="e">
        <f>( SUM(ESWBLY:ESWNCT!H$66) ) / ( SUM(ESWBLY:ESWNCT!H$66) + SUM(ESWBLY:ESWNCT!H$73) + SUM(ESWBLY:ESWNCT!H$74) + SUM(ESWBLY:ESWNCT!H$75) )</f>
        <v>#DIV/0!</v>
      </c>
      <c r="I58" s="368">
        <f>( SUM(ESWBLY:ESWNCT!I$66) ) / ( SUM(ESWBLY:ESWNCT!I$66) + SUM(ESWBLY:ESWNCT!I$73) + SUM(ESWBLY:ESWNCT!I$74) + SUM(ESWBLY:ESWNCT!I$75) )</f>
        <v>0.62471602944206739</v>
      </c>
      <c r="J58" s="368">
        <f>( SUM(ESWBLY:ESWNCT!J$66) ) / ( SUM(ESWBLY:ESWNCT!J$66) + SUM(ESWBLY:ESWNCT!J$73) + SUM(ESWBLY:ESWNCT!J$74) + SUM(ESWBLY:ESWNCT!J$75) )</f>
        <v>0.63604472605771623</v>
      </c>
      <c r="K58" s="368">
        <f>( SUM(ESWBLY:ESWNCT!K$66) ) / ( SUM(ESWBLY:ESWNCT!K$66) + SUM(ESWBLY:ESWNCT!K$73) + SUM(ESWBLY:ESWNCT!K$74) + SUM(ESWBLY:ESWNCT!K$75) )</f>
        <v>0.65166577023087258</v>
      </c>
      <c r="L58" s="368">
        <f>( SUM(ESWBLY:ESWNCT!L$66) ) / ( SUM(ESWBLY:ESWNCT!L$66) + SUM(ESWBLY:ESWNCT!L$73) + SUM(ESWBLY:ESWNCT!L$74) + SUM(ESWBLY:ESWNCT!L$75) )</f>
        <v>0.67179893595438767</v>
      </c>
      <c r="M58" s="368">
        <f>( SUM(ESWBLY:ESWNCT!M$66) ) / ( SUM(ESWBLY:ESWNCT!M$66) + SUM(ESWBLY:ESWNCT!M$73) + SUM(ESWBLY:ESWNCT!M$74) + SUM(ESWBLY:ESWNCT!M$75) )</f>
        <v>0.71230624583298863</v>
      </c>
      <c r="N58" s="368">
        <f>( SUM(ESWBLY:ESWNCT!N$66) ) / ( SUM(ESWBLY:ESWNCT!N$66) + SUM(ESWBLY:ESWNCT!N$73) + SUM(ESWBLY:ESWNCT!N$74) + SUM(ESWBLY:ESWNCT!N$75) )</f>
        <v>0.75982242973174741</v>
      </c>
      <c r="O58" s="368">
        <f>( SUM(ESWBLY:ESWNCT!O$66) ) / ( SUM(ESWBLY:ESWNCT!O$66) + SUM(ESWBLY:ESWNCT!O$73) + SUM(ESWBLY:ESWNCT!O$74) + SUM(ESWBLY:ESWNCT!O$75) )</f>
        <v>0.78293349834586023</v>
      </c>
      <c r="P58" s="368">
        <f>( SUM(ESWBLY:ESWNCT!P$66) ) / ( SUM(ESWBLY:ESWNCT!P$66) + SUM(ESWBLY:ESWNCT!P$73) + SUM(ESWBLY:ESWNCT!P$74) + SUM(ESWBLY:ESWNCT!P$75) )</f>
        <v>0.79093649332129501</v>
      </c>
      <c r="Q58" s="368">
        <f>( SUM(ESWBLY:ESWNCT!Q$66) ) / ( SUM(ESWBLY:ESWNCT!Q$66) + SUM(ESWBLY:ESWNCT!Q$73) + SUM(ESWBLY:ESWNCT!Q$74) + SUM(ESWBLY:ESWNCT!Q$75) )</f>
        <v>0.79825675747455793</v>
      </c>
      <c r="R58" s="368">
        <f>( SUM(ESWBLY:ESWNCT!R$66) ) / ( SUM(ESWBLY:ESWNCT!R$66) + SUM(ESWBLY:ESWNCT!R$73) + SUM(ESWBLY:ESWNCT!R$74) + SUM(ESWBLY:ESWNCT!R$75) )</f>
        <v>0.80366160348400562</v>
      </c>
      <c r="S58" s="368">
        <f>( SUM(ESWBLY:ESWNCT!S$66) ) / ( SUM(ESWBLY:ESWNCT!S$66) + SUM(ESWBLY:ESWNCT!S$73) + SUM(ESWBLY:ESWNCT!S$74) + SUM(ESWBLY:ESWNCT!S$75) )</f>
        <v>0.80731039396048487</v>
      </c>
      <c r="T58" s="368">
        <f>( SUM(ESWBLY:ESWNCT!T$66) ) / ( SUM(ESWBLY:ESWNCT!T$66) + SUM(ESWBLY:ESWNCT!T$73) + SUM(ESWBLY:ESWNCT!T$74) + SUM(ESWBLY:ESWNCT!T$75) )</f>
        <v>0.81079881028664935</v>
      </c>
      <c r="U58" s="368">
        <f>( SUM(ESWBLY:ESWNCT!U$66) ) / ( SUM(ESWBLY:ESWNCT!U$66) + SUM(ESWBLY:ESWNCT!U$73) + SUM(ESWBLY:ESWNCT!U$74) + SUM(ESWBLY:ESWNCT!U$75) )</f>
        <v>0.81409319718081874</v>
      </c>
      <c r="V58" s="368">
        <f>( SUM(ESWBLY:ESWNCT!V$66) ) / ( SUM(ESWBLY:ESWNCT!V$66) + SUM(ESWBLY:ESWNCT!V$73) + SUM(ESWBLY:ESWNCT!V$74) + SUM(ESWBLY:ESWNCT!V$75) )</f>
        <v>0.817454922730805</v>
      </c>
      <c r="W58" s="368">
        <f>( SUM(ESWBLY:ESWNCT!W$66) ) / ( SUM(ESWBLY:ESWNCT!W$66) + SUM(ESWBLY:ESWNCT!W$73) + SUM(ESWBLY:ESWNCT!W$74) + SUM(ESWBLY:ESWNCT!W$75) )</f>
        <v>0.81987896784300462</v>
      </c>
      <c r="X58" s="368">
        <f>( SUM(ESWBLY:ESWNCT!X$66) ) / ( SUM(ESWBLY:ESWNCT!X$66) + SUM(ESWBLY:ESWNCT!X$73) + SUM(ESWBLY:ESWNCT!X$74) + SUM(ESWBLY:ESWNCT!X$75) )</f>
        <v>0.8214351100071875</v>
      </c>
      <c r="Y58" s="368">
        <f>( SUM(ESWBLY:ESWNCT!Y$66) ) / ( SUM(ESWBLY:ESWNCT!Y$66) + SUM(ESWBLY:ESWNCT!Y$73) + SUM(ESWBLY:ESWNCT!Y$74) + SUM(ESWBLY:ESWNCT!Y$75) )</f>
        <v>0.82298857762368594</v>
      </c>
      <c r="Z58" s="368">
        <f>( SUM(ESWBLY:ESWNCT!Z$66) ) / ( SUM(ESWBLY:ESWNCT!Z$66) + SUM(ESWBLY:ESWNCT!Z$73) + SUM(ESWBLY:ESWNCT!Z$74) + SUM(ESWBLY:ESWNCT!Z$75) )</f>
        <v>0.82453706232644086</v>
      </c>
      <c r="AA58" s="368">
        <f>( SUM(ESWBLY:ESWNCT!AA$66) ) / ( SUM(ESWBLY:ESWNCT!AA$66) + SUM(ESWBLY:ESWNCT!AA$73) + SUM(ESWBLY:ESWNCT!AA$74) + SUM(ESWBLY:ESWNCT!AA$75) )</f>
        <v>0.82607858244333976</v>
      </c>
      <c r="AB58" s="368">
        <f>( SUM(ESWBLY:ESWNCT!AB$66) ) / ( SUM(ESWBLY:ESWNCT!AB$66) + SUM(ESWBLY:ESWNCT!AB$73) + SUM(ESWBLY:ESWNCT!AB$74) + SUM(ESWBLY:ESWNCT!AB$75) )</f>
        <v>0.82761420172951983</v>
      </c>
      <c r="AC58" s="368">
        <f>( SUM(ESWBLY:ESWNCT!AC$66) ) / ( SUM(ESWBLY:ESWNCT!AC$66) + SUM(ESWBLY:ESWNCT!AC$73) + SUM(ESWBLY:ESWNCT!AC$74) + SUM(ESWBLY:ESWNCT!AC$75) )</f>
        <v>0.82914460691203029</v>
      </c>
      <c r="AD58" s="368">
        <f>( SUM(ESWBLY:ESWNCT!AD$66) ) / ( SUM(ESWBLY:ESWNCT!AD$66) + SUM(ESWBLY:ESWNCT!AD$73) + SUM(ESWBLY:ESWNCT!AD$74) + SUM(ESWBLY:ESWNCT!AD$75) )</f>
        <v>0.83066914772548839</v>
      </c>
      <c r="AE58" s="368">
        <f>( SUM(ESWBLY:ESWNCT!AE$66) ) / ( SUM(ESWBLY:ESWNCT!AE$66) + SUM(ESWBLY:ESWNCT!AE$73) + SUM(ESWBLY:ESWNCT!AE$74) + SUM(ESWBLY:ESWNCT!AE$75) )</f>
        <v>0.83218770015526522</v>
      </c>
      <c r="AF58" s="368">
        <f>( SUM(ESWBLY:ESWNCT!AF$66) ) / ( SUM(ESWBLY:ESWNCT!AF$66) + SUM(ESWBLY:ESWNCT!AF$73) + SUM(ESWBLY:ESWNCT!AF$74) + SUM(ESWBLY:ESWNCT!AF$75) )</f>
        <v>0.83369981964669582</v>
      </c>
      <c r="AG58" s="368">
        <f>( SUM(ESWBLY:ESWNCT!AG$66) ) / ( SUM(ESWBLY:ESWNCT!AG$66) + SUM(ESWBLY:ESWNCT!AG$73) + SUM(ESWBLY:ESWNCT!AG$74) + SUM(ESWBLY:ESWNCT!AG$75) )</f>
        <v>0.83520426713495022</v>
      </c>
      <c r="AH58" s="368">
        <f>( SUM(ESWBLY:ESWNCT!AH$66) ) / ( SUM(ESWBLY:ESWNCT!AH$66) + SUM(ESWBLY:ESWNCT!AH$73) + SUM(ESWBLY:ESWNCT!AH$74) + SUM(ESWBLY:ESWNCT!AH$75) )</f>
        <v>0.83670090690000942</v>
      </c>
      <c r="AI58" s="368">
        <f>( SUM(ESWBLY:ESWNCT!AI$66) ) / ( SUM(ESWBLY:ESWNCT!AI$66) + SUM(ESWBLY:ESWNCT!AI$73) + SUM(ESWBLY:ESWNCT!AI$74) + SUM(ESWBLY:ESWNCT!AI$75) )</f>
        <v>0.8381892598993993</v>
      </c>
      <c r="AJ58" s="368">
        <f>( SUM(ESWBLY:ESWNCT!AJ$66) ) / ( SUM(ESWBLY:ESWNCT!AJ$66) + SUM(ESWBLY:ESWNCT!AJ$73) + SUM(ESWBLY:ESWNCT!AJ$74) + SUM(ESWBLY:ESWNCT!AJ$75) )</f>
        <v>0.83966890182224152</v>
      </c>
      <c r="AK58" s="368">
        <f>( SUM(ESWBLY:ESWNCT!AK$66) ) / ( SUM(ESWBLY:ESWNCT!AK$66) + SUM(ESWBLY:ESWNCT!AK$73) + SUM(ESWBLY:ESWNCT!AK$74) + SUM(ESWBLY:ESWNCT!AK$75) )</f>
        <v>0.8411394216775111</v>
      </c>
      <c r="AL58" s="368"/>
      <c r="AM58" s="368"/>
      <c r="AN58" s="368"/>
      <c r="AO58" s="368"/>
      <c r="AP58" s="368"/>
      <c r="AQ58" s="368"/>
      <c r="AR58" s="368"/>
      <c r="AS58" s="368"/>
      <c r="AT58" s="368"/>
      <c r="AU58" s="368"/>
      <c r="AV58" s="368"/>
      <c r="AW58" s="368"/>
      <c r="AX58" s="368"/>
      <c r="AY58" s="368"/>
      <c r="AZ58" s="368"/>
      <c r="BA58" s="368"/>
      <c r="BB58" s="368"/>
      <c r="BC58" s="368"/>
      <c r="BD58" s="368"/>
      <c r="BE58" s="368"/>
      <c r="BF58" s="368"/>
      <c r="BG58" s="368"/>
      <c r="BH58" s="368"/>
      <c r="BI58" s="368"/>
      <c r="BJ58" s="368"/>
      <c r="BK58" s="368"/>
      <c r="BL58" s="368"/>
      <c r="BM58" s="368"/>
      <c r="BN58" s="368"/>
      <c r="BO58" s="368"/>
      <c r="BP58" s="368"/>
      <c r="BQ58" s="368"/>
      <c r="BR58" s="368"/>
      <c r="BS58" s="368"/>
      <c r="BT58" s="368"/>
      <c r="BU58" s="368"/>
      <c r="BV58" s="368"/>
      <c r="BW58" s="368"/>
      <c r="BX58" s="368"/>
      <c r="BY58" s="368"/>
      <c r="BZ58" s="368"/>
      <c r="CA58" s="368"/>
      <c r="CB58" s="368"/>
      <c r="CC58" s="368"/>
      <c r="CD58" s="368"/>
      <c r="CE58" s="368"/>
      <c r="CF58" s="368"/>
      <c r="CG58" s="368"/>
      <c r="CH58" s="368"/>
      <c r="CI58" s="368"/>
      <c r="CJ58" s="1156"/>
    </row>
    <row r="59" spans="2:92" ht="29.25" thickBot="1" x14ac:dyDescent="0.25">
      <c r="B59" s="1124" t="s">
        <v>376</v>
      </c>
      <c r="C59" s="1125" t="s">
        <v>377</v>
      </c>
      <c r="D59" s="456" t="s">
        <v>378</v>
      </c>
      <c r="E59" s="1125" t="s">
        <v>236</v>
      </c>
      <c r="F59" s="457">
        <v>2</v>
      </c>
      <c r="G59" s="369">
        <f>SUM(ESWBLY:ESWNCT!G$43) + SUM(ESWBLY:ESWNCT!G$45) - SUM(ESWBLY:ESWNCT!G$55) - SUM(ESWBLY:ESWNCT!G$56)</f>
        <v>0</v>
      </c>
      <c r="H59" s="369">
        <f>SUM(ESWBLY:ESWNCT!H$43) + SUM(ESWBLY:ESWNCT!H$45) - SUM(ESWBLY:ESWNCT!H$55) - SUM(ESWBLY:ESWNCT!H$56)</f>
        <v>0</v>
      </c>
      <c r="I59" s="369">
        <f>SUM(ESWBLY:ESWNCT!I$43) + SUM(ESWBLY:ESWNCT!I$45) - SUM(ESWBLY:ESWNCT!I$55) - SUM(ESWBLY:ESWNCT!I$56)</f>
        <v>68.927520376858723</v>
      </c>
      <c r="J59" s="369">
        <f>SUM(ESWBLY:ESWNCT!J$43) + SUM(ESWBLY:ESWNCT!J$45) - SUM(ESWBLY:ESWNCT!J$55) - SUM(ESWBLY:ESWNCT!J$56)</f>
        <v>74.785132067173777</v>
      </c>
      <c r="K59" s="369">
        <f>SUM(ESWBLY:ESWNCT!K$43) + SUM(ESWBLY:ESWNCT!K$45) - SUM(ESWBLY:ESWNCT!K$55) - SUM(ESWBLY:ESWNCT!K$56)</f>
        <v>78.841797060526417</v>
      </c>
      <c r="L59" s="369">
        <f>SUM(ESWBLY:ESWNCT!L$43) + SUM(ESWBLY:ESWNCT!L$45) - SUM(ESWBLY:ESWNCT!L$55) - SUM(ESWBLY:ESWNCT!L$56)</f>
        <v>82.387391560388068</v>
      </c>
      <c r="M59" s="369">
        <f>SUM(ESWBLY:ESWNCT!M$43) + SUM(ESWBLY:ESWNCT!M$45) - SUM(ESWBLY:ESWNCT!M$55) - SUM(ESWBLY:ESWNCT!M$56)</f>
        <v>87.699031511811256</v>
      </c>
      <c r="N59" s="369">
        <f>SUM(ESWBLY:ESWNCT!N$43) + SUM(ESWBLY:ESWNCT!N$45) - SUM(ESWBLY:ESWNCT!N$55) - SUM(ESWBLY:ESWNCT!N$56)</f>
        <v>88.781702169039875</v>
      </c>
      <c r="O59" s="369">
        <f>SUM(ESWBLY:ESWNCT!O$43) + SUM(ESWBLY:ESWNCT!O$45) - SUM(ESWBLY:ESWNCT!O$55) - SUM(ESWBLY:ESWNCT!O$56)</f>
        <v>90.126349819049707</v>
      </c>
      <c r="P59" s="369">
        <f>SUM(ESWBLY:ESWNCT!P$43) + SUM(ESWBLY:ESWNCT!P$45) - SUM(ESWBLY:ESWNCT!P$55) - SUM(ESWBLY:ESWNCT!P$56)</f>
        <v>91.592578301619653</v>
      </c>
      <c r="Q59" s="369">
        <f>SUM(ESWBLY:ESWNCT!Q$43) + SUM(ESWBLY:ESWNCT!Q$45) - SUM(ESWBLY:ESWNCT!Q$55) - SUM(ESWBLY:ESWNCT!Q$56)</f>
        <v>92.527232708930853</v>
      </c>
      <c r="R59" s="369">
        <f>SUM(ESWBLY:ESWNCT!R$43) + SUM(ESWBLY:ESWNCT!R$45) - SUM(ESWBLY:ESWNCT!R$55) - SUM(ESWBLY:ESWNCT!R$56)</f>
        <v>93.057344694768105</v>
      </c>
      <c r="S59" s="369">
        <f>SUM(ESWBLY:ESWNCT!S$43) + SUM(ESWBLY:ESWNCT!S$45) - SUM(ESWBLY:ESWNCT!S$55) - SUM(ESWBLY:ESWNCT!S$56)</f>
        <v>93.119867130801524</v>
      </c>
      <c r="T59" s="369">
        <f>SUM(ESWBLY:ESWNCT!T$43) + SUM(ESWBLY:ESWNCT!T$45) - SUM(ESWBLY:ESWNCT!T$55) - SUM(ESWBLY:ESWNCT!T$56)</f>
        <v>95.815707975811947</v>
      </c>
      <c r="U59" s="369">
        <f>SUM(ESWBLY:ESWNCT!U$43) + SUM(ESWBLY:ESWNCT!U$45) - SUM(ESWBLY:ESWNCT!U$55) - SUM(ESWBLY:ESWNCT!U$56)</f>
        <v>96.059240018246641</v>
      </c>
      <c r="V59" s="369">
        <f>SUM(ESWBLY:ESWNCT!V$43) + SUM(ESWBLY:ESWNCT!V$45) - SUM(ESWBLY:ESWNCT!V$55) - SUM(ESWBLY:ESWNCT!V$56)</f>
        <v>95.984584926875627</v>
      </c>
      <c r="W59" s="369">
        <f>SUM(ESWBLY:ESWNCT!W$43) + SUM(ESWBLY:ESWNCT!W$45) - SUM(ESWBLY:ESWNCT!W$55) - SUM(ESWBLY:ESWNCT!W$56)</f>
        <v>95.770791775599108</v>
      </c>
      <c r="X59" s="369">
        <f>SUM(ESWBLY:ESWNCT!X$43) + SUM(ESWBLY:ESWNCT!X$45) - SUM(ESWBLY:ESWNCT!X$55) - SUM(ESWBLY:ESWNCT!X$56)</f>
        <v>95.217276195065367</v>
      </c>
      <c r="Y59" s="369">
        <f>SUM(ESWBLY:ESWNCT!Y$43) + SUM(ESWBLY:ESWNCT!Y$45) - SUM(ESWBLY:ESWNCT!Y$55) - SUM(ESWBLY:ESWNCT!Y$56)</f>
        <v>94.707093703971779</v>
      </c>
      <c r="Z59" s="369">
        <f>SUM(ESWBLY:ESWNCT!Z$43) + SUM(ESWBLY:ESWNCT!Z$45) - SUM(ESWBLY:ESWNCT!Z$55) - SUM(ESWBLY:ESWNCT!Z$56)</f>
        <v>94.240336706523777</v>
      </c>
      <c r="AA59" s="369">
        <f>SUM(ESWBLY:ESWNCT!AA$43) + SUM(ESWBLY:ESWNCT!AA$45) - SUM(ESWBLY:ESWNCT!AA$55) - SUM(ESWBLY:ESWNCT!AA$56)</f>
        <v>94.28771208511327</v>
      </c>
      <c r="AB59" s="369">
        <f>SUM(ESWBLY:ESWNCT!AB$43) + SUM(ESWBLY:ESWNCT!AB$45) - SUM(ESWBLY:ESWNCT!AB$55) - SUM(ESWBLY:ESWNCT!AB$56)</f>
        <v>94.334777947194951</v>
      </c>
      <c r="AC59" s="369">
        <f>SUM(ESWBLY:ESWNCT!AC$43) + SUM(ESWBLY:ESWNCT!AC$45) - SUM(ESWBLY:ESWNCT!AC$55) - SUM(ESWBLY:ESWNCT!AC$56)</f>
        <v>94.37889973826185</v>
      </c>
      <c r="AD59" s="369">
        <f>SUM(ESWBLY:ESWNCT!AD$43) + SUM(ESWBLY:ESWNCT!AD$45) - SUM(ESWBLY:ESWNCT!AD$55) - SUM(ESWBLY:ESWNCT!AD$56)</f>
        <v>94.421075094065159</v>
      </c>
      <c r="AE59" s="369">
        <f>SUM(ESWBLY:ESWNCT!AE$43) + SUM(ESWBLY:ESWNCT!AE$45) - SUM(ESWBLY:ESWNCT!AE$55) - SUM(ESWBLY:ESWNCT!AE$56)</f>
        <v>94.462543191702451</v>
      </c>
      <c r="AF59" s="369">
        <f>SUM(ESWBLY:ESWNCT!AF$43) + SUM(ESWBLY:ESWNCT!AF$45) - SUM(ESWBLY:ESWNCT!AF$55) - SUM(ESWBLY:ESWNCT!AF$56)</f>
        <v>94.505526675771137</v>
      </c>
      <c r="AG59" s="369">
        <f>SUM(ESWBLY:ESWNCT!AG$43) + SUM(ESWBLY:ESWNCT!AG$45) - SUM(ESWBLY:ESWNCT!AG$55) - SUM(ESWBLY:ESWNCT!AG$56)</f>
        <v>94.549029361991956</v>
      </c>
      <c r="AH59" s="369">
        <f>SUM(ESWBLY:ESWNCT!AH$43) + SUM(ESWBLY:ESWNCT!AH$45) - SUM(ESWBLY:ESWNCT!AH$55) - SUM(ESWBLY:ESWNCT!AH$56)</f>
        <v>94.592296872773147</v>
      </c>
      <c r="AI59" s="369">
        <f>SUM(ESWBLY:ESWNCT!AI$43) + SUM(ESWBLY:ESWNCT!AI$45) - SUM(ESWBLY:ESWNCT!AI$55) - SUM(ESWBLY:ESWNCT!AI$56)</f>
        <v>94.635324056129136</v>
      </c>
      <c r="AJ59" s="369">
        <f>SUM(ESWBLY:ESWNCT!AJ$43) + SUM(ESWBLY:ESWNCT!AJ$45) - SUM(ESWBLY:ESWNCT!AJ$55) - SUM(ESWBLY:ESWNCT!AJ$56)</f>
        <v>94.678458098676273</v>
      </c>
      <c r="AK59" s="369">
        <f>SUM(ESWBLY:ESWNCT!AK$43) + SUM(ESWBLY:ESWNCT!AK$45) - SUM(ESWBLY:ESWNCT!AK$55) - SUM(ESWBLY:ESWNCT!AK$56)</f>
        <v>94.721185865675679</v>
      </c>
      <c r="AL59" s="369"/>
      <c r="AM59" s="369"/>
      <c r="AN59" s="369"/>
      <c r="AO59" s="369"/>
      <c r="AP59" s="369"/>
      <c r="AQ59" s="369"/>
      <c r="AR59" s="369"/>
      <c r="AS59" s="369"/>
      <c r="AT59" s="369"/>
      <c r="AU59" s="369"/>
      <c r="AV59" s="369"/>
      <c r="AW59" s="369"/>
      <c r="AX59" s="369"/>
      <c r="AY59" s="369"/>
      <c r="AZ59" s="369"/>
      <c r="BA59" s="369"/>
      <c r="BB59" s="369"/>
      <c r="BC59" s="369"/>
      <c r="BD59" s="369"/>
      <c r="BE59" s="369"/>
      <c r="BF59" s="369"/>
      <c r="BG59" s="369"/>
      <c r="BH59" s="369"/>
      <c r="BI59" s="369"/>
      <c r="BJ59" s="369"/>
      <c r="BK59" s="369"/>
      <c r="BL59" s="369"/>
      <c r="BM59" s="369"/>
      <c r="BN59" s="369"/>
      <c r="BO59" s="369"/>
      <c r="BP59" s="369"/>
      <c r="BQ59" s="369"/>
      <c r="BR59" s="369"/>
      <c r="BS59" s="369"/>
      <c r="BT59" s="369"/>
      <c r="BU59" s="369"/>
      <c r="BV59" s="369"/>
      <c r="BW59" s="369"/>
      <c r="BX59" s="369"/>
      <c r="BY59" s="369"/>
      <c r="BZ59" s="369"/>
      <c r="CA59" s="369"/>
      <c r="CB59" s="369"/>
      <c r="CC59" s="369"/>
      <c r="CD59" s="369"/>
      <c r="CE59" s="369"/>
      <c r="CF59" s="369"/>
      <c r="CG59" s="369"/>
      <c r="CH59" s="369"/>
      <c r="CI59" s="369"/>
      <c r="CJ59" s="1157"/>
    </row>
    <row r="60" spans="2:92" ht="15" thickBot="1" x14ac:dyDescent="0.25">
      <c r="B60" s="1121" t="s">
        <v>379</v>
      </c>
      <c r="C60" s="505" t="s">
        <v>243</v>
      </c>
      <c r="D60" s="506" t="s">
        <v>380</v>
      </c>
      <c r="E60" s="505" t="s">
        <v>236</v>
      </c>
      <c r="F60" s="507">
        <v>2</v>
      </c>
      <c r="G60" s="366">
        <f>SUM(ESWBLY:ESWNCT!G$61)</f>
        <v>0</v>
      </c>
      <c r="H60" s="366">
        <f>SUM(ESWBLY:ESWNCT!H$61)</f>
        <v>0</v>
      </c>
      <c r="I60" s="366">
        <f>SUM(ESWBLY:ESWNCT!I$61)</f>
        <v>59.310489927389995</v>
      </c>
      <c r="J60" s="366">
        <f>SUM(ESWBLY:ESWNCT!J$61)</f>
        <v>58.353999999999992</v>
      </c>
      <c r="K60" s="366">
        <f>SUM(ESWBLY:ESWNCT!K$61)</f>
        <v>56.071999999999981</v>
      </c>
      <c r="L60" s="366">
        <f>SUM(ESWBLY:ESWNCT!L$61)</f>
        <v>53.79</v>
      </c>
      <c r="M60" s="366">
        <f>SUM(ESWBLY:ESWNCT!M$61)</f>
        <v>53.790000000000006</v>
      </c>
      <c r="N60" s="366">
        <f>SUM(ESWBLY:ESWNCT!N$61)</f>
        <v>53.790000000000006</v>
      </c>
      <c r="O60" s="366">
        <f>SUM(ESWBLY:ESWNCT!O$61)</f>
        <v>53.790000000000006</v>
      </c>
      <c r="P60" s="366">
        <f>SUM(ESWBLY:ESWNCT!P$61)</f>
        <v>53.790000000000006</v>
      </c>
      <c r="Q60" s="366">
        <f>SUM(ESWBLY:ESWNCT!Q$61)</f>
        <v>53.790000000000006</v>
      </c>
      <c r="R60" s="366">
        <f>SUM(ESWBLY:ESWNCT!R$61)</f>
        <v>53.790000000000006</v>
      </c>
      <c r="S60" s="366">
        <f>SUM(ESWBLY:ESWNCT!S$61)</f>
        <v>53.790000000000006</v>
      </c>
      <c r="T60" s="366">
        <f>SUM(ESWBLY:ESWNCT!T$61)</f>
        <v>53.790000000000006</v>
      </c>
      <c r="U60" s="366">
        <f>SUM(ESWBLY:ESWNCT!U$61)</f>
        <v>53.790000000000006</v>
      </c>
      <c r="V60" s="366">
        <f>SUM(ESWBLY:ESWNCT!V$61)</f>
        <v>53.79</v>
      </c>
      <c r="W60" s="366">
        <f>SUM(ESWBLY:ESWNCT!W$61)</f>
        <v>53.790000000000006</v>
      </c>
      <c r="X60" s="366">
        <f>SUM(ESWBLY:ESWNCT!X$61)</f>
        <v>53.790000000000006</v>
      </c>
      <c r="Y60" s="366">
        <f>SUM(ESWBLY:ESWNCT!Y$61)</f>
        <v>53.790000000000006</v>
      </c>
      <c r="Z60" s="366">
        <f>SUM(ESWBLY:ESWNCT!Z$61)</f>
        <v>53.79</v>
      </c>
      <c r="AA60" s="366">
        <f>SUM(ESWBLY:ESWNCT!AA$61)</f>
        <v>53.790000000000006</v>
      </c>
      <c r="AB60" s="366">
        <f>SUM(ESWBLY:ESWNCT!AB$61)</f>
        <v>53.790000000000006</v>
      </c>
      <c r="AC60" s="366">
        <f>SUM(ESWBLY:ESWNCT!AC$61)</f>
        <v>53.790000000000006</v>
      </c>
      <c r="AD60" s="366">
        <f>SUM(ESWBLY:ESWNCT!AD$61)</f>
        <v>53.790000000000006</v>
      </c>
      <c r="AE60" s="366">
        <f>SUM(ESWBLY:ESWNCT!AE$61)</f>
        <v>53.790000000000006</v>
      </c>
      <c r="AF60" s="366">
        <f>SUM(ESWBLY:ESWNCT!AF$61)</f>
        <v>53.790000000000006</v>
      </c>
      <c r="AG60" s="366">
        <f>SUM(ESWBLY:ESWNCT!AG$61)</f>
        <v>53.790000000000006</v>
      </c>
      <c r="AH60" s="366">
        <f>SUM(ESWBLY:ESWNCT!AH$61)</f>
        <v>53.790000000000006</v>
      </c>
      <c r="AI60" s="366">
        <f>SUM(ESWBLY:ESWNCT!AI$61)</f>
        <v>53.790000000000006</v>
      </c>
      <c r="AJ60" s="366">
        <f>SUM(ESWBLY:ESWNCT!AJ$61)</f>
        <v>53.790000000000006</v>
      </c>
      <c r="AK60" s="366">
        <f>SUM(ESWBLY:ESWNCT!AK$61)</f>
        <v>53.790000000000006</v>
      </c>
      <c r="AL60" s="366"/>
      <c r="AM60" s="366"/>
      <c r="AN60" s="366"/>
      <c r="AO60" s="366"/>
      <c r="AP60" s="366"/>
      <c r="AQ60" s="366"/>
      <c r="AR60" s="366"/>
      <c r="AS60" s="366"/>
      <c r="AT60" s="366"/>
      <c r="AU60" s="366"/>
      <c r="AV60" s="366"/>
      <c r="AW60" s="366"/>
      <c r="AX60" s="366"/>
      <c r="AY60" s="366"/>
      <c r="AZ60" s="366"/>
      <c r="BA60" s="366"/>
      <c r="BB60" s="366"/>
      <c r="BC60" s="366"/>
      <c r="BD60" s="366"/>
      <c r="BE60" s="366"/>
      <c r="BF60" s="366"/>
      <c r="BG60" s="366"/>
      <c r="BH60" s="366"/>
      <c r="BI60" s="366"/>
      <c r="BJ60" s="366"/>
      <c r="BK60" s="366"/>
      <c r="BL60" s="366"/>
      <c r="BM60" s="366"/>
      <c r="BN60" s="366"/>
      <c r="BO60" s="366"/>
      <c r="BP60" s="366"/>
      <c r="BQ60" s="366"/>
      <c r="BR60" s="366"/>
      <c r="BS60" s="366"/>
      <c r="BT60" s="366"/>
      <c r="BU60" s="366"/>
      <c r="BV60" s="366"/>
      <c r="BW60" s="366"/>
      <c r="BX60" s="366"/>
      <c r="BY60" s="366"/>
      <c r="BZ60" s="366"/>
      <c r="CA60" s="366"/>
      <c r="CB60" s="366"/>
      <c r="CC60" s="366"/>
      <c r="CD60" s="366"/>
      <c r="CE60" s="366"/>
      <c r="CF60" s="366"/>
      <c r="CG60" s="366"/>
      <c r="CH60" s="366"/>
      <c r="CI60" s="366"/>
      <c r="CJ60" s="1154"/>
    </row>
    <row r="61" spans="2:92" ht="15" thickBot="1" x14ac:dyDescent="0.25">
      <c r="B61" s="1126" t="s">
        <v>381</v>
      </c>
      <c r="C61" s="458" t="s">
        <v>245</v>
      </c>
      <c r="D61" s="459" t="s">
        <v>382</v>
      </c>
      <c r="E61" s="458" t="s">
        <v>236</v>
      </c>
      <c r="F61" s="455">
        <v>2</v>
      </c>
      <c r="G61" s="366">
        <f>SUM(ESWBLY:ESWNCT!G$85)</f>
        <v>0</v>
      </c>
      <c r="H61" s="366">
        <f>SUM(ESWBLY:ESWNCT!H$85)</f>
        <v>0</v>
      </c>
      <c r="I61" s="366">
        <f>SUM(ESWBLY:ESWNCT!I$85)</f>
        <v>474.18598708354784</v>
      </c>
      <c r="J61" s="366">
        <f>SUM(ESWBLY:ESWNCT!J$85)</f>
        <v>473.27639627191814</v>
      </c>
      <c r="K61" s="366">
        <f>SUM(ESWBLY:ESWNCT!K$85)</f>
        <v>472.9194714319699</v>
      </c>
      <c r="L61" s="366">
        <f>SUM(ESWBLY:ESWNCT!L$85)</f>
        <v>470.64208208005863</v>
      </c>
      <c r="M61" s="366">
        <f>SUM(ESWBLY:ESWNCT!M$85)</f>
        <v>474.52816907283352</v>
      </c>
      <c r="N61" s="366">
        <f>SUM(ESWBLY:ESWNCT!N$85)</f>
        <v>475.40143040013004</v>
      </c>
      <c r="O61" s="366">
        <f>SUM(ESWBLY:ESWNCT!O$85)</f>
        <v>478.36279996966891</v>
      </c>
      <c r="P61" s="366">
        <f>SUM(ESWBLY:ESWNCT!P$85)</f>
        <v>481.57153073343119</v>
      </c>
      <c r="Q61" s="366">
        <f>SUM(ESWBLY:ESWNCT!Q$85)</f>
        <v>483.57491296357193</v>
      </c>
      <c r="R61" s="366">
        <f>SUM(ESWBLY:ESWNCT!R$85)</f>
        <v>484.6340512445999</v>
      </c>
      <c r="S61" s="366">
        <f>SUM(ESWBLY:ESWNCT!S$85)</f>
        <v>485.51251919985941</v>
      </c>
      <c r="T61" s="366">
        <f>SUM(ESWBLY:ESWNCT!T$85)</f>
        <v>488.55761623364651</v>
      </c>
      <c r="U61" s="366">
        <f>SUM(ESWBLY:ESWNCT!U$85)</f>
        <v>489.24024562392901</v>
      </c>
      <c r="V61" s="366">
        <f>SUM(ESWBLY:ESWNCT!V$85)</f>
        <v>489.57323759073739</v>
      </c>
      <c r="W61" s="366">
        <f>SUM(ESWBLY:ESWNCT!W$85)</f>
        <v>490.07573041303215</v>
      </c>
      <c r="X61" s="366">
        <f>SUM(ESWBLY:ESWNCT!X$85)</f>
        <v>490.39485731901578</v>
      </c>
      <c r="Y61" s="366">
        <f>SUM(ESWBLY:ESWNCT!Y$85)</f>
        <v>490.92143427642372</v>
      </c>
      <c r="Z61" s="366">
        <f>SUM(ESWBLY:ESWNCT!Z$85)</f>
        <v>491.6469492916188</v>
      </c>
      <c r="AA61" s="366">
        <f>SUM(ESWBLY:ESWNCT!AA$85)</f>
        <v>492.94980341606845</v>
      </c>
      <c r="AB61" s="366">
        <f>SUM(ESWBLY:ESWNCT!AB$85)</f>
        <v>491.3451193827301</v>
      </c>
      <c r="AC61" s="366">
        <f>SUM(ESWBLY:ESWNCT!AC$85)</f>
        <v>492.65109789418301</v>
      </c>
      <c r="AD61" s="366">
        <f>SUM(ESWBLY:ESWNCT!AD$85)</f>
        <v>494.08384841379586</v>
      </c>
      <c r="AE61" s="366">
        <f>SUM(ESWBLY:ESWNCT!AE$85)</f>
        <v>495.60975543545413</v>
      </c>
      <c r="AF61" s="366">
        <f>SUM(ESWBLY:ESWNCT!AF$85)</f>
        <v>497.23874696328858</v>
      </c>
      <c r="AG61" s="366">
        <f>SUM(ESWBLY:ESWNCT!AG$85)</f>
        <v>498.2279943753806</v>
      </c>
      <c r="AH61" s="366">
        <f>SUM(ESWBLY:ESWNCT!AH$85)</f>
        <v>495.89073490109843</v>
      </c>
      <c r="AI61" s="366">
        <f>SUM(ESWBLY:ESWNCT!AI$85)</f>
        <v>497.67718061890355</v>
      </c>
      <c r="AJ61" s="366">
        <f>SUM(ESWBLY:ESWNCT!AJ$85)</f>
        <v>497.44998030628693</v>
      </c>
      <c r="AK61" s="366">
        <f>SUM(ESWBLY:ESWNCT!AK$85)</f>
        <v>499.30595457263371</v>
      </c>
      <c r="AL61" s="366"/>
      <c r="AM61" s="366"/>
      <c r="AN61" s="366"/>
      <c r="AO61" s="366"/>
      <c r="AP61" s="366"/>
      <c r="AQ61" s="366"/>
      <c r="AR61" s="366"/>
      <c r="AS61" s="366"/>
      <c r="AT61" s="366"/>
      <c r="AU61" s="366"/>
      <c r="AV61" s="366"/>
      <c r="AW61" s="366"/>
      <c r="AX61" s="366"/>
      <c r="AY61" s="366"/>
      <c r="AZ61" s="366"/>
      <c r="BA61" s="366"/>
      <c r="BB61" s="366"/>
      <c r="BC61" s="366"/>
      <c r="BD61" s="366"/>
      <c r="BE61" s="366"/>
      <c r="BF61" s="366"/>
      <c r="BG61" s="366"/>
      <c r="BH61" s="366"/>
      <c r="BI61" s="366"/>
      <c r="BJ61" s="366"/>
      <c r="BK61" s="366"/>
      <c r="BL61" s="366"/>
      <c r="BM61" s="366"/>
      <c r="BN61" s="366"/>
      <c r="BO61" s="366"/>
      <c r="BP61" s="366"/>
      <c r="BQ61" s="366"/>
      <c r="BR61" s="366"/>
      <c r="BS61" s="366"/>
      <c r="BT61" s="366"/>
      <c r="BU61" s="366"/>
      <c r="BV61" s="366"/>
      <c r="BW61" s="366"/>
      <c r="BX61" s="366"/>
      <c r="BY61" s="366"/>
      <c r="BZ61" s="366"/>
      <c r="CA61" s="366"/>
      <c r="CB61" s="366"/>
      <c r="CC61" s="366"/>
      <c r="CD61" s="366"/>
      <c r="CE61" s="366"/>
      <c r="CF61" s="366"/>
      <c r="CG61" s="366"/>
      <c r="CH61" s="366"/>
      <c r="CI61" s="366"/>
      <c r="CJ61" s="1154"/>
    </row>
    <row r="62" spans="2:92" ht="67.5" customHeight="1" x14ac:dyDescent="0.2">
      <c r="B62" s="1127" t="s">
        <v>383</v>
      </c>
      <c r="C62" s="1128" t="s">
        <v>384</v>
      </c>
      <c r="D62" s="508" t="s">
        <v>385</v>
      </c>
      <c r="E62" s="1128" t="s">
        <v>236</v>
      </c>
      <c r="F62" s="509">
        <v>2</v>
      </c>
      <c r="G62" s="370">
        <f>SUM(ESWBLY:ESWNCT!G$88)</f>
        <v>0</v>
      </c>
      <c r="H62" s="370">
        <f>SUM(ESWBLY:ESWNCT!H$88)</f>
        <v>0</v>
      </c>
      <c r="I62" s="370">
        <f>SUM(ESWBLY:ESWNCT!I$88)</f>
        <v>10.113657650008644</v>
      </c>
      <c r="J62" s="370">
        <f>SUM(ESWBLY:ESWNCT!J$88)</f>
        <v>10.367557982121252</v>
      </c>
      <c r="K62" s="370">
        <f>SUM(ESWBLY:ESWNCT!K$88)</f>
        <v>10.744400165712824</v>
      </c>
      <c r="L62" s="370">
        <f>SUM(ESWBLY:ESWNCT!L$88)</f>
        <v>10.756007356367068</v>
      </c>
      <c r="M62" s="370">
        <f>SUM(ESWBLY:ESWNCT!M$88)</f>
        <v>11.045610917873599</v>
      </c>
      <c r="N62" s="370">
        <f>SUM(ESWBLY:ESWNCT!N$88)</f>
        <v>10.125696711552145</v>
      </c>
      <c r="O62" s="370">
        <f>SUM(ESWBLY:ESWNCT!O$88)</f>
        <v>9.2831519612602769</v>
      </c>
      <c r="P62" s="370">
        <f>SUM(ESWBLY:ESWNCT!P$88)</f>
        <v>8.7579472448238338</v>
      </c>
      <c r="Q62" s="370">
        <f>SUM(ESWBLY:ESWNCT!Q$88)</f>
        <v>8.1289085005026553</v>
      </c>
      <c r="R62" s="370">
        <f>SUM(ESWBLY:ESWNCT!R$88)</f>
        <v>6.9149814390360049</v>
      </c>
      <c r="S62" s="370">
        <f>SUM(ESWBLY:ESWNCT!S$88)</f>
        <v>5.9824289228992455</v>
      </c>
      <c r="T62" s="370">
        <f>SUM(ESWBLY:ESWNCT!T$88)</f>
        <v>5.4338687777352854</v>
      </c>
      <c r="U62" s="370">
        <f>SUM(ESWBLY:ESWNCT!U$88)</f>
        <v>5.2182999268086085</v>
      </c>
      <c r="V62" s="370">
        <f>SUM(ESWBLY:ESWNCT!V$88)</f>
        <v>4.7588905935991921</v>
      </c>
      <c r="W62" s="370">
        <f>SUM(ESWBLY:ESWNCT!W$88)</f>
        <v>4.4465907672383498</v>
      </c>
      <c r="X62" s="370">
        <f>SUM(ESWBLY:ESWNCT!X$88)</f>
        <v>4.2420960565777444</v>
      </c>
      <c r="Y62" s="370">
        <f>SUM(ESWBLY:ESWNCT!Y$88)</f>
        <v>4.0872909189513029</v>
      </c>
      <c r="Z62" s="370">
        <f>SUM(ESWBLY:ESWNCT!Z$88)</f>
        <v>3.7738749720804989</v>
      </c>
      <c r="AA62" s="370">
        <f>SUM(ESWBLY:ESWNCT!AA$88)</f>
        <v>3.623699149445359</v>
      </c>
      <c r="AB62" s="370">
        <f>SUM(ESWBLY:ESWNCT!AB$88)</f>
        <v>5.1279925796424131</v>
      </c>
      <c r="AC62" s="370">
        <f>SUM(ESWBLY:ESWNCT!AC$88)</f>
        <v>3.4443722753968653</v>
      </c>
      <c r="AD62" s="370">
        <f>SUM(ESWBLY:ESWNCT!AD$88)</f>
        <v>3.4421324708342849</v>
      </c>
      <c r="AE62" s="370">
        <f>SUM(ESWBLY:ESWNCT!AE$88)</f>
        <v>3.4752861498761067</v>
      </c>
      <c r="AF62" s="370">
        <f>SUM(ESWBLY:ESWNCT!AF$88)</f>
        <v>3.4011173818161149</v>
      </c>
      <c r="AG62" s="370">
        <f>SUM(ESWBLY:ESWNCT!AG$88)</f>
        <v>3.8838156620944901</v>
      </c>
      <c r="AH62" s="370">
        <f>SUM(ESWBLY:ESWNCT!AH$88)</f>
        <v>6.3577929641942141</v>
      </c>
      <c r="AI62" s="370">
        <f>SUM(ESWBLY:ESWNCT!AI$88)</f>
        <v>3.351992348368436</v>
      </c>
      <c r="AJ62" s="370">
        <f>SUM(ESWBLY:ESWNCT!AJ$88)</f>
        <v>4.9183647201574221</v>
      </c>
      <c r="AK62" s="370">
        <f>SUM(ESWBLY:ESWNCT!AK$88)</f>
        <v>3.5113333480790621</v>
      </c>
      <c r="AL62" s="370"/>
      <c r="AM62" s="370"/>
      <c r="AN62" s="370"/>
      <c r="AO62" s="370"/>
      <c r="AP62" s="370"/>
      <c r="AQ62" s="370"/>
      <c r="AR62" s="370"/>
      <c r="AS62" s="370"/>
      <c r="AT62" s="370"/>
      <c r="AU62" s="370"/>
      <c r="AV62" s="370"/>
      <c r="AW62" s="370"/>
      <c r="AX62" s="370"/>
      <c r="AY62" s="370"/>
      <c r="AZ62" s="370"/>
      <c r="BA62" s="370"/>
      <c r="BB62" s="370"/>
      <c r="BC62" s="370"/>
      <c r="BD62" s="370"/>
      <c r="BE62" s="370"/>
      <c r="BF62" s="370"/>
      <c r="BG62" s="370"/>
      <c r="BH62" s="370"/>
      <c r="BI62" s="370"/>
      <c r="BJ62" s="370"/>
      <c r="BK62" s="370"/>
      <c r="BL62" s="370"/>
      <c r="BM62" s="370"/>
      <c r="BN62" s="370"/>
      <c r="BO62" s="370"/>
      <c r="BP62" s="370"/>
      <c r="BQ62" s="370"/>
      <c r="BR62" s="370"/>
      <c r="BS62" s="370"/>
      <c r="BT62" s="370"/>
      <c r="BU62" s="370"/>
      <c r="BV62" s="370"/>
      <c r="BW62" s="370"/>
      <c r="BX62" s="370"/>
      <c r="BY62" s="370"/>
      <c r="BZ62" s="370"/>
      <c r="CA62" s="370"/>
      <c r="CB62" s="370"/>
      <c r="CC62" s="370"/>
      <c r="CD62" s="370"/>
      <c r="CE62" s="370"/>
      <c r="CF62" s="370"/>
      <c r="CG62" s="370"/>
      <c r="CH62" s="370"/>
      <c r="CI62" s="370"/>
      <c r="CJ62" s="1158"/>
    </row>
    <row r="63" spans="2:92" x14ac:dyDescent="0.2">
      <c r="B63" s="1129" t="s">
        <v>386</v>
      </c>
      <c r="C63" s="510" t="s">
        <v>387</v>
      </c>
      <c r="D63" s="511" t="s">
        <v>388</v>
      </c>
      <c r="E63" s="510" t="s">
        <v>236</v>
      </c>
      <c r="F63" s="512">
        <v>2</v>
      </c>
      <c r="G63" s="369" t="e">
        <f>SUM(ESWBLY:ESWNCT!G$41)</f>
        <v>#REF!</v>
      </c>
      <c r="H63" s="369">
        <f>SUM(ESWBLY:ESWNCT!H$41)</f>
        <v>0</v>
      </c>
      <c r="I63" s="369">
        <f>SUM(ESWBLY:ESWNCT!I$41)</f>
        <v>489.95597188000005</v>
      </c>
      <c r="J63" s="369">
        <f>SUM(ESWBLY:ESWNCT!J$41)</f>
        <v>489.40100374000002</v>
      </c>
      <c r="K63" s="369">
        <f>SUM(ESWBLY:ESWNCT!K$41)</f>
        <v>488.84284359000003</v>
      </c>
      <c r="L63" s="369">
        <f>SUM(ESWBLY:ESWNCT!L$41)</f>
        <v>488.28157066000006</v>
      </c>
      <c r="M63" s="369">
        <f>SUM(ESWBLY:ESWNCT!M$41)</f>
        <v>487.71725991000005</v>
      </c>
      <c r="N63" s="369">
        <f>SUM(ESWBLY:ESWNCT!N$41)</f>
        <v>485.10998242000005</v>
      </c>
      <c r="O63" s="369">
        <f>SUM(ESWBLY:ESWNCT!O$41)</f>
        <v>484.53980567000002</v>
      </c>
      <c r="P63" s="369">
        <f>SUM(ESWBLY:ESWNCT!P$41)</f>
        <v>483.96679382000002</v>
      </c>
      <c r="Q63" s="369">
        <f>SUM(ESWBLY:ESWNCT!Q$41)</f>
        <v>483.39100794000001</v>
      </c>
      <c r="R63" s="369">
        <f>SUM(ESWBLY:ESWNCT!R$41)</f>
        <v>472.32250625</v>
      </c>
      <c r="S63" s="369">
        <f>SUM(ESWBLY:ESWNCT!S$41)</f>
        <v>471.74134435000002</v>
      </c>
      <c r="T63" s="369">
        <f>SUM(ESWBLY:ESWNCT!T$41)</f>
        <v>469.30757532000007</v>
      </c>
      <c r="U63" s="369">
        <f>SUM(ESWBLY:ESWNCT!U$41)</f>
        <v>468.72124998000004</v>
      </c>
      <c r="V63" s="369">
        <f>SUM(ESWBLY:ESWNCT!V$41)</f>
        <v>468.13241698000002</v>
      </c>
      <c r="W63" s="369">
        <f>SUM(ESWBLY:ESWNCT!W$41)</f>
        <v>467.54112295000004</v>
      </c>
      <c r="X63" s="369">
        <f>SUM(ESWBLY:ESWNCT!X$41)</f>
        <v>466.94741266000005</v>
      </c>
      <c r="Y63" s="369">
        <f>SUM(ESWBLY:ESWNCT!Y$41)</f>
        <v>466.35132908000003</v>
      </c>
      <c r="Z63" s="369">
        <f>SUM(ESWBLY:ESWNCT!Z$41)</f>
        <v>465.75291351999999</v>
      </c>
      <c r="AA63" s="369">
        <f>SUM(ESWBLY:ESWNCT!AA$41)</f>
        <v>465.15220575000001</v>
      </c>
      <c r="AB63" s="369">
        <f>SUM(ESWBLY:ESWNCT!AB$41)</f>
        <v>446.12924401999999</v>
      </c>
      <c r="AC63" s="369">
        <f>SUM(ESWBLY:ESWNCT!AC$41)</f>
        <v>445.52406522999991</v>
      </c>
      <c r="AD63" s="369">
        <f>SUM(ESWBLY:ESWNCT!AD$41)</f>
        <v>444.91670492999992</v>
      </c>
      <c r="AE63" s="369">
        <f>SUM(ESWBLY:ESWNCT!AE$41)</f>
        <v>444.30719743999998</v>
      </c>
      <c r="AF63" s="369">
        <f>SUM(ESWBLY:ESWNCT!AF$41)</f>
        <v>443.69557589999999</v>
      </c>
      <c r="AG63" s="369">
        <f>SUM(ESWBLY:ESWNCT!AG$41)</f>
        <v>426.66187234</v>
      </c>
      <c r="AH63" s="369">
        <f>SUM(ESWBLY:ESWNCT!AH$41)</f>
        <v>426.04611772000004</v>
      </c>
      <c r="AI63" s="369">
        <f>SUM(ESWBLY:ESWNCT!AI$41)</f>
        <v>425.42834200000004</v>
      </c>
      <c r="AJ63" s="369">
        <f>SUM(ESWBLY:ESWNCT!AJ$41)</f>
        <v>424.80857417000004</v>
      </c>
      <c r="AK63" s="369">
        <f>SUM(ESWBLY:ESWNCT!AK$41)</f>
        <v>424.18684234</v>
      </c>
      <c r="AL63" s="369"/>
      <c r="AM63" s="369"/>
      <c r="AN63" s="369"/>
      <c r="AO63" s="369"/>
      <c r="AP63" s="369"/>
      <c r="AQ63" s="369"/>
      <c r="AR63" s="369"/>
      <c r="AS63" s="369"/>
      <c r="AT63" s="369"/>
      <c r="AU63" s="369"/>
      <c r="AV63" s="369"/>
      <c r="AW63" s="369"/>
      <c r="AX63" s="369"/>
      <c r="AY63" s="369"/>
      <c r="AZ63" s="369"/>
      <c r="BA63" s="369"/>
      <c r="BB63" s="369"/>
      <c r="BC63" s="369"/>
      <c r="BD63" s="369"/>
      <c r="BE63" s="369"/>
      <c r="BF63" s="369"/>
      <c r="BG63" s="369"/>
      <c r="BH63" s="369"/>
      <c r="BI63" s="369"/>
      <c r="BJ63" s="369"/>
      <c r="BK63" s="369"/>
      <c r="BL63" s="369"/>
      <c r="BM63" s="369"/>
      <c r="BN63" s="369"/>
      <c r="BO63" s="369"/>
      <c r="BP63" s="369"/>
      <c r="BQ63" s="369"/>
      <c r="BR63" s="369"/>
      <c r="BS63" s="369"/>
      <c r="BT63" s="369"/>
      <c r="BU63" s="369"/>
      <c r="BV63" s="369"/>
      <c r="BW63" s="369"/>
      <c r="BX63" s="369"/>
      <c r="BY63" s="369"/>
      <c r="BZ63" s="369"/>
      <c r="CA63" s="369"/>
      <c r="CB63" s="369"/>
      <c r="CC63" s="369"/>
      <c r="CD63" s="369"/>
      <c r="CE63" s="369"/>
      <c r="CF63" s="369"/>
      <c r="CG63" s="369"/>
      <c r="CH63" s="369"/>
      <c r="CI63" s="369"/>
      <c r="CJ63" s="1157"/>
    </row>
    <row r="64" spans="2:92" x14ac:dyDescent="0.2">
      <c r="B64" s="1129" t="s">
        <v>389</v>
      </c>
      <c r="C64" s="510" t="s">
        <v>390</v>
      </c>
      <c r="D64" s="511" t="s">
        <v>391</v>
      </c>
      <c r="E64" s="510" t="s">
        <v>236</v>
      </c>
      <c r="F64" s="512">
        <v>2</v>
      </c>
      <c r="G64" s="369" t="e">
        <f>SUM(ESWBLY:ESWNCT!G$42)</f>
        <v>#REF!</v>
      </c>
      <c r="H64" s="369">
        <f>SUM(ESWBLY:ESWNCT!H$42)</f>
        <v>0</v>
      </c>
      <c r="I64" s="369">
        <f>SUM(ESWBLY:ESWNCT!I$42)</f>
        <v>461.28822051013697</v>
      </c>
      <c r="J64" s="369">
        <f>SUM(ESWBLY:ESWNCT!J$42)</f>
        <v>460.73325237013694</v>
      </c>
      <c r="K64" s="369">
        <f>SUM(ESWBLY:ESWNCT!K$42)</f>
        <v>460.17509222013695</v>
      </c>
      <c r="L64" s="369">
        <f>SUM(ESWBLY:ESWNCT!L$42)</f>
        <v>459.27580771469349</v>
      </c>
      <c r="M64" s="369">
        <f>SUM(ESWBLY:ESWNCT!M$42)</f>
        <v>458.37534502242755</v>
      </c>
      <c r="N64" s="369">
        <f>SUM(ESWBLY:ESWNCT!N$42)</f>
        <v>454.56772247217123</v>
      </c>
      <c r="O64" s="369">
        <f>SUM(ESWBLY:ESWNCT!O$42)</f>
        <v>452.16697267943806</v>
      </c>
      <c r="P64" s="369">
        <f>SUM(ESWBLY:ESWNCT!P$42)</f>
        <v>451.26269042426333</v>
      </c>
      <c r="Q64" s="369">
        <f>SUM(ESWBLY:ESWNCT!Q$42)</f>
        <v>450.35702886397183</v>
      </c>
      <c r="R64" s="369">
        <f>SUM(ESWBLY:ESWNCT!R$42)</f>
        <v>438.96911640197482</v>
      </c>
      <c r="S64" s="369">
        <f>SUM(ESWBLY:ESWNCT!S$42)</f>
        <v>438.05714900509452</v>
      </c>
      <c r="T64" s="369">
        <f>SUM(ESWBLY:ESWNCT!T$42)</f>
        <v>435.29466656553893</v>
      </c>
      <c r="U64" s="369">
        <f>SUM(ESWBLY:ESWNCT!U$42)</f>
        <v>434.37776818280582</v>
      </c>
      <c r="V64" s="369">
        <f>SUM(ESWBLY:ESWNCT!V$42)</f>
        <v>435.28893518280586</v>
      </c>
      <c r="W64" s="369">
        <f>SUM(ESWBLY:ESWNCT!W$42)</f>
        <v>454.69996569427781</v>
      </c>
      <c r="X64" s="369">
        <f>SUM(ESWBLY:ESWNCT!X$42)</f>
        <v>454.10625540427782</v>
      </c>
      <c r="Y64" s="369">
        <f>SUM(ESWBLY:ESWNCT!Y$42)</f>
        <v>453.51017182427779</v>
      </c>
      <c r="Z64" s="369">
        <f>SUM(ESWBLY:ESWNCT!Z$42)</f>
        <v>452.91175626427781</v>
      </c>
      <c r="AA64" s="369">
        <f>SUM(ESWBLY:ESWNCT!AA$42)</f>
        <v>452.31104849427783</v>
      </c>
      <c r="AB64" s="369">
        <f>SUM(ESWBLY:ESWNCT!AB$42)</f>
        <v>433.65041130574986</v>
      </c>
      <c r="AC64" s="369">
        <f>SUM(ESWBLY:ESWNCT!AC$42)</f>
        <v>433.04523251574983</v>
      </c>
      <c r="AD64" s="369">
        <f>SUM(ESWBLY:ESWNCT!AD$42)</f>
        <v>432.43787221574985</v>
      </c>
      <c r="AE64" s="369">
        <f>SUM(ESWBLY:ESWNCT!AE$42)</f>
        <v>431.82836472574985</v>
      </c>
      <c r="AF64" s="369">
        <f>SUM(ESWBLY:ESWNCT!AF$42)</f>
        <v>431.21674318574986</v>
      </c>
      <c r="AG64" s="369">
        <f>SUM(ESWBLY:ESWNCT!AG$42)</f>
        <v>413.8230396257498</v>
      </c>
      <c r="AH64" s="369">
        <f>SUM(ESWBLY:ESWNCT!AH$42)</f>
        <v>413.20728500574984</v>
      </c>
      <c r="AI64" s="369">
        <f>SUM(ESWBLY:ESWNCT!AI$42)</f>
        <v>412.59183382722182</v>
      </c>
      <c r="AJ64" s="369">
        <f>SUM(ESWBLY:ESWNCT!AJ$42)</f>
        <v>411.97206599722182</v>
      </c>
      <c r="AK64" s="369">
        <f>SUM(ESWBLY:ESWNCT!AK$42)</f>
        <v>411.35033416722177</v>
      </c>
      <c r="AL64" s="369"/>
      <c r="AM64" s="369"/>
      <c r="AN64" s="369"/>
      <c r="AO64" s="369"/>
      <c r="AP64" s="369"/>
      <c r="AQ64" s="369"/>
      <c r="AR64" s="369"/>
      <c r="AS64" s="369"/>
      <c r="AT64" s="369"/>
      <c r="AU64" s="369"/>
      <c r="AV64" s="369"/>
      <c r="AW64" s="369"/>
      <c r="AX64" s="369"/>
      <c r="AY64" s="369"/>
      <c r="AZ64" s="369"/>
      <c r="BA64" s="369"/>
      <c r="BB64" s="369"/>
      <c r="BC64" s="369"/>
      <c r="BD64" s="369"/>
      <c r="BE64" s="369"/>
      <c r="BF64" s="369"/>
      <c r="BG64" s="369"/>
      <c r="BH64" s="369"/>
      <c r="BI64" s="369"/>
      <c r="BJ64" s="369"/>
      <c r="BK64" s="369"/>
      <c r="BL64" s="369"/>
      <c r="BM64" s="369"/>
      <c r="BN64" s="369"/>
      <c r="BO64" s="369"/>
      <c r="BP64" s="369"/>
      <c r="BQ64" s="369"/>
      <c r="BR64" s="369"/>
      <c r="BS64" s="369"/>
      <c r="BT64" s="369"/>
      <c r="BU64" s="369"/>
      <c r="BV64" s="369"/>
      <c r="BW64" s="369"/>
      <c r="BX64" s="369"/>
      <c r="BY64" s="369"/>
      <c r="BZ64" s="369"/>
      <c r="CA64" s="369"/>
      <c r="CB64" s="369"/>
      <c r="CC64" s="369"/>
      <c r="CD64" s="369"/>
      <c r="CE64" s="369"/>
      <c r="CF64" s="369"/>
      <c r="CG64" s="369"/>
      <c r="CH64" s="369"/>
      <c r="CI64" s="369"/>
      <c r="CJ64" s="1157"/>
    </row>
    <row r="65" spans="2:88" ht="15" thickBot="1" x14ac:dyDescent="0.25">
      <c r="B65" s="1130" t="s">
        <v>392</v>
      </c>
      <c r="C65" s="1131" t="s">
        <v>393</v>
      </c>
      <c r="D65" s="1132" t="s">
        <v>394</v>
      </c>
      <c r="E65" s="1131" t="s">
        <v>236</v>
      </c>
      <c r="F65" s="1133">
        <v>2</v>
      </c>
      <c r="G65" s="1134" t="e">
        <f>SUM(ESWBLY:ESWNCT!G$91)</f>
        <v>#REF!</v>
      </c>
      <c r="H65" s="1134">
        <f>SUM(ESWBLY:ESWNCT!H$91)</f>
        <v>0</v>
      </c>
      <c r="I65" s="1134">
        <f>SUM(ESWBLY:ESWNCT!I$91)</f>
        <v>-23.011424223419532</v>
      </c>
      <c r="J65" s="1134">
        <f>SUM(ESWBLY:ESWNCT!J$91)</f>
        <v>-22.910701883902387</v>
      </c>
      <c r="K65" s="1134">
        <f>SUM(ESWBLY:ESWNCT!K$91)</f>
        <v>-23.488779377545725</v>
      </c>
      <c r="L65" s="1134">
        <f>SUM(ESWBLY:ESWNCT!L$91)</f>
        <v>-22.122281721732215</v>
      </c>
      <c r="M65" s="1134">
        <f>SUM(ESWBLY:ESWNCT!M$91)</f>
        <v>-27.198434968279507</v>
      </c>
      <c r="N65" s="1134">
        <f>SUM(ESWBLY:ESWNCT!N$91)</f>
        <v>-30.959404639510925</v>
      </c>
      <c r="O65" s="1134">
        <f>SUM(ESWBLY:ESWNCT!O$91)</f>
        <v>-35.47897925149109</v>
      </c>
      <c r="P65" s="1134">
        <f>SUM(ESWBLY:ESWNCT!P$91)</f>
        <v>-39.066787553991645</v>
      </c>
      <c r="Q65" s="1134">
        <f>SUM(ESWBLY:ESWNCT!Q$91)</f>
        <v>-41.346792600102724</v>
      </c>
      <c r="R65" s="1134">
        <f>SUM(ESWBLY:ESWNCT!R$91)</f>
        <v>-52.579916281661141</v>
      </c>
      <c r="S65" s="1134">
        <f>SUM(ESWBLY:ESWNCT!S$91)</f>
        <v>-53.437799117664198</v>
      </c>
      <c r="T65" s="1134">
        <f>SUM(ESWBLY:ESWNCT!T$91)</f>
        <v>-58.696818445842936</v>
      </c>
      <c r="U65" s="1134">
        <f>SUM(ESWBLY:ESWNCT!U$91)</f>
        <v>-60.080777367931809</v>
      </c>
      <c r="V65" s="1134">
        <f>SUM(ESWBLY:ESWNCT!V$91)</f>
        <v>-59.04319300153076</v>
      </c>
      <c r="W65" s="1134">
        <f>SUM(ESWBLY:ESWNCT!W$91)</f>
        <v>-39.822355485992674</v>
      </c>
      <c r="X65" s="1134">
        <f>SUM(ESWBLY:ESWNCT!X$91)</f>
        <v>-40.530697971315753</v>
      </c>
      <c r="Y65" s="1134">
        <f>SUM(ESWBLY:ESWNCT!Y$91)</f>
        <v>-41.498553371097245</v>
      </c>
      <c r="Z65" s="1134">
        <f>SUM(ESWBLY:ESWNCT!Z$91)</f>
        <v>-42.509067999421553</v>
      </c>
      <c r="AA65" s="1134">
        <f>SUM(ESWBLY:ESWNCT!AA$91)</f>
        <v>-44.262454071236014</v>
      </c>
      <c r="AB65" s="1134">
        <f>SUM(ESWBLY:ESWNCT!AB$91)</f>
        <v>-62.822700656622686</v>
      </c>
      <c r="AC65" s="1134">
        <f>SUM(ESWBLY:ESWNCT!AC$91)</f>
        <v>-63.050237653830131</v>
      </c>
      <c r="AD65" s="1134">
        <f>SUM(ESWBLY:ESWNCT!AD$91)</f>
        <v>-65.088108668880395</v>
      </c>
      <c r="AE65" s="1134">
        <f>SUM(ESWBLY:ESWNCT!AE$91)</f>
        <v>-67.256676859580452</v>
      </c>
      <c r="AF65" s="1134">
        <f>SUM(ESWBLY:ESWNCT!AF$91)</f>
        <v>-69.423121159354849</v>
      </c>
      <c r="AG65" s="1134">
        <f>SUM(ESWBLY:ESWNCT!AG$91)</f>
        <v>-88.288770411725338</v>
      </c>
      <c r="AH65" s="1134">
        <f>SUM(ESWBLY:ESWNCT!AH$91)</f>
        <v>-89.04124285954282</v>
      </c>
      <c r="AI65" s="1134">
        <f>SUM(ESWBLY:ESWNCT!AI$91)</f>
        <v>-88.437339140050142</v>
      </c>
      <c r="AJ65" s="1134">
        <f>SUM(ESWBLY:ESWNCT!AJ$91)</f>
        <v>-90.396279029222541</v>
      </c>
      <c r="AK65" s="1134">
        <f>SUM(ESWBLY:ESWNCT!AK$91)</f>
        <v>-91.466953753490969</v>
      </c>
      <c r="AL65" s="1134"/>
      <c r="AM65" s="1134"/>
      <c r="AN65" s="1134"/>
      <c r="AO65" s="1134"/>
      <c r="AP65" s="1134"/>
      <c r="AQ65" s="1134"/>
      <c r="AR65" s="1134"/>
      <c r="AS65" s="1134"/>
      <c r="AT65" s="1134"/>
      <c r="AU65" s="1134"/>
      <c r="AV65" s="1134"/>
      <c r="AW65" s="1134"/>
      <c r="AX65" s="1134"/>
      <c r="AY65" s="1134"/>
      <c r="AZ65" s="1134"/>
      <c r="BA65" s="1134"/>
      <c r="BB65" s="1134"/>
      <c r="BC65" s="1134"/>
      <c r="BD65" s="1134"/>
      <c r="BE65" s="1134"/>
      <c r="BF65" s="1134"/>
      <c r="BG65" s="1134"/>
      <c r="BH65" s="1134"/>
      <c r="BI65" s="1134"/>
      <c r="BJ65" s="1134"/>
      <c r="BK65" s="1134"/>
      <c r="BL65" s="1134"/>
      <c r="BM65" s="1134"/>
      <c r="BN65" s="1134"/>
      <c r="BO65" s="1134"/>
      <c r="BP65" s="1134"/>
      <c r="BQ65" s="1134"/>
      <c r="BR65" s="1134"/>
      <c r="BS65" s="1134"/>
      <c r="BT65" s="1134"/>
      <c r="BU65" s="1134"/>
      <c r="BV65" s="1134"/>
      <c r="BW65" s="1134"/>
      <c r="BX65" s="1134"/>
      <c r="BY65" s="1134"/>
      <c r="BZ65" s="1134"/>
      <c r="CA65" s="1134"/>
      <c r="CB65" s="1134"/>
      <c r="CC65" s="1134"/>
      <c r="CD65" s="1134"/>
      <c r="CE65" s="1134"/>
      <c r="CF65" s="1134"/>
      <c r="CG65" s="1134"/>
      <c r="CH65" s="1134"/>
      <c r="CI65" s="1134"/>
      <c r="CJ65" s="1159"/>
    </row>
    <row r="66" spans="2:88" ht="15" thickBot="1" x14ac:dyDescent="0.25">
      <c r="C66" s="1312" t="s">
        <v>204</v>
      </c>
    </row>
    <row r="67" spans="2:88" ht="73.349999999999994" customHeight="1" thickBot="1" x14ac:dyDescent="0.25">
      <c r="B67" s="400" t="s">
        <v>395</v>
      </c>
      <c r="C67" s="43"/>
      <c r="D67" s="44"/>
      <c r="E67" s="44"/>
      <c r="F67" s="44"/>
      <c r="G67" s="44"/>
      <c r="H67" s="44"/>
      <c r="I67" s="44"/>
      <c r="J67" s="44"/>
      <c r="K67" s="44"/>
      <c r="L67" s="44"/>
      <c r="M67" s="44"/>
      <c r="N67" s="44"/>
      <c r="O67" s="44"/>
      <c r="P67" s="44"/>
      <c r="Q67" s="44"/>
      <c r="R67" s="44"/>
      <c r="S67" s="44"/>
      <c r="T67" s="44"/>
      <c r="U67" s="44"/>
      <c r="V67" s="44"/>
      <c r="W67" s="44"/>
      <c r="X67" s="44"/>
      <c r="Y67" s="44"/>
      <c r="Z67" s="44"/>
      <c r="AA67" s="44"/>
      <c r="AB67" s="44"/>
      <c r="AC67" s="44"/>
      <c r="AD67" s="44"/>
      <c r="AE67" s="44"/>
      <c r="AF67" s="44"/>
      <c r="AG67" s="44"/>
      <c r="AH67" s="44"/>
      <c r="AI67" s="44"/>
      <c r="AJ67" s="44"/>
      <c r="AK67" s="44"/>
      <c r="AL67" s="44"/>
      <c r="AM67" s="44"/>
      <c r="AN67" s="44"/>
      <c r="AO67" s="44"/>
      <c r="AP67" s="44"/>
      <c r="AQ67" s="44"/>
      <c r="AR67" s="44"/>
      <c r="AS67" s="44"/>
      <c r="AT67" s="44"/>
      <c r="AU67" s="44"/>
      <c r="AV67" s="44"/>
      <c r="AW67" s="44"/>
      <c r="AX67" s="44"/>
      <c r="AY67" s="44"/>
      <c r="AZ67" s="44"/>
      <c r="BA67" s="44"/>
      <c r="BB67" s="44"/>
      <c r="BC67" s="44"/>
      <c r="BD67" s="44"/>
      <c r="BE67" s="44"/>
      <c r="BF67" s="44"/>
      <c r="BG67" s="44"/>
      <c r="BH67" s="44"/>
      <c r="BI67" s="44"/>
      <c r="BJ67" s="44"/>
      <c r="BK67" s="44"/>
      <c r="BL67" s="44"/>
      <c r="BM67" s="44"/>
      <c r="BN67" s="44"/>
      <c r="BO67" s="44"/>
      <c r="BP67" s="44"/>
      <c r="BQ67" s="44"/>
      <c r="BR67" s="44"/>
      <c r="BS67" s="44"/>
      <c r="BT67" s="44"/>
      <c r="BU67" s="44"/>
      <c r="BV67" s="44"/>
      <c r="BW67" s="44"/>
      <c r="BX67" s="44"/>
      <c r="BY67" s="44"/>
      <c r="BZ67" s="44"/>
      <c r="CA67" s="44"/>
      <c r="CB67" s="44"/>
      <c r="CC67" s="44"/>
      <c r="CD67" s="44"/>
      <c r="CE67" s="44"/>
      <c r="CF67" s="44"/>
      <c r="CG67" s="44"/>
      <c r="CH67" s="44"/>
      <c r="CI67" s="44"/>
      <c r="CJ67" s="44"/>
    </row>
    <row r="68" spans="2:88" ht="15.75" thickBot="1" x14ac:dyDescent="0.25">
      <c r="B68" s="1119" t="s">
        <v>70</v>
      </c>
      <c r="C68" s="1120" t="s">
        <v>205</v>
      </c>
      <c r="D68" s="1120" t="s">
        <v>71</v>
      </c>
      <c r="E68" s="1120" t="s">
        <v>206</v>
      </c>
      <c r="F68" s="1120" t="s">
        <v>207</v>
      </c>
      <c r="G68" s="1119" t="s">
        <v>208</v>
      </c>
      <c r="H68" s="1120" t="s">
        <v>209</v>
      </c>
      <c r="I68" s="1120" t="s">
        <v>210</v>
      </c>
      <c r="J68" s="1120" t="s">
        <v>211</v>
      </c>
      <c r="K68" s="1120" t="s">
        <v>212</v>
      </c>
      <c r="L68" s="1120" t="s">
        <v>213</v>
      </c>
      <c r="M68" s="1120" t="s">
        <v>214</v>
      </c>
      <c r="N68" s="1120" t="s">
        <v>215</v>
      </c>
      <c r="O68" s="1120" t="s">
        <v>216</v>
      </c>
      <c r="P68" s="1120" t="s">
        <v>217</v>
      </c>
      <c r="Q68" s="1120" t="s">
        <v>218</v>
      </c>
      <c r="R68" s="1120" t="s">
        <v>247</v>
      </c>
      <c r="S68" s="1120" t="s">
        <v>248</v>
      </c>
      <c r="T68" s="1120" t="s">
        <v>249</v>
      </c>
      <c r="U68" s="1120" t="s">
        <v>250</v>
      </c>
      <c r="V68" s="1120" t="s">
        <v>219</v>
      </c>
      <c r="W68" s="1120" t="s">
        <v>251</v>
      </c>
      <c r="X68" s="1120" t="s">
        <v>252</v>
      </c>
      <c r="Y68" s="1120" t="s">
        <v>253</v>
      </c>
      <c r="Z68" s="1120" t="s">
        <v>254</v>
      </c>
      <c r="AA68" s="1120" t="s">
        <v>220</v>
      </c>
      <c r="AB68" s="1120" t="s">
        <v>255</v>
      </c>
      <c r="AC68" s="1120" t="s">
        <v>256</v>
      </c>
      <c r="AD68" s="1120" t="s">
        <v>257</v>
      </c>
      <c r="AE68" s="1120" t="s">
        <v>258</v>
      </c>
      <c r="AF68" s="1120" t="s">
        <v>221</v>
      </c>
      <c r="AG68" s="1120" t="s">
        <v>259</v>
      </c>
      <c r="AH68" s="1120" t="s">
        <v>260</v>
      </c>
      <c r="AI68" s="1120" t="s">
        <v>261</v>
      </c>
      <c r="AJ68" s="1120" t="s">
        <v>262</v>
      </c>
      <c r="AK68" s="1120" t="s">
        <v>222</v>
      </c>
      <c r="AL68" s="1120" t="s">
        <v>263</v>
      </c>
      <c r="AM68" s="1120" t="s">
        <v>264</v>
      </c>
      <c r="AN68" s="1120" t="s">
        <v>265</v>
      </c>
      <c r="AO68" s="1120" t="s">
        <v>266</v>
      </c>
      <c r="AP68" s="1120" t="s">
        <v>223</v>
      </c>
      <c r="AQ68" s="1120" t="s">
        <v>267</v>
      </c>
      <c r="AR68" s="1120" t="s">
        <v>268</v>
      </c>
      <c r="AS68" s="1120" t="s">
        <v>269</v>
      </c>
      <c r="AT68" s="1120" t="s">
        <v>270</v>
      </c>
      <c r="AU68" s="1120" t="s">
        <v>224</v>
      </c>
      <c r="AV68" s="1120" t="s">
        <v>271</v>
      </c>
      <c r="AW68" s="1120" t="s">
        <v>272</v>
      </c>
      <c r="AX68" s="1120" t="s">
        <v>273</v>
      </c>
      <c r="AY68" s="1120" t="s">
        <v>274</v>
      </c>
      <c r="AZ68" s="1120" t="s">
        <v>225</v>
      </c>
      <c r="BA68" s="1120" t="s">
        <v>275</v>
      </c>
      <c r="BB68" s="1120" t="s">
        <v>276</v>
      </c>
      <c r="BC68" s="1120" t="s">
        <v>277</v>
      </c>
      <c r="BD68" s="1120" t="s">
        <v>278</v>
      </c>
      <c r="BE68" s="1120" t="s">
        <v>226</v>
      </c>
      <c r="BF68" s="1120" t="s">
        <v>279</v>
      </c>
      <c r="BG68" s="1120" t="s">
        <v>280</v>
      </c>
      <c r="BH68" s="1120" t="s">
        <v>281</v>
      </c>
      <c r="BI68" s="1120" t="s">
        <v>282</v>
      </c>
      <c r="BJ68" s="1120" t="s">
        <v>227</v>
      </c>
      <c r="BK68" s="1120" t="s">
        <v>283</v>
      </c>
      <c r="BL68" s="1120" t="s">
        <v>284</v>
      </c>
      <c r="BM68" s="1120" t="s">
        <v>285</v>
      </c>
      <c r="BN68" s="1120" t="s">
        <v>286</v>
      </c>
      <c r="BO68" s="1120" t="s">
        <v>228</v>
      </c>
      <c r="BP68" s="1120" t="s">
        <v>287</v>
      </c>
      <c r="BQ68" s="1120" t="s">
        <v>288</v>
      </c>
      <c r="BR68" s="1120" t="s">
        <v>289</v>
      </c>
      <c r="BS68" s="1120" t="s">
        <v>290</v>
      </c>
      <c r="BT68" s="1120" t="s">
        <v>229</v>
      </c>
      <c r="BU68" s="1120" t="s">
        <v>291</v>
      </c>
      <c r="BV68" s="1120" t="s">
        <v>292</v>
      </c>
      <c r="BW68" s="1120" t="s">
        <v>293</v>
      </c>
      <c r="BX68" s="1120" t="s">
        <v>294</v>
      </c>
      <c r="BY68" s="1120" t="s">
        <v>230</v>
      </c>
      <c r="BZ68" s="1120" t="s">
        <v>295</v>
      </c>
      <c r="CA68" s="1120" t="s">
        <v>296</v>
      </c>
      <c r="CB68" s="1120" t="s">
        <v>297</v>
      </c>
      <c r="CC68" s="1120" t="s">
        <v>298</v>
      </c>
      <c r="CD68" s="1120" t="s">
        <v>231</v>
      </c>
      <c r="CE68" s="1120" t="s">
        <v>299</v>
      </c>
      <c r="CF68" s="1120" t="s">
        <v>300</v>
      </c>
      <c r="CG68" s="1120" t="s">
        <v>301</v>
      </c>
      <c r="CH68" s="1120" t="s">
        <v>302</v>
      </c>
      <c r="CI68" s="1120" t="s">
        <v>232</v>
      </c>
      <c r="CJ68" s="1153" t="s">
        <v>303</v>
      </c>
    </row>
    <row r="69" spans="2:88" ht="15" thickBot="1" x14ac:dyDescent="0.25">
      <c r="B69" s="1121" t="s">
        <v>396</v>
      </c>
      <c r="C69" s="505" t="s">
        <v>368</v>
      </c>
      <c r="D69" s="506" t="s">
        <v>397</v>
      </c>
      <c r="E69" s="505" t="s">
        <v>236</v>
      </c>
      <c r="F69" s="507">
        <v>2</v>
      </c>
      <c r="G69" s="366" t="e">
        <f>SUM(ESWBLY:ESWNCT!G$130)</f>
        <v>#REF!</v>
      </c>
      <c r="H69" s="366">
        <f>SUM(ESWBLY:ESWNCT!H$130)</f>
        <v>0</v>
      </c>
      <c r="I69" s="366">
        <f>SUM(ESWBLY:ESWNCT!I$130)</f>
        <v>15.25</v>
      </c>
      <c r="J69" s="366">
        <f>SUM(ESWBLY:ESWNCT!J$130)</f>
        <v>15.25</v>
      </c>
      <c r="K69" s="366">
        <f>SUM(ESWBLY:ESWNCT!K$130)</f>
        <v>15.25</v>
      </c>
      <c r="L69" s="366">
        <f>SUM(ESWBLY:ESWNCT!L$130)</f>
        <v>15.25</v>
      </c>
      <c r="M69" s="366">
        <f>SUM(ESWBLY:ESWNCT!M$130)</f>
        <v>15.25</v>
      </c>
      <c r="N69" s="366">
        <f>SUM(ESWBLY:ESWNCT!N$130)</f>
        <v>15.25</v>
      </c>
      <c r="O69" s="366">
        <f>SUM(ESWBLY:ESWNCT!O$130)</f>
        <v>15.25</v>
      </c>
      <c r="P69" s="366">
        <f>SUM(ESWBLY:ESWNCT!P$130)</f>
        <v>15.25</v>
      </c>
      <c r="Q69" s="366">
        <f>SUM(ESWBLY:ESWNCT!Q$130)</f>
        <v>9.25</v>
      </c>
      <c r="R69" s="366">
        <f>SUM(ESWBLY:ESWNCT!R$130)</f>
        <v>9.25</v>
      </c>
      <c r="S69" s="366">
        <f>SUM(ESWBLY:ESWNCT!S$130)</f>
        <v>7.3999999999999995</v>
      </c>
      <c r="T69" s="366">
        <f>SUM(ESWBLY:ESWNCT!T$130)</f>
        <v>7.3999999999999995</v>
      </c>
      <c r="U69" s="366">
        <f>SUM(ESWBLY:ESWNCT!U$130)</f>
        <v>7.3999999999999995</v>
      </c>
      <c r="V69" s="366">
        <f>SUM(ESWBLY:ESWNCT!V$130)</f>
        <v>7.3999999999999995</v>
      </c>
      <c r="W69" s="366">
        <f>SUM(ESWBLY:ESWNCT!W$130)</f>
        <v>7.3999999999999995</v>
      </c>
      <c r="X69" s="366">
        <f>SUM(ESWBLY:ESWNCT!X$130)</f>
        <v>7.3999999999999995</v>
      </c>
      <c r="Y69" s="366">
        <f>SUM(ESWBLY:ESWNCT!Y$130)</f>
        <v>7.3999999999999995</v>
      </c>
      <c r="Z69" s="366">
        <f>SUM(ESWBLY:ESWNCT!Z$130)</f>
        <v>7.3999999999999995</v>
      </c>
      <c r="AA69" s="366">
        <f>SUM(ESWBLY:ESWNCT!AA$130)</f>
        <v>7.3999999999999995</v>
      </c>
      <c r="AB69" s="366">
        <f>SUM(ESWBLY:ESWNCT!AB$130)</f>
        <v>7.3999999999999995</v>
      </c>
      <c r="AC69" s="366">
        <f>SUM(ESWBLY:ESWNCT!AC$130)</f>
        <v>7.3999999999999995</v>
      </c>
      <c r="AD69" s="366">
        <f>SUM(ESWBLY:ESWNCT!AD$130)</f>
        <v>7.3999999999999995</v>
      </c>
      <c r="AE69" s="366">
        <f>SUM(ESWBLY:ESWNCT!AE$130)</f>
        <v>7.3999999999999995</v>
      </c>
      <c r="AF69" s="366">
        <f>SUM(ESWBLY:ESWNCT!AF$130)</f>
        <v>7.3999999999999995</v>
      </c>
      <c r="AG69" s="366">
        <f>SUM(ESWBLY:ESWNCT!AG$130)</f>
        <v>7.3999999999999995</v>
      </c>
      <c r="AH69" s="366">
        <f>SUM(ESWBLY:ESWNCT!AH$130)</f>
        <v>7.3999999999999995</v>
      </c>
      <c r="AI69" s="366">
        <f>SUM(ESWBLY:ESWNCT!AI$130)</f>
        <v>7.3999999999999995</v>
      </c>
      <c r="AJ69" s="366">
        <f>SUM(ESWBLY:ESWNCT!AJ$130)</f>
        <v>7.3999999999999995</v>
      </c>
      <c r="AK69" s="366">
        <f>SUM(ESWBLY:ESWNCT!AK$130)</f>
        <v>7.3999999999999995</v>
      </c>
      <c r="AL69" s="366">
        <f>SUM(ESWBLY:ESWNCT!AL$130)</f>
        <v>0</v>
      </c>
      <c r="AM69" s="366">
        <f>SUM(ESWBLY:ESWNCT!AM$130)</f>
        <v>0</v>
      </c>
      <c r="AN69" s="366">
        <f>SUM(ESWBLY:ESWNCT!AN$130)</f>
        <v>0</v>
      </c>
      <c r="AO69" s="366">
        <f>SUM(ESWBLY:ESWNCT!AO$130)</f>
        <v>0</v>
      </c>
      <c r="AP69" s="366">
        <f>SUM(ESWBLY:ESWNCT!AP$130)</f>
        <v>0</v>
      </c>
      <c r="AQ69" s="366">
        <f>SUM(ESWBLY:ESWNCT!AQ$130)</f>
        <v>0</v>
      </c>
      <c r="AR69" s="366">
        <f>SUM(ESWBLY:ESWNCT!AR$130)</f>
        <v>0</v>
      </c>
      <c r="AS69" s="366">
        <f>SUM(ESWBLY:ESWNCT!AS$130)</f>
        <v>0</v>
      </c>
      <c r="AT69" s="366">
        <f>SUM(ESWBLY:ESWNCT!AT$130)</f>
        <v>0</v>
      </c>
      <c r="AU69" s="366">
        <f>SUM(ESWBLY:ESWNCT!AU$130)</f>
        <v>0</v>
      </c>
      <c r="AV69" s="366">
        <f>SUM(ESWBLY:ESWNCT!AV$130)</f>
        <v>0</v>
      </c>
      <c r="AW69" s="366">
        <f>SUM(ESWBLY:ESWNCT!AW$130)</f>
        <v>0</v>
      </c>
      <c r="AX69" s="366">
        <f>SUM(ESWBLY:ESWNCT!AX$130)</f>
        <v>0</v>
      </c>
      <c r="AY69" s="366">
        <f>SUM(ESWBLY:ESWNCT!AY$130)</f>
        <v>0</v>
      </c>
      <c r="AZ69" s="366">
        <f>SUM(ESWBLY:ESWNCT!AZ$130)</f>
        <v>0</v>
      </c>
      <c r="BA69" s="366">
        <f>SUM(ESWBLY:ESWNCT!BA$130)</f>
        <v>0</v>
      </c>
      <c r="BB69" s="366">
        <f>SUM(ESWBLY:ESWNCT!BB$130)</f>
        <v>0</v>
      </c>
      <c r="BC69" s="366">
        <f>SUM(ESWBLY:ESWNCT!BC$130)</f>
        <v>0</v>
      </c>
      <c r="BD69" s="366">
        <f>SUM(ESWBLY:ESWNCT!BD$130)</f>
        <v>0</v>
      </c>
      <c r="BE69" s="366">
        <f>SUM(ESWBLY:ESWNCT!BE$130)</f>
        <v>0</v>
      </c>
      <c r="BF69" s="366">
        <f>SUM(ESWBLY:ESWNCT!BF$130)</f>
        <v>0</v>
      </c>
      <c r="BG69" s="366">
        <f>SUM(ESWBLY:ESWNCT!BG$130)</f>
        <v>0</v>
      </c>
      <c r="BH69" s="366">
        <f>SUM(ESWBLY:ESWNCT!BH$130)</f>
        <v>0</v>
      </c>
      <c r="BI69" s="366">
        <f>SUM(ESWBLY:ESWNCT!BI$130)</f>
        <v>0</v>
      </c>
      <c r="BJ69" s="366">
        <f>SUM(ESWBLY:ESWNCT!BJ$130)</f>
        <v>0</v>
      </c>
      <c r="BK69" s="366">
        <f>SUM(ESWBLY:ESWNCT!BK$130)</f>
        <v>0</v>
      </c>
      <c r="BL69" s="366">
        <f>SUM(ESWBLY:ESWNCT!BL$130)</f>
        <v>0</v>
      </c>
      <c r="BM69" s="366">
        <f>SUM(ESWBLY:ESWNCT!BM$130)</f>
        <v>0</v>
      </c>
      <c r="BN69" s="366">
        <f>SUM(ESWBLY:ESWNCT!BN$130)</f>
        <v>0</v>
      </c>
      <c r="BO69" s="366">
        <f>SUM(ESWBLY:ESWNCT!BO$130)</f>
        <v>0</v>
      </c>
      <c r="BP69" s="366">
        <f>SUM(ESWBLY:ESWNCT!BP$130)</f>
        <v>0</v>
      </c>
      <c r="BQ69" s="366">
        <f>SUM(ESWBLY:ESWNCT!BQ$130)</f>
        <v>0</v>
      </c>
      <c r="BR69" s="366">
        <f>SUM(ESWBLY:ESWNCT!BR$130)</f>
        <v>0</v>
      </c>
      <c r="BS69" s="366">
        <f>SUM(ESWBLY:ESWNCT!BS$130)</f>
        <v>0</v>
      </c>
      <c r="BT69" s="366">
        <f>SUM(ESWBLY:ESWNCT!BT$130)</f>
        <v>0</v>
      </c>
      <c r="BU69" s="366">
        <f>SUM(ESWBLY:ESWNCT!BU$130)</f>
        <v>0</v>
      </c>
      <c r="BV69" s="366">
        <f>SUM(ESWBLY:ESWNCT!BV$130)</f>
        <v>0</v>
      </c>
      <c r="BW69" s="366">
        <f>SUM(ESWBLY:ESWNCT!BW$130)</f>
        <v>0</v>
      </c>
      <c r="BX69" s="366">
        <f>SUM(ESWBLY:ESWNCT!BX$130)</f>
        <v>0</v>
      </c>
      <c r="BY69" s="366">
        <f>SUM(ESWBLY:ESWNCT!BY$130)</f>
        <v>0</v>
      </c>
      <c r="BZ69" s="366">
        <f>SUM(ESWBLY:ESWNCT!BZ$130)</f>
        <v>0</v>
      </c>
      <c r="CA69" s="366">
        <f>SUM(ESWBLY:ESWNCT!CA$130)</f>
        <v>0</v>
      </c>
      <c r="CB69" s="366">
        <f>SUM(ESWBLY:ESWNCT!CB$130)</f>
        <v>0</v>
      </c>
      <c r="CC69" s="366">
        <f>SUM(ESWBLY:ESWNCT!CC$130)</f>
        <v>0</v>
      </c>
      <c r="CD69" s="366">
        <f>SUM(ESWBLY:ESWNCT!CD$130)</f>
        <v>0</v>
      </c>
      <c r="CE69" s="366">
        <f>SUM(ESWBLY:ESWNCT!CE$130)</f>
        <v>0</v>
      </c>
      <c r="CF69" s="366">
        <f>SUM(ESWBLY:ESWNCT!CF$130)</f>
        <v>0</v>
      </c>
      <c r="CG69" s="366">
        <f>SUM(ESWBLY:ESWNCT!CG$130)</f>
        <v>0</v>
      </c>
      <c r="CH69" s="366">
        <v>0</v>
      </c>
      <c r="CI69" s="366">
        <v>0</v>
      </c>
      <c r="CJ69" s="1154">
        <v>0</v>
      </c>
    </row>
    <row r="70" spans="2:88" ht="42.75" x14ac:dyDescent="0.2">
      <c r="B70" s="1122" t="s">
        <v>398</v>
      </c>
      <c r="C70" s="1123" t="s">
        <v>238</v>
      </c>
      <c r="D70" s="454" t="s">
        <v>399</v>
      </c>
      <c r="E70" s="1123" t="s">
        <v>239</v>
      </c>
      <c r="F70" s="455">
        <v>1</v>
      </c>
      <c r="G70" s="367" t="e">
        <f>( ( SUM(ESWBLY:ESWNCT!G$136) + SUM(ESWBLY:ESWNCT!G$137)  - SUM(ESWBLY:ESWNCT!G$147) - SUM(ESWBLY:ESWNCT!G$148) ) * 1000000 ) / ( (SUM(ESWBLY:ESWNCT!G$169) + SUM(ESWBLY:ESWNCT!G$170) ) * 1000 )</f>
        <v>#DIV/0!</v>
      </c>
      <c r="H70" s="367" t="e">
        <f>( ( SUM(ESWBLY:ESWNCT!H$136) + SUM(ESWBLY:ESWNCT!H$137)  - SUM(ESWBLY:ESWNCT!H$147) - SUM(ESWBLY:ESWNCT!H$148) ) * 1000000 ) / ( (SUM(ESWBLY:ESWNCT!H$169) + SUM(ESWBLY:ESWNCT!H$170) ) * 1000 )</f>
        <v>#DIV/0!</v>
      </c>
      <c r="I70" s="367">
        <f>( ( SUM(ESWBLY:ESWNCT!I$136) + SUM(ESWBLY:ESWNCT!I$137)  - SUM(ESWBLY:ESWNCT!I$147) - SUM(ESWBLY:ESWNCT!I$148) ) * 1000000 ) / ( (SUM(ESWBLY:ESWNCT!I$169) + SUM(ESWBLY:ESWNCT!I$170) ) * 1000 )</f>
        <v>162.92833149480998</v>
      </c>
      <c r="J70" s="367">
        <f>( ( SUM(ESWBLY:ESWNCT!J$136) + SUM(ESWBLY:ESWNCT!J$137)  - SUM(ESWBLY:ESWNCT!J$147) - SUM(ESWBLY:ESWNCT!J$148) ) * 1000000 ) / ( (SUM(ESWBLY:ESWNCT!J$169) + SUM(ESWBLY:ESWNCT!J$170) ) * 1000 )</f>
        <v>159.18828673597113</v>
      </c>
      <c r="K70" s="367">
        <f>( ( SUM(ESWBLY:ESWNCT!K$136) + SUM(ESWBLY:ESWNCT!K$137)  - SUM(ESWBLY:ESWNCT!K$147) - SUM(ESWBLY:ESWNCT!K$148) ) * 1000000 ) / ( (SUM(ESWBLY:ESWNCT!K$169) + SUM(ESWBLY:ESWNCT!K$170) ) * 1000 )</f>
        <v>156.55431783885771</v>
      </c>
      <c r="L70" s="367">
        <f>( ( SUM(ESWBLY:ESWNCT!L$136) + SUM(ESWBLY:ESWNCT!L$137)  - SUM(ESWBLY:ESWNCT!L$147) - SUM(ESWBLY:ESWNCT!L$148) ) * 1000000 ) / ( (SUM(ESWBLY:ESWNCT!L$169) + SUM(ESWBLY:ESWNCT!L$170) ) * 1000 )</f>
        <v>153.11940532609975</v>
      </c>
      <c r="M70" s="367">
        <f>( ( SUM(ESWBLY:ESWNCT!M$136) + SUM(ESWBLY:ESWNCT!M$137)  - SUM(ESWBLY:ESWNCT!M$147) - SUM(ESWBLY:ESWNCT!M$148) ) * 1000000 ) / ( (SUM(ESWBLY:ESWNCT!M$169) + SUM(ESWBLY:ESWNCT!M$170) ) * 1000 )</f>
        <v>149.08351649346423</v>
      </c>
      <c r="N70" s="367">
        <f>( ( SUM(ESWBLY:ESWNCT!N$136) + SUM(ESWBLY:ESWNCT!N$137)  - SUM(ESWBLY:ESWNCT!N$147) - SUM(ESWBLY:ESWNCT!N$148) ) * 1000000 ) / ( (SUM(ESWBLY:ESWNCT!N$169) + SUM(ESWBLY:ESWNCT!N$170) ) * 1000 )</f>
        <v>146.03780487872817</v>
      </c>
      <c r="O70" s="367">
        <f>( ( SUM(ESWBLY:ESWNCT!O$136) + SUM(ESWBLY:ESWNCT!O$137)  - SUM(ESWBLY:ESWNCT!O$147) - SUM(ESWBLY:ESWNCT!O$148) ) * 1000000 ) / ( (SUM(ESWBLY:ESWNCT!O$169) + SUM(ESWBLY:ESWNCT!O$170) ) * 1000 )</f>
        <v>143.13685755053277</v>
      </c>
      <c r="P70" s="367">
        <f>( ( SUM(ESWBLY:ESWNCT!P$136) + SUM(ESWBLY:ESWNCT!P$137)  - SUM(ESWBLY:ESWNCT!P$147) - SUM(ESWBLY:ESWNCT!P$148) ) * 1000000 ) / ( (SUM(ESWBLY:ESWNCT!P$169) + SUM(ESWBLY:ESWNCT!P$170) ) * 1000 )</f>
        <v>140.50074473747154</v>
      </c>
      <c r="Q70" s="367">
        <f>( ( SUM(ESWBLY:ESWNCT!Q$136) + SUM(ESWBLY:ESWNCT!Q$137)  - SUM(ESWBLY:ESWNCT!Q$147) - SUM(ESWBLY:ESWNCT!Q$148) ) * 1000000 ) / ( (SUM(ESWBLY:ESWNCT!Q$169) + SUM(ESWBLY:ESWNCT!Q$170) ) * 1000 )</f>
        <v>138.06651686865308</v>
      </c>
      <c r="R70" s="367">
        <f>( ( SUM(ESWBLY:ESWNCT!R$136) + SUM(ESWBLY:ESWNCT!R$137)  - SUM(ESWBLY:ESWNCT!R$147) - SUM(ESWBLY:ESWNCT!R$148) ) * 1000000 ) / ( (SUM(ESWBLY:ESWNCT!R$169) + SUM(ESWBLY:ESWNCT!R$170) ) * 1000 )</f>
        <v>136.01171394533213</v>
      </c>
      <c r="S70" s="367">
        <f>( ( SUM(ESWBLY:ESWNCT!S$136) + SUM(ESWBLY:ESWNCT!S$137)  - SUM(ESWBLY:ESWNCT!S$147) - SUM(ESWBLY:ESWNCT!S$148) ) * 1000000 ) / ( (SUM(ESWBLY:ESWNCT!S$169) + SUM(ESWBLY:ESWNCT!S$170) ) * 1000 )</f>
        <v>134.04671573995978</v>
      </c>
      <c r="T70" s="367">
        <f>( ( SUM(ESWBLY:ESWNCT!T$136) + SUM(ESWBLY:ESWNCT!T$137)  - SUM(ESWBLY:ESWNCT!T$147) - SUM(ESWBLY:ESWNCT!T$148) ) * 1000000 ) / ( (SUM(ESWBLY:ESWNCT!T$169) + SUM(ESWBLY:ESWNCT!T$170) ) * 1000 )</f>
        <v>132.14316731243531</v>
      </c>
      <c r="U70" s="367">
        <f>( ( SUM(ESWBLY:ESWNCT!U$136) + SUM(ESWBLY:ESWNCT!U$137)  - SUM(ESWBLY:ESWNCT!U$147) - SUM(ESWBLY:ESWNCT!U$148) ) * 1000000 ) / ( (SUM(ESWBLY:ESWNCT!U$169) + SUM(ESWBLY:ESWNCT!U$170) ) * 1000 )</f>
        <v>129.90594693800992</v>
      </c>
      <c r="V70" s="367">
        <f>( ( SUM(ESWBLY:ESWNCT!V$136) + SUM(ESWBLY:ESWNCT!V$137)  - SUM(ESWBLY:ESWNCT!V$147) - SUM(ESWBLY:ESWNCT!V$148) ) * 1000000 ) / ( (SUM(ESWBLY:ESWNCT!V$169) + SUM(ESWBLY:ESWNCT!V$170) ) * 1000 )</f>
        <v>127.83796608615462</v>
      </c>
      <c r="W70" s="367">
        <f>( ( SUM(ESWBLY:ESWNCT!W$136) + SUM(ESWBLY:ESWNCT!W$137)  - SUM(ESWBLY:ESWNCT!W$147) - SUM(ESWBLY:ESWNCT!W$148) ) * 1000000 ) / ( (SUM(ESWBLY:ESWNCT!W$169) + SUM(ESWBLY:ESWNCT!W$170) ) * 1000 )</f>
        <v>126.36345768262289</v>
      </c>
      <c r="X70" s="367">
        <f>( ( SUM(ESWBLY:ESWNCT!X$136) + SUM(ESWBLY:ESWNCT!X$137)  - SUM(ESWBLY:ESWNCT!X$147) - SUM(ESWBLY:ESWNCT!X$148) ) * 1000000 ) / ( (SUM(ESWBLY:ESWNCT!X$169) + SUM(ESWBLY:ESWNCT!X$170) ) * 1000 )</f>
        <v>124.98771060097299</v>
      </c>
      <c r="Y70" s="367">
        <f>( ( SUM(ESWBLY:ESWNCT!Y$136) + SUM(ESWBLY:ESWNCT!Y$137)  - SUM(ESWBLY:ESWNCT!Y$147) - SUM(ESWBLY:ESWNCT!Y$148) ) * 1000000 ) / ( (SUM(ESWBLY:ESWNCT!Y$169) + SUM(ESWBLY:ESWNCT!Y$170) ) * 1000 )</f>
        <v>123.58712633669718</v>
      </c>
      <c r="Z70" s="367">
        <f>( ( SUM(ESWBLY:ESWNCT!Z$136) + SUM(ESWBLY:ESWNCT!Z$137)  - SUM(ESWBLY:ESWNCT!Z$147) - SUM(ESWBLY:ESWNCT!Z$148) ) * 1000000 ) / ( (SUM(ESWBLY:ESWNCT!Z$169) + SUM(ESWBLY:ESWNCT!Z$170) ) * 1000 )</f>
        <v>122.22065136090247</v>
      </c>
      <c r="AA70" s="367">
        <f>( ( SUM(ESWBLY:ESWNCT!AA$136) + SUM(ESWBLY:ESWNCT!AA$137)  - SUM(ESWBLY:ESWNCT!AA$147) - SUM(ESWBLY:ESWNCT!AA$148) ) * 1000000 ) / ( (SUM(ESWBLY:ESWNCT!AA$169) + SUM(ESWBLY:ESWNCT!AA$170) ) * 1000 )</f>
        <v>120.8514309185537</v>
      </c>
      <c r="AB70" s="367">
        <f>( ( SUM(ESWBLY:ESWNCT!AB$136) + SUM(ESWBLY:ESWNCT!AB$137)  - SUM(ESWBLY:ESWNCT!AB$147) - SUM(ESWBLY:ESWNCT!AB$148) ) * 1000000 ) / ( (SUM(ESWBLY:ESWNCT!AB$169) + SUM(ESWBLY:ESWNCT!AB$170) ) * 1000 )</f>
        <v>118.18395405164442</v>
      </c>
      <c r="AC70" s="367">
        <f>( ( SUM(ESWBLY:ESWNCT!AC$136) + SUM(ESWBLY:ESWNCT!AC$137)  - SUM(ESWBLY:ESWNCT!AC$147) - SUM(ESWBLY:ESWNCT!AC$148) ) * 1000000 ) / ( (SUM(ESWBLY:ESWNCT!AC$169) + SUM(ESWBLY:ESWNCT!AC$170) ) * 1000 )</f>
        <v>116.88935712053552</v>
      </c>
      <c r="AD70" s="367">
        <f>( ( SUM(ESWBLY:ESWNCT!AD$136) + SUM(ESWBLY:ESWNCT!AD$137)  - SUM(ESWBLY:ESWNCT!AD$147) - SUM(ESWBLY:ESWNCT!AD$148) ) * 1000000 ) / ( (SUM(ESWBLY:ESWNCT!AD$169) + SUM(ESWBLY:ESWNCT!AD$170) ) * 1000 )</f>
        <v>115.63890308197826</v>
      </c>
      <c r="AE70" s="367">
        <f>( ( SUM(ESWBLY:ESWNCT!AE$136) + SUM(ESWBLY:ESWNCT!AE$137)  - SUM(ESWBLY:ESWNCT!AE$147) - SUM(ESWBLY:ESWNCT!AE$148) ) * 1000000 ) / ( (SUM(ESWBLY:ESWNCT!AE$169) + SUM(ESWBLY:ESWNCT!AE$170) ) * 1000 )</f>
        <v>114.77614507787347</v>
      </c>
      <c r="AF70" s="367">
        <f>( ( SUM(ESWBLY:ESWNCT!AF$136) + SUM(ESWBLY:ESWNCT!AF$137)  - SUM(ESWBLY:ESWNCT!AF$147) - SUM(ESWBLY:ESWNCT!AF$148) ) * 1000000 ) / ( (SUM(ESWBLY:ESWNCT!AF$169) + SUM(ESWBLY:ESWNCT!AF$170) ) * 1000 )</f>
        <v>113.9304088679075</v>
      </c>
      <c r="AG70" s="367">
        <f>( ( SUM(ESWBLY:ESWNCT!AG$136) + SUM(ESWBLY:ESWNCT!AG$137)  - SUM(ESWBLY:ESWNCT!AG$147) - SUM(ESWBLY:ESWNCT!AG$148) ) * 1000000 ) / ( (SUM(ESWBLY:ESWNCT!AG$169) + SUM(ESWBLY:ESWNCT!AG$170) ) * 1000 )</f>
        <v>113.69541852110355</v>
      </c>
      <c r="AH70" s="367">
        <f>( ( SUM(ESWBLY:ESWNCT!AH$136) + SUM(ESWBLY:ESWNCT!AH$137)  - SUM(ESWBLY:ESWNCT!AH$147) - SUM(ESWBLY:ESWNCT!AH$148) ) * 1000000 ) / ( (SUM(ESWBLY:ESWNCT!AH$169) + SUM(ESWBLY:ESWNCT!AH$170) ) * 1000 )</f>
        <v>111.75249847007377</v>
      </c>
      <c r="AI70" s="367">
        <f>( ( SUM(ESWBLY:ESWNCT!AI$136) + SUM(ESWBLY:ESWNCT!AI$137)  - SUM(ESWBLY:ESWNCT!AI$147) - SUM(ESWBLY:ESWNCT!AI$148) ) * 1000000 ) / ( (SUM(ESWBLY:ESWNCT!AI$169) + SUM(ESWBLY:ESWNCT!AI$170) ) * 1000 )</f>
        <v>111.55812842870034</v>
      </c>
      <c r="AJ70" s="367">
        <f>( ( SUM(ESWBLY:ESWNCT!AJ$136) + SUM(ESWBLY:ESWNCT!AJ$137)  - SUM(ESWBLY:ESWNCT!AJ$147) - SUM(ESWBLY:ESWNCT!AJ$148) ) * 1000000 ) / ( (SUM(ESWBLY:ESWNCT!AJ$169) + SUM(ESWBLY:ESWNCT!AJ$170) ) * 1000 )</f>
        <v>110.48717911600531</v>
      </c>
      <c r="AK70" s="367">
        <f>( ( SUM(ESWBLY:ESWNCT!AK$136) + SUM(ESWBLY:ESWNCT!AK$137)  - SUM(ESWBLY:ESWNCT!AK$147) - SUM(ESWBLY:ESWNCT!AK$148) ) * 1000000 ) / ( (SUM(ESWBLY:ESWNCT!AK$169) + SUM(ESWBLY:ESWNCT!AK$170) ) * 1000 )</f>
        <v>110.29018402120371</v>
      </c>
      <c r="AL70" s="367" t="e">
        <f>( ( SUM(ESWBLY:ESWNCT!AL$136) + SUM(ESWBLY:ESWNCT!AL$137)  - SUM(ESWBLY:ESWNCT!AL$147) - SUM(ESWBLY:ESWNCT!AL$148) ) * 1000000 ) / ( (SUM(ESWBLY:ESWNCT!AL$169) + SUM(ESWBLY:ESWNCT!AL$170) ) * 1000 )</f>
        <v>#DIV/0!</v>
      </c>
      <c r="AM70" s="367" t="e">
        <f>( ( SUM(ESWBLY:ESWNCT!AM$136) + SUM(ESWBLY:ESWNCT!AM$137)  - SUM(ESWBLY:ESWNCT!AM$147) - SUM(ESWBLY:ESWNCT!AM$148) ) * 1000000 ) / ( (SUM(ESWBLY:ESWNCT!AM$169) + SUM(ESWBLY:ESWNCT!AM$170) ) * 1000 )</f>
        <v>#DIV/0!</v>
      </c>
      <c r="AN70" s="367" t="e">
        <f>( ( SUM(ESWBLY:ESWNCT!AN$136) + SUM(ESWBLY:ESWNCT!AN$137)  - SUM(ESWBLY:ESWNCT!AN$147) - SUM(ESWBLY:ESWNCT!AN$148) ) * 1000000 ) / ( (SUM(ESWBLY:ESWNCT!AN$169) + SUM(ESWBLY:ESWNCT!AN$170) ) * 1000 )</f>
        <v>#DIV/0!</v>
      </c>
      <c r="AO70" s="367" t="e">
        <f>( ( SUM(ESWBLY:ESWNCT!AO$136) + SUM(ESWBLY:ESWNCT!AO$137)  - SUM(ESWBLY:ESWNCT!AO$147) - SUM(ESWBLY:ESWNCT!AO$148) ) * 1000000 ) / ( (SUM(ESWBLY:ESWNCT!AO$169) + SUM(ESWBLY:ESWNCT!AO$170) ) * 1000 )</f>
        <v>#DIV/0!</v>
      </c>
      <c r="AP70" s="367" t="e">
        <f>( ( SUM(ESWBLY:ESWNCT!AP$136) + SUM(ESWBLY:ESWNCT!AP$137)  - SUM(ESWBLY:ESWNCT!AP$147) - SUM(ESWBLY:ESWNCT!AP$148) ) * 1000000 ) / ( (SUM(ESWBLY:ESWNCT!AP$169) + SUM(ESWBLY:ESWNCT!AP$170) ) * 1000 )</f>
        <v>#DIV/0!</v>
      </c>
      <c r="AQ70" s="367" t="e">
        <f>( ( SUM(ESWBLY:ESWNCT!AQ$136) + SUM(ESWBLY:ESWNCT!AQ$137)  - SUM(ESWBLY:ESWNCT!AQ$147) - SUM(ESWBLY:ESWNCT!AQ$148) ) * 1000000 ) / ( (SUM(ESWBLY:ESWNCT!AQ$169) + SUM(ESWBLY:ESWNCT!AQ$170) ) * 1000 )</f>
        <v>#DIV/0!</v>
      </c>
      <c r="AR70" s="367" t="e">
        <f>( ( SUM(ESWBLY:ESWNCT!AR$136) + SUM(ESWBLY:ESWNCT!AR$137)  - SUM(ESWBLY:ESWNCT!AR$147) - SUM(ESWBLY:ESWNCT!AR$148) ) * 1000000 ) / ( (SUM(ESWBLY:ESWNCT!AR$169) + SUM(ESWBLY:ESWNCT!AR$170) ) * 1000 )</f>
        <v>#DIV/0!</v>
      </c>
      <c r="AS70" s="367" t="e">
        <f>( ( SUM(ESWBLY:ESWNCT!AS$136) + SUM(ESWBLY:ESWNCT!AS$137)  - SUM(ESWBLY:ESWNCT!AS$147) - SUM(ESWBLY:ESWNCT!AS$148) ) * 1000000 ) / ( (SUM(ESWBLY:ESWNCT!AS$169) + SUM(ESWBLY:ESWNCT!AS$170) ) * 1000 )</f>
        <v>#DIV/0!</v>
      </c>
      <c r="AT70" s="367" t="e">
        <f>( ( SUM(ESWBLY:ESWNCT!AT$136) + SUM(ESWBLY:ESWNCT!AT$137)  - SUM(ESWBLY:ESWNCT!AT$147) - SUM(ESWBLY:ESWNCT!AT$148) ) * 1000000 ) / ( (SUM(ESWBLY:ESWNCT!AT$169) + SUM(ESWBLY:ESWNCT!AT$170) ) * 1000 )</f>
        <v>#DIV/0!</v>
      </c>
      <c r="AU70" s="367" t="e">
        <f>( ( SUM(ESWBLY:ESWNCT!AU$136) + SUM(ESWBLY:ESWNCT!AU$137)  - SUM(ESWBLY:ESWNCT!AU$147) - SUM(ESWBLY:ESWNCT!AU$148) ) * 1000000 ) / ( (SUM(ESWBLY:ESWNCT!AU$169) + SUM(ESWBLY:ESWNCT!AU$170) ) * 1000 )</f>
        <v>#DIV/0!</v>
      </c>
      <c r="AV70" s="367" t="e">
        <f>( ( SUM(ESWBLY:ESWNCT!AV$136) + SUM(ESWBLY:ESWNCT!AV$137)  - SUM(ESWBLY:ESWNCT!AV$147) - SUM(ESWBLY:ESWNCT!AV$148) ) * 1000000 ) / ( (SUM(ESWBLY:ESWNCT!AV$169) + SUM(ESWBLY:ESWNCT!AV$170) ) * 1000 )</f>
        <v>#DIV/0!</v>
      </c>
      <c r="AW70" s="367" t="e">
        <f>( ( SUM(ESWBLY:ESWNCT!AW$136) + SUM(ESWBLY:ESWNCT!AW$137)  - SUM(ESWBLY:ESWNCT!AW$147) - SUM(ESWBLY:ESWNCT!AW$148) ) * 1000000 ) / ( (SUM(ESWBLY:ESWNCT!AW$169) + SUM(ESWBLY:ESWNCT!AW$170) ) * 1000 )</f>
        <v>#DIV/0!</v>
      </c>
      <c r="AX70" s="367" t="e">
        <f>( ( SUM(ESWBLY:ESWNCT!AX$136) + SUM(ESWBLY:ESWNCT!AX$137)  - SUM(ESWBLY:ESWNCT!AX$147) - SUM(ESWBLY:ESWNCT!AX$148) ) * 1000000 ) / ( (SUM(ESWBLY:ESWNCT!AX$169) + SUM(ESWBLY:ESWNCT!AX$170) ) * 1000 )</f>
        <v>#DIV/0!</v>
      </c>
      <c r="AY70" s="367" t="e">
        <f>( ( SUM(ESWBLY:ESWNCT!AY$136) + SUM(ESWBLY:ESWNCT!AY$137)  - SUM(ESWBLY:ESWNCT!AY$147) - SUM(ESWBLY:ESWNCT!AY$148) ) * 1000000 ) / ( (SUM(ESWBLY:ESWNCT!AY$169) + SUM(ESWBLY:ESWNCT!AY$170) ) * 1000 )</f>
        <v>#DIV/0!</v>
      </c>
      <c r="AZ70" s="367" t="e">
        <f>( ( SUM(ESWBLY:ESWNCT!AZ$136) + SUM(ESWBLY:ESWNCT!AZ$137)  - SUM(ESWBLY:ESWNCT!AZ$147) - SUM(ESWBLY:ESWNCT!AZ$148) ) * 1000000 ) / ( (SUM(ESWBLY:ESWNCT!AZ$169) + SUM(ESWBLY:ESWNCT!AZ$170) ) * 1000 )</f>
        <v>#DIV/0!</v>
      </c>
      <c r="BA70" s="367" t="e">
        <f>( ( SUM(ESWBLY:ESWNCT!BA$136) + SUM(ESWBLY:ESWNCT!BA$137)  - SUM(ESWBLY:ESWNCT!BA$147) - SUM(ESWBLY:ESWNCT!BA$148) ) * 1000000 ) / ( (SUM(ESWBLY:ESWNCT!BA$169) + SUM(ESWBLY:ESWNCT!BA$170) ) * 1000 )</f>
        <v>#DIV/0!</v>
      </c>
      <c r="BB70" s="367" t="e">
        <f>( ( SUM(ESWBLY:ESWNCT!BB$136) + SUM(ESWBLY:ESWNCT!BB$137)  - SUM(ESWBLY:ESWNCT!BB$147) - SUM(ESWBLY:ESWNCT!BB$148) ) * 1000000 ) / ( (SUM(ESWBLY:ESWNCT!BB$169) + SUM(ESWBLY:ESWNCT!BB$170) ) * 1000 )</f>
        <v>#DIV/0!</v>
      </c>
      <c r="BC70" s="367" t="e">
        <f>( ( SUM(ESWBLY:ESWNCT!BC$136) + SUM(ESWBLY:ESWNCT!BC$137)  - SUM(ESWBLY:ESWNCT!BC$147) - SUM(ESWBLY:ESWNCT!BC$148) ) * 1000000 ) / ( (SUM(ESWBLY:ESWNCT!BC$169) + SUM(ESWBLY:ESWNCT!BC$170) ) * 1000 )</f>
        <v>#DIV/0!</v>
      </c>
      <c r="BD70" s="367" t="e">
        <f>( ( SUM(ESWBLY:ESWNCT!BD$136) + SUM(ESWBLY:ESWNCT!BD$137)  - SUM(ESWBLY:ESWNCT!BD$147) - SUM(ESWBLY:ESWNCT!BD$148) ) * 1000000 ) / ( (SUM(ESWBLY:ESWNCT!BD$169) + SUM(ESWBLY:ESWNCT!BD$170) ) * 1000 )</f>
        <v>#DIV/0!</v>
      </c>
      <c r="BE70" s="367" t="e">
        <f>( ( SUM(ESWBLY:ESWNCT!BE$136) + SUM(ESWBLY:ESWNCT!BE$137)  - SUM(ESWBLY:ESWNCT!BE$147) - SUM(ESWBLY:ESWNCT!BE$148) ) * 1000000 ) / ( (SUM(ESWBLY:ESWNCT!BE$169) + SUM(ESWBLY:ESWNCT!BE$170) ) * 1000 )</f>
        <v>#DIV/0!</v>
      </c>
      <c r="BF70" s="367" t="e">
        <f>( ( SUM(ESWBLY:ESWNCT!BF$136) + SUM(ESWBLY:ESWNCT!BF$137)  - SUM(ESWBLY:ESWNCT!BF$147) - SUM(ESWBLY:ESWNCT!BF$148) ) * 1000000 ) / ( (SUM(ESWBLY:ESWNCT!BF$169) + SUM(ESWBLY:ESWNCT!BF$170) ) * 1000 )</f>
        <v>#DIV/0!</v>
      </c>
      <c r="BG70" s="367" t="e">
        <f>( ( SUM(ESWBLY:ESWNCT!BG$136) + SUM(ESWBLY:ESWNCT!BG$137)  - SUM(ESWBLY:ESWNCT!BG$147) - SUM(ESWBLY:ESWNCT!BG$148) ) * 1000000 ) / ( (SUM(ESWBLY:ESWNCT!BG$169) + SUM(ESWBLY:ESWNCT!BG$170) ) * 1000 )</f>
        <v>#DIV/0!</v>
      </c>
      <c r="BH70" s="367" t="e">
        <f>( ( SUM(ESWBLY:ESWNCT!BH$136) + SUM(ESWBLY:ESWNCT!BH$137)  - SUM(ESWBLY:ESWNCT!BH$147) - SUM(ESWBLY:ESWNCT!BH$148) ) * 1000000 ) / ( (SUM(ESWBLY:ESWNCT!BH$169) + SUM(ESWBLY:ESWNCT!BH$170) ) * 1000 )</f>
        <v>#DIV/0!</v>
      </c>
      <c r="BI70" s="367" t="e">
        <f>( ( SUM(ESWBLY:ESWNCT!BI$136) + SUM(ESWBLY:ESWNCT!BI$137)  - SUM(ESWBLY:ESWNCT!BI$147) - SUM(ESWBLY:ESWNCT!BI$148) ) * 1000000 ) / ( (SUM(ESWBLY:ESWNCT!BI$169) + SUM(ESWBLY:ESWNCT!BI$170) ) * 1000 )</f>
        <v>#DIV/0!</v>
      </c>
      <c r="BJ70" s="367" t="e">
        <f>( ( SUM(ESWBLY:ESWNCT!BJ$136) + SUM(ESWBLY:ESWNCT!BJ$137)  - SUM(ESWBLY:ESWNCT!BJ$147) - SUM(ESWBLY:ESWNCT!BJ$148) ) * 1000000 ) / ( (SUM(ESWBLY:ESWNCT!BJ$169) + SUM(ESWBLY:ESWNCT!BJ$170) ) * 1000 )</f>
        <v>#DIV/0!</v>
      </c>
      <c r="BK70" s="367" t="e">
        <f>( ( SUM(ESWBLY:ESWNCT!BK$136) + SUM(ESWBLY:ESWNCT!BK$137)  - SUM(ESWBLY:ESWNCT!BK$147) - SUM(ESWBLY:ESWNCT!BK$148) ) * 1000000 ) / ( (SUM(ESWBLY:ESWNCT!BK$169) + SUM(ESWBLY:ESWNCT!BK$170) ) * 1000 )</f>
        <v>#DIV/0!</v>
      </c>
      <c r="BL70" s="367" t="e">
        <f>( ( SUM(ESWBLY:ESWNCT!BL$136) + SUM(ESWBLY:ESWNCT!BL$137)  - SUM(ESWBLY:ESWNCT!BL$147) - SUM(ESWBLY:ESWNCT!BL$148) ) * 1000000 ) / ( (SUM(ESWBLY:ESWNCT!BL$169) + SUM(ESWBLY:ESWNCT!BL$170) ) * 1000 )</f>
        <v>#DIV/0!</v>
      </c>
      <c r="BM70" s="367" t="e">
        <f>( ( SUM(ESWBLY:ESWNCT!BM$136) + SUM(ESWBLY:ESWNCT!BM$137)  - SUM(ESWBLY:ESWNCT!BM$147) - SUM(ESWBLY:ESWNCT!BM$148) ) * 1000000 ) / ( (SUM(ESWBLY:ESWNCT!BM$169) + SUM(ESWBLY:ESWNCT!BM$170) ) * 1000 )</f>
        <v>#DIV/0!</v>
      </c>
      <c r="BN70" s="367" t="e">
        <f>( ( SUM(ESWBLY:ESWNCT!BN$136) + SUM(ESWBLY:ESWNCT!BN$137)  - SUM(ESWBLY:ESWNCT!BN$147) - SUM(ESWBLY:ESWNCT!BN$148) ) * 1000000 ) / ( (SUM(ESWBLY:ESWNCT!BN$169) + SUM(ESWBLY:ESWNCT!BN$170) ) * 1000 )</f>
        <v>#DIV/0!</v>
      </c>
      <c r="BO70" s="367" t="e">
        <f>( ( SUM(ESWBLY:ESWNCT!BO$136) + SUM(ESWBLY:ESWNCT!BO$137)  - SUM(ESWBLY:ESWNCT!BO$147) - SUM(ESWBLY:ESWNCT!BO$148) ) * 1000000 ) / ( (SUM(ESWBLY:ESWNCT!BO$169) + SUM(ESWBLY:ESWNCT!BO$170) ) * 1000 )</f>
        <v>#DIV/0!</v>
      </c>
      <c r="BP70" s="367" t="e">
        <f>( ( SUM(ESWBLY:ESWNCT!BP$136) + SUM(ESWBLY:ESWNCT!BP$137)  - SUM(ESWBLY:ESWNCT!BP$147) - SUM(ESWBLY:ESWNCT!BP$148) ) * 1000000 ) / ( (SUM(ESWBLY:ESWNCT!BP$169) + SUM(ESWBLY:ESWNCT!BP$170) ) * 1000 )</f>
        <v>#DIV/0!</v>
      </c>
      <c r="BQ70" s="367" t="e">
        <f>( ( SUM(ESWBLY:ESWNCT!BQ$136) + SUM(ESWBLY:ESWNCT!BQ$137)  - SUM(ESWBLY:ESWNCT!BQ$147) - SUM(ESWBLY:ESWNCT!BQ$148) ) * 1000000 ) / ( (SUM(ESWBLY:ESWNCT!BQ$169) + SUM(ESWBLY:ESWNCT!BQ$170) ) * 1000 )</f>
        <v>#DIV/0!</v>
      </c>
      <c r="BR70" s="367" t="e">
        <f>( ( SUM(ESWBLY:ESWNCT!BR$136) + SUM(ESWBLY:ESWNCT!BR$137)  - SUM(ESWBLY:ESWNCT!BR$147) - SUM(ESWBLY:ESWNCT!BR$148) ) * 1000000 ) / ( (SUM(ESWBLY:ESWNCT!BR$169) + SUM(ESWBLY:ESWNCT!BR$170) ) * 1000 )</f>
        <v>#DIV/0!</v>
      </c>
      <c r="BS70" s="367" t="e">
        <f>( ( SUM(ESWBLY:ESWNCT!BS$136) + SUM(ESWBLY:ESWNCT!BS$137)  - SUM(ESWBLY:ESWNCT!BS$147) - SUM(ESWBLY:ESWNCT!BS$148) ) * 1000000 ) / ( (SUM(ESWBLY:ESWNCT!BS$169) + SUM(ESWBLY:ESWNCT!BS$170) ) * 1000 )</f>
        <v>#DIV/0!</v>
      </c>
      <c r="BT70" s="367" t="e">
        <f>( ( SUM(ESWBLY:ESWNCT!BT$136) + SUM(ESWBLY:ESWNCT!BT$137)  - SUM(ESWBLY:ESWNCT!BT$147) - SUM(ESWBLY:ESWNCT!BT$148) ) * 1000000 ) / ( (SUM(ESWBLY:ESWNCT!BT$169) + SUM(ESWBLY:ESWNCT!BT$170) ) * 1000 )</f>
        <v>#DIV/0!</v>
      </c>
      <c r="BU70" s="367" t="e">
        <f>( ( SUM(ESWBLY:ESWNCT!BU$136) + SUM(ESWBLY:ESWNCT!BU$137)  - SUM(ESWBLY:ESWNCT!BU$147) - SUM(ESWBLY:ESWNCT!BU$148) ) * 1000000 ) / ( (SUM(ESWBLY:ESWNCT!BU$169) + SUM(ESWBLY:ESWNCT!BU$170) ) * 1000 )</f>
        <v>#DIV/0!</v>
      </c>
      <c r="BV70" s="367" t="e">
        <f>( ( SUM(ESWBLY:ESWNCT!BV$136) + SUM(ESWBLY:ESWNCT!BV$137)  - SUM(ESWBLY:ESWNCT!BV$147) - SUM(ESWBLY:ESWNCT!BV$148) ) * 1000000 ) / ( (SUM(ESWBLY:ESWNCT!BV$169) + SUM(ESWBLY:ESWNCT!BV$170) ) * 1000 )</f>
        <v>#DIV/0!</v>
      </c>
      <c r="BW70" s="367" t="e">
        <f>( ( SUM(ESWBLY:ESWNCT!BW$136) + SUM(ESWBLY:ESWNCT!BW$137)  - SUM(ESWBLY:ESWNCT!BW$147) - SUM(ESWBLY:ESWNCT!BW$148) ) * 1000000 ) / ( (SUM(ESWBLY:ESWNCT!BW$169) + SUM(ESWBLY:ESWNCT!BW$170) ) * 1000 )</f>
        <v>#DIV/0!</v>
      </c>
      <c r="BX70" s="367" t="e">
        <f>( ( SUM(ESWBLY:ESWNCT!BX$136) + SUM(ESWBLY:ESWNCT!BX$137)  - SUM(ESWBLY:ESWNCT!BX$147) - SUM(ESWBLY:ESWNCT!BX$148) ) * 1000000 ) / ( (SUM(ESWBLY:ESWNCT!BX$169) + SUM(ESWBLY:ESWNCT!BX$170) ) * 1000 )</f>
        <v>#DIV/0!</v>
      </c>
      <c r="BY70" s="367" t="e">
        <f>( ( SUM(ESWBLY:ESWNCT!BY$136) + SUM(ESWBLY:ESWNCT!BY$137)  - SUM(ESWBLY:ESWNCT!BY$147) - SUM(ESWBLY:ESWNCT!BY$148) ) * 1000000 ) / ( (SUM(ESWBLY:ESWNCT!BY$169) + SUM(ESWBLY:ESWNCT!BY$170) ) * 1000 )</f>
        <v>#DIV/0!</v>
      </c>
      <c r="BZ70" s="367" t="e">
        <f>( ( SUM(ESWBLY:ESWNCT!BZ$136) + SUM(ESWBLY:ESWNCT!BZ$137)  - SUM(ESWBLY:ESWNCT!BZ$147) - SUM(ESWBLY:ESWNCT!BZ$148) ) * 1000000 ) / ( (SUM(ESWBLY:ESWNCT!BZ$169) + SUM(ESWBLY:ESWNCT!BZ$170) ) * 1000 )</f>
        <v>#DIV/0!</v>
      </c>
      <c r="CA70" s="367" t="e">
        <f>( ( SUM(ESWBLY:ESWNCT!CA$136) + SUM(ESWBLY:ESWNCT!CA$137)  - SUM(ESWBLY:ESWNCT!CA$147) - SUM(ESWBLY:ESWNCT!CA$148) ) * 1000000 ) / ( (SUM(ESWBLY:ESWNCT!CA$169) + SUM(ESWBLY:ESWNCT!CA$170) ) * 1000 )</f>
        <v>#DIV/0!</v>
      </c>
      <c r="CB70" s="367" t="e">
        <f>( ( SUM(ESWBLY:ESWNCT!CB$136) + SUM(ESWBLY:ESWNCT!CB$137)  - SUM(ESWBLY:ESWNCT!CB$147) - SUM(ESWBLY:ESWNCT!CB$148) ) * 1000000 ) / ( (SUM(ESWBLY:ESWNCT!CB$169) + SUM(ESWBLY:ESWNCT!CB$170) ) * 1000 )</f>
        <v>#DIV/0!</v>
      </c>
      <c r="CC70" s="367" t="e">
        <f>( ( SUM(ESWBLY:ESWNCT!CC$136) + SUM(ESWBLY:ESWNCT!CC$137)  - SUM(ESWBLY:ESWNCT!CC$147) - SUM(ESWBLY:ESWNCT!CC$148) ) * 1000000 ) / ( (SUM(ESWBLY:ESWNCT!CC$169) + SUM(ESWBLY:ESWNCT!CC$170) ) * 1000 )</f>
        <v>#DIV/0!</v>
      </c>
      <c r="CD70" s="367" t="e">
        <f>( ( SUM(ESWBLY:ESWNCT!CD$136) + SUM(ESWBLY:ESWNCT!CD$137)  - SUM(ESWBLY:ESWNCT!CD$147) - SUM(ESWBLY:ESWNCT!CD$148) ) * 1000000 ) / ( (SUM(ESWBLY:ESWNCT!CD$169) + SUM(ESWBLY:ESWNCT!CD$170) ) * 1000 )</f>
        <v>#DIV/0!</v>
      </c>
      <c r="CE70" s="367" t="e">
        <f>( ( SUM(ESWBLY:ESWNCT!CE$136) + SUM(ESWBLY:ESWNCT!CE$137)  - SUM(ESWBLY:ESWNCT!CE$147) - SUM(ESWBLY:ESWNCT!CE$148) ) * 1000000 ) / ( (SUM(ESWBLY:ESWNCT!CE$169) + SUM(ESWBLY:ESWNCT!CE$170) ) * 1000 )</f>
        <v>#DIV/0!</v>
      </c>
      <c r="CF70" s="367" t="e">
        <f>( ( SUM(ESWBLY:ESWNCT!CF$136) + SUM(ESWBLY:ESWNCT!CF$137)  - SUM(ESWBLY:ESWNCT!CF$147) - SUM(ESWBLY:ESWNCT!CF$148) ) * 1000000 ) / ( (SUM(ESWBLY:ESWNCT!CF$169) + SUM(ESWBLY:ESWNCT!CF$170) ) * 1000 )</f>
        <v>#DIV/0!</v>
      </c>
      <c r="CG70" s="367" t="e">
        <f>( ( SUM(ESWBLY:ESWNCT!CG$136) + SUM(ESWBLY:ESWNCT!CG$137)  - SUM(ESWBLY:ESWNCT!CG$147) - SUM(ESWBLY:ESWNCT!CG$148) ) * 1000000 ) / ( (SUM(ESWBLY:ESWNCT!CG$169) + SUM(ESWBLY:ESWNCT!CG$170) ) * 1000 )</f>
        <v>#DIV/0!</v>
      </c>
      <c r="CH70" s="367" t="e">
        <v>#DIV/0!</v>
      </c>
      <c r="CI70" s="367" t="e">
        <v>#DIV/0!</v>
      </c>
      <c r="CJ70" s="1155" t="e">
        <v>#DIV/0!</v>
      </c>
    </row>
    <row r="71" spans="2:88" ht="28.5" x14ac:dyDescent="0.2">
      <c r="B71" s="1124" t="s">
        <v>400</v>
      </c>
      <c r="C71" s="1125" t="s">
        <v>373</v>
      </c>
      <c r="D71" s="456" t="s">
        <v>401</v>
      </c>
      <c r="E71" s="1125" t="s">
        <v>375</v>
      </c>
      <c r="F71" s="457">
        <v>1</v>
      </c>
      <c r="G71" s="368" t="e">
        <f>( SUM(ESWBLY:ESWNCT!G$156)) /  ( SUM(ESWBLY:ESWNCT!G$156) + SUM(ESWBLY:ESWNCT!G$163) + SUM(ESWBLY:ESWNCT!G$164) + SUM(ESWBLY:ESWNCT!G$165) )</f>
        <v>#DIV/0!</v>
      </c>
      <c r="H71" s="368" t="e">
        <f>( SUM(ESWBLY:ESWNCT!H$156)) /  ( SUM(ESWBLY:ESWNCT!H$156) + SUM(ESWBLY:ESWNCT!H$163) + SUM(ESWBLY:ESWNCT!H$164) + SUM(ESWBLY:ESWNCT!H$165) )</f>
        <v>#DIV/0!</v>
      </c>
      <c r="I71" s="368">
        <f>( SUM(ESWBLY:ESWNCT!I$156)) /  ( SUM(ESWBLY:ESWNCT!I$156) + SUM(ESWBLY:ESWNCT!I$163) + SUM(ESWBLY:ESWNCT!I$164) + SUM(ESWBLY:ESWNCT!I$165) )</f>
        <v>0.62471602944206739</v>
      </c>
      <c r="J71" s="368">
        <f>( SUM(ESWBLY:ESWNCT!J$156)) /  ( SUM(ESWBLY:ESWNCT!J$156) + SUM(ESWBLY:ESWNCT!J$163) + SUM(ESWBLY:ESWNCT!J$164) + SUM(ESWBLY:ESWNCT!J$165) )</f>
        <v>0.63604472605771623</v>
      </c>
      <c r="K71" s="368">
        <f>( SUM(ESWBLY:ESWNCT!K$156)) /  ( SUM(ESWBLY:ESWNCT!K$156) + SUM(ESWBLY:ESWNCT!K$163) + SUM(ESWBLY:ESWNCT!K$164) + SUM(ESWBLY:ESWNCT!K$165) )</f>
        <v>0.65166577023087258</v>
      </c>
      <c r="L71" s="368">
        <f>( SUM(ESWBLY:ESWNCT!L$156)) /  ( SUM(ESWBLY:ESWNCT!L$156) + SUM(ESWBLY:ESWNCT!L$163) + SUM(ESWBLY:ESWNCT!L$164) + SUM(ESWBLY:ESWNCT!L$165) )</f>
        <v>0.67179893595438767</v>
      </c>
      <c r="M71" s="368">
        <f>( SUM(ESWBLY:ESWNCT!M$156)) /  ( SUM(ESWBLY:ESWNCT!M$156) + SUM(ESWBLY:ESWNCT!M$163) + SUM(ESWBLY:ESWNCT!M$164) + SUM(ESWBLY:ESWNCT!M$165) )</f>
        <v>0.72139084664507036</v>
      </c>
      <c r="N71" s="368">
        <f>( SUM(ESWBLY:ESWNCT!N$156)) /  ( SUM(ESWBLY:ESWNCT!N$156) + SUM(ESWBLY:ESWNCT!N$163) + SUM(ESWBLY:ESWNCT!N$164) + SUM(ESWBLY:ESWNCT!N$165) )</f>
        <v>0.78320298478965167</v>
      </c>
      <c r="O71" s="368">
        <f>( SUM(ESWBLY:ESWNCT!O$156)) /  ( SUM(ESWBLY:ESWNCT!O$156) + SUM(ESWBLY:ESWNCT!O$163) + SUM(ESWBLY:ESWNCT!O$164) + SUM(ESWBLY:ESWNCT!O$165) )</f>
        <v>0.8202339604951181</v>
      </c>
      <c r="P71" s="368">
        <f>( SUM(ESWBLY:ESWNCT!P$156)) /  ( SUM(ESWBLY:ESWNCT!P$156) + SUM(ESWBLY:ESWNCT!P$163) + SUM(ESWBLY:ESWNCT!P$164) + SUM(ESWBLY:ESWNCT!P$165) )</f>
        <v>0.8466307251627504</v>
      </c>
      <c r="Q71" s="368">
        <f>( SUM(ESWBLY:ESWNCT!Q$156)) /  ( SUM(ESWBLY:ESWNCT!Q$156) + SUM(ESWBLY:ESWNCT!Q$163) + SUM(ESWBLY:ESWNCT!Q$164) + SUM(ESWBLY:ESWNCT!Q$165) )</f>
        <v>0.87246070849692281</v>
      </c>
      <c r="R71" s="368">
        <f>( SUM(ESWBLY:ESWNCT!R$156)) /  ( SUM(ESWBLY:ESWNCT!R$156) + SUM(ESWBLY:ESWNCT!R$163) + SUM(ESWBLY:ESWNCT!R$164) + SUM(ESWBLY:ESWNCT!R$165) )</f>
        <v>0.8927751033853133</v>
      </c>
      <c r="S71" s="368">
        <f>( SUM(ESWBLY:ESWNCT!S$156)) /  ( SUM(ESWBLY:ESWNCT!S$156) + SUM(ESWBLY:ESWNCT!S$163) + SUM(ESWBLY:ESWNCT!S$164) + SUM(ESWBLY:ESWNCT!S$165) )</f>
        <v>0.90795283706792618</v>
      </c>
      <c r="T71" s="368">
        <f>( SUM(ESWBLY:ESWNCT!T$156)) /  ( SUM(ESWBLY:ESWNCT!T$156) + SUM(ESWBLY:ESWNCT!T$163) + SUM(ESWBLY:ESWNCT!T$164) + SUM(ESWBLY:ESWNCT!T$165) )</f>
        <v>0.92198810324097491</v>
      </c>
      <c r="U71" s="368">
        <f>( SUM(ESWBLY:ESWNCT!U$156)) /  ( SUM(ESWBLY:ESWNCT!U$156) + SUM(ESWBLY:ESWNCT!U$163) + SUM(ESWBLY:ESWNCT!U$164) + SUM(ESWBLY:ESWNCT!U$165) )</f>
        <v>0.93579985316527181</v>
      </c>
      <c r="V71" s="368">
        <f>( SUM(ESWBLY:ESWNCT!V$156)) /  ( SUM(ESWBLY:ESWNCT!V$156) + SUM(ESWBLY:ESWNCT!V$163) + SUM(ESWBLY:ESWNCT!V$164) + SUM(ESWBLY:ESWNCT!V$165) )</f>
        <v>0.94946434750183573</v>
      </c>
      <c r="W71" s="368">
        <f>( SUM(ESWBLY:ESWNCT!W$156)) /  ( SUM(ESWBLY:ESWNCT!W$156) + SUM(ESWBLY:ESWNCT!W$163) + SUM(ESWBLY:ESWNCT!W$164) + SUM(ESWBLY:ESWNCT!W$165) )</f>
        <v>0.95629866373536965</v>
      </c>
      <c r="X71" s="368">
        <f>( SUM(ESWBLY:ESWNCT!X$156)) /  ( SUM(ESWBLY:ESWNCT!X$156) + SUM(ESWBLY:ESWNCT!X$163) + SUM(ESWBLY:ESWNCT!X$164) + SUM(ESWBLY:ESWNCT!X$165) )</f>
        <v>0.95647898219613159</v>
      </c>
      <c r="Y71" s="368">
        <f>( SUM(ESWBLY:ESWNCT!Y$156)) /  ( SUM(ESWBLY:ESWNCT!Y$156) + SUM(ESWBLY:ESWNCT!Y$163) + SUM(ESWBLY:ESWNCT!Y$164) + SUM(ESWBLY:ESWNCT!Y$165) )</f>
        <v>0.95665857250034947</v>
      </c>
      <c r="Z71" s="368">
        <f>( SUM(ESWBLY:ESWNCT!Z$156)) /  ( SUM(ESWBLY:ESWNCT!Z$156) + SUM(ESWBLY:ESWNCT!Z$163) + SUM(ESWBLY:ESWNCT!Z$164) + SUM(ESWBLY:ESWNCT!Z$165) )</f>
        <v>0.95683721839343261</v>
      </c>
      <c r="AA71" s="368">
        <f>( SUM(ESWBLY:ESWNCT!AA$156)) /  ( SUM(ESWBLY:ESWNCT!AA$156) + SUM(ESWBLY:ESWNCT!AA$163) + SUM(ESWBLY:ESWNCT!AA$164) + SUM(ESWBLY:ESWNCT!AA$165) )</f>
        <v>0.95701378860708075</v>
      </c>
      <c r="AB71" s="368">
        <f>( SUM(ESWBLY:ESWNCT!AB$156)) /  ( SUM(ESWBLY:ESWNCT!AB$156) + SUM(ESWBLY:ESWNCT!AB$163) + SUM(ESWBLY:ESWNCT!AB$164) + SUM(ESWBLY:ESWNCT!AB$165) )</f>
        <v>0.95719089552936087</v>
      </c>
      <c r="AC71" s="368">
        <f>( SUM(ESWBLY:ESWNCT!AC$156)) /  ( SUM(ESWBLY:ESWNCT!AC$156) + SUM(ESWBLY:ESWNCT!AC$163) + SUM(ESWBLY:ESWNCT!AC$164) + SUM(ESWBLY:ESWNCT!AC$165) )</f>
        <v>0.95736856852603769</v>
      </c>
      <c r="AD71" s="368">
        <f>( SUM(ESWBLY:ESWNCT!AD$156)) /  ( SUM(ESWBLY:ESWNCT!AD$156) + SUM(ESWBLY:ESWNCT!AD$163) + SUM(ESWBLY:ESWNCT!AD$164) + SUM(ESWBLY:ESWNCT!AD$165) )</f>
        <v>0.95754517957141416</v>
      </c>
      <c r="AE71" s="368">
        <f>( SUM(ESWBLY:ESWNCT!AE$156)) /  ( SUM(ESWBLY:ESWNCT!AE$156) + SUM(ESWBLY:ESWNCT!AE$163) + SUM(ESWBLY:ESWNCT!AE$164) + SUM(ESWBLY:ESWNCT!AE$165) )</f>
        <v>0.95772071535825354</v>
      </c>
      <c r="AF71" s="368">
        <f>( SUM(ESWBLY:ESWNCT!AF$156)) /  ( SUM(ESWBLY:ESWNCT!AF$156) + SUM(ESWBLY:ESWNCT!AF$163) + SUM(ESWBLY:ESWNCT!AF$164) + SUM(ESWBLY:ESWNCT!AF$165) )</f>
        <v>0.95789513467131204</v>
      </c>
      <c r="AG71" s="368">
        <f>( SUM(ESWBLY:ESWNCT!AG$156)) /  ( SUM(ESWBLY:ESWNCT!AG$156) + SUM(ESWBLY:ESWNCT!AG$163) + SUM(ESWBLY:ESWNCT!AG$164) + SUM(ESWBLY:ESWNCT!AG$165) )</f>
        <v>0.95806832447921753</v>
      </c>
      <c r="AH71" s="368">
        <f>( SUM(ESWBLY:ESWNCT!AH$156)) /  ( SUM(ESWBLY:ESWNCT!AH$156) + SUM(ESWBLY:ESWNCT!AH$163) + SUM(ESWBLY:ESWNCT!AH$164) + SUM(ESWBLY:ESWNCT!AH$165) )</f>
        <v>0.95824027282848345</v>
      </c>
      <c r="AI71" s="368">
        <f>( SUM(ESWBLY:ESWNCT!AI$156)) /  ( SUM(ESWBLY:ESWNCT!AI$156) + SUM(ESWBLY:ESWNCT!AI$163) + SUM(ESWBLY:ESWNCT!AI$164) + SUM(ESWBLY:ESWNCT!AI$165) )</f>
        <v>0.95841093700053603</v>
      </c>
      <c r="AJ71" s="368">
        <f>( SUM(ESWBLY:ESWNCT!AJ$156)) /  ( SUM(ESWBLY:ESWNCT!AJ$156) + SUM(ESWBLY:ESWNCT!AJ$163) + SUM(ESWBLY:ESWNCT!AJ$164) + SUM(ESWBLY:ESWNCT!AJ$165) )</f>
        <v>0.95858027959194159</v>
      </c>
      <c r="AK71" s="368">
        <f>( SUM(ESWBLY:ESWNCT!AK$156)) /  ( SUM(ESWBLY:ESWNCT!AK$156) + SUM(ESWBLY:ESWNCT!AK$163) + SUM(ESWBLY:ESWNCT!AK$164) + SUM(ESWBLY:ESWNCT!AK$165) )</f>
        <v>0.95874826468957297</v>
      </c>
      <c r="AL71" s="368" t="e">
        <f>( SUM(ESWBLY:ESWNCT!AL$156)) /  ( SUM(ESWBLY:ESWNCT!AL$156) + SUM(ESWBLY:ESWNCT!AL$163) + SUM(ESWBLY:ESWNCT!AL$164) + SUM(ESWBLY:ESWNCT!AL$165) )</f>
        <v>#DIV/0!</v>
      </c>
      <c r="AM71" s="368" t="e">
        <f>( SUM(ESWBLY:ESWNCT!AM$156)) /  ( SUM(ESWBLY:ESWNCT!AM$156) + SUM(ESWBLY:ESWNCT!AM$163) + SUM(ESWBLY:ESWNCT!AM$164) + SUM(ESWBLY:ESWNCT!AM$165) )</f>
        <v>#DIV/0!</v>
      </c>
      <c r="AN71" s="368" t="e">
        <f>( SUM(ESWBLY:ESWNCT!AN$156)) /  ( SUM(ESWBLY:ESWNCT!AN$156) + SUM(ESWBLY:ESWNCT!AN$163) + SUM(ESWBLY:ESWNCT!AN$164) + SUM(ESWBLY:ESWNCT!AN$165) )</f>
        <v>#DIV/0!</v>
      </c>
      <c r="AO71" s="368" t="e">
        <f>( SUM(ESWBLY:ESWNCT!AO$156)) /  ( SUM(ESWBLY:ESWNCT!AO$156) + SUM(ESWBLY:ESWNCT!AO$163) + SUM(ESWBLY:ESWNCT!AO$164) + SUM(ESWBLY:ESWNCT!AO$165) )</f>
        <v>#DIV/0!</v>
      </c>
      <c r="AP71" s="368" t="e">
        <f>( SUM(ESWBLY:ESWNCT!AP$156)) /  ( SUM(ESWBLY:ESWNCT!AP$156) + SUM(ESWBLY:ESWNCT!AP$163) + SUM(ESWBLY:ESWNCT!AP$164) + SUM(ESWBLY:ESWNCT!AP$165) )</f>
        <v>#DIV/0!</v>
      </c>
      <c r="AQ71" s="368" t="e">
        <f>( SUM(ESWBLY:ESWNCT!AQ$156)) /  ( SUM(ESWBLY:ESWNCT!AQ$156) + SUM(ESWBLY:ESWNCT!AQ$163) + SUM(ESWBLY:ESWNCT!AQ$164) + SUM(ESWBLY:ESWNCT!AQ$165) )</f>
        <v>#DIV/0!</v>
      </c>
      <c r="AR71" s="368" t="e">
        <f>( SUM(ESWBLY:ESWNCT!AR$156)) /  ( SUM(ESWBLY:ESWNCT!AR$156) + SUM(ESWBLY:ESWNCT!AR$163) + SUM(ESWBLY:ESWNCT!AR$164) + SUM(ESWBLY:ESWNCT!AR$165) )</f>
        <v>#DIV/0!</v>
      </c>
      <c r="AS71" s="368" t="e">
        <f>( SUM(ESWBLY:ESWNCT!AS$156)) /  ( SUM(ESWBLY:ESWNCT!AS$156) + SUM(ESWBLY:ESWNCT!AS$163) + SUM(ESWBLY:ESWNCT!AS$164) + SUM(ESWBLY:ESWNCT!AS$165) )</f>
        <v>#DIV/0!</v>
      </c>
      <c r="AT71" s="368" t="e">
        <f>( SUM(ESWBLY:ESWNCT!AT$156)) /  ( SUM(ESWBLY:ESWNCT!AT$156) + SUM(ESWBLY:ESWNCT!AT$163) + SUM(ESWBLY:ESWNCT!AT$164) + SUM(ESWBLY:ESWNCT!AT$165) )</f>
        <v>#DIV/0!</v>
      </c>
      <c r="AU71" s="368" t="e">
        <f>( SUM(ESWBLY:ESWNCT!AU$156)) /  ( SUM(ESWBLY:ESWNCT!AU$156) + SUM(ESWBLY:ESWNCT!AU$163) + SUM(ESWBLY:ESWNCT!AU$164) + SUM(ESWBLY:ESWNCT!AU$165) )</f>
        <v>#DIV/0!</v>
      </c>
      <c r="AV71" s="368" t="e">
        <f>( SUM(ESWBLY:ESWNCT!AV$156)) /  ( SUM(ESWBLY:ESWNCT!AV$156) + SUM(ESWBLY:ESWNCT!AV$163) + SUM(ESWBLY:ESWNCT!AV$164) + SUM(ESWBLY:ESWNCT!AV$165) )</f>
        <v>#DIV/0!</v>
      </c>
      <c r="AW71" s="368" t="e">
        <f>( SUM(ESWBLY:ESWNCT!AW$156)) /  ( SUM(ESWBLY:ESWNCT!AW$156) + SUM(ESWBLY:ESWNCT!AW$163) + SUM(ESWBLY:ESWNCT!AW$164) + SUM(ESWBLY:ESWNCT!AW$165) )</f>
        <v>#DIV/0!</v>
      </c>
      <c r="AX71" s="368" t="e">
        <f>( SUM(ESWBLY:ESWNCT!AX$156)) /  ( SUM(ESWBLY:ESWNCT!AX$156) + SUM(ESWBLY:ESWNCT!AX$163) + SUM(ESWBLY:ESWNCT!AX$164) + SUM(ESWBLY:ESWNCT!AX$165) )</f>
        <v>#DIV/0!</v>
      </c>
      <c r="AY71" s="368" t="e">
        <f>( SUM(ESWBLY:ESWNCT!AY$156)) /  ( SUM(ESWBLY:ESWNCT!AY$156) + SUM(ESWBLY:ESWNCT!AY$163) + SUM(ESWBLY:ESWNCT!AY$164) + SUM(ESWBLY:ESWNCT!AY$165) )</f>
        <v>#DIV/0!</v>
      </c>
      <c r="AZ71" s="368" t="e">
        <f>( SUM(ESWBLY:ESWNCT!AZ$156)) /  ( SUM(ESWBLY:ESWNCT!AZ$156) + SUM(ESWBLY:ESWNCT!AZ$163) + SUM(ESWBLY:ESWNCT!AZ$164) + SUM(ESWBLY:ESWNCT!AZ$165) )</f>
        <v>#DIV/0!</v>
      </c>
      <c r="BA71" s="368" t="e">
        <f>( SUM(ESWBLY:ESWNCT!BA$156)) /  ( SUM(ESWBLY:ESWNCT!BA$156) + SUM(ESWBLY:ESWNCT!BA$163) + SUM(ESWBLY:ESWNCT!BA$164) + SUM(ESWBLY:ESWNCT!BA$165) )</f>
        <v>#DIV/0!</v>
      </c>
      <c r="BB71" s="368" t="e">
        <f>( SUM(ESWBLY:ESWNCT!BB$156)) /  ( SUM(ESWBLY:ESWNCT!BB$156) + SUM(ESWBLY:ESWNCT!BB$163) + SUM(ESWBLY:ESWNCT!BB$164) + SUM(ESWBLY:ESWNCT!BB$165) )</f>
        <v>#DIV/0!</v>
      </c>
      <c r="BC71" s="368" t="e">
        <f>( SUM(ESWBLY:ESWNCT!BC$156)) /  ( SUM(ESWBLY:ESWNCT!BC$156) + SUM(ESWBLY:ESWNCT!BC$163) + SUM(ESWBLY:ESWNCT!BC$164) + SUM(ESWBLY:ESWNCT!BC$165) )</f>
        <v>#DIV/0!</v>
      </c>
      <c r="BD71" s="368" t="e">
        <f>( SUM(ESWBLY:ESWNCT!BD$156)) /  ( SUM(ESWBLY:ESWNCT!BD$156) + SUM(ESWBLY:ESWNCT!BD$163) + SUM(ESWBLY:ESWNCT!BD$164) + SUM(ESWBLY:ESWNCT!BD$165) )</f>
        <v>#DIV/0!</v>
      </c>
      <c r="BE71" s="368" t="e">
        <f>( SUM(ESWBLY:ESWNCT!BE$156)) /  ( SUM(ESWBLY:ESWNCT!BE$156) + SUM(ESWBLY:ESWNCT!BE$163) + SUM(ESWBLY:ESWNCT!BE$164) + SUM(ESWBLY:ESWNCT!BE$165) )</f>
        <v>#DIV/0!</v>
      </c>
      <c r="BF71" s="368" t="e">
        <f>( SUM(ESWBLY:ESWNCT!BF$156)) /  ( SUM(ESWBLY:ESWNCT!BF$156) + SUM(ESWBLY:ESWNCT!BF$163) + SUM(ESWBLY:ESWNCT!BF$164) + SUM(ESWBLY:ESWNCT!BF$165) )</f>
        <v>#DIV/0!</v>
      </c>
      <c r="BG71" s="368" t="e">
        <f>( SUM(ESWBLY:ESWNCT!BG$156)) /  ( SUM(ESWBLY:ESWNCT!BG$156) + SUM(ESWBLY:ESWNCT!BG$163) + SUM(ESWBLY:ESWNCT!BG$164) + SUM(ESWBLY:ESWNCT!BG$165) )</f>
        <v>#DIV/0!</v>
      </c>
      <c r="BH71" s="368" t="e">
        <f>( SUM(ESWBLY:ESWNCT!BH$156)) /  ( SUM(ESWBLY:ESWNCT!BH$156) + SUM(ESWBLY:ESWNCT!BH$163) + SUM(ESWBLY:ESWNCT!BH$164) + SUM(ESWBLY:ESWNCT!BH$165) )</f>
        <v>#DIV/0!</v>
      </c>
      <c r="BI71" s="368" t="e">
        <f>( SUM(ESWBLY:ESWNCT!BI$156)) /  ( SUM(ESWBLY:ESWNCT!BI$156) + SUM(ESWBLY:ESWNCT!BI$163) + SUM(ESWBLY:ESWNCT!BI$164) + SUM(ESWBLY:ESWNCT!BI$165) )</f>
        <v>#DIV/0!</v>
      </c>
      <c r="BJ71" s="368" t="e">
        <f>( SUM(ESWBLY:ESWNCT!BJ$156)) /  ( SUM(ESWBLY:ESWNCT!BJ$156) + SUM(ESWBLY:ESWNCT!BJ$163) + SUM(ESWBLY:ESWNCT!BJ$164) + SUM(ESWBLY:ESWNCT!BJ$165) )</f>
        <v>#DIV/0!</v>
      </c>
      <c r="BK71" s="368" t="e">
        <f>( SUM(ESWBLY:ESWNCT!BK$156)) /  ( SUM(ESWBLY:ESWNCT!BK$156) + SUM(ESWBLY:ESWNCT!BK$163) + SUM(ESWBLY:ESWNCT!BK$164) + SUM(ESWBLY:ESWNCT!BK$165) )</f>
        <v>#DIV/0!</v>
      </c>
      <c r="BL71" s="368" t="e">
        <f>( SUM(ESWBLY:ESWNCT!BL$156)) /  ( SUM(ESWBLY:ESWNCT!BL$156) + SUM(ESWBLY:ESWNCT!BL$163) + SUM(ESWBLY:ESWNCT!BL$164) + SUM(ESWBLY:ESWNCT!BL$165) )</f>
        <v>#DIV/0!</v>
      </c>
      <c r="BM71" s="368" t="e">
        <f>( SUM(ESWBLY:ESWNCT!BM$156)) /  ( SUM(ESWBLY:ESWNCT!BM$156) + SUM(ESWBLY:ESWNCT!BM$163) + SUM(ESWBLY:ESWNCT!BM$164) + SUM(ESWBLY:ESWNCT!BM$165) )</f>
        <v>#DIV/0!</v>
      </c>
      <c r="BN71" s="368" t="e">
        <f>( SUM(ESWBLY:ESWNCT!BN$156)) /  ( SUM(ESWBLY:ESWNCT!BN$156) + SUM(ESWBLY:ESWNCT!BN$163) + SUM(ESWBLY:ESWNCT!BN$164) + SUM(ESWBLY:ESWNCT!BN$165) )</f>
        <v>#DIV/0!</v>
      </c>
      <c r="BO71" s="368" t="e">
        <f>( SUM(ESWBLY:ESWNCT!BO$156)) /  ( SUM(ESWBLY:ESWNCT!BO$156) + SUM(ESWBLY:ESWNCT!BO$163) + SUM(ESWBLY:ESWNCT!BO$164) + SUM(ESWBLY:ESWNCT!BO$165) )</f>
        <v>#DIV/0!</v>
      </c>
      <c r="BP71" s="368" t="e">
        <f>( SUM(ESWBLY:ESWNCT!BP$156)) /  ( SUM(ESWBLY:ESWNCT!BP$156) + SUM(ESWBLY:ESWNCT!BP$163) + SUM(ESWBLY:ESWNCT!BP$164) + SUM(ESWBLY:ESWNCT!BP$165) )</f>
        <v>#DIV/0!</v>
      </c>
      <c r="BQ71" s="368" t="e">
        <f>( SUM(ESWBLY:ESWNCT!BQ$156)) /  ( SUM(ESWBLY:ESWNCT!BQ$156) + SUM(ESWBLY:ESWNCT!BQ$163) + SUM(ESWBLY:ESWNCT!BQ$164) + SUM(ESWBLY:ESWNCT!BQ$165) )</f>
        <v>#DIV/0!</v>
      </c>
      <c r="BR71" s="368" t="e">
        <f>( SUM(ESWBLY:ESWNCT!BR$156)) /  ( SUM(ESWBLY:ESWNCT!BR$156) + SUM(ESWBLY:ESWNCT!BR$163) + SUM(ESWBLY:ESWNCT!BR$164) + SUM(ESWBLY:ESWNCT!BR$165) )</f>
        <v>#DIV/0!</v>
      </c>
      <c r="BS71" s="368" t="e">
        <f>( SUM(ESWBLY:ESWNCT!BS$156)) /  ( SUM(ESWBLY:ESWNCT!BS$156) + SUM(ESWBLY:ESWNCT!BS$163) + SUM(ESWBLY:ESWNCT!BS$164) + SUM(ESWBLY:ESWNCT!BS$165) )</f>
        <v>#DIV/0!</v>
      </c>
      <c r="BT71" s="368" t="e">
        <f>( SUM(ESWBLY:ESWNCT!BT$156)) /  ( SUM(ESWBLY:ESWNCT!BT$156) + SUM(ESWBLY:ESWNCT!BT$163) + SUM(ESWBLY:ESWNCT!BT$164) + SUM(ESWBLY:ESWNCT!BT$165) )</f>
        <v>#DIV/0!</v>
      </c>
      <c r="BU71" s="368" t="e">
        <f>( SUM(ESWBLY:ESWNCT!BU$156)) /  ( SUM(ESWBLY:ESWNCT!BU$156) + SUM(ESWBLY:ESWNCT!BU$163) + SUM(ESWBLY:ESWNCT!BU$164) + SUM(ESWBLY:ESWNCT!BU$165) )</f>
        <v>#DIV/0!</v>
      </c>
      <c r="BV71" s="368" t="e">
        <f>( SUM(ESWBLY:ESWNCT!BV$156)) /  ( SUM(ESWBLY:ESWNCT!BV$156) + SUM(ESWBLY:ESWNCT!BV$163) + SUM(ESWBLY:ESWNCT!BV$164) + SUM(ESWBLY:ESWNCT!BV$165) )</f>
        <v>#DIV/0!</v>
      </c>
      <c r="BW71" s="368" t="e">
        <f>( SUM(ESWBLY:ESWNCT!BW$156)) /  ( SUM(ESWBLY:ESWNCT!BW$156) + SUM(ESWBLY:ESWNCT!BW$163) + SUM(ESWBLY:ESWNCT!BW$164) + SUM(ESWBLY:ESWNCT!BW$165) )</f>
        <v>#DIV/0!</v>
      </c>
      <c r="BX71" s="368" t="e">
        <f>( SUM(ESWBLY:ESWNCT!BX$156)) /  ( SUM(ESWBLY:ESWNCT!BX$156) + SUM(ESWBLY:ESWNCT!BX$163) + SUM(ESWBLY:ESWNCT!BX$164) + SUM(ESWBLY:ESWNCT!BX$165) )</f>
        <v>#DIV/0!</v>
      </c>
      <c r="BY71" s="368" t="e">
        <f>( SUM(ESWBLY:ESWNCT!BY$156)) /  ( SUM(ESWBLY:ESWNCT!BY$156) + SUM(ESWBLY:ESWNCT!BY$163) + SUM(ESWBLY:ESWNCT!BY$164) + SUM(ESWBLY:ESWNCT!BY$165) )</f>
        <v>#DIV/0!</v>
      </c>
      <c r="BZ71" s="368" t="e">
        <f>( SUM(ESWBLY:ESWNCT!BZ$156)) /  ( SUM(ESWBLY:ESWNCT!BZ$156) + SUM(ESWBLY:ESWNCT!BZ$163) + SUM(ESWBLY:ESWNCT!BZ$164) + SUM(ESWBLY:ESWNCT!BZ$165) )</f>
        <v>#DIV/0!</v>
      </c>
      <c r="CA71" s="368" t="e">
        <f>( SUM(ESWBLY:ESWNCT!CA$156)) /  ( SUM(ESWBLY:ESWNCT!CA$156) + SUM(ESWBLY:ESWNCT!CA$163) + SUM(ESWBLY:ESWNCT!CA$164) + SUM(ESWBLY:ESWNCT!CA$165) )</f>
        <v>#DIV/0!</v>
      </c>
      <c r="CB71" s="368" t="e">
        <f>( SUM(ESWBLY:ESWNCT!CB$156)) /  ( SUM(ESWBLY:ESWNCT!CB$156) + SUM(ESWBLY:ESWNCT!CB$163) + SUM(ESWBLY:ESWNCT!CB$164) + SUM(ESWBLY:ESWNCT!CB$165) )</f>
        <v>#DIV/0!</v>
      </c>
      <c r="CC71" s="368" t="e">
        <f>( SUM(ESWBLY:ESWNCT!CC$156)) /  ( SUM(ESWBLY:ESWNCT!CC$156) + SUM(ESWBLY:ESWNCT!CC$163) + SUM(ESWBLY:ESWNCT!CC$164) + SUM(ESWBLY:ESWNCT!CC$165) )</f>
        <v>#DIV/0!</v>
      </c>
      <c r="CD71" s="368" t="e">
        <f>( SUM(ESWBLY:ESWNCT!CD$156)) /  ( SUM(ESWBLY:ESWNCT!CD$156) + SUM(ESWBLY:ESWNCT!CD$163) + SUM(ESWBLY:ESWNCT!CD$164) + SUM(ESWBLY:ESWNCT!CD$165) )</f>
        <v>#DIV/0!</v>
      </c>
      <c r="CE71" s="368" t="e">
        <f>( SUM(ESWBLY:ESWNCT!CE$156)) /  ( SUM(ESWBLY:ESWNCT!CE$156) + SUM(ESWBLY:ESWNCT!CE$163) + SUM(ESWBLY:ESWNCT!CE$164) + SUM(ESWBLY:ESWNCT!CE$165) )</f>
        <v>#DIV/0!</v>
      </c>
      <c r="CF71" s="368" t="e">
        <f>( SUM(ESWBLY:ESWNCT!CF$156)) /  ( SUM(ESWBLY:ESWNCT!CF$156) + SUM(ESWBLY:ESWNCT!CF$163) + SUM(ESWBLY:ESWNCT!CF$164) + SUM(ESWBLY:ESWNCT!CF$165) )</f>
        <v>#DIV/0!</v>
      </c>
      <c r="CG71" s="368" t="e">
        <f>( SUM(ESWBLY:ESWNCT!CG$156)) /  ( SUM(ESWBLY:ESWNCT!CG$156) + SUM(ESWBLY:ESWNCT!CG$163) + SUM(ESWBLY:ESWNCT!CG$164) + SUM(ESWBLY:ESWNCT!CG$165) )</f>
        <v>#DIV/0!</v>
      </c>
      <c r="CH71" s="368" t="e">
        <v>#DIV/0!</v>
      </c>
      <c r="CI71" s="368" t="e">
        <v>#DIV/0!</v>
      </c>
      <c r="CJ71" s="1156" t="e">
        <v>#DIV/0!</v>
      </c>
    </row>
    <row r="72" spans="2:88" ht="29.25" thickBot="1" x14ac:dyDescent="0.25">
      <c r="B72" s="1124" t="s">
        <v>402</v>
      </c>
      <c r="C72" s="1125" t="s">
        <v>377</v>
      </c>
      <c r="D72" s="456" t="s">
        <v>403</v>
      </c>
      <c r="E72" s="1125" t="s">
        <v>236</v>
      </c>
      <c r="F72" s="457">
        <v>2</v>
      </c>
      <c r="G72" s="369">
        <f>SUM(ESWBLY:ESWNCT!G$133) + SUM(ESWBLY:ESWNCT!G$135) - SUM(ESWBLY:ESWNCT!G$145) - SUM(ESWBLY:ESWNCT!G$146)</f>
        <v>0</v>
      </c>
      <c r="H72" s="369">
        <f>SUM(ESWBLY:ESWNCT!H$133) + SUM(ESWBLY:ESWNCT!H$135) - SUM(ESWBLY:ESWNCT!H$145) - SUM(ESWBLY:ESWNCT!H$146)</f>
        <v>0</v>
      </c>
      <c r="I72" s="369">
        <f>SUM(ESWBLY:ESWNCT!I$133) + SUM(ESWBLY:ESWNCT!I$135) - SUM(ESWBLY:ESWNCT!I$145) - SUM(ESWBLY:ESWNCT!I$146)</f>
        <v>68.927520376858723</v>
      </c>
      <c r="J72" s="369">
        <f>SUM(ESWBLY:ESWNCT!J$133) + SUM(ESWBLY:ESWNCT!J$135) - SUM(ESWBLY:ESWNCT!J$145) - SUM(ESWBLY:ESWNCT!J$146)</f>
        <v>70.509436458639499</v>
      </c>
      <c r="K72" s="369">
        <f>SUM(ESWBLY:ESWNCT!K$133) + SUM(ESWBLY:ESWNCT!K$135) - SUM(ESWBLY:ESWNCT!K$145) - SUM(ESWBLY:ESWNCT!K$146)</f>
        <v>74.741918744925187</v>
      </c>
      <c r="L72" s="369">
        <f>SUM(ESWBLY:ESWNCT!L$133) + SUM(ESWBLY:ESWNCT!L$135) - SUM(ESWBLY:ESWNCT!L$145) - SUM(ESWBLY:ESWNCT!L$146)</f>
        <v>78.311442088569663</v>
      </c>
      <c r="M72" s="369">
        <f>SUM(ESWBLY:ESWNCT!M$133) + SUM(ESWBLY:ESWNCT!M$135) - SUM(ESWBLY:ESWNCT!M$145) - SUM(ESWBLY:ESWNCT!M$146)</f>
        <v>83.416250591280374</v>
      </c>
      <c r="N72" s="369">
        <f>SUM(ESWBLY:ESWNCT!N$133) + SUM(ESWBLY:ESWNCT!N$135) - SUM(ESWBLY:ESWNCT!N$145) - SUM(ESWBLY:ESWNCT!N$146)</f>
        <v>84.062530700974349</v>
      </c>
      <c r="O72" s="369">
        <f>SUM(ESWBLY:ESWNCT!O$133) + SUM(ESWBLY:ESWNCT!O$135) - SUM(ESWBLY:ESWNCT!O$145) - SUM(ESWBLY:ESWNCT!O$146)</f>
        <v>84.92535589007764</v>
      </c>
      <c r="P72" s="369">
        <f>SUM(ESWBLY:ESWNCT!P$133) + SUM(ESWBLY:ESWNCT!P$135) - SUM(ESWBLY:ESWNCT!P$145) - SUM(ESWBLY:ESWNCT!P$146)</f>
        <v>85.909797595884868</v>
      </c>
      <c r="Q72" s="369">
        <f>SUM(ESWBLY:ESWNCT!Q$133) + SUM(ESWBLY:ESWNCT!Q$135) - SUM(ESWBLY:ESWNCT!Q$145) - SUM(ESWBLY:ESWNCT!Q$146)</f>
        <v>86.407613163373</v>
      </c>
      <c r="R72" s="369">
        <f>SUM(ESWBLY:ESWNCT!R$133) + SUM(ESWBLY:ESWNCT!R$135) - SUM(ESWBLY:ESWNCT!R$145) - SUM(ESWBLY:ESWNCT!R$146)</f>
        <v>86.217520571366293</v>
      </c>
      <c r="S72" s="369">
        <f>SUM(ESWBLY:ESWNCT!S$133) + SUM(ESWBLY:ESWNCT!S$135) - SUM(ESWBLY:ESWNCT!S$145) - SUM(ESWBLY:ESWNCT!S$146)</f>
        <v>85.604198494436659</v>
      </c>
      <c r="T72" s="369">
        <f>SUM(ESWBLY:ESWNCT!T$133) + SUM(ESWBLY:ESWNCT!T$135) - SUM(ESWBLY:ESWNCT!T$145) - SUM(ESWBLY:ESWNCT!T$146)</f>
        <v>91.548698316013727</v>
      </c>
      <c r="U72" s="369">
        <f>SUM(ESWBLY:ESWNCT!U$133) + SUM(ESWBLY:ESWNCT!U$135) - SUM(ESWBLY:ESWNCT!U$145) - SUM(ESWBLY:ESWNCT!U$146)</f>
        <v>91.126516567454502</v>
      </c>
      <c r="V72" s="369">
        <f>SUM(ESWBLY:ESWNCT!V$133) + SUM(ESWBLY:ESWNCT!V$135) - SUM(ESWBLY:ESWNCT!V$145) - SUM(ESWBLY:ESWNCT!V$146)</f>
        <v>90.386168799048463</v>
      </c>
      <c r="W72" s="369">
        <f>SUM(ESWBLY:ESWNCT!W$133) + SUM(ESWBLY:ESWNCT!W$135) - SUM(ESWBLY:ESWNCT!W$145) - SUM(ESWBLY:ESWNCT!W$146)</f>
        <v>89.546387341103483</v>
      </c>
      <c r="X72" s="369">
        <f>SUM(ESWBLY:ESWNCT!X$133) + SUM(ESWBLY:ESWNCT!X$135) - SUM(ESWBLY:ESWNCT!X$145) - SUM(ESWBLY:ESWNCT!X$146)</f>
        <v>88.366903697681323</v>
      </c>
      <c r="Y72" s="369">
        <f>SUM(ESWBLY:ESWNCT!Y$133) + SUM(ESWBLY:ESWNCT!Y$135) - SUM(ESWBLY:ESWNCT!Y$145) - SUM(ESWBLY:ESWNCT!Y$146)</f>
        <v>87.230773387479303</v>
      </c>
      <c r="Z72" s="369">
        <f>SUM(ESWBLY:ESWNCT!Z$133) + SUM(ESWBLY:ESWNCT!Z$135) - SUM(ESWBLY:ESWNCT!Z$145) - SUM(ESWBLY:ESWNCT!Z$146)</f>
        <v>86.770363395636252</v>
      </c>
      <c r="AA72" s="369">
        <f>SUM(ESWBLY:ESWNCT!AA$133) + SUM(ESWBLY:ESWNCT!AA$135) - SUM(ESWBLY:ESWNCT!AA$145) - SUM(ESWBLY:ESWNCT!AA$146)</f>
        <v>86.824106023610668</v>
      </c>
      <c r="AB72" s="369">
        <f>SUM(ESWBLY:ESWNCT!AB$133) + SUM(ESWBLY:ESWNCT!AB$135) - SUM(ESWBLY:ESWNCT!AB$145) - SUM(ESWBLY:ESWNCT!AB$146)</f>
        <v>86.877559378857313</v>
      </c>
      <c r="AC72" s="369">
        <f>SUM(ESWBLY:ESWNCT!AC$133) + SUM(ESWBLY:ESWNCT!AC$135) - SUM(ESWBLY:ESWNCT!AC$145) - SUM(ESWBLY:ESWNCT!AC$146)</f>
        <v>86.928088906869178</v>
      </c>
      <c r="AD72" s="369">
        <f>SUM(ESWBLY:ESWNCT!AD$133) + SUM(ESWBLY:ESWNCT!AD$135) - SUM(ESWBLY:ESWNCT!AD$145) - SUM(ESWBLY:ESWNCT!AD$146)</f>
        <v>86.976692243397494</v>
      </c>
      <c r="AE72" s="369">
        <f>SUM(ESWBLY:ESWNCT!AE$133) + SUM(ESWBLY:ESWNCT!AE$135) - SUM(ESWBLY:ESWNCT!AE$145) - SUM(ESWBLY:ESWNCT!AE$146)</f>
        <v>87.024608565539793</v>
      </c>
      <c r="AF72" s="369">
        <f>SUM(ESWBLY:ESWNCT!AF$133) + SUM(ESWBLY:ESWNCT!AF$135) - SUM(ESWBLY:ESWNCT!AF$145) - SUM(ESWBLY:ESWNCT!AF$146)</f>
        <v>87.0740605178935</v>
      </c>
      <c r="AG72" s="369">
        <f>SUM(ESWBLY:ESWNCT!AG$133) + SUM(ESWBLY:ESWNCT!AG$135) - SUM(ESWBLY:ESWNCT!AG$145) - SUM(ESWBLY:ESWNCT!AG$146)</f>
        <v>87.124051916179369</v>
      </c>
      <c r="AH72" s="369">
        <f>SUM(ESWBLY:ESWNCT!AH$133) + SUM(ESWBLY:ESWNCT!AH$135) - SUM(ESWBLY:ESWNCT!AH$145) - SUM(ESWBLY:ESWNCT!AH$146)</f>
        <v>87.173828382805581</v>
      </c>
      <c r="AI72" s="369">
        <f>SUM(ESWBLY:ESWNCT!AI$133) + SUM(ESWBLY:ESWNCT!AI$135) - SUM(ESWBLY:ESWNCT!AI$145) - SUM(ESWBLY:ESWNCT!AI$146)</f>
        <v>87.223384765786705</v>
      </c>
      <c r="AJ72" s="369">
        <f>SUM(ESWBLY:ESWNCT!AJ$133) + SUM(ESWBLY:ESWNCT!AJ$135) - SUM(ESWBLY:ESWNCT!AJ$145) - SUM(ESWBLY:ESWNCT!AJ$146)</f>
        <v>87.273068251738891</v>
      </c>
      <c r="AK72" s="369">
        <f>SUM(ESWBLY:ESWNCT!AK$133) + SUM(ESWBLY:ESWNCT!AK$135) - SUM(ESWBLY:ESWNCT!AK$145) - SUM(ESWBLY:ESWNCT!AK$146)</f>
        <v>87.322365705923417</v>
      </c>
      <c r="AL72" s="369">
        <f>SUM(ESWBLY:ESWNCT!AL$133) + SUM(ESWBLY:ESWNCT!AL$135) - SUM(ESWBLY:ESWNCT!AL$145) - SUM(ESWBLY:ESWNCT!AL$146)</f>
        <v>0</v>
      </c>
      <c r="AM72" s="369">
        <f>SUM(ESWBLY:ESWNCT!AM$133) + SUM(ESWBLY:ESWNCT!AM$135) - SUM(ESWBLY:ESWNCT!AM$145) - SUM(ESWBLY:ESWNCT!AM$146)</f>
        <v>0</v>
      </c>
      <c r="AN72" s="369">
        <f>SUM(ESWBLY:ESWNCT!AN$133) + SUM(ESWBLY:ESWNCT!AN$135) - SUM(ESWBLY:ESWNCT!AN$145) - SUM(ESWBLY:ESWNCT!AN$146)</f>
        <v>0</v>
      </c>
      <c r="AO72" s="369">
        <f>SUM(ESWBLY:ESWNCT!AO$133) + SUM(ESWBLY:ESWNCT!AO$135) - SUM(ESWBLY:ESWNCT!AO$145) - SUM(ESWBLY:ESWNCT!AO$146)</f>
        <v>0</v>
      </c>
      <c r="AP72" s="369">
        <f>SUM(ESWBLY:ESWNCT!AP$133) + SUM(ESWBLY:ESWNCT!AP$135) - SUM(ESWBLY:ESWNCT!AP$145) - SUM(ESWBLY:ESWNCT!AP$146)</f>
        <v>0</v>
      </c>
      <c r="AQ72" s="369">
        <f>SUM(ESWBLY:ESWNCT!AQ$133) + SUM(ESWBLY:ESWNCT!AQ$135) - SUM(ESWBLY:ESWNCT!AQ$145) - SUM(ESWBLY:ESWNCT!AQ$146)</f>
        <v>0</v>
      </c>
      <c r="AR72" s="369">
        <f>SUM(ESWBLY:ESWNCT!AR$133) + SUM(ESWBLY:ESWNCT!AR$135) - SUM(ESWBLY:ESWNCT!AR$145) - SUM(ESWBLY:ESWNCT!AR$146)</f>
        <v>0</v>
      </c>
      <c r="AS72" s="369">
        <f>SUM(ESWBLY:ESWNCT!AS$133) + SUM(ESWBLY:ESWNCT!AS$135) - SUM(ESWBLY:ESWNCT!AS$145) - SUM(ESWBLY:ESWNCT!AS$146)</f>
        <v>0</v>
      </c>
      <c r="AT72" s="369">
        <f>SUM(ESWBLY:ESWNCT!AT$133) + SUM(ESWBLY:ESWNCT!AT$135) - SUM(ESWBLY:ESWNCT!AT$145) - SUM(ESWBLY:ESWNCT!AT$146)</f>
        <v>0</v>
      </c>
      <c r="AU72" s="369">
        <f>SUM(ESWBLY:ESWNCT!AU$133) + SUM(ESWBLY:ESWNCT!AU$135) - SUM(ESWBLY:ESWNCT!AU$145) - SUM(ESWBLY:ESWNCT!AU$146)</f>
        <v>0</v>
      </c>
      <c r="AV72" s="369">
        <f>SUM(ESWBLY:ESWNCT!AV$133) + SUM(ESWBLY:ESWNCT!AV$135) - SUM(ESWBLY:ESWNCT!AV$145) - SUM(ESWBLY:ESWNCT!AV$146)</f>
        <v>0</v>
      </c>
      <c r="AW72" s="369">
        <f>SUM(ESWBLY:ESWNCT!AW$133) + SUM(ESWBLY:ESWNCT!AW$135) - SUM(ESWBLY:ESWNCT!AW$145) - SUM(ESWBLY:ESWNCT!AW$146)</f>
        <v>0</v>
      </c>
      <c r="AX72" s="369">
        <f>SUM(ESWBLY:ESWNCT!AX$133) + SUM(ESWBLY:ESWNCT!AX$135) - SUM(ESWBLY:ESWNCT!AX$145) - SUM(ESWBLY:ESWNCT!AX$146)</f>
        <v>0</v>
      </c>
      <c r="AY72" s="369">
        <f>SUM(ESWBLY:ESWNCT!AY$133) + SUM(ESWBLY:ESWNCT!AY$135) - SUM(ESWBLY:ESWNCT!AY$145) - SUM(ESWBLY:ESWNCT!AY$146)</f>
        <v>0</v>
      </c>
      <c r="AZ72" s="369">
        <f>SUM(ESWBLY:ESWNCT!AZ$133) + SUM(ESWBLY:ESWNCT!AZ$135) - SUM(ESWBLY:ESWNCT!AZ$145) - SUM(ESWBLY:ESWNCT!AZ$146)</f>
        <v>0</v>
      </c>
      <c r="BA72" s="369">
        <f>SUM(ESWBLY:ESWNCT!BA$133) + SUM(ESWBLY:ESWNCT!BA$135) - SUM(ESWBLY:ESWNCT!BA$145) - SUM(ESWBLY:ESWNCT!BA$146)</f>
        <v>0</v>
      </c>
      <c r="BB72" s="369">
        <f>SUM(ESWBLY:ESWNCT!BB$133) + SUM(ESWBLY:ESWNCT!BB$135) - SUM(ESWBLY:ESWNCT!BB$145) - SUM(ESWBLY:ESWNCT!BB$146)</f>
        <v>0</v>
      </c>
      <c r="BC72" s="369">
        <f>SUM(ESWBLY:ESWNCT!BC$133) + SUM(ESWBLY:ESWNCT!BC$135) - SUM(ESWBLY:ESWNCT!BC$145) - SUM(ESWBLY:ESWNCT!BC$146)</f>
        <v>0</v>
      </c>
      <c r="BD72" s="369">
        <f>SUM(ESWBLY:ESWNCT!BD$133) + SUM(ESWBLY:ESWNCT!BD$135) - SUM(ESWBLY:ESWNCT!BD$145) - SUM(ESWBLY:ESWNCT!BD$146)</f>
        <v>0</v>
      </c>
      <c r="BE72" s="369">
        <f>SUM(ESWBLY:ESWNCT!BE$133) + SUM(ESWBLY:ESWNCT!BE$135) - SUM(ESWBLY:ESWNCT!BE$145) - SUM(ESWBLY:ESWNCT!BE$146)</f>
        <v>0</v>
      </c>
      <c r="BF72" s="369">
        <f>SUM(ESWBLY:ESWNCT!BF$133) + SUM(ESWBLY:ESWNCT!BF$135) - SUM(ESWBLY:ESWNCT!BF$145) - SUM(ESWBLY:ESWNCT!BF$146)</f>
        <v>0</v>
      </c>
      <c r="BG72" s="369">
        <f>SUM(ESWBLY:ESWNCT!BG$133) + SUM(ESWBLY:ESWNCT!BG$135) - SUM(ESWBLY:ESWNCT!BG$145) - SUM(ESWBLY:ESWNCT!BG$146)</f>
        <v>0</v>
      </c>
      <c r="BH72" s="369">
        <f>SUM(ESWBLY:ESWNCT!BH$133) + SUM(ESWBLY:ESWNCT!BH$135) - SUM(ESWBLY:ESWNCT!BH$145) - SUM(ESWBLY:ESWNCT!BH$146)</f>
        <v>0</v>
      </c>
      <c r="BI72" s="369">
        <f>SUM(ESWBLY:ESWNCT!BI$133) + SUM(ESWBLY:ESWNCT!BI$135) - SUM(ESWBLY:ESWNCT!BI$145) - SUM(ESWBLY:ESWNCT!BI$146)</f>
        <v>0</v>
      </c>
      <c r="BJ72" s="369">
        <f>SUM(ESWBLY:ESWNCT!BJ$133) + SUM(ESWBLY:ESWNCT!BJ$135) - SUM(ESWBLY:ESWNCT!BJ$145) - SUM(ESWBLY:ESWNCT!BJ$146)</f>
        <v>0</v>
      </c>
      <c r="BK72" s="369">
        <f>SUM(ESWBLY:ESWNCT!BK$133) + SUM(ESWBLY:ESWNCT!BK$135) - SUM(ESWBLY:ESWNCT!BK$145) - SUM(ESWBLY:ESWNCT!BK$146)</f>
        <v>0</v>
      </c>
      <c r="BL72" s="369">
        <f>SUM(ESWBLY:ESWNCT!BL$133) + SUM(ESWBLY:ESWNCT!BL$135) - SUM(ESWBLY:ESWNCT!BL$145) - SUM(ESWBLY:ESWNCT!BL$146)</f>
        <v>0</v>
      </c>
      <c r="BM72" s="369">
        <f>SUM(ESWBLY:ESWNCT!BM$133) + SUM(ESWBLY:ESWNCT!BM$135) - SUM(ESWBLY:ESWNCT!BM$145) - SUM(ESWBLY:ESWNCT!BM$146)</f>
        <v>0</v>
      </c>
      <c r="BN72" s="369">
        <f>SUM(ESWBLY:ESWNCT!BN$133) + SUM(ESWBLY:ESWNCT!BN$135) - SUM(ESWBLY:ESWNCT!BN$145) - SUM(ESWBLY:ESWNCT!BN$146)</f>
        <v>0</v>
      </c>
      <c r="BO72" s="369">
        <f>SUM(ESWBLY:ESWNCT!BO$133) + SUM(ESWBLY:ESWNCT!BO$135) - SUM(ESWBLY:ESWNCT!BO$145) - SUM(ESWBLY:ESWNCT!BO$146)</f>
        <v>0</v>
      </c>
      <c r="BP72" s="369">
        <f>SUM(ESWBLY:ESWNCT!BP$133) + SUM(ESWBLY:ESWNCT!BP$135) - SUM(ESWBLY:ESWNCT!BP$145) - SUM(ESWBLY:ESWNCT!BP$146)</f>
        <v>0</v>
      </c>
      <c r="BQ72" s="369">
        <f>SUM(ESWBLY:ESWNCT!BQ$133) + SUM(ESWBLY:ESWNCT!BQ$135) - SUM(ESWBLY:ESWNCT!BQ$145) - SUM(ESWBLY:ESWNCT!BQ$146)</f>
        <v>0</v>
      </c>
      <c r="BR72" s="369">
        <f>SUM(ESWBLY:ESWNCT!BR$133) + SUM(ESWBLY:ESWNCT!BR$135) - SUM(ESWBLY:ESWNCT!BR$145) - SUM(ESWBLY:ESWNCT!BR$146)</f>
        <v>0</v>
      </c>
      <c r="BS72" s="369">
        <f>SUM(ESWBLY:ESWNCT!BS$133) + SUM(ESWBLY:ESWNCT!BS$135) - SUM(ESWBLY:ESWNCT!BS$145) - SUM(ESWBLY:ESWNCT!BS$146)</f>
        <v>0</v>
      </c>
      <c r="BT72" s="369">
        <f>SUM(ESWBLY:ESWNCT!BT$133) + SUM(ESWBLY:ESWNCT!BT$135) - SUM(ESWBLY:ESWNCT!BT$145) - SUM(ESWBLY:ESWNCT!BT$146)</f>
        <v>0</v>
      </c>
      <c r="BU72" s="369">
        <f>SUM(ESWBLY:ESWNCT!BU$133) + SUM(ESWBLY:ESWNCT!BU$135) - SUM(ESWBLY:ESWNCT!BU$145) - SUM(ESWBLY:ESWNCT!BU$146)</f>
        <v>0</v>
      </c>
      <c r="BV72" s="369">
        <f>SUM(ESWBLY:ESWNCT!BV$133) + SUM(ESWBLY:ESWNCT!BV$135) - SUM(ESWBLY:ESWNCT!BV$145) - SUM(ESWBLY:ESWNCT!BV$146)</f>
        <v>0</v>
      </c>
      <c r="BW72" s="369">
        <f>SUM(ESWBLY:ESWNCT!BW$133) + SUM(ESWBLY:ESWNCT!BW$135) - SUM(ESWBLY:ESWNCT!BW$145) - SUM(ESWBLY:ESWNCT!BW$146)</f>
        <v>0</v>
      </c>
      <c r="BX72" s="369">
        <f>SUM(ESWBLY:ESWNCT!BX$133) + SUM(ESWBLY:ESWNCT!BX$135) - SUM(ESWBLY:ESWNCT!BX$145) - SUM(ESWBLY:ESWNCT!BX$146)</f>
        <v>0</v>
      </c>
      <c r="BY72" s="369">
        <f>SUM(ESWBLY:ESWNCT!BY$133) + SUM(ESWBLY:ESWNCT!BY$135) - SUM(ESWBLY:ESWNCT!BY$145) - SUM(ESWBLY:ESWNCT!BY$146)</f>
        <v>0</v>
      </c>
      <c r="BZ72" s="369">
        <f>SUM(ESWBLY:ESWNCT!BZ$133) + SUM(ESWBLY:ESWNCT!BZ$135) - SUM(ESWBLY:ESWNCT!BZ$145) - SUM(ESWBLY:ESWNCT!BZ$146)</f>
        <v>0</v>
      </c>
      <c r="CA72" s="369">
        <f>SUM(ESWBLY:ESWNCT!CA$133) + SUM(ESWBLY:ESWNCT!CA$135) - SUM(ESWBLY:ESWNCT!CA$145) - SUM(ESWBLY:ESWNCT!CA$146)</f>
        <v>0</v>
      </c>
      <c r="CB72" s="369">
        <f>SUM(ESWBLY:ESWNCT!CB$133) + SUM(ESWBLY:ESWNCT!CB$135) - SUM(ESWBLY:ESWNCT!CB$145) - SUM(ESWBLY:ESWNCT!CB$146)</f>
        <v>0</v>
      </c>
      <c r="CC72" s="369">
        <f>SUM(ESWBLY:ESWNCT!CC$133) + SUM(ESWBLY:ESWNCT!CC$135) - SUM(ESWBLY:ESWNCT!CC$145) - SUM(ESWBLY:ESWNCT!CC$146)</f>
        <v>0</v>
      </c>
      <c r="CD72" s="369">
        <f>SUM(ESWBLY:ESWNCT!CD$133) + SUM(ESWBLY:ESWNCT!CD$135) - SUM(ESWBLY:ESWNCT!CD$145) - SUM(ESWBLY:ESWNCT!CD$146)</f>
        <v>0</v>
      </c>
      <c r="CE72" s="369">
        <f>SUM(ESWBLY:ESWNCT!CE$133) + SUM(ESWBLY:ESWNCT!CE$135) - SUM(ESWBLY:ESWNCT!CE$145) - SUM(ESWBLY:ESWNCT!CE$146)</f>
        <v>0</v>
      </c>
      <c r="CF72" s="369">
        <f>SUM(ESWBLY:ESWNCT!CF$133) + SUM(ESWBLY:ESWNCT!CF$135) - SUM(ESWBLY:ESWNCT!CF$145) - SUM(ESWBLY:ESWNCT!CF$146)</f>
        <v>0</v>
      </c>
      <c r="CG72" s="369">
        <f>SUM(ESWBLY:ESWNCT!CG$133) + SUM(ESWBLY:ESWNCT!CG$135) - SUM(ESWBLY:ESWNCT!CG$145) - SUM(ESWBLY:ESWNCT!CG$146)</f>
        <v>0</v>
      </c>
      <c r="CH72" s="369">
        <v>0</v>
      </c>
      <c r="CI72" s="369">
        <v>0</v>
      </c>
      <c r="CJ72" s="1157">
        <v>0</v>
      </c>
    </row>
    <row r="73" spans="2:88" ht="15" thickBot="1" x14ac:dyDescent="0.25">
      <c r="B73" s="1121" t="s">
        <v>404</v>
      </c>
      <c r="C73" s="505" t="s">
        <v>243</v>
      </c>
      <c r="D73" s="506" t="s">
        <v>405</v>
      </c>
      <c r="E73" s="505" t="s">
        <v>236</v>
      </c>
      <c r="F73" s="507">
        <v>2</v>
      </c>
      <c r="G73" s="366">
        <f>SUM(ESWBLY:ESWNCT!G$151)</f>
        <v>0</v>
      </c>
      <c r="H73" s="366">
        <f>SUM(ESWBLY:ESWNCT!H$151)</f>
        <v>0</v>
      </c>
      <c r="I73" s="366">
        <f>SUM(ESWBLY:ESWNCT!I$151)</f>
        <v>59.310489927389995</v>
      </c>
      <c r="J73" s="366">
        <f>SUM(ESWBLY:ESWNCT!J$151)</f>
        <v>58.353999999999992</v>
      </c>
      <c r="K73" s="366">
        <f>SUM(ESWBLY:ESWNCT!K$151)</f>
        <v>56.071999999999981</v>
      </c>
      <c r="L73" s="366">
        <f>SUM(ESWBLY:ESWNCT!L$151)</f>
        <v>53.79</v>
      </c>
      <c r="M73" s="366">
        <f>SUM(ESWBLY:ESWNCT!M$151)</f>
        <v>53.244</v>
      </c>
      <c r="N73" s="366">
        <f>SUM(ESWBLY:ESWNCT!N$151)</f>
        <v>52.697999999999993</v>
      </c>
      <c r="O73" s="366">
        <f>SUM(ESWBLY:ESWNCT!O$151)</f>
        <v>52.152000000000001</v>
      </c>
      <c r="P73" s="366">
        <f>SUM(ESWBLY:ESWNCT!P$151)</f>
        <v>51.605999999999995</v>
      </c>
      <c r="Q73" s="366">
        <f>SUM(ESWBLY:ESWNCT!Q$151)</f>
        <v>51.059999999999995</v>
      </c>
      <c r="R73" s="366">
        <f>SUM(ESWBLY:ESWNCT!R$151)</f>
        <v>50.513999999999996</v>
      </c>
      <c r="S73" s="366">
        <f>SUM(ESWBLY:ESWNCT!S$151)</f>
        <v>49.967999999999996</v>
      </c>
      <c r="T73" s="366">
        <f>SUM(ESWBLY:ESWNCT!T$151)</f>
        <v>49.421999999999997</v>
      </c>
      <c r="U73" s="366">
        <f>SUM(ESWBLY:ESWNCT!U$151)</f>
        <v>48.875999999999991</v>
      </c>
      <c r="V73" s="366">
        <f>SUM(ESWBLY:ESWNCT!V$151)</f>
        <v>48.329999999999991</v>
      </c>
      <c r="W73" s="366">
        <f>SUM(ESWBLY:ESWNCT!W$151)</f>
        <v>47.783999999999992</v>
      </c>
      <c r="X73" s="366">
        <f>SUM(ESWBLY:ESWNCT!X$151)</f>
        <v>47.237999999999985</v>
      </c>
      <c r="Y73" s="366">
        <f>SUM(ESWBLY:ESWNCT!Y$151)</f>
        <v>46.691999999999986</v>
      </c>
      <c r="Z73" s="366">
        <f>SUM(ESWBLY:ESWNCT!Z$151)</f>
        <v>46.145999999999987</v>
      </c>
      <c r="AA73" s="366">
        <f>SUM(ESWBLY:ESWNCT!AA$151)</f>
        <v>45.59999999999998</v>
      </c>
      <c r="AB73" s="366">
        <f>SUM(ESWBLY:ESWNCT!AB$151)</f>
        <v>45.053999999999981</v>
      </c>
      <c r="AC73" s="366">
        <f>SUM(ESWBLY:ESWNCT!AC$151)</f>
        <v>44.507999999999981</v>
      </c>
      <c r="AD73" s="366">
        <f>SUM(ESWBLY:ESWNCT!AD$151)</f>
        <v>43.961999999999975</v>
      </c>
      <c r="AE73" s="366">
        <f>SUM(ESWBLY:ESWNCT!AE$151)</f>
        <v>43.415999999999976</v>
      </c>
      <c r="AF73" s="366">
        <f>SUM(ESWBLY:ESWNCT!AF$151)</f>
        <v>42.869999999999983</v>
      </c>
      <c r="AG73" s="366">
        <f>SUM(ESWBLY:ESWNCT!AG$151)</f>
        <v>42.323999999999977</v>
      </c>
      <c r="AH73" s="366">
        <f>SUM(ESWBLY:ESWNCT!AH$151)</f>
        <v>41.777999999999977</v>
      </c>
      <c r="AI73" s="366">
        <f>SUM(ESWBLY:ESWNCT!AI$151)</f>
        <v>41.231999999999978</v>
      </c>
      <c r="AJ73" s="366">
        <f>SUM(ESWBLY:ESWNCT!AJ$151)</f>
        <v>40.685999999999972</v>
      </c>
      <c r="AK73" s="366">
        <f>SUM(ESWBLY:ESWNCT!AK$151)</f>
        <v>40.14</v>
      </c>
      <c r="AL73" s="366">
        <f>SUM(ESWBLY:ESWNCT!AL$151)</f>
        <v>0</v>
      </c>
      <c r="AM73" s="366">
        <f>SUM(ESWBLY:ESWNCT!AM$151)</f>
        <v>0</v>
      </c>
      <c r="AN73" s="366">
        <f>SUM(ESWBLY:ESWNCT!AN$151)</f>
        <v>0</v>
      </c>
      <c r="AO73" s="366">
        <f>SUM(ESWBLY:ESWNCT!AO$151)</f>
        <v>0</v>
      </c>
      <c r="AP73" s="366">
        <f>SUM(ESWBLY:ESWNCT!AP$151)</f>
        <v>0</v>
      </c>
      <c r="AQ73" s="366">
        <f>SUM(ESWBLY:ESWNCT!AQ$151)</f>
        <v>0</v>
      </c>
      <c r="AR73" s="366">
        <f>SUM(ESWBLY:ESWNCT!AR$151)</f>
        <v>0</v>
      </c>
      <c r="AS73" s="366">
        <f>SUM(ESWBLY:ESWNCT!AS$151)</f>
        <v>0</v>
      </c>
      <c r="AT73" s="366">
        <f>SUM(ESWBLY:ESWNCT!AT$151)</f>
        <v>0</v>
      </c>
      <c r="AU73" s="366">
        <f>SUM(ESWBLY:ESWNCT!AU$151)</f>
        <v>0</v>
      </c>
      <c r="AV73" s="366">
        <f>SUM(ESWBLY:ESWNCT!AV$151)</f>
        <v>0</v>
      </c>
      <c r="AW73" s="366">
        <f>SUM(ESWBLY:ESWNCT!AW$151)</f>
        <v>0</v>
      </c>
      <c r="AX73" s="366">
        <f>SUM(ESWBLY:ESWNCT!AX$151)</f>
        <v>0</v>
      </c>
      <c r="AY73" s="366">
        <f>SUM(ESWBLY:ESWNCT!AY$151)</f>
        <v>0</v>
      </c>
      <c r="AZ73" s="366">
        <f>SUM(ESWBLY:ESWNCT!AZ$151)</f>
        <v>0</v>
      </c>
      <c r="BA73" s="366">
        <f>SUM(ESWBLY:ESWNCT!BA$151)</f>
        <v>0</v>
      </c>
      <c r="BB73" s="366">
        <f>SUM(ESWBLY:ESWNCT!BB$151)</f>
        <v>0</v>
      </c>
      <c r="BC73" s="366">
        <f>SUM(ESWBLY:ESWNCT!BC$151)</f>
        <v>0</v>
      </c>
      <c r="BD73" s="366">
        <f>SUM(ESWBLY:ESWNCT!BD$151)</f>
        <v>0</v>
      </c>
      <c r="BE73" s="366">
        <f>SUM(ESWBLY:ESWNCT!BE$151)</f>
        <v>0</v>
      </c>
      <c r="BF73" s="366">
        <f>SUM(ESWBLY:ESWNCT!BF$151)</f>
        <v>0</v>
      </c>
      <c r="BG73" s="366">
        <f>SUM(ESWBLY:ESWNCT!BG$151)</f>
        <v>0</v>
      </c>
      <c r="BH73" s="366">
        <f>SUM(ESWBLY:ESWNCT!BH$151)</f>
        <v>0</v>
      </c>
      <c r="BI73" s="366">
        <f>SUM(ESWBLY:ESWNCT!BI$151)</f>
        <v>0</v>
      </c>
      <c r="BJ73" s="366">
        <f>SUM(ESWBLY:ESWNCT!BJ$151)</f>
        <v>0</v>
      </c>
      <c r="BK73" s="366">
        <f>SUM(ESWBLY:ESWNCT!BK$151)</f>
        <v>0</v>
      </c>
      <c r="BL73" s="366">
        <f>SUM(ESWBLY:ESWNCT!BL$151)</f>
        <v>0</v>
      </c>
      <c r="BM73" s="366">
        <f>SUM(ESWBLY:ESWNCT!BM$151)</f>
        <v>0</v>
      </c>
      <c r="BN73" s="366">
        <f>SUM(ESWBLY:ESWNCT!BN$151)</f>
        <v>0</v>
      </c>
      <c r="BO73" s="366">
        <f>SUM(ESWBLY:ESWNCT!BO$151)</f>
        <v>0</v>
      </c>
      <c r="BP73" s="366">
        <f>SUM(ESWBLY:ESWNCT!BP$151)</f>
        <v>0</v>
      </c>
      <c r="BQ73" s="366">
        <f>SUM(ESWBLY:ESWNCT!BQ$151)</f>
        <v>0</v>
      </c>
      <c r="BR73" s="366">
        <f>SUM(ESWBLY:ESWNCT!BR$151)</f>
        <v>0</v>
      </c>
      <c r="BS73" s="366">
        <f>SUM(ESWBLY:ESWNCT!BS$151)</f>
        <v>0</v>
      </c>
      <c r="BT73" s="366">
        <f>SUM(ESWBLY:ESWNCT!BT$151)</f>
        <v>0</v>
      </c>
      <c r="BU73" s="366">
        <f>SUM(ESWBLY:ESWNCT!BU$151)</f>
        <v>0</v>
      </c>
      <c r="BV73" s="366">
        <f>SUM(ESWBLY:ESWNCT!BV$151)</f>
        <v>0</v>
      </c>
      <c r="BW73" s="366">
        <f>SUM(ESWBLY:ESWNCT!BW$151)</f>
        <v>0</v>
      </c>
      <c r="BX73" s="366">
        <f>SUM(ESWBLY:ESWNCT!BX$151)</f>
        <v>0</v>
      </c>
      <c r="BY73" s="366">
        <f>SUM(ESWBLY:ESWNCT!BY$151)</f>
        <v>0</v>
      </c>
      <c r="BZ73" s="366">
        <f>SUM(ESWBLY:ESWNCT!BZ$151)</f>
        <v>0</v>
      </c>
      <c r="CA73" s="366">
        <f>SUM(ESWBLY:ESWNCT!CA$151)</f>
        <v>0</v>
      </c>
      <c r="CB73" s="366">
        <f>SUM(ESWBLY:ESWNCT!CB$151)</f>
        <v>0</v>
      </c>
      <c r="CC73" s="366">
        <f>SUM(ESWBLY:ESWNCT!CC$151)</f>
        <v>0</v>
      </c>
      <c r="CD73" s="366">
        <f>SUM(ESWBLY:ESWNCT!CD$151)</f>
        <v>0</v>
      </c>
      <c r="CE73" s="366">
        <f>SUM(ESWBLY:ESWNCT!CE$151)</f>
        <v>0</v>
      </c>
      <c r="CF73" s="366">
        <f>SUM(ESWBLY:ESWNCT!CF$151)</f>
        <v>0</v>
      </c>
      <c r="CG73" s="366">
        <f>SUM(ESWBLY:ESWNCT!CG$151)</f>
        <v>0</v>
      </c>
      <c r="CH73" s="366">
        <v>0</v>
      </c>
      <c r="CI73" s="366">
        <v>0</v>
      </c>
      <c r="CJ73" s="1154">
        <v>0</v>
      </c>
    </row>
    <row r="74" spans="2:88" ht="15" thickBot="1" x14ac:dyDescent="0.25">
      <c r="B74" s="1126" t="s">
        <v>406</v>
      </c>
      <c r="C74" s="458" t="s">
        <v>245</v>
      </c>
      <c r="D74" s="459" t="s">
        <v>407</v>
      </c>
      <c r="E74" s="458" t="s">
        <v>236</v>
      </c>
      <c r="F74" s="455">
        <v>2</v>
      </c>
      <c r="G74" s="366">
        <f>SUM(ESWBLY:ESWNCT!G$175)</f>
        <v>0</v>
      </c>
      <c r="H74" s="366">
        <f>SUM(ESWBLY:ESWNCT!H$175)</f>
        <v>0</v>
      </c>
      <c r="I74" s="366">
        <f>SUM(ESWBLY:ESWNCT!I$175)</f>
        <v>474.18598708354784</v>
      </c>
      <c r="J74" s="366">
        <f>SUM(ESWBLY:ESWNCT!J$175)</f>
        <v>469.00070066338384</v>
      </c>
      <c r="K74" s="366">
        <f>SUM(ESWBLY:ESWNCT!K$175)</f>
        <v>468.81959311636865</v>
      </c>
      <c r="L74" s="366">
        <f>SUM(ESWBLY:ESWNCT!L$175)</f>
        <v>466.56613260824025</v>
      </c>
      <c r="M74" s="366">
        <f>SUM(ESWBLY:ESWNCT!M$175)</f>
        <v>466.81212802496816</v>
      </c>
      <c r="N74" s="366">
        <f>SUM(ESWBLY:ESWNCT!N$175)</f>
        <v>464.28187860125763</v>
      </c>
      <c r="O74" s="366">
        <f>SUM(ESWBLY:ESWNCT!O$175)</f>
        <v>462.29913208203783</v>
      </c>
      <c r="P74" s="366">
        <f>SUM(ESWBLY:ESWNCT!P$175)</f>
        <v>460.07576153904103</v>
      </c>
      <c r="Q74" s="366">
        <f>SUM(ESWBLY:ESWNCT!Q$175)</f>
        <v>456.9733762902552</v>
      </c>
      <c r="R74" s="366">
        <f>SUM(ESWBLY:ESWNCT!R$175)</f>
        <v>453.02597657052752</v>
      </c>
      <c r="S74" s="366">
        <f>SUM(ESWBLY:ESWNCT!S$175)</f>
        <v>448.99619861349862</v>
      </c>
      <c r="T74" s="366">
        <f>SUM(ESWBLY:ESWNCT!T$175)</f>
        <v>451.04039255872863</v>
      </c>
      <c r="U74" s="366">
        <f>SUM(ESWBLY:ESWNCT!U$175)</f>
        <v>446.09566348783204</v>
      </c>
      <c r="V74" s="366">
        <f>SUM(ESWBLY:ESWNCT!V$175)</f>
        <v>441.02915706630131</v>
      </c>
      <c r="W74" s="366">
        <f>SUM(ESWBLY:ESWNCT!W$175)</f>
        <v>437.46503447873755</v>
      </c>
      <c r="X74" s="366">
        <f>SUM(ESWBLY:ESWNCT!X$175)</f>
        <v>433.80230572759899</v>
      </c>
      <c r="Y74" s="366">
        <f>SUM(ESWBLY:ESWNCT!Y$175)</f>
        <v>430.20973107772784</v>
      </c>
      <c r="Z74" s="366">
        <f>SUM(ESWBLY:ESWNCT!Z$175)</f>
        <v>427.44396241652987</v>
      </c>
      <c r="AA74" s="366">
        <f>SUM(ESWBLY:ESWNCT!AA$175)</f>
        <v>425.25121141358346</v>
      </c>
      <c r="AB74" s="366">
        <f>SUM(ESWBLY:ESWNCT!AB$175)</f>
        <v>419.98425286955097</v>
      </c>
      <c r="AC74" s="366">
        <f>SUM(ESWBLY:ESWNCT!AC$175)</f>
        <v>417.90650154611234</v>
      </c>
      <c r="AD74" s="366">
        <f>SUM(ESWBLY:ESWNCT!AD$175)</f>
        <v>415.95542561004015</v>
      </c>
      <c r="AE74" s="366">
        <f>SUM(ESWBLY:ESWNCT!AE$175)</f>
        <v>415.00085546459241</v>
      </c>
      <c r="AF74" s="366">
        <f>SUM(ESWBLY:ESWNCT!AF$175)</f>
        <v>414.15718082321911</v>
      </c>
      <c r="AG74" s="366">
        <f>SUM(ESWBLY:ESWNCT!AG$175)</f>
        <v>414.79432636792541</v>
      </c>
      <c r="AH74" s="366">
        <f>SUM(ESWBLY:ESWNCT!AH$175)</f>
        <v>411.32166747276239</v>
      </c>
      <c r="AI74" s="366">
        <f>SUM(ESWBLY:ESWNCT!AI$175)</f>
        <v>412.13615107848301</v>
      </c>
      <c r="AJ74" s="366">
        <f>SUM(ESWBLY:ESWNCT!AJ$175)</f>
        <v>410.86161771416062</v>
      </c>
      <c r="AK74" s="366">
        <f>SUM(ESWBLY:ESWNCT!AK$175)</f>
        <v>411.74241142004644</v>
      </c>
      <c r="AL74" s="366">
        <f>SUM(ESWBLY:ESWNCT!AL$175)</f>
        <v>0</v>
      </c>
      <c r="AM74" s="366">
        <f>SUM(ESWBLY:ESWNCT!AM$175)</f>
        <v>0</v>
      </c>
      <c r="AN74" s="366">
        <f>SUM(ESWBLY:ESWNCT!AN$175)</f>
        <v>0</v>
      </c>
      <c r="AO74" s="366">
        <f>SUM(ESWBLY:ESWNCT!AO$175)</f>
        <v>0</v>
      </c>
      <c r="AP74" s="366">
        <f>SUM(ESWBLY:ESWNCT!AP$175)</f>
        <v>0</v>
      </c>
      <c r="AQ74" s="366">
        <f>SUM(ESWBLY:ESWNCT!AQ$175)</f>
        <v>0</v>
      </c>
      <c r="AR74" s="366">
        <f>SUM(ESWBLY:ESWNCT!AR$175)</f>
        <v>0</v>
      </c>
      <c r="AS74" s="366">
        <f>SUM(ESWBLY:ESWNCT!AS$175)</f>
        <v>0</v>
      </c>
      <c r="AT74" s="366">
        <f>SUM(ESWBLY:ESWNCT!AT$175)</f>
        <v>0</v>
      </c>
      <c r="AU74" s="366">
        <f>SUM(ESWBLY:ESWNCT!AU$175)</f>
        <v>0</v>
      </c>
      <c r="AV74" s="366">
        <f>SUM(ESWBLY:ESWNCT!AV$175)</f>
        <v>0</v>
      </c>
      <c r="AW74" s="366">
        <f>SUM(ESWBLY:ESWNCT!AW$175)</f>
        <v>0</v>
      </c>
      <c r="AX74" s="366">
        <f>SUM(ESWBLY:ESWNCT!AX$175)</f>
        <v>0</v>
      </c>
      <c r="AY74" s="366">
        <f>SUM(ESWBLY:ESWNCT!AY$175)</f>
        <v>0</v>
      </c>
      <c r="AZ74" s="366">
        <f>SUM(ESWBLY:ESWNCT!AZ$175)</f>
        <v>0</v>
      </c>
      <c r="BA74" s="366">
        <f>SUM(ESWBLY:ESWNCT!BA$175)</f>
        <v>0</v>
      </c>
      <c r="BB74" s="366">
        <f>SUM(ESWBLY:ESWNCT!BB$175)</f>
        <v>0</v>
      </c>
      <c r="BC74" s="366">
        <f>SUM(ESWBLY:ESWNCT!BC$175)</f>
        <v>0</v>
      </c>
      <c r="BD74" s="366">
        <f>SUM(ESWBLY:ESWNCT!BD$175)</f>
        <v>0</v>
      </c>
      <c r="BE74" s="366">
        <f>SUM(ESWBLY:ESWNCT!BE$175)</f>
        <v>0</v>
      </c>
      <c r="BF74" s="366">
        <f>SUM(ESWBLY:ESWNCT!BF$175)</f>
        <v>0</v>
      </c>
      <c r="BG74" s="366">
        <f>SUM(ESWBLY:ESWNCT!BG$175)</f>
        <v>0</v>
      </c>
      <c r="BH74" s="366">
        <f>SUM(ESWBLY:ESWNCT!BH$175)</f>
        <v>0</v>
      </c>
      <c r="BI74" s="366">
        <f>SUM(ESWBLY:ESWNCT!BI$175)</f>
        <v>0</v>
      </c>
      <c r="BJ74" s="366">
        <f>SUM(ESWBLY:ESWNCT!BJ$175)</f>
        <v>0</v>
      </c>
      <c r="BK74" s="366">
        <f>SUM(ESWBLY:ESWNCT!BK$175)</f>
        <v>0</v>
      </c>
      <c r="BL74" s="366">
        <f>SUM(ESWBLY:ESWNCT!BL$175)</f>
        <v>0</v>
      </c>
      <c r="BM74" s="366">
        <f>SUM(ESWBLY:ESWNCT!BM$175)</f>
        <v>0</v>
      </c>
      <c r="BN74" s="366">
        <f>SUM(ESWBLY:ESWNCT!BN$175)</f>
        <v>0</v>
      </c>
      <c r="BO74" s="366">
        <f>SUM(ESWBLY:ESWNCT!BO$175)</f>
        <v>0</v>
      </c>
      <c r="BP74" s="366">
        <f>SUM(ESWBLY:ESWNCT!BP$175)</f>
        <v>0</v>
      </c>
      <c r="BQ74" s="366">
        <f>SUM(ESWBLY:ESWNCT!BQ$175)</f>
        <v>0</v>
      </c>
      <c r="BR74" s="366">
        <f>SUM(ESWBLY:ESWNCT!BR$175)</f>
        <v>0</v>
      </c>
      <c r="BS74" s="366">
        <f>SUM(ESWBLY:ESWNCT!BS$175)</f>
        <v>0</v>
      </c>
      <c r="BT74" s="366">
        <f>SUM(ESWBLY:ESWNCT!BT$175)</f>
        <v>0</v>
      </c>
      <c r="BU74" s="366">
        <f>SUM(ESWBLY:ESWNCT!BU$175)</f>
        <v>0</v>
      </c>
      <c r="BV74" s="366">
        <f>SUM(ESWBLY:ESWNCT!BV$175)</f>
        <v>0</v>
      </c>
      <c r="BW74" s="366">
        <f>SUM(ESWBLY:ESWNCT!BW$175)</f>
        <v>0</v>
      </c>
      <c r="BX74" s="366">
        <f>SUM(ESWBLY:ESWNCT!BX$175)</f>
        <v>0</v>
      </c>
      <c r="BY74" s="366">
        <f>SUM(ESWBLY:ESWNCT!BY$175)</f>
        <v>0</v>
      </c>
      <c r="BZ74" s="366">
        <f>SUM(ESWBLY:ESWNCT!BZ$175)</f>
        <v>0</v>
      </c>
      <c r="CA74" s="366">
        <f>SUM(ESWBLY:ESWNCT!CA$175)</f>
        <v>0</v>
      </c>
      <c r="CB74" s="366">
        <f>SUM(ESWBLY:ESWNCT!CB$175)</f>
        <v>0</v>
      </c>
      <c r="CC74" s="366">
        <f>SUM(ESWBLY:ESWNCT!CC$175)</f>
        <v>0</v>
      </c>
      <c r="CD74" s="366">
        <f>SUM(ESWBLY:ESWNCT!CD$175)</f>
        <v>0</v>
      </c>
      <c r="CE74" s="366">
        <f>SUM(ESWBLY:ESWNCT!CE$175)</f>
        <v>0</v>
      </c>
      <c r="CF74" s="366">
        <f>SUM(ESWBLY:ESWNCT!CF$175)</f>
        <v>0</v>
      </c>
      <c r="CG74" s="366">
        <f>SUM(ESWBLY:ESWNCT!CG$175)</f>
        <v>0</v>
      </c>
      <c r="CH74" s="366">
        <v>0</v>
      </c>
      <c r="CI74" s="366">
        <v>0</v>
      </c>
      <c r="CJ74" s="1154">
        <v>0</v>
      </c>
    </row>
    <row r="75" spans="2:88" x14ac:dyDescent="0.2">
      <c r="B75" s="1127" t="s">
        <v>408</v>
      </c>
      <c r="C75" s="1128" t="s">
        <v>384</v>
      </c>
      <c r="D75" s="508" t="s">
        <v>409</v>
      </c>
      <c r="E75" s="1128" t="s">
        <v>236</v>
      </c>
      <c r="F75" s="509">
        <v>2</v>
      </c>
      <c r="G75" s="370">
        <f>SUM(ESWBLY:ESWNCT!G$178)</f>
        <v>0</v>
      </c>
      <c r="H75" s="370">
        <f>SUM(ESWBLY:ESWNCT!H$178)</f>
        <v>0</v>
      </c>
      <c r="I75" s="370">
        <f>SUM(ESWBLY:ESWNCT!I$178)</f>
        <v>9.5098633408825073</v>
      </c>
      <c r="J75" s="370">
        <f>SUM(ESWBLY:ESWNCT!J$178)</f>
        <v>10.346196975425656</v>
      </c>
      <c r="K75" s="370">
        <f>SUM(ESWBLY:ESWNCT!K$178)</f>
        <v>10.581226174654454</v>
      </c>
      <c r="L75" s="370">
        <f>SUM(ESWBLY:ESWNCT!L$178)</f>
        <v>10.674141376525171</v>
      </c>
      <c r="M75" s="370">
        <f>SUM(ESWBLY:ESWNCT!M$178)</f>
        <v>11.109891465755577</v>
      </c>
      <c r="N75" s="370">
        <f>SUM(ESWBLY:ESWNCT!N$178)</f>
        <v>10.054179665650723</v>
      </c>
      <c r="O75" s="370">
        <f>SUM(ESWBLY:ESWNCT!O$178)</f>
        <v>11.640347628793107</v>
      </c>
      <c r="P75" s="370">
        <f>SUM(ESWBLY:ESWNCT!P$178)</f>
        <v>10.94270610219057</v>
      </c>
      <c r="Q75" s="370">
        <f>SUM(ESWBLY:ESWNCT!Q$178)</f>
        <v>10.373156077633462</v>
      </c>
      <c r="R75" s="370">
        <f>SUM(ESWBLY:ESWNCT!R$178)</f>
        <v>9.2104863123785154</v>
      </c>
      <c r="S75" s="370">
        <f>SUM(ESWBLY:ESWNCT!S$178)</f>
        <v>8.2548235600568134</v>
      </c>
      <c r="T75" s="370">
        <f>SUM(ESWBLY:ESWNCT!T$178)</f>
        <v>7.6562021026846274</v>
      </c>
      <c r="U75" s="370">
        <f>SUM(ESWBLY:ESWNCT!U$178)</f>
        <v>7.4374846016986744</v>
      </c>
      <c r="V75" s="370">
        <f>SUM(ESWBLY:ESWNCT!V$178)</f>
        <v>6.9528546014989638</v>
      </c>
      <c r="W75" s="370">
        <f>SUM(ESWBLY:ESWNCT!W$178)</f>
        <v>6.6099401433810572</v>
      </c>
      <c r="X75" s="370">
        <f>SUM(ESWBLY:ESWNCT!X$178)</f>
        <v>6.3696946618762151</v>
      </c>
      <c r="Y75" s="370">
        <f>SUM(ESWBLY:ESWNCT!Y$178)</f>
        <v>6.2467397884344154</v>
      </c>
      <c r="Z75" s="370">
        <f>SUM(ESWBLY:ESWNCT!Z$178)</f>
        <v>5.9926207088140533</v>
      </c>
      <c r="AA75" s="370">
        <f>SUM(ESWBLY:ESWNCT!AA$178)</f>
        <v>5.79001200376036</v>
      </c>
      <c r="AB75" s="370">
        <f>SUM(ESWBLY:ESWNCT!AB$178)</f>
        <v>7.3464631485103267</v>
      </c>
      <c r="AC75" s="370">
        <f>SUM(ESWBLY:ESWNCT!AC$178)</f>
        <v>5.6860349022495971</v>
      </c>
      <c r="AD75" s="370">
        <f>SUM(ESWBLY:ESWNCT!AD$178)</f>
        <v>5.6054294554946349</v>
      </c>
      <c r="AE75" s="370">
        <f>SUM(ESWBLY:ESWNCT!AE$178)</f>
        <v>5.6435064537832922</v>
      </c>
      <c r="AF75" s="370">
        <f>SUM(ESWBLY:ESWNCT!AF$178)</f>
        <v>5.682484406632315</v>
      </c>
      <c r="AG75" s="370">
        <f>SUM(ESWBLY:ESWNCT!AG$178)</f>
        <v>6.0936134657935392</v>
      </c>
      <c r="AH75" s="370">
        <f>SUM(ESWBLY:ESWNCT!AH$178)</f>
        <v>8.5737712564588495</v>
      </c>
      <c r="AI75" s="370">
        <f>SUM(ESWBLY:ESWNCT!AI$178)</f>
        <v>5.6664772430758781</v>
      </c>
      <c r="AJ75" s="370">
        <f>SUM(ESWBLY:ESWNCT!AJ$178)</f>
        <v>7.1864084544271307</v>
      </c>
      <c r="AK75" s="370">
        <f>SUM(ESWBLY:ESWNCT!AK$178)</f>
        <v>5.8141270168918338</v>
      </c>
      <c r="AL75" s="370">
        <f>SUM(ESWBLY:ESWNCT!AL$178)</f>
        <v>0</v>
      </c>
      <c r="AM75" s="370">
        <f>SUM(ESWBLY:ESWNCT!AM$178)</f>
        <v>0</v>
      </c>
      <c r="AN75" s="370">
        <f>SUM(ESWBLY:ESWNCT!AN$178)</f>
        <v>0</v>
      </c>
      <c r="AO75" s="370">
        <f>SUM(ESWBLY:ESWNCT!AO$178)</f>
        <v>0</v>
      </c>
      <c r="AP75" s="370">
        <f>SUM(ESWBLY:ESWNCT!AP$178)</f>
        <v>0</v>
      </c>
      <c r="AQ75" s="370">
        <f>SUM(ESWBLY:ESWNCT!AQ$178)</f>
        <v>0</v>
      </c>
      <c r="AR75" s="370">
        <f>SUM(ESWBLY:ESWNCT!AR$178)</f>
        <v>0</v>
      </c>
      <c r="AS75" s="370">
        <f>SUM(ESWBLY:ESWNCT!AS$178)</f>
        <v>0</v>
      </c>
      <c r="AT75" s="370">
        <f>SUM(ESWBLY:ESWNCT!AT$178)</f>
        <v>0</v>
      </c>
      <c r="AU75" s="370">
        <f>SUM(ESWBLY:ESWNCT!AU$178)</f>
        <v>0</v>
      </c>
      <c r="AV75" s="370">
        <f>SUM(ESWBLY:ESWNCT!AV$178)</f>
        <v>0</v>
      </c>
      <c r="AW75" s="370">
        <f>SUM(ESWBLY:ESWNCT!AW$178)</f>
        <v>0</v>
      </c>
      <c r="AX75" s="370">
        <f>SUM(ESWBLY:ESWNCT!AX$178)</f>
        <v>0</v>
      </c>
      <c r="AY75" s="370">
        <f>SUM(ESWBLY:ESWNCT!AY$178)</f>
        <v>0</v>
      </c>
      <c r="AZ75" s="370">
        <f>SUM(ESWBLY:ESWNCT!AZ$178)</f>
        <v>0</v>
      </c>
      <c r="BA75" s="370">
        <f>SUM(ESWBLY:ESWNCT!BA$178)</f>
        <v>0</v>
      </c>
      <c r="BB75" s="370">
        <f>SUM(ESWBLY:ESWNCT!BB$178)</f>
        <v>0</v>
      </c>
      <c r="BC75" s="370">
        <f>SUM(ESWBLY:ESWNCT!BC$178)</f>
        <v>0</v>
      </c>
      <c r="BD75" s="370">
        <f>SUM(ESWBLY:ESWNCT!BD$178)</f>
        <v>0</v>
      </c>
      <c r="BE75" s="370">
        <f>SUM(ESWBLY:ESWNCT!BE$178)</f>
        <v>0</v>
      </c>
      <c r="BF75" s="370">
        <f>SUM(ESWBLY:ESWNCT!BF$178)</f>
        <v>0</v>
      </c>
      <c r="BG75" s="370">
        <f>SUM(ESWBLY:ESWNCT!BG$178)</f>
        <v>0</v>
      </c>
      <c r="BH75" s="370">
        <f>SUM(ESWBLY:ESWNCT!BH$178)</f>
        <v>0</v>
      </c>
      <c r="BI75" s="370">
        <f>SUM(ESWBLY:ESWNCT!BI$178)</f>
        <v>0</v>
      </c>
      <c r="BJ75" s="370">
        <f>SUM(ESWBLY:ESWNCT!BJ$178)</f>
        <v>0</v>
      </c>
      <c r="BK75" s="370">
        <f>SUM(ESWBLY:ESWNCT!BK$178)</f>
        <v>0</v>
      </c>
      <c r="BL75" s="370">
        <f>SUM(ESWBLY:ESWNCT!BL$178)</f>
        <v>0</v>
      </c>
      <c r="BM75" s="370">
        <f>SUM(ESWBLY:ESWNCT!BM$178)</f>
        <v>0</v>
      </c>
      <c r="BN75" s="370">
        <f>SUM(ESWBLY:ESWNCT!BN$178)</f>
        <v>0</v>
      </c>
      <c r="BO75" s="370">
        <f>SUM(ESWBLY:ESWNCT!BO$178)</f>
        <v>0</v>
      </c>
      <c r="BP75" s="370">
        <f>SUM(ESWBLY:ESWNCT!BP$178)</f>
        <v>0</v>
      </c>
      <c r="BQ75" s="370">
        <f>SUM(ESWBLY:ESWNCT!BQ$178)</f>
        <v>0</v>
      </c>
      <c r="BR75" s="370">
        <f>SUM(ESWBLY:ESWNCT!BR$178)</f>
        <v>0</v>
      </c>
      <c r="BS75" s="370">
        <f>SUM(ESWBLY:ESWNCT!BS$178)</f>
        <v>0</v>
      </c>
      <c r="BT75" s="370">
        <f>SUM(ESWBLY:ESWNCT!BT$178)</f>
        <v>0</v>
      </c>
      <c r="BU75" s="370">
        <f>SUM(ESWBLY:ESWNCT!BU$178)</f>
        <v>0</v>
      </c>
      <c r="BV75" s="370">
        <f>SUM(ESWBLY:ESWNCT!BV$178)</f>
        <v>0</v>
      </c>
      <c r="BW75" s="370">
        <f>SUM(ESWBLY:ESWNCT!BW$178)</f>
        <v>0</v>
      </c>
      <c r="BX75" s="370">
        <f>SUM(ESWBLY:ESWNCT!BX$178)</f>
        <v>0</v>
      </c>
      <c r="BY75" s="370">
        <f>SUM(ESWBLY:ESWNCT!BY$178)</f>
        <v>0</v>
      </c>
      <c r="BZ75" s="370">
        <f>SUM(ESWBLY:ESWNCT!BZ$178)</f>
        <v>0</v>
      </c>
      <c r="CA75" s="370">
        <f>SUM(ESWBLY:ESWNCT!CA$178)</f>
        <v>0</v>
      </c>
      <c r="CB75" s="370">
        <f>SUM(ESWBLY:ESWNCT!CB$178)</f>
        <v>0</v>
      </c>
      <c r="CC75" s="370">
        <f>SUM(ESWBLY:ESWNCT!CC$178)</f>
        <v>0</v>
      </c>
      <c r="CD75" s="370">
        <f>SUM(ESWBLY:ESWNCT!CD$178)</f>
        <v>0</v>
      </c>
      <c r="CE75" s="370">
        <f>SUM(ESWBLY:ESWNCT!CE$178)</f>
        <v>0</v>
      </c>
      <c r="CF75" s="370">
        <f>SUM(ESWBLY:ESWNCT!CF$178)</f>
        <v>0</v>
      </c>
      <c r="CG75" s="370">
        <f>SUM(ESWBLY:ESWNCT!CG$178)</f>
        <v>0</v>
      </c>
      <c r="CH75" s="370">
        <v>0</v>
      </c>
      <c r="CI75" s="370">
        <v>0</v>
      </c>
      <c r="CJ75" s="1158">
        <v>0</v>
      </c>
    </row>
    <row r="76" spans="2:88" x14ac:dyDescent="0.2">
      <c r="B76" s="1129" t="s">
        <v>410</v>
      </c>
      <c r="C76" s="510" t="s">
        <v>387</v>
      </c>
      <c r="D76" s="511" t="s">
        <v>411</v>
      </c>
      <c r="E76" s="510" t="s">
        <v>236</v>
      </c>
      <c r="F76" s="512">
        <v>2</v>
      </c>
      <c r="G76" s="369" t="e">
        <f>SUM(ESWBLY:ESWNCT!G$131)</f>
        <v>#REF!</v>
      </c>
      <c r="H76" s="369">
        <f>SUM(ESWBLY:ESWNCT!H$131)</f>
        <v>0</v>
      </c>
      <c r="I76" s="369">
        <f>SUM(ESWBLY:ESWNCT!I$131)</f>
        <v>520.95170167010917</v>
      </c>
      <c r="J76" s="369">
        <f>SUM(ESWBLY:ESWNCT!J$131)</f>
        <v>520.27583557564901</v>
      </c>
      <c r="K76" s="369">
        <f>SUM(ESWBLY:ESWNCT!K$131)</f>
        <v>519.672692193893</v>
      </c>
      <c r="L76" s="369">
        <f>SUM(ESWBLY:ESWNCT!L$131)</f>
        <v>519.03496009965636</v>
      </c>
      <c r="M76" s="369">
        <f>SUM(ESWBLY:ESWNCT!M$131)</f>
        <v>520.59387517477467</v>
      </c>
      <c r="N76" s="369">
        <f>SUM(ESWBLY:ESWNCT!N$131)</f>
        <v>517.85382923205793</v>
      </c>
      <c r="O76" s="369">
        <f>SUM(ESWBLY:ESWNCT!O$131)</f>
        <v>526.76791439490876</v>
      </c>
      <c r="P76" s="369">
        <f>SUM(ESWBLY:ESWNCT!P$131)</f>
        <v>523.72710168288097</v>
      </c>
      <c r="Q76" s="369">
        <f>SUM(ESWBLY:ESWNCT!Q$131)</f>
        <v>528.99825334982359</v>
      </c>
      <c r="R76" s="369">
        <f>SUM(ESWBLY:ESWNCT!R$131)</f>
        <v>526.85401071685783</v>
      </c>
      <c r="S76" s="369">
        <f>SUM(ESWBLY:ESWNCT!S$131)</f>
        <v>511.89123308734531</v>
      </c>
      <c r="T76" s="369">
        <f>SUM(ESWBLY:ESWNCT!T$131)</f>
        <v>520.42267205016799</v>
      </c>
      <c r="U76" s="369">
        <f>SUM(ESWBLY:ESWNCT!U$131)</f>
        <v>519.79303098916216</v>
      </c>
      <c r="V76" s="369">
        <f>SUM(ESWBLY:ESWNCT!V$131)</f>
        <v>519.00333195147061</v>
      </c>
      <c r="W76" s="369">
        <f>SUM(ESWBLY:ESWNCT!W$131)</f>
        <v>518.39191377314319</v>
      </c>
      <c r="X76" s="369">
        <f>SUM(ESWBLY:ESWNCT!X$131)</f>
        <v>517.77866438844808</v>
      </c>
      <c r="Y76" s="369">
        <f>SUM(ESWBLY:ESWNCT!Y$131)</f>
        <v>517.16342232689226</v>
      </c>
      <c r="Z76" s="369">
        <f>SUM(ESWBLY:ESWNCT!Z$131)</f>
        <v>516.54732233758443</v>
      </c>
      <c r="AA76" s="369">
        <f>SUM(ESWBLY:ESWNCT!AA$131)</f>
        <v>515.92918756691699</v>
      </c>
      <c r="AB76" s="369">
        <f>SUM(ESWBLY:ESWNCT!AB$131)</f>
        <v>516.78535140657311</v>
      </c>
      <c r="AC76" s="369">
        <f>SUM(ESWBLY:ESWNCT!AC$131)</f>
        <v>516.16282688647709</v>
      </c>
      <c r="AD76" s="369">
        <f>SUM(ESWBLY:ESWNCT!AD$131)</f>
        <v>515.53965508808551</v>
      </c>
      <c r="AE76" s="369">
        <f>SUM(ESWBLY:ESWNCT!AE$131)</f>
        <v>514.92733442747294</v>
      </c>
      <c r="AF76" s="369">
        <f>SUM(ESWBLY:ESWNCT!AF$131)</f>
        <v>514.31532417450717</v>
      </c>
      <c r="AG76" s="369">
        <f>SUM(ESWBLY:ESWNCT!AG$131)</f>
        <v>497.2810276210713</v>
      </c>
      <c r="AH76" s="369">
        <f>SUM(ESWBLY:ESWNCT!AH$131)</f>
        <v>496.66544737577027</v>
      </c>
      <c r="AI76" s="369">
        <f>SUM(ESWBLY:ESWNCT!AI$131)</f>
        <v>496.04774602948328</v>
      </c>
      <c r="AJ76" s="369">
        <f>SUM(ESWBLY:ESWNCT!AJ$131)</f>
        <v>495.4284019263722</v>
      </c>
      <c r="AK76" s="369">
        <f>SUM(ESWBLY:ESWNCT!AK$131)</f>
        <v>494.8065265315264</v>
      </c>
      <c r="AL76" s="369">
        <f>SUM(ESWBLY:ESWNCT!AL$131)</f>
        <v>0</v>
      </c>
      <c r="AM76" s="369">
        <f>SUM(ESWBLY:ESWNCT!AM$131)</f>
        <v>0</v>
      </c>
      <c r="AN76" s="369">
        <f>SUM(ESWBLY:ESWNCT!AN$131)</f>
        <v>0</v>
      </c>
      <c r="AO76" s="369">
        <f>SUM(ESWBLY:ESWNCT!AO$131)</f>
        <v>0</v>
      </c>
      <c r="AP76" s="369">
        <f>SUM(ESWBLY:ESWNCT!AP$131)</f>
        <v>0</v>
      </c>
      <c r="AQ76" s="369">
        <f>SUM(ESWBLY:ESWNCT!AQ$131)</f>
        <v>0</v>
      </c>
      <c r="AR76" s="369">
        <f>SUM(ESWBLY:ESWNCT!AR$131)</f>
        <v>0</v>
      </c>
      <c r="AS76" s="369">
        <f>SUM(ESWBLY:ESWNCT!AS$131)</f>
        <v>0</v>
      </c>
      <c r="AT76" s="369">
        <f>SUM(ESWBLY:ESWNCT!AT$131)</f>
        <v>0</v>
      </c>
      <c r="AU76" s="369">
        <f>SUM(ESWBLY:ESWNCT!AU$131)</f>
        <v>0</v>
      </c>
      <c r="AV76" s="369">
        <f>SUM(ESWBLY:ESWNCT!AV$131)</f>
        <v>0</v>
      </c>
      <c r="AW76" s="369">
        <f>SUM(ESWBLY:ESWNCT!AW$131)</f>
        <v>0</v>
      </c>
      <c r="AX76" s="369">
        <f>SUM(ESWBLY:ESWNCT!AX$131)</f>
        <v>0</v>
      </c>
      <c r="AY76" s="369">
        <f>SUM(ESWBLY:ESWNCT!AY$131)</f>
        <v>0</v>
      </c>
      <c r="AZ76" s="369">
        <f>SUM(ESWBLY:ESWNCT!AZ$131)</f>
        <v>0</v>
      </c>
      <c r="BA76" s="369">
        <f>SUM(ESWBLY:ESWNCT!BA$131)</f>
        <v>0</v>
      </c>
      <c r="BB76" s="369">
        <f>SUM(ESWBLY:ESWNCT!BB$131)</f>
        <v>0</v>
      </c>
      <c r="BC76" s="369">
        <f>SUM(ESWBLY:ESWNCT!BC$131)</f>
        <v>0</v>
      </c>
      <c r="BD76" s="369">
        <f>SUM(ESWBLY:ESWNCT!BD$131)</f>
        <v>0</v>
      </c>
      <c r="BE76" s="369">
        <f>SUM(ESWBLY:ESWNCT!BE$131)</f>
        <v>0</v>
      </c>
      <c r="BF76" s="369">
        <f>SUM(ESWBLY:ESWNCT!BF$131)</f>
        <v>0</v>
      </c>
      <c r="BG76" s="369">
        <f>SUM(ESWBLY:ESWNCT!BG$131)</f>
        <v>0</v>
      </c>
      <c r="BH76" s="369">
        <f>SUM(ESWBLY:ESWNCT!BH$131)</f>
        <v>0</v>
      </c>
      <c r="BI76" s="369">
        <f>SUM(ESWBLY:ESWNCT!BI$131)</f>
        <v>0</v>
      </c>
      <c r="BJ76" s="369">
        <f>SUM(ESWBLY:ESWNCT!BJ$131)</f>
        <v>0</v>
      </c>
      <c r="BK76" s="369">
        <f>SUM(ESWBLY:ESWNCT!BK$131)</f>
        <v>0</v>
      </c>
      <c r="BL76" s="369">
        <f>SUM(ESWBLY:ESWNCT!BL$131)</f>
        <v>0</v>
      </c>
      <c r="BM76" s="369">
        <f>SUM(ESWBLY:ESWNCT!BM$131)</f>
        <v>0</v>
      </c>
      <c r="BN76" s="369">
        <f>SUM(ESWBLY:ESWNCT!BN$131)</f>
        <v>0</v>
      </c>
      <c r="BO76" s="369">
        <f>SUM(ESWBLY:ESWNCT!BO$131)</f>
        <v>0</v>
      </c>
      <c r="BP76" s="369">
        <f>SUM(ESWBLY:ESWNCT!BP$131)</f>
        <v>0</v>
      </c>
      <c r="BQ76" s="369">
        <f>SUM(ESWBLY:ESWNCT!BQ$131)</f>
        <v>0</v>
      </c>
      <c r="BR76" s="369">
        <f>SUM(ESWBLY:ESWNCT!BR$131)</f>
        <v>0</v>
      </c>
      <c r="BS76" s="369">
        <f>SUM(ESWBLY:ESWNCT!BS$131)</f>
        <v>0</v>
      </c>
      <c r="BT76" s="369">
        <f>SUM(ESWBLY:ESWNCT!BT$131)</f>
        <v>0</v>
      </c>
      <c r="BU76" s="369">
        <f>SUM(ESWBLY:ESWNCT!BU$131)</f>
        <v>0</v>
      </c>
      <c r="BV76" s="369">
        <f>SUM(ESWBLY:ESWNCT!BV$131)</f>
        <v>0</v>
      </c>
      <c r="BW76" s="369">
        <f>SUM(ESWBLY:ESWNCT!BW$131)</f>
        <v>0</v>
      </c>
      <c r="BX76" s="369">
        <f>SUM(ESWBLY:ESWNCT!BX$131)</f>
        <v>0</v>
      </c>
      <c r="BY76" s="369">
        <f>SUM(ESWBLY:ESWNCT!BY$131)</f>
        <v>0</v>
      </c>
      <c r="BZ76" s="369">
        <f>SUM(ESWBLY:ESWNCT!BZ$131)</f>
        <v>0</v>
      </c>
      <c r="CA76" s="369">
        <f>SUM(ESWBLY:ESWNCT!CA$131)</f>
        <v>0</v>
      </c>
      <c r="CB76" s="369">
        <f>SUM(ESWBLY:ESWNCT!CB$131)</f>
        <v>0</v>
      </c>
      <c r="CC76" s="369">
        <f>SUM(ESWBLY:ESWNCT!CC$131)</f>
        <v>0</v>
      </c>
      <c r="CD76" s="369">
        <f>SUM(ESWBLY:ESWNCT!CD$131)</f>
        <v>0</v>
      </c>
      <c r="CE76" s="369">
        <f>SUM(ESWBLY:ESWNCT!CE$131)</f>
        <v>0</v>
      </c>
      <c r="CF76" s="369">
        <f>SUM(ESWBLY:ESWNCT!CF$131)</f>
        <v>0</v>
      </c>
      <c r="CG76" s="369">
        <f>SUM(ESWBLY:ESWNCT!CG$131)</f>
        <v>0</v>
      </c>
      <c r="CH76" s="369">
        <v>0</v>
      </c>
      <c r="CI76" s="369">
        <v>0</v>
      </c>
      <c r="CJ76" s="1157">
        <v>0</v>
      </c>
    </row>
    <row r="77" spans="2:88" ht="83.25" customHeight="1" x14ac:dyDescent="0.2">
      <c r="B77" s="1129" t="s">
        <v>412</v>
      </c>
      <c r="C77" s="510" t="s">
        <v>390</v>
      </c>
      <c r="D77" s="511" t="s">
        <v>413</v>
      </c>
      <c r="E77" s="510" t="s">
        <v>236</v>
      </c>
      <c r="F77" s="512">
        <v>2</v>
      </c>
      <c r="G77" s="369" t="e">
        <f>SUM(ESWBLY:ESWNCT!G$132)</f>
        <v>#REF!</v>
      </c>
      <c r="H77" s="369">
        <f>SUM(ESWBLY:ESWNCT!H$132)</f>
        <v>0</v>
      </c>
      <c r="I77" s="369">
        <f>SUM(ESWBLY:ESWNCT!I$132)</f>
        <v>492.28395030024615</v>
      </c>
      <c r="J77" s="369">
        <f>SUM(ESWBLY:ESWNCT!J$132)</f>
        <v>491.60808420578599</v>
      </c>
      <c r="K77" s="369">
        <f>SUM(ESWBLY:ESWNCT!K$132)</f>
        <v>491.00494082402997</v>
      </c>
      <c r="L77" s="369">
        <f>SUM(ESWBLY:ESWNCT!L$132)</f>
        <v>490.02919715434984</v>
      </c>
      <c r="M77" s="369">
        <f>SUM(ESWBLY:ESWNCT!M$132)</f>
        <v>491.25196028720228</v>
      </c>
      <c r="N77" s="369">
        <f>SUM(ESWBLY:ESWNCT!N$132)</f>
        <v>487.31156928422922</v>
      </c>
      <c r="O77" s="369">
        <f>SUM(ESWBLY:ESWNCT!O$132)</f>
        <v>490.89508140434697</v>
      </c>
      <c r="P77" s="369">
        <f>SUM(ESWBLY:ESWNCT!P$132)</f>
        <v>487.52299828714433</v>
      </c>
      <c r="Q77" s="369">
        <f>SUM(ESWBLY:ESWNCT!Q$132)</f>
        <v>492.46427427379541</v>
      </c>
      <c r="R77" s="369">
        <f>SUM(ESWBLY:ESWNCT!R$132)</f>
        <v>490.00062086883264</v>
      </c>
      <c r="S77" s="369">
        <f>SUM(ESWBLY:ESWNCT!S$132)</f>
        <v>474.70703774243975</v>
      </c>
      <c r="T77" s="369">
        <f>SUM(ESWBLY:ESWNCT!T$132)</f>
        <v>486.40976329570691</v>
      </c>
      <c r="U77" s="369">
        <f>SUM(ESWBLY:ESWNCT!U$132)</f>
        <v>485.44954919196789</v>
      </c>
      <c r="V77" s="369">
        <f>SUM(ESWBLY:ESWNCT!V$132)</f>
        <v>486.15985015427646</v>
      </c>
      <c r="W77" s="369">
        <f>SUM(ESWBLY:ESWNCT!W$132)</f>
        <v>505.55075651742089</v>
      </c>
      <c r="X77" s="369">
        <f>SUM(ESWBLY:ESWNCT!X$132)</f>
        <v>504.93750713272595</v>
      </c>
      <c r="Y77" s="369">
        <f>SUM(ESWBLY:ESWNCT!Y$132)</f>
        <v>504.32226507117002</v>
      </c>
      <c r="Z77" s="369">
        <f>SUM(ESWBLY:ESWNCT!Z$132)</f>
        <v>503.7061650818622</v>
      </c>
      <c r="AA77" s="369">
        <f>SUM(ESWBLY:ESWNCT!AA$132)</f>
        <v>503.08803031119487</v>
      </c>
      <c r="AB77" s="369">
        <f>SUM(ESWBLY:ESWNCT!AB$132)</f>
        <v>504.30651869232292</v>
      </c>
      <c r="AC77" s="369">
        <f>SUM(ESWBLY:ESWNCT!AC$132)</f>
        <v>503.6839941722269</v>
      </c>
      <c r="AD77" s="369">
        <f>SUM(ESWBLY:ESWNCT!AD$132)</f>
        <v>503.06082237383526</v>
      </c>
      <c r="AE77" s="369">
        <f>SUM(ESWBLY:ESWNCT!AE$132)</f>
        <v>502.44850171322275</v>
      </c>
      <c r="AF77" s="369">
        <f>SUM(ESWBLY:ESWNCT!AF$132)</f>
        <v>501.83649146025698</v>
      </c>
      <c r="AG77" s="369">
        <f>SUM(ESWBLY:ESWNCT!AG$132)</f>
        <v>484.4421949068211</v>
      </c>
      <c r="AH77" s="369">
        <f>SUM(ESWBLY:ESWNCT!AH$132)</f>
        <v>483.82661466152013</v>
      </c>
      <c r="AI77" s="369">
        <f>SUM(ESWBLY:ESWNCT!AI$132)</f>
        <v>483.21123785670505</v>
      </c>
      <c r="AJ77" s="369">
        <f>SUM(ESWBLY:ESWNCT!AJ$132)</f>
        <v>482.59189375359398</v>
      </c>
      <c r="AK77" s="369">
        <f>SUM(ESWBLY:ESWNCT!AK$132)</f>
        <v>481.97001835874829</v>
      </c>
      <c r="AL77" s="369">
        <f>SUM(ESWBLY:ESWNCT!AL$132)</f>
        <v>0</v>
      </c>
      <c r="AM77" s="369">
        <f>SUM(ESWBLY:ESWNCT!AM$132)</f>
        <v>0</v>
      </c>
      <c r="AN77" s="369">
        <f>SUM(ESWBLY:ESWNCT!AN$132)</f>
        <v>0</v>
      </c>
      <c r="AO77" s="369">
        <f>SUM(ESWBLY:ESWNCT!AO$132)</f>
        <v>0</v>
      </c>
      <c r="AP77" s="369">
        <f>SUM(ESWBLY:ESWNCT!AP$132)</f>
        <v>0</v>
      </c>
      <c r="AQ77" s="369">
        <f>SUM(ESWBLY:ESWNCT!AQ$132)</f>
        <v>0</v>
      </c>
      <c r="AR77" s="369">
        <f>SUM(ESWBLY:ESWNCT!AR$132)</f>
        <v>0</v>
      </c>
      <c r="AS77" s="369">
        <f>SUM(ESWBLY:ESWNCT!AS$132)</f>
        <v>0</v>
      </c>
      <c r="AT77" s="369">
        <f>SUM(ESWBLY:ESWNCT!AT$132)</f>
        <v>0</v>
      </c>
      <c r="AU77" s="369">
        <f>SUM(ESWBLY:ESWNCT!AU$132)</f>
        <v>0</v>
      </c>
      <c r="AV77" s="369">
        <f>SUM(ESWBLY:ESWNCT!AV$132)</f>
        <v>0</v>
      </c>
      <c r="AW77" s="369">
        <f>SUM(ESWBLY:ESWNCT!AW$132)</f>
        <v>0</v>
      </c>
      <c r="AX77" s="369">
        <f>SUM(ESWBLY:ESWNCT!AX$132)</f>
        <v>0</v>
      </c>
      <c r="AY77" s="369">
        <f>SUM(ESWBLY:ESWNCT!AY$132)</f>
        <v>0</v>
      </c>
      <c r="AZ77" s="369">
        <f>SUM(ESWBLY:ESWNCT!AZ$132)</f>
        <v>0</v>
      </c>
      <c r="BA77" s="369">
        <f>SUM(ESWBLY:ESWNCT!BA$132)</f>
        <v>0</v>
      </c>
      <c r="BB77" s="369">
        <f>SUM(ESWBLY:ESWNCT!BB$132)</f>
        <v>0</v>
      </c>
      <c r="BC77" s="369">
        <f>SUM(ESWBLY:ESWNCT!BC$132)</f>
        <v>0</v>
      </c>
      <c r="BD77" s="369">
        <f>SUM(ESWBLY:ESWNCT!BD$132)</f>
        <v>0</v>
      </c>
      <c r="BE77" s="369">
        <f>SUM(ESWBLY:ESWNCT!BE$132)</f>
        <v>0</v>
      </c>
      <c r="BF77" s="369">
        <f>SUM(ESWBLY:ESWNCT!BF$132)</f>
        <v>0</v>
      </c>
      <c r="BG77" s="369">
        <f>SUM(ESWBLY:ESWNCT!BG$132)</f>
        <v>0</v>
      </c>
      <c r="BH77" s="369">
        <f>SUM(ESWBLY:ESWNCT!BH$132)</f>
        <v>0</v>
      </c>
      <c r="BI77" s="369">
        <f>SUM(ESWBLY:ESWNCT!BI$132)</f>
        <v>0</v>
      </c>
      <c r="BJ77" s="369">
        <f>SUM(ESWBLY:ESWNCT!BJ$132)</f>
        <v>0</v>
      </c>
      <c r="BK77" s="369">
        <f>SUM(ESWBLY:ESWNCT!BK$132)</f>
        <v>0</v>
      </c>
      <c r="BL77" s="369">
        <f>SUM(ESWBLY:ESWNCT!BL$132)</f>
        <v>0</v>
      </c>
      <c r="BM77" s="369">
        <f>SUM(ESWBLY:ESWNCT!BM$132)</f>
        <v>0</v>
      </c>
      <c r="BN77" s="369">
        <f>SUM(ESWBLY:ESWNCT!BN$132)</f>
        <v>0</v>
      </c>
      <c r="BO77" s="369">
        <f>SUM(ESWBLY:ESWNCT!BO$132)</f>
        <v>0</v>
      </c>
      <c r="BP77" s="369">
        <f>SUM(ESWBLY:ESWNCT!BP$132)</f>
        <v>0</v>
      </c>
      <c r="BQ77" s="369">
        <f>SUM(ESWBLY:ESWNCT!BQ$132)</f>
        <v>0</v>
      </c>
      <c r="BR77" s="369">
        <f>SUM(ESWBLY:ESWNCT!BR$132)</f>
        <v>0</v>
      </c>
      <c r="BS77" s="369">
        <f>SUM(ESWBLY:ESWNCT!BS$132)</f>
        <v>0</v>
      </c>
      <c r="BT77" s="369">
        <f>SUM(ESWBLY:ESWNCT!BT$132)</f>
        <v>0</v>
      </c>
      <c r="BU77" s="369">
        <f>SUM(ESWBLY:ESWNCT!BU$132)</f>
        <v>0</v>
      </c>
      <c r="BV77" s="369">
        <f>SUM(ESWBLY:ESWNCT!BV$132)</f>
        <v>0</v>
      </c>
      <c r="BW77" s="369">
        <f>SUM(ESWBLY:ESWNCT!BW$132)</f>
        <v>0</v>
      </c>
      <c r="BX77" s="369">
        <f>SUM(ESWBLY:ESWNCT!BX$132)</f>
        <v>0</v>
      </c>
      <c r="BY77" s="369">
        <f>SUM(ESWBLY:ESWNCT!BY$132)</f>
        <v>0</v>
      </c>
      <c r="BZ77" s="369">
        <f>SUM(ESWBLY:ESWNCT!BZ$132)</f>
        <v>0</v>
      </c>
      <c r="CA77" s="369">
        <f>SUM(ESWBLY:ESWNCT!CA$132)</f>
        <v>0</v>
      </c>
      <c r="CB77" s="369">
        <f>SUM(ESWBLY:ESWNCT!CB$132)</f>
        <v>0</v>
      </c>
      <c r="CC77" s="369">
        <f>SUM(ESWBLY:ESWNCT!CC$132)</f>
        <v>0</v>
      </c>
      <c r="CD77" s="369">
        <f>SUM(ESWBLY:ESWNCT!CD$132)</f>
        <v>0</v>
      </c>
      <c r="CE77" s="369">
        <f>SUM(ESWBLY:ESWNCT!CE$132)</f>
        <v>0</v>
      </c>
      <c r="CF77" s="369">
        <f>SUM(ESWBLY:ESWNCT!CF$132)</f>
        <v>0</v>
      </c>
      <c r="CG77" s="369">
        <f>SUM(ESWBLY:ESWNCT!CG$132)</f>
        <v>0</v>
      </c>
      <c r="CH77" s="369">
        <v>0</v>
      </c>
      <c r="CI77" s="369">
        <v>0</v>
      </c>
      <c r="CJ77" s="1157">
        <v>0</v>
      </c>
    </row>
    <row r="78" spans="2:88" ht="18.600000000000001" customHeight="1" thickBot="1" x14ac:dyDescent="0.25">
      <c r="B78" s="1135" t="s">
        <v>414</v>
      </c>
      <c r="C78" s="1136" t="s">
        <v>393</v>
      </c>
      <c r="D78" s="513" t="s">
        <v>415</v>
      </c>
      <c r="E78" s="1136" t="s">
        <v>236</v>
      </c>
      <c r="F78" s="514">
        <v>2</v>
      </c>
      <c r="G78" s="371" t="e">
        <f>SUM(ESWBLY:ESWNCT!G$181)</f>
        <v>#REF!</v>
      </c>
      <c r="H78" s="371">
        <f>SUM(ESWBLY:ESWNCT!H$181)</f>
        <v>0</v>
      </c>
      <c r="I78" s="371">
        <f>SUM(ESWBLY:ESWNCT!I$181)</f>
        <v>8.5880998758158107</v>
      </c>
      <c r="J78" s="371">
        <f>SUM(ESWBLY:ESWNCT!J$181)</f>
        <v>12.261186566976509</v>
      </c>
      <c r="K78" s="371">
        <f>SUM(ESWBLY:ESWNCT!K$181)</f>
        <v>11.604121533006865</v>
      </c>
      <c r="L78" s="371">
        <f>SUM(ESWBLY:ESWNCT!L$181)</f>
        <v>12.788923169584427</v>
      </c>
      <c r="M78" s="371">
        <f>SUM(ESWBLY:ESWNCT!M$181)</f>
        <v>13.329940796478436</v>
      </c>
      <c r="N78" s="371">
        <f>SUM(ESWBLY:ESWNCT!N$181)</f>
        <v>12.975511017320839</v>
      </c>
      <c r="O78" s="371">
        <f>SUM(ESWBLY:ESWNCT!O$181)</f>
        <v>16.955601693516009</v>
      </c>
      <c r="P78" s="371">
        <f>SUM(ESWBLY:ESWNCT!P$181)</f>
        <v>16.504530645912755</v>
      </c>
      <c r="Q78" s="371">
        <f>SUM(ESWBLY:ESWNCT!Q$181)</f>
        <v>25.117741905906811</v>
      </c>
      <c r="R78" s="371">
        <f>SUM(ESWBLY:ESWNCT!R$181)</f>
        <v>27.76415798592663</v>
      </c>
      <c r="S78" s="371">
        <f>SUM(ESWBLY:ESWNCT!S$181)</f>
        <v>17.456015568884258</v>
      </c>
      <c r="T78" s="371">
        <f>SUM(ESWBLY:ESWNCT!T$181)</f>
        <v>27.713168634293709</v>
      </c>
      <c r="U78" s="371">
        <f>SUM(ESWBLY:ESWNCT!U$181)</f>
        <v>31.916401102437163</v>
      </c>
      <c r="V78" s="371">
        <f>SUM(ESWBLY:ESWNCT!V$181)</f>
        <v>38.177838486476134</v>
      </c>
      <c r="W78" s="371">
        <f>SUM(ESWBLY:ESWNCT!W$181)</f>
        <v>61.475781895302312</v>
      </c>
      <c r="X78" s="371">
        <f>SUM(ESWBLY:ESWNCT!X$181)</f>
        <v>64.765506743250739</v>
      </c>
      <c r="Y78" s="371">
        <f>SUM(ESWBLY:ESWNCT!Y$181)</f>
        <v>67.865794205007717</v>
      </c>
      <c r="Z78" s="371">
        <f>SUM(ESWBLY:ESWNCT!Z$181)</f>
        <v>70.269581956518337</v>
      </c>
      <c r="AA78" s="371">
        <f>SUM(ESWBLY:ESWNCT!AA$181)</f>
        <v>72.046806893851013</v>
      </c>
      <c r="AB78" s="371">
        <f>SUM(ESWBLY:ESWNCT!AB$181)</f>
        <v>76.975802674261587</v>
      </c>
      <c r="AC78" s="371">
        <f>SUM(ESWBLY:ESWNCT!AC$181)</f>
        <v>80.091457723864892</v>
      </c>
      <c r="AD78" s="371">
        <f>SUM(ESWBLY:ESWNCT!AD$181)</f>
        <v>81.499967308300512</v>
      </c>
      <c r="AE78" s="371">
        <f>SUM(ESWBLY:ESWNCT!AE$181)</f>
        <v>81.804139794847003</v>
      </c>
      <c r="AF78" s="371">
        <f>SUM(ESWBLY:ESWNCT!AF$181)</f>
        <v>81.99682623040556</v>
      </c>
      <c r="AG78" s="371">
        <f>SUM(ESWBLY:ESWNCT!AG$181)</f>
        <v>63.554255073102169</v>
      </c>
      <c r="AH78" s="371">
        <f>SUM(ESWBLY:ESWNCT!AH$181)</f>
        <v>63.931175932298913</v>
      </c>
      <c r="AI78" s="371">
        <f>SUM(ESWBLY:ESWNCT!AI$181)</f>
        <v>65.408609535146141</v>
      </c>
      <c r="AJ78" s="371">
        <f>SUM(ESWBLY:ESWNCT!AJ$181)</f>
        <v>64.543867585006268</v>
      </c>
      <c r="AK78" s="371">
        <f>SUM(ESWBLY:ESWNCT!AK$181)</f>
        <v>64.413479921809994</v>
      </c>
      <c r="AL78" s="371">
        <f>SUM(ESWBLY:ESWNCT!AL$181)</f>
        <v>0</v>
      </c>
      <c r="AM78" s="371">
        <f>SUM(ESWBLY:ESWNCT!AM$181)</f>
        <v>0</v>
      </c>
      <c r="AN78" s="371">
        <f>SUM(ESWBLY:ESWNCT!AN$181)</f>
        <v>0</v>
      </c>
      <c r="AO78" s="371">
        <f>SUM(ESWBLY:ESWNCT!AO$181)</f>
        <v>0</v>
      </c>
      <c r="AP78" s="371">
        <f>SUM(ESWBLY:ESWNCT!AP$181)</f>
        <v>0</v>
      </c>
      <c r="AQ78" s="371">
        <f>SUM(ESWBLY:ESWNCT!AQ$181)</f>
        <v>0</v>
      </c>
      <c r="AR78" s="371">
        <f>SUM(ESWBLY:ESWNCT!AR$181)</f>
        <v>0</v>
      </c>
      <c r="AS78" s="371">
        <f>SUM(ESWBLY:ESWNCT!AS$181)</f>
        <v>0</v>
      </c>
      <c r="AT78" s="371">
        <f>SUM(ESWBLY:ESWNCT!AT$181)</f>
        <v>0</v>
      </c>
      <c r="AU78" s="371">
        <f>SUM(ESWBLY:ESWNCT!AU$181)</f>
        <v>0</v>
      </c>
      <c r="AV78" s="371">
        <f>SUM(ESWBLY:ESWNCT!AV$181)</f>
        <v>0</v>
      </c>
      <c r="AW78" s="371">
        <f>SUM(ESWBLY:ESWNCT!AW$181)</f>
        <v>0</v>
      </c>
      <c r="AX78" s="371">
        <f>SUM(ESWBLY:ESWNCT!AX$181)</f>
        <v>0</v>
      </c>
      <c r="AY78" s="371">
        <f>SUM(ESWBLY:ESWNCT!AY$181)</f>
        <v>0</v>
      </c>
      <c r="AZ78" s="371">
        <f>SUM(ESWBLY:ESWNCT!AZ$181)</f>
        <v>0</v>
      </c>
      <c r="BA78" s="371">
        <f>SUM(ESWBLY:ESWNCT!BA$181)</f>
        <v>0</v>
      </c>
      <c r="BB78" s="371">
        <f>SUM(ESWBLY:ESWNCT!BB$181)</f>
        <v>0</v>
      </c>
      <c r="BC78" s="371">
        <f>SUM(ESWBLY:ESWNCT!BC$181)</f>
        <v>0</v>
      </c>
      <c r="BD78" s="371">
        <f>SUM(ESWBLY:ESWNCT!BD$181)</f>
        <v>0</v>
      </c>
      <c r="BE78" s="371">
        <f>SUM(ESWBLY:ESWNCT!BE$181)</f>
        <v>0</v>
      </c>
      <c r="BF78" s="371">
        <f>SUM(ESWBLY:ESWNCT!BF$181)</f>
        <v>0</v>
      </c>
      <c r="BG78" s="371">
        <f>SUM(ESWBLY:ESWNCT!BG$181)</f>
        <v>0</v>
      </c>
      <c r="BH78" s="371">
        <f>SUM(ESWBLY:ESWNCT!BH$181)</f>
        <v>0</v>
      </c>
      <c r="BI78" s="371">
        <f>SUM(ESWBLY:ESWNCT!BI$181)</f>
        <v>0</v>
      </c>
      <c r="BJ78" s="371">
        <f>SUM(ESWBLY:ESWNCT!BJ$181)</f>
        <v>0</v>
      </c>
      <c r="BK78" s="371">
        <f>SUM(ESWBLY:ESWNCT!BK$181)</f>
        <v>0</v>
      </c>
      <c r="BL78" s="371">
        <f>SUM(ESWBLY:ESWNCT!BL$181)</f>
        <v>0</v>
      </c>
      <c r="BM78" s="371">
        <f>SUM(ESWBLY:ESWNCT!BM$181)</f>
        <v>0</v>
      </c>
      <c r="BN78" s="371">
        <f>SUM(ESWBLY:ESWNCT!BN$181)</f>
        <v>0</v>
      </c>
      <c r="BO78" s="371">
        <f>SUM(ESWBLY:ESWNCT!BO$181)</f>
        <v>0</v>
      </c>
      <c r="BP78" s="371">
        <f>SUM(ESWBLY:ESWNCT!BP$181)</f>
        <v>0</v>
      </c>
      <c r="BQ78" s="371">
        <f>SUM(ESWBLY:ESWNCT!BQ$181)</f>
        <v>0</v>
      </c>
      <c r="BR78" s="371">
        <f>SUM(ESWBLY:ESWNCT!BR$181)</f>
        <v>0</v>
      </c>
      <c r="BS78" s="371">
        <f>SUM(ESWBLY:ESWNCT!BS$181)</f>
        <v>0</v>
      </c>
      <c r="BT78" s="371">
        <f>SUM(ESWBLY:ESWNCT!BT$181)</f>
        <v>0</v>
      </c>
      <c r="BU78" s="371">
        <f>SUM(ESWBLY:ESWNCT!BU$181)</f>
        <v>0</v>
      </c>
      <c r="BV78" s="371">
        <f>SUM(ESWBLY:ESWNCT!BV$181)</f>
        <v>0</v>
      </c>
      <c r="BW78" s="371">
        <f>SUM(ESWBLY:ESWNCT!BW$181)</f>
        <v>0</v>
      </c>
      <c r="BX78" s="371">
        <f>SUM(ESWBLY:ESWNCT!BX$181)</f>
        <v>0</v>
      </c>
      <c r="BY78" s="371">
        <f>SUM(ESWBLY:ESWNCT!BY$181)</f>
        <v>0</v>
      </c>
      <c r="BZ78" s="371">
        <f>SUM(ESWBLY:ESWNCT!BZ$181)</f>
        <v>0</v>
      </c>
      <c r="CA78" s="371">
        <f>SUM(ESWBLY:ESWNCT!CA$181)</f>
        <v>0</v>
      </c>
      <c r="CB78" s="371">
        <f>SUM(ESWBLY:ESWNCT!CB$181)</f>
        <v>0</v>
      </c>
      <c r="CC78" s="371">
        <f>SUM(ESWBLY:ESWNCT!CC$181)</f>
        <v>0</v>
      </c>
      <c r="CD78" s="371">
        <f>SUM(ESWBLY:ESWNCT!CD$181)</f>
        <v>0</v>
      </c>
      <c r="CE78" s="371">
        <f>SUM(ESWBLY:ESWNCT!CE$181)</f>
        <v>0</v>
      </c>
      <c r="CF78" s="371">
        <f>SUM(ESWBLY:ESWNCT!CF$181)</f>
        <v>0</v>
      </c>
      <c r="CG78" s="371">
        <f>SUM(ESWBLY:ESWNCT!CG$181)</f>
        <v>0</v>
      </c>
      <c r="CH78" s="371">
        <v>0</v>
      </c>
      <c r="CI78" s="371">
        <v>0</v>
      </c>
      <c r="CJ78" s="1160">
        <v>0</v>
      </c>
    </row>
    <row r="79" spans="2:88" ht="18.600000000000001" customHeight="1" x14ac:dyDescent="0.2">
      <c r="B79" s="1137" t="s">
        <v>304</v>
      </c>
      <c r="C79" s="1138" t="s">
        <v>416</v>
      </c>
      <c r="D79" s="460" t="s">
        <v>417</v>
      </c>
      <c r="E79" s="1138" t="s">
        <v>344</v>
      </c>
      <c r="F79" s="461">
        <v>2</v>
      </c>
      <c r="G79" s="370">
        <f>SUM(ESWBLY:ESWNCT!G$153) + SUM(ESWBLY:ESWNCT!G$154) + SUM(ESWBLY:ESWNCT!G$155)</f>
        <v>0</v>
      </c>
      <c r="H79" s="370">
        <f>SUM(ESWBLY:ESWNCT!H$153) + SUM(ESWBLY:ESWNCT!H$154) + SUM(ESWBLY:ESWNCT!H$155)</f>
        <v>0</v>
      </c>
      <c r="I79" s="370">
        <f>SUM(ESWBLY:ESWNCT!I$153) + SUM(ESWBLY:ESWNCT!I$154) + SUM(ESWBLY:ESWNCT!I$155)</f>
        <v>42.492000000000004</v>
      </c>
      <c r="J79" s="370">
        <f>SUM(ESWBLY:ESWNCT!J$153) + SUM(ESWBLY:ESWNCT!J$154) + SUM(ESWBLY:ESWNCT!J$155)</f>
        <v>42.597499999999997</v>
      </c>
      <c r="K79" s="370">
        <f>SUM(ESWBLY:ESWNCT!K$153) + SUM(ESWBLY:ESWNCT!K$154) + SUM(ESWBLY:ESWNCT!K$155)</f>
        <v>42.717500000000001</v>
      </c>
      <c r="L79" s="370">
        <f>SUM(ESWBLY:ESWNCT!L$153) + SUM(ESWBLY:ESWNCT!L$154) + SUM(ESWBLY:ESWNCT!L$155)</f>
        <v>42.837499999999999</v>
      </c>
      <c r="M79" s="370">
        <f>SUM(ESWBLY:ESWNCT!M$153) + SUM(ESWBLY:ESWNCT!M$154) + SUM(ESWBLY:ESWNCT!M$155)</f>
        <v>42.957499999999996</v>
      </c>
      <c r="N79" s="370">
        <f>SUM(ESWBLY:ESWNCT!N$153) + SUM(ESWBLY:ESWNCT!N$154) + SUM(ESWBLY:ESWNCT!N$155)</f>
        <v>43.087499999999999</v>
      </c>
      <c r="O79" s="370">
        <f>SUM(ESWBLY:ESWNCT!O$153) + SUM(ESWBLY:ESWNCT!O$154) + SUM(ESWBLY:ESWNCT!O$155)</f>
        <v>43.217500000000001</v>
      </c>
      <c r="P79" s="370">
        <f>SUM(ESWBLY:ESWNCT!P$153) + SUM(ESWBLY:ESWNCT!P$154) + SUM(ESWBLY:ESWNCT!P$155)</f>
        <v>43.347499999999997</v>
      </c>
      <c r="Q79" s="370">
        <f>SUM(ESWBLY:ESWNCT!Q$153) + SUM(ESWBLY:ESWNCT!Q$154) + SUM(ESWBLY:ESWNCT!Q$155)</f>
        <v>43.482499999999995</v>
      </c>
      <c r="R79" s="370">
        <f>SUM(ESWBLY:ESWNCT!R$153) + SUM(ESWBLY:ESWNCT!R$154) + SUM(ESWBLY:ESWNCT!R$155)</f>
        <v>43.6175</v>
      </c>
      <c r="S79" s="370">
        <f>SUM(ESWBLY:ESWNCT!S$153) + SUM(ESWBLY:ESWNCT!S$154) + SUM(ESWBLY:ESWNCT!S$155)</f>
        <v>43.756500000000003</v>
      </c>
      <c r="T79" s="370">
        <f>SUM(ESWBLY:ESWNCT!T$153) + SUM(ESWBLY:ESWNCT!T$154) + SUM(ESWBLY:ESWNCT!T$155)</f>
        <v>43.895499999999998</v>
      </c>
      <c r="U79" s="370">
        <f>SUM(ESWBLY:ESWNCT!U$153) + SUM(ESWBLY:ESWNCT!U$154) + SUM(ESWBLY:ESWNCT!U$155)</f>
        <v>44.034499999999994</v>
      </c>
      <c r="V79" s="370">
        <f>SUM(ESWBLY:ESWNCT!V$153) + SUM(ESWBLY:ESWNCT!V$154) + SUM(ESWBLY:ESWNCT!V$155)</f>
        <v>44.1755</v>
      </c>
      <c r="W79" s="370">
        <f>SUM(ESWBLY:ESWNCT!W$153) + SUM(ESWBLY:ESWNCT!W$154) + SUM(ESWBLY:ESWNCT!W$155)</f>
        <v>44.311499999999995</v>
      </c>
      <c r="X79" s="370">
        <f>SUM(ESWBLY:ESWNCT!X$153) + SUM(ESWBLY:ESWNCT!X$154) + SUM(ESWBLY:ESWNCT!X$155)</f>
        <v>44.447499999999998</v>
      </c>
      <c r="Y79" s="370">
        <f>SUM(ESWBLY:ESWNCT!Y$153) + SUM(ESWBLY:ESWNCT!Y$154) + SUM(ESWBLY:ESWNCT!Y$155)</f>
        <v>44.583499999999994</v>
      </c>
      <c r="Z79" s="370">
        <f>SUM(ESWBLY:ESWNCT!Z$153) + SUM(ESWBLY:ESWNCT!Z$154) + SUM(ESWBLY:ESWNCT!Z$155)</f>
        <v>44.719499999999996</v>
      </c>
      <c r="AA79" s="370">
        <f>SUM(ESWBLY:ESWNCT!AA$153) + SUM(ESWBLY:ESWNCT!AA$154) + SUM(ESWBLY:ESWNCT!AA$155)</f>
        <v>44.855499999999999</v>
      </c>
      <c r="AB79" s="370">
        <f>SUM(ESWBLY:ESWNCT!AB$153) + SUM(ESWBLY:ESWNCT!AB$154) + SUM(ESWBLY:ESWNCT!AB$155)</f>
        <v>44.991499999999995</v>
      </c>
      <c r="AC79" s="370">
        <f>SUM(ESWBLY:ESWNCT!AC$153) + SUM(ESWBLY:ESWNCT!AC$154) + SUM(ESWBLY:ESWNCT!AC$155)</f>
        <v>45.127499999999998</v>
      </c>
      <c r="AD79" s="370">
        <f>SUM(ESWBLY:ESWNCT!AD$153) + SUM(ESWBLY:ESWNCT!AD$154) + SUM(ESWBLY:ESWNCT!AD$155)</f>
        <v>45.263500000000001</v>
      </c>
      <c r="AE79" s="370">
        <f>SUM(ESWBLY:ESWNCT!AE$153) + SUM(ESWBLY:ESWNCT!AE$154) + SUM(ESWBLY:ESWNCT!AE$155)</f>
        <v>45.399500000000003</v>
      </c>
      <c r="AF79" s="370">
        <f>SUM(ESWBLY:ESWNCT!AF$153) + SUM(ESWBLY:ESWNCT!AF$154) + SUM(ESWBLY:ESWNCT!AF$155)</f>
        <v>45.535499999999999</v>
      </c>
      <c r="AG79" s="370">
        <f>SUM(ESWBLY:ESWNCT!AG$153) + SUM(ESWBLY:ESWNCT!AG$154) + SUM(ESWBLY:ESWNCT!AG$155)</f>
        <v>45.671500000000002</v>
      </c>
      <c r="AH79" s="370">
        <f>SUM(ESWBLY:ESWNCT!AH$153) + SUM(ESWBLY:ESWNCT!AH$154) + SUM(ESWBLY:ESWNCT!AH$155)</f>
        <v>45.807500000000005</v>
      </c>
      <c r="AI79" s="370">
        <f>SUM(ESWBLY:ESWNCT!AI$153) + SUM(ESWBLY:ESWNCT!AI$154) + SUM(ESWBLY:ESWNCT!AI$155)</f>
        <v>45.9435</v>
      </c>
      <c r="AJ79" s="370">
        <f>SUM(ESWBLY:ESWNCT!AJ$153) + SUM(ESWBLY:ESWNCT!AJ$154) + SUM(ESWBLY:ESWNCT!AJ$155)</f>
        <v>46.079499999999996</v>
      </c>
      <c r="AK79" s="370">
        <f>SUM(ESWBLY:ESWNCT!AK$153) + SUM(ESWBLY:ESWNCT!AK$154) + SUM(ESWBLY:ESWNCT!AK$155)</f>
        <v>46.215500000000006</v>
      </c>
      <c r="AL79" s="370">
        <f>SUM(ESWBLY:ESWNCT!AL$153) + SUM(ESWBLY:ESWNCT!AL$154) + SUM(ESWBLY:ESWNCT!AL$155)</f>
        <v>0</v>
      </c>
      <c r="AM79" s="370">
        <f>SUM(ESWBLY:ESWNCT!AM$153) + SUM(ESWBLY:ESWNCT!AM$154) + SUM(ESWBLY:ESWNCT!AM$155)</f>
        <v>0</v>
      </c>
      <c r="AN79" s="370">
        <f>SUM(ESWBLY:ESWNCT!AN$153) + SUM(ESWBLY:ESWNCT!AN$154) + SUM(ESWBLY:ESWNCT!AN$155)</f>
        <v>0</v>
      </c>
      <c r="AO79" s="370">
        <f>SUM(ESWBLY:ESWNCT!AO$153) + SUM(ESWBLY:ESWNCT!AO$154) + SUM(ESWBLY:ESWNCT!AO$155)</f>
        <v>0</v>
      </c>
      <c r="AP79" s="370">
        <f>SUM(ESWBLY:ESWNCT!AP$153) + SUM(ESWBLY:ESWNCT!AP$154) + SUM(ESWBLY:ESWNCT!AP$155)</f>
        <v>0</v>
      </c>
      <c r="AQ79" s="370">
        <f>SUM(ESWBLY:ESWNCT!AQ$153) + SUM(ESWBLY:ESWNCT!AQ$154) + SUM(ESWBLY:ESWNCT!AQ$155)</f>
        <v>0</v>
      </c>
      <c r="AR79" s="370">
        <f>SUM(ESWBLY:ESWNCT!AR$153) + SUM(ESWBLY:ESWNCT!AR$154) + SUM(ESWBLY:ESWNCT!AR$155)</f>
        <v>0</v>
      </c>
      <c r="AS79" s="370">
        <f>SUM(ESWBLY:ESWNCT!AS$153) + SUM(ESWBLY:ESWNCT!AS$154) + SUM(ESWBLY:ESWNCT!AS$155)</f>
        <v>0</v>
      </c>
      <c r="AT79" s="370">
        <f>SUM(ESWBLY:ESWNCT!AT$153) + SUM(ESWBLY:ESWNCT!AT$154) + SUM(ESWBLY:ESWNCT!AT$155)</f>
        <v>0</v>
      </c>
      <c r="AU79" s="370">
        <f>SUM(ESWBLY:ESWNCT!AU$153) + SUM(ESWBLY:ESWNCT!AU$154) + SUM(ESWBLY:ESWNCT!AU$155)</f>
        <v>0</v>
      </c>
      <c r="AV79" s="370">
        <f>SUM(ESWBLY:ESWNCT!AV$153) + SUM(ESWBLY:ESWNCT!AV$154) + SUM(ESWBLY:ESWNCT!AV$155)</f>
        <v>0</v>
      </c>
      <c r="AW79" s="370">
        <f>SUM(ESWBLY:ESWNCT!AW$153) + SUM(ESWBLY:ESWNCT!AW$154) + SUM(ESWBLY:ESWNCT!AW$155)</f>
        <v>0</v>
      </c>
      <c r="AX79" s="370">
        <f>SUM(ESWBLY:ESWNCT!AX$153) + SUM(ESWBLY:ESWNCT!AX$154) + SUM(ESWBLY:ESWNCT!AX$155)</f>
        <v>0</v>
      </c>
      <c r="AY79" s="370">
        <f>SUM(ESWBLY:ESWNCT!AY$153) + SUM(ESWBLY:ESWNCT!AY$154) + SUM(ESWBLY:ESWNCT!AY$155)</f>
        <v>0</v>
      </c>
      <c r="AZ79" s="370">
        <f>SUM(ESWBLY:ESWNCT!AZ$153) + SUM(ESWBLY:ESWNCT!AZ$154) + SUM(ESWBLY:ESWNCT!AZ$155)</f>
        <v>0</v>
      </c>
      <c r="BA79" s="370">
        <f>SUM(ESWBLY:ESWNCT!BA$153) + SUM(ESWBLY:ESWNCT!BA$154) + SUM(ESWBLY:ESWNCT!BA$155)</f>
        <v>0</v>
      </c>
      <c r="BB79" s="370">
        <f>SUM(ESWBLY:ESWNCT!BB$153) + SUM(ESWBLY:ESWNCT!BB$154) + SUM(ESWBLY:ESWNCT!BB$155)</f>
        <v>0</v>
      </c>
      <c r="BC79" s="370">
        <f>SUM(ESWBLY:ESWNCT!BC$153) + SUM(ESWBLY:ESWNCT!BC$154) + SUM(ESWBLY:ESWNCT!BC$155)</f>
        <v>0</v>
      </c>
      <c r="BD79" s="370">
        <f>SUM(ESWBLY:ESWNCT!BD$153) + SUM(ESWBLY:ESWNCT!BD$154) + SUM(ESWBLY:ESWNCT!BD$155)</f>
        <v>0</v>
      </c>
      <c r="BE79" s="370">
        <f>SUM(ESWBLY:ESWNCT!BE$153) + SUM(ESWBLY:ESWNCT!BE$154) + SUM(ESWBLY:ESWNCT!BE$155)</f>
        <v>0</v>
      </c>
      <c r="BF79" s="370">
        <f>SUM(ESWBLY:ESWNCT!BF$153) + SUM(ESWBLY:ESWNCT!BF$154) + SUM(ESWBLY:ESWNCT!BF$155)</f>
        <v>0</v>
      </c>
      <c r="BG79" s="370">
        <f>SUM(ESWBLY:ESWNCT!BG$153) + SUM(ESWBLY:ESWNCT!BG$154) + SUM(ESWBLY:ESWNCT!BG$155)</f>
        <v>0</v>
      </c>
      <c r="BH79" s="370">
        <f>SUM(ESWBLY:ESWNCT!BH$153) + SUM(ESWBLY:ESWNCT!BH$154) + SUM(ESWBLY:ESWNCT!BH$155)</f>
        <v>0</v>
      </c>
      <c r="BI79" s="370">
        <f>SUM(ESWBLY:ESWNCT!BI$153) + SUM(ESWBLY:ESWNCT!BI$154) + SUM(ESWBLY:ESWNCT!BI$155)</f>
        <v>0</v>
      </c>
      <c r="BJ79" s="370">
        <f>SUM(ESWBLY:ESWNCT!BJ$153) + SUM(ESWBLY:ESWNCT!BJ$154) + SUM(ESWBLY:ESWNCT!BJ$155)</f>
        <v>0</v>
      </c>
      <c r="BK79" s="370">
        <f>SUM(ESWBLY:ESWNCT!BK$153) + SUM(ESWBLY:ESWNCT!BK$154) + SUM(ESWBLY:ESWNCT!BK$155)</f>
        <v>0</v>
      </c>
      <c r="BL79" s="370">
        <f>SUM(ESWBLY:ESWNCT!BL$153) + SUM(ESWBLY:ESWNCT!BL$154) + SUM(ESWBLY:ESWNCT!BL$155)</f>
        <v>0</v>
      </c>
      <c r="BM79" s="370">
        <f>SUM(ESWBLY:ESWNCT!BM$153) + SUM(ESWBLY:ESWNCT!BM$154) + SUM(ESWBLY:ESWNCT!BM$155)</f>
        <v>0</v>
      </c>
      <c r="BN79" s="370">
        <f>SUM(ESWBLY:ESWNCT!BN$153) + SUM(ESWBLY:ESWNCT!BN$154) + SUM(ESWBLY:ESWNCT!BN$155)</f>
        <v>0</v>
      </c>
      <c r="BO79" s="370">
        <f>SUM(ESWBLY:ESWNCT!BO$153) + SUM(ESWBLY:ESWNCT!BO$154) + SUM(ESWBLY:ESWNCT!BO$155)</f>
        <v>0</v>
      </c>
      <c r="BP79" s="370">
        <f>SUM(ESWBLY:ESWNCT!BP$153) + SUM(ESWBLY:ESWNCT!BP$154) + SUM(ESWBLY:ESWNCT!BP$155)</f>
        <v>0</v>
      </c>
      <c r="BQ79" s="370">
        <f>SUM(ESWBLY:ESWNCT!BQ$153) + SUM(ESWBLY:ESWNCT!BQ$154) + SUM(ESWBLY:ESWNCT!BQ$155)</f>
        <v>0</v>
      </c>
      <c r="BR79" s="370">
        <f>SUM(ESWBLY:ESWNCT!BR$153) + SUM(ESWBLY:ESWNCT!BR$154) + SUM(ESWBLY:ESWNCT!BR$155)</f>
        <v>0</v>
      </c>
      <c r="BS79" s="370">
        <f>SUM(ESWBLY:ESWNCT!BS$153) + SUM(ESWBLY:ESWNCT!BS$154) + SUM(ESWBLY:ESWNCT!BS$155)</f>
        <v>0</v>
      </c>
      <c r="BT79" s="370">
        <f>SUM(ESWBLY:ESWNCT!BT$153) + SUM(ESWBLY:ESWNCT!BT$154) + SUM(ESWBLY:ESWNCT!BT$155)</f>
        <v>0</v>
      </c>
      <c r="BU79" s="370">
        <f>SUM(ESWBLY:ESWNCT!BU$153) + SUM(ESWBLY:ESWNCT!BU$154) + SUM(ESWBLY:ESWNCT!BU$155)</f>
        <v>0</v>
      </c>
      <c r="BV79" s="370">
        <f>SUM(ESWBLY:ESWNCT!BV$153) + SUM(ESWBLY:ESWNCT!BV$154) + SUM(ESWBLY:ESWNCT!BV$155)</f>
        <v>0</v>
      </c>
      <c r="BW79" s="370">
        <f>SUM(ESWBLY:ESWNCT!BW$153) + SUM(ESWBLY:ESWNCT!BW$154) + SUM(ESWBLY:ESWNCT!BW$155)</f>
        <v>0</v>
      </c>
      <c r="BX79" s="370">
        <f>SUM(ESWBLY:ESWNCT!BX$153) + SUM(ESWBLY:ESWNCT!BX$154) + SUM(ESWBLY:ESWNCT!BX$155)</f>
        <v>0</v>
      </c>
      <c r="BY79" s="370">
        <f>SUM(ESWBLY:ESWNCT!BY$153) + SUM(ESWBLY:ESWNCT!BY$154) + SUM(ESWBLY:ESWNCT!BY$155)</f>
        <v>0</v>
      </c>
      <c r="BZ79" s="370">
        <f>SUM(ESWBLY:ESWNCT!BZ$153) + SUM(ESWBLY:ESWNCT!BZ$154) + SUM(ESWBLY:ESWNCT!BZ$155)</f>
        <v>0</v>
      </c>
      <c r="CA79" s="370">
        <f>SUM(ESWBLY:ESWNCT!CA$153) + SUM(ESWBLY:ESWNCT!CA$154) + SUM(ESWBLY:ESWNCT!CA$155)</f>
        <v>0</v>
      </c>
      <c r="CB79" s="370">
        <f>SUM(ESWBLY:ESWNCT!CB$153) + SUM(ESWBLY:ESWNCT!CB$154) + SUM(ESWBLY:ESWNCT!CB$155)</f>
        <v>0</v>
      </c>
      <c r="CC79" s="370">
        <f>SUM(ESWBLY:ESWNCT!CC$153) + SUM(ESWBLY:ESWNCT!CC$154) + SUM(ESWBLY:ESWNCT!CC$155)</f>
        <v>0</v>
      </c>
      <c r="CD79" s="370">
        <f>SUM(ESWBLY:ESWNCT!CD$153) + SUM(ESWBLY:ESWNCT!CD$154) + SUM(ESWBLY:ESWNCT!CD$155)</f>
        <v>0</v>
      </c>
      <c r="CE79" s="370">
        <f>SUM(ESWBLY:ESWNCT!CE$153) + SUM(ESWBLY:ESWNCT!CE$154) + SUM(ESWBLY:ESWNCT!CE$155)</f>
        <v>0</v>
      </c>
      <c r="CF79" s="370">
        <f>SUM(ESWBLY:ESWNCT!CF$153) + SUM(ESWBLY:ESWNCT!CF$154) + SUM(ESWBLY:ESWNCT!CF$155)</f>
        <v>0</v>
      </c>
      <c r="CG79" s="370">
        <f>SUM(ESWBLY:ESWNCT!CG$153) + SUM(ESWBLY:ESWNCT!CG$154) + SUM(ESWBLY:ESWNCT!CG$155)</f>
        <v>0</v>
      </c>
      <c r="CH79" s="370">
        <v>0</v>
      </c>
      <c r="CI79" s="370">
        <v>0</v>
      </c>
      <c r="CJ79" s="1158">
        <v>0</v>
      </c>
    </row>
    <row r="80" spans="2:88" ht="42.2" customHeight="1" thickBot="1" x14ac:dyDescent="0.25">
      <c r="B80" s="1139" t="s">
        <v>323</v>
      </c>
      <c r="C80" s="1140" t="s">
        <v>418</v>
      </c>
      <c r="D80" s="1141" t="s">
        <v>419</v>
      </c>
      <c r="E80" s="1140" t="s">
        <v>344</v>
      </c>
      <c r="F80" s="1142">
        <v>2</v>
      </c>
      <c r="G80" s="1134">
        <f>SUM(ESWBLY:ESWNCT!G$156) + SUM(ESWBLY:ESWNCT!G$163) + SUM(ESWBLY:ESWNCT!G$164) + SUM(ESWBLY:ESWNCT!G$165)</f>
        <v>0</v>
      </c>
      <c r="H80" s="1134">
        <f>SUM(ESWBLY:ESWNCT!H$156) + SUM(ESWBLY:ESWNCT!H$163) + SUM(ESWBLY:ESWNCT!H$164) + SUM(ESWBLY:ESWNCT!H$165)</f>
        <v>0</v>
      </c>
      <c r="I80" s="1134">
        <f>SUM(ESWBLY:ESWNCT!I$156) + SUM(ESWBLY:ESWNCT!I$163) + SUM(ESWBLY:ESWNCT!I$164) + SUM(ESWBLY:ESWNCT!I$165)</f>
        <v>781.33100000000002</v>
      </c>
      <c r="J80" s="1134">
        <f>SUM(ESWBLY:ESWNCT!J$156) + SUM(ESWBLY:ESWNCT!J$163) + SUM(ESWBLY:ESWNCT!J$164) + SUM(ESWBLY:ESWNCT!J$165)</f>
        <v>787.77756452793403</v>
      </c>
      <c r="K80" s="1134">
        <f>SUM(ESWBLY:ESWNCT!K$156) + SUM(ESWBLY:ESWNCT!K$163) + SUM(ESWBLY:ESWNCT!K$164) + SUM(ESWBLY:ESWNCT!K$165)</f>
        <v>798.23584293765407</v>
      </c>
      <c r="L80" s="1134">
        <f>SUM(ESWBLY:ESWNCT!L$156) + SUM(ESWBLY:ESWNCT!L$163) + SUM(ESWBLY:ESWNCT!L$164) + SUM(ESWBLY:ESWNCT!L$165)</f>
        <v>809.56984978302273</v>
      </c>
      <c r="M80" s="1134">
        <f>SUM(ESWBLY:ESWNCT!M$156) + SUM(ESWBLY:ESWNCT!M$163) + SUM(ESWBLY:ESWNCT!M$164) + SUM(ESWBLY:ESWNCT!M$165)</f>
        <v>822.00472428916339</v>
      </c>
      <c r="N80" s="1134">
        <f>SUM(ESWBLY:ESWNCT!N$156) + SUM(ESWBLY:ESWNCT!N$163) + SUM(ESWBLY:ESWNCT!N$164) + SUM(ESWBLY:ESWNCT!N$165)</f>
        <v>834.70269243764506</v>
      </c>
      <c r="O80" s="1134">
        <f>SUM(ESWBLY:ESWNCT!O$156) + SUM(ESWBLY:ESWNCT!O$163) + SUM(ESWBLY:ESWNCT!O$164) + SUM(ESWBLY:ESWNCT!O$165)</f>
        <v>846.83653264247141</v>
      </c>
      <c r="P80" s="1134">
        <f>SUM(ESWBLY:ESWNCT!P$156) + SUM(ESWBLY:ESWNCT!P$163) + SUM(ESWBLY:ESWNCT!P$164) + SUM(ESWBLY:ESWNCT!P$165)</f>
        <v>857.93629529780355</v>
      </c>
      <c r="Q80" s="1134">
        <f>SUM(ESWBLY:ESWNCT!Q$156) + SUM(ESWBLY:ESWNCT!Q$163) + SUM(ESWBLY:ESWNCT!Q$164) + SUM(ESWBLY:ESWNCT!Q$165)</f>
        <v>866.62495795791517</v>
      </c>
      <c r="R80" s="1134">
        <f>SUM(ESWBLY:ESWNCT!R$156) + SUM(ESWBLY:ESWNCT!R$163) + SUM(ESWBLY:ESWNCT!R$164) + SUM(ESWBLY:ESWNCT!R$165)</f>
        <v>874.07900972187292</v>
      </c>
      <c r="S80" s="1134">
        <f>SUM(ESWBLY:ESWNCT!S$156) + SUM(ESWBLY:ESWNCT!S$163) + SUM(ESWBLY:ESWNCT!S$164) + SUM(ESWBLY:ESWNCT!S$165)</f>
        <v>880.71413112549817</v>
      </c>
      <c r="T80" s="1134">
        <f>SUM(ESWBLY:ESWNCT!T$156) + SUM(ESWBLY:ESWNCT!T$163) + SUM(ESWBLY:ESWNCT!T$164) + SUM(ESWBLY:ESWNCT!T$165)</f>
        <v>886.76654147315253</v>
      </c>
      <c r="U80" s="1134">
        <f>SUM(ESWBLY:ESWNCT!U$156) + SUM(ESWBLY:ESWNCT!U$163) + SUM(ESWBLY:ESWNCT!U$164) + SUM(ESWBLY:ESWNCT!U$165)</f>
        <v>891.9862830020985</v>
      </c>
      <c r="V80" s="1134">
        <f>SUM(ESWBLY:ESWNCT!V$156) + SUM(ESWBLY:ESWNCT!V$163) + SUM(ESWBLY:ESWNCT!V$164) + SUM(ESWBLY:ESWNCT!V$165)</f>
        <v>897.83279352969339</v>
      </c>
      <c r="W80" s="1134">
        <f>SUM(ESWBLY:ESWNCT!W$156) + SUM(ESWBLY:ESWNCT!W$163) + SUM(ESWBLY:ESWNCT!W$164) + SUM(ESWBLY:ESWNCT!W$165)</f>
        <v>903.76433651198465</v>
      </c>
      <c r="X80" s="1134">
        <f>SUM(ESWBLY:ESWNCT!X$156) + SUM(ESWBLY:ESWNCT!X$163) + SUM(ESWBLY:ESWNCT!X$164) + SUM(ESWBLY:ESWNCT!X$165)</f>
        <v>909.83220259711459</v>
      </c>
      <c r="Y80" s="1134">
        <f>SUM(ESWBLY:ESWNCT!Y$156) + SUM(ESWBLY:ESWNCT!Y$163) + SUM(ESWBLY:ESWNCT!Y$164) + SUM(ESWBLY:ESWNCT!Y$165)</f>
        <v>916.0116414268432</v>
      </c>
      <c r="Z80" s="1134">
        <f>SUM(ESWBLY:ESWNCT!Z$156) + SUM(ESWBLY:ESWNCT!Z$163) + SUM(ESWBLY:ESWNCT!Z$164) + SUM(ESWBLY:ESWNCT!Z$165)</f>
        <v>922.29127145008431</v>
      </c>
      <c r="AA80" s="1134">
        <f>SUM(ESWBLY:ESWNCT!AA$156) + SUM(ESWBLY:ESWNCT!AA$163) + SUM(ESWBLY:ESWNCT!AA$164) + SUM(ESWBLY:ESWNCT!AA$165)</f>
        <v>928.66762462335453</v>
      </c>
      <c r="AB80" s="1134">
        <f>SUM(ESWBLY:ESWNCT!AB$156) + SUM(ESWBLY:ESWNCT!AB$163) + SUM(ESWBLY:ESWNCT!AB$164) + SUM(ESWBLY:ESWNCT!AB$165)</f>
        <v>935.14308816205141</v>
      </c>
      <c r="AC80" s="1134">
        <f>SUM(ESWBLY:ESWNCT!AC$156) + SUM(ESWBLY:ESWNCT!AC$163) + SUM(ESWBLY:ESWNCT!AC$164) + SUM(ESWBLY:ESWNCT!AC$165)</f>
        <v>941.72466480214837</v>
      </c>
      <c r="AD80" s="1134">
        <f>SUM(ESWBLY:ESWNCT!AD$156) + SUM(ESWBLY:ESWNCT!AD$163) + SUM(ESWBLY:ESWNCT!AD$164) + SUM(ESWBLY:ESWNCT!AD$165)</f>
        <v>948.41069031401298</v>
      </c>
      <c r="AE80" s="1134">
        <f>SUM(ESWBLY:ESWNCT!AE$156) + SUM(ESWBLY:ESWNCT!AE$163) + SUM(ESWBLY:ESWNCT!AE$164) + SUM(ESWBLY:ESWNCT!AE$165)</f>
        <v>955.20291956776919</v>
      </c>
      <c r="AF80" s="1134">
        <f>SUM(ESWBLY:ESWNCT!AF$156) + SUM(ESWBLY:ESWNCT!AF$163) + SUM(ESWBLY:ESWNCT!AF$164) + SUM(ESWBLY:ESWNCT!AF$165)</f>
        <v>962.10086730806938</v>
      </c>
      <c r="AG80" s="1134">
        <f>SUM(ESWBLY:ESWNCT!AG$156) + SUM(ESWBLY:ESWNCT!AG$163) + SUM(ESWBLY:ESWNCT!AG$164) + SUM(ESWBLY:ESWNCT!AG$165)</f>
        <v>969.09820944538592</v>
      </c>
      <c r="AH80" s="1134">
        <f>SUM(ESWBLY:ESWNCT!AH$156) + SUM(ESWBLY:ESWNCT!AH$163) + SUM(ESWBLY:ESWNCT!AH$164) + SUM(ESWBLY:ESWNCT!AH$165)</f>
        <v>976.19610525276858</v>
      </c>
      <c r="AI80" s="1134">
        <f>SUM(ESWBLY:ESWNCT!AI$156) + SUM(ESWBLY:ESWNCT!AI$163) + SUM(ESWBLY:ESWNCT!AI$164) + SUM(ESWBLY:ESWNCT!AI$165)</f>
        <v>983.39314657499494</v>
      </c>
      <c r="AJ80" s="1134">
        <f>SUM(ESWBLY:ESWNCT!AJ$156) + SUM(ESWBLY:ESWNCT!AJ$163) + SUM(ESWBLY:ESWNCT!AJ$164) + SUM(ESWBLY:ESWNCT!AJ$165)</f>
        <v>990.68813445175817</v>
      </c>
      <c r="AK80" s="1134">
        <f>SUM(ESWBLY:ESWNCT!AK$156) + SUM(ESWBLY:ESWNCT!AK$163) + SUM(ESWBLY:ESWNCT!AK$164) + SUM(ESWBLY:ESWNCT!AK$165)</f>
        <v>998.07978446362597</v>
      </c>
      <c r="AL80" s="1134">
        <f>SUM(ESWBLY:ESWNCT!AL$156) + SUM(ESWBLY:ESWNCT!AL$163) + SUM(ESWBLY:ESWNCT!AL$164) + SUM(ESWBLY:ESWNCT!AL$165)</f>
        <v>0</v>
      </c>
      <c r="AM80" s="1134">
        <f>SUM(ESWBLY:ESWNCT!AM$156) + SUM(ESWBLY:ESWNCT!AM$163) + SUM(ESWBLY:ESWNCT!AM$164) + SUM(ESWBLY:ESWNCT!AM$165)</f>
        <v>0</v>
      </c>
      <c r="AN80" s="1134">
        <f>SUM(ESWBLY:ESWNCT!AN$156) + SUM(ESWBLY:ESWNCT!AN$163) + SUM(ESWBLY:ESWNCT!AN$164) + SUM(ESWBLY:ESWNCT!AN$165)</f>
        <v>0</v>
      </c>
      <c r="AO80" s="1134">
        <f>SUM(ESWBLY:ESWNCT!AO$156) + SUM(ESWBLY:ESWNCT!AO$163) + SUM(ESWBLY:ESWNCT!AO$164) + SUM(ESWBLY:ESWNCT!AO$165)</f>
        <v>0</v>
      </c>
      <c r="AP80" s="1134">
        <f>SUM(ESWBLY:ESWNCT!AP$156) + SUM(ESWBLY:ESWNCT!AP$163) + SUM(ESWBLY:ESWNCT!AP$164) + SUM(ESWBLY:ESWNCT!AP$165)</f>
        <v>0</v>
      </c>
      <c r="AQ80" s="1134">
        <f>SUM(ESWBLY:ESWNCT!AQ$156) + SUM(ESWBLY:ESWNCT!AQ$163) + SUM(ESWBLY:ESWNCT!AQ$164) + SUM(ESWBLY:ESWNCT!AQ$165)</f>
        <v>0</v>
      </c>
      <c r="AR80" s="1134">
        <f>SUM(ESWBLY:ESWNCT!AR$156) + SUM(ESWBLY:ESWNCT!AR$163) + SUM(ESWBLY:ESWNCT!AR$164) + SUM(ESWBLY:ESWNCT!AR$165)</f>
        <v>0</v>
      </c>
      <c r="AS80" s="1134">
        <f>SUM(ESWBLY:ESWNCT!AS$156) + SUM(ESWBLY:ESWNCT!AS$163) + SUM(ESWBLY:ESWNCT!AS$164) + SUM(ESWBLY:ESWNCT!AS$165)</f>
        <v>0</v>
      </c>
      <c r="AT80" s="1134">
        <f>SUM(ESWBLY:ESWNCT!AT$156) + SUM(ESWBLY:ESWNCT!AT$163) + SUM(ESWBLY:ESWNCT!AT$164) + SUM(ESWBLY:ESWNCT!AT$165)</f>
        <v>0</v>
      </c>
      <c r="AU80" s="1134">
        <f>SUM(ESWBLY:ESWNCT!AU$156) + SUM(ESWBLY:ESWNCT!AU$163) + SUM(ESWBLY:ESWNCT!AU$164) + SUM(ESWBLY:ESWNCT!AU$165)</f>
        <v>0</v>
      </c>
      <c r="AV80" s="1134">
        <f>SUM(ESWBLY:ESWNCT!AV$156) + SUM(ESWBLY:ESWNCT!AV$163) + SUM(ESWBLY:ESWNCT!AV$164) + SUM(ESWBLY:ESWNCT!AV$165)</f>
        <v>0</v>
      </c>
      <c r="AW80" s="1134">
        <f>SUM(ESWBLY:ESWNCT!AW$156) + SUM(ESWBLY:ESWNCT!AW$163) + SUM(ESWBLY:ESWNCT!AW$164) + SUM(ESWBLY:ESWNCT!AW$165)</f>
        <v>0</v>
      </c>
      <c r="AX80" s="1134">
        <f>SUM(ESWBLY:ESWNCT!AX$156) + SUM(ESWBLY:ESWNCT!AX$163) + SUM(ESWBLY:ESWNCT!AX$164) + SUM(ESWBLY:ESWNCT!AX$165)</f>
        <v>0</v>
      </c>
      <c r="AY80" s="1134">
        <f>SUM(ESWBLY:ESWNCT!AY$156) + SUM(ESWBLY:ESWNCT!AY$163) + SUM(ESWBLY:ESWNCT!AY$164) + SUM(ESWBLY:ESWNCT!AY$165)</f>
        <v>0</v>
      </c>
      <c r="AZ80" s="1134">
        <f>SUM(ESWBLY:ESWNCT!AZ$156) + SUM(ESWBLY:ESWNCT!AZ$163) + SUM(ESWBLY:ESWNCT!AZ$164) + SUM(ESWBLY:ESWNCT!AZ$165)</f>
        <v>0</v>
      </c>
      <c r="BA80" s="1134">
        <f>SUM(ESWBLY:ESWNCT!BA$156) + SUM(ESWBLY:ESWNCT!BA$163) + SUM(ESWBLY:ESWNCT!BA$164) + SUM(ESWBLY:ESWNCT!BA$165)</f>
        <v>0</v>
      </c>
      <c r="BB80" s="1134">
        <f>SUM(ESWBLY:ESWNCT!BB$156) + SUM(ESWBLY:ESWNCT!BB$163) + SUM(ESWBLY:ESWNCT!BB$164) + SUM(ESWBLY:ESWNCT!BB$165)</f>
        <v>0</v>
      </c>
      <c r="BC80" s="1134">
        <f>SUM(ESWBLY:ESWNCT!BC$156) + SUM(ESWBLY:ESWNCT!BC$163) + SUM(ESWBLY:ESWNCT!BC$164) + SUM(ESWBLY:ESWNCT!BC$165)</f>
        <v>0</v>
      </c>
      <c r="BD80" s="1134">
        <f>SUM(ESWBLY:ESWNCT!BD$156) + SUM(ESWBLY:ESWNCT!BD$163) + SUM(ESWBLY:ESWNCT!BD$164) + SUM(ESWBLY:ESWNCT!BD$165)</f>
        <v>0</v>
      </c>
      <c r="BE80" s="1134">
        <f>SUM(ESWBLY:ESWNCT!BE$156) + SUM(ESWBLY:ESWNCT!BE$163) + SUM(ESWBLY:ESWNCT!BE$164) + SUM(ESWBLY:ESWNCT!BE$165)</f>
        <v>0</v>
      </c>
      <c r="BF80" s="1134">
        <f>SUM(ESWBLY:ESWNCT!BF$156) + SUM(ESWBLY:ESWNCT!BF$163) + SUM(ESWBLY:ESWNCT!BF$164) + SUM(ESWBLY:ESWNCT!BF$165)</f>
        <v>0</v>
      </c>
      <c r="BG80" s="1134">
        <f>SUM(ESWBLY:ESWNCT!BG$156) + SUM(ESWBLY:ESWNCT!BG$163) + SUM(ESWBLY:ESWNCT!BG$164) + SUM(ESWBLY:ESWNCT!BG$165)</f>
        <v>0</v>
      </c>
      <c r="BH80" s="1134">
        <f>SUM(ESWBLY:ESWNCT!BH$156) + SUM(ESWBLY:ESWNCT!BH$163) + SUM(ESWBLY:ESWNCT!BH$164) + SUM(ESWBLY:ESWNCT!BH$165)</f>
        <v>0</v>
      </c>
      <c r="BI80" s="1134">
        <f>SUM(ESWBLY:ESWNCT!BI$156) + SUM(ESWBLY:ESWNCT!BI$163) + SUM(ESWBLY:ESWNCT!BI$164) + SUM(ESWBLY:ESWNCT!BI$165)</f>
        <v>0</v>
      </c>
      <c r="BJ80" s="1134">
        <f>SUM(ESWBLY:ESWNCT!BJ$156) + SUM(ESWBLY:ESWNCT!BJ$163) + SUM(ESWBLY:ESWNCT!BJ$164) + SUM(ESWBLY:ESWNCT!BJ$165)</f>
        <v>0</v>
      </c>
      <c r="BK80" s="1134">
        <f>SUM(ESWBLY:ESWNCT!BK$156) + SUM(ESWBLY:ESWNCT!BK$163) + SUM(ESWBLY:ESWNCT!BK$164) + SUM(ESWBLY:ESWNCT!BK$165)</f>
        <v>0</v>
      </c>
      <c r="BL80" s="1134">
        <f>SUM(ESWBLY:ESWNCT!BL$156) + SUM(ESWBLY:ESWNCT!BL$163) + SUM(ESWBLY:ESWNCT!BL$164) + SUM(ESWBLY:ESWNCT!BL$165)</f>
        <v>0</v>
      </c>
      <c r="BM80" s="1134">
        <f>SUM(ESWBLY:ESWNCT!BM$156) + SUM(ESWBLY:ESWNCT!BM$163) + SUM(ESWBLY:ESWNCT!BM$164) + SUM(ESWBLY:ESWNCT!BM$165)</f>
        <v>0</v>
      </c>
      <c r="BN80" s="1134">
        <f>SUM(ESWBLY:ESWNCT!BN$156) + SUM(ESWBLY:ESWNCT!BN$163) + SUM(ESWBLY:ESWNCT!BN$164) + SUM(ESWBLY:ESWNCT!BN$165)</f>
        <v>0</v>
      </c>
      <c r="BO80" s="1134">
        <f>SUM(ESWBLY:ESWNCT!BO$156) + SUM(ESWBLY:ESWNCT!BO$163) + SUM(ESWBLY:ESWNCT!BO$164) + SUM(ESWBLY:ESWNCT!BO$165)</f>
        <v>0</v>
      </c>
      <c r="BP80" s="1134">
        <f>SUM(ESWBLY:ESWNCT!BP$156) + SUM(ESWBLY:ESWNCT!BP$163) + SUM(ESWBLY:ESWNCT!BP$164) + SUM(ESWBLY:ESWNCT!BP$165)</f>
        <v>0</v>
      </c>
      <c r="BQ80" s="1134">
        <f>SUM(ESWBLY:ESWNCT!BQ$156) + SUM(ESWBLY:ESWNCT!BQ$163) + SUM(ESWBLY:ESWNCT!BQ$164) + SUM(ESWBLY:ESWNCT!BQ$165)</f>
        <v>0</v>
      </c>
      <c r="BR80" s="1134">
        <f>SUM(ESWBLY:ESWNCT!BR$156) + SUM(ESWBLY:ESWNCT!BR$163) + SUM(ESWBLY:ESWNCT!BR$164) + SUM(ESWBLY:ESWNCT!BR$165)</f>
        <v>0</v>
      </c>
      <c r="BS80" s="1134">
        <f>SUM(ESWBLY:ESWNCT!BS$156) + SUM(ESWBLY:ESWNCT!BS$163) + SUM(ESWBLY:ESWNCT!BS$164) + SUM(ESWBLY:ESWNCT!BS$165)</f>
        <v>0</v>
      </c>
      <c r="BT80" s="1134">
        <f>SUM(ESWBLY:ESWNCT!BT$156) + SUM(ESWBLY:ESWNCT!BT$163) + SUM(ESWBLY:ESWNCT!BT$164) + SUM(ESWBLY:ESWNCT!BT$165)</f>
        <v>0</v>
      </c>
      <c r="BU80" s="1134">
        <f>SUM(ESWBLY:ESWNCT!BU$156) + SUM(ESWBLY:ESWNCT!BU$163) + SUM(ESWBLY:ESWNCT!BU$164) + SUM(ESWBLY:ESWNCT!BU$165)</f>
        <v>0</v>
      </c>
      <c r="BV80" s="1134">
        <f>SUM(ESWBLY:ESWNCT!BV$156) + SUM(ESWBLY:ESWNCT!BV$163) + SUM(ESWBLY:ESWNCT!BV$164) + SUM(ESWBLY:ESWNCT!BV$165)</f>
        <v>0</v>
      </c>
      <c r="BW80" s="1134">
        <f>SUM(ESWBLY:ESWNCT!BW$156) + SUM(ESWBLY:ESWNCT!BW$163) + SUM(ESWBLY:ESWNCT!BW$164) + SUM(ESWBLY:ESWNCT!BW$165)</f>
        <v>0</v>
      </c>
      <c r="BX80" s="1134">
        <f>SUM(ESWBLY:ESWNCT!BX$156) + SUM(ESWBLY:ESWNCT!BX$163) + SUM(ESWBLY:ESWNCT!BX$164) + SUM(ESWBLY:ESWNCT!BX$165)</f>
        <v>0</v>
      </c>
      <c r="BY80" s="1134">
        <f>SUM(ESWBLY:ESWNCT!BY$156) + SUM(ESWBLY:ESWNCT!BY$163) + SUM(ESWBLY:ESWNCT!BY$164) + SUM(ESWBLY:ESWNCT!BY$165)</f>
        <v>0</v>
      </c>
      <c r="BZ80" s="1134">
        <f>SUM(ESWBLY:ESWNCT!BZ$156) + SUM(ESWBLY:ESWNCT!BZ$163) + SUM(ESWBLY:ESWNCT!BZ$164) + SUM(ESWBLY:ESWNCT!BZ$165)</f>
        <v>0</v>
      </c>
      <c r="CA80" s="1134">
        <f>SUM(ESWBLY:ESWNCT!CA$156) + SUM(ESWBLY:ESWNCT!CA$163) + SUM(ESWBLY:ESWNCT!CA$164) + SUM(ESWBLY:ESWNCT!CA$165)</f>
        <v>0</v>
      </c>
      <c r="CB80" s="1134">
        <f>SUM(ESWBLY:ESWNCT!CB$156) + SUM(ESWBLY:ESWNCT!CB$163) + SUM(ESWBLY:ESWNCT!CB$164) + SUM(ESWBLY:ESWNCT!CB$165)</f>
        <v>0</v>
      </c>
      <c r="CC80" s="1134">
        <f>SUM(ESWBLY:ESWNCT!CC$156) + SUM(ESWBLY:ESWNCT!CC$163) + SUM(ESWBLY:ESWNCT!CC$164) + SUM(ESWBLY:ESWNCT!CC$165)</f>
        <v>0</v>
      </c>
      <c r="CD80" s="1134">
        <f>SUM(ESWBLY:ESWNCT!CD$156) + SUM(ESWBLY:ESWNCT!CD$163) + SUM(ESWBLY:ESWNCT!CD$164) + SUM(ESWBLY:ESWNCT!CD$165)</f>
        <v>0</v>
      </c>
      <c r="CE80" s="1134">
        <f>SUM(ESWBLY:ESWNCT!CE$156) + SUM(ESWBLY:ESWNCT!CE$163) + SUM(ESWBLY:ESWNCT!CE$164) + SUM(ESWBLY:ESWNCT!CE$165)</f>
        <v>0</v>
      </c>
      <c r="CF80" s="1134">
        <f>SUM(ESWBLY:ESWNCT!CF$156) + SUM(ESWBLY:ESWNCT!CF$163) + SUM(ESWBLY:ESWNCT!CF$164) + SUM(ESWBLY:ESWNCT!CF$165)</f>
        <v>0</v>
      </c>
      <c r="CG80" s="1134">
        <f>SUM(ESWBLY:ESWNCT!CG$156) + SUM(ESWBLY:ESWNCT!CG$163) + SUM(ESWBLY:ESWNCT!CG$164) + SUM(ESWBLY:ESWNCT!CG$165)</f>
        <v>0</v>
      </c>
      <c r="CH80" s="1134">
        <v>0</v>
      </c>
      <c r="CI80" s="1134">
        <v>0</v>
      </c>
      <c r="CJ80" s="1159">
        <v>0</v>
      </c>
    </row>
    <row r="81" spans="2:88" ht="18.600000000000001" customHeight="1" thickBot="1" x14ac:dyDescent="0.25">
      <c r="C81" s="1312" t="s">
        <v>204</v>
      </c>
    </row>
    <row r="82" spans="2:88" ht="77.849999999999994" customHeight="1" thickBot="1" x14ac:dyDescent="0.25">
      <c r="B82" s="400" t="s">
        <v>420</v>
      </c>
      <c r="C82" s="19"/>
    </row>
    <row r="83" spans="2:88" ht="18.600000000000001" customHeight="1" thickBot="1" x14ac:dyDescent="0.25">
      <c r="B83" s="462" t="s">
        <v>70</v>
      </c>
      <c r="C83" s="463" t="s">
        <v>205</v>
      </c>
      <c r="D83" s="463" t="s">
        <v>71</v>
      </c>
      <c r="E83" s="463" t="s">
        <v>206</v>
      </c>
      <c r="F83" s="464" t="s">
        <v>207</v>
      </c>
      <c r="G83" s="453" t="s">
        <v>208</v>
      </c>
      <c r="H83" s="451" t="s">
        <v>209</v>
      </c>
      <c r="I83" s="451" t="s">
        <v>210</v>
      </c>
      <c r="J83" s="451" t="s">
        <v>211</v>
      </c>
      <c r="K83" s="451" t="s">
        <v>212</v>
      </c>
      <c r="L83" s="451" t="s">
        <v>213</v>
      </c>
      <c r="M83" s="451" t="s">
        <v>214</v>
      </c>
      <c r="N83" s="451" t="s">
        <v>215</v>
      </c>
      <c r="O83" s="451" t="s">
        <v>216</v>
      </c>
      <c r="P83" s="451" t="s">
        <v>217</v>
      </c>
      <c r="Q83" s="451" t="s">
        <v>218</v>
      </c>
      <c r="R83" s="451" t="s">
        <v>247</v>
      </c>
      <c r="S83" s="451" t="s">
        <v>248</v>
      </c>
      <c r="T83" s="451" t="s">
        <v>249</v>
      </c>
      <c r="U83" s="451" t="s">
        <v>250</v>
      </c>
      <c r="V83" s="451" t="s">
        <v>219</v>
      </c>
      <c r="W83" s="451" t="s">
        <v>251</v>
      </c>
      <c r="X83" s="451" t="s">
        <v>252</v>
      </c>
      <c r="Y83" s="451" t="s">
        <v>253</v>
      </c>
      <c r="Z83" s="451" t="s">
        <v>254</v>
      </c>
      <c r="AA83" s="451" t="s">
        <v>220</v>
      </c>
      <c r="AB83" s="451" t="s">
        <v>255</v>
      </c>
      <c r="AC83" s="451" t="s">
        <v>256</v>
      </c>
      <c r="AD83" s="451" t="s">
        <v>257</v>
      </c>
      <c r="AE83" s="451" t="s">
        <v>258</v>
      </c>
      <c r="AF83" s="451" t="s">
        <v>221</v>
      </c>
      <c r="AG83" s="451" t="s">
        <v>259</v>
      </c>
      <c r="AH83" s="451" t="s">
        <v>260</v>
      </c>
      <c r="AI83" s="451" t="s">
        <v>261</v>
      </c>
      <c r="AJ83" s="451" t="s">
        <v>262</v>
      </c>
      <c r="AK83" s="451" t="s">
        <v>222</v>
      </c>
      <c r="AL83" s="451" t="s">
        <v>263</v>
      </c>
      <c r="AM83" s="451" t="s">
        <v>264</v>
      </c>
      <c r="AN83" s="451" t="s">
        <v>265</v>
      </c>
      <c r="AO83" s="451" t="s">
        <v>266</v>
      </c>
      <c r="AP83" s="451" t="s">
        <v>223</v>
      </c>
      <c r="AQ83" s="451" t="s">
        <v>267</v>
      </c>
      <c r="AR83" s="451" t="s">
        <v>268</v>
      </c>
      <c r="AS83" s="451" t="s">
        <v>269</v>
      </c>
      <c r="AT83" s="451" t="s">
        <v>270</v>
      </c>
      <c r="AU83" s="451" t="s">
        <v>224</v>
      </c>
      <c r="AV83" s="451" t="s">
        <v>271</v>
      </c>
      <c r="AW83" s="451" t="s">
        <v>272</v>
      </c>
      <c r="AX83" s="451" t="s">
        <v>273</v>
      </c>
      <c r="AY83" s="451" t="s">
        <v>274</v>
      </c>
      <c r="AZ83" s="451" t="s">
        <v>225</v>
      </c>
      <c r="BA83" s="451" t="s">
        <v>275</v>
      </c>
      <c r="BB83" s="451" t="s">
        <v>276</v>
      </c>
      <c r="BC83" s="451" t="s">
        <v>277</v>
      </c>
      <c r="BD83" s="451" t="s">
        <v>278</v>
      </c>
      <c r="BE83" s="451" t="s">
        <v>226</v>
      </c>
      <c r="BF83" s="451" t="s">
        <v>279</v>
      </c>
      <c r="BG83" s="451" t="s">
        <v>280</v>
      </c>
      <c r="BH83" s="451" t="s">
        <v>281</v>
      </c>
      <c r="BI83" s="451" t="s">
        <v>282</v>
      </c>
      <c r="BJ83" s="451" t="s">
        <v>227</v>
      </c>
      <c r="BK83" s="451" t="s">
        <v>283</v>
      </c>
      <c r="BL83" s="451" t="s">
        <v>284</v>
      </c>
      <c r="BM83" s="451" t="s">
        <v>285</v>
      </c>
      <c r="BN83" s="451" t="s">
        <v>286</v>
      </c>
      <c r="BO83" s="451" t="s">
        <v>228</v>
      </c>
      <c r="BP83" s="451" t="s">
        <v>287</v>
      </c>
      <c r="BQ83" s="451" t="s">
        <v>288</v>
      </c>
      <c r="BR83" s="451" t="s">
        <v>289</v>
      </c>
      <c r="BS83" s="451" t="s">
        <v>290</v>
      </c>
      <c r="BT83" s="451" t="s">
        <v>229</v>
      </c>
      <c r="BU83" s="451" t="s">
        <v>291</v>
      </c>
      <c r="BV83" s="451" t="s">
        <v>292</v>
      </c>
      <c r="BW83" s="451" t="s">
        <v>293</v>
      </c>
      <c r="BX83" s="451" t="s">
        <v>294</v>
      </c>
      <c r="BY83" s="451" t="s">
        <v>230</v>
      </c>
      <c r="BZ83" s="451" t="s">
        <v>295</v>
      </c>
      <c r="CA83" s="451" t="s">
        <v>296</v>
      </c>
      <c r="CB83" s="451" t="s">
        <v>297</v>
      </c>
      <c r="CC83" s="451" t="s">
        <v>298</v>
      </c>
      <c r="CD83" s="451" t="s">
        <v>231</v>
      </c>
      <c r="CE83" s="451" t="s">
        <v>299</v>
      </c>
      <c r="CF83" s="451" t="s">
        <v>300</v>
      </c>
      <c r="CG83" s="451" t="s">
        <v>301</v>
      </c>
      <c r="CH83" s="451" t="s">
        <v>302</v>
      </c>
      <c r="CI83" s="451" t="s">
        <v>232</v>
      </c>
      <c r="CJ83" s="451" t="s">
        <v>303</v>
      </c>
    </row>
    <row r="84" spans="2:88" ht="18.600000000000001" customHeight="1" x14ac:dyDescent="0.2">
      <c r="B84" s="515" t="s">
        <v>421</v>
      </c>
      <c r="C84" s="494" t="s">
        <v>422</v>
      </c>
      <c r="D84" s="495" t="s">
        <v>86</v>
      </c>
      <c r="E84" s="495" t="s">
        <v>423</v>
      </c>
      <c r="F84" s="496">
        <v>2</v>
      </c>
      <c r="G84" s="317"/>
      <c r="H84" s="318">
        <v>0.1</v>
      </c>
      <c r="I84" s="318">
        <v>0.1</v>
      </c>
      <c r="J84" s="318">
        <v>0.1</v>
      </c>
      <c r="K84" s="318">
        <v>0.1</v>
      </c>
      <c r="L84" s="318">
        <v>0.1</v>
      </c>
      <c r="M84" s="318">
        <v>0.1</v>
      </c>
      <c r="N84" s="318">
        <v>0.1</v>
      </c>
      <c r="O84" s="318">
        <v>0.1</v>
      </c>
      <c r="P84" s="318">
        <v>0.1</v>
      </c>
      <c r="Q84" s="318">
        <v>0.1</v>
      </c>
      <c r="R84" s="318">
        <v>0.1</v>
      </c>
      <c r="S84" s="318">
        <v>0.1</v>
      </c>
      <c r="T84" s="318">
        <v>0.1</v>
      </c>
      <c r="U84" s="318">
        <v>0.1</v>
      </c>
      <c r="V84" s="318">
        <v>0.1</v>
      </c>
      <c r="W84" s="318">
        <v>0.1</v>
      </c>
      <c r="X84" s="318">
        <v>0.1</v>
      </c>
      <c r="Y84" s="318">
        <v>0.1</v>
      </c>
      <c r="Z84" s="318">
        <v>0.1</v>
      </c>
      <c r="AA84" s="318">
        <v>0.1</v>
      </c>
      <c r="AB84" s="318">
        <v>0.1</v>
      </c>
      <c r="AC84" s="318">
        <v>0.1</v>
      </c>
      <c r="AD84" s="318">
        <v>0.1</v>
      </c>
      <c r="AE84" s="318">
        <v>0.1</v>
      </c>
      <c r="AF84" s="318">
        <v>0.1</v>
      </c>
      <c r="AG84" s="318">
        <v>0.1</v>
      </c>
      <c r="AH84" s="318">
        <v>0.1</v>
      </c>
      <c r="AI84" s="318">
        <v>0.1</v>
      </c>
      <c r="AJ84" s="318">
        <v>0.1</v>
      </c>
      <c r="AK84" s="318">
        <v>0.1</v>
      </c>
      <c r="AL84" s="318"/>
      <c r="AM84" s="318"/>
      <c r="AN84" s="318"/>
      <c r="AO84" s="318"/>
      <c r="AP84" s="318"/>
      <c r="AQ84" s="318"/>
      <c r="AR84" s="318"/>
      <c r="AS84" s="318"/>
      <c r="AT84" s="318"/>
      <c r="AU84" s="318"/>
      <c r="AV84" s="318"/>
      <c r="AW84" s="318"/>
      <c r="AX84" s="318"/>
      <c r="AY84" s="318"/>
      <c r="AZ84" s="318"/>
      <c r="BA84" s="318"/>
      <c r="BB84" s="318"/>
      <c r="BC84" s="318"/>
      <c r="BD84" s="318"/>
      <c r="BE84" s="318"/>
      <c r="BF84" s="318"/>
      <c r="BG84" s="318"/>
      <c r="BH84" s="318"/>
      <c r="BI84" s="318"/>
      <c r="BJ84" s="318"/>
      <c r="BK84" s="318"/>
      <c r="BL84" s="318"/>
      <c r="BM84" s="318"/>
      <c r="BN84" s="318"/>
      <c r="BO84" s="318"/>
      <c r="BP84" s="318"/>
      <c r="BQ84" s="318"/>
      <c r="BR84" s="318"/>
      <c r="BS84" s="318"/>
      <c r="BT84" s="318"/>
      <c r="BU84" s="318"/>
      <c r="BV84" s="318"/>
      <c r="BW84" s="318"/>
      <c r="BX84" s="318"/>
      <c r="BY84" s="318"/>
      <c r="BZ84" s="318"/>
      <c r="CA84" s="318"/>
      <c r="CB84" s="318"/>
      <c r="CC84" s="318"/>
      <c r="CD84" s="318"/>
      <c r="CE84" s="318"/>
      <c r="CF84" s="318"/>
      <c r="CG84" s="318"/>
      <c r="CH84" s="318"/>
      <c r="CI84" s="318"/>
      <c r="CJ84" s="318"/>
    </row>
    <row r="85" spans="2:88" ht="18.600000000000001" customHeight="1" x14ac:dyDescent="0.2">
      <c r="B85" s="516" t="s">
        <v>424</v>
      </c>
      <c r="C85" s="498" t="s">
        <v>425</v>
      </c>
      <c r="D85" s="499" t="s">
        <v>86</v>
      </c>
      <c r="E85" s="499" t="s">
        <v>423</v>
      </c>
      <c r="F85" s="500">
        <v>2</v>
      </c>
      <c r="G85" s="319"/>
      <c r="H85" s="320">
        <v>0.1</v>
      </c>
      <c r="I85" s="320">
        <v>0.1</v>
      </c>
      <c r="J85" s="320">
        <v>0.1</v>
      </c>
      <c r="K85" s="320">
        <v>0.1</v>
      </c>
      <c r="L85" s="320">
        <v>0.1</v>
      </c>
      <c r="M85" s="320">
        <v>0.1</v>
      </c>
      <c r="N85" s="320">
        <v>0.1</v>
      </c>
      <c r="O85" s="320">
        <v>0.1</v>
      </c>
      <c r="P85" s="320">
        <v>0.1</v>
      </c>
      <c r="Q85" s="320">
        <v>0.1</v>
      </c>
      <c r="R85" s="320">
        <v>0.1</v>
      </c>
      <c r="S85" s="320">
        <v>0.1</v>
      </c>
      <c r="T85" s="320">
        <v>0.1</v>
      </c>
      <c r="U85" s="320">
        <v>0.1</v>
      </c>
      <c r="V85" s="320">
        <v>0.1</v>
      </c>
      <c r="W85" s="320">
        <v>0.1</v>
      </c>
      <c r="X85" s="320">
        <v>0.1</v>
      </c>
      <c r="Y85" s="320">
        <v>0.1</v>
      </c>
      <c r="Z85" s="320">
        <v>0.1</v>
      </c>
      <c r="AA85" s="320">
        <v>0.1</v>
      </c>
      <c r="AB85" s="320">
        <v>0.1</v>
      </c>
      <c r="AC85" s="320">
        <v>0.1</v>
      </c>
      <c r="AD85" s="320">
        <v>0.1</v>
      </c>
      <c r="AE85" s="320">
        <v>0.1</v>
      </c>
      <c r="AF85" s="320">
        <v>0.1</v>
      </c>
      <c r="AG85" s="320">
        <v>0.1</v>
      </c>
      <c r="AH85" s="320">
        <v>0.1</v>
      </c>
      <c r="AI85" s="320">
        <v>0.1</v>
      </c>
      <c r="AJ85" s="320">
        <v>0.1</v>
      </c>
      <c r="AK85" s="320">
        <v>0.1</v>
      </c>
      <c r="AL85" s="320"/>
      <c r="AM85" s="320"/>
      <c r="AN85" s="320"/>
      <c r="AO85" s="320"/>
      <c r="AP85" s="320"/>
      <c r="AQ85" s="320"/>
      <c r="AR85" s="320"/>
      <c r="AS85" s="320"/>
      <c r="AT85" s="320"/>
      <c r="AU85" s="320"/>
      <c r="AV85" s="320"/>
      <c r="AW85" s="320"/>
      <c r="AX85" s="320"/>
      <c r="AY85" s="320"/>
      <c r="AZ85" s="320"/>
      <c r="BA85" s="320"/>
      <c r="BB85" s="320"/>
      <c r="BC85" s="320"/>
      <c r="BD85" s="320"/>
      <c r="BE85" s="320"/>
      <c r="BF85" s="320"/>
      <c r="BG85" s="320"/>
      <c r="BH85" s="320"/>
      <c r="BI85" s="320"/>
      <c r="BJ85" s="320"/>
      <c r="BK85" s="320"/>
      <c r="BL85" s="320"/>
      <c r="BM85" s="320"/>
      <c r="BN85" s="320"/>
      <c r="BO85" s="320"/>
      <c r="BP85" s="320"/>
      <c r="BQ85" s="320"/>
      <c r="BR85" s="320"/>
      <c r="BS85" s="320"/>
      <c r="BT85" s="320"/>
      <c r="BU85" s="320"/>
      <c r="BV85" s="320"/>
      <c r="BW85" s="320"/>
      <c r="BX85" s="320"/>
      <c r="BY85" s="320"/>
      <c r="BZ85" s="320"/>
      <c r="CA85" s="320"/>
      <c r="CB85" s="320"/>
      <c r="CC85" s="320"/>
      <c r="CD85" s="320"/>
      <c r="CE85" s="320"/>
      <c r="CF85" s="320"/>
      <c r="CG85" s="320"/>
      <c r="CH85" s="320"/>
      <c r="CI85" s="320"/>
      <c r="CJ85" s="320"/>
    </row>
    <row r="86" spans="2:88" ht="18.600000000000001" customHeight="1" x14ac:dyDescent="0.2">
      <c r="B86" s="516" t="s">
        <v>426</v>
      </c>
      <c r="C86" s="498" t="s">
        <v>427</v>
      </c>
      <c r="D86" s="499" t="s">
        <v>86</v>
      </c>
      <c r="E86" s="499" t="s">
        <v>375</v>
      </c>
      <c r="F86" s="500">
        <v>2</v>
      </c>
      <c r="G86" s="319"/>
      <c r="H86" s="320">
        <v>0</v>
      </c>
      <c r="I86" s="320">
        <v>0</v>
      </c>
      <c r="J86" s="320">
        <v>0</v>
      </c>
      <c r="K86" s="320">
        <v>0</v>
      </c>
      <c r="L86" s="320">
        <v>0</v>
      </c>
      <c r="M86" s="320">
        <v>0</v>
      </c>
      <c r="N86" s="320">
        <v>0</v>
      </c>
      <c r="O86" s="320">
        <v>0</v>
      </c>
      <c r="P86" s="320">
        <v>0</v>
      </c>
      <c r="Q86" s="320">
        <v>0</v>
      </c>
      <c r="R86" s="320">
        <v>0</v>
      </c>
      <c r="S86" s="320">
        <v>0</v>
      </c>
      <c r="T86" s="320">
        <v>0</v>
      </c>
      <c r="U86" s="320">
        <v>0</v>
      </c>
      <c r="V86" s="320">
        <v>0</v>
      </c>
      <c r="W86" s="320">
        <v>0</v>
      </c>
      <c r="X86" s="320">
        <v>0</v>
      </c>
      <c r="Y86" s="320">
        <v>0</v>
      </c>
      <c r="Z86" s="320">
        <v>0</v>
      </c>
      <c r="AA86" s="320">
        <v>0</v>
      </c>
      <c r="AB86" s="320">
        <v>0</v>
      </c>
      <c r="AC86" s="320">
        <v>0</v>
      </c>
      <c r="AD86" s="320">
        <v>0</v>
      </c>
      <c r="AE86" s="320">
        <v>0</v>
      </c>
      <c r="AF86" s="320">
        <v>0</v>
      </c>
      <c r="AG86" s="320">
        <v>0</v>
      </c>
      <c r="AH86" s="320">
        <v>0</v>
      </c>
      <c r="AI86" s="320">
        <v>0</v>
      </c>
      <c r="AJ86" s="320">
        <v>0</v>
      </c>
      <c r="AK86" s="320">
        <v>0</v>
      </c>
      <c r="AL86" s="320"/>
      <c r="AM86" s="320"/>
      <c r="AN86" s="320"/>
      <c r="AO86" s="320"/>
      <c r="AP86" s="320"/>
      <c r="AQ86" s="320"/>
      <c r="AR86" s="320"/>
      <c r="AS86" s="320"/>
      <c r="AT86" s="320"/>
      <c r="AU86" s="320"/>
      <c r="AV86" s="320"/>
      <c r="AW86" s="320"/>
      <c r="AX86" s="320"/>
      <c r="AY86" s="320"/>
      <c r="AZ86" s="320"/>
      <c r="BA86" s="320"/>
      <c r="BB86" s="320"/>
      <c r="BC86" s="320"/>
      <c r="BD86" s="320"/>
      <c r="BE86" s="320"/>
      <c r="BF86" s="320"/>
      <c r="BG86" s="320"/>
      <c r="BH86" s="320"/>
      <c r="BI86" s="320"/>
      <c r="BJ86" s="320"/>
      <c r="BK86" s="320"/>
      <c r="BL86" s="320"/>
      <c r="BM86" s="320"/>
      <c r="BN86" s="320"/>
      <c r="BO86" s="320"/>
      <c r="BP86" s="320"/>
      <c r="BQ86" s="320"/>
      <c r="BR86" s="320"/>
      <c r="BS86" s="320"/>
      <c r="BT86" s="320"/>
      <c r="BU86" s="320"/>
      <c r="BV86" s="320"/>
      <c r="BW86" s="320"/>
      <c r="BX86" s="320"/>
      <c r="BY86" s="320"/>
      <c r="BZ86" s="320"/>
      <c r="CA86" s="320"/>
      <c r="CB86" s="320"/>
      <c r="CC86" s="320"/>
      <c r="CD86" s="320"/>
      <c r="CE86" s="320"/>
      <c r="CF86" s="320"/>
      <c r="CG86" s="320"/>
      <c r="CH86" s="320"/>
      <c r="CI86" s="320"/>
      <c r="CJ86" s="320"/>
    </row>
    <row r="87" spans="2:88" x14ac:dyDescent="0.2">
      <c r="B87" s="516" t="s">
        <v>428</v>
      </c>
      <c r="C87" s="498" t="s">
        <v>429</v>
      </c>
      <c r="D87" s="499" t="s">
        <v>86</v>
      </c>
      <c r="E87" s="499" t="s">
        <v>423</v>
      </c>
      <c r="F87" s="500">
        <v>2</v>
      </c>
      <c r="G87" s="319"/>
      <c r="H87" s="320">
        <v>0</v>
      </c>
      <c r="I87" s="320">
        <v>0</v>
      </c>
      <c r="J87" s="320">
        <v>0</v>
      </c>
      <c r="K87" s="320">
        <v>0</v>
      </c>
      <c r="L87" s="320">
        <v>0</v>
      </c>
      <c r="M87" s="320">
        <v>0</v>
      </c>
      <c r="N87" s="320">
        <v>0</v>
      </c>
      <c r="O87" s="320">
        <v>0</v>
      </c>
      <c r="P87" s="320">
        <v>0</v>
      </c>
      <c r="Q87" s="320">
        <v>0</v>
      </c>
      <c r="R87" s="320">
        <v>0</v>
      </c>
      <c r="S87" s="320">
        <v>0</v>
      </c>
      <c r="T87" s="320">
        <v>0</v>
      </c>
      <c r="U87" s="320">
        <v>0</v>
      </c>
      <c r="V87" s="320">
        <v>0</v>
      </c>
      <c r="W87" s="320">
        <v>0</v>
      </c>
      <c r="X87" s="320">
        <v>0</v>
      </c>
      <c r="Y87" s="320">
        <v>0</v>
      </c>
      <c r="Z87" s="320">
        <v>0</v>
      </c>
      <c r="AA87" s="320">
        <v>0</v>
      </c>
      <c r="AB87" s="320">
        <v>0</v>
      </c>
      <c r="AC87" s="320">
        <v>0</v>
      </c>
      <c r="AD87" s="320">
        <v>0</v>
      </c>
      <c r="AE87" s="320">
        <v>0</v>
      </c>
      <c r="AF87" s="320">
        <v>0</v>
      </c>
      <c r="AG87" s="320">
        <v>0</v>
      </c>
      <c r="AH87" s="320">
        <v>0</v>
      </c>
      <c r="AI87" s="320">
        <v>0</v>
      </c>
      <c r="AJ87" s="320">
        <v>0</v>
      </c>
      <c r="AK87" s="320">
        <v>0</v>
      </c>
      <c r="AL87" s="320"/>
      <c r="AM87" s="320"/>
      <c r="AN87" s="320"/>
      <c r="AO87" s="320"/>
      <c r="AP87" s="320"/>
      <c r="AQ87" s="320"/>
      <c r="AR87" s="320"/>
      <c r="AS87" s="320"/>
      <c r="AT87" s="320"/>
      <c r="AU87" s="320"/>
      <c r="AV87" s="320"/>
      <c r="AW87" s="320"/>
      <c r="AX87" s="320"/>
      <c r="AY87" s="320"/>
      <c r="AZ87" s="320"/>
      <c r="BA87" s="320"/>
      <c r="BB87" s="320"/>
      <c r="BC87" s="320"/>
      <c r="BD87" s="320"/>
      <c r="BE87" s="320"/>
      <c r="BF87" s="320"/>
      <c r="BG87" s="320"/>
      <c r="BH87" s="320"/>
      <c r="BI87" s="320"/>
      <c r="BJ87" s="320"/>
      <c r="BK87" s="320"/>
      <c r="BL87" s="320"/>
      <c r="BM87" s="320"/>
      <c r="BN87" s="320"/>
      <c r="BO87" s="320"/>
      <c r="BP87" s="320"/>
      <c r="BQ87" s="320"/>
      <c r="BR87" s="320"/>
      <c r="BS87" s="320"/>
      <c r="BT87" s="320"/>
      <c r="BU87" s="320"/>
      <c r="BV87" s="320"/>
      <c r="BW87" s="320"/>
      <c r="BX87" s="320"/>
      <c r="BY87" s="320"/>
      <c r="BZ87" s="320"/>
      <c r="CA87" s="320"/>
      <c r="CB87" s="320"/>
      <c r="CC87" s="320"/>
      <c r="CD87" s="320"/>
      <c r="CE87" s="320"/>
      <c r="CF87" s="320"/>
      <c r="CG87" s="320"/>
      <c r="CH87" s="320"/>
      <c r="CI87" s="320"/>
      <c r="CJ87" s="320"/>
    </row>
    <row r="88" spans="2:88" x14ac:dyDescent="0.2">
      <c r="B88" s="516" t="s">
        <v>430</v>
      </c>
      <c r="C88" s="498" t="s">
        <v>431</v>
      </c>
      <c r="D88" s="499" t="s">
        <v>86</v>
      </c>
      <c r="E88" s="499" t="s">
        <v>375</v>
      </c>
      <c r="F88" s="500">
        <v>2</v>
      </c>
      <c r="G88" s="319"/>
      <c r="H88" s="320">
        <v>0.02</v>
      </c>
      <c r="I88" s="320">
        <v>0.02</v>
      </c>
      <c r="J88" s="320">
        <v>0.02</v>
      </c>
      <c r="K88" s="320">
        <v>0.02</v>
      </c>
      <c r="L88" s="320">
        <v>0.02</v>
      </c>
      <c r="M88" s="320">
        <v>0.02</v>
      </c>
      <c r="N88" s="320">
        <v>0.02</v>
      </c>
      <c r="O88" s="320">
        <v>0.02</v>
      </c>
      <c r="P88" s="320">
        <v>0.02</v>
      </c>
      <c r="Q88" s="320">
        <v>0.02</v>
      </c>
      <c r="R88" s="320">
        <v>0.02</v>
      </c>
      <c r="S88" s="320">
        <v>0.02</v>
      </c>
      <c r="T88" s="320">
        <v>0.02</v>
      </c>
      <c r="U88" s="320">
        <v>0.02</v>
      </c>
      <c r="V88" s="320">
        <v>0.02</v>
      </c>
      <c r="W88" s="320">
        <v>0.02</v>
      </c>
      <c r="X88" s="320">
        <v>0.02</v>
      </c>
      <c r="Y88" s="320">
        <v>0.02</v>
      </c>
      <c r="Z88" s="320">
        <v>0.02</v>
      </c>
      <c r="AA88" s="320">
        <v>0.02</v>
      </c>
      <c r="AB88" s="320">
        <v>0.02</v>
      </c>
      <c r="AC88" s="320">
        <v>0.02</v>
      </c>
      <c r="AD88" s="320">
        <v>0.02</v>
      </c>
      <c r="AE88" s="320">
        <v>0.02</v>
      </c>
      <c r="AF88" s="320">
        <v>0.02</v>
      </c>
      <c r="AG88" s="320">
        <v>0.02</v>
      </c>
      <c r="AH88" s="320">
        <v>0.02</v>
      </c>
      <c r="AI88" s="320">
        <v>0.02</v>
      </c>
      <c r="AJ88" s="320">
        <v>0.02</v>
      </c>
      <c r="AK88" s="320">
        <v>0.02</v>
      </c>
      <c r="AL88" s="320"/>
      <c r="AM88" s="320"/>
      <c r="AN88" s="320"/>
      <c r="AO88" s="320"/>
      <c r="AP88" s="320"/>
      <c r="AQ88" s="320"/>
      <c r="AR88" s="320"/>
      <c r="AS88" s="320"/>
      <c r="AT88" s="320"/>
      <c r="AU88" s="320"/>
      <c r="AV88" s="320"/>
      <c r="AW88" s="320"/>
      <c r="AX88" s="320"/>
      <c r="AY88" s="320"/>
      <c r="AZ88" s="320"/>
      <c r="BA88" s="320"/>
      <c r="BB88" s="320"/>
      <c r="BC88" s="320"/>
      <c r="BD88" s="320"/>
      <c r="BE88" s="320"/>
      <c r="BF88" s="320"/>
      <c r="BG88" s="320"/>
      <c r="BH88" s="320"/>
      <c r="BI88" s="320"/>
      <c r="BJ88" s="320"/>
      <c r="BK88" s="320"/>
      <c r="BL88" s="320"/>
      <c r="BM88" s="320"/>
      <c r="BN88" s="320"/>
      <c r="BO88" s="320"/>
      <c r="BP88" s="320"/>
      <c r="BQ88" s="320"/>
      <c r="BR88" s="320"/>
      <c r="BS88" s="320"/>
      <c r="BT88" s="320"/>
      <c r="BU88" s="320"/>
      <c r="BV88" s="320"/>
      <c r="BW88" s="320"/>
      <c r="BX88" s="320"/>
      <c r="BY88" s="320"/>
      <c r="BZ88" s="320"/>
      <c r="CA88" s="320"/>
      <c r="CB88" s="320"/>
      <c r="CC88" s="320"/>
      <c r="CD88" s="320"/>
      <c r="CE88" s="320"/>
      <c r="CF88" s="320"/>
      <c r="CG88" s="320"/>
      <c r="CH88" s="320"/>
      <c r="CI88" s="320"/>
      <c r="CJ88" s="320"/>
    </row>
    <row r="89" spans="2:88" x14ac:dyDescent="0.2">
      <c r="B89" s="516" t="s">
        <v>432</v>
      </c>
      <c r="C89" s="498" t="s">
        <v>433</v>
      </c>
      <c r="D89" s="499" t="s">
        <v>86</v>
      </c>
      <c r="E89" s="499" t="s">
        <v>423</v>
      </c>
      <c r="F89" s="500">
        <v>2</v>
      </c>
      <c r="G89" s="319"/>
      <c r="H89" s="320">
        <v>0.02</v>
      </c>
      <c r="I89" s="320">
        <v>0.02</v>
      </c>
      <c r="J89" s="320">
        <v>0.02</v>
      </c>
      <c r="K89" s="320">
        <v>0.02</v>
      </c>
      <c r="L89" s="320">
        <v>0.02</v>
      </c>
      <c r="M89" s="320">
        <v>0.02</v>
      </c>
      <c r="N89" s="320">
        <v>0.02</v>
      </c>
      <c r="O89" s="320">
        <v>0.02</v>
      </c>
      <c r="P89" s="320">
        <v>0.02</v>
      </c>
      <c r="Q89" s="320">
        <v>0.02</v>
      </c>
      <c r="R89" s="320">
        <v>0.02</v>
      </c>
      <c r="S89" s="320">
        <v>0.02</v>
      </c>
      <c r="T89" s="320">
        <v>0.02</v>
      </c>
      <c r="U89" s="320">
        <v>0.02</v>
      </c>
      <c r="V89" s="320">
        <v>0.02</v>
      </c>
      <c r="W89" s="320">
        <v>0.02</v>
      </c>
      <c r="X89" s="320">
        <v>0.02</v>
      </c>
      <c r="Y89" s="320">
        <v>0.02</v>
      </c>
      <c r="Z89" s="320">
        <v>0.02</v>
      </c>
      <c r="AA89" s="320">
        <v>0.02</v>
      </c>
      <c r="AB89" s="320">
        <v>0.02</v>
      </c>
      <c r="AC89" s="320">
        <v>0.02</v>
      </c>
      <c r="AD89" s="320">
        <v>0.02</v>
      </c>
      <c r="AE89" s="320">
        <v>0.02</v>
      </c>
      <c r="AF89" s="320">
        <v>0.02</v>
      </c>
      <c r="AG89" s="320">
        <v>0.02</v>
      </c>
      <c r="AH89" s="320">
        <v>0.02</v>
      </c>
      <c r="AI89" s="320">
        <v>0.02</v>
      </c>
      <c r="AJ89" s="320">
        <v>0.02</v>
      </c>
      <c r="AK89" s="320">
        <v>0.02</v>
      </c>
      <c r="AL89" s="320"/>
      <c r="AM89" s="320"/>
      <c r="AN89" s="320"/>
      <c r="AO89" s="320"/>
      <c r="AP89" s="320"/>
      <c r="AQ89" s="320"/>
      <c r="AR89" s="320"/>
      <c r="AS89" s="320"/>
      <c r="AT89" s="320"/>
      <c r="AU89" s="320"/>
      <c r="AV89" s="320"/>
      <c r="AW89" s="320"/>
      <c r="AX89" s="320"/>
      <c r="AY89" s="320"/>
      <c r="AZ89" s="320"/>
      <c r="BA89" s="320"/>
      <c r="BB89" s="320"/>
      <c r="BC89" s="320"/>
      <c r="BD89" s="320"/>
      <c r="BE89" s="320"/>
      <c r="BF89" s="320"/>
      <c r="BG89" s="320"/>
      <c r="BH89" s="320"/>
      <c r="BI89" s="320"/>
      <c r="BJ89" s="320"/>
      <c r="BK89" s="320"/>
      <c r="BL89" s="320"/>
      <c r="BM89" s="320"/>
      <c r="BN89" s="320"/>
      <c r="BO89" s="320"/>
      <c r="BP89" s="320"/>
      <c r="BQ89" s="320"/>
      <c r="BR89" s="320"/>
      <c r="BS89" s="320"/>
      <c r="BT89" s="320"/>
      <c r="BU89" s="320"/>
      <c r="BV89" s="320"/>
      <c r="BW89" s="320"/>
      <c r="BX89" s="320"/>
      <c r="BY89" s="320"/>
      <c r="BZ89" s="320"/>
      <c r="CA89" s="320"/>
      <c r="CB89" s="320"/>
      <c r="CC89" s="320"/>
      <c r="CD89" s="320"/>
      <c r="CE89" s="320"/>
      <c r="CF89" s="320"/>
      <c r="CG89" s="320"/>
      <c r="CH89" s="320"/>
      <c r="CI89" s="320"/>
      <c r="CJ89" s="320"/>
    </row>
    <row r="90" spans="2:88" x14ac:dyDescent="0.2">
      <c r="B90" s="516" t="s">
        <v>434</v>
      </c>
      <c r="C90" s="498" t="s">
        <v>435</v>
      </c>
      <c r="D90" s="499" t="s">
        <v>86</v>
      </c>
      <c r="E90" s="499" t="s">
        <v>423</v>
      </c>
      <c r="F90" s="500">
        <v>2</v>
      </c>
      <c r="G90" s="319"/>
      <c r="H90" s="320">
        <v>2E-3</v>
      </c>
      <c r="I90" s="320">
        <v>2E-3</v>
      </c>
      <c r="J90" s="320">
        <v>2E-3</v>
      </c>
      <c r="K90" s="320">
        <v>2E-3</v>
      </c>
      <c r="L90" s="320">
        <v>2E-3</v>
      </c>
      <c r="M90" s="320">
        <v>2E-3</v>
      </c>
      <c r="N90" s="320">
        <v>2E-3</v>
      </c>
      <c r="O90" s="320">
        <v>2E-3</v>
      </c>
      <c r="P90" s="320">
        <v>2E-3</v>
      </c>
      <c r="Q90" s="320">
        <v>2E-3</v>
      </c>
      <c r="R90" s="320">
        <v>2E-3</v>
      </c>
      <c r="S90" s="320">
        <v>2E-3</v>
      </c>
      <c r="T90" s="320">
        <v>2E-3</v>
      </c>
      <c r="U90" s="320">
        <v>2E-3</v>
      </c>
      <c r="V90" s="320">
        <v>2E-3</v>
      </c>
      <c r="W90" s="320">
        <v>2E-3</v>
      </c>
      <c r="X90" s="320">
        <v>2E-3</v>
      </c>
      <c r="Y90" s="320">
        <v>2E-3</v>
      </c>
      <c r="Z90" s="320">
        <v>2E-3</v>
      </c>
      <c r="AA90" s="320">
        <v>2E-3</v>
      </c>
      <c r="AB90" s="320">
        <v>2E-3</v>
      </c>
      <c r="AC90" s="320">
        <v>2E-3</v>
      </c>
      <c r="AD90" s="320">
        <v>2E-3</v>
      </c>
      <c r="AE90" s="320">
        <v>2E-3</v>
      </c>
      <c r="AF90" s="320">
        <v>2E-3</v>
      </c>
      <c r="AG90" s="320">
        <v>2E-3</v>
      </c>
      <c r="AH90" s="320">
        <v>2E-3</v>
      </c>
      <c r="AI90" s="320">
        <v>2E-3</v>
      </c>
      <c r="AJ90" s="320">
        <v>2E-3</v>
      </c>
      <c r="AK90" s="320">
        <v>2E-3</v>
      </c>
      <c r="AL90" s="320"/>
      <c r="AM90" s="320"/>
      <c r="AN90" s="320"/>
      <c r="AO90" s="320"/>
      <c r="AP90" s="320"/>
      <c r="AQ90" s="320"/>
      <c r="AR90" s="320"/>
      <c r="AS90" s="320"/>
      <c r="AT90" s="320"/>
      <c r="AU90" s="320"/>
      <c r="AV90" s="320"/>
      <c r="AW90" s="320"/>
      <c r="AX90" s="320"/>
      <c r="AY90" s="320"/>
      <c r="AZ90" s="320"/>
      <c r="BA90" s="320"/>
      <c r="BB90" s="320"/>
      <c r="BC90" s="320"/>
      <c r="BD90" s="320"/>
      <c r="BE90" s="320"/>
      <c r="BF90" s="320"/>
      <c r="BG90" s="320"/>
      <c r="BH90" s="320"/>
      <c r="BI90" s="320"/>
      <c r="BJ90" s="320"/>
      <c r="BK90" s="320"/>
      <c r="BL90" s="320"/>
      <c r="BM90" s="320"/>
      <c r="BN90" s="320"/>
      <c r="BO90" s="320"/>
      <c r="BP90" s="320"/>
      <c r="BQ90" s="320"/>
      <c r="BR90" s="320"/>
      <c r="BS90" s="320"/>
      <c r="BT90" s="320"/>
      <c r="BU90" s="320"/>
      <c r="BV90" s="320"/>
      <c r="BW90" s="320"/>
      <c r="BX90" s="320"/>
      <c r="BY90" s="320"/>
      <c r="BZ90" s="320"/>
      <c r="CA90" s="320"/>
      <c r="CB90" s="320"/>
      <c r="CC90" s="320"/>
      <c r="CD90" s="320"/>
      <c r="CE90" s="320"/>
      <c r="CF90" s="320"/>
      <c r="CG90" s="320"/>
      <c r="CH90" s="320"/>
      <c r="CI90" s="320"/>
      <c r="CJ90" s="320"/>
    </row>
    <row r="91" spans="2:88" ht="15" thickBot="1" x14ac:dyDescent="0.25">
      <c r="B91" s="517" t="s">
        <v>436</v>
      </c>
      <c r="C91" s="518" t="s">
        <v>437</v>
      </c>
      <c r="D91" s="519" t="s">
        <v>86</v>
      </c>
      <c r="E91" s="519" t="s">
        <v>375</v>
      </c>
      <c r="F91" s="520">
        <v>2</v>
      </c>
      <c r="G91" s="321"/>
      <c r="H91" s="322">
        <v>2E-3</v>
      </c>
      <c r="I91" s="322">
        <v>2E-3</v>
      </c>
      <c r="J91" s="322">
        <v>2E-3</v>
      </c>
      <c r="K91" s="322">
        <v>2E-3</v>
      </c>
      <c r="L91" s="322">
        <v>2E-3</v>
      </c>
      <c r="M91" s="322">
        <v>2E-3</v>
      </c>
      <c r="N91" s="322">
        <v>2E-3</v>
      </c>
      <c r="O91" s="322">
        <v>2E-3</v>
      </c>
      <c r="P91" s="322">
        <v>2E-3</v>
      </c>
      <c r="Q91" s="322">
        <v>2E-3</v>
      </c>
      <c r="R91" s="322">
        <v>2E-3</v>
      </c>
      <c r="S91" s="322">
        <v>2E-3</v>
      </c>
      <c r="T91" s="322">
        <v>2E-3</v>
      </c>
      <c r="U91" s="322">
        <v>2E-3</v>
      </c>
      <c r="V91" s="322">
        <v>2E-3</v>
      </c>
      <c r="W91" s="322">
        <v>2E-3</v>
      </c>
      <c r="X91" s="322">
        <v>2E-3</v>
      </c>
      <c r="Y91" s="322">
        <v>2E-3</v>
      </c>
      <c r="Z91" s="322">
        <v>2E-3</v>
      </c>
      <c r="AA91" s="322">
        <v>2E-3</v>
      </c>
      <c r="AB91" s="322">
        <v>2E-3</v>
      </c>
      <c r="AC91" s="322">
        <v>2E-3</v>
      </c>
      <c r="AD91" s="322">
        <v>2E-3</v>
      </c>
      <c r="AE91" s="322">
        <v>2E-3</v>
      </c>
      <c r="AF91" s="322">
        <v>2E-3</v>
      </c>
      <c r="AG91" s="322">
        <v>2E-3</v>
      </c>
      <c r="AH91" s="322">
        <v>2E-3</v>
      </c>
      <c r="AI91" s="322">
        <v>2E-3</v>
      </c>
      <c r="AJ91" s="322">
        <v>2E-3</v>
      </c>
      <c r="AK91" s="322">
        <v>2E-3</v>
      </c>
      <c r="AL91" s="322"/>
      <c r="AM91" s="322"/>
      <c r="AN91" s="322"/>
      <c r="AO91" s="322"/>
      <c r="AP91" s="322"/>
      <c r="AQ91" s="322"/>
      <c r="AR91" s="322"/>
      <c r="AS91" s="322"/>
      <c r="AT91" s="322"/>
      <c r="AU91" s="322"/>
      <c r="AV91" s="322"/>
      <c r="AW91" s="322"/>
      <c r="AX91" s="322"/>
      <c r="AY91" s="322"/>
      <c r="AZ91" s="322"/>
      <c r="BA91" s="322"/>
      <c r="BB91" s="322"/>
      <c r="BC91" s="322"/>
      <c r="BD91" s="322"/>
      <c r="BE91" s="322"/>
      <c r="BF91" s="322"/>
      <c r="BG91" s="322"/>
      <c r="BH91" s="322"/>
      <c r="BI91" s="322"/>
      <c r="BJ91" s="322"/>
      <c r="BK91" s="322"/>
      <c r="BL91" s="322"/>
      <c r="BM91" s="322"/>
      <c r="BN91" s="322"/>
      <c r="BO91" s="322"/>
      <c r="BP91" s="322"/>
      <c r="BQ91" s="322"/>
      <c r="BR91" s="322"/>
      <c r="BS91" s="322"/>
      <c r="BT91" s="322"/>
      <c r="BU91" s="322"/>
      <c r="BV91" s="322"/>
      <c r="BW91" s="322"/>
      <c r="BX91" s="322"/>
      <c r="BY91" s="322"/>
      <c r="BZ91" s="322"/>
      <c r="CA91" s="322"/>
      <c r="CB91" s="322"/>
      <c r="CC91" s="322"/>
      <c r="CD91" s="322"/>
      <c r="CE91" s="322"/>
      <c r="CF91" s="322"/>
      <c r="CG91" s="322"/>
      <c r="CH91" s="322"/>
      <c r="CI91" s="322"/>
      <c r="CJ91" s="322"/>
    </row>
  </sheetData>
  <hyperlinks>
    <hyperlink ref="F2" location="'2. WC Level Data'!B6" display="Table 2a: WC Level Normal Year planning scenario" xr:uid="{6D7AB172-BD22-42A4-85A9-F4E6CC27A588}"/>
    <hyperlink ref="C6" location="'2. WC Level Data'!$A$1" display="Back to top of sheet" xr:uid="{595D9C46-F466-4286-ADD5-AE67DBAD7F5F}"/>
    <hyperlink ref="F3" location="'2. WC Level Data'!B17" display="Table 2b: WC Level DYAA - Microcomponents - Final planning" xr:uid="{1FF00EA9-CBF5-4127-B057-50514F03C3AD}"/>
    <hyperlink ref="C17" location="'2. WC Level Data'!$A$1" display="Back to top of sheet" xr:uid="{4B3B33F0-6FE6-403C-87C0-CE15AB49DBE5}"/>
    <hyperlink ref="F4" location="'2. WC Level Data'!B40" display="Table 2c: WC Level DYAA -_x000a_Meter Installations (including meter upgrades) - Final Planning" xr:uid="{D15CE730-2A5F-4745-B13B-5DAB3372916A}"/>
    <hyperlink ref="C40" location="'2. WC Level Data'!$A$1" display="Back to top of sheet" xr:uid="{E57E2F0D-5B9F-4599-B37A-D6F459B4DFDD}"/>
    <hyperlink ref="G2" location="'2. WC Level Data'!B53" display="'2. WC Level Data'!B53" xr:uid="{C33B9253-0F45-45AD-865B-9862D964D63C}"/>
    <hyperlink ref="C53" location="'2. WC Level Data'!$A$1" display="Back to top of sheet" xr:uid="{DBB08DC2-8977-413F-8FD6-BBD5B1F2EA55}"/>
    <hyperlink ref="G3" location="'2. WC Level Data'!B66" display="'2. WC Level Data'!B66" xr:uid="{F9F748AC-2673-4A5F-871E-7EC596CDC31F}"/>
    <hyperlink ref="C66" location="'2. WC Level Data'!$A$1" display="Back to top of sheet" xr:uid="{F958187A-CD83-4AFB-8A81-B19BB3DE015A}"/>
    <hyperlink ref="G4" location="'2. WC Level Data'!B81" display="'2. WC Level Data'!B81" xr:uid="{C2C06F3F-D439-41EA-98CA-919DC4137A72}"/>
    <hyperlink ref="C81" location="'2. WC Level Data'!$A$1" display="Back to top of sheet" xr:uid="{D88697DB-21F1-4BC3-BC5C-457BAC551F78}"/>
  </hyperlinks>
  <pageMargins left="0.7" right="0.7" top="0.75" bottom="0.75" header="0.3" footer="0.3"/>
  <pageSetup paperSize="9" orientation="portrait" r:id="rId1"/>
  <tableParts count="4">
    <tablePart r:id="rId2"/>
    <tablePart r:id="rId3"/>
    <tablePart r:id="rId4"/>
    <tablePart r:id="rId5"/>
  </tablePar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BB69CE-7DCF-48DE-89F8-5B88C752ADAB}">
  <sheetPr codeName="Sheet1"/>
  <dimension ref="A1:CK402"/>
  <sheetViews>
    <sheetView showOutlineSymbols="0" showWhiteSpace="0" workbookViewId="0">
      <selection activeCell="A181" sqref="A181:XFD181"/>
    </sheetView>
  </sheetViews>
  <sheetFormatPr defaultColWidth="9" defaultRowHeight="14.25" x14ac:dyDescent="0.2"/>
  <cols>
    <col min="1" max="1" width="1.5546875" style="1284" customWidth="1"/>
    <col min="2" max="3" width="33.6640625" style="1284" customWidth="1"/>
    <col min="4" max="4" width="33.109375" style="1284" customWidth="1"/>
    <col min="5" max="5" width="12.44140625" style="1284" customWidth="1"/>
    <col min="6" max="6" width="14" style="1284" customWidth="1"/>
    <col min="7" max="12" width="8" style="1284" customWidth="1"/>
    <col min="13" max="13" width="9.21875" style="1284" bestFit="1" customWidth="1"/>
    <col min="14" max="86" width="8" style="1284" customWidth="1"/>
    <col min="87" max="87" width="8.6640625" style="1284" customWidth="1"/>
    <col min="88" max="88" width="8" style="1284" bestFit="1" customWidth="1"/>
    <col min="89" max="89" width="10.109375" style="1284" customWidth="1"/>
    <col min="90" max="90" width="42.6640625" style="1284" customWidth="1"/>
    <col min="91" max="91" width="4.109375" style="1284" customWidth="1"/>
    <col min="92" max="92" width="9" style="1284" customWidth="1"/>
    <col min="93" max="93" width="6.6640625" style="1284" customWidth="1"/>
    <col min="94" max="94" width="4.109375" style="1284" customWidth="1"/>
    <col min="95" max="96" width="4.5546875" style="1284" customWidth="1"/>
    <col min="97" max="97" width="4.6640625" style="1284" customWidth="1"/>
    <col min="98" max="98" width="7.5546875" style="1284" customWidth="1"/>
    <col min="99" max="99" width="6.6640625" style="1284" customWidth="1"/>
    <col min="100" max="100" width="4.5546875" style="1284" customWidth="1"/>
    <col min="101" max="103" width="5.109375" style="1284" customWidth="1"/>
    <col min="104" max="104" width="4.6640625" style="1284" customWidth="1"/>
    <col min="105" max="105" width="3.5546875" style="1284" customWidth="1"/>
    <col min="106" max="107" width="5.109375" style="1284" customWidth="1"/>
    <col min="108" max="235" width="9" style="1284"/>
    <col min="236" max="236" width="1.109375" style="1284" customWidth="1"/>
    <col min="237" max="237" width="8" style="1284" customWidth="1"/>
    <col min="238" max="238" width="8.44140625" style="1284" customWidth="1"/>
    <col min="239" max="239" width="23.6640625" style="1284" customWidth="1"/>
    <col min="240" max="240" width="21.6640625" style="1284" customWidth="1"/>
    <col min="241" max="241" width="9.44140625" style="1284" customWidth="1"/>
    <col min="242" max="242" width="8.109375" style="1284" bestFit="1" customWidth="1"/>
    <col min="243" max="243" width="16.109375" style="1284" customWidth="1"/>
    <col min="244" max="271" width="11.6640625" style="1284" customWidth="1"/>
    <col min="272" max="491" width="9" style="1284"/>
    <col min="492" max="492" width="1.109375" style="1284" customWidth="1"/>
    <col min="493" max="493" width="8" style="1284" customWidth="1"/>
    <col min="494" max="494" width="8.44140625" style="1284" customWidth="1"/>
    <col min="495" max="495" width="23.6640625" style="1284" customWidth="1"/>
    <col min="496" max="496" width="21.6640625" style="1284" customWidth="1"/>
    <col min="497" max="497" width="9.44140625" style="1284" customWidth="1"/>
    <col min="498" max="498" width="8.109375" style="1284" bestFit="1" customWidth="1"/>
    <col min="499" max="499" width="16.109375" style="1284" customWidth="1"/>
    <col min="500" max="527" width="11.6640625" style="1284" customWidth="1"/>
    <col min="528" max="747" width="9" style="1284"/>
    <col min="748" max="748" width="1.109375" style="1284" customWidth="1"/>
    <col min="749" max="749" width="8" style="1284" customWidth="1"/>
    <col min="750" max="750" width="8.44140625" style="1284" customWidth="1"/>
    <col min="751" max="751" width="23.6640625" style="1284" customWidth="1"/>
    <col min="752" max="752" width="21.6640625" style="1284" customWidth="1"/>
    <col min="753" max="753" width="9.44140625" style="1284" customWidth="1"/>
    <col min="754" max="754" width="8.109375" style="1284" bestFit="1" customWidth="1"/>
    <col min="755" max="755" width="16.109375" style="1284" customWidth="1"/>
    <col min="756" max="783" width="11.6640625" style="1284" customWidth="1"/>
    <col min="784" max="1003" width="9" style="1284"/>
    <col min="1004" max="1004" width="1.109375" style="1284" customWidth="1"/>
    <col min="1005" max="1005" width="8" style="1284" customWidth="1"/>
    <col min="1006" max="1006" width="8.44140625" style="1284" customWidth="1"/>
    <col min="1007" max="1007" width="23.6640625" style="1284" customWidth="1"/>
    <col min="1008" max="1008" width="21.6640625" style="1284" customWidth="1"/>
    <col min="1009" max="1009" width="9.44140625" style="1284" customWidth="1"/>
    <col min="1010" max="1010" width="8.109375" style="1284" bestFit="1" customWidth="1"/>
    <col min="1011" max="1011" width="16.109375" style="1284" customWidth="1"/>
    <col min="1012" max="1039" width="11.6640625" style="1284" customWidth="1"/>
    <col min="1040" max="1259" width="9" style="1284"/>
    <col min="1260" max="1260" width="1.109375" style="1284" customWidth="1"/>
    <col min="1261" max="1261" width="8" style="1284" customWidth="1"/>
    <col min="1262" max="1262" width="8.44140625" style="1284" customWidth="1"/>
    <col min="1263" max="1263" width="23.6640625" style="1284" customWidth="1"/>
    <col min="1264" max="1264" width="21.6640625" style="1284" customWidth="1"/>
    <col min="1265" max="1265" width="9.44140625" style="1284" customWidth="1"/>
    <col min="1266" max="1266" width="8.109375" style="1284" bestFit="1" customWidth="1"/>
    <col min="1267" max="1267" width="16.109375" style="1284" customWidth="1"/>
    <col min="1268" max="1295" width="11.6640625" style="1284" customWidth="1"/>
    <col min="1296" max="1515" width="9" style="1284"/>
    <col min="1516" max="1516" width="1.109375" style="1284" customWidth="1"/>
    <col min="1517" max="1517" width="8" style="1284" customWidth="1"/>
    <col min="1518" max="1518" width="8.44140625" style="1284" customWidth="1"/>
    <col min="1519" max="1519" width="23.6640625" style="1284" customWidth="1"/>
    <col min="1520" max="1520" width="21.6640625" style="1284" customWidth="1"/>
    <col min="1521" max="1521" width="9.44140625" style="1284" customWidth="1"/>
    <col min="1522" max="1522" width="8.109375" style="1284" bestFit="1" customWidth="1"/>
    <col min="1523" max="1523" width="16.109375" style="1284" customWidth="1"/>
    <col min="1524" max="1551" width="11.6640625" style="1284" customWidth="1"/>
    <col min="1552" max="1771" width="9" style="1284"/>
    <col min="1772" max="1772" width="1.109375" style="1284" customWidth="1"/>
    <col min="1773" max="1773" width="8" style="1284" customWidth="1"/>
    <col min="1774" max="1774" width="8.44140625" style="1284" customWidth="1"/>
    <col min="1775" max="1775" width="23.6640625" style="1284" customWidth="1"/>
    <col min="1776" max="1776" width="21.6640625" style="1284" customWidth="1"/>
    <col min="1777" max="1777" width="9.44140625" style="1284" customWidth="1"/>
    <col min="1778" max="1778" width="8.109375" style="1284" bestFit="1" customWidth="1"/>
    <col min="1779" max="1779" width="16.109375" style="1284" customWidth="1"/>
    <col min="1780" max="1807" width="11.6640625" style="1284" customWidth="1"/>
    <col min="1808" max="2027" width="9" style="1284"/>
    <col min="2028" max="2028" width="1.109375" style="1284" customWidth="1"/>
    <col min="2029" max="2029" width="8" style="1284" customWidth="1"/>
    <col min="2030" max="2030" width="8.44140625" style="1284" customWidth="1"/>
    <col min="2031" max="2031" width="23.6640625" style="1284" customWidth="1"/>
    <col min="2032" max="2032" width="21.6640625" style="1284" customWidth="1"/>
    <col min="2033" max="2033" width="9.44140625" style="1284" customWidth="1"/>
    <col min="2034" max="2034" width="8.109375" style="1284" bestFit="1" customWidth="1"/>
    <col min="2035" max="2035" width="16.109375" style="1284" customWidth="1"/>
    <col min="2036" max="2063" width="11.6640625" style="1284" customWidth="1"/>
    <col min="2064" max="2283" width="9" style="1284"/>
    <col min="2284" max="2284" width="1.109375" style="1284" customWidth="1"/>
    <col min="2285" max="2285" width="8" style="1284" customWidth="1"/>
    <col min="2286" max="2286" width="8.44140625" style="1284" customWidth="1"/>
    <col min="2287" max="2287" width="23.6640625" style="1284" customWidth="1"/>
    <col min="2288" max="2288" width="21.6640625" style="1284" customWidth="1"/>
    <col min="2289" max="2289" width="9.44140625" style="1284" customWidth="1"/>
    <col min="2290" max="2290" width="8.109375" style="1284" bestFit="1" customWidth="1"/>
    <col min="2291" max="2291" width="16.109375" style="1284" customWidth="1"/>
    <col min="2292" max="2319" width="11.6640625" style="1284" customWidth="1"/>
    <col min="2320" max="2539" width="9" style="1284"/>
    <col min="2540" max="2540" width="1.109375" style="1284" customWidth="1"/>
    <col min="2541" max="2541" width="8" style="1284" customWidth="1"/>
    <col min="2542" max="2542" width="8.44140625" style="1284" customWidth="1"/>
    <col min="2543" max="2543" width="23.6640625" style="1284" customWidth="1"/>
    <col min="2544" max="2544" width="21.6640625" style="1284" customWidth="1"/>
    <col min="2545" max="2545" width="9.44140625" style="1284" customWidth="1"/>
    <col min="2546" max="2546" width="8.109375" style="1284" bestFit="1" customWidth="1"/>
    <col min="2547" max="2547" width="16.109375" style="1284" customWidth="1"/>
    <col min="2548" max="2575" width="11.6640625" style="1284" customWidth="1"/>
    <col min="2576" max="2795" width="9" style="1284"/>
    <col min="2796" max="2796" width="1.109375" style="1284" customWidth="1"/>
    <col min="2797" max="2797" width="8" style="1284" customWidth="1"/>
    <col min="2798" max="2798" width="8.44140625" style="1284" customWidth="1"/>
    <col min="2799" max="2799" width="23.6640625" style="1284" customWidth="1"/>
    <col min="2800" max="2800" width="21.6640625" style="1284" customWidth="1"/>
    <col min="2801" max="2801" width="9.44140625" style="1284" customWidth="1"/>
    <col min="2802" max="2802" width="8.109375" style="1284" bestFit="1" customWidth="1"/>
    <col min="2803" max="2803" width="16.109375" style="1284" customWidth="1"/>
    <col min="2804" max="2831" width="11.6640625" style="1284" customWidth="1"/>
    <col min="2832" max="3051" width="9" style="1284"/>
    <col min="3052" max="3052" width="1.109375" style="1284" customWidth="1"/>
    <col min="3053" max="3053" width="8" style="1284" customWidth="1"/>
    <col min="3054" max="3054" width="8.44140625" style="1284" customWidth="1"/>
    <col min="3055" max="3055" width="23.6640625" style="1284" customWidth="1"/>
    <col min="3056" max="3056" width="21.6640625" style="1284" customWidth="1"/>
    <col min="3057" max="3057" width="9.44140625" style="1284" customWidth="1"/>
    <col min="3058" max="3058" width="8.109375" style="1284" bestFit="1" customWidth="1"/>
    <col min="3059" max="3059" width="16.109375" style="1284" customWidth="1"/>
    <col min="3060" max="3087" width="11.6640625" style="1284" customWidth="1"/>
    <col min="3088" max="3307" width="9" style="1284"/>
    <col min="3308" max="3308" width="1.109375" style="1284" customWidth="1"/>
    <col min="3309" max="3309" width="8" style="1284" customWidth="1"/>
    <col min="3310" max="3310" width="8.44140625" style="1284" customWidth="1"/>
    <col min="3311" max="3311" width="23.6640625" style="1284" customWidth="1"/>
    <col min="3312" max="3312" width="21.6640625" style="1284" customWidth="1"/>
    <col min="3313" max="3313" width="9.44140625" style="1284" customWidth="1"/>
    <col min="3314" max="3314" width="8.109375" style="1284" bestFit="1" customWidth="1"/>
    <col min="3315" max="3315" width="16.109375" style="1284" customWidth="1"/>
    <col min="3316" max="3343" width="11.6640625" style="1284" customWidth="1"/>
    <col min="3344" max="3563" width="9" style="1284"/>
    <col min="3564" max="3564" width="1.109375" style="1284" customWidth="1"/>
    <col min="3565" max="3565" width="8" style="1284" customWidth="1"/>
    <col min="3566" max="3566" width="8.44140625" style="1284" customWidth="1"/>
    <col min="3567" max="3567" width="23.6640625" style="1284" customWidth="1"/>
    <col min="3568" max="3568" width="21.6640625" style="1284" customWidth="1"/>
    <col min="3569" max="3569" width="9.44140625" style="1284" customWidth="1"/>
    <col min="3570" max="3570" width="8.109375" style="1284" bestFit="1" customWidth="1"/>
    <col min="3571" max="3571" width="16.109375" style="1284" customWidth="1"/>
    <col min="3572" max="3599" width="11.6640625" style="1284" customWidth="1"/>
    <col min="3600" max="3819" width="9" style="1284"/>
    <col min="3820" max="3820" width="1.109375" style="1284" customWidth="1"/>
    <col min="3821" max="3821" width="8" style="1284" customWidth="1"/>
    <col min="3822" max="3822" width="8.44140625" style="1284" customWidth="1"/>
    <col min="3823" max="3823" width="23.6640625" style="1284" customWidth="1"/>
    <col min="3824" max="3824" width="21.6640625" style="1284" customWidth="1"/>
    <col min="3825" max="3825" width="9.44140625" style="1284" customWidth="1"/>
    <col min="3826" max="3826" width="8.109375" style="1284" bestFit="1" customWidth="1"/>
    <col min="3827" max="3827" width="16.109375" style="1284" customWidth="1"/>
    <col min="3828" max="3855" width="11.6640625" style="1284" customWidth="1"/>
    <col min="3856" max="4075" width="9" style="1284"/>
    <col min="4076" max="4076" width="1.109375" style="1284" customWidth="1"/>
    <col min="4077" max="4077" width="8" style="1284" customWidth="1"/>
    <col min="4078" max="4078" width="8.44140625" style="1284" customWidth="1"/>
    <col min="4079" max="4079" width="23.6640625" style="1284" customWidth="1"/>
    <col min="4080" max="4080" width="21.6640625" style="1284" customWidth="1"/>
    <col min="4081" max="4081" width="9.44140625" style="1284" customWidth="1"/>
    <col min="4082" max="4082" width="8.109375" style="1284" bestFit="1" customWidth="1"/>
    <col min="4083" max="4083" width="16.109375" style="1284" customWidth="1"/>
    <col min="4084" max="4111" width="11.6640625" style="1284" customWidth="1"/>
    <col min="4112" max="4331" width="9" style="1284"/>
    <col min="4332" max="4332" width="1.109375" style="1284" customWidth="1"/>
    <col min="4333" max="4333" width="8" style="1284" customWidth="1"/>
    <col min="4334" max="4334" width="8.44140625" style="1284" customWidth="1"/>
    <col min="4335" max="4335" width="23.6640625" style="1284" customWidth="1"/>
    <col min="4336" max="4336" width="21.6640625" style="1284" customWidth="1"/>
    <col min="4337" max="4337" width="9.44140625" style="1284" customWidth="1"/>
    <col min="4338" max="4338" width="8.109375" style="1284" bestFit="1" customWidth="1"/>
    <col min="4339" max="4339" width="16.109375" style="1284" customWidth="1"/>
    <col min="4340" max="4367" width="11.6640625" style="1284" customWidth="1"/>
    <col min="4368" max="4587" width="9" style="1284"/>
    <col min="4588" max="4588" width="1.109375" style="1284" customWidth="1"/>
    <col min="4589" max="4589" width="8" style="1284" customWidth="1"/>
    <col min="4590" max="4590" width="8.44140625" style="1284" customWidth="1"/>
    <col min="4591" max="4591" width="23.6640625" style="1284" customWidth="1"/>
    <col min="4592" max="4592" width="21.6640625" style="1284" customWidth="1"/>
    <col min="4593" max="4593" width="9.44140625" style="1284" customWidth="1"/>
    <col min="4594" max="4594" width="8.109375" style="1284" bestFit="1" customWidth="1"/>
    <col min="4595" max="4595" width="16.109375" style="1284" customWidth="1"/>
    <col min="4596" max="4623" width="11.6640625" style="1284" customWidth="1"/>
    <col min="4624" max="4843" width="9" style="1284"/>
    <col min="4844" max="4844" width="1.109375" style="1284" customWidth="1"/>
    <col min="4845" max="4845" width="8" style="1284" customWidth="1"/>
    <col min="4846" max="4846" width="8.44140625" style="1284" customWidth="1"/>
    <col min="4847" max="4847" width="23.6640625" style="1284" customWidth="1"/>
    <col min="4848" max="4848" width="21.6640625" style="1284" customWidth="1"/>
    <col min="4849" max="4849" width="9.44140625" style="1284" customWidth="1"/>
    <col min="4850" max="4850" width="8.109375" style="1284" bestFit="1" customWidth="1"/>
    <col min="4851" max="4851" width="16.109375" style="1284" customWidth="1"/>
    <col min="4852" max="4879" width="11.6640625" style="1284" customWidth="1"/>
    <col min="4880" max="5099" width="9" style="1284"/>
    <col min="5100" max="5100" width="1.109375" style="1284" customWidth="1"/>
    <col min="5101" max="5101" width="8" style="1284" customWidth="1"/>
    <col min="5102" max="5102" width="8.44140625" style="1284" customWidth="1"/>
    <col min="5103" max="5103" width="23.6640625" style="1284" customWidth="1"/>
    <col min="5104" max="5104" width="21.6640625" style="1284" customWidth="1"/>
    <col min="5105" max="5105" width="9.44140625" style="1284" customWidth="1"/>
    <col min="5106" max="5106" width="8.109375" style="1284" bestFit="1" customWidth="1"/>
    <col min="5107" max="5107" width="16.109375" style="1284" customWidth="1"/>
    <col min="5108" max="5135" width="11.6640625" style="1284" customWidth="1"/>
    <col min="5136" max="5355" width="9" style="1284"/>
    <col min="5356" max="5356" width="1.109375" style="1284" customWidth="1"/>
    <col min="5357" max="5357" width="8" style="1284" customWidth="1"/>
    <col min="5358" max="5358" width="8.44140625" style="1284" customWidth="1"/>
    <col min="5359" max="5359" width="23.6640625" style="1284" customWidth="1"/>
    <col min="5360" max="5360" width="21.6640625" style="1284" customWidth="1"/>
    <col min="5361" max="5361" width="9.44140625" style="1284" customWidth="1"/>
    <col min="5362" max="5362" width="8.109375" style="1284" bestFit="1" customWidth="1"/>
    <col min="5363" max="5363" width="16.109375" style="1284" customWidth="1"/>
    <col min="5364" max="5391" width="11.6640625" style="1284" customWidth="1"/>
    <col min="5392" max="5611" width="9" style="1284"/>
    <col min="5612" max="5612" width="1.109375" style="1284" customWidth="1"/>
    <col min="5613" max="5613" width="8" style="1284" customWidth="1"/>
    <col min="5614" max="5614" width="8.44140625" style="1284" customWidth="1"/>
    <col min="5615" max="5615" width="23.6640625" style="1284" customWidth="1"/>
    <col min="5616" max="5616" width="21.6640625" style="1284" customWidth="1"/>
    <col min="5617" max="5617" width="9.44140625" style="1284" customWidth="1"/>
    <col min="5618" max="5618" width="8.109375" style="1284" bestFit="1" customWidth="1"/>
    <col min="5619" max="5619" width="16.109375" style="1284" customWidth="1"/>
    <col min="5620" max="5647" width="11.6640625" style="1284" customWidth="1"/>
    <col min="5648" max="5867" width="9" style="1284"/>
    <col min="5868" max="5868" width="1.109375" style="1284" customWidth="1"/>
    <col min="5869" max="5869" width="8" style="1284" customWidth="1"/>
    <col min="5870" max="5870" width="8.44140625" style="1284" customWidth="1"/>
    <col min="5871" max="5871" width="23.6640625" style="1284" customWidth="1"/>
    <col min="5872" max="5872" width="21.6640625" style="1284" customWidth="1"/>
    <col min="5873" max="5873" width="9.44140625" style="1284" customWidth="1"/>
    <col min="5874" max="5874" width="8.109375" style="1284" bestFit="1" customWidth="1"/>
    <col min="5875" max="5875" width="16.109375" style="1284" customWidth="1"/>
    <col min="5876" max="5903" width="11.6640625" style="1284" customWidth="1"/>
    <col min="5904" max="6123" width="9" style="1284"/>
    <col min="6124" max="6124" width="1.109375" style="1284" customWidth="1"/>
    <col min="6125" max="6125" width="8" style="1284" customWidth="1"/>
    <col min="6126" max="6126" width="8.44140625" style="1284" customWidth="1"/>
    <col min="6127" max="6127" width="23.6640625" style="1284" customWidth="1"/>
    <col min="6128" max="6128" width="21.6640625" style="1284" customWidth="1"/>
    <col min="6129" max="6129" width="9.44140625" style="1284" customWidth="1"/>
    <col min="6130" max="6130" width="8.109375" style="1284" bestFit="1" customWidth="1"/>
    <col min="6131" max="6131" width="16.109375" style="1284" customWidth="1"/>
    <col min="6132" max="6159" width="11.6640625" style="1284" customWidth="1"/>
    <col min="6160" max="6379" width="9" style="1284"/>
    <col min="6380" max="6380" width="1.109375" style="1284" customWidth="1"/>
    <col min="6381" max="6381" width="8" style="1284" customWidth="1"/>
    <col min="6382" max="6382" width="8.44140625" style="1284" customWidth="1"/>
    <col min="6383" max="6383" width="23.6640625" style="1284" customWidth="1"/>
    <col min="6384" max="6384" width="21.6640625" style="1284" customWidth="1"/>
    <col min="6385" max="6385" width="9.44140625" style="1284" customWidth="1"/>
    <col min="6386" max="6386" width="8.109375" style="1284" bestFit="1" customWidth="1"/>
    <col min="6387" max="6387" width="16.109375" style="1284" customWidth="1"/>
    <col min="6388" max="6415" width="11.6640625" style="1284" customWidth="1"/>
    <col min="6416" max="6635" width="9" style="1284"/>
    <col min="6636" max="6636" width="1.109375" style="1284" customWidth="1"/>
    <col min="6637" max="6637" width="8" style="1284" customWidth="1"/>
    <col min="6638" max="6638" width="8.44140625" style="1284" customWidth="1"/>
    <col min="6639" max="6639" width="23.6640625" style="1284" customWidth="1"/>
    <col min="6640" max="6640" width="21.6640625" style="1284" customWidth="1"/>
    <col min="6641" max="6641" width="9.44140625" style="1284" customWidth="1"/>
    <col min="6642" max="6642" width="8.109375" style="1284" bestFit="1" customWidth="1"/>
    <col min="6643" max="6643" width="16.109375" style="1284" customWidth="1"/>
    <col min="6644" max="6671" width="11.6640625" style="1284" customWidth="1"/>
    <col min="6672" max="6891" width="9" style="1284"/>
    <col min="6892" max="6892" width="1.109375" style="1284" customWidth="1"/>
    <col min="6893" max="6893" width="8" style="1284" customWidth="1"/>
    <col min="6894" max="6894" width="8.44140625" style="1284" customWidth="1"/>
    <col min="6895" max="6895" width="23.6640625" style="1284" customWidth="1"/>
    <col min="6896" max="6896" width="21.6640625" style="1284" customWidth="1"/>
    <col min="6897" max="6897" width="9.44140625" style="1284" customWidth="1"/>
    <col min="6898" max="6898" width="8.109375" style="1284" bestFit="1" customWidth="1"/>
    <col min="6899" max="6899" width="16.109375" style="1284" customWidth="1"/>
    <col min="6900" max="6927" width="11.6640625" style="1284" customWidth="1"/>
    <col min="6928" max="7147" width="9" style="1284"/>
    <col min="7148" max="7148" width="1.109375" style="1284" customWidth="1"/>
    <col min="7149" max="7149" width="8" style="1284" customWidth="1"/>
    <col min="7150" max="7150" width="8.44140625" style="1284" customWidth="1"/>
    <col min="7151" max="7151" width="23.6640625" style="1284" customWidth="1"/>
    <col min="7152" max="7152" width="21.6640625" style="1284" customWidth="1"/>
    <col min="7153" max="7153" width="9.44140625" style="1284" customWidth="1"/>
    <col min="7154" max="7154" width="8.109375" style="1284" bestFit="1" customWidth="1"/>
    <col min="7155" max="7155" width="16.109375" style="1284" customWidth="1"/>
    <col min="7156" max="7183" width="11.6640625" style="1284" customWidth="1"/>
    <col min="7184" max="7403" width="9" style="1284"/>
    <col min="7404" max="7404" width="1.109375" style="1284" customWidth="1"/>
    <col min="7405" max="7405" width="8" style="1284" customWidth="1"/>
    <col min="7406" max="7406" width="8.44140625" style="1284" customWidth="1"/>
    <col min="7407" max="7407" width="23.6640625" style="1284" customWidth="1"/>
    <col min="7408" max="7408" width="21.6640625" style="1284" customWidth="1"/>
    <col min="7409" max="7409" width="9.44140625" style="1284" customWidth="1"/>
    <col min="7410" max="7410" width="8.109375" style="1284" bestFit="1" customWidth="1"/>
    <col min="7411" max="7411" width="16.109375" style="1284" customWidth="1"/>
    <col min="7412" max="7439" width="11.6640625" style="1284" customWidth="1"/>
    <col min="7440" max="7659" width="9" style="1284"/>
    <col min="7660" max="7660" width="1.109375" style="1284" customWidth="1"/>
    <col min="7661" max="7661" width="8" style="1284" customWidth="1"/>
    <col min="7662" max="7662" width="8.44140625" style="1284" customWidth="1"/>
    <col min="7663" max="7663" width="23.6640625" style="1284" customWidth="1"/>
    <col min="7664" max="7664" width="21.6640625" style="1284" customWidth="1"/>
    <col min="7665" max="7665" width="9.44140625" style="1284" customWidth="1"/>
    <col min="7666" max="7666" width="8.109375" style="1284" bestFit="1" customWidth="1"/>
    <col min="7667" max="7667" width="16.109375" style="1284" customWidth="1"/>
    <col min="7668" max="7695" width="11.6640625" style="1284" customWidth="1"/>
    <col min="7696" max="7915" width="9" style="1284"/>
    <col min="7916" max="7916" width="1.109375" style="1284" customWidth="1"/>
    <col min="7917" max="7917" width="8" style="1284" customWidth="1"/>
    <col min="7918" max="7918" width="8.44140625" style="1284" customWidth="1"/>
    <col min="7919" max="7919" width="23.6640625" style="1284" customWidth="1"/>
    <col min="7920" max="7920" width="21.6640625" style="1284" customWidth="1"/>
    <col min="7921" max="7921" width="9.44140625" style="1284" customWidth="1"/>
    <col min="7922" max="7922" width="8.109375" style="1284" bestFit="1" customWidth="1"/>
    <col min="7923" max="7923" width="16.109375" style="1284" customWidth="1"/>
    <col min="7924" max="7951" width="11.6640625" style="1284" customWidth="1"/>
    <col min="7952" max="8171" width="9" style="1284"/>
    <col min="8172" max="8172" width="1.109375" style="1284" customWidth="1"/>
    <col min="8173" max="8173" width="8" style="1284" customWidth="1"/>
    <col min="8174" max="8174" width="8.44140625" style="1284" customWidth="1"/>
    <col min="8175" max="8175" width="23.6640625" style="1284" customWidth="1"/>
    <col min="8176" max="8176" width="21.6640625" style="1284" customWidth="1"/>
    <col min="8177" max="8177" width="9.44140625" style="1284" customWidth="1"/>
    <col min="8178" max="8178" width="8.109375" style="1284" bestFit="1" customWidth="1"/>
    <col min="8179" max="8179" width="16.109375" style="1284" customWidth="1"/>
    <col min="8180" max="8207" width="11.6640625" style="1284" customWidth="1"/>
    <col min="8208" max="8427" width="9" style="1284"/>
    <col min="8428" max="8428" width="1.109375" style="1284" customWidth="1"/>
    <col min="8429" max="8429" width="8" style="1284" customWidth="1"/>
    <col min="8430" max="8430" width="8.44140625" style="1284" customWidth="1"/>
    <col min="8431" max="8431" width="23.6640625" style="1284" customWidth="1"/>
    <col min="8432" max="8432" width="21.6640625" style="1284" customWidth="1"/>
    <col min="8433" max="8433" width="9.44140625" style="1284" customWidth="1"/>
    <col min="8434" max="8434" width="8.109375" style="1284" bestFit="1" customWidth="1"/>
    <col min="8435" max="8435" width="16.109375" style="1284" customWidth="1"/>
    <col min="8436" max="8463" width="11.6640625" style="1284" customWidth="1"/>
    <col min="8464" max="8683" width="9" style="1284"/>
    <col min="8684" max="8684" width="1.109375" style="1284" customWidth="1"/>
    <col min="8685" max="8685" width="8" style="1284" customWidth="1"/>
    <col min="8686" max="8686" width="8.44140625" style="1284" customWidth="1"/>
    <col min="8687" max="8687" width="23.6640625" style="1284" customWidth="1"/>
    <col min="8688" max="8688" width="21.6640625" style="1284" customWidth="1"/>
    <col min="8689" max="8689" width="9.44140625" style="1284" customWidth="1"/>
    <col min="8690" max="8690" width="8.109375" style="1284" bestFit="1" customWidth="1"/>
    <col min="8691" max="8691" width="16.109375" style="1284" customWidth="1"/>
    <col min="8692" max="8719" width="11.6640625" style="1284" customWidth="1"/>
    <col min="8720" max="8939" width="9" style="1284"/>
    <col min="8940" max="8940" width="1.109375" style="1284" customWidth="1"/>
    <col min="8941" max="8941" width="8" style="1284" customWidth="1"/>
    <col min="8942" max="8942" width="8.44140625" style="1284" customWidth="1"/>
    <col min="8943" max="8943" width="23.6640625" style="1284" customWidth="1"/>
    <col min="8944" max="8944" width="21.6640625" style="1284" customWidth="1"/>
    <col min="8945" max="8945" width="9.44140625" style="1284" customWidth="1"/>
    <col min="8946" max="8946" width="8.109375" style="1284" bestFit="1" customWidth="1"/>
    <col min="8947" max="8947" width="16.109375" style="1284" customWidth="1"/>
    <col min="8948" max="8975" width="11.6640625" style="1284" customWidth="1"/>
    <col min="8976" max="9195" width="9" style="1284"/>
    <col min="9196" max="9196" width="1.109375" style="1284" customWidth="1"/>
    <col min="9197" max="9197" width="8" style="1284" customWidth="1"/>
    <col min="9198" max="9198" width="8.44140625" style="1284" customWidth="1"/>
    <col min="9199" max="9199" width="23.6640625" style="1284" customWidth="1"/>
    <col min="9200" max="9200" width="21.6640625" style="1284" customWidth="1"/>
    <col min="9201" max="9201" width="9.44140625" style="1284" customWidth="1"/>
    <col min="9202" max="9202" width="8.109375" style="1284" bestFit="1" customWidth="1"/>
    <col min="9203" max="9203" width="16.109375" style="1284" customWidth="1"/>
    <col min="9204" max="9231" width="11.6640625" style="1284" customWidth="1"/>
    <col min="9232" max="9451" width="9" style="1284"/>
    <col min="9452" max="9452" width="1.109375" style="1284" customWidth="1"/>
    <col min="9453" max="9453" width="8" style="1284" customWidth="1"/>
    <col min="9454" max="9454" width="8.44140625" style="1284" customWidth="1"/>
    <col min="9455" max="9455" width="23.6640625" style="1284" customWidth="1"/>
    <col min="9456" max="9456" width="21.6640625" style="1284" customWidth="1"/>
    <col min="9457" max="9457" width="9.44140625" style="1284" customWidth="1"/>
    <col min="9458" max="9458" width="8.109375" style="1284" bestFit="1" customWidth="1"/>
    <col min="9459" max="9459" width="16.109375" style="1284" customWidth="1"/>
    <col min="9460" max="9487" width="11.6640625" style="1284" customWidth="1"/>
    <col min="9488" max="9707" width="9" style="1284"/>
    <col min="9708" max="9708" width="1.109375" style="1284" customWidth="1"/>
    <col min="9709" max="9709" width="8" style="1284" customWidth="1"/>
    <col min="9710" max="9710" width="8.44140625" style="1284" customWidth="1"/>
    <col min="9711" max="9711" width="23.6640625" style="1284" customWidth="1"/>
    <col min="9712" max="9712" width="21.6640625" style="1284" customWidth="1"/>
    <col min="9713" max="9713" width="9.44140625" style="1284" customWidth="1"/>
    <col min="9714" max="9714" width="8.109375" style="1284" bestFit="1" customWidth="1"/>
    <col min="9715" max="9715" width="16.109375" style="1284" customWidth="1"/>
    <col min="9716" max="9743" width="11.6640625" style="1284" customWidth="1"/>
    <col min="9744" max="9963" width="9" style="1284"/>
    <col min="9964" max="9964" width="1.109375" style="1284" customWidth="1"/>
    <col min="9965" max="9965" width="8" style="1284" customWidth="1"/>
    <col min="9966" max="9966" width="8.44140625" style="1284" customWidth="1"/>
    <col min="9967" max="9967" width="23.6640625" style="1284" customWidth="1"/>
    <col min="9968" max="9968" width="21.6640625" style="1284" customWidth="1"/>
    <col min="9969" max="9969" width="9.44140625" style="1284" customWidth="1"/>
    <col min="9970" max="9970" width="8.109375" style="1284" bestFit="1" customWidth="1"/>
    <col min="9971" max="9971" width="16.109375" style="1284" customWidth="1"/>
    <col min="9972" max="9999" width="11.6640625" style="1284" customWidth="1"/>
    <col min="10000" max="10219" width="9" style="1284"/>
    <col min="10220" max="10220" width="1.109375" style="1284" customWidth="1"/>
    <col min="10221" max="10221" width="8" style="1284" customWidth="1"/>
    <col min="10222" max="10222" width="8.44140625" style="1284" customWidth="1"/>
    <col min="10223" max="10223" width="23.6640625" style="1284" customWidth="1"/>
    <col min="10224" max="10224" width="21.6640625" style="1284" customWidth="1"/>
    <col min="10225" max="10225" width="9.44140625" style="1284" customWidth="1"/>
    <col min="10226" max="10226" width="8.109375" style="1284" bestFit="1" customWidth="1"/>
    <col min="10227" max="10227" width="16.109375" style="1284" customWidth="1"/>
    <col min="10228" max="10255" width="11.6640625" style="1284" customWidth="1"/>
    <col min="10256" max="10475" width="9" style="1284"/>
    <col min="10476" max="10476" width="1.109375" style="1284" customWidth="1"/>
    <col min="10477" max="10477" width="8" style="1284" customWidth="1"/>
    <col min="10478" max="10478" width="8.44140625" style="1284" customWidth="1"/>
    <col min="10479" max="10479" width="23.6640625" style="1284" customWidth="1"/>
    <col min="10480" max="10480" width="21.6640625" style="1284" customWidth="1"/>
    <col min="10481" max="10481" width="9.44140625" style="1284" customWidth="1"/>
    <col min="10482" max="10482" width="8.109375" style="1284" bestFit="1" customWidth="1"/>
    <col min="10483" max="10483" width="16.109375" style="1284" customWidth="1"/>
    <col min="10484" max="10511" width="11.6640625" style="1284" customWidth="1"/>
    <col min="10512" max="10731" width="9" style="1284"/>
    <col min="10732" max="10732" width="1.109375" style="1284" customWidth="1"/>
    <col min="10733" max="10733" width="8" style="1284" customWidth="1"/>
    <col min="10734" max="10734" width="8.44140625" style="1284" customWidth="1"/>
    <col min="10735" max="10735" width="23.6640625" style="1284" customWidth="1"/>
    <col min="10736" max="10736" width="21.6640625" style="1284" customWidth="1"/>
    <col min="10737" max="10737" width="9.44140625" style="1284" customWidth="1"/>
    <col min="10738" max="10738" width="8.109375" style="1284" bestFit="1" customWidth="1"/>
    <col min="10739" max="10739" width="16.109375" style="1284" customWidth="1"/>
    <col min="10740" max="10767" width="11.6640625" style="1284" customWidth="1"/>
    <col min="10768" max="10987" width="9" style="1284"/>
    <col min="10988" max="10988" width="1.109375" style="1284" customWidth="1"/>
    <col min="10989" max="10989" width="8" style="1284" customWidth="1"/>
    <col min="10990" max="10990" width="8.44140625" style="1284" customWidth="1"/>
    <col min="10991" max="10991" width="23.6640625" style="1284" customWidth="1"/>
    <col min="10992" max="10992" width="21.6640625" style="1284" customWidth="1"/>
    <col min="10993" max="10993" width="9.44140625" style="1284" customWidth="1"/>
    <col min="10994" max="10994" width="8.109375" style="1284" bestFit="1" customWidth="1"/>
    <col min="10995" max="10995" width="16.109375" style="1284" customWidth="1"/>
    <col min="10996" max="11023" width="11.6640625" style="1284" customWidth="1"/>
    <col min="11024" max="11243" width="9" style="1284"/>
    <col min="11244" max="11244" width="1.109375" style="1284" customWidth="1"/>
    <col min="11245" max="11245" width="8" style="1284" customWidth="1"/>
    <col min="11246" max="11246" width="8.44140625" style="1284" customWidth="1"/>
    <col min="11247" max="11247" width="23.6640625" style="1284" customWidth="1"/>
    <col min="11248" max="11248" width="21.6640625" style="1284" customWidth="1"/>
    <col min="11249" max="11249" width="9.44140625" style="1284" customWidth="1"/>
    <col min="11250" max="11250" width="8.109375" style="1284" bestFit="1" customWidth="1"/>
    <col min="11251" max="11251" width="16.109375" style="1284" customWidth="1"/>
    <col min="11252" max="11279" width="11.6640625" style="1284" customWidth="1"/>
    <col min="11280" max="11499" width="9" style="1284"/>
    <col min="11500" max="11500" width="1.109375" style="1284" customWidth="1"/>
    <col min="11501" max="11501" width="8" style="1284" customWidth="1"/>
    <col min="11502" max="11502" width="8.44140625" style="1284" customWidth="1"/>
    <col min="11503" max="11503" width="23.6640625" style="1284" customWidth="1"/>
    <col min="11504" max="11504" width="21.6640625" style="1284" customWidth="1"/>
    <col min="11505" max="11505" width="9.44140625" style="1284" customWidth="1"/>
    <col min="11506" max="11506" width="8.109375" style="1284" bestFit="1" customWidth="1"/>
    <col min="11507" max="11507" width="16.109375" style="1284" customWidth="1"/>
    <col min="11508" max="11535" width="11.6640625" style="1284" customWidth="1"/>
    <col min="11536" max="11755" width="9" style="1284"/>
    <col min="11756" max="11756" width="1.109375" style="1284" customWidth="1"/>
    <col min="11757" max="11757" width="8" style="1284" customWidth="1"/>
    <col min="11758" max="11758" width="8.44140625" style="1284" customWidth="1"/>
    <col min="11759" max="11759" width="23.6640625" style="1284" customWidth="1"/>
    <col min="11760" max="11760" width="21.6640625" style="1284" customWidth="1"/>
    <col min="11761" max="11761" width="9.44140625" style="1284" customWidth="1"/>
    <col min="11762" max="11762" width="8.109375" style="1284" bestFit="1" customWidth="1"/>
    <col min="11763" max="11763" width="16.109375" style="1284" customWidth="1"/>
    <col min="11764" max="11791" width="11.6640625" style="1284" customWidth="1"/>
    <col min="11792" max="12011" width="9" style="1284"/>
    <col min="12012" max="12012" width="1.109375" style="1284" customWidth="1"/>
    <col min="12013" max="12013" width="8" style="1284" customWidth="1"/>
    <col min="12014" max="12014" width="8.44140625" style="1284" customWidth="1"/>
    <col min="12015" max="12015" width="23.6640625" style="1284" customWidth="1"/>
    <col min="12016" max="12016" width="21.6640625" style="1284" customWidth="1"/>
    <col min="12017" max="12017" width="9.44140625" style="1284" customWidth="1"/>
    <col min="12018" max="12018" width="8.109375" style="1284" bestFit="1" customWidth="1"/>
    <col min="12019" max="12019" width="16.109375" style="1284" customWidth="1"/>
    <col min="12020" max="12047" width="11.6640625" style="1284" customWidth="1"/>
    <col min="12048" max="12267" width="9" style="1284"/>
    <col min="12268" max="12268" width="1.109375" style="1284" customWidth="1"/>
    <col min="12269" max="12269" width="8" style="1284" customWidth="1"/>
    <col min="12270" max="12270" width="8.44140625" style="1284" customWidth="1"/>
    <col min="12271" max="12271" width="23.6640625" style="1284" customWidth="1"/>
    <col min="12272" max="12272" width="21.6640625" style="1284" customWidth="1"/>
    <col min="12273" max="12273" width="9.44140625" style="1284" customWidth="1"/>
    <col min="12274" max="12274" width="8.109375" style="1284" bestFit="1" customWidth="1"/>
    <col min="12275" max="12275" width="16.109375" style="1284" customWidth="1"/>
    <col min="12276" max="12303" width="11.6640625" style="1284" customWidth="1"/>
    <col min="12304" max="12523" width="9" style="1284"/>
    <col min="12524" max="12524" width="1.109375" style="1284" customWidth="1"/>
    <col min="12525" max="12525" width="8" style="1284" customWidth="1"/>
    <col min="12526" max="12526" width="8.44140625" style="1284" customWidth="1"/>
    <col min="12527" max="12527" width="23.6640625" style="1284" customWidth="1"/>
    <col min="12528" max="12528" width="21.6640625" style="1284" customWidth="1"/>
    <col min="12529" max="12529" width="9.44140625" style="1284" customWidth="1"/>
    <col min="12530" max="12530" width="8.109375" style="1284" bestFit="1" customWidth="1"/>
    <col min="12531" max="12531" width="16.109375" style="1284" customWidth="1"/>
    <col min="12532" max="12559" width="11.6640625" style="1284" customWidth="1"/>
    <col min="12560" max="12779" width="9" style="1284"/>
    <col min="12780" max="12780" width="1.109375" style="1284" customWidth="1"/>
    <col min="12781" max="12781" width="8" style="1284" customWidth="1"/>
    <col min="12782" max="12782" width="8.44140625" style="1284" customWidth="1"/>
    <col min="12783" max="12783" width="23.6640625" style="1284" customWidth="1"/>
    <col min="12784" max="12784" width="21.6640625" style="1284" customWidth="1"/>
    <col min="12785" max="12785" width="9.44140625" style="1284" customWidth="1"/>
    <col min="12786" max="12786" width="8.109375" style="1284" bestFit="1" customWidth="1"/>
    <col min="12787" max="12787" width="16.109375" style="1284" customWidth="1"/>
    <col min="12788" max="12815" width="11.6640625" style="1284" customWidth="1"/>
    <col min="12816" max="13035" width="9" style="1284"/>
    <col min="13036" max="13036" width="1.109375" style="1284" customWidth="1"/>
    <col min="13037" max="13037" width="8" style="1284" customWidth="1"/>
    <col min="13038" max="13038" width="8.44140625" style="1284" customWidth="1"/>
    <col min="13039" max="13039" width="23.6640625" style="1284" customWidth="1"/>
    <col min="13040" max="13040" width="21.6640625" style="1284" customWidth="1"/>
    <col min="13041" max="13041" width="9.44140625" style="1284" customWidth="1"/>
    <col min="13042" max="13042" width="8.109375" style="1284" bestFit="1" customWidth="1"/>
    <col min="13043" max="13043" width="16.109375" style="1284" customWidth="1"/>
    <col min="13044" max="13071" width="11.6640625" style="1284" customWidth="1"/>
    <col min="13072" max="13291" width="9" style="1284"/>
    <col min="13292" max="13292" width="1.109375" style="1284" customWidth="1"/>
    <col min="13293" max="13293" width="8" style="1284" customWidth="1"/>
    <col min="13294" max="13294" width="8.44140625" style="1284" customWidth="1"/>
    <col min="13295" max="13295" width="23.6640625" style="1284" customWidth="1"/>
    <col min="13296" max="13296" width="21.6640625" style="1284" customWidth="1"/>
    <col min="13297" max="13297" width="9.44140625" style="1284" customWidth="1"/>
    <col min="13298" max="13298" width="8.109375" style="1284" bestFit="1" customWidth="1"/>
    <col min="13299" max="13299" width="16.109375" style="1284" customWidth="1"/>
    <col min="13300" max="13327" width="11.6640625" style="1284" customWidth="1"/>
    <col min="13328" max="13547" width="9" style="1284"/>
    <col min="13548" max="13548" width="1.109375" style="1284" customWidth="1"/>
    <col min="13549" max="13549" width="8" style="1284" customWidth="1"/>
    <col min="13550" max="13550" width="8.44140625" style="1284" customWidth="1"/>
    <col min="13551" max="13551" width="23.6640625" style="1284" customWidth="1"/>
    <col min="13552" max="13552" width="21.6640625" style="1284" customWidth="1"/>
    <col min="13553" max="13553" width="9.44140625" style="1284" customWidth="1"/>
    <col min="13554" max="13554" width="8.109375" style="1284" bestFit="1" customWidth="1"/>
    <col min="13555" max="13555" width="16.109375" style="1284" customWidth="1"/>
    <col min="13556" max="13583" width="11.6640625" style="1284" customWidth="1"/>
    <col min="13584" max="13803" width="9" style="1284"/>
    <col min="13804" max="13804" width="1.109375" style="1284" customWidth="1"/>
    <col min="13805" max="13805" width="8" style="1284" customWidth="1"/>
    <col min="13806" max="13806" width="8.44140625" style="1284" customWidth="1"/>
    <col min="13807" max="13807" width="23.6640625" style="1284" customWidth="1"/>
    <col min="13808" max="13808" width="21.6640625" style="1284" customWidth="1"/>
    <col min="13809" max="13809" width="9.44140625" style="1284" customWidth="1"/>
    <col min="13810" max="13810" width="8.109375" style="1284" bestFit="1" customWidth="1"/>
    <col min="13811" max="13811" width="16.109375" style="1284" customWidth="1"/>
    <col min="13812" max="13839" width="11.6640625" style="1284" customWidth="1"/>
    <col min="13840" max="14059" width="9" style="1284"/>
    <col min="14060" max="14060" width="1.109375" style="1284" customWidth="1"/>
    <col min="14061" max="14061" width="8" style="1284" customWidth="1"/>
    <col min="14062" max="14062" width="8.44140625" style="1284" customWidth="1"/>
    <col min="14063" max="14063" width="23.6640625" style="1284" customWidth="1"/>
    <col min="14064" max="14064" width="21.6640625" style="1284" customWidth="1"/>
    <col min="14065" max="14065" width="9.44140625" style="1284" customWidth="1"/>
    <col min="14066" max="14066" width="8.109375" style="1284" bestFit="1" customWidth="1"/>
    <col min="14067" max="14067" width="16.109375" style="1284" customWidth="1"/>
    <col min="14068" max="14095" width="11.6640625" style="1284" customWidth="1"/>
    <col min="14096" max="14315" width="9" style="1284"/>
    <col min="14316" max="14316" width="1.109375" style="1284" customWidth="1"/>
    <col min="14317" max="14317" width="8" style="1284" customWidth="1"/>
    <col min="14318" max="14318" width="8.44140625" style="1284" customWidth="1"/>
    <col min="14319" max="14319" width="23.6640625" style="1284" customWidth="1"/>
    <col min="14320" max="14320" width="21.6640625" style="1284" customWidth="1"/>
    <col min="14321" max="14321" width="9.44140625" style="1284" customWidth="1"/>
    <col min="14322" max="14322" width="8.109375" style="1284" bestFit="1" customWidth="1"/>
    <col min="14323" max="14323" width="16.109375" style="1284" customWidth="1"/>
    <col min="14324" max="14351" width="11.6640625" style="1284" customWidth="1"/>
    <col min="14352" max="14571" width="9" style="1284"/>
    <col min="14572" max="14572" width="1.109375" style="1284" customWidth="1"/>
    <col min="14573" max="14573" width="8" style="1284" customWidth="1"/>
    <col min="14574" max="14574" width="8.44140625" style="1284" customWidth="1"/>
    <col min="14575" max="14575" width="23.6640625" style="1284" customWidth="1"/>
    <col min="14576" max="14576" width="21.6640625" style="1284" customWidth="1"/>
    <col min="14577" max="14577" width="9.44140625" style="1284" customWidth="1"/>
    <col min="14578" max="14578" width="8.109375" style="1284" bestFit="1" customWidth="1"/>
    <col min="14579" max="14579" width="16.109375" style="1284" customWidth="1"/>
    <col min="14580" max="14607" width="11.6640625" style="1284" customWidth="1"/>
    <col min="14608" max="14827" width="9" style="1284"/>
    <col min="14828" max="14828" width="1.109375" style="1284" customWidth="1"/>
    <col min="14829" max="14829" width="8" style="1284" customWidth="1"/>
    <col min="14830" max="14830" width="8.44140625" style="1284" customWidth="1"/>
    <col min="14831" max="14831" width="23.6640625" style="1284" customWidth="1"/>
    <col min="14832" max="14832" width="21.6640625" style="1284" customWidth="1"/>
    <col min="14833" max="14833" width="9.44140625" style="1284" customWidth="1"/>
    <col min="14834" max="14834" width="8.109375" style="1284" bestFit="1" customWidth="1"/>
    <col min="14835" max="14835" width="16.109375" style="1284" customWidth="1"/>
    <col min="14836" max="14863" width="11.6640625" style="1284" customWidth="1"/>
    <col min="14864" max="15083" width="9" style="1284"/>
    <col min="15084" max="15084" width="1.109375" style="1284" customWidth="1"/>
    <col min="15085" max="15085" width="8" style="1284" customWidth="1"/>
    <col min="15086" max="15086" width="8.44140625" style="1284" customWidth="1"/>
    <col min="15087" max="15087" width="23.6640625" style="1284" customWidth="1"/>
    <col min="15088" max="15088" width="21.6640625" style="1284" customWidth="1"/>
    <col min="15089" max="15089" width="9.44140625" style="1284" customWidth="1"/>
    <col min="15090" max="15090" width="8.109375" style="1284" bestFit="1" customWidth="1"/>
    <col min="15091" max="15091" width="16.109375" style="1284" customWidth="1"/>
    <col min="15092" max="15119" width="11.6640625" style="1284" customWidth="1"/>
    <col min="15120" max="15339" width="9" style="1284"/>
    <col min="15340" max="15340" width="1.109375" style="1284" customWidth="1"/>
    <col min="15341" max="15341" width="8" style="1284" customWidth="1"/>
    <col min="15342" max="15342" width="8.44140625" style="1284" customWidth="1"/>
    <col min="15343" max="15343" width="23.6640625" style="1284" customWidth="1"/>
    <col min="15344" max="15344" width="21.6640625" style="1284" customWidth="1"/>
    <col min="15345" max="15345" width="9.44140625" style="1284" customWidth="1"/>
    <col min="15346" max="15346" width="8.109375" style="1284" bestFit="1" customWidth="1"/>
    <col min="15347" max="15347" width="16.109375" style="1284" customWidth="1"/>
    <col min="15348" max="15375" width="11.6640625" style="1284" customWidth="1"/>
    <col min="15376" max="15595" width="9" style="1284"/>
    <col min="15596" max="15596" width="1.109375" style="1284" customWidth="1"/>
    <col min="15597" max="15597" width="8" style="1284" customWidth="1"/>
    <col min="15598" max="15598" width="8.44140625" style="1284" customWidth="1"/>
    <col min="15599" max="15599" width="23.6640625" style="1284" customWidth="1"/>
    <col min="15600" max="15600" width="21.6640625" style="1284" customWidth="1"/>
    <col min="15601" max="15601" width="9.44140625" style="1284" customWidth="1"/>
    <col min="15602" max="15602" width="8.109375" style="1284" bestFit="1" customWidth="1"/>
    <col min="15603" max="15603" width="16.109375" style="1284" customWidth="1"/>
    <col min="15604" max="15631" width="11.6640625" style="1284" customWidth="1"/>
    <col min="15632" max="15851" width="9" style="1284"/>
    <col min="15852" max="15852" width="1.109375" style="1284" customWidth="1"/>
    <col min="15853" max="15853" width="8" style="1284" customWidth="1"/>
    <col min="15854" max="15854" width="8.44140625" style="1284" customWidth="1"/>
    <col min="15855" max="15855" width="23.6640625" style="1284" customWidth="1"/>
    <col min="15856" max="15856" width="21.6640625" style="1284" customWidth="1"/>
    <col min="15857" max="15857" width="9.44140625" style="1284" customWidth="1"/>
    <col min="15858" max="15858" width="8.109375" style="1284" bestFit="1" customWidth="1"/>
    <col min="15859" max="15859" width="16.109375" style="1284" customWidth="1"/>
    <col min="15860" max="15887" width="11.6640625" style="1284" customWidth="1"/>
    <col min="15888" max="16107" width="9" style="1284"/>
    <col min="16108" max="16108" width="1.109375" style="1284" customWidth="1"/>
    <col min="16109" max="16109" width="8" style="1284" customWidth="1"/>
    <col min="16110" max="16110" width="8.44140625" style="1284" customWidth="1"/>
    <col min="16111" max="16111" width="23.6640625" style="1284" customWidth="1"/>
    <col min="16112" max="16112" width="21.6640625" style="1284" customWidth="1"/>
    <col min="16113" max="16113" width="9.44140625" style="1284" customWidth="1"/>
    <col min="16114" max="16114" width="8.109375" style="1284" bestFit="1" customWidth="1"/>
    <col min="16115" max="16115" width="16.109375" style="1284" customWidth="1"/>
    <col min="16116" max="16143" width="11.6640625" style="1284" customWidth="1"/>
    <col min="16144" max="16384" width="9" style="1284"/>
  </cols>
  <sheetData>
    <row r="1" spans="2:5" ht="15" thickBot="1" x14ac:dyDescent="0.25"/>
    <row r="2" spans="2:5" ht="15.75" thickBot="1" x14ac:dyDescent="0.25">
      <c r="B2" s="1151" t="s">
        <v>63</v>
      </c>
    </row>
    <row r="3" spans="2:5" ht="44.1" customHeight="1" x14ac:dyDescent="0.25">
      <c r="B3" s="521" t="s">
        <v>438</v>
      </c>
      <c r="C3" s="1285"/>
      <c r="D3" s="1285"/>
      <c r="E3" s="1285"/>
    </row>
    <row r="4" spans="2:5" ht="15" x14ac:dyDescent="0.25">
      <c r="B4" s="521" t="s">
        <v>439</v>
      </c>
      <c r="C4" s="1285"/>
      <c r="D4" s="1285"/>
      <c r="E4" s="1285"/>
    </row>
    <row r="5" spans="2:5" s="1285" customFormat="1" ht="15" x14ac:dyDescent="0.25">
      <c r="B5" s="1308" t="s">
        <v>440</v>
      </c>
    </row>
    <row r="6" spans="2:5" s="1285" customFormat="1" ht="15" x14ac:dyDescent="0.25">
      <c r="B6" s="521" t="s">
        <v>441</v>
      </c>
    </row>
    <row r="7" spans="2:5" s="1285" customFormat="1" ht="15" x14ac:dyDescent="0.25">
      <c r="B7" s="521" t="s">
        <v>442</v>
      </c>
    </row>
    <row r="8" spans="2:5" s="1285" customFormat="1" ht="15" x14ac:dyDescent="0.25">
      <c r="B8" s="521" t="s">
        <v>443</v>
      </c>
    </row>
    <row r="9" spans="2:5" s="1285" customFormat="1" ht="15" x14ac:dyDescent="0.25">
      <c r="B9" s="1286"/>
    </row>
    <row r="10" spans="2:5" s="1285" customFormat="1" ht="15" x14ac:dyDescent="0.25">
      <c r="B10" s="1286"/>
    </row>
    <row r="11" spans="2:5" s="1285" customFormat="1" ht="15" x14ac:dyDescent="0.25">
      <c r="B11" s="1286"/>
    </row>
    <row r="12" spans="2:5" s="1285" customFormat="1" ht="15.75" thickBot="1" x14ac:dyDescent="0.3">
      <c r="B12" s="1286"/>
    </row>
    <row r="13" spans="2:5" s="1285" customFormat="1" ht="15" x14ac:dyDescent="0.25">
      <c r="B13" s="1287" t="s">
        <v>64</v>
      </c>
      <c r="C13" s="1288" t="s">
        <v>444</v>
      </c>
      <c r="D13" s="1287" t="s">
        <v>2</v>
      </c>
      <c r="E13" s="1288">
        <f>'TITLE PAGE'!D21</f>
        <v>16</v>
      </c>
    </row>
    <row r="14" spans="2:5" s="1285" customFormat="1" ht="15.75" thickBot="1" x14ac:dyDescent="0.3">
      <c r="B14" s="1289" t="s">
        <v>445</v>
      </c>
      <c r="C14" s="1290" t="s">
        <v>93</v>
      </c>
      <c r="D14" s="1291" t="s">
        <v>200</v>
      </c>
      <c r="E14" s="1290" t="s">
        <v>246</v>
      </c>
    </row>
    <row r="15" spans="2:5" s="1285" customFormat="1" ht="15" x14ac:dyDescent="0.25">
      <c r="B15" s="1286"/>
    </row>
    <row r="16" spans="2:5" s="1285" customFormat="1" ht="15" x14ac:dyDescent="0.25">
      <c r="B16" s="1286"/>
    </row>
    <row r="17" spans="1:89" s="1285" customFormat="1" ht="15" x14ac:dyDescent="0.25">
      <c r="B17" s="1286"/>
    </row>
    <row r="18" spans="1:89" s="1285" customFormat="1" ht="15" x14ac:dyDescent="0.25">
      <c r="B18" s="1286"/>
    </row>
    <row r="19" spans="1:89" s="1285" customFormat="1" ht="15" x14ac:dyDescent="0.25">
      <c r="B19" s="1286"/>
    </row>
    <row r="20" spans="1:89" s="1285" customFormat="1" ht="15" x14ac:dyDescent="0.25">
      <c r="B20" s="1286"/>
    </row>
    <row r="21" spans="1:89" ht="15" thickBot="1" x14ac:dyDescent="0.25"/>
    <row r="22" spans="1:89" ht="15.75" thickBot="1" x14ac:dyDescent="0.25">
      <c r="B22" s="522" t="s">
        <v>438</v>
      </c>
      <c r="C22" s="1306" t="s">
        <v>204</v>
      </c>
      <c r="D22" s="523"/>
      <c r="E22" s="523"/>
      <c r="F22" s="523"/>
      <c r="G22" s="523"/>
      <c r="H22" s="523"/>
      <c r="I22" s="523"/>
      <c r="J22" s="523"/>
      <c r="K22" s="523"/>
      <c r="L22" s="523"/>
      <c r="M22" s="523"/>
      <c r="N22" s="523"/>
      <c r="O22" s="523"/>
      <c r="P22" s="523"/>
      <c r="Q22" s="523"/>
      <c r="R22" s="523"/>
      <c r="S22" s="523"/>
      <c r="T22" s="523"/>
      <c r="U22" s="523"/>
      <c r="V22" s="523"/>
      <c r="W22" s="523"/>
      <c r="X22" s="523"/>
      <c r="Y22" s="523"/>
      <c r="Z22" s="523"/>
      <c r="AA22" s="523"/>
      <c r="AB22" s="523"/>
      <c r="AC22" s="523"/>
      <c r="AD22" s="523"/>
      <c r="AE22" s="523"/>
      <c r="AF22" s="523"/>
      <c r="AG22" s="523"/>
      <c r="AH22" s="523"/>
      <c r="AI22" s="523"/>
      <c r="AJ22" s="523"/>
      <c r="AK22" s="523"/>
      <c r="AL22" s="523"/>
      <c r="AM22" s="523"/>
      <c r="AN22" s="523"/>
      <c r="AO22" s="523"/>
      <c r="AP22" s="523"/>
      <c r="AQ22" s="523"/>
      <c r="AR22" s="523"/>
      <c r="AS22" s="523"/>
      <c r="AT22" s="523"/>
      <c r="AU22" s="523"/>
      <c r="AV22" s="523"/>
      <c r="AW22" s="523"/>
      <c r="AX22" s="523"/>
      <c r="AY22" s="523"/>
      <c r="AZ22" s="523"/>
      <c r="BA22" s="523"/>
      <c r="BB22" s="523"/>
      <c r="BC22" s="523"/>
      <c r="BD22" s="523"/>
      <c r="BE22" s="523"/>
      <c r="BF22" s="523"/>
      <c r="BG22" s="523"/>
      <c r="BH22" s="523"/>
      <c r="BI22" s="523"/>
      <c r="BJ22" s="523"/>
      <c r="BK22" s="523"/>
      <c r="BL22" s="523"/>
      <c r="BM22" s="523"/>
      <c r="BN22" s="523"/>
      <c r="BO22" s="523"/>
      <c r="BP22" s="523"/>
      <c r="BQ22" s="523"/>
      <c r="BR22" s="523"/>
      <c r="BS22" s="523"/>
      <c r="BT22" s="523"/>
      <c r="BU22" s="523"/>
      <c r="BV22" s="523"/>
      <c r="BW22" s="523"/>
      <c r="BX22" s="523"/>
      <c r="BY22" s="523"/>
      <c r="BZ22" s="523"/>
      <c r="CA22" s="523"/>
      <c r="CB22" s="523"/>
      <c r="CC22" s="523"/>
      <c r="CD22" s="523"/>
      <c r="CE22" s="523"/>
      <c r="CF22" s="523"/>
      <c r="CG22" s="523"/>
      <c r="CH22" s="523"/>
      <c r="CI22" s="523"/>
      <c r="CJ22" s="523"/>
    </row>
    <row r="23" spans="1:89" ht="15.75" thickBot="1" x14ac:dyDescent="0.25">
      <c r="B23" s="524" t="s">
        <v>446</v>
      </c>
      <c r="C23" s="525" t="s">
        <v>205</v>
      </c>
      <c r="D23" s="525" t="s">
        <v>71</v>
      </c>
      <c r="E23" s="525" t="s">
        <v>206</v>
      </c>
      <c r="F23" s="526" t="s">
        <v>207</v>
      </c>
      <c r="G23" s="524" t="s">
        <v>208</v>
      </c>
      <c r="H23" s="524" t="s">
        <v>209</v>
      </c>
      <c r="I23" s="524" t="s">
        <v>210</v>
      </c>
      <c r="J23" s="524" t="s">
        <v>211</v>
      </c>
      <c r="K23" s="524" t="s">
        <v>212</v>
      </c>
      <c r="L23" s="524" t="s">
        <v>213</v>
      </c>
      <c r="M23" s="525" t="s">
        <v>214</v>
      </c>
      <c r="N23" s="525" t="s">
        <v>215</v>
      </c>
      <c r="O23" s="525" t="s">
        <v>216</v>
      </c>
      <c r="P23" s="525" t="s">
        <v>217</v>
      </c>
      <c r="Q23" s="525" t="s">
        <v>218</v>
      </c>
      <c r="R23" s="525" t="s">
        <v>247</v>
      </c>
      <c r="S23" s="525" t="s">
        <v>248</v>
      </c>
      <c r="T23" s="525" t="s">
        <v>249</v>
      </c>
      <c r="U23" s="525" t="s">
        <v>250</v>
      </c>
      <c r="V23" s="525" t="s">
        <v>219</v>
      </c>
      <c r="W23" s="525" t="s">
        <v>251</v>
      </c>
      <c r="X23" s="525" t="s">
        <v>252</v>
      </c>
      <c r="Y23" s="525" t="s">
        <v>253</v>
      </c>
      <c r="Z23" s="525" t="s">
        <v>254</v>
      </c>
      <c r="AA23" s="525" t="s">
        <v>220</v>
      </c>
      <c r="AB23" s="525" t="s">
        <v>255</v>
      </c>
      <c r="AC23" s="525" t="s">
        <v>256</v>
      </c>
      <c r="AD23" s="525" t="s">
        <v>257</v>
      </c>
      <c r="AE23" s="525" t="s">
        <v>258</v>
      </c>
      <c r="AF23" s="525" t="s">
        <v>221</v>
      </c>
      <c r="AG23" s="525" t="s">
        <v>259</v>
      </c>
      <c r="AH23" s="525" t="s">
        <v>260</v>
      </c>
      <c r="AI23" s="525" t="s">
        <v>261</v>
      </c>
      <c r="AJ23" s="525" t="s">
        <v>262</v>
      </c>
      <c r="AK23" s="525" t="s">
        <v>222</v>
      </c>
      <c r="AL23" s="525" t="s">
        <v>263</v>
      </c>
      <c r="AM23" s="525" t="s">
        <v>264</v>
      </c>
      <c r="AN23" s="525" t="s">
        <v>265</v>
      </c>
      <c r="AO23" s="525" t="s">
        <v>266</v>
      </c>
      <c r="AP23" s="525" t="s">
        <v>223</v>
      </c>
      <c r="AQ23" s="525" t="s">
        <v>267</v>
      </c>
      <c r="AR23" s="525" t="s">
        <v>268</v>
      </c>
      <c r="AS23" s="525" t="s">
        <v>269</v>
      </c>
      <c r="AT23" s="525" t="s">
        <v>270</v>
      </c>
      <c r="AU23" s="525" t="s">
        <v>224</v>
      </c>
      <c r="AV23" s="525" t="s">
        <v>271</v>
      </c>
      <c r="AW23" s="525" t="s">
        <v>272</v>
      </c>
      <c r="AX23" s="525" t="s">
        <v>273</v>
      </c>
      <c r="AY23" s="525" t="s">
        <v>274</v>
      </c>
      <c r="AZ23" s="525" t="s">
        <v>225</v>
      </c>
      <c r="BA23" s="525" t="s">
        <v>275</v>
      </c>
      <c r="BB23" s="525" t="s">
        <v>276</v>
      </c>
      <c r="BC23" s="525" t="s">
        <v>277</v>
      </c>
      <c r="BD23" s="525" t="s">
        <v>278</v>
      </c>
      <c r="BE23" s="525" t="s">
        <v>226</v>
      </c>
      <c r="BF23" s="525" t="s">
        <v>279</v>
      </c>
      <c r="BG23" s="525" t="s">
        <v>280</v>
      </c>
      <c r="BH23" s="525" t="s">
        <v>281</v>
      </c>
      <c r="BI23" s="525" t="s">
        <v>282</v>
      </c>
      <c r="BJ23" s="525" t="s">
        <v>227</v>
      </c>
      <c r="BK23" s="525" t="s">
        <v>283</v>
      </c>
      <c r="BL23" s="525" t="s">
        <v>284</v>
      </c>
      <c r="BM23" s="525" t="s">
        <v>285</v>
      </c>
      <c r="BN23" s="525" t="s">
        <v>286</v>
      </c>
      <c r="BO23" s="525" t="s">
        <v>228</v>
      </c>
      <c r="BP23" s="525" t="s">
        <v>287</v>
      </c>
      <c r="BQ23" s="525" t="s">
        <v>288</v>
      </c>
      <c r="BR23" s="525" t="s">
        <v>289</v>
      </c>
      <c r="BS23" s="525" t="s">
        <v>290</v>
      </c>
      <c r="BT23" s="525" t="s">
        <v>229</v>
      </c>
      <c r="BU23" s="525" t="s">
        <v>291</v>
      </c>
      <c r="BV23" s="525" t="s">
        <v>292</v>
      </c>
      <c r="BW23" s="525" t="s">
        <v>293</v>
      </c>
      <c r="BX23" s="525" t="s">
        <v>294</v>
      </c>
      <c r="BY23" s="525" t="s">
        <v>230</v>
      </c>
      <c r="BZ23" s="525" t="s">
        <v>295</v>
      </c>
      <c r="CA23" s="525" t="s">
        <v>296</v>
      </c>
      <c r="CB23" s="525" t="s">
        <v>297</v>
      </c>
      <c r="CC23" s="525" t="s">
        <v>298</v>
      </c>
      <c r="CD23" s="525" t="s">
        <v>231</v>
      </c>
      <c r="CE23" s="525" t="s">
        <v>299</v>
      </c>
      <c r="CF23" s="525" t="s">
        <v>300</v>
      </c>
      <c r="CG23" s="525" t="s">
        <v>301</v>
      </c>
      <c r="CH23" s="525" t="s">
        <v>302</v>
      </c>
      <c r="CI23" s="526" t="s">
        <v>232</v>
      </c>
    </row>
    <row r="24" spans="1:89" s="1292" customFormat="1" x14ac:dyDescent="0.2">
      <c r="A24" s="1584"/>
      <c r="B24" s="1018" t="s">
        <v>447</v>
      </c>
      <c r="C24" s="1019" t="s">
        <v>448</v>
      </c>
      <c r="D24" s="1020" t="s">
        <v>86</v>
      </c>
      <c r="E24" s="1021" t="s">
        <v>236</v>
      </c>
      <c r="F24" s="1022">
        <v>2</v>
      </c>
      <c r="G24" s="532"/>
      <c r="H24" s="540"/>
      <c r="I24" s="540">
        <v>11.076402923751679</v>
      </c>
      <c r="J24" s="540">
        <v>10.995850532372662</v>
      </c>
      <c r="K24" s="540">
        <v>10.923758400955409</v>
      </c>
      <c r="L24" s="540">
        <v>10.86859629869493</v>
      </c>
      <c r="M24" s="1342">
        <v>11.295790562420676</v>
      </c>
      <c r="N24" s="1342">
        <v>11.377876259008007</v>
      </c>
      <c r="O24" s="1342">
        <v>11.449469322391941</v>
      </c>
      <c r="P24" s="1342">
        <v>11.468178342426016</v>
      </c>
      <c r="Q24" s="1342">
        <v>11.463447185989507</v>
      </c>
      <c r="R24" s="1342">
        <v>11.226392559844676</v>
      </c>
      <c r="S24" s="1342">
        <v>11.212095973001096</v>
      </c>
      <c r="T24" s="1342">
        <v>13.490857000586153</v>
      </c>
      <c r="U24" s="1342">
        <v>13.469497862985357</v>
      </c>
      <c r="V24" s="1342">
        <v>13.449210064983646</v>
      </c>
      <c r="W24" s="1342">
        <v>13.432142956336211</v>
      </c>
      <c r="X24" s="1342">
        <v>13.414974774827186</v>
      </c>
      <c r="Y24" s="1342">
        <v>13.401828094153926</v>
      </c>
      <c r="Z24" s="1342">
        <v>13.392391801814984</v>
      </c>
      <c r="AA24" s="1342">
        <v>13.383500132252658</v>
      </c>
      <c r="AB24" s="1342">
        <v>13.344056755228763</v>
      </c>
      <c r="AC24" s="1342">
        <v>13.334673979647929</v>
      </c>
      <c r="AD24" s="1342">
        <v>13.327405786663018</v>
      </c>
      <c r="AE24" s="1342">
        <v>13.336862033068572</v>
      </c>
      <c r="AF24" s="1342">
        <v>13.347521313213534</v>
      </c>
      <c r="AG24" s="1342">
        <v>13.333560474603132</v>
      </c>
      <c r="AH24" s="1342">
        <v>13.345895163943691</v>
      </c>
      <c r="AI24" s="1342">
        <v>13.359386630197051</v>
      </c>
      <c r="AJ24" s="1342">
        <v>13.374422386124024</v>
      </c>
      <c r="AK24" s="1342">
        <v>13.39113024747525</v>
      </c>
      <c r="AL24" s="1342"/>
      <c r="AM24" s="1342"/>
      <c r="AN24" s="1342"/>
      <c r="AO24" s="1342"/>
      <c r="AP24" s="1342"/>
      <c r="AQ24" s="1342"/>
      <c r="AR24" s="1342"/>
      <c r="AS24" s="1342"/>
      <c r="AT24" s="1342"/>
      <c r="AU24" s="1342"/>
      <c r="AV24" s="1342"/>
      <c r="AW24" s="1342"/>
      <c r="AX24" s="1342"/>
      <c r="AY24" s="1342"/>
      <c r="AZ24" s="1342"/>
      <c r="BA24" s="1342"/>
      <c r="BB24" s="1342"/>
      <c r="BC24" s="1342"/>
      <c r="BD24" s="1342"/>
      <c r="BE24" s="1342"/>
      <c r="BF24" s="1342"/>
      <c r="BG24" s="1342"/>
      <c r="BH24" s="1342"/>
      <c r="BI24" s="1342"/>
      <c r="BJ24" s="1342"/>
      <c r="BK24" s="1342"/>
      <c r="BL24" s="1342"/>
      <c r="BM24" s="1342"/>
      <c r="BN24" s="1342"/>
      <c r="BO24" s="1342"/>
      <c r="BP24" s="1342"/>
      <c r="BQ24" s="1342"/>
      <c r="BR24" s="1342"/>
      <c r="BS24" s="1342"/>
      <c r="BT24" s="1342"/>
      <c r="BU24" s="1342"/>
      <c r="BV24" s="1342"/>
      <c r="BW24" s="1342"/>
      <c r="BX24" s="1342"/>
      <c r="BY24" s="1342"/>
      <c r="BZ24" s="1342"/>
      <c r="CA24" s="1342"/>
      <c r="CB24" s="1342"/>
      <c r="CC24" s="1342"/>
      <c r="CD24" s="1342"/>
      <c r="CE24" s="1342"/>
      <c r="CF24" s="1342"/>
      <c r="CG24" s="1342"/>
      <c r="CH24" s="1342"/>
      <c r="CI24" s="1342"/>
      <c r="CK24" s="1293"/>
    </row>
    <row r="25" spans="1:89" s="1292" customFormat="1" x14ac:dyDescent="0.2">
      <c r="A25" s="1584"/>
      <c r="B25" s="1013" t="s">
        <v>449</v>
      </c>
      <c r="C25" s="1014" t="s">
        <v>450</v>
      </c>
      <c r="D25" s="1015" t="s">
        <v>86</v>
      </c>
      <c r="E25" s="1016" t="s">
        <v>236</v>
      </c>
      <c r="F25" s="1017">
        <v>2</v>
      </c>
      <c r="G25" s="1011"/>
      <c r="H25" s="540"/>
      <c r="I25" s="540">
        <v>0</v>
      </c>
      <c r="J25" s="540">
        <v>0</v>
      </c>
      <c r="K25" s="540">
        <v>0</v>
      </c>
      <c r="L25" s="540">
        <v>0</v>
      </c>
      <c r="M25" s="1342">
        <v>0</v>
      </c>
      <c r="N25" s="1342">
        <v>0</v>
      </c>
      <c r="O25" s="1342">
        <v>0</v>
      </c>
      <c r="P25" s="1342">
        <v>0</v>
      </c>
      <c r="Q25" s="1342">
        <v>0</v>
      </c>
      <c r="R25" s="1342">
        <v>0</v>
      </c>
      <c r="S25" s="1342">
        <v>0</v>
      </c>
      <c r="T25" s="1342">
        <v>0</v>
      </c>
      <c r="U25" s="1342">
        <v>0</v>
      </c>
      <c r="V25" s="1342">
        <v>0</v>
      </c>
      <c r="W25" s="1342">
        <v>0</v>
      </c>
      <c r="X25" s="1342">
        <v>0</v>
      </c>
      <c r="Y25" s="1342">
        <v>0</v>
      </c>
      <c r="Z25" s="1342">
        <v>0</v>
      </c>
      <c r="AA25" s="1342">
        <v>0</v>
      </c>
      <c r="AB25" s="1342">
        <v>0</v>
      </c>
      <c r="AC25" s="1342">
        <v>0</v>
      </c>
      <c r="AD25" s="1342">
        <v>0</v>
      </c>
      <c r="AE25" s="1342">
        <v>0</v>
      </c>
      <c r="AF25" s="1342">
        <v>0</v>
      </c>
      <c r="AG25" s="1342">
        <v>0</v>
      </c>
      <c r="AH25" s="1342">
        <v>0</v>
      </c>
      <c r="AI25" s="1342">
        <v>0</v>
      </c>
      <c r="AJ25" s="1342">
        <v>0</v>
      </c>
      <c r="AK25" s="1342">
        <v>0</v>
      </c>
      <c r="AL25" s="1342"/>
      <c r="AM25" s="1342"/>
      <c r="AN25" s="1342"/>
      <c r="AO25" s="1342"/>
      <c r="AP25" s="1342"/>
      <c r="AQ25" s="1342"/>
      <c r="AR25" s="1342"/>
      <c r="AS25" s="1342"/>
      <c r="AT25" s="1342"/>
      <c r="AU25" s="1342"/>
      <c r="AV25" s="1342"/>
      <c r="AW25" s="1342"/>
      <c r="AX25" s="1342"/>
      <c r="AY25" s="1342"/>
      <c r="AZ25" s="1342"/>
      <c r="BA25" s="1342"/>
      <c r="BB25" s="1342"/>
      <c r="BC25" s="1342"/>
      <c r="BD25" s="1342"/>
      <c r="BE25" s="1342"/>
      <c r="BF25" s="1342"/>
      <c r="BG25" s="1342"/>
      <c r="BH25" s="1342"/>
      <c r="BI25" s="1342"/>
      <c r="BJ25" s="1342"/>
      <c r="BK25" s="1342"/>
      <c r="BL25" s="1342"/>
      <c r="BM25" s="1342"/>
      <c r="BN25" s="1342"/>
      <c r="BO25" s="1342"/>
      <c r="BP25" s="1342"/>
      <c r="BQ25" s="1342"/>
      <c r="BR25" s="1342"/>
      <c r="BS25" s="1342"/>
      <c r="BT25" s="1342"/>
      <c r="BU25" s="1342"/>
      <c r="BV25" s="1342"/>
      <c r="BW25" s="1342"/>
      <c r="BX25" s="1342"/>
      <c r="BY25" s="1342"/>
      <c r="BZ25" s="1342"/>
      <c r="CA25" s="1342"/>
      <c r="CB25" s="1342"/>
      <c r="CC25" s="1342"/>
      <c r="CD25" s="1342"/>
      <c r="CE25" s="1342"/>
      <c r="CF25" s="1342"/>
      <c r="CG25" s="1342"/>
      <c r="CH25" s="1342"/>
      <c r="CI25" s="1342"/>
      <c r="CK25" s="1293"/>
    </row>
    <row r="26" spans="1:89" s="1292" customFormat="1" x14ac:dyDescent="0.2">
      <c r="A26" s="1284"/>
      <c r="B26" s="1012" t="s">
        <v>451</v>
      </c>
      <c r="C26" s="1004" t="s">
        <v>452</v>
      </c>
      <c r="D26" s="1005" t="s">
        <v>86</v>
      </c>
      <c r="E26" s="1006" t="s">
        <v>236</v>
      </c>
      <c r="F26" s="1007">
        <v>2</v>
      </c>
      <c r="G26" s="540"/>
      <c r="H26" s="540"/>
      <c r="I26" s="540">
        <v>2.27</v>
      </c>
      <c r="J26" s="540">
        <v>2.27</v>
      </c>
      <c r="K26" s="540">
        <v>2.27</v>
      </c>
      <c r="L26" s="540">
        <v>2.27</v>
      </c>
      <c r="M26" s="1342">
        <v>2.27</v>
      </c>
      <c r="N26" s="1342">
        <v>1.39</v>
      </c>
      <c r="O26" s="1342">
        <v>1.39</v>
      </c>
      <c r="P26" s="1342">
        <v>1.39</v>
      </c>
      <c r="Q26" s="1342">
        <v>1.39</v>
      </c>
      <c r="R26" s="1342">
        <v>1.39</v>
      </c>
      <c r="S26" s="1342">
        <v>1.39</v>
      </c>
      <c r="T26" s="1342">
        <v>1.39</v>
      </c>
      <c r="U26" s="1342">
        <v>1.39</v>
      </c>
      <c r="V26" s="1342">
        <v>1.39</v>
      </c>
      <c r="W26" s="1342">
        <v>1.39</v>
      </c>
      <c r="X26" s="1342">
        <v>1.39</v>
      </c>
      <c r="Y26" s="1342">
        <v>1.39</v>
      </c>
      <c r="Z26" s="1342">
        <v>1.39</v>
      </c>
      <c r="AA26" s="1342">
        <v>1.39</v>
      </c>
      <c r="AB26" s="1342">
        <v>1.32</v>
      </c>
      <c r="AC26" s="1342">
        <v>1.32</v>
      </c>
      <c r="AD26" s="1342">
        <v>1.32</v>
      </c>
      <c r="AE26" s="1342">
        <v>1.32</v>
      </c>
      <c r="AF26" s="1342">
        <v>1.32</v>
      </c>
      <c r="AG26" s="1342">
        <v>1.32</v>
      </c>
      <c r="AH26" s="1342">
        <v>1.32</v>
      </c>
      <c r="AI26" s="1342">
        <v>1.32</v>
      </c>
      <c r="AJ26" s="1342">
        <v>1.32</v>
      </c>
      <c r="AK26" s="1342">
        <v>1.32</v>
      </c>
      <c r="AL26" s="1342"/>
      <c r="AM26" s="1342"/>
      <c r="AN26" s="1342"/>
      <c r="AO26" s="1342"/>
      <c r="AP26" s="1342"/>
      <c r="AQ26" s="1342"/>
      <c r="AR26" s="1342"/>
      <c r="AS26" s="1342"/>
      <c r="AT26" s="1342"/>
      <c r="AU26" s="1342"/>
      <c r="AV26" s="1342"/>
      <c r="AW26" s="1342"/>
      <c r="AX26" s="1342"/>
      <c r="AY26" s="1342"/>
      <c r="AZ26" s="1342"/>
      <c r="BA26" s="1342"/>
      <c r="BB26" s="1342"/>
      <c r="BC26" s="1342"/>
      <c r="BD26" s="1342"/>
      <c r="BE26" s="1342"/>
      <c r="BF26" s="1342"/>
      <c r="BG26" s="1342"/>
      <c r="BH26" s="1342"/>
      <c r="BI26" s="1342"/>
      <c r="BJ26" s="1342"/>
      <c r="BK26" s="1342"/>
      <c r="BL26" s="1342"/>
      <c r="BM26" s="1342"/>
      <c r="BN26" s="1342"/>
      <c r="BO26" s="1342"/>
      <c r="BP26" s="1342"/>
      <c r="BQ26" s="1342"/>
      <c r="BR26" s="1342"/>
      <c r="BS26" s="1342"/>
      <c r="BT26" s="1342"/>
      <c r="BU26" s="1342"/>
      <c r="BV26" s="1342"/>
      <c r="BW26" s="1342"/>
      <c r="BX26" s="1342"/>
      <c r="BY26" s="1342"/>
      <c r="BZ26" s="1342"/>
      <c r="CA26" s="1342"/>
      <c r="CB26" s="1342"/>
      <c r="CC26" s="1342"/>
      <c r="CD26" s="1342"/>
      <c r="CE26" s="1342"/>
      <c r="CF26" s="1342"/>
      <c r="CG26" s="1342"/>
      <c r="CH26" s="1342"/>
      <c r="CI26" s="1342"/>
      <c r="CK26" s="1293"/>
    </row>
    <row r="27" spans="1:89" s="1292" customFormat="1" x14ac:dyDescent="0.2">
      <c r="A27" s="1284"/>
      <c r="B27" s="535" t="s">
        <v>453</v>
      </c>
      <c r="C27" s="536" t="s">
        <v>454</v>
      </c>
      <c r="D27" s="537" t="s">
        <v>86</v>
      </c>
      <c r="E27" s="538" t="s">
        <v>236</v>
      </c>
      <c r="F27" s="539">
        <v>2</v>
      </c>
      <c r="G27" s="540"/>
      <c r="H27" s="540"/>
      <c r="I27" s="540">
        <v>0</v>
      </c>
      <c r="J27" s="540">
        <v>0</v>
      </c>
      <c r="K27" s="540">
        <v>0</v>
      </c>
      <c r="L27" s="540">
        <v>0</v>
      </c>
      <c r="M27" s="541">
        <v>0</v>
      </c>
      <c r="N27" s="541">
        <v>0</v>
      </c>
      <c r="O27" s="541">
        <v>0</v>
      </c>
      <c r="P27" s="541">
        <v>0</v>
      </c>
      <c r="Q27" s="541">
        <v>0</v>
      </c>
      <c r="R27" s="541">
        <v>0</v>
      </c>
      <c r="S27" s="541">
        <v>0</v>
      </c>
      <c r="T27" s="541">
        <v>0</v>
      </c>
      <c r="U27" s="541">
        <v>0</v>
      </c>
      <c r="V27" s="541">
        <v>0</v>
      </c>
      <c r="W27" s="541">
        <v>0</v>
      </c>
      <c r="X27" s="541">
        <v>0</v>
      </c>
      <c r="Y27" s="541">
        <v>0</v>
      </c>
      <c r="Z27" s="541">
        <v>0</v>
      </c>
      <c r="AA27" s="541">
        <v>0</v>
      </c>
      <c r="AB27" s="541">
        <v>0</v>
      </c>
      <c r="AC27" s="541">
        <v>0</v>
      </c>
      <c r="AD27" s="541">
        <v>0</v>
      </c>
      <c r="AE27" s="541">
        <v>0</v>
      </c>
      <c r="AF27" s="541">
        <v>0</v>
      </c>
      <c r="AG27" s="541">
        <v>0</v>
      </c>
      <c r="AH27" s="541">
        <v>0</v>
      </c>
      <c r="AI27" s="541">
        <v>0</v>
      </c>
      <c r="AJ27" s="541">
        <v>0</v>
      </c>
      <c r="AK27" s="541">
        <v>0</v>
      </c>
      <c r="AL27" s="541"/>
      <c r="AM27" s="541"/>
      <c r="AN27" s="541"/>
      <c r="AO27" s="541"/>
      <c r="AP27" s="541"/>
      <c r="AQ27" s="541"/>
      <c r="AR27" s="541"/>
      <c r="AS27" s="541"/>
      <c r="AT27" s="541"/>
      <c r="AU27" s="541"/>
      <c r="AV27" s="541"/>
      <c r="AW27" s="541"/>
      <c r="AX27" s="541"/>
      <c r="AY27" s="541"/>
      <c r="AZ27" s="541"/>
      <c r="BA27" s="541"/>
      <c r="BB27" s="541"/>
      <c r="BC27" s="541"/>
      <c r="BD27" s="541"/>
      <c r="BE27" s="541"/>
      <c r="BF27" s="541"/>
      <c r="BG27" s="541"/>
      <c r="BH27" s="541"/>
      <c r="BI27" s="541"/>
      <c r="BJ27" s="541"/>
      <c r="BK27" s="541"/>
      <c r="BL27" s="541"/>
      <c r="BM27" s="541"/>
      <c r="BN27" s="541"/>
      <c r="BO27" s="541"/>
      <c r="BP27" s="541"/>
      <c r="BQ27" s="541"/>
      <c r="BR27" s="541"/>
      <c r="BS27" s="541"/>
      <c r="BT27" s="541"/>
      <c r="BU27" s="541"/>
      <c r="BV27" s="541"/>
      <c r="BW27" s="541"/>
      <c r="BX27" s="541"/>
      <c r="BY27" s="541"/>
      <c r="BZ27" s="541"/>
      <c r="CA27" s="541"/>
      <c r="CB27" s="541"/>
      <c r="CC27" s="541"/>
      <c r="CD27" s="541"/>
      <c r="CE27" s="541"/>
      <c r="CF27" s="541"/>
      <c r="CG27" s="541"/>
      <c r="CH27" s="541"/>
      <c r="CI27" s="541"/>
      <c r="CK27" s="1293"/>
    </row>
    <row r="28" spans="1:89" s="1292" customFormat="1" x14ac:dyDescent="0.2">
      <c r="A28" s="1284"/>
      <c r="B28" s="543" t="s">
        <v>455</v>
      </c>
      <c r="C28" s="536" t="s">
        <v>456</v>
      </c>
      <c r="D28" s="537" t="s">
        <v>86</v>
      </c>
      <c r="E28" s="538" t="s">
        <v>236</v>
      </c>
      <c r="F28" s="539">
        <v>2</v>
      </c>
      <c r="G28" s="540"/>
      <c r="H28" s="540"/>
      <c r="I28" s="540">
        <v>0</v>
      </c>
      <c r="J28" s="540">
        <v>0</v>
      </c>
      <c r="K28" s="540">
        <v>0</v>
      </c>
      <c r="L28" s="540">
        <v>0</v>
      </c>
      <c r="M28" s="1342">
        <v>0</v>
      </c>
      <c r="N28" s="1342">
        <v>0</v>
      </c>
      <c r="O28" s="1342">
        <v>0</v>
      </c>
      <c r="P28" s="1342">
        <v>0</v>
      </c>
      <c r="Q28" s="1342">
        <v>0</v>
      </c>
      <c r="R28" s="1342">
        <v>0</v>
      </c>
      <c r="S28" s="1342">
        <v>0</v>
      </c>
      <c r="T28" s="1342">
        <v>0</v>
      </c>
      <c r="U28" s="1342">
        <v>0</v>
      </c>
      <c r="V28" s="1342">
        <v>0</v>
      </c>
      <c r="W28" s="1342">
        <v>0</v>
      </c>
      <c r="X28" s="1342">
        <v>0</v>
      </c>
      <c r="Y28" s="1342">
        <v>0</v>
      </c>
      <c r="Z28" s="1342">
        <v>0</v>
      </c>
      <c r="AA28" s="1342">
        <v>0</v>
      </c>
      <c r="AB28" s="1342">
        <v>0</v>
      </c>
      <c r="AC28" s="1342">
        <v>0</v>
      </c>
      <c r="AD28" s="1342">
        <v>0</v>
      </c>
      <c r="AE28" s="1342">
        <v>0</v>
      </c>
      <c r="AF28" s="1342">
        <v>0</v>
      </c>
      <c r="AG28" s="1342">
        <v>0</v>
      </c>
      <c r="AH28" s="1342">
        <v>0</v>
      </c>
      <c r="AI28" s="1342">
        <v>0</v>
      </c>
      <c r="AJ28" s="1342">
        <v>0</v>
      </c>
      <c r="AK28" s="1342">
        <v>0</v>
      </c>
      <c r="AL28" s="1342"/>
      <c r="AM28" s="1342"/>
      <c r="AN28" s="1342"/>
      <c r="AO28" s="1342"/>
      <c r="AP28" s="1342"/>
      <c r="AQ28" s="1342"/>
      <c r="AR28" s="1342"/>
      <c r="AS28" s="1342"/>
      <c r="AT28" s="1342"/>
      <c r="AU28" s="1342"/>
      <c r="AV28" s="1342"/>
      <c r="AW28" s="1342"/>
      <c r="AX28" s="1342"/>
      <c r="AY28" s="1342"/>
      <c r="AZ28" s="1342"/>
      <c r="BA28" s="1342"/>
      <c r="BB28" s="1342"/>
      <c r="BC28" s="1342"/>
      <c r="BD28" s="1342"/>
      <c r="BE28" s="1342"/>
      <c r="BF28" s="1342"/>
      <c r="BG28" s="1342"/>
      <c r="BH28" s="1342"/>
      <c r="BI28" s="1342"/>
      <c r="BJ28" s="1342"/>
      <c r="BK28" s="1342"/>
      <c r="BL28" s="1342"/>
      <c r="BM28" s="1342"/>
      <c r="BN28" s="1342"/>
      <c r="BO28" s="1342"/>
      <c r="BP28" s="1342"/>
      <c r="BQ28" s="1342"/>
      <c r="BR28" s="1342"/>
      <c r="BS28" s="1342"/>
      <c r="BT28" s="1342"/>
      <c r="BU28" s="1342"/>
      <c r="BV28" s="1342"/>
      <c r="BW28" s="1342"/>
      <c r="BX28" s="1342"/>
      <c r="BY28" s="1342"/>
      <c r="BZ28" s="1342"/>
      <c r="CA28" s="1342"/>
      <c r="CB28" s="1342"/>
      <c r="CC28" s="1342"/>
      <c r="CD28" s="1342"/>
      <c r="CE28" s="1342"/>
      <c r="CF28" s="1342"/>
      <c r="CG28" s="1342"/>
      <c r="CH28" s="1342"/>
      <c r="CI28" s="1342"/>
      <c r="CK28" s="1293"/>
    </row>
    <row r="29" spans="1:89" s="1292" customFormat="1" x14ac:dyDescent="0.2">
      <c r="A29" s="1284"/>
      <c r="B29" s="543" t="s">
        <v>457</v>
      </c>
      <c r="C29" s="536" t="s">
        <v>458</v>
      </c>
      <c r="D29" s="537" t="s">
        <v>86</v>
      </c>
      <c r="E29" s="538" t="s">
        <v>236</v>
      </c>
      <c r="F29" s="539">
        <v>2</v>
      </c>
      <c r="G29" s="540"/>
      <c r="H29" s="540"/>
      <c r="I29" s="540">
        <v>-1.35</v>
      </c>
      <c r="J29" s="540">
        <v>-1.35</v>
      </c>
      <c r="K29" s="540">
        <v>-1.35</v>
      </c>
      <c r="L29" s="540">
        <v>-1.35</v>
      </c>
      <c r="M29" s="541">
        <v>-1.35</v>
      </c>
      <c r="N29" s="541">
        <v>-1.35</v>
      </c>
      <c r="O29" s="541">
        <v>-1.35</v>
      </c>
      <c r="P29" s="541">
        <v>-1.35</v>
      </c>
      <c r="Q29" s="541">
        <v>-1.35</v>
      </c>
      <c r="R29" s="541">
        <v>-1.35</v>
      </c>
      <c r="S29" s="541">
        <v>-1.35</v>
      </c>
      <c r="T29" s="541">
        <v>-1.35</v>
      </c>
      <c r="U29" s="541">
        <v>-1.35</v>
      </c>
      <c r="V29" s="541">
        <v>-1.35</v>
      </c>
      <c r="W29" s="541">
        <v>-1.35</v>
      </c>
      <c r="X29" s="541">
        <v>-1.35</v>
      </c>
      <c r="Y29" s="541">
        <v>-1.35</v>
      </c>
      <c r="Z29" s="541">
        <v>-1.35</v>
      </c>
      <c r="AA29" s="541">
        <v>-1.35</v>
      </c>
      <c r="AB29" s="541">
        <v>-1.35</v>
      </c>
      <c r="AC29" s="541">
        <v>-1.35</v>
      </c>
      <c r="AD29" s="541">
        <v>-1.35</v>
      </c>
      <c r="AE29" s="541">
        <v>-1.35</v>
      </c>
      <c r="AF29" s="541">
        <v>-1.35</v>
      </c>
      <c r="AG29" s="541">
        <v>-1.35</v>
      </c>
      <c r="AH29" s="541">
        <v>-1.35</v>
      </c>
      <c r="AI29" s="541">
        <v>-1.35</v>
      </c>
      <c r="AJ29" s="541">
        <v>-1.35</v>
      </c>
      <c r="AK29" s="541">
        <v>-1.35</v>
      </c>
      <c r="AL29" s="541"/>
      <c r="AM29" s="541"/>
      <c r="AN29" s="541"/>
      <c r="AO29" s="541"/>
      <c r="AP29" s="541"/>
      <c r="AQ29" s="541"/>
      <c r="AR29" s="541"/>
      <c r="AS29" s="541"/>
      <c r="AT29" s="541"/>
      <c r="AU29" s="541"/>
      <c r="AV29" s="541"/>
      <c r="AW29" s="541"/>
      <c r="AX29" s="541"/>
      <c r="AY29" s="541"/>
      <c r="AZ29" s="541"/>
      <c r="BA29" s="541"/>
      <c r="BB29" s="541"/>
      <c r="BC29" s="541"/>
      <c r="BD29" s="541"/>
      <c r="BE29" s="541"/>
      <c r="BF29" s="541"/>
      <c r="BG29" s="541"/>
      <c r="BH29" s="541"/>
      <c r="BI29" s="541"/>
      <c r="BJ29" s="541"/>
      <c r="BK29" s="541"/>
      <c r="BL29" s="541"/>
      <c r="BM29" s="541"/>
      <c r="BN29" s="541"/>
      <c r="BO29" s="541"/>
      <c r="BP29" s="541"/>
      <c r="BQ29" s="541"/>
      <c r="BR29" s="541"/>
      <c r="BS29" s="541"/>
      <c r="BT29" s="541"/>
      <c r="BU29" s="541"/>
      <c r="BV29" s="541"/>
      <c r="BW29" s="541"/>
      <c r="BX29" s="541"/>
      <c r="BY29" s="541"/>
      <c r="BZ29" s="541"/>
      <c r="CA29" s="541"/>
      <c r="CB29" s="541"/>
      <c r="CC29" s="541"/>
      <c r="CD29" s="541"/>
      <c r="CE29" s="541"/>
      <c r="CF29" s="541"/>
      <c r="CG29" s="541"/>
      <c r="CH29" s="541"/>
      <c r="CI29" s="541"/>
      <c r="CK29" s="1293"/>
    </row>
    <row r="30" spans="1:89" s="1292" customFormat="1" x14ac:dyDescent="0.2">
      <c r="A30" s="1284"/>
      <c r="B30" s="543" t="s">
        <v>459</v>
      </c>
      <c r="C30" s="536" t="s">
        <v>460</v>
      </c>
      <c r="D30" s="537" t="s">
        <v>86</v>
      </c>
      <c r="E30" s="538" t="s">
        <v>236</v>
      </c>
      <c r="F30" s="539">
        <v>2</v>
      </c>
      <c r="G30" s="540"/>
      <c r="H30" s="540"/>
      <c r="I30" s="540">
        <v>14.68</v>
      </c>
      <c r="J30" s="540">
        <v>14.68</v>
      </c>
      <c r="K30" s="540">
        <v>14.68</v>
      </c>
      <c r="L30" s="540">
        <v>14.68</v>
      </c>
      <c r="M30" s="1342">
        <v>14.68</v>
      </c>
      <c r="N30" s="1342">
        <v>14.68</v>
      </c>
      <c r="O30" s="1342">
        <v>14.68</v>
      </c>
      <c r="P30" s="1342">
        <v>14.68</v>
      </c>
      <c r="Q30" s="1342">
        <v>14.68</v>
      </c>
      <c r="R30" s="1342">
        <v>14.68</v>
      </c>
      <c r="S30" s="1342">
        <v>14.68</v>
      </c>
      <c r="T30" s="1342">
        <v>14.68</v>
      </c>
      <c r="U30" s="1342">
        <v>14.68</v>
      </c>
      <c r="V30" s="1342">
        <v>14.68</v>
      </c>
      <c r="W30" s="1342">
        <v>14.68</v>
      </c>
      <c r="X30" s="1342">
        <v>14.68</v>
      </c>
      <c r="Y30" s="1342">
        <v>14.68</v>
      </c>
      <c r="Z30" s="1342">
        <v>14.68</v>
      </c>
      <c r="AA30" s="1342">
        <v>14.68</v>
      </c>
      <c r="AB30" s="1342">
        <v>14.68</v>
      </c>
      <c r="AC30" s="1342">
        <v>14.68</v>
      </c>
      <c r="AD30" s="1342">
        <v>14.68</v>
      </c>
      <c r="AE30" s="1342">
        <v>14.68</v>
      </c>
      <c r="AF30" s="1342">
        <v>14.68</v>
      </c>
      <c r="AG30" s="1342">
        <v>14.68</v>
      </c>
      <c r="AH30" s="1342">
        <v>14.68</v>
      </c>
      <c r="AI30" s="1342">
        <v>14.68</v>
      </c>
      <c r="AJ30" s="1342">
        <v>14.68</v>
      </c>
      <c r="AK30" s="1342">
        <v>14.68</v>
      </c>
      <c r="AL30" s="1342"/>
      <c r="AM30" s="1342"/>
      <c r="AN30" s="1342"/>
      <c r="AO30" s="1342"/>
      <c r="AP30" s="1342"/>
      <c r="AQ30" s="1342"/>
      <c r="AR30" s="1342"/>
      <c r="AS30" s="1342"/>
      <c r="AT30" s="1342"/>
      <c r="AU30" s="1342"/>
      <c r="AV30" s="1342"/>
      <c r="AW30" s="1342"/>
      <c r="AX30" s="1342"/>
      <c r="AY30" s="1342"/>
      <c r="AZ30" s="1342"/>
      <c r="BA30" s="1342"/>
      <c r="BB30" s="1342"/>
      <c r="BC30" s="1342"/>
      <c r="BD30" s="1342"/>
      <c r="BE30" s="1342"/>
      <c r="BF30" s="1342"/>
      <c r="BG30" s="1342"/>
      <c r="BH30" s="1342"/>
      <c r="BI30" s="1342"/>
      <c r="BJ30" s="1342"/>
      <c r="BK30" s="1342"/>
      <c r="BL30" s="1342"/>
      <c r="BM30" s="1342"/>
      <c r="BN30" s="1342"/>
      <c r="BO30" s="1342"/>
      <c r="BP30" s="1342"/>
      <c r="BQ30" s="1342"/>
      <c r="BR30" s="1342"/>
      <c r="BS30" s="1342"/>
      <c r="BT30" s="1342"/>
      <c r="BU30" s="1342"/>
      <c r="BV30" s="1342"/>
      <c r="BW30" s="1342"/>
      <c r="BX30" s="1342"/>
      <c r="BY30" s="1342"/>
      <c r="BZ30" s="1342"/>
      <c r="CA30" s="1342"/>
      <c r="CB30" s="1342"/>
      <c r="CC30" s="1342"/>
      <c r="CD30" s="1342"/>
      <c r="CE30" s="1342"/>
      <c r="CF30" s="1342"/>
      <c r="CG30" s="1342"/>
      <c r="CH30" s="1342"/>
      <c r="CI30" s="1342"/>
      <c r="CK30" s="1293"/>
    </row>
    <row r="31" spans="1:89" s="1292" customFormat="1" x14ac:dyDescent="0.2">
      <c r="A31" s="1284"/>
      <c r="B31" s="543" t="s">
        <v>461</v>
      </c>
      <c r="C31" s="546" t="s">
        <v>462</v>
      </c>
      <c r="D31" s="537" t="s">
        <v>463</v>
      </c>
      <c r="E31" s="538" t="s">
        <v>236</v>
      </c>
      <c r="F31" s="539">
        <v>2</v>
      </c>
      <c r="G31" s="547">
        <f>G30+G32</f>
        <v>0</v>
      </c>
      <c r="H31" s="547">
        <f t="shared" ref="H31:AK31" si="0">H30+H32</f>
        <v>0</v>
      </c>
      <c r="I31" s="547">
        <f t="shared" si="0"/>
        <v>12.76</v>
      </c>
      <c r="J31" s="547">
        <f t="shared" si="0"/>
        <v>12.76</v>
      </c>
      <c r="K31" s="547">
        <f t="shared" si="0"/>
        <v>12.76</v>
      </c>
      <c r="L31" s="547">
        <f t="shared" si="0"/>
        <v>12.76</v>
      </c>
      <c r="M31" s="547">
        <f t="shared" si="0"/>
        <v>12.76</v>
      </c>
      <c r="N31" s="547">
        <f t="shared" si="0"/>
        <v>10.45</v>
      </c>
      <c r="O31" s="547">
        <f t="shared" si="0"/>
        <v>10.45</v>
      </c>
      <c r="P31" s="547">
        <f t="shared" si="0"/>
        <v>10.45</v>
      </c>
      <c r="Q31" s="547">
        <f t="shared" si="0"/>
        <v>10.45</v>
      </c>
      <c r="R31" s="547">
        <f t="shared" si="0"/>
        <v>8.68</v>
      </c>
      <c r="S31" s="547">
        <f t="shared" si="0"/>
        <v>8.68</v>
      </c>
      <c r="T31" s="547">
        <f t="shared" si="0"/>
        <v>8.68</v>
      </c>
      <c r="U31" s="547">
        <f t="shared" si="0"/>
        <v>8.68</v>
      </c>
      <c r="V31" s="547">
        <f t="shared" si="0"/>
        <v>8.68</v>
      </c>
      <c r="W31" s="547">
        <f t="shared" si="0"/>
        <v>8.68</v>
      </c>
      <c r="X31" s="547">
        <f t="shared" si="0"/>
        <v>8.68</v>
      </c>
      <c r="Y31" s="547">
        <f t="shared" si="0"/>
        <v>8.68</v>
      </c>
      <c r="Z31" s="547">
        <f t="shared" si="0"/>
        <v>8.68</v>
      </c>
      <c r="AA31" s="547">
        <f t="shared" si="0"/>
        <v>8.68</v>
      </c>
      <c r="AB31" s="547">
        <f t="shared" si="0"/>
        <v>7.8199999999999994</v>
      </c>
      <c r="AC31" s="547">
        <f t="shared" si="0"/>
        <v>7.8199999999999994</v>
      </c>
      <c r="AD31" s="547">
        <f t="shared" si="0"/>
        <v>7.8199999999999994</v>
      </c>
      <c r="AE31" s="547">
        <f t="shared" si="0"/>
        <v>7.8199999999999994</v>
      </c>
      <c r="AF31" s="547">
        <f t="shared" si="0"/>
        <v>7.8199999999999994</v>
      </c>
      <c r="AG31" s="547">
        <f t="shared" si="0"/>
        <v>6.96</v>
      </c>
      <c r="AH31" s="547">
        <f t="shared" si="0"/>
        <v>6.96</v>
      </c>
      <c r="AI31" s="547">
        <f t="shared" si="0"/>
        <v>6.96</v>
      </c>
      <c r="AJ31" s="547">
        <f t="shared" si="0"/>
        <v>6.96</v>
      </c>
      <c r="AK31" s="547">
        <f t="shared" si="0"/>
        <v>6.96</v>
      </c>
      <c r="AL31" s="547"/>
      <c r="AM31" s="547"/>
      <c r="AN31" s="547"/>
      <c r="AO31" s="547"/>
      <c r="AP31" s="547"/>
      <c r="AQ31" s="547"/>
      <c r="AR31" s="547"/>
      <c r="AS31" s="547"/>
      <c r="AT31" s="547"/>
      <c r="AU31" s="547"/>
      <c r="AV31" s="547"/>
      <c r="AW31" s="547"/>
      <c r="AX31" s="547"/>
      <c r="AY31" s="547"/>
      <c r="AZ31" s="547"/>
      <c r="BA31" s="547"/>
      <c r="BB31" s="547"/>
      <c r="BC31" s="547"/>
      <c r="BD31" s="547"/>
      <c r="BE31" s="547"/>
      <c r="BF31" s="547"/>
      <c r="BG31" s="547"/>
      <c r="BH31" s="547"/>
      <c r="BI31" s="547"/>
      <c r="BJ31" s="547"/>
      <c r="BK31" s="547"/>
      <c r="BL31" s="547"/>
      <c r="BM31" s="547"/>
      <c r="BN31" s="547"/>
      <c r="BO31" s="547"/>
      <c r="BP31" s="547"/>
      <c r="BQ31" s="547"/>
      <c r="BR31" s="547"/>
      <c r="BS31" s="547"/>
      <c r="BT31" s="547"/>
      <c r="BU31" s="547"/>
      <c r="BV31" s="547"/>
      <c r="BW31" s="547"/>
      <c r="BX31" s="547"/>
      <c r="BY31" s="547"/>
      <c r="BZ31" s="547"/>
      <c r="CA31" s="547"/>
      <c r="CB31" s="547"/>
      <c r="CC31" s="547"/>
      <c r="CD31" s="547"/>
      <c r="CE31" s="547"/>
      <c r="CF31" s="547"/>
      <c r="CG31" s="547"/>
      <c r="CH31" s="547"/>
      <c r="CI31" s="548"/>
      <c r="CK31" s="1293"/>
    </row>
    <row r="32" spans="1:89" s="1292" customFormat="1" ht="28.5" x14ac:dyDescent="0.2">
      <c r="A32" s="1284"/>
      <c r="B32" s="549" t="s">
        <v>464</v>
      </c>
      <c r="C32" s="550" t="s">
        <v>465</v>
      </c>
      <c r="D32" s="550" t="s">
        <v>466</v>
      </c>
      <c r="E32" s="551" t="s">
        <v>236</v>
      </c>
      <c r="F32" s="539">
        <v>2</v>
      </c>
      <c r="G32" s="547">
        <f>SUM(G33:G38)</f>
        <v>0</v>
      </c>
      <c r="H32" s="547">
        <f t="shared" ref="H32:AK32" si="1">SUM(H33:H38)</f>
        <v>0</v>
      </c>
      <c r="I32" s="547">
        <f t="shared" si="1"/>
        <v>-1.92</v>
      </c>
      <c r="J32" s="547">
        <f t="shared" si="1"/>
        <v>-1.92</v>
      </c>
      <c r="K32" s="547">
        <f t="shared" si="1"/>
        <v>-1.92</v>
      </c>
      <c r="L32" s="547">
        <f t="shared" si="1"/>
        <v>-1.92</v>
      </c>
      <c r="M32" s="552">
        <f t="shared" si="1"/>
        <v>-1.92</v>
      </c>
      <c r="N32" s="552">
        <f t="shared" si="1"/>
        <v>-4.2300000000000004</v>
      </c>
      <c r="O32" s="552">
        <f t="shared" si="1"/>
        <v>-4.2300000000000004</v>
      </c>
      <c r="P32" s="552">
        <f t="shared" si="1"/>
        <v>-4.2300000000000004</v>
      </c>
      <c r="Q32" s="552">
        <f t="shared" si="1"/>
        <v>-4.2300000000000004</v>
      </c>
      <c r="R32" s="552">
        <f t="shared" si="1"/>
        <v>-6</v>
      </c>
      <c r="S32" s="552">
        <f t="shared" si="1"/>
        <v>-6</v>
      </c>
      <c r="T32" s="552">
        <f t="shared" si="1"/>
        <v>-6</v>
      </c>
      <c r="U32" s="552">
        <f t="shared" si="1"/>
        <v>-6</v>
      </c>
      <c r="V32" s="552">
        <f t="shared" si="1"/>
        <v>-6</v>
      </c>
      <c r="W32" s="552">
        <f t="shared" si="1"/>
        <v>-6</v>
      </c>
      <c r="X32" s="552">
        <f t="shared" si="1"/>
        <v>-6</v>
      </c>
      <c r="Y32" s="552">
        <f t="shared" si="1"/>
        <v>-6</v>
      </c>
      <c r="Z32" s="552">
        <f t="shared" si="1"/>
        <v>-6</v>
      </c>
      <c r="AA32" s="552">
        <f t="shared" si="1"/>
        <v>-6</v>
      </c>
      <c r="AB32" s="552">
        <f t="shared" si="1"/>
        <v>-6.86</v>
      </c>
      <c r="AC32" s="552">
        <f t="shared" si="1"/>
        <v>-6.86</v>
      </c>
      <c r="AD32" s="552">
        <f t="shared" si="1"/>
        <v>-6.86</v>
      </c>
      <c r="AE32" s="552">
        <f t="shared" si="1"/>
        <v>-6.86</v>
      </c>
      <c r="AF32" s="552">
        <f t="shared" si="1"/>
        <v>-6.86</v>
      </c>
      <c r="AG32" s="552">
        <f t="shared" si="1"/>
        <v>-7.72</v>
      </c>
      <c r="AH32" s="552">
        <f t="shared" si="1"/>
        <v>-7.72</v>
      </c>
      <c r="AI32" s="552">
        <f t="shared" si="1"/>
        <v>-7.72</v>
      </c>
      <c r="AJ32" s="552">
        <f t="shared" si="1"/>
        <v>-7.72</v>
      </c>
      <c r="AK32" s="552">
        <f t="shared" si="1"/>
        <v>-7.72</v>
      </c>
      <c r="AL32" s="552"/>
      <c r="AM32" s="552"/>
      <c r="AN32" s="552"/>
      <c r="AO32" s="552"/>
      <c r="AP32" s="552"/>
      <c r="AQ32" s="552"/>
      <c r="AR32" s="552"/>
      <c r="AS32" s="552"/>
      <c r="AT32" s="552"/>
      <c r="AU32" s="552"/>
      <c r="AV32" s="552"/>
      <c r="AW32" s="552"/>
      <c r="AX32" s="552"/>
      <c r="AY32" s="552"/>
      <c r="AZ32" s="552"/>
      <c r="BA32" s="552"/>
      <c r="BB32" s="552"/>
      <c r="BC32" s="552"/>
      <c r="BD32" s="552"/>
      <c r="BE32" s="552"/>
      <c r="BF32" s="552"/>
      <c r="BG32" s="552"/>
      <c r="BH32" s="552"/>
      <c r="BI32" s="552"/>
      <c r="BJ32" s="552"/>
      <c r="BK32" s="552"/>
      <c r="BL32" s="552"/>
      <c r="BM32" s="552"/>
      <c r="BN32" s="552"/>
      <c r="BO32" s="552"/>
      <c r="BP32" s="552"/>
      <c r="BQ32" s="552"/>
      <c r="BR32" s="552"/>
      <c r="BS32" s="552"/>
      <c r="BT32" s="552"/>
      <c r="BU32" s="552"/>
      <c r="BV32" s="552"/>
      <c r="BW32" s="552"/>
      <c r="BX32" s="552"/>
      <c r="BY32" s="552"/>
      <c r="BZ32" s="552"/>
      <c r="CA32" s="552"/>
      <c r="CB32" s="552"/>
      <c r="CC32" s="552"/>
      <c r="CD32" s="552"/>
      <c r="CE32" s="552"/>
      <c r="CF32" s="552"/>
      <c r="CG32" s="552"/>
      <c r="CH32" s="552"/>
      <c r="CI32" s="548"/>
      <c r="CK32" s="1293"/>
    </row>
    <row r="33" spans="1:89" s="1292" customFormat="1" x14ac:dyDescent="0.2">
      <c r="A33" s="1584"/>
      <c r="B33" s="543" t="s">
        <v>467</v>
      </c>
      <c r="C33" s="546" t="s">
        <v>468</v>
      </c>
      <c r="D33" s="537" t="s">
        <v>86</v>
      </c>
      <c r="E33" s="538" t="s">
        <v>236</v>
      </c>
      <c r="F33" s="539">
        <v>2</v>
      </c>
      <c r="G33" s="540"/>
      <c r="H33" s="540"/>
      <c r="I33" s="540">
        <v>0</v>
      </c>
      <c r="J33" s="540">
        <v>0</v>
      </c>
      <c r="K33" s="540">
        <v>0</v>
      </c>
      <c r="L33" s="540">
        <v>0</v>
      </c>
      <c r="M33" s="1342">
        <v>0</v>
      </c>
      <c r="N33" s="1342">
        <v>0</v>
      </c>
      <c r="O33" s="1342">
        <v>0</v>
      </c>
      <c r="P33" s="1342">
        <v>0</v>
      </c>
      <c r="Q33" s="1342">
        <v>0</v>
      </c>
      <c r="R33" s="1342">
        <v>0</v>
      </c>
      <c r="S33" s="1342">
        <v>0</v>
      </c>
      <c r="T33" s="1342">
        <v>0</v>
      </c>
      <c r="U33" s="1342">
        <v>0</v>
      </c>
      <c r="V33" s="1342">
        <v>0</v>
      </c>
      <c r="W33" s="1342">
        <v>0</v>
      </c>
      <c r="X33" s="1342">
        <v>0</v>
      </c>
      <c r="Y33" s="1342">
        <v>0</v>
      </c>
      <c r="Z33" s="1342">
        <v>0</v>
      </c>
      <c r="AA33" s="1342">
        <v>0</v>
      </c>
      <c r="AB33" s="1342">
        <v>0</v>
      </c>
      <c r="AC33" s="1342">
        <v>0</v>
      </c>
      <c r="AD33" s="1342">
        <v>0</v>
      </c>
      <c r="AE33" s="1342">
        <v>0</v>
      </c>
      <c r="AF33" s="1342">
        <v>0</v>
      </c>
      <c r="AG33" s="1342">
        <v>0</v>
      </c>
      <c r="AH33" s="1342">
        <v>0</v>
      </c>
      <c r="AI33" s="1342">
        <v>0</v>
      </c>
      <c r="AJ33" s="1342">
        <v>0</v>
      </c>
      <c r="AK33" s="1342">
        <v>0</v>
      </c>
      <c r="AL33" s="1342"/>
      <c r="AM33" s="1342"/>
      <c r="AN33" s="1342"/>
      <c r="AO33" s="1342"/>
      <c r="AP33" s="1342"/>
      <c r="AQ33" s="1342"/>
      <c r="AR33" s="1342"/>
      <c r="AS33" s="1342"/>
      <c r="AT33" s="1342"/>
      <c r="AU33" s="1342"/>
      <c r="AV33" s="1342"/>
      <c r="AW33" s="1342"/>
      <c r="AX33" s="1342"/>
      <c r="AY33" s="1342"/>
      <c r="AZ33" s="1342"/>
      <c r="BA33" s="1342"/>
      <c r="BB33" s="1342"/>
      <c r="BC33" s="1342"/>
      <c r="BD33" s="1342"/>
      <c r="BE33" s="1342"/>
      <c r="BF33" s="1342"/>
      <c r="BG33" s="1342"/>
      <c r="BH33" s="1342"/>
      <c r="BI33" s="1342"/>
      <c r="BJ33" s="1342"/>
      <c r="BK33" s="1342"/>
      <c r="BL33" s="1342"/>
      <c r="BM33" s="1342"/>
      <c r="BN33" s="1342"/>
      <c r="BO33" s="1342"/>
      <c r="BP33" s="1342"/>
      <c r="BQ33" s="1342"/>
      <c r="BR33" s="1342"/>
      <c r="BS33" s="1342"/>
      <c r="BT33" s="1342"/>
      <c r="BU33" s="1342"/>
      <c r="BV33" s="1342"/>
      <c r="BW33" s="1342"/>
      <c r="BX33" s="1342"/>
      <c r="BY33" s="1342"/>
      <c r="BZ33" s="1342"/>
      <c r="CA33" s="1342"/>
      <c r="CB33" s="1342"/>
      <c r="CC33" s="1342"/>
      <c r="CD33" s="1342"/>
      <c r="CE33" s="1342"/>
      <c r="CF33" s="1342"/>
      <c r="CG33" s="1342"/>
      <c r="CH33" s="1342"/>
      <c r="CI33" s="1342"/>
      <c r="CK33" s="1293"/>
    </row>
    <row r="34" spans="1:89" s="1292" customFormat="1" ht="28.5" x14ac:dyDescent="0.2">
      <c r="A34" s="1284"/>
      <c r="B34" s="543" t="s">
        <v>469</v>
      </c>
      <c r="C34" s="546" t="s">
        <v>470</v>
      </c>
      <c r="D34" s="537" t="s">
        <v>86</v>
      </c>
      <c r="E34" s="538" t="s">
        <v>236</v>
      </c>
      <c r="F34" s="539">
        <v>2</v>
      </c>
      <c r="G34" s="540"/>
      <c r="H34" s="540"/>
      <c r="I34" s="540">
        <v>-1.92</v>
      </c>
      <c r="J34" s="540">
        <v>-1.92</v>
      </c>
      <c r="K34" s="540">
        <v>-1.92</v>
      </c>
      <c r="L34" s="540">
        <v>-1.92</v>
      </c>
      <c r="M34" s="1342">
        <v>-1.92</v>
      </c>
      <c r="N34" s="1516">
        <v>-4.2300000000000004</v>
      </c>
      <c r="O34" s="1342">
        <v>-4.2300000000000004</v>
      </c>
      <c r="P34" s="1342">
        <v>-4.2300000000000004</v>
      </c>
      <c r="Q34" s="1342">
        <v>-4.2300000000000004</v>
      </c>
      <c r="R34" s="1516">
        <v>-6</v>
      </c>
      <c r="S34" s="1342">
        <v>-6</v>
      </c>
      <c r="T34" s="1342">
        <v>-6</v>
      </c>
      <c r="U34" s="1342">
        <v>-6</v>
      </c>
      <c r="V34" s="1342">
        <v>-6</v>
      </c>
      <c r="W34" s="1342">
        <v>-6</v>
      </c>
      <c r="X34" s="1342">
        <v>-6</v>
      </c>
      <c r="Y34" s="1342">
        <v>-6</v>
      </c>
      <c r="Z34" s="1342">
        <v>-6</v>
      </c>
      <c r="AA34" s="1342">
        <v>-6</v>
      </c>
      <c r="AB34" s="1342">
        <v>-6</v>
      </c>
      <c r="AC34" s="1342">
        <v>-6</v>
      </c>
      <c r="AD34" s="1342">
        <v>-6</v>
      </c>
      <c r="AE34" s="1342">
        <v>-6</v>
      </c>
      <c r="AF34" s="1342">
        <v>-6</v>
      </c>
      <c r="AG34" s="1342">
        <v>-6</v>
      </c>
      <c r="AH34" s="1342">
        <v>-6</v>
      </c>
      <c r="AI34" s="1342">
        <v>-6</v>
      </c>
      <c r="AJ34" s="1342">
        <v>-6</v>
      </c>
      <c r="AK34" s="1342">
        <v>-6</v>
      </c>
      <c r="AL34" s="1342"/>
      <c r="AM34" s="1342"/>
      <c r="AN34" s="1342"/>
      <c r="AO34" s="1342"/>
      <c r="AP34" s="1342"/>
      <c r="AQ34" s="1342"/>
      <c r="AR34" s="1342"/>
      <c r="AS34" s="1342"/>
      <c r="AT34" s="1342"/>
      <c r="AU34" s="1342"/>
      <c r="AV34" s="1342"/>
      <c r="AW34" s="1342"/>
      <c r="AX34" s="1342"/>
      <c r="AY34" s="1342"/>
      <c r="AZ34" s="1342"/>
      <c r="BA34" s="1342"/>
      <c r="BB34" s="1342"/>
      <c r="BC34" s="1342"/>
      <c r="BD34" s="1342"/>
      <c r="BE34" s="1342"/>
      <c r="BF34" s="1342"/>
      <c r="BG34" s="1342"/>
      <c r="BH34" s="1342"/>
      <c r="BI34" s="1342"/>
      <c r="BJ34" s="1342"/>
      <c r="BK34" s="1342"/>
      <c r="BL34" s="1342"/>
      <c r="BM34" s="1342"/>
      <c r="BN34" s="1342"/>
      <c r="BO34" s="1342"/>
      <c r="BP34" s="1342"/>
      <c r="BQ34" s="1342"/>
      <c r="BR34" s="1342"/>
      <c r="BS34" s="1342"/>
      <c r="BT34" s="1342"/>
      <c r="BU34" s="1342"/>
      <c r="BV34" s="1342"/>
      <c r="BW34" s="1342"/>
      <c r="BX34" s="1342"/>
      <c r="BY34" s="1342"/>
      <c r="BZ34" s="1342"/>
      <c r="CA34" s="1342"/>
      <c r="CB34" s="1342"/>
      <c r="CC34" s="1342"/>
      <c r="CD34" s="1342"/>
      <c r="CE34" s="1342"/>
      <c r="CF34" s="1342"/>
      <c r="CG34" s="1342"/>
      <c r="CH34" s="1342"/>
      <c r="CI34" s="1342"/>
      <c r="CK34" s="1293"/>
    </row>
    <row r="35" spans="1:89" s="1292" customFormat="1" ht="42.75" x14ac:dyDescent="0.2">
      <c r="A35" s="1284"/>
      <c r="B35" s="543" t="s">
        <v>471</v>
      </c>
      <c r="C35" s="546" t="s">
        <v>472</v>
      </c>
      <c r="D35" s="537" t="s">
        <v>86</v>
      </c>
      <c r="E35" s="538" t="s">
        <v>236</v>
      </c>
      <c r="F35" s="539">
        <v>2</v>
      </c>
      <c r="G35" s="540"/>
      <c r="H35" s="540"/>
      <c r="I35" s="540">
        <v>0</v>
      </c>
      <c r="J35" s="540">
        <v>0</v>
      </c>
      <c r="K35" s="540">
        <v>0</v>
      </c>
      <c r="L35" s="540">
        <v>0</v>
      </c>
      <c r="M35" s="1342">
        <v>0</v>
      </c>
      <c r="N35" s="1342">
        <v>0</v>
      </c>
      <c r="O35" s="1342">
        <v>0</v>
      </c>
      <c r="P35" s="1342">
        <v>0</v>
      </c>
      <c r="Q35" s="1342">
        <v>0</v>
      </c>
      <c r="R35" s="1342">
        <v>0</v>
      </c>
      <c r="S35" s="1342">
        <v>0</v>
      </c>
      <c r="T35" s="1342">
        <v>0</v>
      </c>
      <c r="U35" s="1342">
        <v>0</v>
      </c>
      <c r="V35" s="1342">
        <v>0</v>
      </c>
      <c r="W35" s="1342">
        <v>0</v>
      </c>
      <c r="X35" s="1342">
        <v>0</v>
      </c>
      <c r="Y35" s="1342">
        <v>0</v>
      </c>
      <c r="Z35" s="1342">
        <v>0</v>
      </c>
      <c r="AA35" s="1342">
        <v>0</v>
      </c>
      <c r="AB35" s="1516">
        <v>-0.86</v>
      </c>
      <c r="AC35" s="1342">
        <v>-0.86</v>
      </c>
      <c r="AD35" s="1342">
        <v>-0.86</v>
      </c>
      <c r="AE35" s="1342">
        <v>-0.86</v>
      </c>
      <c r="AF35" s="1342">
        <v>-0.86</v>
      </c>
      <c r="AG35" s="1516">
        <v>-1.72</v>
      </c>
      <c r="AH35" s="1342">
        <v>-1.72</v>
      </c>
      <c r="AI35" s="1342">
        <v>-1.72</v>
      </c>
      <c r="AJ35" s="1342">
        <v>-1.72</v>
      </c>
      <c r="AK35" s="1342">
        <v>-1.72</v>
      </c>
      <c r="AL35" s="1342"/>
      <c r="AM35" s="1342"/>
      <c r="AN35" s="1342"/>
      <c r="AO35" s="1342"/>
      <c r="AP35" s="1342"/>
      <c r="AQ35" s="1342"/>
      <c r="AR35" s="1342"/>
      <c r="AS35" s="1342"/>
      <c r="AT35" s="1342"/>
      <c r="AU35" s="1342"/>
      <c r="AV35" s="1342"/>
      <c r="AW35" s="1342"/>
      <c r="AX35" s="1342"/>
      <c r="AY35" s="1342"/>
      <c r="AZ35" s="1342"/>
      <c r="BA35" s="1342"/>
      <c r="BB35" s="1342"/>
      <c r="BC35" s="1342"/>
      <c r="BD35" s="1342"/>
      <c r="BE35" s="1342"/>
      <c r="BF35" s="1342"/>
      <c r="BG35" s="1342"/>
      <c r="BH35" s="1342"/>
      <c r="BI35" s="1342"/>
      <c r="BJ35" s="1342"/>
      <c r="BK35" s="1342"/>
      <c r="BL35" s="1342"/>
      <c r="BM35" s="1342"/>
      <c r="BN35" s="1342"/>
      <c r="BO35" s="1342"/>
      <c r="BP35" s="1342"/>
      <c r="BQ35" s="1342"/>
      <c r="BR35" s="1342"/>
      <c r="BS35" s="1342"/>
      <c r="BT35" s="1342"/>
      <c r="BU35" s="1342"/>
      <c r="BV35" s="1342"/>
      <c r="BW35" s="1342"/>
      <c r="BX35" s="1342"/>
      <c r="BY35" s="1342"/>
      <c r="BZ35" s="1342"/>
      <c r="CA35" s="1342"/>
      <c r="CB35" s="1342"/>
      <c r="CC35" s="1342"/>
      <c r="CD35" s="1342"/>
      <c r="CE35" s="1342"/>
      <c r="CF35" s="1342"/>
      <c r="CG35" s="1342"/>
      <c r="CH35" s="1342"/>
      <c r="CI35" s="1342"/>
      <c r="CK35" s="1293"/>
    </row>
    <row r="36" spans="1:89" s="1292" customFormat="1" ht="28.5" x14ac:dyDescent="0.2">
      <c r="A36" s="1284"/>
      <c r="B36" s="543" t="s">
        <v>473</v>
      </c>
      <c r="C36" s="546" t="s">
        <v>474</v>
      </c>
      <c r="D36" s="537" t="s">
        <v>86</v>
      </c>
      <c r="E36" s="538" t="s">
        <v>236</v>
      </c>
      <c r="F36" s="539">
        <v>2</v>
      </c>
      <c r="G36" s="540"/>
      <c r="H36" s="540"/>
      <c r="I36" s="540">
        <v>0</v>
      </c>
      <c r="J36" s="540">
        <v>0</v>
      </c>
      <c r="K36" s="540">
        <v>0</v>
      </c>
      <c r="L36" s="540">
        <v>0</v>
      </c>
      <c r="M36" s="1342">
        <v>0</v>
      </c>
      <c r="N36" s="1342">
        <v>0</v>
      </c>
      <c r="O36" s="1342">
        <v>0</v>
      </c>
      <c r="P36" s="1342">
        <v>0</v>
      </c>
      <c r="Q36" s="1342">
        <v>0</v>
      </c>
      <c r="R36" s="1342">
        <v>0</v>
      </c>
      <c r="S36" s="1342">
        <v>0</v>
      </c>
      <c r="T36" s="1342">
        <v>0</v>
      </c>
      <c r="U36" s="1342">
        <v>0</v>
      </c>
      <c r="V36" s="1342">
        <v>0</v>
      </c>
      <c r="W36" s="1342">
        <v>0</v>
      </c>
      <c r="X36" s="1342">
        <v>0</v>
      </c>
      <c r="Y36" s="1342">
        <v>0</v>
      </c>
      <c r="Z36" s="1342">
        <v>0</v>
      </c>
      <c r="AA36" s="1342">
        <v>0</v>
      </c>
      <c r="AB36" s="1342">
        <v>0</v>
      </c>
      <c r="AC36" s="1342">
        <v>0</v>
      </c>
      <c r="AD36" s="1342">
        <v>0</v>
      </c>
      <c r="AE36" s="1342">
        <v>0</v>
      </c>
      <c r="AF36" s="1342">
        <v>0</v>
      </c>
      <c r="AG36" s="1342">
        <v>0</v>
      </c>
      <c r="AH36" s="1342">
        <v>0</v>
      </c>
      <c r="AI36" s="1342">
        <v>0</v>
      </c>
      <c r="AJ36" s="1342">
        <v>0</v>
      </c>
      <c r="AK36" s="1342">
        <v>0</v>
      </c>
      <c r="AL36" s="1342"/>
      <c r="AM36" s="1342"/>
      <c r="AN36" s="1342"/>
      <c r="AO36" s="1342"/>
      <c r="AP36" s="1342"/>
      <c r="AQ36" s="1342"/>
      <c r="AR36" s="1342"/>
      <c r="AS36" s="1342"/>
      <c r="AT36" s="1342"/>
      <c r="AU36" s="1342"/>
      <c r="AV36" s="1342"/>
      <c r="AW36" s="1342"/>
      <c r="AX36" s="1342"/>
      <c r="AY36" s="1342"/>
      <c r="AZ36" s="1342"/>
      <c r="BA36" s="1342"/>
      <c r="BB36" s="1342"/>
      <c r="BC36" s="1342"/>
      <c r="BD36" s="1342"/>
      <c r="BE36" s="1342"/>
      <c r="BF36" s="1342"/>
      <c r="BG36" s="1342"/>
      <c r="BH36" s="1342"/>
      <c r="BI36" s="1342"/>
      <c r="BJ36" s="1342"/>
      <c r="BK36" s="1342"/>
      <c r="BL36" s="1342"/>
      <c r="BM36" s="1342"/>
      <c r="BN36" s="1342"/>
      <c r="BO36" s="1342"/>
      <c r="BP36" s="1342"/>
      <c r="BQ36" s="1342"/>
      <c r="BR36" s="1342"/>
      <c r="BS36" s="1342"/>
      <c r="BT36" s="1342"/>
      <c r="BU36" s="1342"/>
      <c r="BV36" s="1342"/>
      <c r="BW36" s="1342"/>
      <c r="BX36" s="1342"/>
      <c r="BY36" s="1342"/>
      <c r="BZ36" s="1342"/>
      <c r="CA36" s="1342"/>
      <c r="CB36" s="1342"/>
      <c r="CC36" s="1342"/>
      <c r="CD36" s="1342"/>
      <c r="CE36" s="1342"/>
      <c r="CF36" s="1342"/>
      <c r="CG36" s="1342"/>
      <c r="CH36" s="1342"/>
      <c r="CI36" s="1342"/>
      <c r="CK36" s="1293"/>
    </row>
    <row r="37" spans="1:89" s="1292" customFormat="1" x14ac:dyDescent="0.2">
      <c r="A37" s="1284"/>
      <c r="B37" s="543" t="s">
        <v>475</v>
      </c>
      <c r="C37" s="546" t="s">
        <v>476</v>
      </c>
      <c r="D37" s="537" t="s">
        <v>477</v>
      </c>
      <c r="E37" s="538" t="s">
        <v>236</v>
      </c>
      <c r="F37" s="539">
        <v>2</v>
      </c>
      <c r="G37" s="540"/>
      <c r="H37" s="540"/>
      <c r="I37" s="540">
        <v>0</v>
      </c>
      <c r="J37" s="540">
        <v>0</v>
      </c>
      <c r="K37" s="540">
        <v>0</v>
      </c>
      <c r="L37" s="540">
        <v>0</v>
      </c>
      <c r="M37" s="541">
        <v>0</v>
      </c>
      <c r="N37" s="541">
        <v>0</v>
      </c>
      <c r="O37" s="541">
        <v>0</v>
      </c>
      <c r="P37" s="541">
        <v>0</v>
      </c>
      <c r="Q37" s="541">
        <v>0</v>
      </c>
      <c r="R37" s="541">
        <v>0</v>
      </c>
      <c r="S37" s="541">
        <v>0</v>
      </c>
      <c r="T37" s="541">
        <v>0</v>
      </c>
      <c r="U37" s="541">
        <v>0</v>
      </c>
      <c r="V37" s="541">
        <v>0</v>
      </c>
      <c r="W37" s="541">
        <v>0</v>
      </c>
      <c r="X37" s="541">
        <v>0</v>
      </c>
      <c r="Y37" s="541">
        <v>0</v>
      </c>
      <c r="Z37" s="541">
        <v>0</v>
      </c>
      <c r="AA37" s="541">
        <v>0</v>
      </c>
      <c r="AB37" s="541">
        <v>0</v>
      </c>
      <c r="AC37" s="541">
        <v>0</v>
      </c>
      <c r="AD37" s="541">
        <v>0</v>
      </c>
      <c r="AE37" s="541">
        <v>0</v>
      </c>
      <c r="AF37" s="541">
        <v>0</v>
      </c>
      <c r="AG37" s="541">
        <v>0</v>
      </c>
      <c r="AH37" s="541">
        <v>0</v>
      </c>
      <c r="AI37" s="541">
        <v>0</v>
      </c>
      <c r="AJ37" s="541">
        <v>0</v>
      </c>
      <c r="AK37" s="541">
        <v>0</v>
      </c>
      <c r="AL37" s="541"/>
      <c r="AM37" s="541"/>
      <c r="AN37" s="541"/>
      <c r="AO37" s="541"/>
      <c r="AP37" s="541"/>
      <c r="AQ37" s="541"/>
      <c r="AR37" s="541"/>
      <c r="AS37" s="541"/>
      <c r="AT37" s="541"/>
      <c r="AU37" s="541"/>
      <c r="AV37" s="541"/>
      <c r="AW37" s="541"/>
      <c r="AX37" s="541"/>
      <c r="AY37" s="541"/>
      <c r="AZ37" s="541"/>
      <c r="BA37" s="541"/>
      <c r="BB37" s="541"/>
      <c r="BC37" s="541"/>
      <c r="BD37" s="541"/>
      <c r="BE37" s="541"/>
      <c r="BF37" s="541"/>
      <c r="BG37" s="541"/>
      <c r="BH37" s="541"/>
      <c r="BI37" s="541"/>
      <c r="BJ37" s="541"/>
      <c r="BK37" s="541"/>
      <c r="BL37" s="541"/>
      <c r="BM37" s="541"/>
      <c r="BN37" s="541"/>
      <c r="BO37" s="541"/>
      <c r="BP37" s="541"/>
      <c r="BQ37" s="541"/>
      <c r="BR37" s="541"/>
      <c r="BS37" s="541"/>
      <c r="BT37" s="541"/>
      <c r="BU37" s="541"/>
      <c r="BV37" s="541"/>
      <c r="BW37" s="541"/>
      <c r="BX37" s="541"/>
      <c r="BY37" s="541"/>
      <c r="BZ37" s="541"/>
      <c r="CA37" s="541"/>
      <c r="CB37" s="541"/>
      <c r="CC37" s="541"/>
      <c r="CD37" s="541"/>
      <c r="CE37" s="541"/>
      <c r="CF37" s="541"/>
      <c r="CG37" s="541"/>
      <c r="CH37" s="541"/>
      <c r="CI37" s="542"/>
      <c r="CK37" s="1293"/>
    </row>
    <row r="38" spans="1:89" s="1292" customFormat="1" ht="28.5" x14ac:dyDescent="0.2">
      <c r="A38" s="1284"/>
      <c r="B38" s="543" t="s">
        <v>478</v>
      </c>
      <c r="C38" s="546" t="s">
        <v>479</v>
      </c>
      <c r="D38" s="537" t="s">
        <v>86</v>
      </c>
      <c r="E38" s="538" t="s">
        <v>236</v>
      </c>
      <c r="F38" s="539">
        <v>2</v>
      </c>
      <c r="G38" s="540"/>
      <c r="H38" s="540"/>
      <c r="I38" s="540">
        <v>0</v>
      </c>
      <c r="J38" s="540">
        <v>0</v>
      </c>
      <c r="K38" s="540">
        <v>0</v>
      </c>
      <c r="L38" s="540">
        <v>0</v>
      </c>
      <c r="M38" s="1342">
        <v>0</v>
      </c>
      <c r="N38" s="1342">
        <v>0</v>
      </c>
      <c r="O38" s="1342">
        <v>0</v>
      </c>
      <c r="P38" s="1342">
        <v>0</v>
      </c>
      <c r="Q38" s="1342">
        <v>0</v>
      </c>
      <c r="R38" s="1342">
        <v>0</v>
      </c>
      <c r="S38" s="1342">
        <v>0</v>
      </c>
      <c r="T38" s="1342">
        <v>0</v>
      </c>
      <c r="U38" s="1342">
        <v>0</v>
      </c>
      <c r="V38" s="1342">
        <v>0</v>
      </c>
      <c r="W38" s="1342">
        <v>0</v>
      </c>
      <c r="X38" s="1342">
        <v>0</v>
      </c>
      <c r="Y38" s="1342">
        <v>0</v>
      </c>
      <c r="Z38" s="1342">
        <v>0</v>
      </c>
      <c r="AA38" s="1342">
        <v>0</v>
      </c>
      <c r="AB38" s="1342">
        <v>0</v>
      </c>
      <c r="AC38" s="1342">
        <v>0</v>
      </c>
      <c r="AD38" s="1342">
        <v>0</v>
      </c>
      <c r="AE38" s="1342">
        <v>0</v>
      </c>
      <c r="AF38" s="1342">
        <v>0</v>
      </c>
      <c r="AG38" s="1342">
        <v>0</v>
      </c>
      <c r="AH38" s="1342">
        <v>0</v>
      </c>
      <c r="AI38" s="1342">
        <v>0</v>
      </c>
      <c r="AJ38" s="1342">
        <v>0</v>
      </c>
      <c r="AK38" s="1342">
        <v>0</v>
      </c>
      <c r="AL38" s="1342"/>
      <c r="AM38" s="1342"/>
      <c r="AN38" s="1342"/>
      <c r="AO38" s="1342"/>
      <c r="AP38" s="1342"/>
      <c r="AQ38" s="1342"/>
      <c r="AR38" s="1342"/>
      <c r="AS38" s="1342"/>
      <c r="AT38" s="1342"/>
      <c r="AU38" s="1342"/>
      <c r="AV38" s="1342"/>
      <c r="AW38" s="1342"/>
      <c r="AX38" s="1342"/>
      <c r="AY38" s="1342"/>
      <c r="AZ38" s="1342"/>
      <c r="BA38" s="1342"/>
      <c r="BB38" s="1342"/>
      <c r="BC38" s="1342"/>
      <c r="BD38" s="1342"/>
      <c r="BE38" s="1342"/>
      <c r="BF38" s="1342"/>
      <c r="BG38" s="1342"/>
      <c r="BH38" s="1342"/>
      <c r="BI38" s="1342"/>
      <c r="BJ38" s="1342"/>
      <c r="BK38" s="1342"/>
      <c r="BL38" s="1342"/>
      <c r="BM38" s="1342"/>
      <c r="BN38" s="1342"/>
      <c r="BO38" s="1342"/>
      <c r="BP38" s="1342"/>
      <c r="BQ38" s="1342"/>
      <c r="BR38" s="1342"/>
      <c r="BS38" s="1342"/>
      <c r="BT38" s="1342"/>
      <c r="BU38" s="1342"/>
      <c r="BV38" s="1342"/>
      <c r="BW38" s="1342"/>
      <c r="BX38" s="1342"/>
      <c r="BY38" s="1342"/>
      <c r="BZ38" s="1342"/>
      <c r="CA38" s="1342"/>
      <c r="CB38" s="1342"/>
      <c r="CC38" s="1342"/>
      <c r="CD38" s="1342"/>
      <c r="CE38" s="1342"/>
      <c r="CF38" s="1342"/>
      <c r="CG38" s="1342"/>
      <c r="CH38" s="1342"/>
      <c r="CI38" s="1342"/>
      <c r="CK38" s="1293"/>
    </row>
    <row r="39" spans="1:89" s="1292" customFormat="1" ht="28.5" x14ac:dyDescent="0.2">
      <c r="A39" s="1284"/>
      <c r="B39" s="543" t="s">
        <v>480</v>
      </c>
      <c r="C39" s="546" t="s">
        <v>481</v>
      </c>
      <c r="D39" s="537" t="s">
        <v>86</v>
      </c>
      <c r="E39" s="538" t="s">
        <v>236</v>
      </c>
      <c r="F39" s="539">
        <v>2</v>
      </c>
      <c r="G39" s="540"/>
      <c r="H39" s="540"/>
      <c r="I39" s="540">
        <v>0.54</v>
      </c>
      <c r="J39" s="540">
        <v>0.54</v>
      </c>
      <c r="K39" s="540">
        <v>0.54</v>
      </c>
      <c r="L39" s="540">
        <v>0.54</v>
      </c>
      <c r="M39" s="1342">
        <v>0.54</v>
      </c>
      <c r="N39" s="1516">
        <v>0.38</v>
      </c>
      <c r="O39" s="1342">
        <v>0.38</v>
      </c>
      <c r="P39" s="1342">
        <v>0.38</v>
      </c>
      <c r="Q39" s="1342">
        <v>0.38</v>
      </c>
      <c r="R39" s="1516">
        <v>0.32</v>
      </c>
      <c r="S39" s="1342">
        <v>0.32</v>
      </c>
      <c r="T39" s="1342">
        <v>0.32</v>
      </c>
      <c r="U39" s="1342">
        <v>0.32</v>
      </c>
      <c r="V39" s="1342">
        <v>0.32</v>
      </c>
      <c r="W39" s="1342">
        <v>0.32</v>
      </c>
      <c r="X39" s="1342">
        <v>0.32</v>
      </c>
      <c r="Y39" s="1342">
        <v>0.32</v>
      </c>
      <c r="Z39" s="1342">
        <v>0.32</v>
      </c>
      <c r="AA39" s="1342">
        <v>0.32</v>
      </c>
      <c r="AB39" s="1516">
        <v>0.3</v>
      </c>
      <c r="AC39" s="1342">
        <v>0.3</v>
      </c>
      <c r="AD39" s="1342">
        <v>0.3</v>
      </c>
      <c r="AE39" s="1342">
        <v>0.3</v>
      </c>
      <c r="AF39" s="1342">
        <v>0.3</v>
      </c>
      <c r="AG39" s="1516">
        <v>0.27</v>
      </c>
      <c r="AH39" s="1342">
        <v>0.27</v>
      </c>
      <c r="AI39" s="1342">
        <v>0.27</v>
      </c>
      <c r="AJ39" s="1342">
        <v>0.27</v>
      </c>
      <c r="AK39" s="1342">
        <v>0.27</v>
      </c>
      <c r="AL39" s="1342"/>
      <c r="AM39" s="1342"/>
      <c r="AN39" s="1342"/>
      <c r="AO39" s="1342"/>
      <c r="AP39" s="1342"/>
      <c r="AQ39" s="1342"/>
      <c r="AR39" s="1342"/>
      <c r="AS39" s="1342"/>
      <c r="AT39" s="1342"/>
      <c r="AU39" s="1342"/>
      <c r="AV39" s="1342"/>
      <c r="AW39" s="1342"/>
      <c r="AX39" s="1342"/>
      <c r="AY39" s="1342"/>
      <c r="AZ39" s="1342"/>
      <c r="BA39" s="1342"/>
      <c r="BB39" s="1342"/>
      <c r="BC39" s="1342"/>
      <c r="BD39" s="1342"/>
      <c r="BE39" s="1342"/>
      <c r="BF39" s="1342"/>
      <c r="BG39" s="1342"/>
      <c r="BH39" s="1342"/>
      <c r="BI39" s="1342"/>
      <c r="BJ39" s="1342"/>
      <c r="BK39" s="1342"/>
      <c r="BL39" s="1342"/>
      <c r="BM39" s="1342"/>
      <c r="BN39" s="1342"/>
      <c r="BO39" s="1342"/>
      <c r="BP39" s="1342"/>
      <c r="BQ39" s="1342"/>
      <c r="BR39" s="1342"/>
      <c r="BS39" s="1342"/>
      <c r="BT39" s="1342"/>
      <c r="BU39" s="1342"/>
      <c r="BV39" s="1342"/>
      <c r="BW39" s="1342"/>
      <c r="BX39" s="1342"/>
      <c r="BY39" s="1342"/>
      <c r="BZ39" s="1342"/>
      <c r="CA39" s="1342"/>
      <c r="CB39" s="1342"/>
      <c r="CC39" s="1342"/>
      <c r="CD39" s="1342"/>
      <c r="CE39" s="1342"/>
      <c r="CF39" s="1342"/>
      <c r="CG39" s="1342"/>
      <c r="CH39" s="1342"/>
      <c r="CI39" s="1342"/>
      <c r="CK39" s="1293"/>
    </row>
    <row r="40" spans="1:89" s="1292" customFormat="1" x14ac:dyDescent="0.2">
      <c r="A40" s="1284"/>
      <c r="B40" s="543" t="s">
        <v>482</v>
      </c>
      <c r="C40" s="546" t="s">
        <v>483</v>
      </c>
      <c r="D40" s="537" t="s">
        <v>86</v>
      </c>
      <c r="E40" s="538" t="s">
        <v>236</v>
      </c>
      <c r="F40" s="539">
        <v>2</v>
      </c>
      <c r="G40" s="540"/>
      <c r="H40" s="540"/>
      <c r="I40" s="540">
        <v>0.68</v>
      </c>
      <c r="J40" s="540">
        <v>0.68</v>
      </c>
      <c r="K40" s="540">
        <v>0.68</v>
      </c>
      <c r="L40" s="540">
        <v>0.68</v>
      </c>
      <c r="M40" s="1342">
        <v>0.68</v>
      </c>
      <c r="N40" s="1342">
        <v>0.68</v>
      </c>
      <c r="O40" s="1342">
        <v>0.68</v>
      </c>
      <c r="P40" s="1342">
        <v>0.68</v>
      </c>
      <c r="Q40" s="1342">
        <v>0.68</v>
      </c>
      <c r="R40" s="1342">
        <v>0.68</v>
      </c>
      <c r="S40" s="1342">
        <v>0.68</v>
      </c>
      <c r="T40" s="1342">
        <v>0.68</v>
      </c>
      <c r="U40" s="1342">
        <v>0.68</v>
      </c>
      <c r="V40" s="1342">
        <v>0.68</v>
      </c>
      <c r="W40" s="1342">
        <v>0.68</v>
      </c>
      <c r="X40" s="1342">
        <v>0.68</v>
      </c>
      <c r="Y40" s="1342">
        <v>0.68</v>
      </c>
      <c r="Z40" s="1342">
        <v>0.68</v>
      </c>
      <c r="AA40" s="1342">
        <v>0.68</v>
      </c>
      <c r="AB40" s="1342">
        <v>0.68</v>
      </c>
      <c r="AC40" s="1342">
        <v>0.68</v>
      </c>
      <c r="AD40" s="1342">
        <v>0.68</v>
      </c>
      <c r="AE40" s="1342">
        <v>0.68</v>
      </c>
      <c r="AF40" s="1342">
        <v>0.68</v>
      </c>
      <c r="AG40" s="1342">
        <v>0.68</v>
      </c>
      <c r="AH40" s="1342">
        <v>0.68</v>
      </c>
      <c r="AI40" s="1342">
        <v>0.68</v>
      </c>
      <c r="AJ40" s="1342">
        <v>0.68</v>
      </c>
      <c r="AK40" s="1342">
        <v>0.68</v>
      </c>
      <c r="AL40" s="1342"/>
      <c r="AM40" s="1342"/>
      <c r="AN40" s="1342"/>
      <c r="AO40" s="1342"/>
      <c r="AP40" s="1342"/>
      <c r="AQ40" s="1342"/>
      <c r="AR40" s="1342"/>
      <c r="AS40" s="1342"/>
      <c r="AT40" s="1342"/>
      <c r="AU40" s="1342"/>
      <c r="AV40" s="1342"/>
      <c r="AW40" s="1342"/>
      <c r="AX40" s="1342"/>
      <c r="AY40" s="1342"/>
      <c r="AZ40" s="1342"/>
      <c r="BA40" s="1342"/>
      <c r="BB40" s="1342"/>
      <c r="BC40" s="1342"/>
      <c r="BD40" s="1342"/>
      <c r="BE40" s="1342"/>
      <c r="BF40" s="1342"/>
      <c r="BG40" s="1342"/>
      <c r="BH40" s="1342"/>
      <c r="BI40" s="1342"/>
      <c r="BJ40" s="1342"/>
      <c r="BK40" s="1342"/>
      <c r="BL40" s="1342"/>
      <c r="BM40" s="1342"/>
      <c r="BN40" s="1342"/>
      <c r="BO40" s="1342"/>
      <c r="BP40" s="1342"/>
      <c r="BQ40" s="1342"/>
      <c r="BR40" s="1342"/>
      <c r="BS40" s="1342"/>
      <c r="BT40" s="1342"/>
      <c r="BU40" s="1342"/>
      <c r="BV40" s="1342"/>
      <c r="BW40" s="1342"/>
      <c r="BX40" s="1342"/>
      <c r="BY40" s="1342"/>
      <c r="BZ40" s="1342"/>
      <c r="CA40" s="1342"/>
      <c r="CB40" s="1342"/>
      <c r="CC40" s="1342"/>
      <c r="CD40" s="1342"/>
      <c r="CE40" s="1342"/>
      <c r="CF40" s="1342"/>
      <c r="CG40" s="1342"/>
      <c r="CH40" s="1342"/>
      <c r="CI40" s="1342"/>
      <c r="CK40" s="1293"/>
    </row>
    <row r="41" spans="1:89" s="1292" customFormat="1" x14ac:dyDescent="0.2">
      <c r="A41" s="1284"/>
      <c r="B41" s="549" t="s">
        <v>484</v>
      </c>
      <c r="C41" s="550" t="s">
        <v>387</v>
      </c>
      <c r="D41" s="550" t="s">
        <v>485</v>
      </c>
      <c r="E41" s="551" t="s">
        <v>236</v>
      </c>
      <c r="F41" s="539">
        <v>2</v>
      </c>
      <c r="G41" s="547">
        <f>(G30+G32)-(G39+G40)</f>
        <v>0</v>
      </c>
      <c r="H41" s="547">
        <f t="shared" ref="H41:AK41" si="2">(H30+H32)-(H39+H40)</f>
        <v>0</v>
      </c>
      <c r="I41" s="547">
        <f t="shared" si="2"/>
        <v>11.54</v>
      </c>
      <c r="J41" s="547">
        <f t="shared" si="2"/>
        <v>11.54</v>
      </c>
      <c r="K41" s="547">
        <f t="shared" si="2"/>
        <v>11.54</v>
      </c>
      <c r="L41" s="547">
        <f>(L30+L32)-(L39+L40)</f>
        <v>11.54</v>
      </c>
      <c r="M41" s="552">
        <f>(M30+M32)-(M39+M40)</f>
        <v>11.54</v>
      </c>
      <c r="N41" s="552">
        <f t="shared" si="2"/>
        <v>9.3899999999999988</v>
      </c>
      <c r="O41" s="552">
        <f t="shared" si="2"/>
        <v>9.3899999999999988</v>
      </c>
      <c r="P41" s="552">
        <f t="shared" si="2"/>
        <v>9.3899999999999988</v>
      </c>
      <c r="Q41" s="552">
        <f t="shared" si="2"/>
        <v>9.3899999999999988</v>
      </c>
      <c r="R41" s="552">
        <f t="shared" si="2"/>
        <v>7.68</v>
      </c>
      <c r="S41" s="552">
        <f t="shared" si="2"/>
        <v>7.68</v>
      </c>
      <c r="T41" s="552">
        <f t="shared" si="2"/>
        <v>7.68</v>
      </c>
      <c r="U41" s="552">
        <f t="shared" si="2"/>
        <v>7.68</v>
      </c>
      <c r="V41" s="552">
        <f t="shared" si="2"/>
        <v>7.68</v>
      </c>
      <c r="W41" s="552">
        <f t="shared" si="2"/>
        <v>7.68</v>
      </c>
      <c r="X41" s="552">
        <f t="shared" si="2"/>
        <v>7.68</v>
      </c>
      <c r="Y41" s="552">
        <f t="shared" si="2"/>
        <v>7.68</v>
      </c>
      <c r="Z41" s="552">
        <f t="shared" si="2"/>
        <v>7.68</v>
      </c>
      <c r="AA41" s="552">
        <f t="shared" si="2"/>
        <v>7.68</v>
      </c>
      <c r="AB41" s="552">
        <f t="shared" si="2"/>
        <v>6.84</v>
      </c>
      <c r="AC41" s="552">
        <f t="shared" si="2"/>
        <v>6.84</v>
      </c>
      <c r="AD41" s="552">
        <f t="shared" si="2"/>
        <v>6.84</v>
      </c>
      <c r="AE41" s="552">
        <f t="shared" si="2"/>
        <v>6.84</v>
      </c>
      <c r="AF41" s="552">
        <f t="shared" si="2"/>
        <v>6.84</v>
      </c>
      <c r="AG41" s="552">
        <f t="shared" si="2"/>
        <v>6.01</v>
      </c>
      <c r="AH41" s="552">
        <f t="shared" si="2"/>
        <v>6.01</v>
      </c>
      <c r="AI41" s="552">
        <f t="shared" si="2"/>
        <v>6.01</v>
      </c>
      <c r="AJ41" s="552">
        <f t="shared" si="2"/>
        <v>6.01</v>
      </c>
      <c r="AK41" s="552">
        <f t="shared" si="2"/>
        <v>6.01</v>
      </c>
      <c r="AL41" s="552"/>
      <c r="AM41" s="552"/>
      <c r="AN41" s="552"/>
      <c r="AO41" s="552"/>
      <c r="AP41" s="552"/>
      <c r="AQ41" s="552"/>
      <c r="AR41" s="552"/>
      <c r="AS41" s="552"/>
      <c r="AT41" s="552"/>
      <c r="AU41" s="552"/>
      <c r="AV41" s="552"/>
      <c r="AW41" s="552"/>
      <c r="AX41" s="552"/>
      <c r="AY41" s="552"/>
      <c r="AZ41" s="552"/>
      <c r="BA41" s="552"/>
      <c r="BB41" s="552"/>
      <c r="BC41" s="552"/>
      <c r="BD41" s="552"/>
      <c r="BE41" s="552"/>
      <c r="BF41" s="552"/>
      <c r="BG41" s="552"/>
      <c r="BH41" s="552"/>
      <c r="BI41" s="552"/>
      <c r="BJ41" s="552"/>
      <c r="BK41" s="552"/>
      <c r="BL41" s="552"/>
      <c r="BM41" s="552"/>
      <c r="BN41" s="552"/>
      <c r="BO41" s="552"/>
      <c r="BP41" s="552"/>
      <c r="BQ41" s="552"/>
      <c r="BR41" s="552"/>
      <c r="BS41" s="552"/>
      <c r="BT41" s="552"/>
      <c r="BU41" s="552"/>
      <c r="BV41" s="552"/>
      <c r="BW41" s="552"/>
      <c r="BX41" s="552"/>
      <c r="BY41" s="552"/>
      <c r="BZ41" s="552"/>
      <c r="CA41" s="552"/>
      <c r="CB41" s="552"/>
      <c r="CC41" s="552"/>
      <c r="CD41" s="552"/>
      <c r="CE41" s="552"/>
      <c r="CF41" s="552"/>
      <c r="CG41" s="552"/>
      <c r="CH41" s="552"/>
      <c r="CI41" s="548"/>
      <c r="CK41" s="1293"/>
    </row>
    <row r="42" spans="1:89" s="1292" customFormat="1" ht="15" thickBot="1" x14ac:dyDescent="0.25">
      <c r="A42" s="1284"/>
      <c r="B42" s="555" t="s">
        <v>486</v>
      </c>
      <c r="C42" s="556" t="s">
        <v>390</v>
      </c>
      <c r="D42" s="556" t="s">
        <v>487</v>
      </c>
      <c r="E42" s="557" t="s">
        <v>236</v>
      </c>
      <c r="F42" s="558">
        <v>2</v>
      </c>
      <c r="G42" s="559">
        <f>G41+SUM(G26:G29)</f>
        <v>0</v>
      </c>
      <c r="H42" s="559">
        <f t="shared" ref="H42:AK42" si="3">H41+SUM(H26:H29)</f>
        <v>0</v>
      </c>
      <c r="I42" s="559">
        <f t="shared" si="3"/>
        <v>12.459999999999999</v>
      </c>
      <c r="J42" s="559">
        <f t="shared" si="3"/>
        <v>12.459999999999999</v>
      </c>
      <c r="K42" s="559">
        <f t="shared" si="3"/>
        <v>12.459999999999999</v>
      </c>
      <c r="L42" s="559">
        <f t="shared" si="3"/>
        <v>12.459999999999999</v>
      </c>
      <c r="M42" s="559">
        <f>M41+SUM(M26:M29)</f>
        <v>12.459999999999999</v>
      </c>
      <c r="N42" s="559">
        <f t="shared" si="3"/>
        <v>9.4299999999999979</v>
      </c>
      <c r="O42" s="559">
        <f t="shared" si="3"/>
        <v>9.4299999999999979</v>
      </c>
      <c r="P42" s="559">
        <f t="shared" si="3"/>
        <v>9.4299999999999979</v>
      </c>
      <c r="Q42" s="559">
        <f t="shared" si="3"/>
        <v>9.4299999999999979</v>
      </c>
      <c r="R42" s="559">
        <f t="shared" si="3"/>
        <v>7.72</v>
      </c>
      <c r="S42" s="559">
        <f t="shared" si="3"/>
        <v>7.72</v>
      </c>
      <c r="T42" s="559">
        <f t="shared" si="3"/>
        <v>7.72</v>
      </c>
      <c r="U42" s="559">
        <f t="shared" si="3"/>
        <v>7.72</v>
      </c>
      <c r="V42" s="559">
        <f t="shared" si="3"/>
        <v>7.72</v>
      </c>
      <c r="W42" s="559">
        <f t="shared" si="3"/>
        <v>7.72</v>
      </c>
      <c r="X42" s="559">
        <f t="shared" si="3"/>
        <v>7.72</v>
      </c>
      <c r="Y42" s="559">
        <f t="shared" si="3"/>
        <v>7.72</v>
      </c>
      <c r="Z42" s="559">
        <f t="shared" si="3"/>
        <v>7.72</v>
      </c>
      <c r="AA42" s="559">
        <f t="shared" si="3"/>
        <v>7.72</v>
      </c>
      <c r="AB42" s="559">
        <f t="shared" si="3"/>
        <v>6.81</v>
      </c>
      <c r="AC42" s="559">
        <f t="shared" si="3"/>
        <v>6.81</v>
      </c>
      <c r="AD42" s="559">
        <f t="shared" si="3"/>
        <v>6.81</v>
      </c>
      <c r="AE42" s="559">
        <f t="shared" si="3"/>
        <v>6.81</v>
      </c>
      <c r="AF42" s="559">
        <f t="shared" si="3"/>
        <v>6.81</v>
      </c>
      <c r="AG42" s="559">
        <f t="shared" si="3"/>
        <v>5.9799999999999995</v>
      </c>
      <c r="AH42" s="559">
        <f t="shared" si="3"/>
        <v>5.9799999999999995</v>
      </c>
      <c r="AI42" s="559">
        <f t="shared" si="3"/>
        <v>5.9799999999999995</v>
      </c>
      <c r="AJ42" s="559">
        <f t="shared" si="3"/>
        <v>5.9799999999999995</v>
      </c>
      <c r="AK42" s="559">
        <f t="shared" si="3"/>
        <v>5.9799999999999995</v>
      </c>
      <c r="AL42" s="559"/>
      <c r="AM42" s="559"/>
      <c r="AN42" s="559"/>
      <c r="AO42" s="559"/>
      <c r="AP42" s="559"/>
      <c r="AQ42" s="559"/>
      <c r="AR42" s="559"/>
      <c r="AS42" s="559"/>
      <c r="AT42" s="559"/>
      <c r="AU42" s="559"/>
      <c r="AV42" s="559"/>
      <c r="AW42" s="559"/>
      <c r="AX42" s="559"/>
      <c r="AY42" s="559"/>
      <c r="AZ42" s="559"/>
      <c r="BA42" s="559"/>
      <c r="BB42" s="559"/>
      <c r="BC42" s="559"/>
      <c r="BD42" s="559"/>
      <c r="BE42" s="559"/>
      <c r="BF42" s="559"/>
      <c r="BG42" s="559"/>
      <c r="BH42" s="559"/>
      <c r="BI42" s="559"/>
      <c r="BJ42" s="559"/>
      <c r="BK42" s="559"/>
      <c r="BL42" s="559"/>
      <c r="BM42" s="559"/>
      <c r="BN42" s="559"/>
      <c r="BO42" s="559"/>
      <c r="BP42" s="559"/>
      <c r="BQ42" s="559"/>
      <c r="BR42" s="559"/>
      <c r="BS42" s="559"/>
      <c r="BT42" s="559"/>
      <c r="BU42" s="559"/>
      <c r="BV42" s="559"/>
      <c r="BW42" s="559"/>
      <c r="BX42" s="559"/>
      <c r="BY42" s="559"/>
      <c r="BZ42" s="559"/>
      <c r="CA42" s="559"/>
      <c r="CB42" s="559"/>
      <c r="CC42" s="559"/>
      <c r="CD42" s="559"/>
      <c r="CE42" s="559"/>
      <c r="CF42" s="559"/>
      <c r="CG42" s="559"/>
      <c r="CH42" s="559"/>
      <c r="CI42" s="560"/>
      <c r="CK42" s="1293"/>
    </row>
    <row r="43" spans="1:89" s="1292" customFormat="1" x14ac:dyDescent="0.2">
      <c r="A43" s="1284"/>
      <c r="B43" s="1026" t="s">
        <v>488</v>
      </c>
      <c r="C43" s="1027" t="s">
        <v>489</v>
      </c>
      <c r="D43" s="1028" t="s">
        <v>86</v>
      </c>
      <c r="E43" s="1029" t="s">
        <v>236</v>
      </c>
      <c r="F43" s="1030">
        <v>2</v>
      </c>
      <c r="G43" s="532"/>
      <c r="H43" s="532"/>
      <c r="I43" s="532">
        <v>3.3547427843612052</v>
      </c>
      <c r="J43" s="532">
        <v>3.1443778968174603</v>
      </c>
      <c r="K43" s="532">
        <v>3.3085150105173571</v>
      </c>
      <c r="L43" s="532">
        <v>3.4980837300055168</v>
      </c>
      <c r="M43" s="533">
        <v>3.6631267311856086</v>
      </c>
      <c r="N43" s="533">
        <v>3.7137653849097068</v>
      </c>
      <c r="O43" s="533">
        <v>3.7289680139839181</v>
      </c>
      <c r="P43" s="533">
        <v>3.7434815621379243</v>
      </c>
      <c r="Q43" s="533">
        <v>3.7550971841510998</v>
      </c>
      <c r="R43" s="533">
        <v>3.7628629839618601</v>
      </c>
      <c r="S43" s="533">
        <v>3.769873287366174</v>
      </c>
      <c r="T43" s="533">
        <v>6.066673830688047</v>
      </c>
      <c r="U43" s="533">
        <v>6.0736702021916269</v>
      </c>
      <c r="V43" s="533">
        <v>6.0807205670956819</v>
      </c>
      <c r="W43" s="533">
        <v>6.0878959397838308</v>
      </c>
      <c r="X43" s="533">
        <v>6.0950440905895702</v>
      </c>
      <c r="Y43" s="533">
        <v>6.102370259929021</v>
      </c>
      <c r="Z43" s="533">
        <v>6.1096913993975033</v>
      </c>
      <c r="AA43" s="533">
        <v>6.1170362237438862</v>
      </c>
      <c r="AB43" s="533">
        <v>6.1243903190554247</v>
      </c>
      <c r="AC43" s="533">
        <v>6.1317224158795725</v>
      </c>
      <c r="AD43" s="533">
        <v>6.1389227843664029</v>
      </c>
      <c r="AE43" s="533">
        <v>6.1459474093055766</v>
      </c>
      <c r="AF43" s="533">
        <v>6.1529125423659146</v>
      </c>
      <c r="AG43" s="533">
        <v>6.1597503785580345</v>
      </c>
      <c r="AH43" s="533">
        <v>6.1665586074635899</v>
      </c>
      <c r="AI43" s="533">
        <v>6.1733168593763548</v>
      </c>
      <c r="AJ43" s="533">
        <v>6.1799905845850178</v>
      </c>
      <c r="AK43" s="533">
        <v>6.18664729154513</v>
      </c>
      <c r="AL43" s="533"/>
      <c r="AM43" s="533"/>
      <c r="AN43" s="533"/>
      <c r="AO43" s="533"/>
      <c r="AP43" s="533"/>
      <c r="AQ43" s="533"/>
      <c r="AR43" s="533"/>
      <c r="AS43" s="533"/>
      <c r="AT43" s="533"/>
      <c r="AU43" s="533"/>
      <c r="AV43" s="533"/>
      <c r="AW43" s="533"/>
      <c r="AX43" s="533"/>
      <c r="AY43" s="533"/>
      <c r="AZ43" s="533"/>
      <c r="BA43" s="533"/>
      <c r="BB43" s="533"/>
      <c r="BC43" s="533"/>
      <c r="BD43" s="533"/>
      <c r="BE43" s="533"/>
      <c r="BF43" s="533"/>
      <c r="BG43" s="533"/>
      <c r="BH43" s="533"/>
      <c r="BI43" s="533"/>
      <c r="BJ43" s="533"/>
      <c r="BK43" s="533"/>
      <c r="BL43" s="533"/>
      <c r="BM43" s="533"/>
      <c r="BN43" s="533"/>
      <c r="BO43" s="533"/>
      <c r="BP43" s="533"/>
      <c r="BQ43" s="533"/>
      <c r="BR43" s="533"/>
      <c r="BS43" s="533"/>
      <c r="BT43" s="533"/>
      <c r="BU43" s="533"/>
      <c r="BV43" s="533"/>
      <c r="BW43" s="533"/>
      <c r="BX43" s="533"/>
      <c r="BY43" s="533"/>
      <c r="BZ43" s="533"/>
      <c r="CA43" s="533"/>
      <c r="CB43" s="533"/>
      <c r="CC43" s="533"/>
      <c r="CD43" s="533"/>
      <c r="CE43" s="533"/>
      <c r="CF43" s="533"/>
      <c r="CG43" s="533"/>
      <c r="CH43" s="533"/>
      <c r="CI43" s="534"/>
      <c r="CK43" s="1293"/>
    </row>
    <row r="44" spans="1:89" s="1292" customFormat="1" ht="28.5" x14ac:dyDescent="0.2">
      <c r="A44" s="1284"/>
      <c r="B44" s="1031" t="s">
        <v>490</v>
      </c>
      <c r="C44" s="1032" t="s">
        <v>491</v>
      </c>
      <c r="D44" s="1023" t="s">
        <v>86</v>
      </c>
      <c r="E44" s="1024" t="s">
        <v>236</v>
      </c>
      <c r="F44" s="1025">
        <v>2</v>
      </c>
      <c r="G44" s="1011"/>
      <c r="H44" s="1008"/>
      <c r="I44" s="1008"/>
      <c r="J44" s="1008"/>
      <c r="K44" s="1008"/>
      <c r="L44" s="1008"/>
      <c r="M44" s="1009"/>
      <c r="N44" s="1009"/>
      <c r="O44" s="1009"/>
      <c r="P44" s="1009"/>
      <c r="Q44" s="1009"/>
      <c r="R44" s="1009"/>
      <c r="S44" s="1009"/>
      <c r="T44" s="1009"/>
      <c r="U44" s="1009"/>
      <c r="V44" s="1009"/>
      <c r="W44" s="1009"/>
      <c r="X44" s="1009"/>
      <c r="Y44" s="1009"/>
      <c r="Z44" s="1009"/>
      <c r="AA44" s="1009"/>
      <c r="AB44" s="1009"/>
      <c r="AC44" s="1009"/>
      <c r="AD44" s="1009"/>
      <c r="AE44" s="1009"/>
      <c r="AF44" s="1009"/>
      <c r="AG44" s="1009"/>
      <c r="AH44" s="1009"/>
      <c r="AI44" s="1009"/>
      <c r="AJ44" s="1009"/>
      <c r="AK44" s="1009"/>
      <c r="AL44" s="1009"/>
      <c r="AM44" s="1009"/>
      <c r="AN44" s="1009"/>
      <c r="AO44" s="1009"/>
      <c r="AP44" s="1009"/>
      <c r="AQ44" s="1009"/>
      <c r="AR44" s="1009"/>
      <c r="AS44" s="1009"/>
      <c r="AT44" s="1009"/>
      <c r="AU44" s="1009"/>
      <c r="AV44" s="1009"/>
      <c r="AW44" s="1009"/>
      <c r="AX44" s="1009"/>
      <c r="AY44" s="1009"/>
      <c r="AZ44" s="1009"/>
      <c r="BA44" s="1009"/>
      <c r="BB44" s="1009"/>
      <c r="BC44" s="1009"/>
      <c r="BD44" s="1009"/>
      <c r="BE44" s="1009"/>
      <c r="BF44" s="1009"/>
      <c r="BG44" s="1009"/>
      <c r="BH44" s="1009"/>
      <c r="BI44" s="1009"/>
      <c r="BJ44" s="1009"/>
      <c r="BK44" s="1009"/>
      <c r="BL44" s="1009"/>
      <c r="BM44" s="1009"/>
      <c r="BN44" s="1009"/>
      <c r="BO44" s="1009"/>
      <c r="BP44" s="1009"/>
      <c r="BQ44" s="1009"/>
      <c r="BR44" s="1009"/>
      <c r="BS44" s="1009"/>
      <c r="BT44" s="1009"/>
      <c r="BU44" s="1009"/>
      <c r="BV44" s="1009"/>
      <c r="BW44" s="1009"/>
      <c r="BX44" s="1009"/>
      <c r="BY44" s="1009"/>
      <c r="BZ44" s="1009"/>
      <c r="CA44" s="1009"/>
      <c r="CB44" s="1009"/>
      <c r="CC44" s="1009"/>
      <c r="CD44" s="1009"/>
      <c r="CE44" s="1009"/>
      <c r="CF44" s="1009"/>
      <c r="CG44" s="1009"/>
      <c r="CH44" s="1009"/>
      <c r="CI44" s="1010"/>
      <c r="CK44" s="1293"/>
    </row>
    <row r="45" spans="1:89" s="1292" customFormat="1" x14ac:dyDescent="0.2">
      <c r="A45" s="1284"/>
      <c r="B45" s="1033" t="s">
        <v>492</v>
      </c>
      <c r="C45" s="1034" t="s">
        <v>493</v>
      </c>
      <c r="D45" s="1035" t="s">
        <v>86</v>
      </c>
      <c r="E45" s="1036" t="s">
        <v>236</v>
      </c>
      <c r="F45" s="1037">
        <v>2</v>
      </c>
      <c r="G45" s="540"/>
      <c r="H45" s="540"/>
      <c r="I45" s="540">
        <v>3.0406118885365267E-2</v>
      </c>
      <c r="J45" s="540">
        <v>2.7041654066919437E-2</v>
      </c>
      <c r="K45" s="540">
        <v>2.6668890448681058E-2</v>
      </c>
      <c r="L45" s="540">
        <v>1.67252599362211E-2</v>
      </c>
      <c r="M45" s="544">
        <v>9.0241122548724451E-3</v>
      </c>
      <c r="N45" s="544">
        <v>8.9291128157862401E-3</v>
      </c>
      <c r="O45" s="544">
        <v>8.8341133767000368E-3</v>
      </c>
      <c r="P45" s="544">
        <v>8.7391139376138335E-3</v>
      </c>
      <c r="Q45" s="544">
        <v>8.6441144985276303E-3</v>
      </c>
      <c r="R45" s="544">
        <v>8.5491150594414287E-3</v>
      </c>
      <c r="S45" s="544">
        <v>8.4541156203552237E-3</v>
      </c>
      <c r="T45" s="544">
        <v>8.3591161812690204E-3</v>
      </c>
      <c r="U45" s="544">
        <v>8.2641167421828171E-3</v>
      </c>
      <c r="V45" s="544">
        <v>8.2641167421828171E-3</v>
      </c>
      <c r="W45" s="544">
        <v>8.2641167421828171E-3</v>
      </c>
      <c r="X45" s="544">
        <v>8.2641167421828171E-3</v>
      </c>
      <c r="Y45" s="544">
        <v>8.2641167421828171E-3</v>
      </c>
      <c r="Z45" s="544">
        <v>8.2641167421828171E-3</v>
      </c>
      <c r="AA45" s="544">
        <v>8.2641167421828171E-3</v>
      </c>
      <c r="AB45" s="544">
        <v>8.2641167421828171E-3</v>
      </c>
      <c r="AC45" s="544">
        <v>8.2641167421828171E-3</v>
      </c>
      <c r="AD45" s="544">
        <v>8.2641167421828171E-3</v>
      </c>
      <c r="AE45" s="544">
        <v>8.2641167421828171E-3</v>
      </c>
      <c r="AF45" s="544">
        <v>8.2641167421828171E-3</v>
      </c>
      <c r="AG45" s="544">
        <v>8.2641167421828171E-3</v>
      </c>
      <c r="AH45" s="544">
        <v>8.2641167421828171E-3</v>
      </c>
      <c r="AI45" s="544">
        <v>8.2641167421828171E-3</v>
      </c>
      <c r="AJ45" s="544">
        <v>8.2641167421828171E-3</v>
      </c>
      <c r="AK45" s="544">
        <v>8.2641167421828171E-3</v>
      </c>
      <c r="AL45" s="544"/>
      <c r="AM45" s="544"/>
      <c r="AN45" s="544"/>
      <c r="AO45" s="544"/>
      <c r="AP45" s="544"/>
      <c r="AQ45" s="544"/>
      <c r="AR45" s="544"/>
      <c r="AS45" s="544"/>
      <c r="AT45" s="544"/>
      <c r="AU45" s="544"/>
      <c r="AV45" s="544"/>
      <c r="AW45" s="544"/>
      <c r="AX45" s="544"/>
      <c r="AY45" s="544"/>
      <c r="AZ45" s="544"/>
      <c r="BA45" s="544"/>
      <c r="BB45" s="544"/>
      <c r="BC45" s="544"/>
      <c r="BD45" s="544"/>
      <c r="BE45" s="544"/>
      <c r="BF45" s="544"/>
      <c r="BG45" s="544"/>
      <c r="BH45" s="544"/>
      <c r="BI45" s="544"/>
      <c r="BJ45" s="544"/>
      <c r="BK45" s="544"/>
      <c r="BL45" s="544"/>
      <c r="BM45" s="544"/>
      <c r="BN45" s="544"/>
      <c r="BO45" s="544"/>
      <c r="BP45" s="544"/>
      <c r="BQ45" s="544"/>
      <c r="BR45" s="544"/>
      <c r="BS45" s="544"/>
      <c r="BT45" s="544"/>
      <c r="BU45" s="544"/>
      <c r="BV45" s="544"/>
      <c r="BW45" s="544"/>
      <c r="BX45" s="544"/>
      <c r="BY45" s="544"/>
      <c r="BZ45" s="544"/>
      <c r="CA45" s="544"/>
      <c r="CB45" s="544"/>
      <c r="CC45" s="544"/>
      <c r="CD45" s="544"/>
      <c r="CE45" s="544"/>
      <c r="CF45" s="544"/>
      <c r="CG45" s="544"/>
      <c r="CH45" s="544"/>
      <c r="CI45" s="545"/>
      <c r="CK45" s="1293"/>
    </row>
    <row r="46" spans="1:89" s="1292" customFormat="1" x14ac:dyDescent="0.2">
      <c r="A46" s="1284"/>
      <c r="B46" s="563" t="s">
        <v>494</v>
      </c>
      <c r="C46" s="564" t="s">
        <v>495</v>
      </c>
      <c r="D46" s="565" t="s">
        <v>86</v>
      </c>
      <c r="E46" s="566" t="s">
        <v>236</v>
      </c>
      <c r="F46" s="567">
        <v>2</v>
      </c>
      <c r="G46" s="540"/>
      <c r="H46" s="540"/>
      <c r="I46" s="540">
        <v>3.7484319924025837</v>
      </c>
      <c r="J46" s="540">
        <v>3.6203115483071051</v>
      </c>
      <c r="K46" s="540">
        <v>3.5877343205600334</v>
      </c>
      <c r="L46" s="540">
        <v>3.5700102677934189</v>
      </c>
      <c r="M46" s="544">
        <v>3.6456791267936346</v>
      </c>
      <c r="N46" s="544">
        <v>3.7916113557779498</v>
      </c>
      <c r="O46" s="544">
        <v>3.8567517856936693</v>
      </c>
      <c r="P46" s="544">
        <v>3.8974834249494781</v>
      </c>
      <c r="Q46" s="544">
        <v>3.9205308423378127</v>
      </c>
      <c r="R46" s="544">
        <v>3.9441180992675844</v>
      </c>
      <c r="S46" s="544">
        <v>3.9598665205996673</v>
      </c>
      <c r="T46" s="544">
        <v>3.9775472687440256</v>
      </c>
      <c r="U46" s="544">
        <v>3.9937380048488906</v>
      </c>
      <c r="V46" s="544">
        <v>4.0104015740458419</v>
      </c>
      <c r="W46" s="544">
        <v>4.0273775750863985</v>
      </c>
      <c r="X46" s="544">
        <v>4.0453067981679052</v>
      </c>
      <c r="Y46" s="544">
        <v>4.0649832874546332</v>
      </c>
      <c r="Z46" s="544">
        <v>4.0861764021307465</v>
      </c>
      <c r="AA46" s="544">
        <v>4.1045385146896303</v>
      </c>
      <c r="AB46" s="544">
        <v>4.1156776395011487</v>
      </c>
      <c r="AC46" s="544">
        <v>4.1336123157814315</v>
      </c>
      <c r="AD46" s="544">
        <v>4.153083801367063</v>
      </c>
      <c r="AE46" s="544">
        <v>4.1732750929444551</v>
      </c>
      <c r="AF46" s="544">
        <v>4.19412937546549</v>
      </c>
      <c r="AG46" s="544">
        <v>4.2146794111841119</v>
      </c>
      <c r="AH46" s="544">
        <v>4.236352738172033</v>
      </c>
      <c r="AI46" s="544">
        <v>4.2585767009021085</v>
      </c>
      <c r="AJ46" s="544">
        <v>4.2818366424516583</v>
      </c>
      <c r="AK46" s="544">
        <v>4.3052536512913999</v>
      </c>
      <c r="AL46" s="544"/>
      <c r="AM46" s="544"/>
      <c r="AN46" s="544"/>
      <c r="AO46" s="544"/>
      <c r="AP46" s="544"/>
      <c r="AQ46" s="544"/>
      <c r="AR46" s="544"/>
      <c r="AS46" s="544"/>
      <c r="AT46" s="544"/>
      <c r="AU46" s="544"/>
      <c r="AV46" s="544"/>
      <c r="AW46" s="544"/>
      <c r="AX46" s="544"/>
      <c r="AY46" s="544"/>
      <c r="AZ46" s="544"/>
      <c r="BA46" s="544"/>
      <c r="BB46" s="544"/>
      <c r="BC46" s="544"/>
      <c r="BD46" s="544"/>
      <c r="BE46" s="544"/>
      <c r="BF46" s="544"/>
      <c r="BG46" s="544"/>
      <c r="BH46" s="544"/>
      <c r="BI46" s="544"/>
      <c r="BJ46" s="544"/>
      <c r="BK46" s="544"/>
      <c r="BL46" s="544"/>
      <c r="BM46" s="544"/>
      <c r="BN46" s="544"/>
      <c r="BO46" s="544"/>
      <c r="BP46" s="544"/>
      <c r="BQ46" s="544"/>
      <c r="BR46" s="544"/>
      <c r="BS46" s="544"/>
      <c r="BT46" s="544"/>
      <c r="BU46" s="544"/>
      <c r="BV46" s="544"/>
      <c r="BW46" s="544"/>
      <c r="BX46" s="544"/>
      <c r="BY46" s="544"/>
      <c r="BZ46" s="544"/>
      <c r="CA46" s="544"/>
      <c r="CB46" s="544"/>
      <c r="CC46" s="544"/>
      <c r="CD46" s="544"/>
      <c r="CE46" s="544"/>
      <c r="CF46" s="544"/>
      <c r="CG46" s="544"/>
      <c r="CH46" s="544"/>
      <c r="CI46" s="545"/>
      <c r="CK46" s="1293"/>
    </row>
    <row r="47" spans="1:89" s="1294" customFormat="1" x14ac:dyDescent="0.2">
      <c r="A47" s="1284"/>
      <c r="B47" s="563" t="s">
        <v>496</v>
      </c>
      <c r="C47" s="564" t="s">
        <v>497</v>
      </c>
      <c r="D47" s="565" t="s">
        <v>86</v>
      </c>
      <c r="E47" s="566" t="s">
        <v>236</v>
      </c>
      <c r="F47" s="567">
        <v>2</v>
      </c>
      <c r="G47" s="540"/>
      <c r="H47" s="540"/>
      <c r="I47" s="540">
        <v>1.7847550445431084</v>
      </c>
      <c r="J47" s="540">
        <v>1.7367066436682905</v>
      </c>
      <c r="K47" s="540">
        <v>1.597971289347925</v>
      </c>
      <c r="L47" s="540">
        <v>1.5338221880699914</v>
      </c>
      <c r="M47" s="544">
        <v>1.3877726022433814</v>
      </c>
      <c r="N47" s="544">
        <v>1.2636690098768502</v>
      </c>
      <c r="O47" s="544">
        <v>1.226977035400288</v>
      </c>
      <c r="P47" s="544">
        <v>1.1903182163681145</v>
      </c>
      <c r="Q47" s="544">
        <v>1.1535867421587773</v>
      </c>
      <c r="R47" s="544">
        <v>1.1329731252319257</v>
      </c>
      <c r="S47" s="544">
        <v>1.1287266940663085</v>
      </c>
      <c r="T47" s="544">
        <v>1.1244632648815658</v>
      </c>
      <c r="U47" s="544">
        <v>1.1200882149585973</v>
      </c>
      <c r="V47" s="544">
        <v>1.1156784287723391</v>
      </c>
      <c r="W47" s="544">
        <v>1.1120069098109664</v>
      </c>
      <c r="X47" s="544">
        <v>1.1083207273755318</v>
      </c>
      <c r="Y47" s="544">
        <v>1.1045126797017988</v>
      </c>
      <c r="Z47" s="544">
        <v>1.1008949017019856</v>
      </c>
      <c r="AA47" s="544">
        <v>1.0971732572749795</v>
      </c>
      <c r="AB47" s="544">
        <v>1.093307521841945</v>
      </c>
      <c r="AC47" s="544">
        <v>1.0894585191620301</v>
      </c>
      <c r="AD47" s="544">
        <v>1.0860761276350803</v>
      </c>
      <c r="AE47" s="544">
        <v>1.083098868529534</v>
      </c>
      <c r="AF47" s="544">
        <v>1.0801504521319221</v>
      </c>
      <c r="AG47" s="544">
        <v>1.0771291008297008</v>
      </c>
      <c r="AH47" s="544">
        <v>1.0743464832920528</v>
      </c>
      <c r="AI47" s="544">
        <v>1.0714918019305686</v>
      </c>
      <c r="AJ47" s="544">
        <v>1.0686741936679798</v>
      </c>
      <c r="AK47" s="544">
        <v>1.065586478713741</v>
      </c>
      <c r="AL47" s="544"/>
      <c r="AM47" s="544"/>
      <c r="AN47" s="544"/>
      <c r="AO47" s="544"/>
      <c r="AP47" s="544"/>
      <c r="AQ47" s="544"/>
      <c r="AR47" s="544"/>
      <c r="AS47" s="544"/>
      <c r="AT47" s="544"/>
      <c r="AU47" s="544"/>
      <c r="AV47" s="544"/>
      <c r="AW47" s="544"/>
      <c r="AX47" s="544"/>
      <c r="AY47" s="544"/>
      <c r="AZ47" s="544"/>
      <c r="BA47" s="544"/>
      <c r="BB47" s="544"/>
      <c r="BC47" s="544"/>
      <c r="BD47" s="544"/>
      <c r="BE47" s="544"/>
      <c r="BF47" s="544"/>
      <c r="BG47" s="544"/>
      <c r="BH47" s="544"/>
      <c r="BI47" s="544"/>
      <c r="BJ47" s="544"/>
      <c r="BK47" s="544"/>
      <c r="BL47" s="544"/>
      <c r="BM47" s="544"/>
      <c r="BN47" s="544"/>
      <c r="BO47" s="544"/>
      <c r="BP47" s="544"/>
      <c r="BQ47" s="544"/>
      <c r="BR47" s="544"/>
      <c r="BS47" s="544"/>
      <c r="BT47" s="544"/>
      <c r="BU47" s="544"/>
      <c r="BV47" s="544"/>
      <c r="BW47" s="544"/>
      <c r="BX47" s="544"/>
      <c r="BY47" s="544"/>
      <c r="BZ47" s="544"/>
      <c r="CA47" s="544"/>
      <c r="CB47" s="544"/>
      <c r="CC47" s="544"/>
      <c r="CD47" s="544"/>
      <c r="CE47" s="544"/>
      <c r="CF47" s="544"/>
      <c r="CG47" s="544"/>
      <c r="CH47" s="544"/>
      <c r="CI47" s="545"/>
      <c r="CK47" s="1295"/>
    </row>
    <row r="48" spans="1:89" s="1292" customFormat="1" ht="28.5" x14ac:dyDescent="0.2">
      <c r="A48" s="1284"/>
      <c r="B48" s="563" t="s">
        <v>498</v>
      </c>
      <c r="C48" s="564" t="s">
        <v>499</v>
      </c>
      <c r="D48" s="565" t="s">
        <v>86</v>
      </c>
      <c r="E48" s="566" t="s">
        <v>375</v>
      </c>
      <c r="F48" s="567">
        <v>1</v>
      </c>
      <c r="G48" s="568"/>
      <c r="H48" s="1424"/>
      <c r="I48" s="1326">
        <v>0</v>
      </c>
      <c r="J48" s="1326">
        <v>1.5801690149964791E-3</v>
      </c>
      <c r="K48" s="1326">
        <v>1.1999561659399284E-2</v>
      </c>
      <c r="L48" s="1326">
        <v>1.167323132275064E-2</v>
      </c>
      <c r="M48" s="1327">
        <v>1.1044360558581425E-2</v>
      </c>
      <c r="N48" s="1327">
        <v>1.0586764136474669E-2</v>
      </c>
      <c r="O48" s="1327">
        <v>1.0469044758290014E-2</v>
      </c>
      <c r="P48" s="1327">
        <v>1.0433687854713136E-2</v>
      </c>
      <c r="Q48" s="1327">
        <v>1.1712126775353847E-2</v>
      </c>
      <c r="R48" s="1327">
        <v>1.1747883729670507E-2</v>
      </c>
      <c r="S48" s="1327">
        <v>1.1856299815819277E-2</v>
      </c>
      <c r="T48" s="1327">
        <v>9.5108401133379341E-3</v>
      </c>
      <c r="U48" s="1327">
        <v>9.5972589879881626E-3</v>
      </c>
      <c r="V48" s="1327">
        <v>9.6406514052439617E-3</v>
      </c>
      <c r="W48" s="1327">
        <v>9.726420582260099E-3</v>
      </c>
      <c r="X48" s="1327">
        <v>9.807398611029014E-3</v>
      </c>
      <c r="Y48" s="1327">
        <v>9.8454200308963121E-3</v>
      </c>
      <c r="Z48" s="1327">
        <v>9.9257809205405383E-3</v>
      </c>
      <c r="AA48" s="1327">
        <v>1.0005740409341147E-2</v>
      </c>
      <c r="AB48" s="1327">
        <v>1.0044676765803888E-2</v>
      </c>
      <c r="AC48" s="1327">
        <v>1.0125110166278166E-2</v>
      </c>
      <c r="AD48" s="1327">
        <v>1.0193630173765513E-2</v>
      </c>
      <c r="AE48" s="1327">
        <v>1.026425738005371E-2</v>
      </c>
      <c r="AF48" s="1327">
        <v>1.0334994039860795E-2</v>
      </c>
      <c r="AG48" s="1327">
        <v>1.0405220775642413E-2</v>
      </c>
      <c r="AH48" s="1327">
        <v>1.047668230839194E-2</v>
      </c>
      <c r="AI48" s="1327">
        <v>1.0547974097500523E-2</v>
      </c>
      <c r="AJ48" s="1327">
        <v>1.062018399756404E-2</v>
      </c>
      <c r="AK48" s="1327">
        <v>1.0690981357797131E-2</v>
      </c>
      <c r="AL48" s="1327"/>
      <c r="AM48" s="1327"/>
      <c r="AN48" s="1327"/>
      <c r="AO48" s="1327"/>
      <c r="AP48" s="1327"/>
      <c r="AQ48" s="1327"/>
      <c r="AR48" s="1327"/>
      <c r="AS48" s="1327"/>
      <c r="AT48" s="1327"/>
      <c r="AU48" s="1327"/>
      <c r="AV48" s="1327"/>
      <c r="AW48" s="1327"/>
      <c r="AX48" s="1327"/>
      <c r="AY48" s="1327"/>
      <c r="AZ48" s="1327"/>
      <c r="BA48" s="1327"/>
      <c r="BB48" s="1327"/>
      <c r="BC48" s="1327"/>
      <c r="BD48" s="1327"/>
      <c r="BE48" s="1327"/>
      <c r="BF48" s="1327"/>
      <c r="BG48" s="1327"/>
      <c r="BH48" s="1327"/>
      <c r="BI48" s="1327"/>
      <c r="BJ48" s="1327"/>
      <c r="BK48" s="1327"/>
      <c r="BL48" s="1327"/>
      <c r="BM48" s="1327"/>
      <c r="BN48" s="1327"/>
      <c r="BO48" s="1327"/>
      <c r="BP48" s="1327"/>
      <c r="BQ48" s="1327"/>
      <c r="BR48" s="1327"/>
      <c r="BS48" s="1327"/>
      <c r="BT48" s="1327"/>
      <c r="BU48" s="1327"/>
      <c r="BV48" s="1327"/>
      <c r="BW48" s="1327"/>
      <c r="BX48" s="1327"/>
      <c r="BY48" s="1327"/>
      <c r="BZ48" s="1327"/>
      <c r="CA48" s="1327"/>
      <c r="CB48" s="1327"/>
      <c r="CC48" s="1327"/>
      <c r="CD48" s="1327"/>
      <c r="CE48" s="1327"/>
      <c r="CF48" s="1327"/>
      <c r="CG48" s="1327"/>
      <c r="CH48" s="1327"/>
      <c r="CI48" s="1328"/>
      <c r="CK48" s="1293"/>
    </row>
    <row r="49" spans="1:89" s="1292" customFormat="1" ht="28.5" x14ac:dyDescent="0.2">
      <c r="A49" s="1284"/>
      <c r="B49" s="563" t="s">
        <v>500</v>
      </c>
      <c r="C49" s="564" t="s">
        <v>501</v>
      </c>
      <c r="D49" s="565" t="s">
        <v>502</v>
      </c>
      <c r="E49" s="566" t="s">
        <v>236</v>
      </c>
      <c r="F49" s="567">
        <v>2</v>
      </c>
      <c r="G49" s="569">
        <f>G48*(G43+SUM(G45:G47)-SUM(G55:G58))</f>
        <v>0</v>
      </c>
      <c r="H49" s="569">
        <f t="shared" ref="H49:AK49" si="4">H48*(SUM(H43:H47)-SUM(H55:H58))</f>
        <v>0</v>
      </c>
      <c r="I49" s="569">
        <f t="shared" si="4"/>
        <v>0</v>
      </c>
      <c r="J49" s="569">
        <f t="shared" si="4"/>
        <v>1.3204866424370345E-2</v>
      </c>
      <c r="K49" s="569">
        <f t="shared" si="4"/>
        <v>0.10025609136945166</v>
      </c>
      <c r="L49" s="569">
        <f t="shared" si="4"/>
        <v>9.8745119126410888E-2</v>
      </c>
      <c r="M49" s="569">
        <f t="shared" si="4"/>
        <v>9.4402133292447593E-2</v>
      </c>
      <c r="N49" s="569">
        <f t="shared" si="4"/>
        <v>9.1265076900460054E-2</v>
      </c>
      <c r="O49" s="569">
        <f t="shared" si="4"/>
        <v>9.0698093682438877E-2</v>
      </c>
      <c r="P49" s="569">
        <f t="shared" si="4"/>
        <v>9.0581581389243868E-2</v>
      </c>
      <c r="Q49" s="569">
        <f t="shared" si="4"/>
        <v>0.10165341213058471</v>
      </c>
      <c r="R49" s="569">
        <f t="shared" si="4"/>
        <v>0.10208379873415291</v>
      </c>
      <c r="S49" s="569">
        <f t="shared" si="4"/>
        <v>0.10323610545305269</v>
      </c>
      <c r="T49" s="569">
        <f t="shared" si="4"/>
        <v>0.10477828189334522</v>
      </c>
      <c r="U49" s="569">
        <f t="shared" si="4"/>
        <v>0.10590348955909232</v>
      </c>
      <c r="V49" s="569">
        <f t="shared" si="4"/>
        <v>0.10656190392548007</v>
      </c>
      <c r="W49" s="569">
        <f t="shared" si="4"/>
        <v>0.10770261431546245</v>
      </c>
      <c r="X49" s="569">
        <f t="shared" si="4"/>
        <v>0.10880251549925705</v>
      </c>
      <c r="Y49" s="569">
        <f t="shared" si="4"/>
        <v>0.10944616416563729</v>
      </c>
      <c r="Z49" s="569">
        <f t="shared" si="4"/>
        <v>0.11058023998756804</v>
      </c>
      <c r="AA49" s="569">
        <f t="shared" si="4"/>
        <v>0.11168473564833623</v>
      </c>
      <c r="AB49" s="569">
        <f t="shared" si="4"/>
        <v>0.11226005781585699</v>
      </c>
      <c r="AC49" s="569">
        <f t="shared" si="4"/>
        <v>0.11336966229247149</v>
      </c>
      <c r="AD49" s="569">
        <f t="shared" si="4"/>
        <v>0.11436819509614796</v>
      </c>
      <c r="AE49" s="569">
        <f t="shared" si="4"/>
        <v>0.11540327963614318</v>
      </c>
      <c r="AF49" s="569">
        <f t="shared" si="4"/>
        <v>0.11644954432442803</v>
      </c>
      <c r="AG49" s="569">
        <f t="shared" si="4"/>
        <v>0.11748831657623189</v>
      </c>
      <c r="AH49" s="569">
        <f t="shared" si="4"/>
        <v>0.11855848721156069</v>
      </c>
      <c r="AI49" s="569">
        <f t="shared" si="4"/>
        <v>0.11963502711353251</v>
      </c>
      <c r="AJ49" s="569">
        <f t="shared" si="4"/>
        <v>0.12073632047504168</v>
      </c>
      <c r="AK49" s="569">
        <f t="shared" si="4"/>
        <v>0.12182409690786189</v>
      </c>
      <c r="AL49" s="569"/>
      <c r="AM49" s="569"/>
      <c r="AN49" s="569"/>
      <c r="AO49" s="569"/>
      <c r="AP49" s="569"/>
      <c r="AQ49" s="569"/>
      <c r="AR49" s="569"/>
      <c r="AS49" s="569"/>
      <c r="AT49" s="569"/>
      <c r="AU49" s="569"/>
      <c r="AV49" s="569"/>
      <c r="AW49" s="569"/>
      <c r="AX49" s="569"/>
      <c r="AY49" s="569"/>
      <c r="AZ49" s="569"/>
      <c r="BA49" s="569"/>
      <c r="BB49" s="569"/>
      <c r="BC49" s="569"/>
      <c r="BD49" s="569"/>
      <c r="BE49" s="569"/>
      <c r="BF49" s="569"/>
      <c r="BG49" s="569"/>
      <c r="BH49" s="569"/>
      <c r="BI49" s="569"/>
      <c r="BJ49" s="569"/>
      <c r="BK49" s="569"/>
      <c r="BL49" s="569"/>
      <c r="BM49" s="569"/>
      <c r="BN49" s="569"/>
      <c r="BO49" s="569"/>
      <c r="BP49" s="569"/>
      <c r="BQ49" s="569"/>
      <c r="BR49" s="569"/>
      <c r="BS49" s="569"/>
      <c r="BT49" s="569"/>
      <c r="BU49" s="569"/>
      <c r="BV49" s="569"/>
      <c r="BW49" s="569"/>
      <c r="BX49" s="569"/>
      <c r="BY49" s="569"/>
      <c r="BZ49" s="569"/>
      <c r="CA49" s="569"/>
      <c r="CB49" s="569"/>
      <c r="CC49" s="569"/>
      <c r="CD49" s="569"/>
      <c r="CE49" s="569"/>
      <c r="CF49" s="569"/>
      <c r="CG49" s="569"/>
      <c r="CH49" s="569"/>
      <c r="CI49" s="570"/>
      <c r="CK49" s="1293"/>
    </row>
    <row r="50" spans="1:89" s="1292" customFormat="1" x14ac:dyDescent="0.2">
      <c r="A50" s="1284"/>
      <c r="B50" s="563" t="s">
        <v>503</v>
      </c>
      <c r="C50" s="571" t="s">
        <v>305</v>
      </c>
      <c r="D50" s="572" t="s">
        <v>504</v>
      </c>
      <c r="E50" s="573" t="s">
        <v>239</v>
      </c>
      <c r="F50" s="574">
        <v>1</v>
      </c>
      <c r="G50" s="575" t="e">
        <f>(((G46-G57))*1000000)/((G79)*1000)</f>
        <v>#DIV/0!</v>
      </c>
      <c r="H50" s="575" t="e">
        <f t="shared" ref="H50:AK51" si="5">(((H46-H57))*1000000)/((H79)*1000)</f>
        <v>#DIV/0!</v>
      </c>
      <c r="I50" s="575">
        <f t="shared" si="5"/>
        <v>142.66768501850137</v>
      </c>
      <c r="J50" s="575">
        <f t="shared" si="5"/>
        <v>138.57088681112171</v>
      </c>
      <c r="K50" s="575">
        <f t="shared" si="5"/>
        <v>135.01467540989944</v>
      </c>
      <c r="L50" s="575">
        <f t="shared" si="5"/>
        <v>132.79329836683436</v>
      </c>
      <c r="M50" s="576">
        <f t="shared" si="5"/>
        <v>131.07852734113135</v>
      </c>
      <c r="N50" s="576">
        <f t="shared" si="5"/>
        <v>130.46457260843488</v>
      </c>
      <c r="O50" s="576">
        <f t="shared" si="5"/>
        <v>130.01268173861786</v>
      </c>
      <c r="P50" s="576">
        <f t="shared" si="5"/>
        <v>129.61317234454603</v>
      </c>
      <c r="Q50" s="576">
        <f t="shared" si="5"/>
        <v>128.84981685570725</v>
      </c>
      <c r="R50" s="576">
        <f t="shared" si="5"/>
        <v>128.55034160295682</v>
      </c>
      <c r="S50" s="576">
        <f t="shared" si="5"/>
        <v>128.37334959659023</v>
      </c>
      <c r="T50" s="576">
        <f t="shared" si="5"/>
        <v>128.22407411811773</v>
      </c>
      <c r="U50" s="576">
        <f t="shared" si="5"/>
        <v>128.06493360867091</v>
      </c>
      <c r="V50" s="576">
        <f t="shared" si="5"/>
        <v>127.92567057448066</v>
      </c>
      <c r="W50" s="576">
        <f t="shared" si="5"/>
        <v>127.75876640455773</v>
      </c>
      <c r="X50" s="576">
        <f t="shared" si="5"/>
        <v>127.64465545301618</v>
      </c>
      <c r="Y50" s="576">
        <f t="shared" si="5"/>
        <v>127.5422951169574</v>
      </c>
      <c r="Z50" s="576">
        <f t="shared" si="5"/>
        <v>127.4643820874208</v>
      </c>
      <c r="AA50" s="576">
        <f t="shared" si="5"/>
        <v>127.35961467231284</v>
      </c>
      <c r="AB50" s="576">
        <f t="shared" si="5"/>
        <v>127.07082295535433</v>
      </c>
      <c r="AC50" s="576">
        <f t="shared" si="5"/>
        <v>126.96363703549449</v>
      </c>
      <c r="AD50" s="576">
        <f t="shared" si="5"/>
        <v>126.89079943822067</v>
      </c>
      <c r="AE50" s="576">
        <f t="shared" si="5"/>
        <v>126.81158784286112</v>
      </c>
      <c r="AF50" s="576">
        <f t="shared" si="5"/>
        <v>126.73691726297383</v>
      </c>
      <c r="AG50" s="576">
        <f t="shared" si="5"/>
        <v>126.65881316421348</v>
      </c>
      <c r="AH50" s="576">
        <f t="shared" si="5"/>
        <v>126.61559343764526</v>
      </c>
      <c r="AI50" s="576">
        <f t="shared" si="5"/>
        <v>126.5580179546736</v>
      </c>
      <c r="AJ50" s="576">
        <f t="shared" si="5"/>
        <v>126.4986650589768</v>
      </c>
      <c r="AK50" s="576">
        <f t="shared" si="5"/>
        <v>126.42665329740665</v>
      </c>
      <c r="AL50" s="576"/>
      <c r="AM50" s="576"/>
      <c r="AN50" s="576"/>
      <c r="AO50" s="576"/>
      <c r="AP50" s="576"/>
      <c r="AQ50" s="576"/>
      <c r="AR50" s="576"/>
      <c r="AS50" s="576"/>
      <c r="AT50" s="576"/>
      <c r="AU50" s="576"/>
      <c r="AV50" s="576"/>
      <c r="AW50" s="576"/>
      <c r="AX50" s="576"/>
      <c r="AY50" s="576"/>
      <c r="AZ50" s="576"/>
      <c r="BA50" s="576"/>
      <c r="BB50" s="576"/>
      <c r="BC50" s="576"/>
      <c r="BD50" s="576"/>
      <c r="BE50" s="576"/>
      <c r="BF50" s="576"/>
      <c r="BG50" s="576"/>
      <c r="BH50" s="576"/>
      <c r="BI50" s="576"/>
      <c r="BJ50" s="576"/>
      <c r="BK50" s="576"/>
      <c r="BL50" s="576"/>
      <c r="BM50" s="576"/>
      <c r="BN50" s="576"/>
      <c r="BO50" s="576"/>
      <c r="BP50" s="576"/>
      <c r="BQ50" s="576"/>
      <c r="BR50" s="576"/>
      <c r="BS50" s="576"/>
      <c r="BT50" s="576"/>
      <c r="BU50" s="576"/>
      <c r="BV50" s="576"/>
      <c r="BW50" s="576"/>
      <c r="BX50" s="576"/>
      <c r="BY50" s="576"/>
      <c r="BZ50" s="576"/>
      <c r="CA50" s="576"/>
      <c r="CB50" s="576"/>
      <c r="CC50" s="576"/>
      <c r="CD50" s="576"/>
      <c r="CE50" s="576"/>
      <c r="CF50" s="576"/>
      <c r="CG50" s="576"/>
      <c r="CH50" s="576"/>
      <c r="CI50" s="570"/>
      <c r="CK50" s="1293"/>
    </row>
    <row r="51" spans="1:89" s="1292" customFormat="1" x14ac:dyDescent="0.2">
      <c r="A51" s="1284"/>
      <c r="B51" s="563" t="s">
        <v>505</v>
      </c>
      <c r="C51" s="571" t="s">
        <v>324</v>
      </c>
      <c r="D51" s="572" t="s">
        <v>506</v>
      </c>
      <c r="E51" s="573" t="s">
        <v>239</v>
      </c>
      <c r="F51" s="574">
        <v>1</v>
      </c>
      <c r="G51" s="575" t="e">
        <f>(((G47-G58))*1000000)/((G80)*1000)</f>
        <v>#DIV/0!</v>
      </c>
      <c r="H51" s="575" t="e">
        <f t="shared" si="5"/>
        <v>#DIV/0!</v>
      </c>
      <c r="I51" s="575">
        <f t="shared" si="5"/>
        <v>153.01222380103445</v>
      </c>
      <c r="J51" s="575">
        <f t="shared" si="5"/>
        <v>157.81299413525343</v>
      </c>
      <c r="K51" s="575">
        <f t="shared" si="5"/>
        <v>147.48440940677801</v>
      </c>
      <c r="L51" s="575">
        <f t="shared" si="5"/>
        <v>145.19589200160385</v>
      </c>
      <c r="M51" s="576">
        <f t="shared" si="5"/>
        <v>143.43353659168642</v>
      </c>
      <c r="N51" s="576">
        <f t="shared" si="5"/>
        <v>143.09611812830778</v>
      </c>
      <c r="O51" s="576">
        <f t="shared" si="5"/>
        <v>142.77103801503497</v>
      </c>
      <c r="P51" s="576">
        <f t="shared" si="5"/>
        <v>142.44689207054481</v>
      </c>
      <c r="Q51" s="576">
        <f t="shared" si="5"/>
        <v>142.10964185677275</v>
      </c>
      <c r="R51" s="576">
        <f t="shared" si="5"/>
        <v>141.91933327291571</v>
      </c>
      <c r="S51" s="576">
        <f t="shared" si="5"/>
        <v>141.91957808788851</v>
      </c>
      <c r="T51" s="576">
        <f t="shared" si="5"/>
        <v>141.92388966193985</v>
      </c>
      <c r="U51" s="576">
        <f t="shared" si="5"/>
        <v>141.91842833219317</v>
      </c>
      <c r="V51" s="576">
        <f t="shared" si="5"/>
        <v>141.91359811816753</v>
      </c>
      <c r="W51" s="576">
        <f t="shared" si="5"/>
        <v>142.0117182291776</v>
      </c>
      <c r="X51" s="576">
        <f t="shared" si="5"/>
        <v>142.1115501463855</v>
      </c>
      <c r="Y51" s="576">
        <f t="shared" si="5"/>
        <v>142.19887228247939</v>
      </c>
      <c r="Z51" s="576">
        <f t="shared" si="5"/>
        <v>142.31441560663725</v>
      </c>
      <c r="AA51" s="576">
        <f t="shared" si="5"/>
        <v>142.41745857462666</v>
      </c>
      <c r="AB51" s="576">
        <f t="shared" si="5"/>
        <v>142.50310775672421</v>
      </c>
      <c r="AC51" s="576">
        <f t="shared" si="5"/>
        <v>142.59182731588893</v>
      </c>
      <c r="AD51" s="576">
        <f t="shared" si="5"/>
        <v>142.74505945285091</v>
      </c>
      <c r="AE51" s="576">
        <f t="shared" si="5"/>
        <v>142.954339577122</v>
      </c>
      <c r="AF51" s="576">
        <f t="shared" si="5"/>
        <v>143.16766953073059</v>
      </c>
      <c r="AG51" s="576">
        <f t="shared" si="5"/>
        <v>143.37038326106548</v>
      </c>
      <c r="AH51" s="576">
        <f t="shared" si="5"/>
        <v>143.60568379843068</v>
      </c>
      <c r="AI51" s="576">
        <f t="shared" si="5"/>
        <v>143.83008846052272</v>
      </c>
      <c r="AJ51" s="576">
        <f t="shared" si="5"/>
        <v>144.05777584383191</v>
      </c>
      <c r="AK51" s="576">
        <f t="shared" si="5"/>
        <v>144.24429999586695</v>
      </c>
      <c r="AL51" s="576"/>
      <c r="AM51" s="576"/>
      <c r="AN51" s="576"/>
      <c r="AO51" s="576"/>
      <c r="AP51" s="576"/>
      <c r="AQ51" s="576"/>
      <c r="AR51" s="576"/>
      <c r="AS51" s="576"/>
      <c r="AT51" s="576"/>
      <c r="AU51" s="576"/>
      <c r="AV51" s="576"/>
      <c r="AW51" s="576"/>
      <c r="AX51" s="576"/>
      <c r="AY51" s="576"/>
      <c r="AZ51" s="576"/>
      <c r="BA51" s="576"/>
      <c r="BB51" s="576"/>
      <c r="BC51" s="576"/>
      <c r="BD51" s="576"/>
      <c r="BE51" s="576"/>
      <c r="BF51" s="576"/>
      <c r="BG51" s="576"/>
      <c r="BH51" s="576"/>
      <c r="BI51" s="576"/>
      <c r="BJ51" s="576"/>
      <c r="BK51" s="576"/>
      <c r="BL51" s="576"/>
      <c r="BM51" s="576"/>
      <c r="BN51" s="576"/>
      <c r="BO51" s="576"/>
      <c r="BP51" s="576"/>
      <c r="BQ51" s="576"/>
      <c r="BR51" s="576"/>
      <c r="BS51" s="576"/>
      <c r="BT51" s="576"/>
      <c r="BU51" s="576"/>
      <c r="BV51" s="576"/>
      <c r="BW51" s="576"/>
      <c r="BX51" s="576"/>
      <c r="BY51" s="576"/>
      <c r="BZ51" s="576"/>
      <c r="CA51" s="576"/>
      <c r="CB51" s="576"/>
      <c r="CC51" s="576"/>
      <c r="CD51" s="576"/>
      <c r="CE51" s="576"/>
      <c r="CF51" s="576"/>
      <c r="CG51" s="576"/>
      <c r="CH51" s="576"/>
      <c r="CI51" s="570"/>
      <c r="CK51" s="1293"/>
    </row>
    <row r="52" spans="1:89" s="1292" customFormat="1" ht="28.5" x14ac:dyDescent="0.2">
      <c r="A52" s="1284"/>
      <c r="B52" s="563" t="s">
        <v>507</v>
      </c>
      <c r="C52" s="571" t="s">
        <v>238</v>
      </c>
      <c r="D52" s="572" t="s">
        <v>508</v>
      </c>
      <c r="E52" s="573" t="s">
        <v>239</v>
      </c>
      <c r="F52" s="574">
        <v>1</v>
      </c>
      <c r="G52" s="575" t="e">
        <f>(((G46-G57)+(G47-G58))*1000000)/((G79+G80)*1000)</f>
        <v>#DIV/0!</v>
      </c>
      <c r="H52" s="575" t="e">
        <f t="shared" ref="H52:AK52" si="6">(((H46-H57)+(H47-H58))*1000000)/((H79+H80)*1000)</f>
        <v>#DIV/0!</v>
      </c>
      <c r="I52" s="575">
        <f t="shared" si="6"/>
        <v>145.76294691553531</v>
      </c>
      <c r="J52" s="575">
        <f t="shared" si="6"/>
        <v>144.20379451706677</v>
      </c>
      <c r="K52" s="575">
        <f t="shared" si="6"/>
        <v>138.57830717861634</v>
      </c>
      <c r="L52" s="575">
        <f t="shared" si="6"/>
        <v>136.2470746196008</v>
      </c>
      <c r="M52" s="576">
        <f t="shared" si="6"/>
        <v>134.22589595768625</v>
      </c>
      <c r="N52" s="576">
        <f t="shared" si="6"/>
        <v>133.36980843268688</v>
      </c>
      <c r="O52" s="576">
        <f t="shared" si="6"/>
        <v>132.84094056388116</v>
      </c>
      <c r="P52" s="576">
        <f t="shared" si="6"/>
        <v>132.36729137762183</v>
      </c>
      <c r="Q52" s="576">
        <f t="shared" si="6"/>
        <v>131.60575485216307</v>
      </c>
      <c r="R52" s="576">
        <f t="shared" si="6"/>
        <v>131.27450927173024</v>
      </c>
      <c r="S52" s="576">
        <f t="shared" si="6"/>
        <v>131.11374309796736</v>
      </c>
      <c r="T52" s="576">
        <f t="shared" si="6"/>
        <v>130.97480555854776</v>
      </c>
      <c r="U52" s="576">
        <f t="shared" si="6"/>
        <v>130.82627677751179</v>
      </c>
      <c r="V52" s="576">
        <f t="shared" si="6"/>
        <v>130.6934696053606</v>
      </c>
      <c r="W52" s="576">
        <f t="shared" si="6"/>
        <v>130.55765268201105</v>
      </c>
      <c r="X52" s="576">
        <f t="shared" si="6"/>
        <v>130.46434639691583</v>
      </c>
      <c r="Y52" s="576">
        <f t="shared" si="6"/>
        <v>130.37674341525565</v>
      </c>
      <c r="Z52" s="576">
        <f t="shared" si="6"/>
        <v>130.31340519197087</v>
      </c>
      <c r="AA52" s="576">
        <f t="shared" si="6"/>
        <v>130.22664751479243</v>
      </c>
      <c r="AB52" s="576">
        <f t="shared" si="6"/>
        <v>129.98768949061409</v>
      </c>
      <c r="AC52" s="576">
        <f t="shared" si="6"/>
        <v>129.89522441959863</v>
      </c>
      <c r="AD52" s="576">
        <f t="shared" si="6"/>
        <v>129.84202854301967</v>
      </c>
      <c r="AE52" s="576">
        <f t="shared" si="6"/>
        <v>129.79294994305326</v>
      </c>
      <c r="AF52" s="576">
        <f t="shared" si="6"/>
        <v>129.74735168647953</v>
      </c>
      <c r="AG52" s="576">
        <f t="shared" si="6"/>
        <v>129.69648791713274</v>
      </c>
      <c r="AH52" s="576">
        <f t="shared" si="6"/>
        <v>129.67948865867731</v>
      </c>
      <c r="AI52" s="576">
        <f t="shared" si="6"/>
        <v>129.64753976845049</v>
      </c>
      <c r="AJ52" s="576">
        <f t="shared" si="6"/>
        <v>129.61345880588615</v>
      </c>
      <c r="AK52" s="576">
        <f t="shared" si="6"/>
        <v>129.5607797765542</v>
      </c>
      <c r="AL52" s="576"/>
      <c r="AM52" s="576"/>
      <c r="AN52" s="576"/>
      <c r="AO52" s="576"/>
      <c r="AP52" s="576"/>
      <c r="AQ52" s="576"/>
      <c r="AR52" s="576"/>
      <c r="AS52" s="576"/>
      <c r="AT52" s="576"/>
      <c r="AU52" s="576"/>
      <c r="AV52" s="576"/>
      <c r="AW52" s="576"/>
      <c r="AX52" s="576"/>
      <c r="AY52" s="576"/>
      <c r="AZ52" s="576"/>
      <c r="BA52" s="576"/>
      <c r="BB52" s="576"/>
      <c r="BC52" s="576"/>
      <c r="BD52" s="576"/>
      <c r="BE52" s="576"/>
      <c r="BF52" s="576"/>
      <c r="BG52" s="576"/>
      <c r="BH52" s="576"/>
      <c r="BI52" s="576"/>
      <c r="BJ52" s="576"/>
      <c r="BK52" s="576"/>
      <c r="BL52" s="576"/>
      <c r="BM52" s="576"/>
      <c r="BN52" s="576"/>
      <c r="BO52" s="576"/>
      <c r="BP52" s="576"/>
      <c r="BQ52" s="576"/>
      <c r="BR52" s="576"/>
      <c r="BS52" s="576"/>
      <c r="BT52" s="576"/>
      <c r="BU52" s="576"/>
      <c r="BV52" s="576"/>
      <c r="BW52" s="576"/>
      <c r="BX52" s="576"/>
      <c r="BY52" s="576"/>
      <c r="BZ52" s="576"/>
      <c r="CA52" s="576"/>
      <c r="CB52" s="576"/>
      <c r="CC52" s="576"/>
      <c r="CD52" s="576"/>
      <c r="CE52" s="576"/>
      <c r="CF52" s="576"/>
      <c r="CG52" s="576"/>
      <c r="CH52" s="576"/>
      <c r="CI52" s="570"/>
      <c r="CK52" s="1293"/>
    </row>
    <row r="53" spans="1:89" s="1292" customFormat="1" x14ac:dyDescent="0.2">
      <c r="A53" s="1284"/>
      <c r="B53" s="563" t="s">
        <v>509</v>
      </c>
      <c r="C53" s="571" t="s">
        <v>510</v>
      </c>
      <c r="D53" s="572" t="s">
        <v>86</v>
      </c>
      <c r="E53" s="573" t="s">
        <v>236</v>
      </c>
      <c r="F53" s="574">
        <v>2</v>
      </c>
      <c r="G53" s="540"/>
      <c r="H53" s="540"/>
      <c r="I53" s="540">
        <v>0.1776710352873897</v>
      </c>
      <c r="J53" s="540">
        <v>0.18666659916750739</v>
      </c>
      <c r="K53" s="540">
        <v>0.18655380045941841</v>
      </c>
      <c r="L53" s="540">
        <v>0.18654185704689694</v>
      </c>
      <c r="M53" s="541">
        <v>0.18669474239765349</v>
      </c>
      <c r="N53" s="541">
        <v>0.18654367171047201</v>
      </c>
      <c r="O53" s="541">
        <v>0.18640286458274521</v>
      </c>
      <c r="P53" s="541">
        <v>0.18630484232754435</v>
      </c>
      <c r="Q53" s="541">
        <v>0.18621994367467282</v>
      </c>
      <c r="R53" s="541">
        <v>0.18613608700719772</v>
      </c>
      <c r="S53" s="541">
        <v>0.18605450592028511</v>
      </c>
      <c r="T53" s="541">
        <v>0.18597357523328367</v>
      </c>
      <c r="U53" s="541">
        <v>0.18589304783142233</v>
      </c>
      <c r="V53" s="541">
        <v>0.18581232486593002</v>
      </c>
      <c r="W53" s="541">
        <v>0.18573204246815653</v>
      </c>
      <c r="X53" s="541">
        <v>0.18565179271001012</v>
      </c>
      <c r="Y53" s="541">
        <v>0.1855723048338131</v>
      </c>
      <c r="Z53" s="541">
        <v>0.18549464356179832</v>
      </c>
      <c r="AA53" s="541">
        <v>0.18541767804435363</v>
      </c>
      <c r="AB53" s="541">
        <v>0.18534157811493526</v>
      </c>
      <c r="AC53" s="541">
        <v>0.18526688133066022</v>
      </c>
      <c r="AD53" s="541">
        <v>0.18519343635067068</v>
      </c>
      <c r="AE53" s="541">
        <v>0.18512007595950061</v>
      </c>
      <c r="AF53" s="541">
        <v>0.1850473405493579</v>
      </c>
      <c r="AG53" s="541">
        <v>0.18497528935215835</v>
      </c>
      <c r="AH53" s="541">
        <v>0.18490431892423387</v>
      </c>
      <c r="AI53" s="541">
        <v>0.18483489145869608</v>
      </c>
      <c r="AJ53" s="541">
        <v>0.18476691050539759</v>
      </c>
      <c r="AK53" s="541">
        <v>0.18470002472488542</v>
      </c>
      <c r="AL53" s="541"/>
      <c r="AM53" s="541"/>
      <c r="AN53" s="541"/>
      <c r="AO53" s="541"/>
      <c r="AP53" s="541"/>
      <c r="AQ53" s="541"/>
      <c r="AR53" s="541"/>
      <c r="AS53" s="541"/>
      <c r="AT53" s="541"/>
      <c r="AU53" s="541"/>
      <c r="AV53" s="541"/>
      <c r="AW53" s="541"/>
      <c r="AX53" s="541"/>
      <c r="AY53" s="541"/>
      <c r="AZ53" s="541"/>
      <c r="BA53" s="541"/>
      <c r="BB53" s="541"/>
      <c r="BC53" s="541"/>
      <c r="BD53" s="541"/>
      <c r="BE53" s="541"/>
      <c r="BF53" s="541"/>
      <c r="BG53" s="541"/>
      <c r="BH53" s="541"/>
      <c r="BI53" s="541"/>
      <c r="BJ53" s="541"/>
      <c r="BK53" s="541"/>
      <c r="BL53" s="541"/>
      <c r="BM53" s="541"/>
      <c r="BN53" s="541"/>
      <c r="BO53" s="541"/>
      <c r="BP53" s="541"/>
      <c r="BQ53" s="541"/>
      <c r="BR53" s="541"/>
      <c r="BS53" s="541"/>
      <c r="BT53" s="541"/>
      <c r="BU53" s="541"/>
      <c r="BV53" s="541"/>
      <c r="BW53" s="541"/>
      <c r="BX53" s="541"/>
      <c r="BY53" s="541"/>
      <c r="BZ53" s="541"/>
      <c r="CA53" s="541"/>
      <c r="CB53" s="541"/>
      <c r="CC53" s="541"/>
      <c r="CD53" s="541"/>
      <c r="CE53" s="541"/>
      <c r="CF53" s="541"/>
      <c r="CG53" s="541"/>
      <c r="CH53" s="541"/>
      <c r="CI53" s="542"/>
      <c r="CK53" s="1293"/>
    </row>
    <row r="54" spans="1:89" s="1292" customFormat="1" ht="15" thickBot="1" x14ac:dyDescent="0.25">
      <c r="A54" s="1284"/>
      <c r="B54" s="577" t="s">
        <v>511</v>
      </c>
      <c r="C54" s="578" t="s">
        <v>512</v>
      </c>
      <c r="D54" s="579" t="s">
        <v>86</v>
      </c>
      <c r="E54" s="580" t="s">
        <v>236</v>
      </c>
      <c r="F54" s="581">
        <v>2</v>
      </c>
      <c r="G54" s="582"/>
      <c r="H54" s="582"/>
      <c r="I54" s="582">
        <v>0.10012450177836422</v>
      </c>
      <c r="J54" s="582">
        <v>0.10012450177836422</v>
      </c>
      <c r="K54" s="582">
        <v>0.10012450177836422</v>
      </c>
      <c r="L54" s="582">
        <v>0.10012450177836422</v>
      </c>
      <c r="M54" s="583">
        <v>0.10012450177836422</v>
      </c>
      <c r="N54" s="583">
        <v>0.10012450177836422</v>
      </c>
      <c r="O54" s="583">
        <v>0.10012450177836422</v>
      </c>
      <c r="P54" s="583">
        <v>0.10012450177836422</v>
      </c>
      <c r="Q54" s="583">
        <v>0.10012450177836422</v>
      </c>
      <c r="R54" s="583">
        <v>0.10012450177836422</v>
      </c>
      <c r="S54" s="583">
        <v>0.10012450177836422</v>
      </c>
      <c r="T54" s="583">
        <v>0.10012450177836422</v>
      </c>
      <c r="U54" s="583">
        <v>0.10012450177836422</v>
      </c>
      <c r="V54" s="583">
        <v>0.10012450177836422</v>
      </c>
      <c r="W54" s="583">
        <v>0.10012450177836422</v>
      </c>
      <c r="X54" s="583">
        <v>0.10012450177836422</v>
      </c>
      <c r="Y54" s="583">
        <v>0.10012450177836422</v>
      </c>
      <c r="Z54" s="583">
        <v>0.10012450177836422</v>
      </c>
      <c r="AA54" s="583">
        <v>0.10012450177836422</v>
      </c>
      <c r="AB54" s="583">
        <v>0.10012450177836422</v>
      </c>
      <c r="AC54" s="583">
        <v>0.10012450177836422</v>
      </c>
      <c r="AD54" s="583">
        <v>0.10012450177836422</v>
      </c>
      <c r="AE54" s="583">
        <v>0.10012450177836422</v>
      </c>
      <c r="AF54" s="583">
        <v>0.10012450177836422</v>
      </c>
      <c r="AG54" s="583">
        <v>0.10012450177836422</v>
      </c>
      <c r="AH54" s="583">
        <v>0.10012450177836422</v>
      </c>
      <c r="AI54" s="583">
        <v>0.10012450177836422</v>
      </c>
      <c r="AJ54" s="583">
        <v>0.10012450177836422</v>
      </c>
      <c r="AK54" s="583">
        <v>0.10012450177836422</v>
      </c>
      <c r="AL54" s="583"/>
      <c r="AM54" s="583"/>
      <c r="AN54" s="583"/>
      <c r="AO54" s="583"/>
      <c r="AP54" s="583"/>
      <c r="AQ54" s="583"/>
      <c r="AR54" s="583"/>
      <c r="AS54" s="583"/>
      <c r="AT54" s="583"/>
      <c r="AU54" s="583"/>
      <c r="AV54" s="583"/>
      <c r="AW54" s="583"/>
      <c r="AX54" s="583"/>
      <c r="AY54" s="583"/>
      <c r="AZ54" s="583"/>
      <c r="BA54" s="583"/>
      <c r="BB54" s="583"/>
      <c r="BC54" s="583"/>
      <c r="BD54" s="583"/>
      <c r="BE54" s="583"/>
      <c r="BF54" s="583"/>
      <c r="BG54" s="583"/>
      <c r="BH54" s="583"/>
      <c r="BI54" s="583"/>
      <c r="BJ54" s="583"/>
      <c r="BK54" s="583"/>
      <c r="BL54" s="583"/>
      <c r="BM54" s="583"/>
      <c r="BN54" s="583"/>
      <c r="BO54" s="583"/>
      <c r="BP54" s="583"/>
      <c r="BQ54" s="583"/>
      <c r="BR54" s="583"/>
      <c r="BS54" s="583"/>
      <c r="BT54" s="583"/>
      <c r="BU54" s="583"/>
      <c r="BV54" s="583"/>
      <c r="BW54" s="583"/>
      <c r="BX54" s="583"/>
      <c r="BY54" s="583"/>
      <c r="BZ54" s="583"/>
      <c r="CA54" s="583"/>
      <c r="CB54" s="583"/>
      <c r="CC54" s="583"/>
      <c r="CD54" s="583"/>
      <c r="CE54" s="583"/>
      <c r="CF54" s="583"/>
      <c r="CG54" s="583"/>
      <c r="CH54" s="583"/>
      <c r="CI54" s="584"/>
      <c r="CK54" s="1293"/>
    </row>
    <row r="55" spans="1:89" s="1292" customFormat="1" x14ac:dyDescent="0.2">
      <c r="A55" s="1284"/>
      <c r="B55" s="527" t="s">
        <v>513</v>
      </c>
      <c r="C55" s="528" t="s">
        <v>514</v>
      </c>
      <c r="D55" s="529" t="s">
        <v>86</v>
      </c>
      <c r="E55" s="530" t="s">
        <v>236</v>
      </c>
      <c r="F55" s="531">
        <v>2</v>
      </c>
      <c r="G55" s="532"/>
      <c r="H55" s="532"/>
      <c r="I55" s="532">
        <v>1.4511846045543333E-2</v>
      </c>
      <c r="J55" s="532">
        <v>9.974894350640022E-3</v>
      </c>
      <c r="K55" s="532">
        <v>9.6389157311885E-3</v>
      </c>
      <c r="L55" s="532">
        <v>9.493117905589956E-3</v>
      </c>
      <c r="M55" s="533">
        <v>9.7655707785122888E-3</v>
      </c>
      <c r="N55" s="533">
        <v>9.8123479910617664E-3</v>
      </c>
      <c r="O55" s="533">
        <v>9.8591252036112458E-3</v>
      </c>
      <c r="P55" s="533">
        <v>9.9059024161607234E-3</v>
      </c>
      <c r="Q55" s="533">
        <v>9.952679628710201E-3</v>
      </c>
      <c r="R55" s="533">
        <v>9.9994568412596803E-3</v>
      </c>
      <c r="S55" s="533">
        <v>1.0046234053809158E-2</v>
      </c>
      <c r="T55" s="533">
        <v>1.0093011266358635E-2</v>
      </c>
      <c r="U55" s="533">
        <v>1.0139788478908111E-2</v>
      </c>
      <c r="V55" s="533">
        <v>1.0186565691457592E-2</v>
      </c>
      <c r="W55" s="533">
        <v>1.0233342904007068E-2</v>
      </c>
      <c r="X55" s="533">
        <v>1.0280120116556548E-2</v>
      </c>
      <c r="Y55" s="533">
        <v>1.0326897329106023E-2</v>
      </c>
      <c r="Z55" s="533">
        <v>1.0373674541655503E-2</v>
      </c>
      <c r="AA55" s="533">
        <v>1.042045175420498E-2</v>
      </c>
      <c r="AB55" s="533">
        <v>1.0467228966754458E-2</v>
      </c>
      <c r="AC55" s="533">
        <v>1.0514006179303936E-2</v>
      </c>
      <c r="AD55" s="533">
        <v>1.0560783391853413E-2</v>
      </c>
      <c r="AE55" s="533">
        <v>1.0607560604402891E-2</v>
      </c>
      <c r="AF55" s="533">
        <v>1.065433781695237E-2</v>
      </c>
      <c r="AG55" s="533">
        <v>1.0701115029501848E-2</v>
      </c>
      <c r="AH55" s="533">
        <v>1.0747892242051327E-2</v>
      </c>
      <c r="AI55" s="533">
        <v>1.0794669454600803E-2</v>
      </c>
      <c r="AJ55" s="533">
        <v>1.0841446667150281E-2</v>
      </c>
      <c r="AK55" s="533">
        <v>1.088822387969976E-2</v>
      </c>
      <c r="AL55" s="533"/>
      <c r="AM55" s="533"/>
      <c r="AN55" s="533"/>
      <c r="AO55" s="533"/>
      <c r="AP55" s="533"/>
      <c r="AQ55" s="533"/>
      <c r="AR55" s="533"/>
      <c r="AS55" s="533"/>
      <c r="AT55" s="533"/>
      <c r="AU55" s="533"/>
      <c r="AV55" s="533"/>
      <c r="AW55" s="533"/>
      <c r="AX55" s="533"/>
      <c r="AY55" s="533"/>
      <c r="AZ55" s="533"/>
      <c r="BA55" s="533"/>
      <c r="BB55" s="533"/>
      <c r="BC55" s="533"/>
      <c r="BD55" s="533"/>
      <c r="BE55" s="533"/>
      <c r="BF55" s="533"/>
      <c r="BG55" s="533"/>
      <c r="BH55" s="533"/>
      <c r="BI55" s="533"/>
      <c r="BJ55" s="533"/>
      <c r="BK55" s="533"/>
      <c r="BL55" s="533"/>
      <c r="BM55" s="533"/>
      <c r="BN55" s="533"/>
      <c r="BO55" s="533"/>
      <c r="BP55" s="533"/>
      <c r="BQ55" s="533"/>
      <c r="BR55" s="533"/>
      <c r="BS55" s="533"/>
      <c r="BT55" s="533"/>
      <c r="BU55" s="533"/>
      <c r="BV55" s="533"/>
      <c r="BW55" s="533"/>
      <c r="BX55" s="533"/>
      <c r="BY55" s="533"/>
      <c r="BZ55" s="533"/>
      <c r="CA55" s="533"/>
      <c r="CB55" s="533"/>
      <c r="CC55" s="533"/>
      <c r="CD55" s="533"/>
      <c r="CE55" s="533"/>
      <c r="CF55" s="533"/>
      <c r="CG55" s="533"/>
      <c r="CH55" s="533"/>
      <c r="CI55" s="534"/>
      <c r="CK55" s="1293"/>
    </row>
    <row r="56" spans="1:89" s="1292" customFormat="1" x14ac:dyDescent="0.2">
      <c r="A56" s="1284"/>
      <c r="B56" s="543" t="s">
        <v>515</v>
      </c>
      <c r="C56" s="546" t="s">
        <v>516</v>
      </c>
      <c r="D56" s="537" t="s">
        <v>86</v>
      </c>
      <c r="E56" s="538" t="s">
        <v>236</v>
      </c>
      <c r="F56" s="539">
        <v>2</v>
      </c>
      <c r="G56" s="540"/>
      <c r="H56" s="540"/>
      <c r="I56" s="540">
        <v>1.2461188853652668E-3</v>
      </c>
      <c r="J56" s="540">
        <v>1.0329212354244757E-3</v>
      </c>
      <c r="K56" s="540">
        <v>9.8031022049270512E-4</v>
      </c>
      <c r="L56" s="540">
        <v>5.9065943065365802E-4</v>
      </c>
      <c r="M56" s="544">
        <v>3.1869023422914606E-4</v>
      </c>
      <c r="N56" s="544">
        <v>3.1533528998211799E-4</v>
      </c>
      <c r="O56" s="544">
        <v>3.1198034573508998E-4</v>
      </c>
      <c r="P56" s="544">
        <v>3.0862540148806191E-4</v>
      </c>
      <c r="Q56" s="544">
        <v>3.0527045724103384E-4</v>
      </c>
      <c r="R56" s="544">
        <v>3.0191551299400582E-4</v>
      </c>
      <c r="S56" s="544">
        <v>2.9856056874697775E-4</v>
      </c>
      <c r="T56" s="544">
        <v>2.9520562449994974E-4</v>
      </c>
      <c r="U56" s="544">
        <v>2.9185068025292167E-4</v>
      </c>
      <c r="V56" s="544">
        <v>2.9185068025292167E-4</v>
      </c>
      <c r="W56" s="544">
        <v>2.9185068025292167E-4</v>
      </c>
      <c r="X56" s="544">
        <v>2.9185068025292167E-4</v>
      </c>
      <c r="Y56" s="544">
        <v>2.9185068025292167E-4</v>
      </c>
      <c r="Z56" s="544">
        <v>2.9185068025292167E-4</v>
      </c>
      <c r="AA56" s="544">
        <v>2.9185068025292167E-4</v>
      </c>
      <c r="AB56" s="544">
        <v>2.9185068025292167E-4</v>
      </c>
      <c r="AC56" s="544">
        <v>2.9185068025292167E-4</v>
      </c>
      <c r="AD56" s="544">
        <v>2.9185068025292167E-4</v>
      </c>
      <c r="AE56" s="544">
        <v>2.9185068025292167E-4</v>
      </c>
      <c r="AF56" s="544">
        <v>2.9185068025292167E-4</v>
      </c>
      <c r="AG56" s="544">
        <v>2.9185068025292167E-4</v>
      </c>
      <c r="AH56" s="544">
        <v>2.9185068025292167E-4</v>
      </c>
      <c r="AI56" s="544">
        <v>2.9185068025292167E-4</v>
      </c>
      <c r="AJ56" s="544">
        <v>2.9185068025292167E-4</v>
      </c>
      <c r="AK56" s="544">
        <v>2.9185068025292167E-4</v>
      </c>
      <c r="AL56" s="544"/>
      <c r="AM56" s="544"/>
      <c r="AN56" s="544"/>
      <c r="AO56" s="544"/>
      <c r="AP56" s="544"/>
      <c r="AQ56" s="544"/>
      <c r="AR56" s="544"/>
      <c r="AS56" s="544"/>
      <c r="AT56" s="544"/>
      <c r="AU56" s="544"/>
      <c r="AV56" s="544"/>
      <c r="AW56" s="544"/>
      <c r="AX56" s="544"/>
      <c r="AY56" s="544"/>
      <c r="AZ56" s="544"/>
      <c r="BA56" s="544"/>
      <c r="BB56" s="544"/>
      <c r="BC56" s="544"/>
      <c r="BD56" s="544"/>
      <c r="BE56" s="544"/>
      <c r="BF56" s="544"/>
      <c r="BG56" s="544"/>
      <c r="BH56" s="544"/>
      <c r="BI56" s="544"/>
      <c r="BJ56" s="544"/>
      <c r="BK56" s="544"/>
      <c r="BL56" s="544"/>
      <c r="BM56" s="544"/>
      <c r="BN56" s="544"/>
      <c r="BO56" s="544"/>
      <c r="BP56" s="544"/>
      <c r="BQ56" s="544"/>
      <c r="BR56" s="544"/>
      <c r="BS56" s="544"/>
      <c r="BT56" s="544"/>
      <c r="BU56" s="544"/>
      <c r="BV56" s="544"/>
      <c r="BW56" s="544"/>
      <c r="BX56" s="544"/>
      <c r="BY56" s="544"/>
      <c r="BZ56" s="544"/>
      <c r="CA56" s="544"/>
      <c r="CB56" s="544"/>
      <c r="CC56" s="544"/>
      <c r="CD56" s="544"/>
      <c r="CE56" s="544"/>
      <c r="CF56" s="544"/>
      <c r="CG56" s="544"/>
      <c r="CH56" s="544"/>
      <c r="CI56" s="545"/>
      <c r="CK56" s="1293"/>
    </row>
    <row r="57" spans="1:89" s="1292" customFormat="1" x14ac:dyDescent="0.2">
      <c r="A57" s="1284"/>
      <c r="B57" s="543" t="s">
        <v>517</v>
      </c>
      <c r="C57" s="546" t="s">
        <v>518</v>
      </c>
      <c r="D57" s="537" t="s">
        <v>86</v>
      </c>
      <c r="E57" s="538" t="s">
        <v>236</v>
      </c>
      <c r="F57" s="539">
        <v>2</v>
      </c>
      <c r="G57" s="540"/>
      <c r="H57" s="540"/>
      <c r="I57" s="540">
        <v>0.1713238219184729</v>
      </c>
      <c r="J57" s="540">
        <v>8.8792814906410542E-2</v>
      </c>
      <c r="K57" s="540">
        <v>8.7315508702803454E-2</v>
      </c>
      <c r="L57" s="540">
        <v>8.5902168946379601E-2</v>
      </c>
      <c r="M57" s="544">
        <v>9.0124622158205964E-2</v>
      </c>
      <c r="N57" s="544">
        <v>9.4683306598735612E-2</v>
      </c>
      <c r="O57" s="544">
        <v>9.6887359636267281E-2</v>
      </c>
      <c r="P57" s="544">
        <v>9.8612868253363878E-2</v>
      </c>
      <c r="Q57" s="544">
        <v>0.10019051691264534</v>
      </c>
      <c r="R57" s="544">
        <v>0.10137022149516071</v>
      </c>
      <c r="S57" s="544">
        <v>0.10213817031424696</v>
      </c>
      <c r="T57" s="544">
        <v>0.1028988838432475</v>
      </c>
      <c r="U57" s="544">
        <v>0.10365512529023763</v>
      </c>
      <c r="V57" s="544">
        <v>0.10440889218402455</v>
      </c>
      <c r="W57" s="544">
        <v>0.10515776719831274</v>
      </c>
      <c r="X57" s="544">
        <v>0.10590631418399643</v>
      </c>
      <c r="Y57" s="544">
        <v>0.10664637090569383</v>
      </c>
      <c r="Z57" s="544">
        <v>0.10736601881839716</v>
      </c>
      <c r="AA57" s="544">
        <v>0.10807250016061719</v>
      </c>
      <c r="AB57" s="544">
        <v>0.10876932552252394</v>
      </c>
      <c r="AC57" s="544">
        <v>0.10944513365354222</v>
      </c>
      <c r="AD57" s="544">
        <v>0.11010695793607936</v>
      </c>
      <c r="AE57" s="544">
        <v>0.11076786284222806</v>
      </c>
      <c r="AF57" s="544">
        <v>0.11142179809881869</v>
      </c>
      <c r="AG57" s="544">
        <v>0.11206809936490197</v>
      </c>
      <c r="AH57" s="544">
        <v>0.11270232555992665</v>
      </c>
      <c r="AI57" s="544">
        <v>0.1133193001090885</v>
      </c>
      <c r="AJ57" s="544">
        <v>0.11392010078746871</v>
      </c>
      <c r="AK57" s="544">
        <v>0.1145086596424458</v>
      </c>
      <c r="AL57" s="544"/>
      <c r="AM57" s="544"/>
      <c r="AN57" s="544"/>
      <c r="AO57" s="544"/>
      <c r="AP57" s="544"/>
      <c r="AQ57" s="544"/>
      <c r="AR57" s="544"/>
      <c r="AS57" s="544"/>
      <c r="AT57" s="544"/>
      <c r="AU57" s="544"/>
      <c r="AV57" s="544"/>
      <c r="AW57" s="544"/>
      <c r="AX57" s="544"/>
      <c r="AY57" s="544"/>
      <c r="AZ57" s="544"/>
      <c r="BA57" s="544"/>
      <c r="BB57" s="544"/>
      <c r="BC57" s="544"/>
      <c r="BD57" s="544"/>
      <c r="BE57" s="544"/>
      <c r="BF57" s="544"/>
      <c r="BG57" s="544"/>
      <c r="BH57" s="544"/>
      <c r="BI57" s="544"/>
      <c r="BJ57" s="544"/>
      <c r="BK57" s="544"/>
      <c r="BL57" s="544"/>
      <c r="BM57" s="544"/>
      <c r="BN57" s="544"/>
      <c r="BO57" s="544"/>
      <c r="BP57" s="544"/>
      <c r="BQ57" s="544"/>
      <c r="BR57" s="544"/>
      <c r="BS57" s="544"/>
      <c r="BT57" s="544"/>
      <c r="BU57" s="544"/>
      <c r="BV57" s="544"/>
      <c r="BW57" s="544"/>
      <c r="BX57" s="544"/>
      <c r="BY57" s="544"/>
      <c r="BZ57" s="544"/>
      <c r="CA57" s="544"/>
      <c r="CB57" s="544"/>
      <c r="CC57" s="544"/>
      <c r="CD57" s="544"/>
      <c r="CE57" s="544"/>
      <c r="CF57" s="544"/>
      <c r="CG57" s="544"/>
      <c r="CH57" s="544"/>
      <c r="CI57" s="545"/>
      <c r="CK57" s="1293"/>
    </row>
    <row r="58" spans="1:89" s="1292" customFormat="1" x14ac:dyDescent="0.2">
      <c r="A58" s="1284"/>
      <c r="B58" s="543" t="s">
        <v>519</v>
      </c>
      <c r="C58" s="546" t="s">
        <v>520</v>
      </c>
      <c r="D58" s="537" t="s">
        <v>86</v>
      </c>
      <c r="E58" s="538" t="s">
        <v>236</v>
      </c>
      <c r="F58" s="539">
        <v>2</v>
      </c>
      <c r="G58" s="540"/>
      <c r="H58" s="540"/>
      <c r="I58" s="540">
        <v>0.14667432126102647</v>
      </c>
      <c r="J58" s="540">
        <v>7.202063713552441E-2</v>
      </c>
      <c r="K58" s="540">
        <v>6.7975301538381508E-2</v>
      </c>
      <c r="L58" s="540">
        <v>6.354795712672219E-2</v>
      </c>
      <c r="M58" s="544">
        <v>5.7851910701948152E-2</v>
      </c>
      <c r="N58" s="544">
        <v>5.2486608572724081E-2</v>
      </c>
      <c r="O58" s="544">
        <v>5.1017910623381429E-2</v>
      </c>
      <c r="P58" s="544">
        <v>4.9549212674038778E-2</v>
      </c>
      <c r="Q58" s="544">
        <v>4.8080514724696155E-2</v>
      </c>
      <c r="R58" s="544">
        <v>4.7283800598041416E-2</v>
      </c>
      <c r="S58" s="544">
        <v>4.7159070294074568E-2</v>
      </c>
      <c r="T58" s="544">
        <v>4.7034339990107719E-2</v>
      </c>
      <c r="U58" s="544">
        <v>4.6909609686140871E-2</v>
      </c>
      <c r="V58" s="544">
        <v>4.6784879382174002E-2</v>
      </c>
      <c r="W58" s="544">
        <v>4.6660149078207154E-2</v>
      </c>
      <c r="X58" s="544">
        <v>4.6535418774240306E-2</v>
      </c>
      <c r="Y58" s="544">
        <v>4.6410688470273458E-2</v>
      </c>
      <c r="Z58" s="544">
        <v>4.6285958166306609E-2</v>
      </c>
      <c r="AA58" s="544">
        <v>4.6161227862339768E-2</v>
      </c>
      <c r="AB58" s="544">
        <v>4.603649755837292E-2</v>
      </c>
      <c r="AC58" s="544">
        <v>4.5924522862432669E-2</v>
      </c>
      <c r="AD58" s="544">
        <v>4.5812548166492432E-2</v>
      </c>
      <c r="AE58" s="544">
        <v>4.5700573470552182E-2</v>
      </c>
      <c r="AF58" s="544">
        <v>4.5588598774611938E-2</v>
      </c>
      <c r="AG58" s="544">
        <v>4.5476624078671694E-2</v>
      </c>
      <c r="AH58" s="544">
        <v>4.5364649382731451E-2</v>
      </c>
      <c r="AI58" s="544">
        <v>4.52526746867912E-2</v>
      </c>
      <c r="AJ58" s="544">
        <v>4.5140699990850956E-2</v>
      </c>
      <c r="AK58" s="544">
        <v>4.5028725294910706E-2</v>
      </c>
      <c r="AL58" s="544"/>
      <c r="AM58" s="544"/>
      <c r="AN58" s="544"/>
      <c r="AO58" s="544"/>
      <c r="AP58" s="544"/>
      <c r="AQ58" s="544"/>
      <c r="AR58" s="544"/>
      <c r="AS58" s="544"/>
      <c r="AT58" s="544"/>
      <c r="AU58" s="544"/>
      <c r="AV58" s="544"/>
      <c r="AW58" s="544"/>
      <c r="AX58" s="544"/>
      <c r="AY58" s="544"/>
      <c r="AZ58" s="544"/>
      <c r="BA58" s="544"/>
      <c r="BB58" s="544"/>
      <c r="BC58" s="544"/>
      <c r="BD58" s="544"/>
      <c r="BE58" s="544"/>
      <c r="BF58" s="544"/>
      <c r="BG58" s="544"/>
      <c r="BH58" s="544"/>
      <c r="BI58" s="544"/>
      <c r="BJ58" s="544"/>
      <c r="BK58" s="544"/>
      <c r="BL58" s="544"/>
      <c r="BM58" s="544"/>
      <c r="BN58" s="544"/>
      <c r="BO58" s="544"/>
      <c r="BP58" s="544"/>
      <c r="BQ58" s="544"/>
      <c r="BR58" s="544"/>
      <c r="BS58" s="544"/>
      <c r="BT58" s="544"/>
      <c r="BU58" s="544"/>
      <c r="BV58" s="544"/>
      <c r="BW58" s="544"/>
      <c r="BX58" s="544"/>
      <c r="BY58" s="544"/>
      <c r="BZ58" s="544"/>
      <c r="CA58" s="544"/>
      <c r="CB58" s="544"/>
      <c r="CC58" s="544"/>
      <c r="CD58" s="544"/>
      <c r="CE58" s="544"/>
      <c r="CF58" s="544"/>
      <c r="CG58" s="544"/>
      <c r="CH58" s="544"/>
      <c r="CI58" s="545"/>
      <c r="CK58" s="1293"/>
    </row>
    <row r="59" spans="1:89" s="1292" customFormat="1" x14ac:dyDescent="0.2">
      <c r="A59" s="1284"/>
      <c r="B59" s="543" t="s">
        <v>521</v>
      </c>
      <c r="C59" s="546" t="s">
        <v>522</v>
      </c>
      <c r="D59" s="537" t="s">
        <v>86</v>
      </c>
      <c r="E59" s="538" t="s">
        <v>236</v>
      </c>
      <c r="F59" s="539">
        <v>2</v>
      </c>
      <c r="G59" s="540"/>
      <c r="H59" s="540"/>
      <c r="I59" s="540">
        <v>2.1788695133288419E-2</v>
      </c>
      <c r="J59" s="540">
        <v>1.2793131253170708E-2</v>
      </c>
      <c r="K59" s="540">
        <v>1.2905929961259683E-2</v>
      </c>
      <c r="L59" s="540">
        <v>1.2917873373781164E-2</v>
      </c>
      <c r="M59" s="544">
        <v>1.276498802302462E-2</v>
      </c>
      <c r="N59" s="544">
        <v>1.2916058710206084E-2</v>
      </c>
      <c r="O59" s="544">
        <v>1.3056865837932889E-2</v>
      </c>
      <c r="P59" s="544">
        <v>1.3154888093133747E-2</v>
      </c>
      <c r="Q59" s="544">
        <v>1.323978674600529E-2</v>
      </c>
      <c r="R59" s="544">
        <v>1.3323643413480376E-2</v>
      </c>
      <c r="S59" s="544">
        <v>1.3405224500392998E-2</v>
      </c>
      <c r="T59" s="544">
        <v>1.3486155187394424E-2</v>
      </c>
      <c r="U59" s="544">
        <v>1.3566682589255774E-2</v>
      </c>
      <c r="V59" s="544">
        <v>1.3647405554748068E-2</v>
      </c>
      <c r="W59" s="544">
        <v>1.3727687952521586E-2</v>
      </c>
      <c r="X59" s="544">
        <v>1.3807937710667987E-2</v>
      </c>
      <c r="Y59" s="544">
        <v>1.3887425586865017E-2</v>
      </c>
      <c r="Z59" s="544">
        <v>1.3965086858879778E-2</v>
      </c>
      <c r="AA59" s="544">
        <v>1.404205237632448E-2</v>
      </c>
      <c r="AB59" s="544">
        <v>1.4118152305742832E-2</v>
      </c>
      <c r="AC59" s="544">
        <v>1.4192849090017893E-2</v>
      </c>
      <c r="AD59" s="544">
        <v>1.4266294070007429E-2</v>
      </c>
      <c r="AE59" s="544">
        <v>1.4339654461177501E-2</v>
      </c>
      <c r="AF59" s="544">
        <v>1.4412389871320208E-2</v>
      </c>
      <c r="AG59" s="544">
        <v>1.4484441068519772E-2</v>
      </c>
      <c r="AH59" s="544">
        <v>1.4555411496444251E-2</v>
      </c>
      <c r="AI59" s="544">
        <v>1.4624838961982025E-2</v>
      </c>
      <c r="AJ59" s="544">
        <v>1.4692819915280509E-2</v>
      </c>
      <c r="AK59" s="544">
        <v>1.4759705695792696E-2</v>
      </c>
      <c r="AL59" s="544"/>
      <c r="AM59" s="544"/>
      <c r="AN59" s="544"/>
      <c r="AO59" s="544"/>
      <c r="AP59" s="544"/>
      <c r="AQ59" s="544"/>
      <c r="AR59" s="544"/>
      <c r="AS59" s="544"/>
      <c r="AT59" s="544"/>
      <c r="AU59" s="544"/>
      <c r="AV59" s="544"/>
      <c r="AW59" s="544"/>
      <c r="AX59" s="544"/>
      <c r="AY59" s="544"/>
      <c r="AZ59" s="544"/>
      <c r="BA59" s="544"/>
      <c r="BB59" s="544"/>
      <c r="BC59" s="544"/>
      <c r="BD59" s="544"/>
      <c r="BE59" s="544"/>
      <c r="BF59" s="544"/>
      <c r="BG59" s="544"/>
      <c r="BH59" s="544"/>
      <c r="BI59" s="544"/>
      <c r="BJ59" s="544"/>
      <c r="BK59" s="544"/>
      <c r="BL59" s="544"/>
      <c r="BM59" s="544"/>
      <c r="BN59" s="544"/>
      <c r="BO59" s="544"/>
      <c r="BP59" s="544"/>
      <c r="BQ59" s="544"/>
      <c r="BR59" s="544"/>
      <c r="BS59" s="544"/>
      <c r="BT59" s="544"/>
      <c r="BU59" s="544"/>
      <c r="BV59" s="544"/>
      <c r="BW59" s="544"/>
      <c r="BX59" s="544"/>
      <c r="BY59" s="544"/>
      <c r="BZ59" s="544"/>
      <c r="CA59" s="544"/>
      <c r="CB59" s="544"/>
      <c r="CC59" s="544"/>
      <c r="CD59" s="544"/>
      <c r="CE59" s="544"/>
      <c r="CF59" s="544"/>
      <c r="CG59" s="544"/>
      <c r="CH59" s="544"/>
      <c r="CI59" s="545"/>
      <c r="CK59" s="1293"/>
    </row>
    <row r="60" spans="1:89" s="1292" customFormat="1" x14ac:dyDescent="0.2">
      <c r="A60" s="1284"/>
      <c r="B60" s="543" t="s">
        <v>523</v>
      </c>
      <c r="C60" s="536" t="s">
        <v>524</v>
      </c>
      <c r="D60" s="537" t="s">
        <v>86</v>
      </c>
      <c r="E60" s="538" t="s">
        <v>236</v>
      </c>
      <c r="F60" s="539">
        <v>2</v>
      </c>
      <c r="G60" s="540"/>
      <c r="H60" s="540"/>
      <c r="I60" s="540">
        <v>1.5749683943563038</v>
      </c>
      <c r="J60" s="540">
        <v>1.4901454011188295</v>
      </c>
      <c r="K60" s="540">
        <v>1.4304504338458739</v>
      </c>
      <c r="L60" s="540">
        <v>1.3713212232168734</v>
      </c>
      <c r="M60" s="544">
        <v>1.3729472181040798</v>
      </c>
      <c r="N60" s="544">
        <v>1.3735593428372903</v>
      </c>
      <c r="O60" s="544">
        <v>1.3726397583530721</v>
      </c>
      <c r="P60" s="544">
        <v>1.3722415031618149</v>
      </c>
      <c r="Q60" s="544">
        <v>1.3720042315307019</v>
      </c>
      <c r="R60" s="544">
        <v>1.3714939621390638</v>
      </c>
      <c r="S60" s="544">
        <v>1.3707257402687294</v>
      </c>
      <c r="T60" s="544">
        <v>1.3699654040883917</v>
      </c>
      <c r="U60" s="544">
        <v>1.3692099432752047</v>
      </c>
      <c r="V60" s="544">
        <v>1.368453406507343</v>
      </c>
      <c r="W60" s="544">
        <v>1.3677022021866987</v>
      </c>
      <c r="X60" s="544">
        <v>1.3669513585342858</v>
      </c>
      <c r="Y60" s="544">
        <v>1.3662097670278088</v>
      </c>
      <c r="Z60" s="544">
        <v>1.3654904109345081</v>
      </c>
      <c r="AA60" s="544">
        <v>1.3647849171662607</v>
      </c>
      <c r="AB60" s="544">
        <v>1.3640899449663531</v>
      </c>
      <c r="AC60" s="544">
        <v>1.3634046375344504</v>
      </c>
      <c r="AD60" s="544">
        <v>1.3627345657553145</v>
      </c>
      <c r="AE60" s="544">
        <v>1.3620654979413866</v>
      </c>
      <c r="AF60" s="544">
        <v>1.3614040247580439</v>
      </c>
      <c r="AG60" s="544">
        <v>1.3607508697781519</v>
      </c>
      <c r="AH60" s="544">
        <v>1.3601108706385934</v>
      </c>
      <c r="AI60" s="544">
        <v>1.3594896661072846</v>
      </c>
      <c r="AJ60" s="544">
        <v>1.3588860819589967</v>
      </c>
      <c r="AK60" s="544">
        <v>1.3582958348068983</v>
      </c>
      <c r="AL60" s="544"/>
      <c r="AM60" s="544"/>
      <c r="AN60" s="544"/>
      <c r="AO60" s="544"/>
      <c r="AP60" s="544"/>
      <c r="AQ60" s="544"/>
      <c r="AR60" s="544"/>
      <c r="AS60" s="544"/>
      <c r="AT60" s="544"/>
      <c r="AU60" s="544"/>
      <c r="AV60" s="544"/>
      <c r="AW60" s="544"/>
      <c r="AX60" s="544"/>
      <c r="AY60" s="544"/>
      <c r="AZ60" s="544"/>
      <c r="BA60" s="544"/>
      <c r="BB60" s="544"/>
      <c r="BC60" s="544"/>
      <c r="BD60" s="544"/>
      <c r="BE60" s="544"/>
      <c r="BF60" s="544"/>
      <c r="BG60" s="544"/>
      <c r="BH60" s="544"/>
      <c r="BI60" s="544"/>
      <c r="BJ60" s="544"/>
      <c r="BK60" s="544"/>
      <c r="BL60" s="544"/>
      <c r="BM60" s="544"/>
      <c r="BN60" s="544"/>
      <c r="BO60" s="544"/>
      <c r="BP60" s="544"/>
      <c r="BQ60" s="544"/>
      <c r="BR60" s="544"/>
      <c r="BS60" s="544"/>
      <c r="BT60" s="544"/>
      <c r="BU60" s="544"/>
      <c r="BV60" s="544"/>
      <c r="BW60" s="544"/>
      <c r="BX60" s="544"/>
      <c r="BY60" s="544"/>
      <c r="BZ60" s="544"/>
      <c r="CA60" s="544"/>
      <c r="CB60" s="544"/>
      <c r="CC60" s="544"/>
      <c r="CD60" s="544"/>
      <c r="CE60" s="544"/>
      <c r="CF60" s="544"/>
      <c r="CG60" s="544"/>
      <c r="CH60" s="544"/>
      <c r="CI60" s="545"/>
      <c r="CK60" s="1293"/>
    </row>
    <row r="61" spans="1:89" s="1292" customFormat="1" x14ac:dyDescent="0.2">
      <c r="A61" s="1284"/>
      <c r="B61" s="543" t="s">
        <v>525</v>
      </c>
      <c r="C61" s="536" t="s">
        <v>243</v>
      </c>
      <c r="D61" s="537" t="s">
        <v>526</v>
      </c>
      <c r="E61" s="538" t="s">
        <v>236</v>
      </c>
      <c r="F61" s="539">
        <v>2</v>
      </c>
      <c r="G61" s="547">
        <f>SUM(G55:G60)</f>
        <v>0</v>
      </c>
      <c r="H61" s="547">
        <f t="shared" ref="H61:AK61" si="7">SUM(H55:H60)</f>
        <v>0</v>
      </c>
      <c r="I61" s="547">
        <f t="shared" si="7"/>
        <v>1.9305131976000001</v>
      </c>
      <c r="J61" s="547">
        <f t="shared" si="7"/>
        <v>1.6747597999999997</v>
      </c>
      <c r="K61" s="547">
        <f t="shared" si="7"/>
        <v>1.6092663999999997</v>
      </c>
      <c r="L61" s="547">
        <f t="shared" si="7"/>
        <v>1.5437730000000001</v>
      </c>
      <c r="M61" s="552">
        <f t="shared" si="7"/>
        <v>1.5437730000000001</v>
      </c>
      <c r="N61" s="552">
        <f t="shared" si="7"/>
        <v>1.5437730000000001</v>
      </c>
      <c r="O61" s="552">
        <f t="shared" si="7"/>
        <v>1.5437730000000001</v>
      </c>
      <c r="P61" s="552">
        <f t="shared" si="7"/>
        <v>1.5437730000000001</v>
      </c>
      <c r="Q61" s="552">
        <f t="shared" si="7"/>
        <v>1.5437729999999998</v>
      </c>
      <c r="R61" s="552">
        <f t="shared" si="7"/>
        <v>1.5437730000000001</v>
      </c>
      <c r="S61" s="552">
        <f t="shared" si="7"/>
        <v>1.5437730000000001</v>
      </c>
      <c r="T61" s="552">
        <f t="shared" si="7"/>
        <v>1.5437730000000001</v>
      </c>
      <c r="U61" s="552">
        <f t="shared" si="7"/>
        <v>1.5437730000000001</v>
      </c>
      <c r="V61" s="552">
        <f t="shared" si="7"/>
        <v>1.5437730000000003</v>
      </c>
      <c r="W61" s="552">
        <f t="shared" si="7"/>
        <v>1.5437730000000001</v>
      </c>
      <c r="X61" s="552">
        <f t="shared" si="7"/>
        <v>1.5437730000000001</v>
      </c>
      <c r="Y61" s="552">
        <f t="shared" si="7"/>
        <v>1.5437730000000001</v>
      </c>
      <c r="Z61" s="552">
        <f t="shared" si="7"/>
        <v>1.5437730000000001</v>
      </c>
      <c r="AA61" s="552">
        <f t="shared" si="7"/>
        <v>1.5437730000000001</v>
      </c>
      <c r="AB61" s="552">
        <f t="shared" si="7"/>
        <v>1.5437730000000001</v>
      </c>
      <c r="AC61" s="552">
        <f t="shared" si="7"/>
        <v>1.5437730000000001</v>
      </c>
      <c r="AD61" s="552">
        <f t="shared" si="7"/>
        <v>1.5437730000000001</v>
      </c>
      <c r="AE61" s="552">
        <f t="shared" si="7"/>
        <v>1.5437730000000003</v>
      </c>
      <c r="AF61" s="552">
        <f t="shared" si="7"/>
        <v>1.5437730000000001</v>
      </c>
      <c r="AG61" s="552">
        <f t="shared" si="7"/>
        <v>1.5437730000000001</v>
      </c>
      <c r="AH61" s="552">
        <f t="shared" si="7"/>
        <v>1.5437729999999998</v>
      </c>
      <c r="AI61" s="552">
        <f t="shared" si="7"/>
        <v>1.5437730000000001</v>
      </c>
      <c r="AJ61" s="552">
        <f t="shared" si="7"/>
        <v>1.5437730000000001</v>
      </c>
      <c r="AK61" s="552">
        <f t="shared" si="7"/>
        <v>1.5437730000000003</v>
      </c>
      <c r="AL61" s="552"/>
      <c r="AM61" s="552"/>
      <c r="AN61" s="552"/>
      <c r="AO61" s="552"/>
      <c r="AP61" s="552"/>
      <c r="AQ61" s="552"/>
      <c r="AR61" s="552"/>
      <c r="AS61" s="552"/>
      <c r="AT61" s="552"/>
      <c r="AU61" s="552"/>
      <c r="AV61" s="552"/>
      <c r="AW61" s="552"/>
      <c r="AX61" s="552"/>
      <c r="AY61" s="552"/>
      <c r="AZ61" s="552"/>
      <c r="BA61" s="552"/>
      <c r="BB61" s="552"/>
      <c r="BC61" s="552"/>
      <c r="BD61" s="552"/>
      <c r="BE61" s="552"/>
      <c r="BF61" s="552"/>
      <c r="BG61" s="552"/>
      <c r="BH61" s="552"/>
      <c r="BI61" s="552"/>
      <c r="BJ61" s="552"/>
      <c r="BK61" s="552"/>
      <c r="BL61" s="552"/>
      <c r="BM61" s="552"/>
      <c r="BN61" s="552"/>
      <c r="BO61" s="552"/>
      <c r="BP61" s="552"/>
      <c r="BQ61" s="552"/>
      <c r="BR61" s="552"/>
      <c r="BS61" s="552"/>
      <c r="BT61" s="552"/>
      <c r="BU61" s="552"/>
      <c r="BV61" s="552"/>
      <c r="BW61" s="552"/>
      <c r="BX61" s="552"/>
      <c r="BY61" s="552"/>
      <c r="BZ61" s="552"/>
      <c r="CA61" s="552"/>
      <c r="CB61" s="552"/>
      <c r="CC61" s="552"/>
      <c r="CD61" s="552"/>
      <c r="CE61" s="552"/>
      <c r="CF61" s="552"/>
      <c r="CG61" s="552"/>
      <c r="CH61" s="552"/>
      <c r="CI61" s="548"/>
      <c r="CK61" s="1293"/>
    </row>
    <row r="62" spans="1:89" s="1292" customFormat="1" ht="15" thickBot="1" x14ac:dyDescent="0.25">
      <c r="A62" s="1284"/>
      <c r="B62" s="585" t="s">
        <v>527</v>
      </c>
      <c r="C62" s="586" t="s">
        <v>528</v>
      </c>
      <c r="D62" s="587" t="s">
        <v>529</v>
      </c>
      <c r="E62" s="588" t="s">
        <v>530</v>
      </c>
      <c r="F62" s="558">
        <v>2</v>
      </c>
      <c r="G62" s="559" t="e">
        <f>(G61*1000000)/(G76*1000)</f>
        <v>#DIV/0!</v>
      </c>
      <c r="H62" s="559" t="e">
        <f t="shared" ref="H62:AK62" si="8">(H61*1000000)/(H76*1000)</f>
        <v>#DIV/0!</v>
      </c>
      <c r="I62" s="559">
        <f t="shared" si="8"/>
        <v>97.911101972916782</v>
      </c>
      <c r="J62" s="559">
        <f t="shared" si="8"/>
        <v>83.8869048691015</v>
      </c>
      <c r="K62" s="559">
        <f t="shared" si="8"/>
        <v>79.748632550563755</v>
      </c>
      <c r="L62" s="559">
        <f t="shared" si="8"/>
        <v>75.779539607707235</v>
      </c>
      <c r="M62" s="589">
        <f t="shared" si="8"/>
        <v>75.173961306845911</v>
      </c>
      <c r="N62" s="589">
        <f t="shared" si="8"/>
        <v>74.125416197792362</v>
      </c>
      <c r="O62" s="589">
        <f t="shared" si="8"/>
        <v>73.185321857828399</v>
      </c>
      <c r="P62" s="589">
        <f t="shared" si="8"/>
        <v>72.574718139764855</v>
      </c>
      <c r="Q62" s="589">
        <f t="shared" si="8"/>
        <v>72.067026227133255</v>
      </c>
      <c r="R62" s="589">
        <f t="shared" si="8"/>
        <v>71.57444678361216</v>
      </c>
      <c r="S62" s="589">
        <f t="shared" si="8"/>
        <v>71.105009007298008</v>
      </c>
      <c r="T62" s="589">
        <f t="shared" si="8"/>
        <v>70.646114266926887</v>
      </c>
      <c r="U62" s="589">
        <f t="shared" si="8"/>
        <v>70.195813890033904</v>
      </c>
      <c r="V62" s="589">
        <f t="shared" si="8"/>
        <v>69.751816342039575</v>
      </c>
      <c r="W62" s="589">
        <f t="shared" si="8"/>
        <v>69.316286069202832</v>
      </c>
      <c r="X62" s="589">
        <f t="shared" si="8"/>
        <v>68.886372114697167</v>
      </c>
      <c r="Y62" s="589">
        <f t="shared" si="8"/>
        <v>68.466627010085631</v>
      </c>
      <c r="Z62" s="589">
        <f t="shared" si="8"/>
        <v>68.06350111315335</v>
      </c>
      <c r="AA62" s="589">
        <f t="shared" si="8"/>
        <v>67.669437962216136</v>
      </c>
      <c r="AB62" s="589">
        <f t="shared" si="8"/>
        <v>67.285253857444374</v>
      </c>
      <c r="AC62" s="589">
        <f t="shared" si="8"/>
        <v>66.913984787554909</v>
      </c>
      <c r="AD62" s="589">
        <f t="shared" si="8"/>
        <v>66.554349281895696</v>
      </c>
      <c r="AE62" s="589">
        <f t="shared" si="8"/>
        <v>66.199064292367865</v>
      </c>
      <c r="AF62" s="589">
        <f t="shared" si="8"/>
        <v>65.851247131121823</v>
      </c>
      <c r="AG62" s="589">
        <f t="shared" si="8"/>
        <v>65.511069026163327</v>
      </c>
      <c r="AH62" s="589">
        <f t="shared" si="8"/>
        <v>65.180647043539906</v>
      </c>
      <c r="AI62" s="589">
        <f t="shared" si="8"/>
        <v>64.862390534981571</v>
      </c>
      <c r="AJ62" s="589">
        <f t="shared" si="8"/>
        <v>64.555444472837635</v>
      </c>
      <c r="AK62" s="589">
        <f t="shared" si="8"/>
        <v>64.257554425758499</v>
      </c>
      <c r="AL62" s="589"/>
      <c r="AM62" s="589"/>
      <c r="AN62" s="589"/>
      <c r="AO62" s="589"/>
      <c r="AP62" s="589"/>
      <c r="AQ62" s="589"/>
      <c r="AR62" s="589"/>
      <c r="AS62" s="589"/>
      <c r="AT62" s="589"/>
      <c r="AU62" s="589"/>
      <c r="AV62" s="589"/>
      <c r="AW62" s="589"/>
      <c r="AX62" s="589"/>
      <c r="AY62" s="589"/>
      <c r="AZ62" s="589"/>
      <c r="BA62" s="589"/>
      <c r="BB62" s="589"/>
      <c r="BC62" s="589"/>
      <c r="BD62" s="589"/>
      <c r="BE62" s="589"/>
      <c r="BF62" s="589"/>
      <c r="BG62" s="589"/>
      <c r="BH62" s="589"/>
      <c r="BI62" s="589"/>
      <c r="BJ62" s="589"/>
      <c r="BK62" s="589"/>
      <c r="BL62" s="589"/>
      <c r="BM62" s="589"/>
      <c r="BN62" s="589"/>
      <c r="BO62" s="589"/>
      <c r="BP62" s="589"/>
      <c r="BQ62" s="589"/>
      <c r="BR62" s="589"/>
      <c r="BS62" s="589"/>
      <c r="BT62" s="589"/>
      <c r="BU62" s="589"/>
      <c r="BV62" s="589"/>
      <c r="BW62" s="589"/>
      <c r="BX62" s="589"/>
      <c r="BY62" s="589"/>
      <c r="BZ62" s="589"/>
      <c r="CA62" s="589"/>
      <c r="CB62" s="589"/>
      <c r="CC62" s="589"/>
      <c r="CD62" s="589"/>
      <c r="CE62" s="589"/>
      <c r="CF62" s="589"/>
      <c r="CG62" s="589"/>
      <c r="CH62" s="589"/>
      <c r="CI62" s="560"/>
      <c r="CK62" s="1293"/>
    </row>
    <row r="63" spans="1:89" s="1292" customFormat="1" x14ac:dyDescent="0.2">
      <c r="A63" s="1284"/>
      <c r="B63" s="561" t="s">
        <v>531</v>
      </c>
      <c r="C63" s="562" t="s">
        <v>532</v>
      </c>
      <c r="D63" s="590" t="s">
        <v>86</v>
      </c>
      <c r="E63" s="591" t="s">
        <v>344</v>
      </c>
      <c r="F63" s="592">
        <v>2</v>
      </c>
      <c r="G63" s="593"/>
      <c r="H63" s="593"/>
      <c r="I63" s="593">
        <v>1.5489999999999999</v>
      </c>
      <c r="J63" s="593">
        <v>1.4991936561407804</v>
      </c>
      <c r="K63" s="593">
        <v>1.5076557861318296</v>
      </c>
      <c r="L63" s="593">
        <v>1.5478447303118581</v>
      </c>
      <c r="M63" s="594">
        <v>1.5922679375031263</v>
      </c>
      <c r="N63" s="594">
        <v>1.599894921878908</v>
      </c>
      <c r="O63" s="594">
        <v>1.6075219062546897</v>
      </c>
      <c r="P63" s="594">
        <v>1.6151488906304712</v>
      </c>
      <c r="Q63" s="594">
        <v>1.6227758750062526</v>
      </c>
      <c r="R63" s="594">
        <v>1.6304028593820343</v>
      </c>
      <c r="S63" s="594">
        <v>1.6380298437578158</v>
      </c>
      <c r="T63" s="594">
        <v>1.6456568281335977</v>
      </c>
      <c r="U63" s="594">
        <v>1.6532838125093789</v>
      </c>
      <c r="V63" s="594">
        <v>1.6609107968851609</v>
      </c>
      <c r="W63" s="594">
        <v>1.6685377812609423</v>
      </c>
      <c r="X63" s="594">
        <v>1.6761647656367238</v>
      </c>
      <c r="Y63" s="594">
        <v>1.6837917500125055</v>
      </c>
      <c r="Z63" s="594">
        <v>1.6914187343882869</v>
      </c>
      <c r="AA63" s="594">
        <v>1.6990457187640686</v>
      </c>
      <c r="AB63" s="594">
        <v>1.7066727031398503</v>
      </c>
      <c r="AC63" s="594">
        <v>1.7142996875156318</v>
      </c>
      <c r="AD63" s="594">
        <v>1.7219266718914135</v>
      </c>
      <c r="AE63" s="594">
        <v>1.7295536562671949</v>
      </c>
      <c r="AF63" s="594">
        <v>1.7371806406429766</v>
      </c>
      <c r="AG63" s="594">
        <v>1.7448076250187583</v>
      </c>
      <c r="AH63" s="594">
        <v>1.7524346093945398</v>
      </c>
      <c r="AI63" s="594">
        <v>1.7600615937703215</v>
      </c>
      <c r="AJ63" s="594">
        <v>1.7676885781461031</v>
      </c>
      <c r="AK63" s="594">
        <v>1.7753155625218846</v>
      </c>
      <c r="AL63" s="594"/>
      <c r="AM63" s="594"/>
      <c r="AN63" s="594"/>
      <c r="AO63" s="594"/>
      <c r="AP63" s="594"/>
      <c r="AQ63" s="594"/>
      <c r="AR63" s="594"/>
      <c r="AS63" s="594"/>
      <c r="AT63" s="594"/>
      <c r="AU63" s="594"/>
      <c r="AV63" s="594"/>
      <c r="AW63" s="594"/>
      <c r="AX63" s="594"/>
      <c r="AY63" s="594"/>
      <c r="AZ63" s="594"/>
      <c r="BA63" s="594"/>
      <c r="BB63" s="594"/>
      <c r="BC63" s="594"/>
      <c r="BD63" s="594"/>
      <c r="BE63" s="594"/>
      <c r="BF63" s="594"/>
      <c r="BG63" s="594"/>
      <c r="BH63" s="594"/>
      <c r="BI63" s="594"/>
      <c r="BJ63" s="594"/>
      <c r="BK63" s="594"/>
      <c r="BL63" s="594"/>
      <c r="BM63" s="594"/>
      <c r="BN63" s="594"/>
      <c r="BO63" s="594"/>
      <c r="BP63" s="594"/>
      <c r="BQ63" s="594"/>
      <c r="BR63" s="594"/>
      <c r="BS63" s="594"/>
      <c r="BT63" s="594"/>
      <c r="BU63" s="594"/>
      <c r="BV63" s="594"/>
      <c r="BW63" s="594"/>
      <c r="BX63" s="594"/>
      <c r="BY63" s="594"/>
      <c r="BZ63" s="594"/>
      <c r="CA63" s="594"/>
      <c r="CB63" s="594"/>
      <c r="CC63" s="594"/>
      <c r="CD63" s="594"/>
      <c r="CE63" s="594"/>
      <c r="CF63" s="594"/>
      <c r="CG63" s="594"/>
      <c r="CH63" s="594"/>
      <c r="CI63" s="595"/>
      <c r="CK63" s="1293"/>
    </row>
    <row r="64" spans="1:89" s="1292" customFormat="1" x14ac:dyDescent="0.2">
      <c r="A64" s="1284"/>
      <c r="B64" s="563" t="s">
        <v>533</v>
      </c>
      <c r="C64" s="564" t="s">
        <v>534</v>
      </c>
      <c r="D64" s="596" t="s">
        <v>86</v>
      </c>
      <c r="E64" s="573" t="s">
        <v>344</v>
      </c>
      <c r="F64" s="574">
        <v>2</v>
      </c>
      <c r="G64" s="597"/>
      <c r="H64" s="597"/>
      <c r="I64" s="597">
        <v>8.1000000000000003E-2</v>
      </c>
      <c r="J64" s="597">
        <v>7.2246480087486006E-2</v>
      </c>
      <c r="K64" s="597">
        <v>7.1357167300523203E-2</v>
      </c>
      <c r="L64" s="597">
        <v>4.4818334737687336E-2</v>
      </c>
      <c r="M64" s="598">
        <v>2.4181727835120275E-2</v>
      </c>
      <c r="N64" s="598">
        <v>2.3927159793900341E-2</v>
      </c>
      <c r="O64" s="598">
        <v>2.3672591752680411E-2</v>
      </c>
      <c r="P64" s="598">
        <v>2.3418023711460477E-2</v>
      </c>
      <c r="Q64" s="598">
        <v>2.3163455670240543E-2</v>
      </c>
      <c r="R64" s="598">
        <v>2.2908887629020616E-2</v>
      </c>
      <c r="S64" s="598">
        <v>2.2654319587800682E-2</v>
      </c>
      <c r="T64" s="598">
        <v>2.2399751546580752E-2</v>
      </c>
      <c r="U64" s="598">
        <v>2.2145183505360818E-2</v>
      </c>
      <c r="V64" s="598">
        <v>2.2145183505360818E-2</v>
      </c>
      <c r="W64" s="598">
        <v>2.2145183505360818E-2</v>
      </c>
      <c r="X64" s="598">
        <v>2.2145183505360818E-2</v>
      </c>
      <c r="Y64" s="598">
        <v>2.2145183505360818E-2</v>
      </c>
      <c r="Z64" s="598">
        <v>2.2145183505360818E-2</v>
      </c>
      <c r="AA64" s="598">
        <v>2.2145183505360818E-2</v>
      </c>
      <c r="AB64" s="598">
        <v>2.2145183505360818E-2</v>
      </c>
      <c r="AC64" s="598">
        <v>2.2145183505360818E-2</v>
      </c>
      <c r="AD64" s="598">
        <v>2.2145183505360818E-2</v>
      </c>
      <c r="AE64" s="598">
        <v>2.2145183505360818E-2</v>
      </c>
      <c r="AF64" s="598">
        <v>2.2145183505360818E-2</v>
      </c>
      <c r="AG64" s="598">
        <v>2.2145183505360818E-2</v>
      </c>
      <c r="AH64" s="598">
        <v>2.2145183505360818E-2</v>
      </c>
      <c r="AI64" s="598">
        <v>2.2145183505360818E-2</v>
      </c>
      <c r="AJ64" s="598">
        <v>2.2145183505360818E-2</v>
      </c>
      <c r="AK64" s="598">
        <v>2.2145183505360818E-2</v>
      </c>
      <c r="AL64" s="598"/>
      <c r="AM64" s="598"/>
      <c r="AN64" s="598"/>
      <c r="AO64" s="598"/>
      <c r="AP64" s="598"/>
      <c r="AQ64" s="598"/>
      <c r="AR64" s="598"/>
      <c r="AS64" s="598"/>
      <c r="AT64" s="598"/>
      <c r="AU64" s="598"/>
      <c r="AV64" s="598"/>
      <c r="AW64" s="598"/>
      <c r="AX64" s="598"/>
      <c r="AY64" s="598"/>
      <c r="AZ64" s="598"/>
      <c r="BA64" s="598"/>
      <c r="BB64" s="598"/>
      <c r="BC64" s="598"/>
      <c r="BD64" s="598"/>
      <c r="BE64" s="598"/>
      <c r="BF64" s="598"/>
      <c r="BG64" s="598"/>
      <c r="BH64" s="598"/>
      <c r="BI64" s="598"/>
      <c r="BJ64" s="598"/>
      <c r="BK64" s="598"/>
      <c r="BL64" s="598"/>
      <c r="BM64" s="598"/>
      <c r="BN64" s="598"/>
      <c r="BO64" s="598"/>
      <c r="BP64" s="598"/>
      <c r="BQ64" s="598"/>
      <c r="BR64" s="598"/>
      <c r="BS64" s="598"/>
      <c r="BT64" s="598"/>
      <c r="BU64" s="598"/>
      <c r="BV64" s="598"/>
      <c r="BW64" s="598"/>
      <c r="BX64" s="598"/>
      <c r="BY64" s="598"/>
      <c r="BZ64" s="598"/>
      <c r="CA64" s="598"/>
      <c r="CB64" s="598"/>
      <c r="CC64" s="598"/>
      <c r="CD64" s="598"/>
      <c r="CE64" s="598"/>
      <c r="CF64" s="598"/>
      <c r="CG64" s="598"/>
      <c r="CH64" s="598"/>
      <c r="CI64" s="599"/>
      <c r="CK64" s="1293"/>
    </row>
    <row r="65" spans="1:89" s="1292" customFormat="1" x14ac:dyDescent="0.2">
      <c r="A65" s="1284"/>
      <c r="B65" s="600" t="s">
        <v>535</v>
      </c>
      <c r="C65" s="601" t="s">
        <v>536</v>
      </c>
      <c r="D65" s="596" t="s">
        <v>86</v>
      </c>
      <c r="E65" s="573" t="s">
        <v>344</v>
      </c>
      <c r="F65" s="574">
        <v>2</v>
      </c>
      <c r="G65" s="597"/>
      <c r="H65" s="597"/>
      <c r="I65" s="597">
        <v>0.215</v>
      </c>
      <c r="J65" s="597">
        <v>0.28114559687606738</v>
      </c>
      <c r="K65" s="597">
        <v>0.2821585127763146</v>
      </c>
      <c r="L65" s="597">
        <v>0.27709413426345569</v>
      </c>
      <c r="M65" s="598">
        <v>0.26189326707908822</v>
      </c>
      <c r="N65" s="598">
        <v>0.26310658384886026</v>
      </c>
      <c r="O65" s="598">
        <v>0.26431990061863231</v>
      </c>
      <c r="P65" s="598">
        <v>0.26553321738840435</v>
      </c>
      <c r="Q65" s="598">
        <v>0.26674653415817645</v>
      </c>
      <c r="R65" s="598">
        <v>0.2679598509279485</v>
      </c>
      <c r="S65" s="598">
        <v>0.26917316769772054</v>
      </c>
      <c r="T65" s="598">
        <v>0.27038648446749253</v>
      </c>
      <c r="U65" s="598">
        <v>0.27159980123726463</v>
      </c>
      <c r="V65" s="598">
        <v>0.27284140334495</v>
      </c>
      <c r="W65" s="598">
        <v>0.27408300545263542</v>
      </c>
      <c r="X65" s="598">
        <v>0.27532460756032079</v>
      </c>
      <c r="Y65" s="598">
        <v>0.27656620966800616</v>
      </c>
      <c r="Z65" s="598">
        <v>0.27780781177569153</v>
      </c>
      <c r="AA65" s="598">
        <v>0.2790494138833769</v>
      </c>
      <c r="AB65" s="598">
        <v>0.28029101599106226</v>
      </c>
      <c r="AC65" s="598">
        <v>0.28153261809874769</v>
      </c>
      <c r="AD65" s="598">
        <v>0.282774220206433</v>
      </c>
      <c r="AE65" s="598">
        <v>0.28401582231411837</v>
      </c>
      <c r="AF65" s="598">
        <v>0.28525742442180374</v>
      </c>
      <c r="AG65" s="598">
        <v>0.28649902652948911</v>
      </c>
      <c r="AH65" s="598">
        <v>0.28774062863717448</v>
      </c>
      <c r="AI65" s="598">
        <v>0.28898223074485985</v>
      </c>
      <c r="AJ65" s="598">
        <v>0.29022383285254527</v>
      </c>
      <c r="AK65" s="598">
        <v>0.29146543496023064</v>
      </c>
      <c r="AL65" s="598"/>
      <c r="AM65" s="598"/>
      <c r="AN65" s="598"/>
      <c r="AO65" s="598"/>
      <c r="AP65" s="598"/>
      <c r="AQ65" s="598"/>
      <c r="AR65" s="598"/>
      <c r="AS65" s="598"/>
      <c r="AT65" s="598"/>
      <c r="AU65" s="598"/>
      <c r="AV65" s="598"/>
      <c r="AW65" s="598"/>
      <c r="AX65" s="598"/>
      <c r="AY65" s="598"/>
      <c r="AZ65" s="598"/>
      <c r="BA65" s="598"/>
      <c r="BB65" s="598"/>
      <c r="BC65" s="598"/>
      <c r="BD65" s="598"/>
      <c r="BE65" s="598"/>
      <c r="BF65" s="598"/>
      <c r="BG65" s="598"/>
      <c r="BH65" s="598"/>
      <c r="BI65" s="598"/>
      <c r="BJ65" s="598"/>
      <c r="BK65" s="598"/>
      <c r="BL65" s="598"/>
      <c r="BM65" s="598"/>
      <c r="BN65" s="598"/>
      <c r="BO65" s="598"/>
      <c r="BP65" s="598"/>
      <c r="BQ65" s="598"/>
      <c r="BR65" s="598"/>
      <c r="BS65" s="598"/>
      <c r="BT65" s="598"/>
      <c r="BU65" s="598"/>
      <c r="BV65" s="598"/>
      <c r="BW65" s="598"/>
      <c r="BX65" s="598"/>
      <c r="BY65" s="598"/>
      <c r="BZ65" s="598"/>
      <c r="CA65" s="598"/>
      <c r="CB65" s="598"/>
      <c r="CC65" s="598"/>
      <c r="CD65" s="598"/>
      <c r="CE65" s="598"/>
      <c r="CF65" s="598"/>
      <c r="CG65" s="598"/>
      <c r="CH65" s="598"/>
      <c r="CI65" s="599"/>
      <c r="CK65" s="1293"/>
    </row>
    <row r="66" spans="1:89" s="1292" customFormat="1" ht="28.5" x14ac:dyDescent="0.2">
      <c r="A66" s="1284"/>
      <c r="B66" s="600" t="s">
        <v>537</v>
      </c>
      <c r="C66" s="601" t="s">
        <v>538</v>
      </c>
      <c r="D66" s="602" t="s">
        <v>539</v>
      </c>
      <c r="E66" s="603" t="s">
        <v>344</v>
      </c>
      <c r="F66" s="604">
        <v>2</v>
      </c>
      <c r="G66" s="597"/>
      <c r="H66" s="597"/>
      <c r="I66" s="597">
        <v>12.180999999999999</v>
      </c>
      <c r="J66" s="552">
        <f t="shared" ref="J66:L66" si="9">I66+SUM(J67:J72)</f>
        <v>12.4945305903319</v>
      </c>
      <c r="K66" s="552">
        <f t="shared" si="9"/>
        <v>12.783554979025508</v>
      </c>
      <c r="L66" s="552">
        <f t="shared" si="9"/>
        <v>13.087790363423581</v>
      </c>
      <c r="M66" s="552">
        <f t="shared" ref="M66:AK66" si="10">L66+SUM(M67:M72)</f>
        <v>13.670611744875004</v>
      </c>
      <c r="N66" s="552">
        <f t="shared" si="10"/>
        <v>14.350674656707506</v>
      </c>
      <c r="O66" s="552">
        <f t="shared" si="10"/>
        <v>14.712791464671529</v>
      </c>
      <c r="P66" s="552">
        <f t="shared" si="10"/>
        <v>14.987737084819427</v>
      </c>
      <c r="Q66" s="552">
        <f t="shared" si="10"/>
        <v>15.235944282344249</v>
      </c>
      <c r="R66" s="552">
        <f t="shared" si="10"/>
        <v>15.430803752821916</v>
      </c>
      <c r="S66" s="552">
        <f t="shared" si="10"/>
        <v>15.56980213230961</v>
      </c>
      <c r="T66" s="552">
        <f t="shared" si="10"/>
        <v>15.707475367430444</v>
      </c>
      <c r="U66" s="552">
        <f t="shared" si="10"/>
        <v>15.844326937261341</v>
      </c>
      <c r="V66" s="552">
        <f t="shared" si="10"/>
        <v>15.980720795140215</v>
      </c>
      <c r="W66" s="552">
        <f t="shared" si="10"/>
        <v>16.116217027080477</v>
      </c>
      <c r="X66" s="552">
        <f t="shared" si="10"/>
        <v>16.251646758061472</v>
      </c>
      <c r="Y66" s="552">
        <f t="shared" si="10"/>
        <v>16.385524207813571</v>
      </c>
      <c r="Z66" s="552">
        <f t="shared" si="10"/>
        <v>16.51568007919375</v>
      </c>
      <c r="AA66" s="552">
        <f t="shared" si="10"/>
        <v>16.644418399259177</v>
      </c>
      <c r="AB66" s="552">
        <f t="shared" si="10"/>
        <v>16.771393144211203</v>
      </c>
      <c r="AC66" s="552">
        <f t="shared" si="10"/>
        <v>16.894536729851772</v>
      </c>
      <c r="AD66" s="552">
        <f t="shared" si="10"/>
        <v>17.01512985174103</v>
      </c>
      <c r="AE66" s="552">
        <f t="shared" si="10"/>
        <v>17.135550629821978</v>
      </c>
      <c r="AF66" s="552">
        <f t="shared" si="10"/>
        <v>17.25469805273552</v>
      </c>
      <c r="AG66" s="552">
        <f t="shared" si="10"/>
        <v>17.372451439592581</v>
      </c>
      <c r="AH66" s="552">
        <f t="shared" si="10"/>
        <v>17.488002834579561</v>
      </c>
      <c r="AI66" s="552">
        <f t="shared" si="10"/>
        <v>17.600410551531208</v>
      </c>
      <c r="AJ66" s="552">
        <f t="shared" si="10"/>
        <v>17.709871100882602</v>
      </c>
      <c r="AK66" s="552">
        <f t="shared" si="10"/>
        <v>17.817100312216397</v>
      </c>
      <c r="AL66" s="552"/>
      <c r="AM66" s="552"/>
      <c r="AN66" s="552"/>
      <c r="AO66" s="552"/>
      <c r="AP66" s="552"/>
      <c r="AQ66" s="552"/>
      <c r="AR66" s="552"/>
      <c r="AS66" s="552"/>
      <c r="AT66" s="552"/>
      <c r="AU66" s="552"/>
      <c r="AV66" s="552"/>
      <c r="AW66" s="552"/>
      <c r="AX66" s="552"/>
      <c r="AY66" s="552"/>
      <c r="AZ66" s="552"/>
      <c r="BA66" s="552"/>
      <c r="BB66" s="552"/>
      <c r="BC66" s="552"/>
      <c r="BD66" s="552"/>
      <c r="BE66" s="552"/>
      <c r="BF66" s="552"/>
      <c r="BG66" s="552"/>
      <c r="BH66" s="552"/>
      <c r="BI66" s="552"/>
      <c r="BJ66" s="552"/>
      <c r="BK66" s="552"/>
      <c r="BL66" s="552"/>
      <c r="BM66" s="552"/>
      <c r="BN66" s="552"/>
      <c r="BO66" s="552"/>
      <c r="BP66" s="552"/>
      <c r="BQ66" s="552"/>
      <c r="BR66" s="552"/>
      <c r="BS66" s="552"/>
      <c r="BT66" s="552"/>
      <c r="BU66" s="552"/>
      <c r="BV66" s="552"/>
      <c r="BW66" s="552"/>
      <c r="BX66" s="552"/>
      <c r="BY66" s="552"/>
      <c r="BZ66" s="552"/>
      <c r="CA66" s="552"/>
      <c r="CB66" s="552"/>
      <c r="CC66" s="552"/>
      <c r="CD66" s="552"/>
      <c r="CE66" s="552"/>
      <c r="CF66" s="552"/>
      <c r="CG66" s="552"/>
      <c r="CH66" s="552"/>
      <c r="CI66" s="552"/>
      <c r="CK66" s="1293"/>
    </row>
    <row r="67" spans="1:89" s="1292" customFormat="1" x14ac:dyDescent="0.2">
      <c r="A67" s="1284"/>
      <c r="B67" s="600" t="s">
        <v>540</v>
      </c>
      <c r="C67" s="601" t="s">
        <v>541</v>
      </c>
      <c r="D67" s="602" t="s">
        <v>542</v>
      </c>
      <c r="E67" s="603" t="s">
        <v>344</v>
      </c>
      <c r="F67" s="604">
        <v>2</v>
      </c>
      <c r="G67" s="597"/>
      <c r="H67" s="597"/>
      <c r="I67" s="597">
        <v>0.25</v>
      </c>
      <c r="J67" s="597">
        <v>0.24503194485629864</v>
      </c>
      <c r="K67" s="597">
        <v>0.2112744251527256</v>
      </c>
      <c r="L67" s="597">
        <v>0.18919795375275134</v>
      </c>
      <c r="M67" s="598">
        <v>0.16006968359339954</v>
      </c>
      <c r="N67" s="598">
        <v>0.28645315281032524</v>
      </c>
      <c r="O67" s="598">
        <v>0.26348456183810415</v>
      </c>
      <c r="P67" s="598">
        <v>0.17343345805369609</v>
      </c>
      <c r="Q67" s="598">
        <v>0.14609451883157454</v>
      </c>
      <c r="R67" s="598">
        <v>0.14366575943094723</v>
      </c>
      <c r="S67" s="598">
        <v>0.13864060088820407</v>
      </c>
      <c r="T67" s="598">
        <v>0.13727167709700006</v>
      </c>
      <c r="U67" s="598">
        <v>0.1364228660603003</v>
      </c>
      <c r="V67" s="598">
        <v>0.13595003246094711</v>
      </c>
      <c r="W67" s="598">
        <v>0.13502275122752325</v>
      </c>
      <c r="X67" s="598">
        <v>0.13495405324445164</v>
      </c>
      <c r="Y67" s="598">
        <v>0.13335048856272624</v>
      </c>
      <c r="Z67" s="598">
        <v>0.12950595863709896</v>
      </c>
      <c r="AA67" s="598">
        <v>0.12945584190139925</v>
      </c>
      <c r="AB67" s="598">
        <v>0.12763400271867795</v>
      </c>
      <c r="AC67" s="598">
        <v>0.12367627157592141</v>
      </c>
      <c r="AD67" s="598">
        <v>0.12104154694130193</v>
      </c>
      <c r="AE67" s="598">
        <v>0.12086350932867936</v>
      </c>
      <c r="AF67" s="598">
        <v>0.11954808572132242</v>
      </c>
      <c r="AG67" s="598">
        <v>0.11810799423299977</v>
      </c>
      <c r="AH67" s="598">
        <v>0.11583325411079931</v>
      </c>
      <c r="AI67" s="598">
        <v>0.11258571688987649</v>
      </c>
      <c r="AJ67" s="598">
        <v>0.10954118231269604</v>
      </c>
      <c r="AK67" s="598">
        <v>0.10723612652035081</v>
      </c>
      <c r="AL67" s="598"/>
      <c r="AM67" s="598"/>
      <c r="AN67" s="598"/>
      <c r="AO67" s="598"/>
      <c r="AP67" s="598"/>
      <c r="AQ67" s="598"/>
      <c r="AR67" s="598"/>
      <c r="AS67" s="598"/>
      <c r="AT67" s="598"/>
      <c r="AU67" s="598"/>
      <c r="AV67" s="598"/>
      <c r="AW67" s="598"/>
      <c r="AX67" s="598"/>
      <c r="AY67" s="598"/>
      <c r="AZ67" s="598"/>
      <c r="BA67" s="598"/>
      <c r="BB67" s="598"/>
      <c r="BC67" s="598"/>
      <c r="BD67" s="598"/>
      <c r="BE67" s="598"/>
      <c r="BF67" s="598"/>
      <c r="BG67" s="598"/>
      <c r="BH67" s="598"/>
      <c r="BI67" s="598"/>
      <c r="BJ67" s="598"/>
      <c r="BK67" s="598"/>
      <c r="BL67" s="598"/>
      <c r="BM67" s="598"/>
      <c r="BN67" s="598"/>
      <c r="BO67" s="598"/>
      <c r="BP67" s="598"/>
      <c r="BQ67" s="598"/>
      <c r="BR67" s="598"/>
      <c r="BS67" s="598"/>
      <c r="BT67" s="598"/>
      <c r="BU67" s="598"/>
      <c r="BV67" s="598"/>
      <c r="BW67" s="598"/>
      <c r="BX67" s="598"/>
      <c r="BY67" s="598"/>
      <c r="BZ67" s="598"/>
      <c r="CA67" s="598"/>
      <c r="CB67" s="598"/>
      <c r="CC67" s="598"/>
      <c r="CD67" s="598"/>
      <c r="CE67" s="598"/>
      <c r="CF67" s="598"/>
      <c r="CG67" s="598"/>
      <c r="CH67" s="598"/>
      <c r="CI67" s="599"/>
      <c r="CK67" s="1293"/>
    </row>
    <row r="68" spans="1:89" s="1292" customFormat="1" x14ac:dyDescent="0.2">
      <c r="A68" s="1284"/>
      <c r="B68" s="600" t="s">
        <v>543</v>
      </c>
      <c r="C68" s="601" t="s">
        <v>544</v>
      </c>
      <c r="D68" s="602" t="s">
        <v>545</v>
      </c>
      <c r="E68" s="603" t="s">
        <v>344</v>
      </c>
      <c r="F68" s="604">
        <v>2</v>
      </c>
      <c r="G68" s="597"/>
      <c r="H68" s="597"/>
      <c r="I68" s="597">
        <v>0</v>
      </c>
      <c r="J68" s="597">
        <v>8.1197792146634779E-2</v>
      </c>
      <c r="K68" s="597">
        <v>8.8999999999999996E-2</v>
      </c>
      <c r="L68" s="597">
        <v>0.127</v>
      </c>
      <c r="M68" s="598">
        <v>0.44455232529055716</v>
      </c>
      <c r="N68" s="598">
        <v>0.41862300111720668</v>
      </c>
      <c r="O68" s="598">
        <v>0.11314135165329911</v>
      </c>
      <c r="P68" s="598">
        <v>0.11314135165329911</v>
      </c>
      <c r="Q68" s="598">
        <v>0.11314135165329911</v>
      </c>
      <c r="R68" s="598">
        <v>6.045990978973171E-2</v>
      </c>
      <c r="S68" s="598">
        <v>7.7784679261643135E-3</v>
      </c>
      <c r="T68" s="598">
        <v>7.7784679261643135E-3</v>
      </c>
      <c r="U68" s="598">
        <v>7.7784679261643135E-3</v>
      </c>
      <c r="V68" s="598">
        <v>7.7784679261643135E-3</v>
      </c>
      <c r="W68" s="598">
        <v>7.7784679261643135E-3</v>
      </c>
      <c r="X68" s="598">
        <v>7.7784679261643135E-3</v>
      </c>
      <c r="Y68" s="598">
        <v>7.7784679261643135E-3</v>
      </c>
      <c r="Z68" s="598">
        <v>7.7784679261643135E-3</v>
      </c>
      <c r="AA68" s="598">
        <v>7.7784679261643135E-3</v>
      </c>
      <c r="AB68" s="598">
        <v>7.7784679261643135E-3</v>
      </c>
      <c r="AC68" s="598">
        <v>7.7784679261643135E-3</v>
      </c>
      <c r="AD68" s="598">
        <v>7.7784679261643135E-3</v>
      </c>
      <c r="AE68" s="598">
        <v>7.7784679261643135E-3</v>
      </c>
      <c r="AF68" s="598">
        <v>7.7784679261643135E-3</v>
      </c>
      <c r="AG68" s="598">
        <v>7.7784679261643135E-3</v>
      </c>
      <c r="AH68" s="598">
        <v>7.7784679261643135E-3</v>
      </c>
      <c r="AI68" s="598">
        <v>7.7784679261643135E-3</v>
      </c>
      <c r="AJ68" s="598">
        <v>7.7784679261643135E-3</v>
      </c>
      <c r="AK68" s="598">
        <v>7.7784679261643135E-3</v>
      </c>
      <c r="AL68" s="598"/>
      <c r="AM68" s="598"/>
      <c r="AN68" s="598"/>
      <c r="AO68" s="598"/>
      <c r="AP68" s="598"/>
      <c r="AQ68" s="598"/>
      <c r="AR68" s="598"/>
      <c r="AS68" s="598"/>
      <c r="AT68" s="598"/>
      <c r="AU68" s="598"/>
      <c r="AV68" s="598"/>
      <c r="AW68" s="598"/>
      <c r="AX68" s="598"/>
      <c r="AY68" s="598"/>
      <c r="AZ68" s="598"/>
      <c r="BA68" s="598"/>
      <c r="BB68" s="598"/>
      <c r="BC68" s="598"/>
      <c r="BD68" s="598"/>
      <c r="BE68" s="598"/>
      <c r="BF68" s="598"/>
      <c r="BG68" s="598"/>
      <c r="BH68" s="598"/>
      <c r="BI68" s="598"/>
      <c r="BJ68" s="598"/>
      <c r="BK68" s="598"/>
      <c r="BL68" s="598"/>
      <c r="BM68" s="598"/>
      <c r="BN68" s="598"/>
      <c r="BO68" s="598"/>
      <c r="BP68" s="598"/>
      <c r="BQ68" s="598"/>
      <c r="BR68" s="598"/>
      <c r="BS68" s="598"/>
      <c r="BT68" s="598"/>
      <c r="BU68" s="598"/>
      <c r="BV68" s="598"/>
      <c r="BW68" s="598"/>
      <c r="BX68" s="598"/>
      <c r="BY68" s="598"/>
      <c r="BZ68" s="598"/>
      <c r="CA68" s="598"/>
      <c r="CB68" s="598"/>
      <c r="CC68" s="598"/>
      <c r="CD68" s="598"/>
      <c r="CE68" s="598"/>
      <c r="CF68" s="598"/>
      <c r="CG68" s="598"/>
      <c r="CH68" s="598"/>
      <c r="CI68" s="599"/>
      <c r="CK68" s="1293"/>
    </row>
    <row r="69" spans="1:89" s="1292" customFormat="1" x14ac:dyDescent="0.2">
      <c r="A69" s="1284"/>
      <c r="B69" s="600" t="s">
        <v>546</v>
      </c>
      <c r="C69" s="601" t="s">
        <v>547</v>
      </c>
      <c r="D69" s="602" t="s">
        <v>548</v>
      </c>
      <c r="E69" s="603" t="s">
        <v>344</v>
      </c>
      <c r="F69" s="604">
        <v>2</v>
      </c>
      <c r="G69" s="597"/>
      <c r="H69" s="597"/>
      <c r="I69" s="597">
        <v>0</v>
      </c>
      <c r="J69" s="597">
        <v>0</v>
      </c>
      <c r="K69" s="597">
        <v>0</v>
      </c>
      <c r="L69" s="597">
        <v>0</v>
      </c>
      <c r="M69" s="598">
        <v>0</v>
      </c>
      <c r="N69" s="598">
        <v>0</v>
      </c>
      <c r="O69" s="598">
        <v>0</v>
      </c>
      <c r="P69" s="598">
        <v>0</v>
      </c>
      <c r="Q69" s="598">
        <v>0</v>
      </c>
      <c r="R69" s="598">
        <v>0</v>
      </c>
      <c r="S69" s="598">
        <v>0</v>
      </c>
      <c r="T69" s="598">
        <v>0</v>
      </c>
      <c r="U69" s="598">
        <v>0</v>
      </c>
      <c r="V69" s="598">
        <v>0</v>
      </c>
      <c r="W69" s="598">
        <v>0</v>
      </c>
      <c r="X69" s="598">
        <v>0</v>
      </c>
      <c r="Y69" s="598">
        <v>0</v>
      </c>
      <c r="Z69" s="598">
        <v>0</v>
      </c>
      <c r="AA69" s="598">
        <v>0</v>
      </c>
      <c r="AB69" s="598">
        <v>0</v>
      </c>
      <c r="AC69" s="598">
        <v>0</v>
      </c>
      <c r="AD69" s="598">
        <v>0</v>
      </c>
      <c r="AE69" s="598">
        <v>0</v>
      </c>
      <c r="AF69" s="598">
        <v>0</v>
      </c>
      <c r="AG69" s="598">
        <v>0</v>
      </c>
      <c r="AH69" s="598">
        <v>0</v>
      </c>
      <c r="AI69" s="598">
        <v>0</v>
      </c>
      <c r="AJ69" s="598">
        <v>0</v>
      </c>
      <c r="AK69" s="598">
        <v>0</v>
      </c>
      <c r="AL69" s="598"/>
      <c r="AM69" s="598"/>
      <c r="AN69" s="598"/>
      <c r="AO69" s="598"/>
      <c r="AP69" s="598"/>
      <c r="AQ69" s="598"/>
      <c r="AR69" s="598"/>
      <c r="AS69" s="598"/>
      <c r="AT69" s="598"/>
      <c r="AU69" s="598"/>
      <c r="AV69" s="598"/>
      <c r="AW69" s="598"/>
      <c r="AX69" s="598"/>
      <c r="AY69" s="598"/>
      <c r="AZ69" s="598"/>
      <c r="BA69" s="598"/>
      <c r="BB69" s="598"/>
      <c r="BC69" s="598"/>
      <c r="BD69" s="598"/>
      <c r="BE69" s="598"/>
      <c r="BF69" s="598"/>
      <c r="BG69" s="598"/>
      <c r="BH69" s="598"/>
      <c r="BI69" s="598"/>
      <c r="BJ69" s="598"/>
      <c r="BK69" s="598"/>
      <c r="BL69" s="598"/>
      <c r="BM69" s="598"/>
      <c r="BN69" s="598"/>
      <c r="BO69" s="598"/>
      <c r="BP69" s="598"/>
      <c r="BQ69" s="598"/>
      <c r="BR69" s="598"/>
      <c r="BS69" s="598"/>
      <c r="BT69" s="598"/>
      <c r="BU69" s="598"/>
      <c r="BV69" s="598"/>
      <c r="BW69" s="598"/>
      <c r="BX69" s="598"/>
      <c r="BY69" s="598"/>
      <c r="BZ69" s="598"/>
      <c r="CA69" s="598"/>
      <c r="CB69" s="598"/>
      <c r="CC69" s="598"/>
      <c r="CD69" s="598"/>
      <c r="CE69" s="598"/>
      <c r="CF69" s="598"/>
      <c r="CG69" s="598"/>
      <c r="CH69" s="598"/>
      <c r="CI69" s="599"/>
      <c r="CK69" s="1293"/>
    </row>
    <row r="70" spans="1:89" s="1292" customFormat="1" ht="28.5" x14ac:dyDescent="0.2">
      <c r="A70" s="1284"/>
      <c r="B70" s="600" t="s">
        <v>549</v>
      </c>
      <c r="C70" s="601" t="s">
        <v>550</v>
      </c>
      <c r="D70" s="602" t="s">
        <v>551</v>
      </c>
      <c r="E70" s="603" t="s">
        <v>344</v>
      </c>
      <c r="F70" s="604">
        <v>2</v>
      </c>
      <c r="G70" s="597"/>
      <c r="H70" s="597"/>
      <c r="I70" s="597">
        <v>0</v>
      </c>
      <c r="J70" s="597">
        <v>0</v>
      </c>
      <c r="K70" s="597">
        <v>0</v>
      </c>
      <c r="L70" s="597">
        <v>0</v>
      </c>
      <c r="M70" s="598">
        <v>0</v>
      </c>
      <c r="N70" s="598">
        <v>0</v>
      </c>
      <c r="O70" s="598">
        <v>0</v>
      </c>
      <c r="P70" s="598">
        <v>0</v>
      </c>
      <c r="Q70" s="598">
        <v>0</v>
      </c>
      <c r="R70" s="598">
        <v>0</v>
      </c>
      <c r="S70" s="598">
        <v>0</v>
      </c>
      <c r="T70" s="598">
        <v>0</v>
      </c>
      <c r="U70" s="598">
        <v>0</v>
      </c>
      <c r="V70" s="598">
        <v>0</v>
      </c>
      <c r="W70" s="598">
        <v>0</v>
      </c>
      <c r="X70" s="598">
        <v>0</v>
      </c>
      <c r="Y70" s="598">
        <v>0</v>
      </c>
      <c r="Z70" s="598">
        <v>0</v>
      </c>
      <c r="AA70" s="598">
        <v>0</v>
      </c>
      <c r="AB70" s="598">
        <v>0</v>
      </c>
      <c r="AC70" s="598">
        <v>0</v>
      </c>
      <c r="AD70" s="598">
        <v>0</v>
      </c>
      <c r="AE70" s="598">
        <v>0</v>
      </c>
      <c r="AF70" s="598">
        <v>0</v>
      </c>
      <c r="AG70" s="598">
        <v>0</v>
      </c>
      <c r="AH70" s="598">
        <v>0</v>
      </c>
      <c r="AI70" s="598">
        <v>0</v>
      </c>
      <c r="AJ70" s="598">
        <v>0</v>
      </c>
      <c r="AK70" s="598">
        <v>0</v>
      </c>
      <c r="AL70" s="598"/>
      <c r="AM70" s="598"/>
      <c r="AN70" s="598"/>
      <c r="AO70" s="598"/>
      <c r="AP70" s="598"/>
      <c r="AQ70" s="598"/>
      <c r="AR70" s="598"/>
      <c r="AS70" s="598"/>
      <c r="AT70" s="598"/>
      <c r="AU70" s="598"/>
      <c r="AV70" s="598"/>
      <c r="AW70" s="598"/>
      <c r="AX70" s="598"/>
      <c r="AY70" s="598"/>
      <c r="AZ70" s="598"/>
      <c r="BA70" s="598"/>
      <c r="BB70" s="598"/>
      <c r="BC70" s="598"/>
      <c r="BD70" s="598"/>
      <c r="BE70" s="598"/>
      <c r="BF70" s="598"/>
      <c r="BG70" s="598"/>
      <c r="BH70" s="598"/>
      <c r="BI70" s="598"/>
      <c r="BJ70" s="598"/>
      <c r="BK70" s="598"/>
      <c r="BL70" s="598"/>
      <c r="BM70" s="598"/>
      <c r="BN70" s="598"/>
      <c r="BO70" s="598"/>
      <c r="BP70" s="598"/>
      <c r="BQ70" s="598"/>
      <c r="BR70" s="598"/>
      <c r="BS70" s="598"/>
      <c r="BT70" s="598"/>
      <c r="BU70" s="598"/>
      <c r="BV70" s="598"/>
      <c r="BW70" s="598"/>
      <c r="BX70" s="598"/>
      <c r="BY70" s="598"/>
      <c r="BZ70" s="598"/>
      <c r="CA70" s="598"/>
      <c r="CB70" s="598"/>
      <c r="CC70" s="598"/>
      <c r="CD70" s="598"/>
      <c r="CE70" s="598"/>
      <c r="CF70" s="598"/>
      <c r="CG70" s="598"/>
      <c r="CH70" s="598"/>
      <c r="CI70" s="599"/>
      <c r="CK70" s="1293"/>
    </row>
    <row r="71" spans="1:89" s="1292" customFormat="1" x14ac:dyDescent="0.2">
      <c r="A71" s="1284"/>
      <c r="B71" s="600" t="s">
        <v>552</v>
      </c>
      <c r="C71" s="601" t="s">
        <v>553</v>
      </c>
      <c r="D71" s="602" t="s">
        <v>554</v>
      </c>
      <c r="E71" s="603" t="s">
        <v>344</v>
      </c>
      <c r="F71" s="604">
        <v>2</v>
      </c>
      <c r="G71" s="597"/>
      <c r="H71" s="597"/>
      <c r="I71" s="597">
        <v>0</v>
      </c>
      <c r="J71" s="597">
        <v>2.1000000000000001E-4</v>
      </c>
      <c r="K71" s="597">
        <v>4.2000000000000002E-4</v>
      </c>
      <c r="L71" s="597">
        <v>2.1000000000000001E-4</v>
      </c>
      <c r="M71" s="598">
        <v>0</v>
      </c>
      <c r="N71" s="598">
        <v>0</v>
      </c>
      <c r="O71" s="598">
        <v>0</v>
      </c>
      <c r="P71" s="598">
        <v>0</v>
      </c>
      <c r="Q71" s="598">
        <v>0</v>
      </c>
      <c r="R71" s="598">
        <v>0</v>
      </c>
      <c r="S71" s="598">
        <v>0</v>
      </c>
      <c r="T71" s="598">
        <v>0</v>
      </c>
      <c r="U71" s="598">
        <v>0</v>
      </c>
      <c r="V71" s="598">
        <v>0</v>
      </c>
      <c r="W71" s="598">
        <v>0</v>
      </c>
      <c r="X71" s="598">
        <v>0</v>
      </c>
      <c r="Y71" s="598">
        <v>0</v>
      </c>
      <c r="Z71" s="598">
        <v>0</v>
      </c>
      <c r="AA71" s="598">
        <v>0</v>
      </c>
      <c r="AB71" s="598">
        <v>0</v>
      </c>
      <c r="AC71" s="598">
        <v>0</v>
      </c>
      <c r="AD71" s="598">
        <v>0</v>
      </c>
      <c r="AE71" s="598">
        <v>0</v>
      </c>
      <c r="AF71" s="598">
        <v>0</v>
      </c>
      <c r="AG71" s="598">
        <v>0</v>
      </c>
      <c r="AH71" s="598">
        <v>0</v>
      </c>
      <c r="AI71" s="598">
        <v>0</v>
      </c>
      <c r="AJ71" s="598">
        <v>0</v>
      </c>
      <c r="AK71" s="598">
        <v>0</v>
      </c>
      <c r="AL71" s="598"/>
      <c r="AM71" s="598"/>
      <c r="AN71" s="598"/>
      <c r="AO71" s="598"/>
      <c r="AP71" s="598"/>
      <c r="AQ71" s="598"/>
      <c r="AR71" s="598"/>
      <c r="AS71" s="598"/>
      <c r="AT71" s="598"/>
      <c r="AU71" s="598"/>
      <c r="AV71" s="598"/>
      <c r="AW71" s="598"/>
      <c r="AX71" s="598"/>
      <c r="AY71" s="598"/>
      <c r="AZ71" s="598"/>
      <c r="BA71" s="598"/>
      <c r="BB71" s="598"/>
      <c r="BC71" s="598"/>
      <c r="BD71" s="598"/>
      <c r="BE71" s="598"/>
      <c r="BF71" s="598"/>
      <c r="BG71" s="598"/>
      <c r="BH71" s="598"/>
      <c r="BI71" s="598"/>
      <c r="BJ71" s="598"/>
      <c r="BK71" s="598"/>
      <c r="BL71" s="598"/>
      <c r="BM71" s="598"/>
      <c r="BN71" s="598"/>
      <c r="BO71" s="598"/>
      <c r="BP71" s="598"/>
      <c r="BQ71" s="598"/>
      <c r="BR71" s="598"/>
      <c r="BS71" s="598"/>
      <c r="BT71" s="598"/>
      <c r="BU71" s="598"/>
      <c r="BV71" s="598"/>
      <c r="BW71" s="598"/>
      <c r="BX71" s="598"/>
      <c r="BY71" s="598"/>
      <c r="BZ71" s="598"/>
      <c r="CA71" s="598"/>
      <c r="CB71" s="598"/>
      <c r="CC71" s="598"/>
      <c r="CD71" s="598"/>
      <c r="CE71" s="598"/>
      <c r="CF71" s="598"/>
      <c r="CG71" s="598"/>
      <c r="CH71" s="598"/>
      <c r="CI71" s="599"/>
      <c r="CK71" s="1293"/>
    </row>
    <row r="72" spans="1:89" s="1292" customFormat="1" ht="28.5" x14ac:dyDescent="0.2">
      <c r="A72" s="1284"/>
      <c r="B72" s="600" t="s">
        <v>555</v>
      </c>
      <c r="C72" s="601" t="s">
        <v>556</v>
      </c>
      <c r="D72" s="602" t="s">
        <v>557</v>
      </c>
      <c r="E72" s="603" t="s">
        <v>344</v>
      </c>
      <c r="F72" s="604">
        <v>2</v>
      </c>
      <c r="G72" s="597"/>
      <c r="H72" s="597"/>
      <c r="I72" s="597">
        <v>0</v>
      </c>
      <c r="J72" s="597">
        <v>-1.2909146671033156E-2</v>
      </c>
      <c r="K72" s="597">
        <v>-1.1670036459117128E-2</v>
      </c>
      <c r="L72" s="597">
        <v>-1.2172569354678586E-2</v>
      </c>
      <c r="M72" s="598">
        <v>-2.180062743253508E-2</v>
      </c>
      <c r="N72" s="598">
        <v>-2.5013242095029753E-2</v>
      </c>
      <c r="O72" s="598">
        <v>-1.4509105527380939E-2</v>
      </c>
      <c r="P72" s="598">
        <v>-1.1629189559096531E-2</v>
      </c>
      <c r="Q72" s="598">
        <v>-1.1028672960051722E-2</v>
      </c>
      <c r="R72" s="598">
        <v>-9.2661987430116E-3</v>
      </c>
      <c r="S72" s="598">
        <v>-7.4206893266755003E-3</v>
      </c>
      <c r="T72" s="598">
        <v>-7.3769099023301976E-3</v>
      </c>
      <c r="U72" s="598">
        <v>-7.3497641555668736E-3</v>
      </c>
      <c r="V72" s="598">
        <v>-7.3346425082370104E-3</v>
      </c>
      <c r="W72" s="598">
        <v>-7.3049872134234306E-3</v>
      </c>
      <c r="X72" s="598">
        <v>-7.3027901896196568E-3</v>
      </c>
      <c r="Y72" s="598">
        <v>-7.2515067367930897E-3</v>
      </c>
      <c r="Z72" s="598">
        <v>-7.1285551830833072E-3</v>
      </c>
      <c r="AA72" s="598">
        <v>-8.4959897621352809E-3</v>
      </c>
      <c r="AB72" s="598">
        <v>-8.4377256928149791E-3</v>
      </c>
      <c r="AC72" s="598">
        <v>-8.3111538615163738E-3</v>
      </c>
      <c r="AD72" s="598">
        <v>-8.2268929782074451E-3</v>
      </c>
      <c r="AE72" s="598">
        <v>-8.2211991738958545E-3</v>
      </c>
      <c r="AF72" s="598">
        <v>-8.1791307339429409E-3</v>
      </c>
      <c r="AG72" s="598">
        <v>-8.1330753021049418E-3</v>
      </c>
      <c r="AH72" s="598">
        <v>-8.0603270499821633E-3</v>
      </c>
      <c r="AI72" s="598">
        <v>-7.9564678643926356E-3</v>
      </c>
      <c r="AJ72" s="598">
        <v>-7.8591008874688839E-3</v>
      </c>
      <c r="AK72" s="598">
        <v>-7.7853831127185913E-3</v>
      </c>
      <c r="AL72" s="598"/>
      <c r="AM72" s="598"/>
      <c r="AN72" s="598"/>
      <c r="AO72" s="598"/>
      <c r="AP72" s="598"/>
      <c r="AQ72" s="598"/>
      <c r="AR72" s="598"/>
      <c r="AS72" s="598"/>
      <c r="AT72" s="598"/>
      <c r="AU72" s="598"/>
      <c r="AV72" s="598"/>
      <c r="AW72" s="598"/>
      <c r="AX72" s="598"/>
      <c r="AY72" s="598"/>
      <c r="AZ72" s="598"/>
      <c r="BA72" s="598"/>
      <c r="BB72" s="598"/>
      <c r="BC72" s="598"/>
      <c r="BD72" s="598"/>
      <c r="BE72" s="598"/>
      <c r="BF72" s="598"/>
      <c r="BG72" s="598"/>
      <c r="BH72" s="598"/>
      <c r="BI72" s="598"/>
      <c r="BJ72" s="598"/>
      <c r="BK72" s="598"/>
      <c r="BL72" s="598"/>
      <c r="BM72" s="598"/>
      <c r="BN72" s="598"/>
      <c r="BO72" s="598"/>
      <c r="BP72" s="598"/>
      <c r="BQ72" s="598"/>
      <c r="BR72" s="598"/>
      <c r="BS72" s="598"/>
      <c r="BT72" s="598"/>
      <c r="BU72" s="598"/>
      <c r="BV72" s="598"/>
      <c r="BW72" s="598"/>
      <c r="BX72" s="598"/>
      <c r="BY72" s="598"/>
      <c r="BZ72" s="598"/>
      <c r="CA72" s="598"/>
      <c r="CB72" s="598"/>
      <c r="CC72" s="598"/>
      <c r="CD72" s="598"/>
      <c r="CE72" s="598"/>
      <c r="CF72" s="598"/>
      <c r="CG72" s="598"/>
      <c r="CH72" s="598"/>
      <c r="CI72" s="599"/>
      <c r="CK72" s="1293"/>
    </row>
    <row r="73" spans="1:89" s="1292" customFormat="1" x14ac:dyDescent="0.2">
      <c r="A73" s="1284"/>
      <c r="B73" s="600" t="s">
        <v>558</v>
      </c>
      <c r="C73" s="601" t="s">
        <v>559</v>
      </c>
      <c r="D73" s="596" t="s">
        <v>86</v>
      </c>
      <c r="E73" s="573" t="s">
        <v>344</v>
      </c>
      <c r="F73" s="574">
        <v>2</v>
      </c>
      <c r="G73" s="597"/>
      <c r="H73" s="597"/>
      <c r="I73" s="597">
        <v>0.40200000000000002</v>
      </c>
      <c r="J73" s="597">
        <v>0.41278774632753323</v>
      </c>
      <c r="K73" s="597">
        <v>0.42233638244315047</v>
      </c>
      <c r="L73" s="597">
        <v>0.43238755145432933</v>
      </c>
      <c r="M73" s="598">
        <v>0.4516424984746672</v>
      </c>
      <c r="N73" s="598">
        <v>0.47411006015749652</v>
      </c>
      <c r="O73" s="598">
        <v>0.48607348527267868</v>
      </c>
      <c r="P73" s="598">
        <v>0.49515699441957672</v>
      </c>
      <c r="Q73" s="598">
        <v>0.50335713358829615</v>
      </c>
      <c r="R73" s="598">
        <v>0.50979479853997456</v>
      </c>
      <c r="S73" s="598">
        <v>0.51438695407531732</v>
      </c>
      <c r="T73" s="598">
        <v>0.51893533018631144</v>
      </c>
      <c r="U73" s="598">
        <v>0.52345656055054723</v>
      </c>
      <c r="V73" s="598">
        <v>0.52796266926745283</v>
      </c>
      <c r="W73" s="598">
        <v>0.53243912268954252</v>
      </c>
      <c r="X73" s="598">
        <v>0.53691337908782977</v>
      </c>
      <c r="Y73" s="598">
        <v>0.54133635203328867</v>
      </c>
      <c r="Z73" s="598">
        <v>0.54563637342504012</v>
      </c>
      <c r="AA73" s="598">
        <v>0.54988956250017984</v>
      </c>
      <c r="AB73" s="598">
        <v>0.5540844875059916</v>
      </c>
      <c r="AC73" s="598">
        <v>0.55815284068050741</v>
      </c>
      <c r="AD73" s="598">
        <v>0.5621369329717204</v>
      </c>
      <c r="AE73" s="598">
        <v>0.56611533145861559</v>
      </c>
      <c r="AF73" s="598">
        <v>0.57005166150556208</v>
      </c>
      <c r="AG73" s="598">
        <v>0.57394193612066224</v>
      </c>
      <c r="AH73" s="598">
        <v>0.5777594624836444</v>
      </c>
      <c r="AI73" s="598">
        <v>0.58147312966104092</v>
      </c>
      <c r="AJ73" s="598">
        <v>0.58508942986150614</v>
      </c>
      <c r="AK73" s="598">
        <v>0.58863201228722817</v>
      </c>
      <c r="AL73" s="598"/>
      <c r="AM73" s="598"/>
      <c r="AN73" s="598"/>
      <c r="AO73" s="598"/>
      <c r="AP73" s="598"/>
      <c r="AQ73" s="598"/>
      <c r="AR73" s="598"/>
      <c r="AS73" s="598"/>
      <c r="AT73" s="598"/>
      <c r="AU73" s="598"/>
      <c r="AV73" s="598"/>
      <c r="AW73" s="598"/>
      <c r="AX73" s="598"/>
      <c r="AY73" s="598"/>
      <c r="AZ73" s="598"/>
      <c r="BA73" s="598"/>
      <c r="BB73" s="598"/>
      <c r="BC73" s="598"/>
      <c r="BD73" s="598"/>
      <c r="BE73" s="598"/>
      <c r="BF73" s="598"/>
      <c r="BG73" s="598"/>
      <c r="BH73" s="598"/>
      <c r="BI73" s="598"/>
      <c r="BJ73" s="598"/>
      <c r="BK73" s="598"/>
      <c r="BL73" s="598"/>
      <c r="BM73" s="598"/>
      <c r="BN73" s="598"/>
      <c r="BO73" s="598"/>
      <c r="BP73" s="598"/>
      <c r="BQ73" s="598"/>
      <c r="BR73" s="598"/>
      <c r="BS73" s="598"/>
      <c r="BT73" s="598"/>
      <c r="BU73" s="598"/>
      <c r="BV73" s="598"/>
      <c r="BW73" s="598"/>
      <c r="BX73" s="598"/>
      <c r="BY73" s="598"/>
      <c r="BZ73" s="598"/>
      <c r="CA73" s="598"/>
      <c r="CB73" s="598"/>
      <c r="CC73" s="598"/>
      <c r="CD73" s="598"/>
      <c r="CE73" s="598"/>
      <c r="CF73" s="598"/>
      <c r="CG73" s="598"/>
      <c r="CH73" s="598"/>
      <c r="CI73" s="599"/>
      <c r="CK73" s="1293"/>
    </row>
    <row r="74" spans="1:89" s="1292" customFormat="1" ht="28.5" x14ac:dyDescent="0.2">
      <c r="A74" s="1284"/>
      <c r="B74" s="600" t="s">
        <v>560</v>
      </c>
      <c r="C74" s="601" t="s">
        <v>561</v>
      </c>
      <c r="D74" s="596" t="s">
        <v>86</v>
      </c>
      <c r="E74" s="573" t="s">
        <v>344</v>
      </c>
      <c r="F74" s="574">
        <v>2</v>
      </c>
      <c r="G74" s="597"/>
      <c r="H74" s="597"/>
      <c r="I74" s="597">
        <v>5.1189999999999998</v>
      </c>
      <c r="J74" s="597">
        <v>5.0374000923327564</v>
      </c>
      <c r="K74" s="597">
        <v>4.9479489887802268</v>
      </c>
      <c r="L74" s="597">
        <v>4.8219218497023757</v>
      </c>
      <c r="M74" s="598">
        <v>4.3897145537578854</v>
      </c>
      <c r="N74" s="598">
        <v>3.9826036293961433</v>
      </c>
      <c r="O74" s="598">
        <v>3.8711610739977664</v>
      </c>
      <c r="P74" s="598">
        <v>3.75971851859939</v>
      </c>
      <c r="Q74" s="598">
        <v>3.6482759632010153</v>
      </c>
      <c r="R74" s="598">
        <v>3.5878225130984065</v>
      </c>
      <c r="S74" s="598">
        <v>3.5783581682915639</v>
      </c>
      <c r="T74" s="598">
        <v>3.568893823484721</v>
      </c>
      <c r="U74" s="598">
        <v>3.5594294786778784</v>
      </c>
      <c r="V74" s="598">
        <v>3.5499651338710336</v>
      </c>
      <c r="W74" s="598">
        <v>3.5405007890641911</v>
      </c>
      <c r="X74" s="598">
        <v>3.5310364442573481</v>
      </c>
      <c r="Y74" s="598">
        <v>3.5215720994505051</v>
      </c>
      <c r="Z74" s="598">
        <v>3.5121077546436621</v>
      </c>
      <c r="AA74" s="598">
        <v>3.5026434098368195</v>
      </c>
      <c r="AB74" s="598">
        <v>3.4931790650299765</v>
      </c>
      <c r="AC74" s="598">
        <v>3.4846825962624384</v>
      </c>
      <c r="AD74" s="598">
        <v>3.4761861274949006</v>
      </c>
      <c r="AE74" s="598">
        <v>3.4676896587273625</v>
      </c>
      <c r="AF74" s="598">
        <v>3.4591931899598238</v>
      </c>
      <c r="AG74" s="598">
        <v>3.4506967211922861</v>
      </c>
      <c r="AH74" s="598">
        <v>3.4422002524247479</v>
      </c>
      <c r="AI74" s="598">
        <v>3.4337037836572093</v>
      </c>
      <c r="AJ74" s="598">
        <v>3.4252073148896711</v>
      </c>
      <c r="AK74" s="598">
        <v>3.4167108461221334</v>
      </c>
      <c r="AL74" s="598"/>
      <c r="AM74" s="598"/>
      <c r="AN74" s="598"/>
      <c r="AO74" s="598"/>
      <c r="AP74" s="598"/>
      <c r="AQ74" s="598"/>
      <c r="AR74" s="598"/>
      <c r="AS74" s="598"/>
      <c r="AT74" s="598"/>
      <c r="AU74" s="598"/>
      <c r="AV74" s="598"/>
      <c r="AW74" s="598"/>
      <c r="AX74" s="598"/>
      <c r="AY74" s="598"/>
      <c r="AZ74" s="598"/>
      <c r="BA74" s="598"/>
      <c r="BB74" s="598"/>
      <c r="BC74" s="598"/>
      <c r="BD74" s="598"/>
      <c r="BE74" s="598"/>
      <c r="BF74" s="598"/>
      <c r="BG74" s="598"/>
      <c r="BH74" s="598"/>
      <c r="BI74" s="598"/>
      <c r="BJ74" s="598"/>
      <c r="BK74" s="598"/>
      <c r="BL74" s="598"/>
      <c r="BM74" s="598"/>
      <c r="BN74" s="598"/>
      <c r="BO74" s="598"/>
      <c r="BP74" s="598"/>
      <c r="BQ74" s="598"/>
      <c r="BR74" s="598"/>
      <c r="BS74" s="598"/>
      <c r="BT74" s="598"/>
      <c r="BU74" s="598"/>
      <c r="BV74" s="598"/>
      <c r="BW74" s="598"/>
      <c r="BX74" s="598"/>
      <c r="BY74" s="598"/>
      <c r="BZ74" s="598"/>
      <c r="CA74" s="598"/>
      <c r="CB74" s="598"/>
      <c r="CC74" s="598"/>
      <c r="CD74" s="598"/>
      <c r="CE74" s="598"/>
      <c r="CF74" s="598"/>
      <c r="CG74" s="598"/>
      <c r="CH74" s="598"/>
      <c r="CI74" s="599"/>
      <c r="CK74" s="1293"/>
    </row>
    <row r="75" spans="1:89" s="1292" customFormat="1" x14ac:dyDescent="0.2">
      <c r="A75" s="1284"/>
      <c r="B75" s="600" t="s">
        <v>562</v>
      </c>
      <c r="C75" s="601" t="s">
        <v>563</v>
      </c>
      <c r="D75" s="596" t="s">
        <v>86</v>
      </c>
      <c r="E75" s="573" t="s">
        <v>344</v>
      </c>
      <c r="F75" s="574">
        <v>2</v>
      </c>
      <c r="G75" s="597"/>
      <c r="H75" s="597"/>
      <c r="I75" s="597">
        <v>0.17</v>
      </c>
      <c r="J75" s="597">
        <v>0.16719211552061083</v>
      </c>
      <c r="K75" s="597">
        <v>0.16422321907314302</v>
      </c>
      <c r="L75" s="597">
        <v>0.16004035815099646</v>
      </c>
      <c r="M75" s="598">
        <v>0.14569532880492786</v>
      </c>
      <c r="N75" s="598">
        <v>0.13218325204946199</v>
      </c>
      <c r="O75" s="598">
        <v>0.12848445579453735</v>
      </c>
      <c r="P75" s="598">
        <v>0.12478565953961271</v>
      </c>
      <c r="Q75" s="598">
        <v>0.12108686328468814</v>
      </c>
      <c r="R75" s="598">
        <v>0.11908040359756523</v>
      </c>
      <c r="S75" s="598">
        <v>0.11876628047824402</v>
      </c>
      <c r="T75" s="598">
        <v>0.1184521573589228</v>
      </c>
      <c r="U75" s="598">
        <v>0.11813803423960158</v>
      </c>
      <c r="V75" s="598">
        <v>0.1178239111202803</v>
      </c>
      <c r="W75" s="598">
        <v>0.1175097880009591</v>
      </c>
      <c r="X75" s="598">
        <v>0.11719566488163786</v>
      </c>
      <c r="Y75" s="598">
        <v>0.11688154176231665</v>
      </c>
      <c r="Z75" s="598">
        <v>0.11656741864299544</v>
      </c>
      <c r="AA75" s="598">
        <v>0.11625329552367421</v>
      </c>
      <c r="AB75" s="598">
        <v>0.115939172404353</v>
      </c>
      <c r="AC75" s="598">
        <v>0.11565717324572716</v>
      </c>
      <c r="AD75" s="598">
        <v>0.11537517408710134</v>
      </c>
      <c r="AE75" s="598">
        <v>0.11509317492847553</v>
      </c>
      <c r="AF75" s="598">
        <v>0.11481117576984969</v>
      </c>
      <c r="AG75" s="598">
        <v>0.11452917661122386</v>
      </c>
      <c r="AH75" s="598">
        <v>0.11424717745259802</v>
      </c>
      <c r="AI75" s="598">
        <v>0.11396517829397221</v>
      </c>
      <c r="AJ75" s="598">
        <v>0.11368317913534638</v>
      </c>
      <c r="AK75" s="598">
        <v>0.11340117997672054</v>
      </c>
      <c r="AL75" s="598"/>
      <c r="AM75" s="598"/>
      <c r="AN75" s="598"/>
      <c r="AO75" s="598"/>
      <c r="AP75" s="598"/>
      <c r="AQ75" s="598"/>
      <c r="AR75" s="598"/>
      <c r="AS75" s="598"/>
      <c r="AT75" s="598"/>
      <c r="AU75" s="598"/>
      <c r="AV75" s="598"/>
      <c r="AW75" s="598"/>
      <c r="AX75" s="598"/>
      <c r="AY75" s="598"/>
      <c r="AZ75" s="598"/>
      <c r="BA75" s="598"/>
      <c r="BB75" s="598"/>
      <c r="BC75" s="598"/>
      <c r="BD75" s="598"/>
      <c r="BE75" s="598"/>
      <c r="BF75" s="598"/>
      <c r="BG75" s="598"/>
      <c r="BH75" s="598"/>
      <c r="BI75" s="598"/>
      <c r="BJ75" s="598"/>
      <c r="BK75" s="598"/>
      <c r="BL75" s="598"/>
      <c r="BM75" s="598"/>
      <c r="BN75" s="598"/>
      <c r="BO75" s="598"/>
      <c r="BP75" s="598"/>
      <c r="BQ75" s="598"/>
      <c r="BR75" s="598"/>
      <c r="BS75" s="598"/>
      <c r="BT75" s="598"/>
      <c r="BU75" s="598"/>
      <c r="BV75" s="598"/>
      <c r="BW75" s="598"/>
      <c r="BX75" s="598"/>
      <c r="BY75" s="598"/>
      <c r="BZ75" s="598"/>
      <c r="CA75" s="598"/>
      <c r="CB75" s="598"/>
      <c r="CC75" s="598"/>
      <c r="CD75" s="598"/>
      <c r="CE75" s="598"/>
      <c r="CF75" s="598"/>
      <c r="CG75" s="598"/>
      <c r="CH75" s="598"/>
      <c r="CI75" s="599"/>
      <c r="CK75" s="1293"/>
    </row>
    <row r="76" spans="1:89" s="1292" customFormat="1" ht="29.25" thickBot="1" x14ac:dyDescent="0.25">
      <c r="A76" s="1284"/>
      <c r="B76" s="605" t="s">
        <v>564</v>
      </c>
      <c r="C76" s="606" t="s">
        <v>565</v>
      </c>
      <c r="D76" s="607" t="s">
        <v>566</v>
      </c>
      <c r="E76" s="608" t="s">
        <v>344</v>
      </c>
      <c r="F76" s="609">
        <v>2</v>
      </c>
      <c r="G76" s="559">
        <f>SUM(G63:G66)+G73+G74+G75</f>
        <v>0</v>
      </c>
      <c r="H76" s="559">
        <f t="shared" ref="H76:AK76" si="11">SUM(H63:H66)+H73+H74+H75</f>
        <v>0</v>
      </c>
      <c r="I76" s="559">
        <f t="shared" si="11"/>
        <v>19.716999999999999</v>
      </c>
      <c r="J76" s="559">
        <f t="shared" si="11"/>
        <v>19.964496277617133</v>
      </c>
      <c r="K76" s="559">
        <f t="shared" si="11"/>
        <v>20.179235035530695</v>
      </c>
      <c r="L76" s="559">
        <f t="shared" si="11"/>
        <v>20.371897322044287</v>
      </c>
      <c r="M76" s="559">
        <f t="shared" si="11"/>
        <v>20.536007058329815</v>
      </c>
      <c r="N76" s="559">
        <f t="shared" si="11"/>
        <v>20.826500263832276</v>
      </c>
      <c r="O76" s="559">
        <f t="shared" si="11"/>
        <v>21.094024878362514</v>
      </c>
      <c r="P76" s="559">
        <f t="shared" si="11"/>
        <v>21.271498389108341</v>
      </c>
      <c r="Q76" s="559">
        <f t="shared" si="11"/>
        <v>21.42135010725292</v>
      </c>
      <c r="R76" s="559">
        <f t="shared" si="11"/>
        <v>21.568773065996865</v>
      </c>
      <c r="S76" s="559">
        <f t="shared" si="11"/>
        <v>21.711170866198074</v>
      </c>
      <c r="T76" s="559">
        <f t="shared" si="11"/>
        <v>21.852199742608072</v>
      </c>
      <c r="U76" s="559">
        <f t="shared" si="11"/>
        <v>21.992379807981372</v>
      </c>
      <c r="V76" s="559">
        <f t="shared" si="11"/>
        <v>22.132369893134452</v>
      </c>
      <c r="W76" s="559">
        <f t="shared" si="11"/>
        <v>22.271432697054106</v>
      </c>
      <c r="X76" s="559">
        <f t="shared" si="11"/>
        <v>22.410426802990692</v>
      </c>
      <c r="Y76" s="559">
        <f t="shared" si="11"/>
        <v>22.547817344245555</v>
      </c>
      <c r="Z76" s="559">
        <f t="shared" si="11"/>
        <v>22.681363355574785</v>
      </c>
      <c r="AA76" s="559">
        <f t="shared" si="11"/>
        <v>22.813444983272657</v>
      </c>
      <c r="AB76" s="559">
        <f t="shared" si="11"/>
        <v>22.9437047717878</v>
      </c>
      <c r="AC76" s="559">
        <f t="shared" si="11"/>
        <v>23.071006829160183</v>
      </c>
      <c r="AD76" s="559">
        <f t="shared" si="11"/>
        <v>23.195674161897962</v>
      </c>
      <c r="AE76" s="559">
        <f t="shared" si="11"/>
        <v>23.320163457023106</v>
      </c>
      <c r="AF76" s="559">
        <f t="shared" si="11"/>
        <v>23.443337328540895</v>
      </c>
      <c r="AG76" s="559">
        <f t="shared" si="11"/>
        <v>23.565071108570361</v>
      </c>
      <c r="AH76" s="559">
        <f t="shared" si="11"/>
        <v>23.684530148477624</v>
      </c>
      <c r="AI76" s="559">
        <f t="shared" si="11"/>
        <v>23.800741651163975</v>
      </c>
      <c r="AJ76" s="559">
        <f t="shared" si="11"/>
        <v>23.913908619273133</v>
      </c>
      <c r="AK76" s="559">
        <f t="shared" si="11"/>
        <v>24.024770531589951</v>
      </c>
      <c r="AL76" s="559"/>
      <c r="AM76" s="559"/>
      <c r="AN76" s="559"/>
      <c r="AO76" s="559"/>
      <c r="AP76" s="559"/>
      <c r="AQ76" s="559"/>
      <c r="AR76" s="559"/>
      <c r="AS76" s="559"/>
      <c r="AT76" s="559"/>
      <c r="AU76" s="559"/>
      <c r="AV76" s="559"/>
      <c r="AW76" s="559"/>
      <c r="AX76" s="559"/>
      <c r="AY76" s="559"/>
      <c r="AZ76" s="559"/>
      <c r="BA76" s="559"/>
      <c r="BB76" s="559"/>
      <c r="BC76" s="559"/>
      <c r="BD76" s="559"/>
      <c r="BE76" s="559"/>
      <c r="BF76" s="559"/>
      <c r="BG76" s="559"/>
      <c r="BH76" s="559"/>
      <c r="BI76" s="559"/>
      <c r="BJ76" s="559"/>
      <c r="BK76" s="559"/>
      <c r="BL76" s="559"/>
      <c r="BM76" s="559"/>
      <c r="BN76" s="559"/>
      <c r="BO76" s="559"/>
      <c r="BP76" s="559"/>
      <c r="BQ76" s="559"/>
      <c r="BR76" s="559"/>
      <c r="BS76" s="559"/>
      <c r="BT76" s="559"/>
      <c r="BU76" s="559"/>
      <c r="BV76" s="559"/>
      <c r="BW76" s="559"/>
      <c r="BX76" s="559"/>
      <c r="BY76" s="559"/>
      <c r="BZ76" s="559"/>
      <c r="CA76" s="559"/>
      <c r="CB76" s="559"/>
      <c r="CC76" s="559"/>
      <c r="CD76" s="559"/>
      <c r="CE76" s="559"/>
      <c r="CF76" s="559"/>
      <c r="CG76" s="559"/>
      <c r="CH76" s="559"/>
      <c r="CI76" s="559"/>
      <c r="CK76" s="1293"/>
    </row>
    <row r="77" spans="1:89" s="1292" customFormat="1" x14ac:dyDescent="0.2">
      <c r="A77" s="1284"/>
      <c r="B77" s="527" t="s">
        <v>567</v>
      </c>
      <c r="C77" s="528" t="s">
        <v>568</v>
      </c>
      <c r="D77" s="529" t="s">
        <v>86</v>
      </c>
      <c r="E77" s="610" t="s">
        <v>344</v>
      </c>
      <c r="F77" s="611">
        <v>2</v>
      </c>
      <c r="G77" s="593"/>
      <c r="H77" s="593"/>
      <c r="I77" s="593">
        <v>0.75004709999999997</v>
      </c>
      <c r="J77" s="593">
        <v>0.76485304518235242</v>
      </c>
      <c r="K77" s="593">
        <v>0.77913346278161477</v>
      </c>
      <c r="L77" s="593">
        <v>0.7940257761684264</v>
      </c>
      <c r="M77" s="594">
        <v>0.80531354873848082</v>
      </c>
      <c r="N77" s="594">
        <v>0.81993279335439173</v>
      </c>
      <c r="O77" s="594">
        <v>0.83736629273190133</v>
      </c>
      <c r="P77" s="594">
        <v>0.85358580067965872</v>
      </c>
      <c r="Q77" s="594">
        <v>0.86979782546943285</v>
      </c>
      <c r="R77" s="594">
        <v>0.88422575835994177</v>
      </c>
      <c r="S77" s="594">
        <v>0.906588282207624</v>
      </c>
      <c r="T77" s="594">
        <v>0.92847044918435573</v>
      </c>
      <c r="U77" s="594">
        <v>0.94528501550694866</v>
      </c>
      <c r="V77" s="594">
        <v>0.95962999171763996</v>
      </c>
      <c r="W77" s="594">
        <v>0.97167350171046751</v>
      </c>
      <c r="X77" s="594">
        <v>0.98360087011589992</v>
      </c>
      <c r="Y77" s="594">
        <v>0.99493297024685745</v>
      </c>
      <c r="Z77" s="594">
        <v>1.0067830944613747</v>
      </c>
      <c r="AA77" s="594">
        <v>1.0178145842173048</v>
      </c>
      <c r="AB77" s="594">
        <v>1.0297527493130523</v>
      </c>
      <c r="AC77" s="594">
        <v>1.0425971916955596</v>
      </c>
      <c r="AD77" s="594">
        <v>1.0571088667671023</v>
      </c>
      <c r="AE77" s="594">
        <v>1.0728758466281196</v>
      </c>
      <c r="AF77" s="594">
        <v>1.0897311503751796</v>
      </c>
      <c r="AG77" s="594">
        <v>1.1080745316056322</v>
      </c>
      <c r="AH77" s="594">
        <v>1.1267743770670622</v>
      </c>
      <c r="AI77" s="594">
        <v>1.1450898468211947</v>
      </c>
      <c r="AJ77" s="594">
        <v>1.1635207993134922</v>
      </c>
      <c r="AK77" s="594">
        <v>1.1818889861553523</v>
      </c>
      <c r="AL77" s="594"/>
      <c r="AM77" s="594"/>
      <c r="AN77" s="594"/>
      <c r="AO77" s="594"/>
      <c r="AP77" s="594"/>
      <c r="AQ77" s="594"/>
      <c r="AR77" s="594"/>
      <c r="AS77" s="594"/>
      <c r="AT77" s="594"/>
      <c r="AU77" s="594"/>
      <c r="AV77" s="594"/>
      <c r="AW77" s="594"/>
      <c r="AX77" s="594"/>
      <c r="AY77" s="594"/>
      <c r="AZ77" s="594"/>
      <c r="BA77" s="594"/>
      <c r="BB77" s="594"/>
      <c r="BC77" s="594"/>
      <c r="BD77" s="594"/>
      <c r="BE77" s="594"/>
      <c r="BF77" s="594"/>
      <c r="BG77" s="594"/>
      <c r="BH77" s="594"/>
      <c r="BI77" s="594"/>
      <c r="BJ77" s="594"/>
      <c r="BK77" s="594"/>
      <c r="BL77" s="594"/>
      <c r="BM77" s="594"/>
      <c r="BN77" s="594"/>
      <c r="BO77" s="594"/>
      <c r="BP77" s="594"/>
      <c r="BQ77" s="594"/>
      <c r="BR77" s="594"/>
      <c r="BS77" s="594"/>
      <c r="BT77" s="594"/>
      <c r="BU77" s="594"/>
      <c r="BV77" s="594"/>
      <c r="BW77" s="594"/>
      <c r="BX77" s="594"/>
      <c r="BY77" s="594"/>
      <c r="BZ77" s="594"/>
      <c r="CA77" s="594"/>
      <c r="CB77" s="594"/>
      <c r="CC77" s="594"/>
      <c r="CD77" s="594"/>
      <c r="CE77" s="594"/>
      <c r="CF77" s="594"/>
      <c r="CG77" s="594"/>
      <c r="CH77" s="594"/>
      <c r="CI77" s="595"/>
      <c r="CK77" s="1293"/>
    </row>
    <row r="78" spans="1:89" s="1292" customFormat="1" x14ac:dyDescent="0.2">
      <c r="A78" s="1284"/>
      <c r="B78" s="543" t="s">
        <v>569</v>
      </c>
      <c r="C78" s="546" t="s">
        <v>570</v>
      </c>
      <c r="D78" s="537" t="s">
        <v>86</v>
      </c>
      <c r="E78" s="612" t="s">
        <v>344</v>
      </c>
      <c r="F78" s="613">
        <v>2</v>
      </c>
      <c r="G78" s="597"/>
      <c r="H78" s="597"/>
      <c r="I78" s="597">
        <v>0</v>
      </c>
      <c r="J78" s="597">
        <v>0</v>
      </c>
      <c r="K78" s="597">
        <v>0</v>
      </c>
      <c r="L78" s="597">
        <v>0</v>
      </c>
      <c r="M78" s="598">
        <v>0</v>
      </c>
      <c r="N78" s="598">
        <v>0</v>
      </c>
      <c r="O78" s="598">
        <v>0</v>
      </c>
      <c r="P78" s="598">
        <v>0</v>
      </c>
      <c r="Q78" s="598">
        <v>0</v>
      </c>
      <c r="R78" s="598">
        <v>0</v>
      </c>
      <c r="S78" s="598">
        <v>0</v>
      </c>
      <c r="T78" s="598">
        <v>0</v>
      </c>
      <c r="U78" s="598">
        <v>0</v>
      </c>
      <c r="V78" s="598">
        <v>0</v>
      </c>
      <c r="W78" s="598">
        <v>0</v>
      </c>
      <c r="X78" s="598">
        <v>0</v>
      </c>
      <c r="Y78" s="598">
        <v>0</v>
      </c>
      <c r="Z78" s="598">
        <v>0</v>
      </c>
      <c r="AA78" s="598">
        <v>0</v>
      </c>
      <c r="AB78" s="598">
        <v>0</v>
      </c>
      <c r="AC78" s="598">
        <v>0</v>
      </c>
      <c r="AD78" s="598">
        <v>0</v>
      </c>
      <c r="AE78" s="598">
        <v>0</v>
      </c>
      <c r="AF78" s="598">
        <v>0</v>
      </c>
      <c r="AG78" s="598">
        <v>0</v>
      </c>
      <c r="AH78" s="598">
        <v>0</v>
      </c>
      <c r="AI78" s="598">
        <v>0</v>
      </c>
      <c r="AJ78" s="598">
        <v>0</v>
      </c>
      <c r="AK78" s="598">
        <v>0</v>
      </c>
      <c r="AL78" s="598"/>
      <c r="AM78" s="598"/>
      <c r="AN78" s="598"/>
      <c r="AO78" s="598"/>
      <c r="AP78" s="598"/>
      <c r="AQ78" s="598"/>
      <c r="AR78" s="598"/>
      <c r="AS78" s="598"/>
      <c r="AT78" s="598"/>
      <c r="AU78" s="598"/>
      <c r="AV78" s="598"/>
      <c r="AW78" s="598"/>
      <c r="AX78" s="598"/>
      <c r="AY78" s="598"/>
      <c r="AZ78" s="598"/>
      <c r="BA78" s="598"/>
      <c r="BB78" s="598"/>
      <c r="BC78" s="598"/>
      <c r="BD78" s="598"/>
      <c r="BE78" s="598"/>
      <c r="BF78" s="598"/>
      <c r="BG78" s="598"/>
      <c r="BH78" s="598"/>
      <c r="BI78" s="598"/>
      <c r="BJ78" s="598"/>
      <c r="BK78" s="598"/>
      <c r="BL78" s="598"/>
      <c r="BM78" s="598"/>
      <c r="BN78" s="598"/>
      <c r="BO78" s="598"/>
      <c r="BP78" s="598"/>
      <c r="BQ78" s="598"/>
      <c r="BR78" s="598"/>
      <c r="BS78" s="598"/>
      <c r="BT78" s="598"/>
      <c r="BU78" s="598"/>
      <c r="BV78" s="598"/>
      <c r="BW78" s="598"/>
      <c r="BX78" s="598"/>
      <c r="BY78" s="598"/>
      <c r="BZ78" s="598"/>
      <c r="CA78" s="598"/>
      <c r="CB78" s="598"/>
      <c r="CC78" s="598"/>
      <c r="CD78" s="598"/>
      <c r="CE78" s="598"/>
      <c r="CF78" s="598"/>
      <c r="CG78" s="598"/>
      <c r="CH78" s="598"/>
      <c r="CI78" s="599"/>
      <c r="CK78" s="1293"/>
    </row>
    <row r="79" spans="1:89" s="1292" customFormat="1" x14ac:dyDescent="0.2">
      <c r="A79" s="1284"/>
      <c r="B79" s="535" t="s">
        <v>571</v>
      </c>
      <c r="C79" s="614" t="s">
        <v>572</v>
      </c>
      <c r="D79" s="537" t="s">
        <v>86</v>
      </c>
      <c r="E79" s="612" t="s">
        <v>344</v>
      </c>
      <c r="F79" s="613">
        <v>2</v>
      </c>
      <c r="G79" s="597"/>
      <c r="H79" s="597"/>
      <c r="I79" s="597">
        <v>25.073009140228393</v>
      </c>
      <c r="J79" s="597">
        <v>25.485286373423534</v>
      </c>
      <c r="K79" s="597">
        <v>25.926209882222736</v>
      </c>
      <c r="L79" s="597">
        <v>26.23707778703092</v>
      </c>
      <c r="M79" s="598">
        <v>27.125377258642157</v>
      </c>
      <c r="N79" s="598">
        <v>28.336643237814876</v>
      </c>
      <c r="O79" s="598">
        <v>28.919212924292786</v>
      </c>
      <c r="P79" s="598">
        <v>29.309293862491952</v>
      </c>
      <c r="Q79" s="598">
        <v>29.649559608636345</v>
      </c>
      <c r="R79" s="598">
        <v>29.892941783392626</v>
      </c>
      <c r="S79" s="598">
        <v>30.050850604180912</v>
      </c>
      <c r="T79" s="598">
        <v>30.217791873712589</v>
      </c>
      <c r="U79" s="598">
        <v>30.37586300903893</v>
      </c>
      <c r="V79" s="598">
        <v>30.533298471847189</v>
      </c>
      <c r="W79" s="598">
        <v>30.700200998091059</v>
      </c>
      <c r="X79" s="598">
        <v>30.862243859743387</v>
      </c>
      <c r="Y79" s="598">
        <v>31.03548444787754</v>
      </c>
      <c r="Z79" s="598">
        <v>31.2150760718669</v>
      </c>
      <c r="AA79" s="598">
        <v>31.379382112702157</v>
      </c>
      <c r="AB79" s="598">
        <v>31.532874508780278</v>
      </c>
      <c r="AC79" s="598">
        <v>31.695430881543476</v>
      </c>
      <c r="AD79" s="598">
        <v>31.861859656730971</v>
      </c>
      <c r="AE79" s="598">
        <v>32.03577290693886</v>
      </c>
      <c r="AF79" s="598">
        <v>32.21403570117792</v>
      </c>
      <c r="AG79" s="598">
        <v>32.39104496029158</v>
      </c>
      <c r="AH79" s="598">
        <v>32.568266677539143</v>
      </c>
      <c r="AI79" s="598">
        <v>32.75381100135143</v>
      </c>
      <c r="AJ79" s="598">
        <v>32.948304551048068</v>
      </c>
      <c r="AK79" s="598">
        <v>33.14763843183151</v>
      </c>
      <c r="AL79" s="598"/>
      <c r="AM79" s="598"/>
      <c r="AN79" s="598"/>
      <c r="AO79" s="598"/>
      <c r="AP79" s="598"/>
      <c r="AQ79" s="598"/>
      <c r="AR79" s="598"/>
      <c r="AS79" s="598"/>
      <c r="AT79" s="598"/>
      <c r="AU79" s="598"/>
      <c r="AV79" s="598"/>
      <c r="AW79" s="598"/>
      <c r="AX79" s="598"/>
      <c r="AY79" s="598"/>
      <c r="AZ79" s="598"/>
      <c r="BA79" s="598"/>
      <c r="BB79" s="598"/>
      <c r="BC79" s="598"/>
      <c r="BD79" s="598"/>
      <c r="BE79" s="598"/>
      <c r="BF79" s="598"/>
      <c r="BG79" s="598"/>
      <c r="BH79" s="598"/>
      <c r="BI79" s="598"/>
      <c r="BJ79" s="598"/>
      <c r="BK79" s="598"/>
      <c r="BL79" s="598"/>
      <c r="BM79" s="598"/>
      <c r="BN79" s="598"/>
      <c r="BO79" s="598"/>
      <c r="BP79" s="598"/>
      <c r="BQ79" s="598"/>
      <c r="BR79" s="598"/>
      <c r="BS79" s="598"/>
      <c r="BT79" s="598"/>
      <c r="BU79" s="598"/>
      <c r="BV79" s="598"/>
      <c r="BW79" s="598"/>
      <c r="BX79" s="598"/>
      <c r="BY79" s="598"/>
      <c r="BZ79" s="598"/>
      <c r="CA79" s="598"/>
      <c r="CB79" s="598"/>
      <c r="CC79" s="598"/>
      <c r="CD79" s="598"/>
      <c r="CE79" s="598"/>
      <c r="CF79" s="598"/>
      <c r="CG79" s="598"/>
      <c r="CH79" s="598"/>
      <c r="CI79" s="599"/>
      <c r="CK79" s="1293"/>
    </row>
    <row r="80" spans="1:89" s="1292" customFormat="1" x14ac:dyDescent="0.2">
      <c r="A80" s="1284"/>
      <c r="B80" s="535" t="s">
        <v>573</v>
      </c>
      <c r="C80" s="614" t="s">
        <v>574</v>
      </c>
      <c r="D80" s="537" t="s">
        <v>86</v>
      </c>
      <c r="E80" s="612" t="s">
        <v>344</v>
      </c>
      <c r="F80" s="613">
        <v>2</v>
      </c>
      <c r="G80" s="597"/>
      <c r="H80" s="597"/>
      <c r="I80" s="597">
        <v>10.705554645177358</v>
      </c>
      <c r="J80" s="597">
        <v>10.548472359038122</v>
      </c>
      <c r="K80" s="597">
        <v>10.373950670200323</v>
      </c>
      <c r="L80" s="597">
        <v>10.126142073820025</v>
      </c>
      <c r="M80" s="598">
        <v>9.2720344428746166</v>
      </c>
      <c r="N80" s="598">
        <v>8.4641178051952028</v>
      </c>
      <c r="O80" s="598">
        <v>8.236678398689433</v>
      </c>
      <c r="P80" s="598">
        <v>8.008381138488625</v>
      </c>
      <c r="Q80" s="598">
        <v>7.7792485646278777</v>
      </c>
      <c r="R80" s="598">
        <v>7.650045272873899</v>
      </c>
      <c r="S80" s="598">
        <v>7.6209895656710351</v>
      </c>
      <c r="T80" s="598">
        <v>7.5915966470329588</v>
      </c>
      <c r="U80" s="598">
        <v>7.5619397557055228</v>
      </c>
      <c r="V80" s="598">
        <v>7.532002313831315</v>
      </c>
      <c r="W80" s="598">
        <v>7.5018229060049064</v>
      </c>
      <c r="X80" s="598">
        <v>7.4714919899724785</v>
      </c>
      <c r="Y80" s="598">
        <v>7.4410012839595225</v>
      </c>
      <c r="Z80" s="598">
        <v>7.4104154455488223</v>
      </c>
      <c r="AA80" s="598">
        <v>7.3797976732038792</v>
      </c>
      <c r="AB80" s="598">
        <v>7.3491100704374297</v>
      </c>
      <c r="AC80" s="598">
        <v>7.3183296402241762</v>
      </c>
      <c r="AD80" s="598">
        <v>7.2875627601821824</v>
      </c>
      <c r="AE80" s="598">
        <v>7.2568506708347869</v>
      </c>
      <c r="AF80" s="598">
        <v>7.2262254232981276</v>
      </c>
      <c r="AG80" s="598">
        <v>7.1957154140578412</v>
      </c>
      <c r="AH80" s="598">
        <v>7.165328047555775</v>
      </c>
      <c r="AI80" s="598">
        <v>7.1350795805527927</v>
      </c>
      <c r="AJ80" s="598">
        <v>7.1050207993403038</v>
      </c>
      <c r="AK80" s="598">
        <v>7.0752033421637632</v>
      </c>
      <c r="AL80" s="598"/>
      <c r="AM80" s="598"/>
      <c r="AN80" s="598"/>
      <c r="AO80" s="598"/>
      <c r="AP80" s="598"/>
      <c r="AQ80" s="598"/>
      <c r="AR80" s="598"/>
      <c r="AS80" s="598"/>
      <c r="AT80" s="598"/>
      <c r="AU80" s="598"/>
      <c r="AV80" s="598"/>
      <c r="AW80" s="598"/>
      <c r="AX80" s="598"/>
      <c r="AY80" s="598"/>
      <c r="AZ80" s="598"/>
      <c r="BA80" s="598"/>
      <c r="BB80" s="598"/>
      <c r="BC80" s="598"/>
      <c r="BD80" s="598"/>
      <c r="BE80" s="598"/>
      <c r="BF80" s="598"/>
      <c r="BG80" s="598"/>
      <c r="BH80" s="598"/>
      <c r="BI80" s="598"/>
      <c r="BJ80" s="598"/>
      <c r="BK80" s="598"/>
      <c r="BL80" s="598"/>
      <c r="BM80" s="598"/>
      <c r="BN80" s="598"/>
      <c r="BO80" s="598"/>
      <c r="BP80" s="598"/>
      <c r="BQ80" s="598"/>
      <c r="BR80" s="598"/>
      <c r="BS80" s="598"/>
      <c r="BT80" s="598"/>
      <c r="BU80" s="598"/>
      <c r="BV80" s="598"/>
      <c r="BW80" s="598"/>
      <c r="BX80" s="598"/>
      <c r="BY80" s="598"/>
      <c r="BZ80" s="598"/>
      <c r="CA80" s="598"/>
      <c r="CB80" s="598"/>
      <c r="CC80" s="598"/>
      <c r="CD80" s="598"/>
      <c r="CE80" s="598"/>
      <c r="CF80" s="598"/>
      <c r="CG80" s="598"/>
      <c r="CH80" s="598"/>
      <c r="CI80" s="599"/>
      <c r="CK80" s="1293"/>
    </row>
    <row r="81" spans="1:89" s="1292" customFormat="1" x14ac:dyDescent="0.2">
      <c r="A81" s="1284"/>
      <c r="B81" s="615" t="s">
        <v>575</v>
      </c>
      <c r="C81" s="614" t="s">
        <v>576</v>
      </c>
      <c r="D81" s="616" t="s">
        <v>577</v>
      </c>
      <c r="E81" s="612" t="s">
        <v>344</v>
      </c>
      <c r="F81" s="613">
        <v>2</v>
      </c>
      <c r="G81" s="547">
        <f>SUM(G77:G80)</f>
        <v>0</v>
      </c>
      <c r="H81" s="547">
        <f t="shared" ref="H81:AK81" si="12">SUM(H77:H80)</f>
        <v>0</v>
      </c>
      <c r="I81" s="547">
        <f t="shared" si="12"/>
        <v>36.528610885405755</v>
      </c>
      <c r="J81" s="547">
        <f t="shared" si="12"/>
        <v>36.798611777644012</v>
      </c>
      <c r="K81" s="547">
        <f t="shared" si="12"/>
        <v>37.079294015204674</v>
      </c>
      <c r="L81" s="547">
        <f t="shared" si="12"/>
        <v>37.157245637019372</v>
      </c>
      <c r="M81" s="552">
        <f t="shared" si="12"/>
        <v>37.202725250255256</v>
      </c>
      <c r="N81" s="552">
        <f t="shared" si="12"/>
        <v>37.620693836364474</v>
      </c>
      <c r="O81" s="552">
        <f t="shared" si="12"/>
        <v>37.993257615714121</v>
      </c>
      <c r="P81" s="552">
        <f t="shared" si="12"/>
        <v>38.171260801660239</v>
      </c>
      <c r="Q81" s="552">
        <f t="shared" si="12"/>
        <v>38.298605998733656</v>
      </c>
      <c r="R81" s="552">
        <f t="shared" si="12"/>
        <v>38.427212814626465</v>
      </c>
      <c r="S81" s="552">
        <f t="shared" si="12"/>
        <v>38.578428452059569</v>
      </c>
      <c r="T81" s="552">
        <f t="shared" si="12"/>
        <v>38.737858969929903</v>
      </c>
      <c r="U81" s="552">
        <f t="shared" si="12"/>
        <v>38.883087780251401</v>
      </c>
      <c r="V81" s="552">
        <f t="shared" si="12"/>
        <v>39.024930777396143</v>
      </c>
      <c r="W81" s="552">
        <f t="shared" si="12"/>
        <v>39.173697405806429</v>
      </c>
      <c r="X81" s="552">
        <f t="shared" si="12"/>
        <v>39.317336719831765</v>
      </c>
      <c r="Y81" s="552">
        <f t="shared" si="12"/>
        <v>39.471418702083923</v>
      </c>
      <c r="Z81" s="552">
        <f t="shared" si="12"/>
        <v>39.632274611877094</v>
      </c>
      <c r="AA81" s="552">
        <f t="shared" si="12"/>
        <v>39.77699437012334</v>
      </c>
      <c r="AB81" s="552">
        <f t="shared" si="12"/>
        <v>39.911737328530762</v>
      </c>
      <c r="AC81" s="552">
        <f t="shared" si="12"/>
        <v>40.056357713463214</v>
      </c>
      <c r="AD81" s="552">
        <f t="shared" si="12"/>
        <v>40.206531283680256</v>
      </c>
      <c r="AE81" s="552">
        <f t="shared" si="12"/>
        <v>40.365499424401769</v>
      </c>
      <c r="AF81" s="552">
        <f t="shared" si="12"/>
        <v>40.529992274851224</v>
      </c>
      <c r="AG81" s="552">
        <f t="shared" si="12"/>
        <v>40.694834905955055</v>
      </c>
      <c r="AH81" s="552">
        <f t="shared" si="12"/>
        <v>40.860369102161982</v>
      </c>
      <c r="AI81" s="552">
        <f t="shared" si="12"/>
        <v>41.033980428725414</v>
      </c>
      <c r="AJ81" s="552">
        <f t="shared" si="12"/>
        <v>41.216846149701865</v>
      </c>
      <c r="AK81" s="552">
        <f t="shared" si="12"/>
        <v>41.40473076015062</v>
      </c>
      <c r="AL81" s="552"/>
      <c r="AM81" s="552"/>
      <c r="AN81" s="552"/>
      <c r="AO81" s="552"/>
      <c r="AP81" s="552"/>
      <c r="AQ81" s="552"/>
      <c r="AR81" s="552"/>
      <c r="AS81" s="552"/>
      <c r="AT81" s="552"/>
      <c r="AU81" s="552"/>
      <c r="AV81" s="552"/>
      <c r="AW81" s="552"/>
      <c r="AX81" s="552"/>
      <c r="AY81" s="552"/>
      <c r="AZ81" s="552"/>
      <c r="BA81" s="552"/>
      <c r="BB81" s="552"/>
      <c r="BC81" s="552"/>
      <c r="BD81" s="552"/>
      <c r="BE81" s="552"/>
      <c r="BF81" s="552"/>
      <c r="BG81" s="552"/>
      <c r="BH81" s="552"/>
      <c r="BI81" s="552"/>
      <c r="BJ81" s="552"/>
      <c r="BK81" s="552"/>
      <c r="BL81" s="552"/>
      <c r="BM81" s="552"/>
      <c r="BN81" s="552"/>
      <c r="BO81" s="552"/>
      <c r="BP81" s="552"/>
      <c r="BQ81" s="552"/>
      <c r="BR81" s="552"/>
      <c r="BS81" s="552"/>
      <c r="BT81" s="552"/>
      <c r="BU81" s="552"/>
      <c r="BV81" s="552"/>
      <c r="BW81" s="552"/>
      <c r="BX81" s="552"/>
      <c r="BY81" s="552"/>
      <c r="BZ81" s="552"/>
      <c r="CA81" s="552"/>
      <c r="CB81" s="552"/>
      <c r="CC81" s="552"/>
      <c r="CD81" s="552"/>
      <c r="CE81" s="552"/>
      <c r="CF81" s="552"/>
      <c r="CG81" s="552"/>
      <c r="CH81" s="552"/>
      <c r="CI81" s="548"/>
      <c r="CK81" s="1293"/>
    </row>
    <row r="82" spans="1:89" s="1292" customFormat="1" ht="28.5" x14ac:dyDescent="0.2">
      <c r="A82" s="1284"/>
      <c r="B82" s="615" t="s">
        <v>578</v>
      </c>
      <c r="C82" s="614" t="s">
        <v>579</v>
      </c>
      <c r="D82" s="616" t="s">
        <v>580</v>
      </c>
      <c r="E82" s="612" t="s">
        <v>581</v>
      </c>
      <c r="F82" s="613">
        <v>1</v>
      </c>
      <c r="G82" s="575" t="e">
        <f>(G80+G79)/(G66+G74)</f>
        <v>#DIV/0!</v>
      </c>
      <c r="H82" s="575" t="e">
        <f t="shared" ref="H82:AK82" si="13">(H80+H79)/(H66+H74)</f>
        <v>#DIV/0!</v>
      </c>
      <c r="I82" s="575">
        <f t="shared" si="13"/>
        <v>2.068125074300911</v>
      </c>
      <c r="J82" s="575">
        <f t="shared" si="13"/>
        <v>2.0553217660215464</v>
      </c>
      <c r="K82" s="575">
        <f t="shared" si="13"/>
        <v>2.0472127247824869</v>
      </c>
      <c r="L82" s="575">
        <f t="shared" si="13"/>
        <v>2.0303631587223658</v>
      </c>
      <c r="M82" s="575">
        <f t="shared" si="13"/>
        <v>2.0153241475084505</v>
      </c>
      <c r="N82" s="575">
        <f t="shared" si="13"/>
        <v>2.0073202658416256</v>
      </c>
      <c r="O82" s="575">
        <f t="shared" si="13"/>
        <v>1.9993535414852481</v>
      </c>
      <c r="P82" s="575">
        <f t="shared" si="13"/>
        <v>1.9905461194518186</v>
      </c>
      <c r="Q82" s="575">
        <f t="shared" si="13"/>
        <v>1.982015020296831</v>
      </c>
      <c r="R82" s="575">
        <f t="shared" si="13"/>
        <v>1.9740115048971862</v>
      </c>
      <c r="S82" s="575">
        <f t="shared" si="13"/>
        <v>1.9673869227358205</v>
      </c>
      <c r="T82" s="575">
        <f t="shared" si="13"/>
        <v>1.9614372471432475</v>
      </c>
      <c r="U82" s="575">
        <f t="shared" si="13"/>
        <v>1.9551782629872863</v>
      </c>
      <c r="V82" s="575">
        <f t="shared" si="13"/>
        <v>1.9489996881848164</v>
      </c>
      <c r="W82" s="575">
        <f t="shared" si="13"/>
        <v>1.9434589366043333</v>
      </c>
      <c r="X82" s="575">
        <f t="shared" si="13"/>
        <v>1.9377419866493433</v>
      </c>
      <c r="Y82" s="575">
        <f t="shared" si="13"/>
        <v>1.9328025111224802</v>
      </c>
      <c r="Z82" s="575">
        <f t="shared" si="13"/>
        <v>1.9285950019980271</v>
      </c>
      <c r="AA82" s="575">
        <f t="shared" si="13"/>
        <v>1.9238130181546891</v>
      </c>
      <c r="AB82" s="575">
        <f t="shared" si="13"/>
        <v>1.9187172656665554</v>
      </c>
      <c r="AC82" s="575">
        <f t="shared" si="13"/>
        <v>1.9143893540502253</v>
      </c>
      <c r="AD82" s="575">
        <f t="shared" si="13"/>
        <v>1.9105372469285857</v>
      </c>
      <c r="AE82" s="575">
        <f t="shared" si="13"/>
        <v>1.9071089317737706</v>
      </c>
      <c r="AF82" s="575">
        <f t="shared" si="13"/>
        <v>1.9040488656801493</v>
      </c>
      <c r="AG82" s="575">
        <f t="shared" si="13"/>
        <v>1.9010939205101116</v>
      </c>
      <c r="AH82" s="575">
        <f t="shared" si="13"/>
        <v>1.8983855321387564</v>
      </c>
      <c r="AI82" s="575">
        <f t="shared" si="13"/>
        <v>1.8963903089170362</v>
      </c>
      <c r="AJ82" s="575">
        <f t="shared" si="13"/>
        <v>1.8951112724757224</v>
      </c>
      <c r="AK82" s="575">
        <f t="shared" si="13"/>
        <v>1.8942827302200875</v>
      </c>
      <c r="AL82" s="575"/>
      <c r="AM82" s="575"/>
      <c r="AN82" s="575"/>
      <c r="AO82" s="575"/>
      <c r="AP82" s="575"/>
      <c r="AQ82" s="575"/>
      <c r="AR82" s="575"/>
      <c r="AS82" s="575"/>
      <c r="AT82" s="575"/>
      <c r="AU82" s="575"/>
      <c r="AV82" s="575"/>
      <c r="AW82" s="575"/>
      <c r="AX82" s="575"/>
      <c r="AY82" s="575"/>
      <c r="AZ82" s="575"/>
      <c r="BA82" s="575"/>
      <c r="BB82" s="575"/>
      <c r="BC82" s="575"/>
      <c r="BD82" s="575"/>
      <c r="BE82" s="575"/>
      <c r="BF82" s="575"/>
      <c r="BG82" s="575"/>
      <c r="BH82" s="575"/>
      <c r="BI82" s="575"/>
      <c r="BJ82" s="575"/>
      <c r="BK82" s="575"/>
      <c r="BL82" s="575"/>
      <c r="BM82" s="575"/>
      <c r="BN82" s="575"/>
      <c r="BO82" s="575"/>
      <c r="BP82" s="575"/>
      <c r="BQ82" s="575"/>
      <c r="BR82" s="575"/>
      <c r="BS82" s="575"/>
      <c r="BT82" s="575"/>
      <c r="BU82" s="575"/>
      <c r="BV82" s="575"/>
      <c r="BW82" s="575"/>
      <c r="BX82" s="575"/>
      <c r="BY82" s="575"/>
      <c r="BZ82" s="575"/>
      <c r="CA82" s="575"/>
      <c r="CB82" s="575"/>
      <c r="CC82" s="575"/>
      <c r="CD82" s="575"/>
      <c r="CE82" s="575"/>
      <c r="CF82" s="575"/>
      <c r="CG82" s="575"/>
      <c r="CH82" s="575"/>
      <c r="CI82" s="575"/>
      <c r="CK82" s="1293"/>
    </row>
    <row r="83" spans="1:89" s="1292" customFormat="1" ht="28.5" x14ac:dyDescent="0.2">
      <c r="A83" s="1284"/>
      <c r="B83" s="615" t="s">
        <v>582</v>
      </c>
      <c r="C83" s="614" t="s">
        <v>583</v>
      </c>
      <c r="D83" s="616" t="s">
        <v>584</v>
      </c>
      <c r="E83" s="612" t="s">
        <v>375</v>
      </c>
      <c r="F83" s="613">
        <v>1</v>
      </c>
      <c r="G83" s="617" t="e">
        <f>G66/(G66+G74)</f>
        <v>#DIV/0!</v>
      </c>
      <c r="H83" s="617" t="e">
        <f t="shared" ref="H83:AK83" si="14">H66/(H66+H74)</f>
        <v>#DIV/0!</v>
      </c>
      <c r="I83" s="617">
        <f t="shared" si="14"/>
        <v>0.70410404624277467</v>
      </c>
      <c r="J83" s="617">
        <f t="shared" si="14"/>
        <v>0.71267282631263917</v>
      </c>
      <c r="K83" s="617">
        <f t="shared" si="14"/>
        <v>0.72095153362264208</v>
      </c>
      <c r="L83" s="617">
        <f t="shared" si="14"/>
        <v>0.73076497308714938</v>
      </c>
      <c r="M83" s="618">
        <f t="shared" si="14"/>
        <v>0.75694157009277441</v>
      </c>
      <c r="N83" s="618">
        <f t="shared" si="14"/>
        <v>0.7827664224998484</v>
      </c>
      <c r="O83" s="618">
        <f t="shared" si="14"/>
        <v>0.7916933404805736</v>
      </c>
      <c r="P83" s="618">
        <f t="shared" si="14"/>
        <v>0.79945446474807158</v>
      </c>
      <c r="Q83" s="618">
        <f t="shared" si="14"/>
        <v>0.80680822846992406</v>
      </c>
      <c r="R83" s="618">
        <f t="shared" si="14"/>
        <v>0.81135217323622033</v>
      </c>
      <c r="S83" s="618">
        <f t="shared" si="14"/>
        <v>0.81312261271495534</v>
      </c>
      <c r="T83" s="618">
        <f t="shared" si="14"/>
        <v>0.81485653298408922</v>
      </c>
      <c r="U83" s="618">
        <f t="shared" si="14"/>
        <v>0.81655977315021411</v>
      </c>
      <c r="V83" s="618">
        <f t="shared" si="14"/>
        <v>0.81823653573795641</v>
      </c>
      <c r="W83" s="618">
        <f t="shared" si="14"/>
        <v>0.81988341989850066</v>
      </c>
      <c r="X83" s="618">
        <f t="shared" si="14"/>
        <v>0.82150872011924758</v>
      </c>
      <c r="Y83" s="618">
        <f t="shared" si="14"/>
        <v>0.82309966028719683</v>
      </c>
      <c r="Z83" s="618">
        <f t="shared" si="14"/>
        <v>0.82463825841464755</v>
      </c>
      <c r="AA83" s="618">
        <f t="shared" si="14"/>
        <v>0.8261461922822193</v>
      </c>
      <c r="AB83" s="618">
        <f t="shared" si="14"/>
        <v>0.82762137641193356</v>
      </c>
      <c r="AC83" s="618">
        <f t="shared" si="14"/>
        <v>0.82900804292355212</v>
      </c>
      <c r="AD83" s="618">
        <f t="shared" si="14"/>
        <v>0.83035808285727675</v>
      </c>
      <c r="AE83" s="618">
        <f t="shared" si="14"/>
        <v>0.83169202464456038</v>
      </c>
      <c r="AF83" s="618">
        <f t="shared" si="14"/>
        <v>0.8330012864589269</v>
      </c>
      <c r="AG83" s="618">
        <f t="shared" si="14"/>
        <v>0.83428554152581014</v>
      </c>
      <c r="AH83" s="618">
        <f t="shared" si="14"/>
        <v>0.83553908970133062</v>
      </c>
      <c r="AI83" s="618">
        <f t="shared" si="14"/>
        <v>0.83675548544904066</v>
      </c>
      <c r="AJ83" s="618">
        <f t="shared" si="14"/>
        <v>0.83793732639602725</v>
      </c>
      <c r="AK83" s="618">
        <f t="shared" si="14"/>
        <v>0.83909102230192967</v>
      </c>
      <c r="AL83" s="618"/>
      <c r="AM83" s="618"/>
      <c r="AN83" s="618"/>
      <c r="AO83" s="618"/>
      <c r="AP83" s="618"/>
      <c r="AQ83" s="618"/>
      <c r="AR83" s="618"/>
      <c r="AS83" s="618"/>
      <c r="AT83" s="618"/>
      <c r="AU83" s="618"/>
      <c r="AV83" s="618"/>
      <c r="AW83" s="618"/>
      <c r="AX83" s="618"/>
      <c r="AY83" s="618"/>
      <c r="AZ83" s="618"/>
      <c r="BA83" s="618"/>
      <c r="BB83" s="618"/>
      <c r="BC83" s="618"/>
      <c r="BD83" s="618"/>
      <c r="BE83" s="618"/>
      <c r="BF83" s="618"/>
      <c r="BG83" s="618"/>
      <c r="BH83" s="618"/>
      <c r="BI83" s="618"/>
      <c r="BJ83" s="618"/>
      <c r="BK83" s="618"/>
      <c r="BL83" s="618"/>
      <c r="BM83" s="618"/>
      <c r="BN83" s="618"/>
      <c r="BO83" s="618"/>
      <c r="BP83" s="618"/>
      <c r="BQ83" s="618"/>
      <c r="BR83" s="618"/>
      <c r="BS83" s="618"/>
      <c r="BT83" s="618"/>
      <c r="BU83" s="618"/>
      <c r="BV83" s="618"/>
      <c r="BW83" s="618"/>
      <c r="BX83" s="618"/>
      <c r="BY83" s="618"/>
      <c r="BZ83" s="618"/>
      <c r="CA83" s="618"/>
      <c r="CB83" s="618"/>
      <c r="CC83" s="618"/>
      <c r="CD83" s="618"/>
      <c r="CE83" s="618"/>
      <c r="CF83" s="618"/>
      <c r="CG83" s="618"/>
      <c r="CH83" s="618"/>
      <c r="CI83" s="619"/>
      <c r="CK83" s="1293"/>
    </row>
    <row r="84" spans="1:89" s="1292" customFormat="1" ht="29.25" thickBot="1" x14ac:dyDescent="0.25">
      <c r="A84" s="1284"/>
      <c r="B84" s="620" t="s">
        <v>585</v>
      </c>
      <c r="C84" s="621" t="s">
        <v>586</v>
      </c>
      <c r="D84" s="622" t="s">
        <v>587</v>
      </c>
      <c r="E84" s="623" t="s">
        <v>375</v>
      </c>
      <c r="F84" s="624">
        <v>1</v>
      </c>
      <c r="G84" s="625" t="e">
        <f>(G66)/(G66+G75+G74+G73)</f>
        <v>#DIV/0!</v>
      </c>
      <c r="H84" s="625" t="e">
        <f t="shared" ref="H84:AK84" si="15">(H66)/(H66+H75+H74+H73)</f>
        <v>#DIV/0!</v>
      </c>
      <c r="I84" s="625">
        <f t="shared" si="15"/>
        <v>0.68156893464637414</v>
      </c>
      <c r="J84" s="625">
        <f t="shared" si="15"/>
        <v>0.68985160674378743</v>
      </c>
      <c r="K84" s="625">
        <f t="shared" si="15"/>
        <v>0.69786606704622556</v>
      </c>
      <c r="L84" s="625">
        <f t="shared" si="15"/>
        <v>0.70736629798540096</v>
      </c>
      <c r="M84" s="625">
        <f t="shared" si="15"/>
        <v>0.73270757006975651</v>
      </c>
      <c r="N84" s="625">
        <f t="shared" si="15"/>
        <v>0.75770851427217989</v>
      </c>
      <c r="O84" s="625">
        <f t="shared" si="15"/>
        <v>0.76635067497556475</v>
      </c>
      <c r="P84" s="625">
        <f t="shared" si="15"/>
        <v>0.77386424782739471</v>
      </c>
      <c r="Q84" s="625">
        <f t="shared" si="15"/>
        <v>0.78098346934570217</v>
      </c>
      <c r="R84" s="625">
        <f t="shared" si="15"/>
        <v>0.78538249649242742</v>
      </c>
      <c r="S84" s="625">
        <f t="shared" si="15"/>
        <v>0.78709647388377135</v>
      </c>
      <c r="T84" s="625">
        <f t="shared" si="15"/>
        <v>0.78877509758971509</v>
      </c>
      <c r="U84" s="625">
        <f t="shared" si="15"/>
        <v>0.79042402045145488</v>
      </c>
      <c r="V84" s="625">
        <f t="shared" si="15"/>
        <v>0.79204731093087644</v>
      </c>
      <c r="W84" s="625">
        <f t="shared" si="15"/>
        <v>0.79364167659200169</v>
      </c>
      <c r="X84" s="625">
        <f t="shared" si="15"/>
        <v>0.79521514737779253</v>
      </c>
      <c r="Y84" s="625">
        <f t="shared" si="15"/>
        <v>0.79675535455564617</v>
      </c>
      <c r="Z84" s="625">
        <f t="shared" si="15"/>
        <v>0.7982448895008184</v>
      </c>
      <c r="AA84" s="625">
        <f t="shared" si="15"/>
        <v>0.79970473867263636</v>
      </c>
      <c r="AB84" s="625">
        <f t="shared" si="15"/>
        <v>0.80113288305340202</v>
      </c>
      <c r="AC84" s="625">
        <f t="shared" si="15"/>
        <v>0.80247533297834273</v>
      </c>
      <c r="AD84" s="625">
        <f t="shared" si="15"/>
        <v>0.80378232476445222</v>
      </c>
      <c r="AE84" s="625">
        <f t="shared" si="15"/>
        <v>0.80507373223113599</v>
      </c>
      <c r="AF84" s="625">
        <f t="shared" si="15"/>
        <v>0.80634124717036337</v>
      </c>
      <c r="AG84" s="625">
        <f t="shared" si="15"/>
        <v>0.80758455319911882</v>
      </c>
      <c r="AH84" s="625">
        <f t="shared" si="15"/>
        <v>0.80879813189445171</v>
      </c>
      <c r="AI84" s="625">
        <f t="shared" si="15"/>
        <v>0.80997574319988874</v>
      </c>
      <c r="AJ84" s="625">
        <f t="shared" si="15"/>
        <v>0.81111990188042737</v>
      </c>
      <c r="AK84" s="625">
        <f t="shared" si="15"/>
        <v>0.81223681329262543</v>
      </c>
      <c r="AL84" s="625"/>
      <c r="AM84" s="625"/>
      <c r="AN84" s="625"/>
      <c r="AO84" s="625"/>
      <c r="AP84" s="625"/>
      <c r="AQ84" s="625"/>
      <c r="AR84" s="625"/>
      <c r="AS84" s="625"/>
      <c r="AT84" s="625"/>
      <c r="AU84" s="625"/>
      <c r="AV84" s="625"/>
      <c r="AW84" s="625"/>
      <c r="AX84" s="625"/>
      <c r="AY84" s="625"/>
      <c r="AZ84" s="625"/>
      <c r="BA84" s="625"/>
      <c r="BB84" s="625"/>
      <c r="BC84" s="625"/>
      <c r="BD84" s="625"/>
      <c r="BE84" s="625"/>
      <c r="BF84" s="625"/>
      <c r="BG84" s="625"/>
      <c r="BH84" s="625"/>
      <c r="BI84" s="625"/>
      <c r="BJ84" s="625"/>
      <c r="BK84" s="625"/>
      <c r="BL84" s="625"/>
      <c r="BM84" s="625"/>
      <c r="BN84" s="625"/>
      <c r="BO84" s="625"/>
      <c r="BP84" s="625"/>
      <c r="BQ84" s="625"/>
      <c r="BR84" s="625"/>
      <c r="BS84" s="625"/>
      <c r="BT84" s="625"/>
      <c r="BU84" s="625"/>
      <c r="BV84" s="625"/>
      <c r="BW84" s="625"/>
      <c r="BX84" s="625"/>
      <c r="BY84" s="625"/>
      <c r="BZ84" s="625"/>
      <c r="CA84" s="625"/>
      <c r="CB84" s="625"/>
      <c r="CC84" s="625"/>
      <c r="CD84" s="625"/>
      <c r="CE84" s="625"/>
      <c r="CF84" s="625"/>
      <c r="CG84" s="625"/>
      <c r="CH84" s="625"/>
      <c r="CI84" s="625"/>
      <c r="CK84" s="1293"/>
    </row>
    <row r="85" spans="1:89" s="1292" customFormat="1" ht="29.25" thickBot="1" x14ac:dyDescent="0.25">
      <c r="A85" s="1284"/>
      <c r="B85" s="626" t="s">
        <v>588</v>
      </c>
      <c r="C85" s="627" t="s">
        <v>245</v>
      </c>
      <c r="D85" s="627" t="s">
        <v>589</v>
      </c>
      <c r="E85" s="627" t="s">
        <v>236</v>
      </c>
      <c r="F85" s="628">
        <v>2</v>
      </c>
      <c r="G85" s="629">
        <f>SUM(G45:G47)+G43+G54+G59+G60+G53</f>
        <v>0</v>
      </c>
      <c r="H85" s="629">
        <f t="shared" ref="H85:AK85" si="16">SUM(H45:H47)+H43+H54+H59+H60+H53</f>
        <v>0</v>
      </c>
      <c r="I85" s="629">
        <f t="shared" si="16"/>
        <v>10.792888566747608</v>
      </c>
      <c r="J85" s="629">
        <f t="shared" si="16"/>
        <v>10.318167376177646</v>
      </c>
      <c r="K85" s="629">
        <f t="shared" si="16"/>
        <v>10.250924176918911</v>
      </c>
      <c r="L85" s="629">
        <f t="shared" si="16"/>
        <v>10.289546901221065</v>
      </c>
      <c r="M85" s="629">
        <f t="shared" si="16"/>
        <v>10.378134022780619</v>
      </c>
      <c r="N85" s="629">
        <f t="shared" si="16"/>
        <v>10.451118438416623</v>
      </c>
      <c r="O85" s="629">
        <f t="shared" si="16"/>
        <v>10.493754939006692</v>
      </c>
      <c r="P85" s="629">
        <f t="shared" si="16"/>
        <v>10.511848052753988</v>
      </c>
      <c r="Q85" s="629">
        <f t="shared" si="16"/>
        <v>10.509447346875962</v>
      </c>
      <c r="R85" s="629">
        <f>SUM(R45:R47)+R43+R54+R59+R60+R53</f>
        <v>10.519581517858917</v>
      </c>
      <c r="S85" s="629">
        <f t="shared" si="16"/>
        <v>10.537230590120275</v>
      </c>
      <c r="T85" s="629">
        <f t="shared" si="16"/>
        <v>12.846593116782341</v>
      </c>
      <c r="U85" s="629">
        <f t="shared" si="16"/>
        <v>12.864554714215544</v>
      </c>
      <c r="V85" s="629">
        <f t="shared" si="16"/>
        <v>12.883102325362431</v>
      </c>
      <c r="W85" s="629">
        <f t="shared" si="16"/>
        <v>12.902830975809119</v>
      </c>
      <c r="X85" s="629">
        <f t="shared" si="16"/>
        <v>12.923471323608515</v>
      </c>
      <c r="Y85" s="629">
        <f t="shared" si="16"/>
        <v>12.945924343054488</v>
      </c>
      <c r="Z85" s="629">
        <f t="shared" si="16"/>
        <v>12.970101463105967</v>
      </c>
      <c r="AA85" s="629">
        <f t="shared" si="16"/>
        <v>12.991381261815981</v>
      </c>
      <c r="AB85" s="629">
        <f t="shared" si="16"/>
        <v>13.005313774306098</v>
      </c>
      <c r="AC85" s="629">
        <f t="shared" si="16"/>
        <v>13.02604623729871</v>
      </c>
      <c r="AD85" s="629">
        <f t="shared" si="16"/>
        <v>13.048665628065084</v>
      </c>
      <c r="AE85" s="629">
        <f t="shared" si="16"/>
        <v>13.072235217662179</v>
      </c>
      <c r="AF85" s="629">
        <f t="shared" si="16"/>
        <v>13.096444743662596</v>
      </c>
      <c r="AG85" s="629">
        <f t="shared" si="16"/>
        <v>13.120158109291221</v>
      </c>
      <c r="AH85" s="629">
        <f t="shared" si="16"/>
        <v>13.145217048507494</v>
      </c>
      <c r="AI85" s="629">
        <f t="shared" si="16"/>
        <v>13.170723377257541</v>
      </c>
      <c r="AJ85" s="629">
        <f t="shared" si="16"/>
        <v>13.197235851604876</v>
      </c>
      <c r="AK85" s="629">
        <f t="shared" si="16"/>
        <v>13.223631605298392</v>
      </c>
      <c r="AL85" s="629"/>
      <c r="AM85" s="629"/>
      <c r="AN85" s="629"/>
      <c r="AO85" s="629"/>
      <c r="AP85" s="629"/>
      <c r="AQ85" s="629"/>
      <c r="AR85" s="629"/>
      <c r="AS85" s="629"/>
      <c r="AT85" s="629"/>
      <c r="AU85" s="629"/>
      <c r="AV85" s="629"/>
      <c r="AW85" s="629"/>
      <c r="AX85" s="629"/>
      <c r="AY85" s="629"/>
      <c r="AZ85" s="629"/>
      <c r="BA85" s="629"/>
      <c r="BB85" s="629"/>
      <c r="BC85" s="629"/>
      <c r="BD85" s="629"/>
      <c r="BE85" s="629"/>
      <c r="BF85" s="629"/>
      <c r="BG85" s="629"/>
      <c r="BH85" s="629"/>
      <c r="BI85" s="629"/>
      <c r="BJ85" s="629"/>
      <c r="BK85" s="629"/>
      <c r="BL85" s="629"/>
      <c r="BM85" s="629"/>
      <c r="BN85" s="629"/>
      <c r="BO85" s="629"/>
      <c r="BP85" s="629"/>
      <c r="BQ85" s="629"/>
      <c r="BR85" s="629"/>
      <c r="BS85" s="629"/>
      <c r="BT85" s="629"/>
      <c r="BU85" s="629"/>
      <c r="BV85" s="629"/>
      <c r="BW85" s="629"/>
      <c r="BX85" s="629"/>
      <c r="BY85" s="629"/>
      <c r="BZ85" s="629"/>
      <c r="CA85" s="629"/>
      <c r="CB85" s="629"/>
      <c r="CC85" s="629"/>
      <c r="CD85" s="629"/>
      <c r="CE85" s="629"/>
      <c r="CF85" s="629"/>
      <c r="CG85" s="629"/>
      <c r="CH85" s="629"/>
      <c r="CI85" s="629"/>
      <c r="CK85" s="1293"/>
    </row>
    <row r="86" spans="1:89" s="1292" customFormat="1" ht="28.5" x14ac:dyDescent="0.2">
      <c r="A86" s="1585"/>
      <c r="B86" s="630" t="s">
        <v>590</v>
      </c>
      <c r="C86" s="631" t="s">
        <v>591</v>
      </c>
      <c r="D86" s="529" t="s">
        <v>86</v>
      </c>
      <c r="E86" s="631" t="s">
        <v>236</v>
      </c>
      <c r="F86" s="632">
        <v>2</v>
      </c>
      <c r="G86" s="633"/>
      <c r="H86" s="540"/>
      <c r="I86" s="540">
        <v>-2.5621980229398322E-4</v>
      </c>
      <c r="J86" s="540">
        <v>1.2957579880463005E-2</v>
      </c>
      <c r="K86" s="540">
        <v>7.7046652245315039E-2</v>
      </c>
      <c r="L86" s="540">
        <v>7.5350069724654023E-2</v>
      </c>
      <c r="M86" s="1342">
        <v>7.1220037381026974E-2</v>
      </c>
      <c r="N86" s="1342">
        <v>7.0813814951724979E-2</v>
      </c>
      <c r="O86" s="1342">
        <v>6.8577822440766989E-2</v>
      </c>
      <c r="P86" s="1342">
        <v>6.9509417792482014E-2</v>
      </c>
      <c r="Q86" s="1342">
        <v>7.6423358018442994E-2</v>
      </c>
      <c r="R86" s="1342">
        <v>7.7584605353482994E-2</v>
      </c>
      <c r="S86" s="1342">
        <v>7.8860734876829014E-2</v>
      </c>
      <c r="T86" s="1342">
        <v>8.0850227135337016E-2</v>
      </c>
      <c r="U86" s="1342">
        <v>7.9937796750592011E-2</v>
      </c>
      <c r="V86" s="1342">
        <v>8.0077831469513E-2</v>
      </c>
      <c r="W86" s="1342">
        <v>8.3355404785068005E-2</v>
      </c>
      <c r="X86" s="1342">
        <v>8.3627701429942997E-2</v>
      </c>
      <c r="Y86" s="1342">
        <v>8.3793050383780016E-2</v>
      </c>
      <c r="Z86" s="1342">
        <v>8.5858173803529003E-2</v>
      </c>
      <c r="AA86" s="1342">
        <v>8.6185400554666974E-2</v>
      </c>
      <c r="AB86" s="1342">
        <v>8.653116489198899E-2</v>
      </c>
      <c r="AC86" s="1342">
        <v>8.9349192332313004E-2</v>
      </c>
      <c r="AD86" s="1342">
        <v>8.8170312475372006E-2</v>
      </c>
      <c r="AE86" s="1342">
        <v>8.8770594940629999E-2</v>
      </c>
      <c r="AF86" s="1342">
        <v>9.0334823407519999E-2</v>
      </c>
      <c r="AG86" s="1342">
        <v>9.2694397346722995E-2</v>
      </c>
      <c r="AH86" s="1342">
        <v>9.1327838071595002E-2</v>
      </c>
      <c r="AI86" s="1342">
        <v>9.4013856170086993E-2</v>
      </c>
      <c r="AJ86" s="1342">
        <v>9.4914810026821006E-2</v>
      </c>
      <c r="AK86" s="1342">
        <v>9.5748733740625994E-2</v>
      </c>
      <c r="AL86" s="1342"/>
      <c r="AM86" s="1342"/>
      <c r="AN86" s="1342"/>
      <c r="AO86" s="1342"/>
      <c r="AP86" s="1342"/>
      <c r="AQ86" s="1342"/>
      <c r="AR86" s="1342"/>
      <c r="AS86" s="1342"/>
      <c r="AT86" s="1342"/>
      <c r="AU86" s="1342"/>
      <c r="AV86" s="1342"/>
      <c r="AW86" s="1342"/>
      <c r="AX86" s="1342"/>
      <c r="AY86" s="1342"/>
      <c r="AZ86" s="1342"/>
      <c r="BA86" s="1342"/>
      <c r="BB86" s="1342"/>
      <c r="BC86" s="1342"/>
      <c r="BD86" s="1342"/>
      <c r="BE86" s="1342"/>
      <c r="BF86" s="1342"/>
      <c r="BG86" s="1342"/>
      <c r="BH86" s="1342"/>
      <c r="BI86" s="1342"/>
      <c r="BJ86" s="1342"/>
      <c r="BK86" s="1342"/>
      <c r="BL86" s="1342"/>
      <c r="BM86" s="1342"/>
      <c r="BN86" s="1342"/>
      <c r="BO86" s="1342"/>
      <c r="BP86" s="1342"/>
      <c r="BQ86" s="1342"/>
      <c r="BR86" s="1342"/>
      <c r="BS86" s="1342"/>
      <c r="BT86" s="1342"/>
      <c r="BU86" s="1342"/>
      <c r="BV86" s="1342"/>
      <c r="BW86" s="1342"/>
      <c r="BX86" s="1342"/>
      <c r="BY86" s="1342"/>
      <c r="BZ86" s="1342"/>
      <c r="CA86" s="1342"/>
      <c r="CB86" s="1342"/>
      <c r="CC86" s="1342"/>
      <c r="CD86" s="1342"/>
      <c r="CE86" s="1342"/>
      <c r="CF86" s="1342"/>
      <c r="CG86" s="1342"/>
      <c r="CH86" s="1342"/>
      <c r="CI86" s="1342"/>
    </row>
    <row r="87" spans="1:89" s="1292" customFormat="1" x14ac:dyDescent="0.2">
      <c r="A87" s="1585"/>
      <c r="B87" s="634" t="s">
        <v>592</v>
      </c>
      <c r="C87" s="635" t="s">
        <v>593</v>
      </c>
      <c r="D87" s="537" t="s">
        <v>86</v>
      </c>
      <c r="E87" s="635" t="s">
        <v>236</v>
      </c>
      <c r="F87" s="636">
        <v>2</v>
      </c>
      <c r="G87" s="637"/>
      <c r="H87" s="540"/>
      <c r="I87" s="540">
        <v>0.20337238115997799</v>
      </c>
      <c r="J87" s="540">
        <v>0.194913841957501</v>
      </c>
      <c r="K87" s="540">
        <v>0.19417594868416799</v>
      </c>
      <c r="L87" s="540">
        <v>0.19598972047621799</v>
      </c>
      <c r="M87" s="1342">
        <v>0.19595908561303901</v>
      </c>
      <c r="N87" s="1342">
        <v>0.18585354763899101</v>
      </c>
      <c r="O87" s="1342">
        <v>0.17894644769163001</v>
      </c>
      <c r="P87" s="1342">
        <v>0.17127167981653599</v>
      </c>
      <c r="Q87" s="1342">
        <v>0.16422427162175501</v>
      </c>
      <c r="R87" s="1342">
        <v>0.15107321328828299</v>
      </c>
      <c r="S87" s="1342">
        <v>0.14389083056146099</v>
      </c>
      <c r="T87" s="1342">
        <v>0.166956529642595</v>
      </c>
      <c r="U87" s="1342">
        <v>0.16119406987221699</v>
      </c>
      <c r="V87" s="1342">
        <v>0.154433833338148</v>
      </c>
      <c r="W87" s="1342">
        <v>0.147983409165902</v>
      </c>
      <c r="X87" s="1342">
        <v>0.14140359008025299</v>
      </c>
      <c r="Y87" s="1342">
        <v>0.13676430094504</v>
      </c>
      <c r="Z87" s="1342">
        <v>0.131993738807995</v>
      </c>
      <c r="AA87" s="1342">
        <v>0.12538067943665401</v>
      </c>
      <c r="AB87" s="1342">
        <v>0.11968556242627</v>
      </c>
      <c r="AC87" s="1342">
        <v>0.114080935471784</v>
      </c>
      <c r="AD87" s="1342">
        <v>0.110405405638955</v>
      </c>
      <c r="AE87" s="1342">
        <v>0.10571436406178999</v>
      </c>
      <c r="AF87" s="1342">
        <v>0.10091660086914001</v>
      </c>
      <c r="AG87" s="1342">
        <v>9.4567631664040003E-2</v>
      </c>
      <c r="AH87" s="1342">
        <v>9.0986231745042001E-2</v>
      </c>
      <c r="AI87" s="1342">
        <v>8.0699921309466002E-2</v>
      </c>
      <c r="AJ87" s="1342">
        <v>8.1473865613479995E-2</v>
      </c>
      <c r="AK87" s="1342">
        <v>7.7595177449768002E-2</v>
      </c>
      <c r="AL87" s="1342"/>
      <c r="AM87" s="1342"/>
      <c r="AN87" s="1342"/>
      <c r="AO87" s="1342"/>
      <c r="AP87" s="1342"/>
      <c r="AQ87" s="1342"/>
      <c r="AR87" s="1342"/>
      <c r="AS87" s="1342"/>
      <c r="AT87" s="1342"/>
      <c r="AU87" s="1342"/>
      <c r="AV87" s="1342"/>
      <c r="AW87" s="1342"/>
      <c r="AX87" s="1342"/>
      <c r="AY87" s="1342"/>
      <c r="AZ87" s="1342"/>
      <c r="BA87" s="1342"/>
      <c r="BB87" s="1342"/>
      <c r="BC87" s="1342"/>
      <c r="BD87" s="1342"/>
      <c r="BE87" s="1342"/>
      <c r="BF87" s="1342"/>
      <c r="BG87" s="1342"/>
      <c r="BH87" s="1342"/>
      <c r="BI87" s="1342"/>
      <c r="BJ87" s="1342"/>
      <c r="BK87" s="1342"/>
      <c r="BL87" s="1342"/>
      <c r="BM87" s="1342"/>
      <c r="BN87" s="1342"/>
      <c r="BO87" s="1342"/>
      <c r="BP87" s="1342"/>
      <c r="BQ87" s="1342"/>
      <c r="BR87" s="1342"/>
      <c r="BS87" s="1342"/>
      <c r="BT87" s="1342"/>
      <c r="BU87" s="1342"/>
      <c r="BV87" s="1342"/>
      <c r="BW87" s="1342"/>
      <c r="BX87" s="1342"/>
      <c r="BY87" s="1342"/>
      <c r="BZ87" s="1342"/>
      <c r="CA87" s="1342"/>
      <c r="CB87" s="1342"/>
      <c r="CC87" s="1342"/>
      <c r="CD87" s="1342"/>
      <c r="CE87" s="1342"/>
      <c r="CF87" s="1342"/>
      <c r="CG87" s="1342"/>
      <c r="CH87" s="1342"/>
      <c r="CI87" s="1342"/>
    </row>
    <row r="88" spans="1:89" s="1292" customFormat="1" x14ac:dyDescent="0.2">
      <c r="A88" s="1284"/>
      <c r="B88" s="634" t="s">
        <v>594</v>
      </c>
      <c r="C88" s="635" t="s">
        <v>384</v>
      </c>
      <c r="D88" s="537" t="s">
        <v>595</v>
      </c>
      <c r="E88" s="635" t="s">
        <v>236</v>
      </c>
      <c r="F88" s="636">
        <v>2</v>
      </c>
      <c r="G88" s="638">
        <f>G86+G87</f>
        <v>0</v>
      </c>
      <c r="H88" s="638">
        <f t="shared" ref="H88:AK88" si="17">H86+H87</f>
        <v>0</v>
      </c>
      <c r="I88" s="638">
        <f t="shared" si="17"/>
        <v>0.20311616135768401</v>
      </c>
      <c r="J88" s="638">
        <f t="shared" si="17"/>
        <v>0.207871421837964</v>
      </c>
      <c r="K88" s="638">
        <f t="shared" si="17"/>
        <v>0.27122260092948303</v>
      </c>
      <c r="L88" s="638">
        <f t="shared" si="17"/>
        <v>0.27133979020087201</v>
      </c>
      <c r="M88" s="639">
        <f t="shared" si="17"/>
        <v>0.26717912299406599</v>
      </c>
      <c r="N88" s="639">
        <f t="shared" si="17"/>
        <v>0.25666736259071599</v>
      </c>
      <c r="O88" s="639">
        <f t="shared" si="17"/>
        <v>0.247524270132397</v>
      </c>
      <c r="P88" s="639">
        <f t="shared" si="17"/>
        <v>0.240781097609018</v>
      </c>
      <c r="Q88" s="639">
        <f t="shared" si="17"/>
        <v>0.24064762964019801</v>
      </c>
      <c r="R88" s="639">
        <f t="shared" si="17"/>
        <v>0.22865781864176599</v>
      </c>
      <c r="S88" s="639">
        <f t="shared" si="17"/>
        <v>0.22275156543829</v>
      </c>
      <c r="T88" s="639">
        <f t="shared" si="17"/>
        <v>0.24780675677793201</v>
      </c>
      <c r="U88" s="639">
        <f t="shared" si="17"/>
        <v>0.241131866622809</v>
      </c>
      <c r="V88" s="639">
        <f t="shared" si="17"/>
        <v>0.234511664807661</v>
      </c>
      <c r="W88" s="639">
        <f t="shared" si="17"/>
        <v>0.23133881395097</v>
      </c>
      <c r="X88" s="639">
        <f t="shared" si="17"/>
        <v>0.22503129151019599</v>
      </c>
      <c r="Y88" s="639">
        <f t="shared" si="17"/>
        <v>0.22055735132882001</v>
      </c>
      <c r="Z88" s="639">
        <f t="shared" si="17"/>
        <v>0.21785191261152401</v>
      </c>
      <c r="AA88" s="639">
        <f t="shared" si="17"/>
        <v>0.21156607999132099</v>
      </c>
      <c r="AB88" s="639">
        <f t="shared" si="17"/>
        <v>0.20621672731825899</v>
      </c>
      <c r="AC88" s="639">
        <f t="shared" si="17"/>
        <v>0.203430127804097</v>
      </c>
      <c r="AD88" s="639">
        <f t="shared" si="17"/>
        <v>0.198575718114327</v>
      </c>
      <c r="AE88" s="639">
        <f t="shared" si="17"/>
        <v>0.19448495900241999</v>
      </c>
      <c r="AF88" s="639">
        <f t="shared" si="17"/>
        <v>0.19125142427666</v>
      </c>
      <c r="AG88" s="639">
        <f t="shared" si="17"/>
        <v>0.187262029010763</v>
      </c>
      <c r="AH88" s="639">
        <f t="shared" si="17"/>
        <v>0.182314069816637</v>
      </c>
      <c r="AI88" s="639">
        <f t="shared" si="17"/>
        <v>0.174713777479553</v>
      </c>
      <c r="AJ88" s="639">
        <f t="shared" si="17"/>
        <v>0.176388675640301</v>
      </c>
      <c r="AK88" s="639">
        <f t="shared" si="17"/>
        <v>0.173343911190394</v>
      </c>
      <c r="AL88" s="639"/>
      <c r="AM88" s="639"/>
      <c r="AN88" s="639"/>
      <c r="AO88" s="639"/>
      <c r="AP88" s="639"/>
      <c r="AQ88" s="639"/>
      <c r="AR88" s="639"/>
      <c r="AS88" s="639"/>
      <c r="AT88" s="639"/>
      <c r="AU88" s="639"/>
      <c r="AV88" s="639"/>
      <c r="AW88" s="639"/>
      <c r="AX88" s="639"/>
      <c r="AY88" s="639"/>
      <c r="AZ88" s="639"/>
      <c r="BA88" s="639"/>
      <c r="BB88" s="639"/>
      <c r="BC88" s="639"/>
      <c r="BD88" s="639"/>
      <c r="BE88" s="639"/>
      <c r="BF88" s="639"/>
      <c r="BG88" s="639"/>
      <c r="BH88" s="639"/>
      <c r="BI88" s="639"/>
      <c r="BJ88" s="639"/>
      <c r="BK88" s="639"/>
      <c r="BL88" s="639"/>
      <c r="BM88" s="639"/>
      <c r="BN88" s="639"/>
      <c r="BO88" s="639"/>
      <c r="BP88" s="639"/>
      <c r="BQ88" s="639"/>
      <c r="BR88" s="639"/>
      <c r="BS88" s="639"/>
      <c r="BT88" s="639"/>
      <c r="BU88" s="639"/>
      <c r="BV88" s="639"/>
      <c r="BW88" s="639"/>
      <c r="BX88" s="639"/>
      <c r="BY88" s="639"/>
      <c r="BZ88" s="639"/>
      <c r="CA88" s="639"/>
      <c r="CB88" s="639"/>
      <c r="CC88" s="639"/>
      <c r="CD88" s="639"/>
      <c r="CE88" s="639"/>
      <c r="CF88" s="639"/>
      <c r="CG88" s="639"/>
      <c r="CH88" s="639"/>
      <c r="CI88" s="640"/>
    </row>
    <row r="89" spans="1:89" s="1292" customFormat="1" x14ac:dyDescent="0.2">
      <c r="A89" s="1284"/>
      <c r="B89" s="1055" t="s">
        <v>596</v>
      </c>
      <c r="C89" s="1056" t="s">
        <v>597</v>
      </c>
      <c r="D89" s="1057" t="s">
        <v>598</v>
      </c>
      <c r="E89" s="1056" t="s">
        <v>236</v>
      </c>
      <c r="F89" s="1492">
        <v>2</v>
      </c>
      <c r="G89" s="639">
        <f>G42-G85</f>
        <v>0</v>
      </c>
      <c r="H89" s="639">
        <f t="shared" ref="H89:AK89" si="18">H42-H85</f>
        <v>0</v>
      </c>
      <c r="I89" s="639">
        <f t="shared" si="18"/>
        <v>1.6671114332523906</v>
      </c>
      <c r="J89" s="639">
        <f t="shared" si="18"/>
        <v>2.1418326238223528</v>
      </c>
      <c r="K89" s="639">
        <f t="shared" si="18"/>
        <v>2.2090758230810881</v>
      </c>
      <c r="L89" s="639">
        <f t="shared" si="18"/>
        <v>2.1704530987789337</v>
      </c>
      <c r="M89" s="639">
        <f>M42-M85</f>
        <v>2.0818659772193797</v>
      </c>
      <c r="N89" s="639">
        <f t="shared" si="18"/>
        <v>-1.0211184384166252</v>
      </c>
      <c r="O89" s="639">
        <f t="shared" si="18"/>
        <v>-1.063754939006694</v>
      </c>
      <c r="P89" s="639">
        <f t="shared" si="18"/>
        <v>-1.0818480527539904</v>
      </c>
      <c r="Q89" s="639">
        <f t="shared" si="18"/>
        <v>-1.0794473468759644</v>
      </c>
      <c r="R89" s="639">
        <f t="shared" si="18"/>
        <v>-2.7995815178589174</v>
      </c>
      <c r="S89" s="639">
        <f t="shared" si="18"/>
        <v>-2.8172305901202757</v>
      </c>
      <c r="T89" s="639">
        <f t="shared" si="18"/>
        <v>-5.1265931167823409</v>
      </c>
      <c r="U89" s="639">
        <f t="shared" si="18"/>
        <v>-5.1445547142155439</v>
      </c>
      <c r="V89" s="639">
        <f t="shared" si="18"/>
        <v>-5.1631023253624315</v>
      </c>
      <c r="W89" s="639">
        <f t="shared" si="18"/>
        <v>-5.1828309758091189</v>
      </c>
      <c r="X89" s="639">
        <f t="shared" si="18"/>
        <v>-5.2034713236085155</v>
      </c>
      <c r="Y89" s="639">
        <f t="shared" si="18"/>
        <v>-5.2259243430544879</v>
      </c>
      <c r="Z89" s="639">
        <f t="shared" si="18"/>
        <v>-5.2501014631059677</v>
      </c>
      <c r="AA89" s="639">
        <f t="shared" si="18"/>
        <v>-5.2713812618159812</v>
      </c>
      <c r="AB89" s="639">
        <f t="shared" si="18"/>
        <v>-6.195313774306098</v>
      </c>
      <c r="AC89" s="639">
        <f t="shared" si="18"/>
        <v>-6.21604623729871</v>
      </c>
      <c r="AD89" s="639">
        <f t="shared" si="18"/>
        <v>-6.2386656280650845</v>
      </c>
      <c r="AE89" s="639">
        <f t="shared" si="18"/>
        <v>-6.2622352176621794</v>
      </c>
      <c r="AF89" s="639">
        <f t="shared" si="18"/>
        <v>-6.2864447436625968</v>
      </c>
      <c r="AG89" s="639">
        <f t="shared" si="18"/>
        <v>-7.1401581092912219</v>
      </c>
      <c r="AH89" s="639">
        <f t="shared" si="18"/>
        <v>-7.1652170485074942</v>
      </c>
      <c r="AI89" s="639">
        <f t="shared" si="18"/>
        <v>-7.1907233772575418</v>
      </c>
      <c r="AJ89" s="639">
        <f t="shared" si="18"/>
        <v>-7.2172358516048769</v>
      </c>
      <c r="AK89" s="639">
        <f t="shared" si="18"/>
        <v>-7.2436316052983925</v>
      </c>
      <c r="AL89" s="639"/>
      <c r="AM89" s="639"/>
      <c r="AN89" s="639"/>
      <c r="AO89" s="639"/>
      <c r="AP89" s="639"/>
      <c r="AQ89" s="639"/>
      <c r="AR89" s="639"/>
      <c r="AS89" s="639"/>
      <c r="AT89" s="639"/>
      <c r="AU89" s="639"/>
      <c r="AV89" s="639"/>
      <c r="AW89" s="639"/>
      <c r="AX89" s="639"/>
      <c r="AY89" s="639"/>
      <c r="AZ89" s="639"/>
      <c r="BA89" s="639"/>
      <c r="BB89" s="639"/>
      <c r="BC89" s="639"/>
      <c r="BD89" s="639"/>
      <c r="BE89" s="639"/>
      <c r="BF89" s="639"/>
      <c r="BG89" s="639"/>
      <c r="BH89" s="639"/>
      <c r="BI89" s="639"/>
      <c r="BJ89" s="639"/>
      <c r="BK89" s="639"/>
      <c r="BL89" s="639"/>
      <c r="BM89" s="639"/>
      <c r="BN89" s="639"/>
      <c r="BO89" s="639"/>
      <c r="BP89" s="639"/>
      <c r="BQ89" s="639"/>
      <c r="BR89" s="639"/>
      <c r="BS89" s="639"/>
      <c r="BT89" s="639"/>
      <c r="BU89" s="639"/>
      <c r="BV89" s="639"/>
      <c r="BW89" s="639"/>
      <c r="BX89" s="639"/>
      <c r="BY89" s="639"/>
      <c r="BZ89" s="639"/>
      <c r="CA89" s="639"/>
      <c r="CB89" s="639"/>
      <c r="CC89" s="639"/>
      <c r="CD89" s="639"/>
      <c r="CE89" s="639"/>
      <c r="CF89" s="639"/>
      <c r="CG89" s="639"/>
      <c r="CH89" s="639"/>
      <c r="CI89" s="639"/>
    </row>
    <row r="90" spans="1:89" s="1292" customFormat="1" ht="15" thickBot="1" x14ac:dyDescent="0.25">
      <c r="A90" s="1284"/>
      <c r="B90" s="1055" t="s">
        <v>599</v>
      </c>
      <c r="C90" s="1056" t="s">
        <v>600</v>
      </c>
      <c r="D90" s="1057" t="s">
        <v>601</v>
      </c>
      <c r="E90" s="1056" t="s">
        <v>236</v>
      </c>
      <c r="F90" s="1492">
        <v>2</v>
      </c>
      <c r="G90" s="1493">
        <f>G25-G44</f>
        <v>0</v>
      </c>
      <c r="H90" s="1493">
        <f t="shared" ref="H90:AK90" si="19">H25-H44</f>
        <v>0</v>
      </c>
      <c r="I90" s="1493">
        <f t="shared" si="19"/>
        <v>0</v>
      </c>
      <c r="J90" s="1493">
        <f t="shared" si="19"/>
        <v>0</v>
      </c>
      <c r="K90" s="1493">
        <f t="shared" si="19"/>
        <v>0</v>
      </c>
      <c r="L90" s="1493">
        <f t="shared" si="19"/>
        <v>0</v>
      </c>
      <c r="M90" s="1493">
        <f t="shared" si="19"/>
        <v>0</v>
      </c>
      <c r="N90" s="1493">
        <f t="shared" si="19"/>
        <v>0</v>
      </c>
      <c r="O90" s="1493">
        <f t="shared" si="19"/>
        <v>0</v>
      </c>
      <c r="P90" s="1493">
        <f t="shared" si="19"/>
        <v>0</v>
      </c>
      <c r="Q90" s="1493">
        <f t="shared" si="19"/>
        <v>0</v>
      </c>
      <c r="R90" s="1493">
        <f t="shared" si="19"/>
        <v>0</v>
      </c>
      <c r="S90" s="1493">
        <f t="shared" si="19"/>
        <v>0</v>
      </c>
      <c r="T90" s="1493">
        <f t="shared" si="19"/>
        <v>0</v>
      </c>
      <c r="U90" s="1493">
        <f t="shared" si="19"/>
        <v>0</v>
      </c>
      <c r="V90" s="1493">
        <f t="shared" si="19"/>
        <v>0</v>
      </c>
      <c r="W90" s="1493">
        <f t="shared" si="19"/>
        <v>0</v>
      </c>
      <c r="X90" s="1493">
        <f t="shared" si="19"/>
        <v>0</v>
      </c>
      <c r="Y90" s="1493">
        <f t="shared" si="19"/>
        <v>0</v>
      </c>
      <c r="Z90" s="1493">
        <f t="shared" si="19"/>
        <v>0</v>
      </c>
      <c r="AA90" s="1493">
        <f t="shared" si="19"/>
        <v>0</v>
      </c>
      <c r="AB90" s="1493">
        <f t="shared" si="19"/>
        <v>0</v>
      </c>
      <c r="AC90" s="1493">
        <f t="shared" si="19"/>
        <v>0</v>
      </c>
      <c r="AD90" s="1493">
        <f t="shared" si="19"/>
        <v>0</v>
      </c>
      <c r="AE90" s="1493">
        <f t="shared" si="19"/>
        <v>0</v>
      </c>
      <c r="AF90" s="1493">
        <f t="shared" si="19"/>
        <v>0</v>
      </c>
      <c r="AG90" s="1493">
        <f t="shared" si="19"/>
        <v>0</v>
      </c>
      <c r="AH90" s="1493">
        <f t="shared" si="19"/>
        <v>0</v>
      </c>
      <c r="AI90" s="1493">
        <f t="shared" si="19"/>
        <v>0</v>
      </c>
      <c r="AJ90" s="1493">
        <f t="shared" si="19"/>
        <v>0</v>
      </c>
      <c r="AK90" s="1493">
        <f t="shared" si="19"/>
        <v>0</v>
      </c>
      <c r="AL90" s="1493"/>
      <c r="AM90" s="1493"/>
      <c r="AN90" s="1493"/>
      <c r="AO90" s="1493"/>
      <c r="AP90" s="1493"/>
      <c r="AQ90" s="1493"/>
      <c r="AR90" s="1493"/>
      <c r="AS90" s="1493"/>
      <c r="AT90" s="1493"/>
      <c r="AU90" s="1493"/>
      <c r="AV90" s="1493"/>
      <c r="AW90" s="1493"/>
      <c r="AX90" s="1493"/>
      <c r="AY90" s="1493"/>
      <c r="AZ90" s="1493"/>
      <c r="BA90" s="1493"/>
      <c r="BB90" s="1493"/>
      <c r="BC90" s="1493"/>
      <c r="BD90" s="1493"/>
      <c r="BE90" s="1493"/>
      <c r="BF90" s="1493"/>
      <c r="BG90" s="1493"/>
      <c r="BH90" s="1493"/>
      <c r="BI90" s="1493"/>
      <c r="BJ90" s="1493"/>
      <c r="BK90" s="1493"/>
      <c r="BL90" s="1493"/>
      <c r="BM90" s="1493"/>
      <c r="BN90" s="1493"/>
      <c r="BO90" s="1493"/>
      <c r="BP90" s="1493"/>
      <c r="BQ90" s="1493"/>
      <c r="BR90" s="1493"/>
      <c r="BS90" s="1493"/>
      <c r="BT90" s="1493"/>
      <c r="BU90" s="1493"/>
      <c r="BV90" s="1493"/>
      <c r="BW90" s="1493"/>
      <c r="BX90" s="1493"/>
      <c r="BY90" s="1493"/>
      <c r="BZ90" s="1493"/>
      <c r="CA90" s="1493"/>
      <c r="CB90" s="1493"/>
      <c r="CC90" s="1493"/>
      <c r="CD90" s="1493"/>
      <c r="CE90" s="1493"/>
      <c r="CF90" s="1493"/>
      <c r="CG90" s="1493"/>
      <c r="CH90" s="1493"/>
      <c r="CI90" s="1493"/>
    </row>
    <row r="91" spans="1:89" s="1292" customFormat="1" x14ac:dyDescent="0.2">
      <c r="A91" s="1284"/>
      <c r="B91" s="644" t="s">
        <v>602</v>
      </c>
      <c r="C91" s="645" t="s">
        <v>393</v>
      </c>
      <c r="D91" s="646" t="s">
        <v>603</v>
      </c>
      <c r="E91" s="645" t="s">
        <v>236</v>
      </c>
      <c r="F91" s="647">
        <v>2</v>
      </c>
      <c r="G91" s="1494">
        <f>G89-G88</f>
        <v>0</v>
      </c>
      <c r="H91" s="1495">
        <f t="shared" ref="H91:AK91" si="20">H89-H88</f>
        <v>0</v>
      </c>
      <c r="I91" s="1495">
        <f t="shared" si="20"/>
        <v>1.4639952718947067</v>
      </c>
      <c r="J91" s="1495">
        <f t="shared" si="20"/>
        <v>1.9339612019843888</v>
      </c>
      <c r="K91" s="1495">
        <f t="shared" si="20"/>
        <v>1.9378532221516052</v>
      </c>
      <c r="L91" s="1495">
        <f t="shared" si="20"/>
        <v>1.8991133085780616</v>
      </c>
      <c r="M91" s="1496">
        <f>M89-M88</f>
        <v>1.8146868542253136</v>
      </c>
      <c r="N91" s="1496">
        <f t="shared" si="20"/>
        <v>-1.2777858010073411</v>
      </c>
      <c r="O91" s="1496">
        <f t="shared" si="20"/>
        <v>-1.311279209139091</v>
      </c>
      <c r="P91" s="1496">
        <f t="shared" si="20"/>
        <v>-1.3226291503630083</v>
      </c>
      <c r="Q91" s="1496">
        <f t="shared" si="20"/>
        <v>-1.3200949765161625</v>
      </c>
      <c r="R91" s="1496">
        <f t="shared" si="20"/>
        <v>-3.0282393365006834</v>
      </c>
      <c r="S91" s="1496">
        <f t="shared" si="20"/>
        <v>-3.0399821555585658</v>
      </c>
      <c r="T91" s="1496">
        <f t="shared" si="20"/>
        <v>-5.3743998735602725</v>
      </c>
      <c r="U91" s="1496">
        <f t="shared" si="20"/>
        <v>-5.3856865808383532</v>
      </c>
      <c r="V91" s="1496">
        <f t="shared" si="20"/>
        <v>-5.3976139901700924</v>
      </c>
      <c r="W91" s="1496">
        <f t="shared" si="20"/>
        <v>-5.4141697897600887</v>
      </c>
      <c r="X91" s="1496">
        <f t="shared" si="20"/>
        <v>-5.4285026151187115</v>
      </c>
      <c r="Y91" s="1496">
        <f t="shared" si="20"/>
        <v>-5.4464816943833076</v>
      </c>
      <c r="Z91" s="1496">
        <f t="shared" si="20"/>
        <v>-5.4679533757174914</v>
      </c>
      <c r="AA91" s="1496">
        <f t="shared" si="20"/>
        <v>-5.4829473418073018</v>
      </c>
      <c r="AB91" s="1496">
        <f t="shared" si="20"/>
        <v>-6.4015305016243573</v>
      </c>
      <c r="AC91" s="1496">
        <f t="shared" si="20"/>
        <v>-6.4194763651028071</v>
      </c>
      <c r="AD91" s="1496">
        <f t="shared" si="20"/>
        <v>-6.4372413461794116</v>
      </c>
      <c r="AE91" s="1496">
        <f t="shared" si="20"/>
        <v>-6.4567201766645992</v>
      </c>
      <c r="AF91" s="1496">
        <f t="shared" si="20"/>
        <v>-6.4776961679392571</v>
      </c>
      <c r="AG91" s="1496">
        <f t="shared" si="20"/>
        <v>-7.327420138301985</v>
      </c>
      <c r="AH91" s="1496">
        <f t="shared" si="20"/>
        <v>-7.347531118324131</v>
      </c>
      <c r="AI91" s="1496">
        <f t="shared" si="20"/>
        <v>-7.3654371547370951</v>
      </c>
      <c r="AJ91" s="1496">
        <f t="shared" si="20"/>
        <v>-7.3936245272451782</v>
      </c>
      <c r="AK91" s="1496">
        <f t="shared" si="20"/>
        <v>-7.4169755164887867</v>
      </c>
      <c r="AL91" s="1496"/>
      <c r="AM91" s="1496"/>
      <c r="AN91" s="1496"/>
      <c r="AO91" s="1496"/>
      <c r="AP91" s="1496"/>
      <c r="AQ91" s="1496"/>
      <c r="AR91" s="1496"/>
      <c r="AS91" s="1496"/>
      <c r="AT91" s="1496"/>
      <c r="AU91" s="1496"/>
      <c r="AV91" s="1496"/>
      <c r="AW91" s="1496"/>
      <c r="AX91" s="1496"/>
      <c r="AY91" s="1496"/>
      <c r="AZ91" s="1496"/>
      <c r="BA91" s="1496"/>
      <c r="BB91" s="1496"/>
      <c r="BC91" s="1496"/>
      <c r="BD91" s="1496"/>
      <c r="BE91" s="1496"/>
      <c r="BF91" s="1496"/>
      <c r="BG91" s="1496"/>
      <c r="BH91" s="1496"/>
      <c r="BI91" s="1496"/>
      <c r="BJ91" s="1496"/>
      <c r="BK91" s="1496"/>
      <c r="BL91" s="1496"/>
      <c r="BM91" s="1496"/>
      <c r="BN91" s="1496"/>
      <c r="BO91" s="1496"/>
      <c r="BP91" s="1496"/>
      <c r="BQ91" s="1496"/>
      <c r="BR91" s="1496"/>
      <c r="BS91" s="1496"/>
      <c r="BT91" s="1496"/>
      <c r="BU91" s="1496"/>
      <c r="BV91" s="1496"/>
      <c r="BW91" s="1496"/>
      <c r="BX91" s="1496"/>
      <c r="BY91" s="1496"/>
      <c r="BZ91" s="1496"/>
      <c r="CA91" s="1496"/>
      <c r="CB91" s="1496"/>
      <c r="CC91" s="1496"/>
      <c r="CD91" s="1496"/>
      <c r="CE91" s="1496"/>
      <c r="CF91" s="1496"/>
      <c r="CG91" s="1496"/>
      <c r="CH91" s="1496"/>
      <c r="CI91" s="1497"/>
    </row>
    <row r="92" spans="1:89" ht="15" thickBot="1" x14ac:dyDescent="0.25">
      <c r="B92" s="1404"/>
      <c r="C92" s="1405"/>
      <c r="D92" s="1406"/>
      <c r="E92" s="1405"/>
      <c r="F92" s="1407"/>
      <c r="G92" s="1403"/>
      <c r="H92" s="809"/>
      <c r="I92" s="809"/>
      <c r="J92" s="809"/>
      <c r="K92" s="809"/>
      <c r="L92" s="809"/>
      <c r="M92" s="809"/>
      <c r="N92" s="809"/>
      <c r="O92" s="809"/>
      <c r="P92" s="809"/>
      <c r="Q92" s="809"/>
      <c r="R92" s="809"/>
      <c r="S92" s="809"/>
      <c r="T92" s="809"/>
      <c r="U92" s="809"/>
      <c r="V92" s="809"/>
      <c r="W92" s="809"/>
      <c r="X92" s="809"/>
      <c r="Y92" s="809"/>
      <c r="Z92" s="809"/>
      <c r="AA92" s="809"/>
      <c r="AB92" s="809"/>
      <c r="AC92" s="809"/>
      <c r="AD92" s="809"/>
      <c r="AE92" s="809"/>
      <c r="AF92" s="809"/>
      <c r="AG92" s="809"/>
      <c r="AH92" s="809"/>
      <c r="AI92" s="809"/>
      <c r="AJ92" s="809"/>
      <c r="AK92" s="809"/>
      <c r="AL92" s="809"/>
      <c r="AM92" s="809"/>
      <c r="AN92" s="809"/>
      <c r="AO92" s="809"/>
      <c r="AP92" s="809"/>
      <c r="AQ92" s="809"/>
      <c r="AR92" s="809"/>
      <c r="AS92" s="809"/>
      <c r="AT92" s="809"/>
      <c r="AU92" s="809"/>
      <c r="AV92" s="809"/>
      <c r="AW92" s="809"/>
      <c r="AX92" s="809"/>
      <c r="AY92" s="809"/>
      <c r="AZ92" s="809"/>
      <c r="BA92" s="809"/>
      <c r="BB92" s="809"/>
      <c r="BC92" s="809"/>
      <c r="BD92" s="809"/>
      <c r="BE92" s="809"/>
      <c r="BF92" s="809"/>
      <c r="BG92" s="809"/>
      <c r="BH92" s="809"/>
      <c r="BI92" s="809"/>
      <c r="BJ92" s="809"/>
      <c r="BK92" s="809"/>
      <c r="BL92" s="809"/>
      <c r="BM92" s="809"/>
      <c r="BN92" s="809"/>
      <c r="BO92" s="809"/>
      <c r="BP92" s="809"/>
      <c r="BQ92" s="809"/>
      <c r="BR92" s="809"/>
      <c r="BS92" s="809"/>
      <c r="BT92" s="809"/>
      <c r="BU92" s="809"/>
      <c r="BV92" s="809"/>
      <c r="BW92" s="809"/>
      <c r="BX92" s="809"/>
      <c r="BY92" s="809"/>
      <c r="BZ92" s="809"/>
      <c r="CA92" s="809"/>
      <c r="CB92" s="809"/>
      <c r="CC92" s="809"/>
      <c r="CD92" s="809"/>
      <c r="CE92" s="809"/>
      <c r="CF92" s="809"/>
      <c r="CG92" s="809"/>
      <c r="CH92" s="809"/>
      <c r="CI92" s="809"/>
    </row>
    <row r="93" spans="1:89" ht="42.95" customHeight="1" thickBot="1" x14ac:dyDescent="0.25">
      <c r="B93" s="655" t="s">
        <v>439</v>
      </c>
      <c r="C93" s="1307" t="s">
        <v>204</v>
      </c>
      <c r="D93" s="53"/>
      <c r="E93" s="652"/>
      <c r="F93" s="653"/>
      <c r="G93" s="654"/>
      <c r="H93" s="654"/>
      <c r="I93" s="654"/>
      <c r="J93" s="654"/>
      <c r="K93" s="654"/>
      <c r="L93" s="654"/>
      <c r="M93" s="654"/>
      <c r="N93" s="654"/>
      <c r="O93" s="654"/>
      <c r="P93" s="654"/>
      <c r="Q93" s="654"/>
      <c r="R93" s="654"/>
      <c r="S93" s="654"/>
      <c r="T93" s="654"/>
      <c r="U93" s="654"/>
      <c r="V93" s="654"/>
      <c r="W93" s="654"/>
      <c r="X93" s="654"/>
      <c r="Y93" s="654"/>
      <c r="Z93" s="654"/>
      <c r="AA93" s="654"/>
      <c r="AB93" s="654"/>
      <c r="AC93" s="654"/>
      <c r="AD93" s="654"/>
      <c r="AE93" s="654"/>
      <c r="AF93" s="654"/>
      <c r="AG93" s="654"/>
      <c r="AH93" s="654"/>
      <c r="AI93" s="654"/>
      <c r="AJ93" s="654"/>
      <c r="AK93" s="654"/>
      <c r="AL93" s="654"/>
      <c r="AM93" s="654"/>
      <c r="AN93" s="654"/>
      <c r="AO93" s="654"/>
      <c r="AP93" s="654"/>
      <c r="AQ93" s="654"/>
      <c r="AR93" s="654"/>
      <c r="AS93" s="654"/>
      <c r="AT93" s="654"/>
      <c r="AU93" s="654"/>
      <c r="AV93" s="654"/>
      <c r="AW93" s="654"/>
      <c r="AX93" s="654"/>
      <c r="AY93" s="654"/>
      <c r="AZ93" s="654"/>
      <c r="BA93" s="654"/>
      <c r="BB93" s="654"/>
      <c r="BC93" s="654"/>
      <c r="BD93" s="654"/>
      <c r="BE93" s="654"/>
      <c r="BF93" s="654"/>
      <c r="BG93" s="654"/>
      <c r="BH93" s="654"/>
      <c r="BI93" s="654"/>
      <c r="BJ93" s="654"/>
      <c r="BK93" s="654"/>
      <c r="BL93" s="654"/>
      <c r="BM93" s="654"/>
      <c r="BN93" s="654"/>
      <c r="BO93" s="654"/>
      <c r="BP93" s="654"/>
      <c r="BQ93" s="654"/>
      <c r="BR93" s="654"/>
      <c r="BS93" s="654"/>
      <c r="BT93" s="654"/>
      <c r="BU93" s="654"/>
      <c r="BV93" s="654"/>
      <c r="BW93" s="654"/>
      <c r="BX93" s="654"/>
      <c r="BY93" s="654"/>
      <c r="BZ93" s="654"/>
      <c r="CA93" s="654"/>
      <c r="CB93" s="654"/>
      <c r="CC93" s="654"/>
      <c r="CD93" s="654"/>
      <c r="CE93" s="654"/>
      <c r="CF93" s="654"/>
      <c r="CG93" s="654"/>
      <c r="CH93" s="654"/>
      <c r="CI93" s="654"/>
    </row>
    <row r="94" spans="1:89" ht="15.75" thickBot="1" x14ac:dyDescent="0.25">
      <c r="B94" s="656" t="s">
        <v>446</v>
      </c>
      <c r="C94" s="657" t="s">
        <v>604</v>
      </c>
      <c r="D94" s="657" t="s">
        <v>605</v>
      </c>
      <c r="E94" s="657" t="s">
        <v>206</v>
      </c>
      <c r="F94" s="658" t="s">
        <v>207</v>
      </c>
      <c r="G94" s="659" t="s">
        <v>208</v>
      </c>
      <c r="H94" s="659" t="s">
        <v>209</v>
      </c>
      <c r="I94" s="659" t="s">
        <v>210</v>
      </c>
      <c r="J94" s="659" t="s">
        <v>211</v>
      </c>
      <c r="K94" s="659" t="s">
        <v>212</v>
      </c>
      <c r="L94" s="659" t="s">
        <v>213</v>
      </c>
      <c r="M94" s="657" t="s">
        <v>214</v>
      </c>
      <c r="N94" s="657" t="s">
        <v>215</v>
      </c>
      <c r="O94" s="657" t="s">
        <v>216</v>
      </c>
      <c r="P94" s="657" t="s">
        <v>217</v>
      </c>
      <c r="Q94" s="657" t="s">
        <v>218</v>
      </c>
      <c r="R94" s="657" t="s">
        <v>247</v>
      </c>
      <c r="S94" s="657" t="s">
        <v>248</v>
      </c>
      <c r="T94" s="657" t="s">
        <v>249</v>
      </c>
      <c r="U94" s="657" t="s">
        <v>250</v>
      </c>
      <c r="V94" s="657" t="s">
        <v>219</v>
      </c>
      <c r="W94" s="657" t="s">
        <v>251</v>
      </c>
      <c r="X94" s="657" t="s">
        <v>252</v>
      </c>
      <c r="Y94" s="657" t="s">
        <v>253</v>
      </c>
      <c r="Z94" s="657" t="s">
        <v>254</v>
      </c>
      <c r="AA94" s="657" t="s">
        <v>220</v>
      </c>
      <c r="AB94" s="657" t="s">
        <v>255</v>
      </c>
      <c r="AC94" s="657" t="s">
        <v>256</v>
      </c>
      <c r="AD94" s="657" t="s">
        <v>257</v>
      </c>
      <c r="AE94" s="657" t="s">
        <v>258</v>
      </c>
      <c r="AF94" s="657" t="s">
        <v>221</v>
      </c>
      <c r="AG94" s="657" t="s">
        <v>259</v>
      </c>
      <c r="AH94" s="657" t="s">
        <v>260</v>
      </c>
      <c r="AI94" s="657" t="s">
        <v>261</v>
      </c>
      <c r="AJ94" s="657" t="s">
        <v>262</v>
      </c>
      <c r="AK94" s="657" t="s">
        <v>222</v>
      </c>
      <c r="AL94" s="657" t="s">
        <v>263</v>
      </c>
      <c r="AM94" s="657" t="s">
        <v>264</v>
      </c>
      <c r="AN94" s="657" t="s">
        <v>265</v>
      </c>
      <c r="AO94" s="657" t="s">
        <v>266</v>
      </c>
      <c r="AP94" s="657" t="s">
        <v>223</v>
      </c>
      <c r="AQ94" s="657" t="s">
        <v>267</v>
      </c>
      <c r="AR94" s="657" t="s">
        <v>268</v>
      </c>
      <c r="AS94" s="657" t="s">
        <v>269</v>
      </c>
      <c r="AT94" s="657" t="s">
        <v>270</v>
      </c>
      <c r="AU94" s="657" t="s">
        <v>224</v>
      </c>
      <c r="AV94" s="657" t="s">
        <v>271</v>
      </c>
      <c r="AW94" s="657" t="s">
        <v>272</v>
      </c>
      <c r="AX94" s="657" t="s">
        <v>273</v>
      </c>
      <c r="AY94" s="657" t="s">
        <v>274</v>
      </c>
      <c r="AZ94" s="657" t="s">
        <v>225</v>
      </c>
      <c r="BA94" s="657" t="s">
        <v>275</v>
      </c>
      <c r="BB94" s="657" t="s">
        <v>276</v>
      </c>
      <c r="BC94" s="657" t="s">
        <v>277</v>
      </c>
      <c r="BD94" s="657" t="s">
        <v>278</v>
      </c>
      <c r="BE94" s="657" t="s">
        <v>226</v>
      </c>
      <c r="BF94" s="657" t="s">
        <v>279</v>
      </c>
      <c r="BG94" s="657" t="s">
        <v>280</v>
      </c>
      <c r="BH94" s="657" t="s">
        <v>281</v>
      </c>
      <c r="BI94" s="657" t="s">
        <v>282</v>
      </c>
      <c r="BJ94" s="657" t="s">
        <v>227</v>
      </c>
      <c r="BK94" s="657" t="s">
        <v>283</v>
      </c>
      <c r="BL94" s="657" t="s">
        <v>284</v>
      </c>
      <c r="BM94" s="657" t="s">
        <v>285</v>
      </c>
      <c r="BN94" s="657" t="s">
        <v>286</v>
      </c>
      <c r="BO94" s="657" t="s">
        <v>228</v>
      </c>
      <c r="BP94" s="657" t="s">
        <v>287</v>
      </c>
      <c r="BQ94" s="657" t="s">
        <v>288</v>
      </c>
      <c r="BR94" s="657" t="s">
        <v>289</v>
      </c>
      <c r="BS94" s="657" t="s">
        <v>290</v>
      </c>
      <c r="BT94" s="657" t="s">
        <v>229</v>
      </c>
      <c r="BU94" s="657" t="s">
        <v>291</v>
      </c>
      <c r="BV94" s="657" t="s">
        <v>292</v>
      </c>
      <c r="BW94" s="657" t="s">
        <v>293</v>
      </c>
      <c r="BX94" s="657" t="s">
        <v>294</v>
      </c>
      <c r="BY94" s="657" t="s">
        <v>230</v>
      </c>
      <c r="BZ94" s="657" t="s">
        <v>295</v>
      </c>
      <c r="CA94" s="657" t="s">
        <v>296</v>
      </c>
      <c r="CB94" s="657" t="s">
        <v>297</v>
      </c>
      <c r="CC94" s="657" t="s">
        <v>298</v>
      </c>
      <c r="CD94" s="657" t="s">
        <v>231</v>
      </c>
      <c r="CE94" s="657" t="s">
        <v>299</v>
      </c>
      <c r="CF94" s="657" t="s">
        <v>300</v>
      </c>
      <c r="CG94" s="657" t="s">
        <v>301</v>
      </c>
      <c r="CH94" s="657" t="s">
        <v>302</v>
      </c>
      <c r="CI94" s="660" t="s">
        <v>232</v>
      </c>
      <c r="CJ94" s="657" t="s">
        <v>606</v>
      </c>
    </row>
    <row r="95" spans="1:89" ht="28.5" x14ac:dyDescent="0.2">
      <c r="B95" s="667" t="s">
        <v>607</v>
      </c>
      <c r="C95" s="668" t="s">
        <v>608</v>
      </c>
      <c r="D95" s="668" t="s">
        <v>609</v>
      </c>
      <c r="E95" s="668" t="s">
        <v>236</v>
      </c>
      <c r="F95" s="669">
        <v>2</v>
      </c>
      <c r="G95" s="670"/>
      <c r="H95" s="671"/>
      <c r="I95" s="671">
        <v>0</v>
      </c>
      <c r="J95" s="671">
        <v>0</v>
      </c>
      <c r="K95" s="671">
        <v>0</v>
      </c>
      <c r="L95" s="1518">
        <v>0</v>
      </c>
      <c r="M95" s="696">
        <v>0</v>
      </c>
      <c r="N95" s="696">
        <v>0</v>
      </c>
      <c r="O95" s="696">
        <v>0</v>
      </c>
      <c r="P95" s="696">
        <v>0</v>
      </c>
      <c r="Q95" s="696">
        <v>0</v>
      </c>
      <c r="R95" s="696">
        <v>0</v>
      </c>
      <c r="S95" s="696">
        <v>0</v>
      </c>
      <c r="T95" s="696">
        <v>0</v>
      </c>
      <c r="U95" s="696">
        <v>0</v>
      </c>
      <c r="V95" s="696">
        <v>0</v>
      </c>
      <c r="W95" s="696">
        <v>0</v>
      </c>
      <c r="X95" s="696">
        <v>0</v>
      </c>
      <c r="Y95" s="696">
        <v>0</v>
      </c>
      <c r="Z95" s="696">
        <v>0</v>
      </c>
      <c r="AA95" s="696">
        <v>0</v>
      </c>
      <c r="AB95" s="696">
        <v>0</v>
      </c>
      <c r="AC95" s="696">
        <v>0</v>
      </c>
      <c r="AD95" s="696">
        <v>0</v>
      </c>
      <c r="AE95" s="696">
        <v>0</v>
      </c>
      <c r="AF95" s="696">
        <v>0</v>
      </c>
      <c r="AG95" s="696">
        <v>0</v>
      </c>
      <c r="AH95" s="696">
        <v>0</v>
      </c>
      <c r="AI95" s="696">
        <v>0</v>
      </c>
      <c r="AJ95" s="696">
        <v>0</v>
      </c>
      <c r="AK95" s="696">
        <v>0</v>
      </c>
      <c r="AL95" s="696"/>
      <c r="AM95" s="696"/>
      <c r="AN95" s="696"/>
      <c r="AO95" s="696"/>
      <c r="AP95" s="696"/>
      <c r="AQ95" s="696"/>
      <c r="AR95" s="696"/>
      <c r="AS95" s="696"/>
      <c r="AT95" s="696"/>
      <c r="AU95" s="696"/>
      <c r="AV95" s="696"/>
      <c r="AW95" s="696"/>
      <c r="AX95" s="696"/>
      <c r="AY95" s="696"/>
      <c r="AZ95" s="696"/>
      <c r="BA95" s="696"/>
      <c r="BB95" s="696"/>
      <c r="BC95" s="696"/>
      <c r="BD95" s="696"/>
      <c r="BE95" s="696"/>
      <c r="BF95" s="696"/>
      <c r="BG95" s="696"/>
      <c r="BH95" s="696"/>
      <c r="BI95" s="696"/>
      <c r="BJ95" s="696"/>
      <c r="BK95" s="696"/>
      <c r="BL95" s="696"/>
      <c r="BM95" s="696"/>
      <c r="BN95" s="696"/>
      <c r="BO95" s="696"/>
      <c r="BP95" s="696"/>
      <c r="BQ95" s="696"/>
      <c r="BR95" s="696"/>
      <c r="BS95" s="696"/>
      <c r="BT95" s="696"/>
      <c r="BU95" s="696"/>
      <c r="BV95" s="696"/>
      <c r="BW95" s="696"/>
      <c r="BX95" s="696"/>
      <c r="BY95" s="696"/>
      <c r="BZ95" s="696"/>
      <c r="CA95" s="696"/>
      <c r="CB95" s="696"/>
      <c r="CC95" s="696"/>
      <c r="CD95" s="696"/>
      <c r="CE95" s="696"/>
      <c r="CF95" s="696"/>
      <c r="CG95" s="696"/>
      <c r="CH95" s="696"/>
      <c r="CI95" s="696"/>
      <c r="CJ95" s="1438"/>
    </row>
    <row r="96" spans="1:89" x14ac:dyDescent="0.2">
      <c r="B96" s="667" t="s">
        <v>610</v>
      </c>
      <c r="C96" s="668" t="s">
        <v>611</v>
      </c>
      <c r="D96" s="668" t="s">
        <v>612</v>
      </c>
      <c r="E96" s="668" t="s">
        <v>236</v>
      </c>
      <c r="F96" s="669">
        <v>2</v>
      </c>
      <c r="G96" s="670"/>
      <c r="H96" s="671"/>
      <c r="I96" s="671">
        <v>0</v>
      </c>
      <c r="J96" s="671">
        <v>0</v>
      </c>
      <c r="K96" s="671">
        <v>0</v>
      </c>
      <c r="L96" s="671">
        <v>0</v>
      </c>
      <c r="M96" s="666">
        <v>0</v>
      </c>
      <c r="N96" s="666">
        <v>0</v>
      </c>
      <c r="O96" s="666">
        <v>0</v>
      </c>
      <c r="P96" s="666">
        <v>0</v>
      </c>
      <c r="Q96" s="666">
        <v>0</v>
      </c>
      <c r="R96" s="666">
        <v>0</v>
      </c>
      <c r="S96" s="666">
        <v>0</v>
      </c>
      <c r="T96" s="666">
        <v>0</v>
      </c>
      <c r="U96" s="666">
        <v>0</v>
      </c>
      <c r="V96" s="666">
        <v>0</v>
      </c>
      <c r="W96" s="666">
        <v>0</v>
      </c>
      <c r="X96" s="666">
        <v>0</v>
      </c>
      <c r="Y96" s="666">
        <v>0</v>
      </c>
      <c r="Z96" s="666">
        <v>0</v>
      </c>
      <c r="AA96" s="666">
        <v>0</v>
      </c>
      <c r="AB96" s="666">
        <v>0</v>
      </c>
      <c r="AC96" s="666">
        <v>0</v>
      </c>
      <c r="AD96" s="666">
        <v>0</v>
      </c>
      <c r="AE96" s="666">
        <v>0</v>
      </c>
      <c r="AF96" s="666">
        <v>0</v>
      </c>
      <c r="AG96" s="666">
        <v>0</v>
      </c>
      <c r="AH96" s="666">
        <v>0</v>
      </c>
      <c r="AI96" s="666">
        <v>0</v>
      </c>
      <c r="AJ96" s="666">
        <v>0</v>
      </c>
      <c r="AK96" s="666">
        <v>0</v>
      </c>
      <c r="AL96" s="666"/>
      <c r="AM96" s="666"/>
      <c r="AN96" s="666"/>
      <c r="AO96" s="666"/>
      <c r="AP96" s="666"/>
      <c r="AQ96" s="666"/>
      <c r="AR96" s="666"/>
      <c r="AS96" s="666"/>
      <c r="AT96" s="666"/>
      <c r="AU96" s="666"/>
      <c r="AV96" s="666"/>
      <c r="AW96" s="666"/>
      <c r="AX96" s="666"/>
      <c r="AY96" s="666"/>
      <c r="AZ96" s="666"/>
      <c r="BA96" s="666"/>
      <c r="BB96" s="666"/>
      <c r="BC96" s="666"/>
      <c r="BD96" s="666"/>
      <c r="BE96" s="666"/>
      <c r="BF96" s="666"/>
      <c r="BG96" s="666"/>
      <c r="BH96" s="666"/>
      <c r="BI96" s="666"/>
      <c r="BJ96" s="666"/>
      <c r="BK96" s="666"/>
      <c r="BL96" s="666"/>
      <c r="BM96" s="666"/>
      <c r="BN96" s="666"/>
      <c r="BO96" s="666"/>
      <c r="BP96" s="666"/>
      <c r="BQ96" s="666"/>
      <c r="BR96" s="666"/>
      <c r="BS96" s="666"/>
      <c r="BT96" s="666"/>
      <c r="BU96" s="666"/>
      <c r="BV96" s="666"/>
      <c r="BW96" s="666"/>
      <c r="BX96" s="666"/>
      <c r="BY96" s="666"/>
      <c r="BZ96" s="666"/>
      <c r="CA96" s="666"/>
      <c r="CB96" s="666"/>
      <c r="CC96" s="666"/>
      <c r="CD96" s="666"/>
      <c r="CE96" s="666"/>
      <c r="CF96" s="666"/>
      <c r="CG96" s="666"/>
      <c r="CH96" s="666"/>
      <c r="CI96" s="666"/>
      <c r="CJ96" s="1439"/>
    </row>
    <row r="97" spans="2:88" ht="28.5" x14ac:dyDescent="0.2">
      <c r="B97" s="667" t="s">
        <v>613</v>
      </c>
      <c r="C97" s="668" t="s">
        <v>614</v>
      </c>
      <c r="D97" s="668" t="s">
        <v>615</v>
      </c>
      <c r="E97" s="668" t="s">
        <v>236</v>
      </c>
      <c r="F97" s="669">
        <v>2</v>
      </c>
      <c r="G97" s="670"/>
      <c r="H97" s="671"/>
      <c r="I97" s="671">
        <v>0</v>
      </c>
      <c r="J97" s="671">
        <v>0</v>
      </c>
      <c r="K97" s="671">
        <v>0</v>
      </c>
      <c r="L97" s="671">
        <v>0</v>
      </c>
      <c r="M97" s="666">
        <v>0</v>
      </c>
      <c r="N97" s="666">
        <v>0</v>
      </c>
      <c r="O97" s="666">
        <v>0</v>
      </c>
      <c r="P97" s="1410">
        <v>0.52981537984108951</v>
      </c>
      <c r="Q97" s="1410">
        <v>0.41022915495426138</v>
      </c>
      <c r="R97" s="1410">
        <v>1.9969002474290551</v>
      </c>
      <c r="S97" s="1410">
        <v>1.9013283248532828</v>
      </c>
      <c r="T97" s="1410">
        <v>4.132353579458325</v>
      </c>
      <c r="U97" s="1410">
        <v>4.0303463650160074</v>
      </c>
      <c r="V97" s="1410">
        <v>3.9299665038642964</v>
      </c>
      <c r="W97" s="1410">
        <v>3.8811543549678813</v>
      </c>
      <c r="X97" s="1410">
        <v>3.8301910463949911</v>
      </c>
      <c r="Y97" s="1410">
        <v>3.7825314736066251</v>
      </c>
      <c r="Z97" s="1410">
        <v>3.7582861267371013</v>
      </c>
      <c r="AA97" s="1410">
        <v>3.7283825950762579</v>
      </c>
      <c r="AB97" s="1410">
        <v>4.6033840907552888</v>
      </c>
      <c r="AC97" s="1410">
        <v>4.576671091952095</v>
      </c>
      <c r="AD97" s="1410">
        <v>4.54951954311794</v>
      </c>
      <c r="AE97" s="1410">
        <v>4.5381927937372986</v>
      </c>
      <c r="AF97" s="1410">
        <v>4.5281645466344935</v>
      </c>
      <c r="AG97" s="1410">
        <v>5.347236636067028</v>
      </c>
      <c r="AH97" s="1410">
        <v>5.3364547211658282</v>
      </c>
      <c r="AI97" s="1410">
        <v>5.3231392274904987</v>
      </c>
      <c r="AJ97" s="1410">
        <v>5.3197550071245763</v>
      </c>
      <c r="AK97" s="1410">
        <v>5.3114223719818474</v>
      </c>
      <c r="AL97" s="666"/>
      <c r="AM97" s="666"/>
      <c r="AN97" s="666"/>
      <c r="AO97" s="666"/>
      <c r="AP97" s="666"/>
      <c r="AQ97" s="666"/>
      <c r="AR97" s="666"/>
      <c r="AS97" s="666"/>
      <c r="AT97" s="666"/>
      <c r="AU97" s="666"/>
      <c r="AV97" s="666"/>
      <c r="AW97" s="666"/>
      <c r="AX97" s="666"/>
      <c r="AY97" s="666"/>
      <c r="AZ97" s="666"/>
      <c r="BA97" s="666"/>
      <c r="BB97" s="666"/>
      <c r="BC97" s="666"/>
      <c r="BD97" s="666"/>
      <c r="BE97" s="666"/>
      <c r="BF97" s="666"/>
      <c r="BG97" s="666"/>
      <c r="BH97" s="666"/>
      <c r="BI97" s="666"/>
      <c r="BJ97" s="666"/>
      <c r="BK97" s="666"/>
      <c r="BL97" s="666"/>
      <c r="BM97" s="666"/>
      <c r="BN97" s="666"/>
      <c r="BO97" s="666"/>
      <c r="BP97" s="666"/>
      <c r="BQ97" s="666"/>
      <c r="BR97" s="666"/>
      <c r="BS97" s="666"/>
      <c r="BT97" s="666"/>
      <c r="BU97" s="666"/>
      <c r="BV97" s="666"/>
      <c r="BW97" s="666"/>
      <c r="BX97" s="666"/>
      <c r="BY97" s="666"/>
      <c r="BZ97" s="666"/>
      <c r="CA97" s="666"/>
      <c r="CB97" s="666"/>
      <c r="CC97" s="666"/>
      <c r="CD97" s="666"/>
      <c r="CE97" s="666"/>
      <c r="CF97" s="666"/>
      <c r="CG97" s="666"/>
      <c r="CH97" s="666"/>
      <c r="CI97" s="666"/>
      <c r="CJ97" s="1439"/>
    </row>
    <row r="98" spans="2:88" ht="28.5" x14ac:dyDescent="0.2">
      <c r="B98" s="667" t="s">
        <v>616</v>
      </c>
      <c r="C98" s="668" t="s">
        <v>617</v>
      </c>
      <c r="D98" s="668" t="s">
        <v>618</v>
      </c>
      <c r="E98" s="668" t="s">
        <v>236</v>
      </c>
      <c r="F98" s="669">
        <v>2</v>
      </c>
      <c r="G98" s="670"/>
      <c r="H98" s="671"/>
      <c r="I98" s="671">
        <v>0</v>
      </c>
      <c r="J98" s="671">
        <v>0</v>
      </c>
      <c r="K98" s="671">
        <v>0</v>
      </c>
      <c r="L98" s="671">
        <v>0</v>
      </c>
      <c r="M98" s="666">
        <v>0</v>
      </c>
      <c r="N98" s="666">
        <v>0</v>
      </c>
      <c r="O98" s="666">
        <v>0</v>
      </c>
      <c r="P98" s="666">
        <v>0</v>
      </c>
      <c r="Q98" s="666">
        <v>0</v>
      </c>
      <c r="R98" s="666">
        <v>0</v>
      </c>
      <c r="S98" s="666">
        <v>0</v>
      </c>
      <c r="T98" s="666">
        <v>0</v>
      </c>
      <c r="U98" s="666">
        <v>0</v>
      </c>
      <c r="V98" s="666">
        <v>0</v>
      </c>
      <c r="W98" s="666">
        <v>0</v>
      </c>
      <c r="X98" s="666">
        <v>0</v>
      </c>
      <c r="Y98" s="666">
        <v>0</v>
      </c>
      <c r="Z98" s="666">
        <v>0</v>
      </c>
      <c r="AA98" s="666">
        <v>0</v>
      </c>
      <c r="AB98" s="666">
        <v>0</v>
      </c>
      <c r="AC98" s="666">
        <v>0</v>
      </c>
      <c r="AD98" s="666">
        <v>0</v>
      </c>
      <c r="AE98" s="666">
        <v>0</v>
      </c>
      <c r="AF98" s="666">
        <v>0</v>
      </c>
      <c r="AG98" s="666">
        <v>0</v>
      </c>
      <c r="AH98" s="666">
        <v>0</v>
      </c>
      <c r="AI98" s="666">
        <v>0</v>
      </c>
      <c r="AJ98" s="666">
        <v>0</v>
      </c>
      <c r="AK98" s="666">
        <v>0</v>
      </c>
      <c r="AL98" s="666"/>
      <c r="AM98" s="666"/>
      <c r="AN98" s="666"/>
      <c r="AO98" s="666"/>
      <c r="AP98" s="666"/>
      <c r="AQ98" s="666"/>
      <c r="AR98" s="666"/>
      <c r="AS98" s="666"/>
      <c r="AT98" s="666"/>
      <c r="AU98" s="666"/>
      <c r="AV98" s="666"/>
      <c r="AW98" s="666"/>
      <c r="AX98" s="666"/>
      <c r="AY98" s="666"/>
      <c r="AZ98" s="666"/>
      <c r="BA98" s="666"/>
      <c r="BB98" s="666"/>
      <c r="BC98" s="666"/>
      <c r="BD98" s="666"/>
      <c r="BE98" s="666"/>
      <c r="BF98" s="666"/>
      <c r="BG98" s="666"/>
      <c r="BH98" s="666"/>
      <c r="BI98" s="666"/>
      <c r="BJ98" s="666"/>
      <c r="BK98" s="666"/>
      <c r="BL98" s="666"/>
      <c r="BM98" s="666"/>
      <c r="BN98" s="666"/>
      <c r="BO98" s="666"/>
      <c r="BP98" s="666"/>
      <c r="BQ98" s="666"/>
      <c r="BR98" s="666"/>
      <c r="BS98" s="666"/>
      <c r="BT98" s="666"/>
      <c r="BU98" s="666"/>
      <c r="BV98" s="666"/>
      <c r="BW98" s="666"/>
      <c r="BX98" s="666"/>
      <c r="BY98" s="666"/>
      <c r="BZ98" s="666"/>
      <c r="CA98" s="666"/>
      <c r="CB98" s="666"/>
      <c r="CC98" s="666"/>
      <c r="CD98" s="666"/>
      <c r="CE98" s="666"/>
      <c r="CF98" s="666"/>
      <c r="CG98" s="666"/>
      <c r="CH98" s="666"/>
      <c r="CI98" s="666"/>
      <c r="CJ98" s="1439"/>
    </row>
    <row r="99" spans="2:88" ht="28.5" x14ac:dyDescent="0.2">
      <c r="B99" s="667" t="s">
        <v>619</v>
      </c>
      <c r="C99" s="668" t="s">
        <v>620</v>
      </c>
      <c r="D99" s="668" t="s">
        <v>621</v>
      </c>
      <c r="E99" s="668" t="s">
        <v>236</v>
      </c>
      <c r="F99" s="669">
        <v>2</v>
      </c>
      <c r="G99" s="670"/>
      <c r="H99" s="671"/>
      <c r="I99" s="671">
        <v>0</v>
      </c>
      <c r="J99" s="671">
        <v>0</v>
      </c>
      <c r="K99" s="671">
        <v>0</v>
      </c>
      <c r="L99" s="671">
        <v>0</v>
      </c>
      <c r="M99" s="666">
        <v>0</v>
      </c>
      <c r="N99" s="1410">
        <v>0.65681876277180884</v>
      </c>
      <c r="O99" s="1410">
        <v>0.61905509567241546</v>
      </c>
      <c r="P99" s="666">
        <v>0</v>
      </c>
      <c r="Q99" s="666">
        <v>0</v>
      </c>
      <c r="R99" s="666">
        <v>0</v>
      </c>
      <c r="S99" s="666">
        <v>0</v>
      </c>
      <c r="T99" s="666">
        <v>0</v>
      </c>
      <c r="U99" s="666">
        <v>0</v>
      </c>
      <c r="V99" s="666">
        <v>0</v>
      </c>
      <c r="W99" s="666">
        <v>0</v>
      </c>
      <c r="X99" s="666">
        <v>0</v>
      </c>
      <c r="Y99" s="666">
        <v>0</v>
      </c>
      <c r="Z99" s="666">
        <v>0</v>
      </c>
      <c r="AA99" s="666">
        <v>0</v>
      </c>
      <c r="AB99" s="666">
        <v>0</v>
      </c>
      <c r="AC99" s="666">
        <v>0</v>
      </c>
      <c r="AD99" s="666">
        <v>0</v>
      </c>
      <c r="AE99" s="666">
        <v>0</v>
      </c>
      <c r="AF99" s="666">
        <v>0</v>
      </c>
      <c r="AG99" s="666">
        <v>0</v>
      </c>
      <c r="AH99" s="666">
        <v>0</v>
      </c>
      <c r="AI99" s="666">
        <v>0</v>
      </c>
      <c r="AJ99" s="666">
        <v>0</v>
      </c>
      <c r="AK99" s="666">
        <v>0</v>
      </c>
      <c r="AL99" s="666"/>
      <c r="AM99" s="666"/>
      <c r="AN99" s="666"/>
      <c r="AO99" s="666"/>
      <c r="AP99" s="666"/>
      <c r="AQ99" s="666"/>
      <c r="AR99" s="666"/>
      <c r="AS99" s="666"/>
      <c r="AT99" s="666"/>
      <c r="AU99" s="666"/>
      <c r="AV99" s="666"/>
      <c r="AW99" s="666"/>
      <c r="AX99" s="666"/>
      <c r="AY99" s="666"/>
      <c r="AZ99" s="666"/>
      <c r="BA99" s="666"/>
      <c r="BB99" s="666"/>
      <c r="BC99" s="666"/>
      <c r="BD99" s="666"/>
      <c r="BE99" s="666"/>
      <c r="BF99" s="666"/>
      <c r="BG99" s="666"/>
      <c r="BH99" s="666"/>
      <c r="BI99" s="666"/>
      <c r="BJ99" s="666"/>
      <c r="BK99" s="666"/>
      <c r="BL99" s="666"/>
      <c r="BM99" s="666"/>
      <c r="BN99" s="666"/>
      <c r="BO99" s="666"/>
      <c r="BP99" s="666"/>
      <c r="BQ99" s="666"/>
      <c r="BR99" s="666"/>
      <c r="BS99" s="666"/>
      <c r="BT99" s="666"/>
      <c r="BU99" s="666"/>
      <c r="BV99" s="666"/>
      <c r="BW99" s="666"/>
      <c r="BX99" s="666"/>
      <c r="BY99" s="666"/>
      <c r="BZ99" s="666"/>
      <c r="CA99" s="666"/>
      <c r="CB99" s="666"/>
      <c r="CC99" s="666"/>
      <c r="CD99" s="666"/>
      <c r="CE99" s="666"/>
      <c r="CF99" s="666"/>
      <c r="CG99" s="666"/>
      <c r="CH99" s="666"/>
      <c r="CI99" s="666"/>
      <c r="CJ99" s="1439"/>
    </row>
    <row r="100" spans="2:88" ht="28.5" x14ac:dyDescent="0.2">
      <c r="B100" s="667" t="s">
        <v>622</v>
      </c>
      <c r="C100" s="673" t="s">
        <v>623</v>
      </c>
      <c r="D100" s="673" t="s">
        <v>624</v>
      </c>
      <c r="E100" s="673" t="s">
        <v>236</v>
      </c>
      <c r="F100" s="669">
        <v>2</v>
      </c>
      <c r="G100" s="670"/>
      <c r="H100" s="671"/>
      <c r="I100" s="671">
        <v>0</v>
      </c>
      <c r="J100" s="671">
        <v>0</v>
      </c>
      <c r="K100" s="671">
        <v>0</v>
      </c>
      <c r="L100" s="671">
        <v>0</v>
      </c>
      <c r="M100" s="666">
        <v>0</v>
      </c>
      <c r="N100" s="666">
        <v>0</v>
      </c>
      <c r="O100" s="666">
        <v>0</v>
      </c>
      <c r="P100" s="666">
        <v>0</v>
      </c>
      <c r="Q100" s="666">
        <v>0</v>
      </c>
      <c r="R100" s="666">
        <v>0</v>
      </c>
      <c r="S100" s="666">
        <v>0</v>
      </c>
      <c r="T100" s="666">
        <v>0</v>
      </c>
      <c r="U100" s="666">
        <v>0</v>
      </c>
      <c r="V100" s="666">
        <v>0</v>
      </c>
      <c r="W100" s="666">
        <v>0</v>
      </c>
      <c r="X100" s="666">
        <v>0</v>
      </c>
      <c r="Y100" s="666">
        <v>0</v>
      </c>
      <c r="Z100" s="666">
        <v>0</v>
      </c>
      <c r="AA100" s="666">
        <v>0</v>
      </c>
      <c r="AB100" s="666">
        <v>0</v>
      </c>
      <c r="AC100" s="666">
        <v>0</v>
      </c>
      <c r="AD100" s="666">
        <v>0</v>
      </c>
      <c r="AE100" s="666">
        <v>0</v>
      </c>
      <c r="AF100" s="666">
        <v>0</v>
      </c>
      <c r="AG100" s="666">
        <v>0</v>
      </c>
      <c r="AH100" s="666">
        <v>0</v>
      </c>
      <c r="AI100" s="666">
        <v>0</v>
      </c>
      <c r="AJ100" s="666">
        <v>0</v>
      </c>
      <c r="AK100" s="666">
        <v>0</v>
      </c>
      <c r="AL100" s="666"/>
      <c r="AM100" s="666"/>
      <c r="AN100" s="666"/>
      <c r="AO100" s="666"/>
      <c r="AP100" s="666"/>
      <c r="AQ100" s="666"/>
      <c r="AR100" s="666"/>
      <c r="AS100" s="666"/>
      <c r="AT100" s="666"/>
      <c r="AU100" s="666"/>
      <c r="AV100" s="666"/>
      <c r="AW100" s="666"/>
      <c r="AX100" s="666"/>
      <c r="AY100" s="666"/>
      <c r="AZ100" s="666"/>
      <c r="BA100" s="666"/>
      <c r="BB100" s="666"/>
      <c r="BC100" s="666"/>
      <c r="BD100" s="666"/>
      <c r="BE100" s="666"/>
      <c r="BF100" s="666"/>
      <c r="BG100" s="666"/>
      <c r="BH100" s="666"/>
      <c r="BI100" s="666"/>
      <c r="BJ100" s="666"/>
      <c r="BK100" s="666"/>
      <c r="BL100" s="666"/>
      <c r="BM100" s="666"/>
      <c r="BN100" s="666"/>
      <c r="BO100" s="666"/>
      <c r="BP100" s="666"/>
      <c r="BQ100" s="666"/>
      <c r="BR100" s="666"/>
      <c r="BS100" s="666"/>
      <c r="BT100" s="666"/>
      <c r="BU100" s="666"/>
      <c r="BV100" s="666"/>
      <c r="BW100" s="666"/>
      <c r="BX100" s="666"/>
      <c r="BY100" s="666"/>
      <c r="BZ100" s="666"/>
      <c r="CA100" s="666"/>
      <c r="CB100" s="666"/>
      <c r="CC100" s="666"/>
      <c r="CD100" s="666"/>
      <c r="CE100" s="666"/>
      <c r="CF100" s="666"/>
      <c r="CG100" s="666"/>
      <c r="CH100" s="666"/>
      <c r="CI100" s="666"/>
      <c r="CJ100" s="1439"/>
    </row>
    <row r="101" spans="2:88" x14ac:dyDescent="0.2">
      <c r="B101" s="667" t="s">
        <v>625</v>
      </c>
      <c r="C101" s="668" t="s">
        <v>626</v>
      </c>
      <c r="D101" s="668" t="s">
        <v>627</v>
      </c>
      <c r="E101" s="668" t="s">
        <v>236</v>
      </c>
      <c r="F101" s="669">
        <v>2</v>
      </c>
      <c r="G101" s="670"/>
      <c r="H101" s="671"/>
      <c r="I101" s="671">
        <v>0</v>
      </c>
      <c r="J101" s="671">
        <v>0</v>
      </c>
      <c r="K101" s="671">
        <v>0</v>
      </c>
      <c r="L101" s="671">
        <v>0</v>
      </c>
      <c r="M101" s="666">
        <v>0</v>
      </c>
      <c r="N101" s="666">
        <v>0</v>
      </c>
      <c r="O101" s="666">
        <v>0</v>
      </c>
      <c r="P101" s="666">
        <v>0</v>
      </c>
      <c r="Q101" s="666">
        <v>0</v>
      </c>
      <c r="R101" s="666">
        <v>0</v>
      </c>
      <c r="S101" s="666">
        <v>0</v>
      </c>
      <c r="T101" s="666">
        <v>0</v>
      </c>
      <c r="U101" s="666">
        <v>0</v>
      </c>
      <c r="V101" s="666">
        <v>0</v>
      </c>
      <c r="W101" s="666">
        <v>0</v>
      </c>
      <c r="X101" s="666">
        <v>0</v>
      </c>
      <c r="Y101" s="666">
        <v>0</v>
      </c>
      <c r="Z101" s="666">
        <v>0</v>
      </c>
      <c r="AA101" s="666">
        <v>0</v>
      </c>
      <c r="AB101" s="666">
        <v>0</v>
      </c>
      <c r="AC101" s="666">
        <v>0</v>
      </c>
      <c r="AD101" s="666">
        <v>0</v>
      </c>
      <c r="AE101" s="666">
        <v>0</v>
      </c>
      <c r="AF101" s="666">
        <v>0</v>
      </c>
      <c r="AG101" s="666">
        <v>0</v>
      </c>
      <c r="AH101" s="666">
        <v>0</v>
      </c>
      <c r="AI101" s="666">
        <v>0</v>
      </c>
      <c r="AJ101" s="666">
        <v>0</v>
      </c>
      <c r="AK101" s="666">
        <v>0</v>
      </c>
      <c r="AL101" s="666"/>
      <c r="AM101" s="666"/>
      <c r="AN101" s="666"/>
      <c r="AO101" s="666"/>
      <c r="AP101" s="666"/>
      <c r="AQ101" s="666"/>
      <c r="AR101" s="666"/>
      <c r="AS101" s="666"/>
      <c r="AT101" s="666"/>
      <c r="AU101" s="666"/>
      <c r="AV101" s="666"/>
      <c r="AW101" s="666"/>
      <c r="AX101" s="666"/>
      <c r="AY101" s="666"/>
      <c r="AZ101" s="666"/>
      <c r="BA101" s="666"/>
      <c r="BB101" s="666"/>
      <c r="BC101" s="666"/>
      <c r="BD101" s="666"/>
      <c r="BE101" s="666"/>
      <c r="BF101" s="666"/>
      <c r="BG101" s="666"/>
      <c r="BH101" s="666"/>
      <c r="BI101" s="666"/>
      <c r="BJ101" s="666"/>
      <c r="BK101" s="666"/>
      <c r="BL101" s="666"/>
      <c r="BM101" s="666"/>
      <c r="BN101" s="666"/>
      <c r="BO101" s="666"/>
      <c r="BP101" s="666"/>
      <c r="BQ101" s="666"/>
      <c r="BR101" s="666"/>
      <c r="BS101" s="666"/>
      <c r="BT101" s="666"/>
      <c r="BU101" s="666"/>
      <c r="BV101" s="666"/>
      <c r="BW101" s="666"/>
      <c r="BX101" s="666"/>
      <c r="BY101" s="666"/>
      <c r="BZ101" s="666"/>
      <c r="CA101" s="666"/>
      <c r="CB101" s="666"/>
      <c r="CC101" s="666"/>
      <c r="CD101" s="666"/>
      <c r="CE101" s="666"/>
      <c r="CF101" s="666"/>
      <c r="CG101" s="666"/>
      <c r="CH101" s="666"/>
      <c r="CI101" s="666"/>
      <c r="CJ101" s="1439"/>
    </row>
    <row r="102" spans="2:88" ht="38.25" customHeight="1" x14ac:dyDescent="0.2">
      <c r="B102" s="667" t="s">
        <v>628</v>
      </c>
      <c r="C102" s="675" t="s">
        <v>629</v>
      </c>
      <c r="D102" s="676" t="s">
        <v>630</v>
      </c>
      <c r="E102" s="675" t="s">
        <v>236</v>
      </c>
      <c r="F102" s="677">
        <v>2</v>
      </c>
      <c r="G102" s="670"/>
      <c r="H102" s="671"/>
      <c r="I102" s="671">
        <v>0</v>
      </c>
      <c r="J102" s="671">
        <v>0</v>
      </c>
      <c r="K102" s="671">
        <v>0</v>
      </c>
      <c r="L102" s="671">
        <v>0</v>
      </c>
      <c r="M102" s="666">
        <v>0</v>
      </c>
      <c r="N102" s="666">
        <v>0</v>
      </c>
      <c r="O102" s="666">
        <v>0</v>
      </c>
      <c r="P102" s="666">
        <v>0</v>
      </c>
      <c r="Q102" s="666">
        <v>0</v>
      </c>
      <c r="R102" s="666">
        <v>0</v>
      </c>
      <c r="S102" s="666">
        <v>0</v>
      </c>
      <c r="T102" s="666">
        <v>0</v>
      </c>
      <c r="U102" s="666">
        <v>0</v>
      </c>
      <c r="V102" s="666">
        <v>0</v>
      </c>
      <c r="W102" s="666">
        <v>0</v>
      </c>
      <c r="X102" s="666">
        <v>0</v>
      </c>
      <c r="Y102" s="666">
        <v>0</v>
      </c>
      <c r="Z102" s="666">
        <v>0</v>
      </c>
      <c r="AA102" s="666">
        <v>0</v>
      </c>
      <c r="AB102" s="666">
        <v>0</v>
      </c>
      <c r="AC102" s="666">
        <v>0</v>
      </c>
      <c r="AD102" s="666">
        <v>0</v>
      </c>
      <c r="AE102" s="666">
        <v>0</v>
      </c>
      <c r="AF102" s="666">
        <v>0</v>
      </c>
      <c r="AG102" s="666">
        <v>0</v>
      </c>
      <c r="AH102" s="666">
        <v>0</v>
      </c>
      <c r="AI102" s="666">
        <v>0</v>
      </c>
      <c r="AJ102" s="666">
        <v>0</v>
      </c>
      <c r="AK102" s="666">
        <v>0</v>
      </c>
      <c r="AL102" s="666"/>
      <c r="AM102" s="666"/>
      <c r="AN102" s="666"/>
      <c r="AO102" s="666"/>
      <c r="AP102" s="666"/>
      <c r="AQ102" s="666"/>
      <c r="AR102" s="666"/>
      <c r="AS102" s="666"/>
      <c r="AT102" s="666"/>
      <c r="AU102" s="666"/>
      <c r="AV102" s="666"/>
      <c r="AW102" s="666"/>
      <c r="AX102" s="666"/>
      <c r="AY102" s="666"/>
      <c r="AZ102" s="666"/>
      <c r="BA102" s="666"/>
      <c r="BB102" s="666"/>
      <c r="BC102" s="666"/>
      <c r="BD102" s="666"/>
      <c r="BE102" s="666"/>
      <c r="BF102" s="666"/>
      <c r="BG102" s="666"/>
      <c r="BH102" s="666"/>
      <c r="BI102" s="666"/>
      <c r="BJ102" s="666"/>
      <c r="BK102" s="666"/>
      <c r="BL102" s="666"/>
      <c r="BM102" s="666"/>
      <c r="BN102" s="666"/>
      <c r="BO102" s="666"/>
      <c r="BP102" s="666"/>
      <c r="BQ102" s="666"/>
      <c r="BR102" s="666"/>
      <c r="BS102" s="666"/>
      <c r="BT102" s="666"/>
      <c r="BU102" s="666"/>
      <c r="BV102" s="666"/>
      <c r="BW102" s="666"/>
      <c r="BX102" s="666"/>
      <c r="BY102" s="666"/>
      <c r="BZ102" s="666"/>
      <c r="CA102" s="666"/>
      <c r="CB102" s="666"/>
      <c r="CC102" s="666"/>
      <c r="CD102" s="666"/>
      <c r="CE102" s="666"/>
      <c r="CF102" s="666"/>
      <c r="CG102" s="666"/>
      <c r="CH102" s="666"/>
      <c r="CI102" s="666"/>
      <c r="CJ102" s="1439"/>
    </row>
    <row r="103" spans="2:88" ht="38.25" customHeight="1" x14ac:dyDescent="0.2">
      <c r="B103" s="667" t="s">
        <v>631</v>
      </c>
      <c r="C103" s="675" t="s">
        <v>632</v>
      </c>
      <c r="D103" s="676" t="s">
        <v>633</v>
      </c>
      <c r="E103" s="675" t="s">
        <v>236</v>
      </c>
      <c r="F103" s="677">
        <v>2</v>
      </c>
      <c r="G103" s="670"/>
      <c r="H103" s="1385"/>
      <c r="I103" s="1385">
        <v>0.56196775129138377</v>
      </c>
      <c r="J103" s="1385">
        <v>0.56098551561311139</v>
      </c>
      <c r="K103" s="1385">
        <v>0.54042307966133263</v>
      </c>
      <c r="L103" s="1385">
        <v>0.53105987093583762</v>
      </c>
      <c r="M103" s="1410">
        <v>0.51870798545913988</v>
      </c>
      <c r="N103" s="1410">
        <v>0.51531734399295592</v>
      </c>
      <c r="O103" s="1410">
        <v>0.51221897509395931</v>
      </c>
      <c r="P103" s="1410">
        <v>0.50317508689781199</v>
      </c>
      <c r="Q103" s="1410">
        <v>0.47917946755533014</v>
      </c>
      <c r="R103" s="1410">
        <v>0.45092093322196958</v>
      </c>
      <c r="S103" s="1410">
        <v>0.43694180327222432</v>
      </c>
      <c r="T103" s="1410">
        <v>0.43107348409504465</v>
      </c>
      <c r="U103" s="1410">
        <v>0.42393881556024793</v>
      </c>
      <c r="V103" s="1410">
        <v>0.41695742174332828</v>
      </c>
      <c r="W103" s="1410">
        <v>0.41503255168982134</v>
      </c>
      <c r="X103" s="1410">
        <v>0.41321612621159592</v>
      </c>
      <c r="Y103" s="1410">
        <v>0.41153776052418334</v>
      </c>
      <c r="Z103" s="1410">
        <v>0.41001716434713187</v>
      </c>
      <c r="AA103" s="1410">
        <v>0.40826817933328524</v>
      </c>
      <c r="AB103" s="1410">
        <v>0.4058587102116038</v>
      </c>
      <c r="AC103" s="1410">
        <v>0.40406182218465514</v>
      </c>
      <c r="AD103" s="1410">
        <v>0.40245910342680841</v>
      </c>
      <c r="AE103" s="1410">
        <v>0.4025341842479559</v>
      </c>
      <c r="AF103" s="1410">
        <v>0.40266357289062238</v>
      </c>
      <c r="AG103" s="1410">
        <v>0.40279248094243914</v>
      </c>
      <c r="AH103" s="1410">
        <v>0.40304587489311217</v>
      </c>
      <c r="AI103" s="1410">
        <v>0.40331684387406824</v>
      </c>
      <c r="AJ103" s="1410">
        <v>0.403668082641368</v>
      </c>
      <c r="AK103" s="1410">
        <v>0.4039941938470572</v>
      </c>
      <c r="AL103" s="666"/>
      <c r="AM103" s="666"/>
      <c r="AN103" s="666"/>
      <c r="AO103" s="666"/>
      <c r="AP103" s="666"/>
      <c r="AQ103" s="666"/>
      <c r="AR103" s="666"/>
      <c r="AS103" s="666"/>
      <c r="AT103" s="666"/>
      <c r="AU103" s="666"/>
      <c r="AV103" s="666"/>
      <c r="AW103" s="666"/>
      <c r="AX103" s="666"/>
      <c r="AY103" s="666"/>
      <c r="AZ103" s="666"/>
      <c r="BA103" s="666"/>
      <c r="BB103" s="666"/>
      <c r="BC103" s="666"/>
      <c r="BD103" s="666"/>
      <c r="BE103" s="666"/>
      <c r="BF103" s="666"/>
      <c r="BG103" s="666"/>
      <c r="BH103" s="666"/>
      <c r="BI103" s="666"/>
      <c r="BJ103" s="666"/>
      <c r="BK103" s="666"/>
      <c r="BL103" s="666"/>
      <c r="BM103" s="666"/>
      <c r="BN103" s="666"/>
      <c r="BO103" s="666"/>
      <c r="BP103" s="666"/>
      <c r="BQ103" s="666"/>
      <c r="BR103" s="666"/>
      <c r="BS103" s="666"/>
      <c r="BT103" s="666"/>
      <c r="BU103" s="666"/>
      <c r="BV103" s="666"/>
      <c r="BW103" s="666"/>
      <c r="BX103" s="666"/>
      <c r="BY103" s="666"/>
      <c r="BZ103" s="666"/>
      <c r="CA103" s="666"/>
      <c r="CB103" s="666"/>
      <c r="CC103" s="666"/>
      <c r="CD103" s="666"/>
      <c r="CE103" s="666"/>
      <c r="CF103" s="666"/>
      <c r="CG103" s="666"/>
      <c r="CH103" s="666"/>
      <c r="CI103" s="666"/>
      <c r="CJ103" s="1439"/>
    </row>
    <row r="104" spans="2:88" ht="42.75" x14ac:dyDescent="0.2">
      <c r="B104" s="667" t="s">
        <v>634</v>
      </c>
      <c r="C104" s="668" t="s">
        <v>635</v>
      </c>
      <c r="D104" s="668" t="s">
        <v>636</v>
      </c>
      <c r="E104" s="668" t="s">
        <v>236</v>
      </c>
      <c r="F104" s="669">
        <v>2</v>
      </c>
      <c r="G104" s="670"/>
      <c r="H104" s="671"/>
      <c r="I104" s="671">
        <v>0</v>
      </c>
      <c r="J104" s="671">
        <v>0</v>
      </c>
      <c r="K104" s="671">
        <v>0</v>
      </c>
      <c r="L104" s="671">
        <v>0</v>
      </c>
      <c r="M104" s="666">
        <v>0</v>
      </c>
      <c r="N104" s="666">
        <v>0</v>
      </c>
      <c r="O104" s="666">
        <v>0</v>
      </c>
      <c r="P104" s="666">
        <v>0</v>
      </c>
      <c r="Q104" s="666">
        <v>0</v>
      </c>
      <c r="R104" s="666">
        <v>0</v>
      </c>
      <c r="S104" s="666">
        <v>0</v>
      </c>
      <c r="T104" s="666">
        <v>0</v>
      </c>
      <c r="U104" s="666">
        <v>0</v>
      </c>
      <c r="V104" s="666">
        <v>0</v>
      </c>
      <c r="W104" s="666">
        <v>0</v>
      </c>
      <c r="X104" s="666">
        <v>0</v>
      </c>
      <c r="Y104" s="666">
        <v>0</v>
      </c>
      <c r="Z104" s="666">
        <v>0</v>
      </c>
      <c r="AA104" s="666">
        <v>0</v>
      </c>
      <c r="AB104" s="666">
        <v>0</v>
      </c>
      <c r="AC104" s="666">
        <v>0</v>
      </c>
      <c r="AD104" s="666">
        <v>0</v>
      </c>
      <c r="AE104" s="666">
        <v>0</v>
      </c>
      <c r="AF104" s="666">
        <v>0</v>
      </c>
      <c r="AG104" s="666">
        <v>0</v>
      </c>
      <c r="AH104" s="666">
        <v>0</v>
      </c>
      <c r="AI104" s="666">
        <v>0</v>
      </c>
      <c r="AJ104" s="666">
        <v>0</v>
      </c>
      <c r="AK104" s="666">
        <v>0</v>
      </c>
      <c r="AL104" s="666"/>
      <c r="AM104" s="666"/>
      <c r="AN104" s="666"/>
      <c r="AO104" s="666"/>
      <c r="AP104" s="666"/>
      <c r="AQ104" s="666"/>
      <c r="AR104" s="666"/>
      <c r="AS104" s="666"/>
      <c r="AT104" s="666"/>
      <c r="AU104" s="666"/>
      <c r="AV104" s="666"/>
      <c r="AW104" s="666"/>
      <c r="AX104" s="666"/>
      <c r="AY104" s="666"/>
      <c r="AZ104" s="666"/>
      <c r="BA104" s="666"/>
      <c r="BB104" s="666"/>
      <c r="BC104" s="666"/>
      <c r="BD104" s="666"/>
      <c r="BE104" s="666"/>
      <c r="BF104" s="666"/>
      <c r="BG104" s="666"/>
      <c r="BH104" s="666"/>
      <c r="BI104" s="666"/>
      <c r="BJ104" s="666"/>
      <c r="BK104" s="666"/>
      <c r="BL104" s="666"/>
      <c r="BM104" s="666"/>
      <c r="BN104" s="666"/>
      <c r="BO104" s="666"/>
      <c r="BP104" s="666"/>
      <c r="BQ104" s="666"/>
      <c r="BR104" s="666"/>
      <c r="BS104" s="666"/>
      <c r="BT104" s="666"/>
      <c r="BU104" s="666"/>
      <c r="BV104" s="666"/>
      <c r="BW104" s="666"/>
      <c r="BX104" s="666"/>
      <c r="BY104" s="666"/>
      <c r="BZ104" s="666"/>
      <c r="CA104" s="666"/>
      <c r="CB104" s="666"/>
      <c r="CC104" s="666"/>
      <c r="CD104" s="666"/>
      <c r="CE104" s="666"/>
      <c r="CF104" s="666"/>
      <c r="CG104" s="666"/>
      <c r="CH104" s="666"/>
      <c r="CI104" s="666"/>
      <c r="CJ104" s="1439"/>
    </row>
    <row r="105" spans="2:88" x14ac:dyDescent="0.2">
      <c r="B105" s="667" t="s">
        <v>637</v>
      </c>
      <c r="C105" s="668" t="s">
        <v>638</v>
      </c>
      <c r="D105" s="668" t="s">
        <v>639</v>
      </c>
      <c r="E105" s="668" t="s">
        <v>236</v>
      </c>
      <c r="F105" s="669">
        <v>2</v>
      </c>
      <c r="G105" s="670"/>
      <c r="H105" s="671"/>
      <c r="I105" s="671">
        <v>0</v>
      </c>
      <c r="J105" s="671">
        <v>0</v>
      </c>
      <c r="K105" s="671">
        <v>0</v>
      </c>
      <c r="L105" s="671">
        <v>0</v>
      </c>
      <c r="M105" s="666">
        <v>0</v>
      </c>
      <c r="N105" s="666">
        <v>0</v>
      </c>
      <c r="O105" s="666">
        <v>0</v>
      </c>
      <c r="P105" s="666">
        <v>0</v>
      </c>
      <c r="Q105" s="666">
        <v>0</v>
      </c>
      <c r="R105" s="666">
        <v>0</v>
      </c>
      <c r="S105" s="666">
        <v>0</v>
      </c>
      <c r="T105" s="666">
        <v>0</v>
      </c>
      <c r="U105" s="666">
        <v>0</v>
      </c>
      <c r="V105" s="666">
        <v>0</v>
      </c>
      <c r="W105" s="666">
        <v>0</v>
      </c>
      <c r="X105" s="666">
        <v>0</v>
      </c>
      <c r="Y105" s="666">
        <v>0</v>
      </c>
      <c r="Z105" s="666">
        <v>0</v>
      </c>
      <c r="AA105" s="666">
        <v>0</v>
      </c>
      <c r="AB105" s="666">
        <v>0</v>
      </c>
      <c r="AC105" s="666">
        <v>0</v>
      </c>
      <c r="AD105" s="666">
        <v>0</v>
      </c>
      <c r="AE105" s="666">
        <v>0</v>
      </c>
      <c r="AF105" s="666">
        <v>0</v>
      </c>
      <c r="AG105" s="666">
        <v>0</v>
      </c>
      <c r="AH105" s="666">
        <v>0</v>
      </c>
      <c r="AI105" s="666">
        <v>0</v>
      </c>
      <c r="AJ105" s="666">
        <v>0</v>
      </c>
      <c r="AK105" s="666">
        <v>0</v>
      </c>
      <c r="AL105" s="666"/>
      <c r="AM105" s="666"/>
      <c r="AN105" s="666"/>
      <c r="AO105" s="666"/>
      <c r="AP105" s="666"/>
      <c r="AQ105" s="666"/>
      <c r="AR105" s="666"/>
      <c r="AS105" s="666"/>
      <c r="AT105" s="666"/>
      <c r="AU105" s="666"/>
      <c r="AV105" s="666"/>
      <c r="AW105" s="666"/>
      <c r="AX105" s="666"/>
      <c r="AY105" s="666"/>
      <c r="AZ105" s="666"/>
      <c r="BA105" s="666"/>
      <c r="BB105" s="666"/>
      <c r="BC105" s="666"/>
      <c r="BD105" s="666"/>
      <c r="BE105" s="666"/>
      <c r="BF105" s="666"/>
      <c r="BG105" s="666"/>
      <c r="BH105" s="666"/>
      <c r="BI105" s="666"/>
      <c r="BJ105" s="666"/>
      <c r="BK105" s="666"/>
      <c r="BL105" s="666"/>
      <c r="BM105" s="666"/>
      <c r="BN105" s="666"/>
      <c r="BO105" s="666"/>
      <c r="BP105" s="666"/>
      <c r="BQ105" s="666"/>
      <c r="BR105" s="666"/>
      <c r="BS105" s="666"/>
      <c r="BT105" s="666"/>
      <c r="BU105" s="666"/>
      <c r="BV105" s="666"/>
      <c r="BW105" s="666"/>
      <c r="BX105" s="666"/>
      <c r="BY105" s="666"/>
      <c r="BZ105" s="666"/>
      <c r="CA105" s="666"/>
      <c r="CB105" s="666"/>
      <c r="CC105" s="666"/>
      <c r="CD105" s="666"/>
      <c r="CE105" s="666"/>
      <c r="CF105" s="666"/>
      <c r="CG105" s="666"/>
      <c r="CH105" s="666"/>
      <c r="CI105" s="666"/>
      <c r="CJ105" s="1439"/>
    </row>
    <row r="106" spans="2:88" ht="15" thickBot="1" x14ac:dyDescent="0.25">
      <c r="B106" s="678" t="s">
        <v>640</v>
      </c>
      <c r="C106" s="679" t="s">
        <v>641</v>
      </c>
      <c r="D106" s="679" t="s">
        <v>642</v>
      </c>
      <c r="E106" s="679" t="s">
        <v>236</v>
      </c>
      <c r="F106" s="680">
        <v>2</v>
      </c>
      <c r="G106" s="681"/>
      <c r="H106" s="682"/>
      <c r="I106" s="682">
        <v>0</v>
      </c>
      <c r="J106" s="682">
        <v>0</v>
      </c>
      <c r="K106" s="682">
        <v>0</v>
      </c>
      <c r="L106" s="682">
        <v>0</v>
      </c>
      <c r="M106" s="1517">
        <v>0</v>
      </c>
      <c r="N106" s="1517">
        <v>0</v>
      </c>
      <c r="O106" s="1517">
        <v>0</v>
      </c>
      <c r="P106" s="1517">
        <v>0</v>
      </c>
      <c r="Q106" s="1517">
        <v>0</v>
      </c>
      <c r="R106" s="1517">
        <v>0</v>
      </c>
      <c r="S106" s="1517">
        <v>0</v>
      </c>
      <c r="T106" s="1517">
        <v>0</v>
      </c>
      <c r="U106" s="1517">
        <v>0</v>
      </c>
      <c r="V106" s="1517">
        <v>0</v>
      </c>
      <c r="W106" s="1517">
        <v>0</v>
      </c>
      <c r="X106" s="1517">
        <v>0</v>
      </c>
      <c r="Y106" s="1517">
        <v>0</v>
      </c>
      <c r="Z106" s="1517">
        <v>0</v>
      </c>
      <c r="AA106" s="1517">
        <v>0</v>
      </c>
      <c r="AB106" s="1517">
        <v>0</v>
      </c>
      <c r="AC106" s="1517">
        <v>0</v>
      </c>
      <c r="AD106" s="1517">
        <v>0</v>
      </c>
      <c r="AE106" s="1517">
        <v>0</v>
      </c>
      <c r="AF106" s="1517">
        <v>0</v>
      </c>
      <c r="AG106" s="1517">
        <v>0</v>
      </c>
      <c r="AH106" s="1517">
        <v>0</v>
      </c>
      <c r="AI106" s="1517">
        <v>0</v>
      </c>
      <c r="AJ106" s="1517">
        <v>0</v>
      </c>
      <c r="AK106" s="1517">
        <v>0</v>
      </c>
      <c r="AL106" s="1517"/>
      <c r="AM106" s="1517"/>
      <c r="AN106" s="1517"/>
      <c r="AO106" s="1517"/>
      <c r="AP106" s="1517"/>
      <c r="AQ106" s="1517"/>
      <c r="AR106" s="1517"/>
      <c r="AS106" s="1517"/>
      <c r="AT106" s="1517"/>
      <c r="AU106" s="1517"/>
      <c r="AV106" s="1517"/>
      <c r="AW106" s="1517"/>
      <c r="AX106" s="1517"/>
      <c r="AY106" s="1517"/>
      <c r="AZ106" s="1517"/>
      <c r="BA106" s="1517"/>
      <c r="BB106" s="1517"/>
      <c r="BC106" s="1517"/>
      <c r="BD106" s="1517"/>
      <c r="BE106" s="1517"/>
      <c r="BF106" s="1517"/>
      <c r="BG106" s="1517"/>
      <c r="BH106" s="1517"/>
      <c r="BI106" s="1517"/>
      <c r="BJ106" s="1517"/>
      <c r="BK106" s="1517"/>
      <c r="BL106" s="1517"/>
      <c r="BM106" s="1517"/>
      <c r="BN106" s="1517"/>
      <c r="BO106" s="1517"/>
      <c r="BP106" s="1517"/>
      <c r="BQ106" s="1517"/>
      <c r="BR106" s="1517"/>
      <c r="BS106" s="1517"/>
      <c r="BT106" s="1517"/>
      <c r="BU106" s="1517"/>
      <c r="BV106" s="1517"/>
      <c r="BW106" s="1517"/>
      <c r="BX106" s="1517"/>
      <c r="BY106" s="1517"/>
      <c r="BZ106" s="1517"/>
      <c r="CA106" s="1517"/>
      <c r="CB106" s="1517"/>
      <c r="CC106" s="1517"/>
      <c r="CD106" s="1517"/>
      <c r="CE106" s="1517"/>
      <c r="CF106" s="1517"/>
      <c r="CG106" s="1517"/>
      <c r="CH106" s="1517"/>
      <c r="CI106" s="1517"/>
      <c r="CJ106" s="1439"/>
    </row>
    <row r="107" spans="2:88" ht="57" x14ac:dyDescent="0.2">
      <c r="B107" s="684" t="s">
        <v>643</v>
      </c>
      <c r="C107" s="685" t="s">
        <v>644</v>
      </c>
      <c r="D107" s="686" t="s">
        <v>645</v>
      </c>
      <c r="E107" s="685" t="s">
        <v>236</v>
      </c>
      <c r="F107" s="687">
        <v>2</v>
      </c>
      <c r="G107" s="664"/>
      <c r="H107" s="1513"/>
      <c r="I107" s="1513">
        <v>0</v>
      </c>
      <c r="J107" s="1513">
        <v>0</v>
      </c>
      <c r="K107" s="1513">
        <v>0</v>
      </c>
      <c r="L107" s="1513">
        <v>0</v>
      </c>
      <c r="M107" s="665">
        <v>-1.0154386998546094E-2</v>
      </c>
      <c r="N107" s="665">
        <v>-2.0308868104788935E-2</v>
      </c>
      <c r="O107" s="665">
        <v>-3.0463443318726302E-2</v>
      </c>
      <c r="P107" s="665">
        <v>-4.0618112640359527E-2</v>
      </c>
      <c r="Q107" s="665">
        <v>-5.0772876069688166E-2</v>
      </c>
      <c r="R107" s="665">
        <v>-7.2528057370759402E-2</v>
      </c>
      <c r="S107" s="665">
        <v>-9.4283332779527385E-2</v>
      </c>
      <c r="T107" s="665">
        <v>-0.11603870229599078</v>
      </c>
      <c r="U107" s="665">
        <v>-0.13779416592014915</v>
      </c>
      <c r="V107" s="665">
        <v>-0.15954972365200337</v>
      </c>
      <c r="W107" s="665">
        <v>-0.17975908329345813</v>
      </c>
      <c r="X107" s="665">
        <v>-0.19996853704260964</v>
      </c>
      <c r="Y107" s="665">
        <v>-0.22017808489945612</v>
      </c>
      <c r="Z107" s="665">
        <v>-0.2201891316227842</v>
      </c>
      <c r="AA107" s="665">
        <v>-0.22020027245380547</v>
      </c>
      <c r="AB107" s="665">
        <v>-0.2202115073925226</v>
      </c>
      <c r="AC107" s="665">
        <v>-0.22022283643893736</v>
      </c>
      <c r="AD107" s="665">
        <v>-0.22023425959304532</v>
      </c>
      <c r="AE107" s="665">
        <v>-0.22024577685485003</v>
      </c>
      <c r="AF107" s="665">
        <v>-0.22025738822435059</v>
      </c>
      <c r="AG107" s="665">
        <v>-0.22026909370154701</v>
      </c>
      <c r="AH107" s="665">
        <v>-0.22028089328643752</v>
      </c>
      <c r="AI107" s="665">
        <v>-0.22029278697902477</v>
      </c>
      <c r="AJ107" s="665">
        <v>-0.22030477477930788</v>
      </c>
      <c r="AK107" s="665">
        <v>-0.22031685668728507</v>
      </c>
      <c r="AL107" s="665"/>
      <c r="AM107" s="665"/>
      <c r="AN107" s="665"/>
      <c r="AO107" s="665"/>
      <c r="AP107" s="665"/>
      <c r="AQ107" s="665"/>
      <c r="AR107" s="665"/>
      <c r="AS107" s="665"/>
      <c r="AT107" s="665"/>
      <c r="AU107" s="665"/>
      <c r="AV107" s="665"/>
      <c r="AW107" s="665"/>
      <c r="AX107" s="665"/>
      <c r="AY107" s="665"/>
      <c r="AZ107" s="665"/>
      <c r="BA107" s="665"/>
      <c r="BB107" s="665"/>
      <c r="BC107" s="665"/>
      <c r="BD107" s="665"/>
      <c r="BE107" s="665"/>
      <c r="BF107" s="665"/>
      <c r="BG107" s="665"/>
      <c r="BH107" s="665"/>
      <c r="BI107" s="665"/>
      <c r="BJ107" s="665"/>
      <c r="BK107" s="665"/>
      <c r="BL107" s="665"/>
      <c r="BM107" s="665"/>
      <c r="BN107" s="665"/>
      <c r="BO107" s="665"/>
      <c r="BP107" s="665"/>
      <c r="BQ107" s="665"/>
      <c r="BR107" s="665"/>
      <c r="BS107" s="665"/>
      <c r="BT107" s="665"/>
      <c r="BU107" s="665"/>
      <c r="BV107" s="665"/>
      <c r="BW107" s="665"/>
      <c r="BX107" s="665"/>
      <c r="BY107" s="665"/>
      <c r="BZ107" s="665"/>
      <c r="CA107" s="665"/>
      <c r="CB107" s="665"/>
      <c r="CC107" s="665"/>
      <c r="CD107" s="665"/>
      <c r="CE107" s="665"/>
      <c r="CF107" s="665"/>
      <c r="CG107" s="665"/>
      <c r="CH107" s="665"/>
      <c r="CI107" s="665"/>
      <c r="CJ107" s="1439"/>
    </row>
    <row r="108" spans="2:88" ht="57" x14ac:dyDescent="0.2">
      <c r="B108" s="688" t="s">
        <v>646</v>
      </c>
      <c r="C108" s="689" t="s">
        <v>647</v>
      </c>
      <c r="D108" s="690" t="s">
        <v>648</v>
      </c>
      <c r="E108" s="689" t="s">
        <v>236</v>
      </c>
      <c r="F108" s="691">
        <v>2</v>
      </c>
      <c r="G108" s="670"/>
      <c r="H108" s="671"/>
      <c r="I108" s="671">
        <v>0</v>
      </c>
      <c r="J108" s="671">
        <v>0</v>
      </c>
      <c r="K108" s="671">
        <v>0</v>
      </c>
      <c r="L108" s="671">
        <v>0</v>
      </c>
      <c r="M108" s="666">
        <v>-3.2348925058395955E-6</v>
      </c>
      <c r="N108" s="666">
        <v>-6.4016757140815395E-6</v>
      </c>
      <c r="O108" s="666">
        <v>-9.5003496247275665E-6</v>
      </c>
      <c r="P108" s="666">
        <v>-1.2530914237774207E-5</v>
      </c>
      <c r="Q108" s="666">
        <v>-1.5493369553224931E-5</v>
      </c>
      <c r="R108" s="666">
        <v>-1.8387715571079738E-5</v>
      </c>
      <c r="S108" s="666">
        <v>-2.1213952291336893E-5</v>
      </c>
      <c r="T108" s="666">
        <v>-2.3972079713994662E-5</v>
      </c>
      <c r="U108" s="666">
        <v>-2.6662097839056514E-5</v>
      </c>
      <c r="V108" s="666">
        <v>-2.9624553154507238E-5</v>
      </c>
      <c r="W108" s="666">
        <v>-3.2587008469957962E-5</v>
      </c>
      <c r="X108" s="666">
        <v>-3.5549463785408686E-5</v>
      </c>
      <c r="Y108" s="666">
        <v>-3.851191910085941E-5</v>
      </c>
      <c r="Z108" s="666">
        <v>-4.1474374416310134E-5</v>
      </c>
      <c r="AA108" s="666">
        <v>-4.4436829731760857E-5</v>
      </c>
      <c r="AB108" s="666">
        <v>-4.7399285047211581E-5</v>
      </c>
      <c r="AC108" s="666">
        <v>-5.0361740362662305E-5</v>
      </c>
      <c r="AD108" s="666">
        <v>-5.3324195678113029E-5</v>
      </c>
      <c r="AE108" s="666">
        <v>-5.6286650993563753E-5</v>
      </c>
      <c r="AF108" s="666">
        <v>-5.9249106309014477E-5</v>
      </c>
      <c r="AG108" s="666">
        <v>-6.22115616244652E-5</v>
      </c>
      <c r="AH108" s="666">
        <v>-6.5174016939915924E-5</v>
      </c>
      <c r="AI108" s="666">
        <v>-6.8136472255366648E-5</v>
      </c>
      <c r="AJ108" s="666">
        <v>-7.1098927570817372E-5</v>
      </c>
      <c r="AK108" s="666">
        <v>-7.4061382886268096E-5</v>
      </c>
      <c r="AL108" s="666"/>
      <c r="AM108" s="666"/>
      <c r="AN108" s="666"/>
      <c r="AO108" s="666"/>
      <c r="AP108" s="666"/>
      <c r="AQ108" s="666"/>
      <c r="AR108" s="666"/>
      <c r="AS108" s="666"/>
      <c r="AT108" s="666"/>
      <c r="AU108" s="666"/>
      <c r="AV108" s="666"/>
      <c r="AW108" s="666"/>
      <c r="AX108" s="666"/>
      <c r="AY108" s="666"/>
      <c r="AZ108" s="666"/>
      <c r="BA108" s="666"/>
      <c r="BB108" s="666"/>
      <c r="BC108" s="666"/>
      <c r="BD108" s="666"/>
      <c r="BE108" s="666"/>
      <c r="BF108" s="666"/>
      <c r="BG108" s="666"/>
      <c r="BH108" s="666"/>
      <c r="BI108" s="666"/>
      <c r="BJ108" s="666"/>
      <c r="BK108" s="666"/>
      <c r="BL108" s="666"/>
      <c r="BM108" s="666"/>
      <c r="BN108" s="666"/>
      <c r="BO108" s="666"/>
      <c r="BP108" s="666"/>
      <c r="BQ108" s="666"/>
      <c r="BR108" s="666"/>
      <c r="BS108" s="666"/>
      <c r="BT108" s="666"/>
      <c r="BU108" s="666"/>
      <c r="BV108" s="666"/>
      <c r="BW108" s="666"/>
      <c r="BX108" s="666"/>
      <c r="BY108" s="666"/>
      <c r="BZ108" s="666"/>
      <c r="CA108" s="666"/>
      <c r="CB108" s="666"/>
      <c r="CC108" s="666"/>
      <c r="CD108" s="666"/>
      <c r="CE108" s="666"/>
      <c r="CF108" s="666"/>
      <c r="CG108" s="666"/>
      <c r="CH108" s="666"/>
      <c r="CI108" s="666"/>
      <c r="CJ108" s="1439"/>
    </row>
    <row r="109" spans="2:88" ht="57" x14ac:dyDescent="0.2">
      <c r="B109" s="688" t="s">
        <v>649</v>
      </c>
      <c r="C109" s="689" t="s">
        <v>650</v>
      </c>
      <c r="D109" s="690" t="s">
        <v>651</v>
      </c>
      <c r="E109" s="689" t="s">
        <v>236</v>
      </c>
      <c r="F109" s="691">
        <v>2</v>
      </c>
      <c r="G109" s="670"/>
      <c r="H109" s="671"/>
      <c r="I109" s="671">
        <v>0</v>
      </c>
      <c r="J109" s="671">
        <v>0</v>
      </c>
      <c r="K109" s="671">
        <v>0</v>
      </c>
      <c r="L109" s="671">
        <v>0</v>
      </c>
      <c r="M109" s="666">
        <v>-0.11708860899015683</v>
      </c>
      <c r="N109" s="666">
        <v>-0.25823859155832096</v>
      </c>
      <c r="O109" s="666">
        <v>-0.31142430712801872</v>
      </c>
      <c r="P109" s="666">
        <v>-0.39447908367198004</v>
      </c>
      <c r="Q109" s="666">
        <v>-0.19145337107210647</v>
      </c>
      <c r="R109" s="666">
        <v>0.22242203991949472</v>
      </c>
      <c r="S109" s="666">
        <v>0.34693140388243293</v>
      </c>
      <c r="T109" s="666">
        <v>0.27264197615981889</v>
      </c>
      <c r="U109" s="666">
        <v>0.18772235610623866</v>
      </c>
      <c r="V109" s="666">
        <v>0.10391575782708617</v>
      </c>
      <c r="W109" s="666">
        <v>7.0214998526890504E-2</v>
      </c>
      <c r="X109" s="666">
        <v>3.6682966155039409E-2</v>
      </c>
      <c r="Y109" s="666">
        <v>2.8483510360146624E-3</v>
      </c>
      <c r="Z109" s="666">
        <v>-3.0959634797156355E-2</v>
      </c>
      <c r="AA109" s="666">
        <v>-6.4259745097927201E-2</v>
      </c>
      <c r="AB109" s="666">
        <v>-9.6843813858898287E-2</v>
      </c>
      <c r="AC109" s="666">
        <v>-0.12967890464170928</v>
      </c>
      <c r="AD109" s="666">
        <v>-0.16223676072835103</v>
      </c>
      <c r="AE109" s="666">
        <v>-0.17949317010890775</v>
      </c>
      <c r="AF109" s="666">
        <v>-0.19688721310471768</v>
      </c>
      <c r="AG109" s="666">
        <v>-0.2140545164525971</v>
      </c>
      <c r="AH109" s="666">
        <v>-0.23116990003158033</v>
      </c>
      <c r="AI109" s="666">
        <v>-0.24866631369991143</v>
      </c>
      <c r="AJ109" s="666">
        <v>-0.26641803254225138</v>
      </c>
      <c r="AK109" s="666">
        <v>-0.28452960523275195</v>
      </c>
      <c r="AL109" s="666"/>
      <c r="AM109" s="666"/>
      <c r="AN109" s="666"/>
      <c r="AO109" s="666"/>
      <c r="AP109" s="666"/>
      <c r="AQ109" s="666"/>
      <c r="AR109" s="666"/>
      <c r="AS109" s="666"/>
      <c r="AT109" s="666"/>
      <c r="AU109" s="666"/>
      <c r="AV109" s="666"/>
      <c r="AW109" s="666"/>
      <c r="AX109" s="666"/>
      <c r="AY109" s="666"/>
      <c r="AZ109" s="666"/>
      <c r="BA109" s="666"/>
      <c r="BB109" s="666"/>
      <c r="BC109" s="666"/>
      <c r="BD109" s="666"/>
      <c r="BE109" s="666"/>
      <c r="BF109" s="666"/>
      <c r="BG109" s="666"/>
      <c r="BH109" s="666"/>
      <c r="BI109" s="666"/>
      <c r="BJ109" s="666"/>
      <c r="BK109" s="666"/>
      <c r="BL109" s="666"/>
      <c r="BM109" s="666"/>
      <c r="BN109" s="666"/>
      <c r="BO109" s="666"/>
      <c r="BP109" s="666"/>
      <c r="BQ109" s="666"/>
      <c r="BR109" s="666"/>
      <c r="BS109" s="666"/>
      <c r="BT109" s="666"/>
      <c r="BU109" s="666"/>
      <c r="BV109" s="666"/>
      <c r="BW109" s="666"/>
      <c r="BX109" s="666"/>
      <c r="BY109" s="666"/>
      <c r="BZ109" s="666"/>
      <c r="CA109" s="666"/>
      <c r="CB109" s="666"/>
      <c r="CC109" s="666"/>
      <c r="CD109" s="666"/>
      <c r="CE109" s="666"/>
      <c r="CF109" s="666"/>
      <c r="CG109" s="666"/>
      <c r="CH109" s="666"/>
      <c r="CI109" s="666"/>
      <c r="CJ109" s="1439"/>
    </row>
    <row r="110" spans="2:88" ht="57" x14ac:dyDescent="0.2">
      <c r="B110" s="688" t="s">
        <v>652</v>
      </c>
      <c r="C110" s="689" t="s">
        <v>653</v>
      </c>
      <c r="D110" s="690" t="s">
        <v>654</v>
      </c>
      <c r="E110" s="689" t="s">
        <v>236</v>
      </c>
      <c r="F110" s="691">
        <v>2</v>
      </c>
      <c r="G110" s="670"/>
      <c r="H110" s="671"/>
      <c r="I110" s="671">
        <v>0</v>
      </c>
      <c r="J110" s="671">
        <v>0</v>
      </c>
      <c r="K110" s="671">
        <v>0</v>
      </c>
      <c r="L110" s="671">
        <v>0</v>
      </c>
      <c r="M110" s="666">
        <v>8.0970866056037538E-2</v>
      </c>
      <c r="N110" s="666">
        <v>0.17520195136435235</v>
      </c>
      <c r="O110" s="666">
        <v>0.17878343897981819</v>
      </c>
      <c r="P110" s="666">
        <v>0.17694710500141775</v>
      </c>
      <c r="Q110" s="666">
        <v>-0.15073977471497613</v>
      </c>
      <c r="R110" s="666">
        <v>-0.69207342234637637</v>
      </c>
      <c r="S110" s="666">
        <v>-0.907434338293578</v>
      </c>
      <c r="T110" s="666">
        <v>-0.90637873895027476</v>
      </c>
      <c r="U110" s="666">
        <v>-0.90587501655205205</v>
      </c>
      <c r="V110" s="666">
        <v>-0.90535871411461299</v>
      </c>
      <c r="W110" s="666">
        <v>-0.90451267837839988</v>
      </c>
      <c r="X110" s="666">
        <v>-0.90366949130112728</v>
      </c>
      <c r="Y110" s="666">
        <v>-0.90274148380694907</v>
      </c>
      <c r="Z110" s="666">
        <v>-0.90197067339676429</v>
      </c>
      <c r="AA110" s="666">
        <v>-0.90112842560176198</v>
      </c>
      <c r="AB110" s="666">
        <v>-0.90036505191656613</v>
      </c>
      <c r="AC110" s="666">
        <v>-0.89983318945667101</v>
      </c>
      <c r="AD110" s="666">
        <v>-0.89965241066506951</v>
      </c>
      <c r="AE110" s="666">
        <v>-0.89899675643813237</v>
      </c>
      <c r="AF110" s="666">
        <v>-0.89835899703599642</v>
      </c>
      <c r="AG110" s="666">
        <v>-0.89760692418538457</v>
      </c>
      <c r="AH110" s="666">
        <v>-0.89703290277047687</v>
      </c>
      <c r="AI110" s="666">
        <v>-0.89639694318707752</v>
      </c>
      <c r="AJ110" s="666">
        <v>-0.89578323778949631</v>
      </c>
      <c r="AK110" s="666">
        <v>-0.89495510378004772</v>
      </c>
      <c r="AL110" s="666"/>
      <c r="AM110" s="666"/>
      <c r="AN110" s="666"/>
      <c r="AO110" s="666"/>
      <c r="AP110" s="666"/>
      <c r="AQ110" s="666"/>
      <c r="AR110" s="666"/>
      <c r="AS110" s="666"/>
      <c r="AT110" s="666"/>
      <c r="AU110" s="666"/>
      <c r="AV110" s="666"/>
      <c r="AW110" s="666"/>
      <c r="AX110" s="666"/>
      <c r="AY110" s="666"/>
      <c r="AZ110" s="666"/>
      <c r="BA110" s="666"/>
      <c r="BB110" s="666"/>
      <c r="BC110" s="666"/>
      <c r="BD110" s="666"/>
      <c r="BE110" s="666"/>
      <c r="BF110" s="666"/>
      <c r="BG110" s="666"/>
      <c r="BH110" s="666"/>
      <c r="BI110" s="666"/>
      <c r="BJ110" s="666"/>
      <c r="BK110" s="666"/>
      <c r="BL110" s="666"/>
      <c r="BM110" s="666"/>
      <c r="BN110" s="666"/>
      <c r="BO110" s="666"/>
      <c r="BP110" s="666"/>
      <c r="BQ110" s="666"/>
      <c r="BR110" s="666"/>
      <c r="BS110" s="666"/>
      <c r="BT110" s="666"/>
      <c r="BU110" s="666"/>
      <c r="BV110" s="666"/>
      <c r="BW110" s="666"/>
      <c r="BX110" s="666"/>
      <c r="BY110" s="666"/>
      <c r="BZ110" s="666"/>
      <c r="CA110" s="666"/>
      <c r="CB110" s="666"/>
      <c r="CC110" s="666"/>
      <c r="CD110" s="666"/>
      <c r="CE110" s="666"/>
      <c r="CF110" s="666"/>
      <c r="CG110" s="666"/>
      <c r="CH110" s="666"/>
      <c r="CI110" s="666"/>
      <c r="CJ110" s="1439"/>
    </row>
    <row r="111" spans="2:88" ht="28.5" x14ac:dyDescent="0.2">
      <c r="B111" s="688" t="s">
        <v>655</v>
      </c>
      <c r="C111" s="689" t="s">
        <v>656</v>
      </c>
      <c r="D111" s="690" t="s">
        <v>657</v>
      </c>
      <c r="E111" s="689" t="s">
        <v>236</v>
      </c>
      <c r="F111" s="691">
        <v>2</v>
      </c>
      <c r="G111" s="670"/>
      <c r="H111" s="671"/>
      <c r="I111" s="671">
        <v>0</v>
      </c>
      <c r="J111" s="671">
        <v>0</v>
      </c>
      <c r="K111" s="671">
        <v>0</v>
      </c>
      <c r="L111" s="671">
        <v>0</v>
      </c>
      <c r="M111" s="666">
        <v>-7.6732596285267185E-7</v>
      </c>
      <c r="N111" s="666">
        <v>-1.6527534288102164E-6</v>
      </c>
      <c r="O111" s="666">
        <v>-1.888956435130984E-6</v>
      </c>
      <c r="P111" s="666">
        <v>-2.1251594414517516E-6</v>
      </c>
      <c r="Q111" s="666">
        <v>1.6768343233386496E-7</v>
      </c>
      <c r="R111" s="666">
        <v>4.286500495886969E-6</v>
      </c>
      <c r="S111" s="666">
        <v>5.9861075933087537E-6</v>
      </c>
      <c r="T111" s="666">
        <v>5.9695764149381159E-6</v>
      </c>
      <c r="U111" s="666">
        <v>5.953045236567478E-6</v>
      </c>
      <c r="V111" s="666">
        <v>5.9365140581968401E-6</v>
      </c>
      <c r="W111" s="666">
        <v>5.9199828797984466E-6</v>
      </c>
      <c r="X111" s="666">
        <v>5.9034517014555643E-6</v>
      </c>
      <c r="Y111" s="666">
        <v>5.8869205230571708E-6</v>
      </c>
      <c r="Z111" s="666">
        <v>5.8703893447142885E-6</v>
      </c>
      <c r="AA111" s="666">
        <v>5.8538581663158951E-6</v>
      </c>
      <c r="AB111" s="666">
        <v>5.8394522366167489E-6</v>
      </c>
      <c r="AC111" s="666">
        <v>5.8271715555058279E-6</v>
      </c>
      <c r="AD111" s="666">
        <v>5.8148908744226624E-6</v>
      </c>
      <c r="AE111" s="666">
        <v>5.8026101933117413E-6</v>
      </c>
      <c r="AF111" s="666">
        <v>5.7903295122285758E-6</v>
      </c>
      <c r="AG111" s="666">
        <v>5.7780488311176548E-6</v>
      </c>
      <c r="AH111" s="666">
        <v>5.7657681500344893E-6</v>
      </c>
      <c r="AI111" s="666">
        <v>5.7534874689513238E-6</v>
      </c>
      <c r="AJ111" s="666">
        <v>5.7412067878404027E-6</v>
      </c>
      <c r="AK111" s="666">
        <v>5.7289261067294817E-6</v>
      </c>
      <c r="AL111" s="666"/>
      <c r="AM111" s="666"/>
      <c r="AN111" s="666"/>
      <c r="AO111" s="666"/>
      <c r="AP111" s="666"/>
      <c r="AQ111" s="666"/>
      <c r="AR111" s="666"/>
      <c r="AS111" s="666"/>
      <c r="AT111" s="666"/>
      <c r="AU111" s="666"/>
      <c r="AV111" s="666"/>
      <c r="AW111" s="666"/>
      <c r="AX111" s="666"/>
      <c r="AY111" s="666"/>
      <c r="AZ111" s="666"/>
      <c r="BA111" s="666"/>
      <c r="BB111" s="666"/>
      <c r="BC111" s="666"/>
      <c r="BD111" s="666"/>
      <c r="BE111" s="666"/>
      <c r="BF111" s="666"/>
      <c r="BG111" s="666"/>
      <c r="BH111" s="666"/>
      <c r="BI111" s="666"/>
      <c r="BJ111" s="666"/>
      <c r="BK111" s="666"/>
      <c r="BL111" s="666"/>
      <c r="BM111" s="666"/>
      <c r="BN111" s="666"/>
      <c r="BO111" s="666"/>
      <c r="BP111" s="666"/>
      <c r="BQ111" s="666"/>
      <c r="BR111" s="666"/>
      <c r="BS111" s="666"/>
      <c r="BT111" s="666"/>
      <c r="BU111" s="666"/>
      <c r="BV111" s="666"/>
      <c r="BW111" s="666"/>
      <c r="BX111" s="666"/>
      <c r="BY111" s="666"/>
      <c r="BZ111" s="666"/>
      <c r="CA111" s="666"/>
      <c r="CB111" s="666"/>
      <c r="CC111" s="666"/>
      <c r="CD111" s="666"/>
      <c r="CE111" s="666"/>
      <c r="CF111" s="666"/>
      <c r="CG111" s="666"/>
      <c r="CH111" s="666"/>
      <c r="CI111" s="666"/>
      <c r="CJ111" s="1439"/>
    </row>
    <row r="112" spans="2:88" ht="29.25" thickBot="1" x14ac:dyDescent="0.25">
      <c r="B112" s="692" t="s">
        <v>658</v>
      </c>
      <c r="C112" s="693" t="s">
        <v>659</v>
      </c>
      <c r="D112" s="693" t="s">
        <v>660</v>
      </c>
      <c r="E112" s="693" t="s">
        <v>236</v>
      </c>
      <c r="F112" s="694">
        <v>2</v>
      </c>
      <c r="G112" s="681"/>
      <c r="H112" s="682"/>
      <c r="I112" s="682">
        <v>0</v>
      </c>
      <c r="J112" s="682">
        <v>0</v>
      </c>
      <c r="K112" s="682">
        <v>0</v>
      </c>
      <c r="L112" s="682">
        <v>0</v>
      </c>
      <c r="M112" s="696">
        <v>0</v>
      </c>
      <c r="N112" s="696">
        <v>0</v>
      </c>
      <c r="O112" s="696">
        <v>0</v>
      </c>
      <c r="P112" s="696">
        <v>0</v>
      </c>
      <c r="Q112" s="696">
        <v>0</v>
      </c>
      <c r="R112" s="696">
        <v>0</v>
      </c>
      <c r="S112" s="696">
        <v>0</v>
      </c>
      <c r="T112" s="696">
        <v>0</v>
      </c>
      <c r="U112" s="696">
        <v>0</v>
      </c>
      <c r="V112" s="696">
        <v>0</v>
      </c>
      <c r="W112" s="696">
        <v>0</v>
      </c>
      <c r="X112" s="696">
        <v>0</v>
      </c>
      <c r="Y112" s="696">
        <v>0</v>
      </c>
      <c r="Z112" s="696">
        <v>0</v>
      </c>
      <c r="AA112" s="696">
        <v>0</v>
      </c>
      <c r="AB112" s="696">
        <v>0</v>
      </c>
      <c r="AC112" s="696">
        <v>0</v>
      </c>
      <c r="AD112" s="696">
        <v>0</v>
      </c>
      <c r="AE112" s="696">
        <v>0</v>
      </c>
      <c r="AF112" s="696">
        <v>0</v>
      </c>
      <c r="AG112" s="696">
        <v>0</v>
      </c>
      <c r="AH112" s="696">
        <v>0</v>
      </c>
      <c r="AI112" s="696">
        <v>0</v>
      </c>
      <c r="AJ112" s="696">
        <v>0</v>
      </c>
      <c r="AK112" s="696">
        <v>0</v>
      </c>
      <c r="AL112" s="696"/>
      <c r="AM112" s="696"/>
      <c r="AN112" s="696"/>
      <c r="AO112" s="696"/>
      <c r="AP112" s="696"/>
      <c r="AQ112" s="696"/>
      <c r="AR112" s="696"/>
      <c r="AS112" s="696"/>
      <c r="AT112" s="696"/>
      <c r="AU112" s="696"/>
      <c r="AV112" s="696"/>
      <c r="AW112" s="696"/>
      <c r="AX112" s="696"/>
      <c r="AY112" s="696"/>
      <c r="AZ112" s="696"/>
      <c r="BA112" s="696"/>
      <c r="BB112" s="696"/>
      <c r="BC112" s="696"/>
      <c r="BD112" s="696"/>
      <c r="BE112" s="696"/>
      <c r="BF112" s="696"/>
      <c r="BG112" s="696"/>
      <c r="BH112" s="696"/>
      <c r="BI112" s="696"/>
      <c r="BJ112" s="696"/>
      <c r="BK112" s="696"/>
      <c r="BL112" s="696"/>
      <c r="BM112" s="696"/>
      <c r="BN112" s="696"/>
      <c r="BO112" s="696"/>
      <c r="BP112" s="696"/>
      <c r="BQ112" s="696"/>
      <c r="BR112" s="696"/>
      <c r="BS112" s="696"/>
      <c r="BT112" s="696"/>
      <c r="BU112" s="696"/>
      <c r="BV112" s="696"/>
      <c r="BW112" s="696"/>
      <c r="BX112" s="696"/>
      <c r="BY112" s="696"/>
      <c r="BZ112" s="696"/>
      <c r="CA112" s="696"/>
      <c r="CB112" s="696"/>
      <c r="CC112" s="696"/>
      <c r="CD112" s="696"/>
      <c r="CE112" s="696"/>
      <c r="CF112" s="696"/>
      <c r="CG112" s="696"/>
      <c r="CH112" s="696"/>
      <c r="CI112" s="696"/>
      <c r="CJ112" s="1439"/>
    </row>
    <row r="113" spans="2:89" ht="28.5" x14ac:dyDescent="0.2">
      <c r="B113" s="697" t="s">
        <v>661</v>
      </c>
      <c r="C113" s="698" t="s">
        <v>662</v>
      </c>
      <c r="D113" s="699" t="s">
        <v>663</v>
      </c>
      <c r="E113" s="698" t="s">
        <v>236</v>
      </c>
      <c r="F113" s="700">
        <v>2</v>
      </c>
      <c r="G113" s="664"/>
      <c r="H113" s="671"/>
      <c r="I113" s="671">
        <v>0</v>
      </c>
      <c r="J113" s="671">
        <v>0</v>
      </c>
      <c r="K113" s="671">
        <v>0</v>
      </c>
      <c r="L113" s="671">
        <v>0</v>
      </c>
      <c r="M113" s="665">
        <v>-9.9126262224719097E-5</v>
      </c>
      <c r="N113" s="665">
        <v>-1.9920215665066715E-4</v>
      </c>
      <c r="O113" s="665">
        <v>-3.0022768327784416E-4</v>
      </c>
      <c r="P113" s="665">
        <v>-4.0220284210624666E-4</v>
      </c>
      <c r="Q113" s="665">
        <v>-5.0512763313587811E-4</v>
      </c>
      <c r="R113" s="665">
        <v>-6.0900205636673505E-4</v>
      </c>
      <c r="S113" s="665">
        <v>-7.1382611179882267E-4</v>
      </c>
      <c r="T113" s="665">
        <v>-8.1959979943213232E-4</v>
      </c>
      <c r="U113" s="665">
        <v>-9.2632311926667439E-4</v>
      </c>
      <c r="V113" s="665">
        <v>-1.0339960713024437E-3</v>
      </c>
      <c r="W113" s="665">
        <v>-1.1426186555394367E-3</v>
      </c>
      <c r="X113" s="665">
        <v>-1.2521908719776622E-3</v>
      </c>
      <c r="Y113" s="665">
        <v>-1.3627127206171132E-3</v>
      </c>
      <c r="Z113" s="665">
        <v>-1.4741842014577896E-3</v>
      </c>
      <c r="AA113" s="665">
        <v>-1.5866053144996967E-3</v>
      </c>
      <c r="AB113" s="665">
        <v>-1.6999760597428294E-3</v>
      </c>
      <c r="AC113" s="665">
        <v>-1.8142964371871927E-3</v>
      </c>
      <c r="AD113" s="665">
        <v>-1.9295664468327797E-3</v>
      </c>
      <c r="AE113" s="665">
        <v>-2.0457860886795975E-3</v>
      </c>
      <c r="AF113" s="665">
        <v>-2.1629553627276407E-3</v>
      </c>
      <c r="AG113" s="665">
        <v>-2.2810742689769146E-3</v>
      </c>
      <c r="AH113" s="665">
        <v>-2.4001428074274123E-3</v>
      </c>
      <c r="AI113" s="665">
        <v>-2.5201609780791372E-3</v>
      </c>
      <c r="AJ113" s="665">
        <v>-2.6411287809320911E-3</v>
      </c>
      <c r="AK113" s="665">
        <v>-2.7630462159862739E-3</v>
      </c>
      <c r="AL113" s="665"/>
      <c r="AM113" s="665"/>
      <c r="AN113" s="665"/>
      <c r="AO113" s="665"/>
      <c r="AP113" s="665"/>
      <c r="AQ113" s="665"/>
      <c r="AR113" s="665"/>
      <c r="AS113" s="665"/>
      <c r="AT113" s="665"/>
      <c r="AU113" s="665"/>
      <c r="AV113" s="665"/>
      <c r="AW113" s="665"/>
      <c r="AX113" s="665"/>
      <c r="AY113" s="665"/>
      <c r="AZ113" s="665"/>
      <c r="BA113" s="665"/>
      <c r="BB113" s="665"/>
      <c r="BC113" s="665"/>
      <c r="BD113" s="665"/>
      <c r="BE113" s="665"/>
      <c r="BF113" s="665"/>
      <c r="BG113" s="665"/>
      <c r="BH113" s="665"/>
      <c r="BI113" s="665"/>
      <c r="BJ113" s="665"/>
      <c r="BK113" s="665"/>
      <c r="BL113" s="665"/>
      <c r="BM113" s="665"/>
      <c r="BN113" s="665"/>
      <c r="BO113" s="665"/>
      <c r="BP113" s="665"/>
      <c r="BQ113" s="665"/>
      <c r="BR113" s="665"/>
      <c r="BS113" s="665"/>
      <c r="BT113" s="665"/>
      <c r="BU113" s="665"/>
      <c r="BV113" s="665"/>
      <c r="BW113" s="665"/>
      <c r="BX113" s="665"/>
      <c r="BY113" s="665"/>
      <c r="BZ113" s="665"/>
      <c r="CA113" s="665"/>
      <c r="CB113" s="665"/>
      <c r="CC113" s="665"/>
      <c r="CD113" s="665"/>
      <c r="CE113" s="665"/>
      <c r="CF113" s="665"/>
      <c r="CG113" s="665"/>
      <c r="CH113" s="665"/>
      <c r="CI113" s="665"/>
      <c r="CJ113" s="1439"/>
    </row>
    <row r="114" spans="2:89" ht="28.5" x14ac:dyDescent="0.2">
      <c r="B114" s="674" t="s">
        <v>664</v>
      </c>
      <c r="C114" s="675" t="s">
        <v>665</v>
      </c>
      <c r="D114" s="676" t="s">
        <v>666</v>
      </c>
      <c r="E114" s="675" t="s">
        <v>236</v>
      </c>
      <c r="F114" s="677">
        <v>2</v>
      </c>
      <c r="G114" s="670"/>
      <c r="H114" s="671"/>
      <c r="I114" s="671">
        <v>0</v>
      </c>
      <c r="J114" s="671">
        <v>0</v>
      </c>
      <c r="K114" s="671">
        <v>0</v>
      </c>
      <c r="L114" s="671">
        <v>0</v>
      </c>
      <c r="M114" s="666">
        <v>-3.2348925058395955E-6</v>
      </c>
      <c r="N114" s="666">
        <v>-6.4016757140819731E-6</v>
      </c>
      <c r="O114" s="666">
        <v>-9.500349624727187E-6</v>
      </c>
      <c r="P114" s="666">
        <v>-1.2530914237775183E-5</v>
      </c>
      <c r="Q114" s="666">
        <v>-1.5493369553225907E-5</v>
      </c>
      <c r="R114" s="666">
        <v>-1.8387715571079467E-5</v>
      </c>
      <c r="S114" s="666">
        <v>-2.1213952291335755E-5</v>
      </c>
      <c r="T114" s="666">
        <v>-2.3972079713994825E-5</v>
      </c>
      <c r="U114" s="666">
        <v>-2.6662097839056677E-5</v>
      </c>
      <c r="V114" s="666">
        <v>-2.9624553154507401E-5</v>
      </c>
      <c r="W114" s="666">
        <v>-3.258700846995807E-5</v>
      </c>
      <c r="X114" s="666">
        <v>-3.5549463785408849E-5</v>
      </c>
      <c r="Y114" s="666">
        <v>-3.8511919100859681E-5</v>
      </c>
      <c r="Z114" s="666">
        <v>-4.1474374416310296E-5</v>
      </c>
      <c r="AA114" s="666">
        <v>-4.4436829731761074E-5</v>
      </c>
      <c r="AB114" s="666">
        <v>-4.7399285047211798E-5</v>
      </c>
      <c r="AC114" s="666">
        <v>-5.0361740362662603E-5</v>
      </c>
      <c r="AD114" s="666">
        <v>-5.3324195678113327E-5</v>
      </c>
      <c r="AE114" s="666">
        <v>-5.6286650993564078E-5</v>
      </c>
      <c r="AF114" s="666">
        <v>-5.9249106309014693E-5</v>
      </c>
      <c r="AG114" s="666">
        <v>-6.2211561624465553E-5</v>
      </c>
      <c r="AH114" s="666">
        <v>-6.5174016939916249E-5</v>
      </c>
      <c r="AI114" s="666">
        <v>-6.8136472255366973E-5</v>
      </c>
      <c r="AJ114" s="666">
        <v>-7.1098927570817751E-5</v>
      </c>
      <c r="AK114" s="666">
        <v>-7.4061382886268475E-5</v>
      </c>
      <c r="AL114" s="666"/>
      <c r="AM114" s="666"/>
      <c r="AN114" s="666"/>
      <c r="AO114" s="666"/>
      <c r="AP114" s="666"/>
      <c r="AQ114" s="666"/>
      <c r="AR114" s="666"/>
      <c r="AS114" s="666"/>
      <c r="AT114" s="666"/>
      <c r="AU114" s="666"/>
      <c r="AV114" s="666"/>
      <c r="AW114" s="666"/>
      <c r="AX114" s="666"/>
      <c r="AY114" s="666"/>
      <c r="AZ114" s="666"/>
      <c r="BA114" s="666"/>
      <c r="BB114" s="666"/>
      <c r="BC114" s="666"/>
      <c r="BD114" s="666"/>
      <c r="BE114" s="666"/>
      <c r="BF114" s="666"/>
      <c r="BG114" s="666"/>
      <c r="BH114" s="666"/>
      <c r="BI114" s="666"/>
      <c r="BJ114" s="666"/>
      <c r="BK114" s="666"/>
      <c r="BL114" s="666"/>
      <c r="BM114" s="666"/>
      <c r="BN114" s="666"/>
      <c r="BO114" s="666"/>
      <c r="BP114" s="666"/>
      <c r="BQ114" s="666"/>
      <c r="BR114" s="666"/>
      <c r="BS114" s="666"/>
      <c r="BT114" s="666"/>
      <c r="BU114" s="666"/>
      <c r="BV114" s="666"/>
      <c r="BW114" s="666"/>
      <c r="BX114" s="666"/>
      <c r="BY114" s="666"/>
      <c r="BZ114" s="666"/>
      <c r="CA114" s="666"/>
      <c r="CB114" s="666"/>
      <c r="CC114" s="666"/>
      <c r="CD114" s="666"/>
      <c r="CE114" s="666"/>
      <c r="CF114" s="666"/>
      <c r="CG114" s="666"/>
      <c r="CH114" s="666"/>
      <c r="CI114" s="666"/>
      <c r="CJ114" s="1439"/>
    </row>
    <row r="115" spans="2:89" ht="28.5" x14ac:dyDescent="0.2">
      <c r="B115" s="674" t="s">
        <v>667</v>
      </c>
      <c r="C115" s="675" t="s">
        <v>668</v>
      </c>
      <c r="D115" s="676" t="s">
        <v>669</v>
      </c>
      <c r="E115" s="675" t="s">
        <v>236</v>
      </c>
      <c r="F115" s="677">
        <v>2</v>
      </c>
      <c r="G115" s="670"/>
      <c r="H115" s="671"/>
      <c r="I115" s="671">
        <v>0</v>
      </c>
      <c r="J115" s="671">
        <v>0</v>
      </c>
      <c r="K115" s="671">
        <v>0</v>
      </c>
      <c r="L115" s="671">
        <v>0</v>
      </c>
      <c r="M115" s="666">
        <v>-3.5272361024471233E-3</v>
      </c>
      <c r="N115" s="666">
        <v>-7.4914646937160878E-3</v>
      </c>
      <c r="O115" s="666">
        <v>-9.250002850632294E-3</v>
      </c>
      <c r="P115" s="666">
        <v>-1.1017502745044178E-2</v>
      </c>
      <c r="Q115" s="666">
        <v>-6.7297992988097077E-3</v>
      </c>
      <c r="R115" s="666">
        <v>1.8709760222032495E-3</v>
      </c>
      <c r="S115" s="666">
        <v>4.6804085172419962E-3</v>
      </c>
      <c r="T115" s="666">
        <v>3.4002591431668561E-3</v>
      </c>
      <c r="U115" s="666">
        <v>2.1061857913343973E-3</v>
      </c>
      <c r="V115" s="666">
        <v>7.9812591525919852E-4</v>
      </c>
      <c r="W115" s="666">
        <v>-5.2357762849884748E-4</v>
      </c>
      <c r="X115" s="666">
        <v>-1.8593244160907962E-3</v>
      </c>
      <c r="Y115" s="666">
        <v>-3.2080375863810934E-3</v>
      </c>
      <c r="Z115" s="666">
        <v>-4.5677790562662079E-3</v>
      </c>
      <c r="AA115" s="666">
        <v>-5.9390116082510686E-3</v>
      </c>
      <c r="AB115" s="666">
        <v>-7.3174025150823663E-3</v>
      </c>
      <c r="AC115" s="666">
        <v>-8.7008732237352782E-3</v>
      </c>
      <c r="AD115" s="666">
        <v>-1.0094615881336297E-2</v>
      </c>
      <c r="AE115" s="666">
        <v>-1.1500707358291951E-2</v>
      </c>
      <c r="AF115" s="666">
        <v>-1.2917897922025787E-2</v>
      </c>
      <c r="AG115" s="666">
        <v>-1.4345833582610074E-2</v>
      </c>
      <c r="AH115" s="666">
        <v>-1.5783294152556832E-2</v>
      </c>
      <c r="AI115" s="666">
        <v>-1.7228707845534125E-2</v>
      </c>
      <c r="AJ115" s="666">
        <v>-1.8681809235809296E-2</v>
      </c>
      <c r="AK115" s="666">
        <v>-2.014309812527941E-2</v>
      </c>
      <c r="AL115" s="666"/>
      <c r="AM115" s="666"/>
      <c r="AN115" s="666"/>
      <c r="AO115" s="666"/>
      <c r="AP115" s="666"/>
      <c r="AQ115" s="666"/>
      <c r="AR115" s="666"/>
      <c r="AS115" s="666"/>
      <c r="AT115" s="666"/>
      <c r="AU115" s="666"/>
      <c r="AV115" s="666"/>
      <c r="AW115" s="666"/>
      <c r="AX115" s="666"/>
      <c r="AY115" s="666"/>
      <c r="AZ115" s="666"/>
      <c r="BA115" s="666"/>
      <c r="BB115" s="666"/>
      <c r="BC115" s="666"/>
      <c r="BD115" s="666"/>
      <c r="BE115" s="666"/>
      <c r="BF115" s="666"/>
      <c r="BG115" s="666"/>
      <c r="BH115" s="666"/>
      <c r="BI115" s="666"/>
      <c r="BJ115" s="666"/>
      <c r="BK115" s="666"/>
      <c r="BL115" s="666"/>
      <c r="BM115" s="666"/>
      <c r="BN115" s="666"/>
      <c r="BO115" s="666"/>
      <c r="BP115" s="666"/>
      <c r="BQ115" s="666"/>
      <c r="BR115" s="666"/>
      <c r="BS115" s="666"/>
      <c r="BT115" s="666"/>
      <c r="BU115" s="666"/>
      <c r="BV115" s="666"/>
      <c r="BW115" s="666"/>
      <c r="BX115" s="666"/>
      <c r="BY115" s="666"/>
      <c r="BZ115" s="666"/>
      <c r="CA115" s="666"/>
      <c r="CB115" s="666"/>
      <c r="CC115" s="666"/>
      <c r="CD115" s="666"/>
      <c r="CE115" s="666"/>
      <c r="CF115" s="666"/>
      <c r="CG115" s="666"/>
      <c r="CH115" s="666"/>
      <c r="CI115" s="666"/>
      <c r="CJ115" s="1439"/>
    </row>
    <row r="116" spans="2:89" ht="28.5" x14ac:dyDescent="0.2">
      <c r="B116" s="674" t="s">
        <v>670</v>
      </c>
      <c r="C116" s="675" t="s">
        <v>671</v>
      </c>
      <c r="D116" s="676" t="s">
        <v>672</v>
      </c>
      <c r="E116" s="675" t="s">
        <v>236</v>
      </c>
      <c r="F116" s="677">
        <v>2</v>
      </c>
      <c r="G116" s="670"/>
      <c r="H116" s="671"/>
      <c r="I116" s="671">
        <v>0</v>
      </c>
      <c r="J116" s="671">
        <v>0</v>
      </c>
      <c r="K116" s="671">
        <v>0</v>
      </c>
      <c r="L116" s="671">
        <v>0</v>
      </c>
      <c r="M116" s="666">
        <v>3.9714632335044672E-3</v>
      </c>
      <c r="N116" s="666">
        <v>8.6528000407573857E-3</v>
      </c>
      <c r="O116" s="666">
        <v>9.4385684832591979E-3</v>
      </c>
      <c r="P116" s="666">
        <v>1.022537274089131E-2</v>
      </c>
      <c r="Q116" s="666">
        <v>-3.395573234823146E-3</v>
      </c>
      <c r="R116" s="666">
        <v>-2.7040171413322375E-2</v>
      </c>
      <c r="S116" s="666">
        <v>-3.6726236055462852E-2</v>
      </c>
      <c r="T116" s="666">
        <v>-3.6738944846860321E-2</v>
      </c>
      <c r="U116" s="666">
        <v>-3.6751135730692629E-2</v>
      </c>
      <c r="V116" s="666">
        <v>-3.6762808706959756E-2</v>
      </c>
      <c r="W116" s="666">
        <v>-3.6773963775661736E-2</v>
      </c>
      <c r="X116" s="666">
        <v>-3.6784600936798556E-2</v>
      </c>
      <c r="Y116" s="666">
        <v>-3.6794720190370216E-2</v>
      </c>
      <c r="Z116" s="666">
        <v>-3.6804321536376708E-2</v>
      </c>
      <c r="AA116" s="666">
        <v>-3.6813404974818047E-2</v>
      </c>
      <c r="AB116" s="666">
        <v>-3.6832654483460167E-2</v>
      </c>
      <c r="AC116" s="666">
        <v>-3.6863882738781148E-2</v>
      </c>
      <c r="AD116" s="666">
        <v>-3.6894334132754392E-2</v>
      </c>
      <c r="AE116" s="666">
        <v>-3.6924008665379877E-2</v>
      </c>
      <c r="AF116" s="666">
        <v>-3.6952906336657626E-2</v>
      </c>
      <c r="AG116" s="666">
        <v>-3.6981027146587631E-2</v>
      </c>
      <c r="AH116" s="666">
        <v>-3.7008371095169898E-2</v>
      </c>
      <c r="AI116" s="666">
        <v>-3.7034938182404407E-2</v>
      </c>
      <c r="AJ116" s="666">
        <v>-3.706072840829118E-2</v>
      </c>
      <c r="AK116" s="666">
        <v>-3.7085741772830208E-2</v>
      </c>
      <c r="AL116" s="666"/>
      <c r="AM116" s="666"/>
      <c r="AN116" s="666"/>
      <c r="AO116" s="666"/>
      <c r="AP116" s="666"/>
      <c r="AQ116" s="666"/>
      <c r="AR116" s="666"/>
      <c r="AS116" s="666"/>
      <c r="AT116" s="666"/>
      <c r="AU116" s="666"/>
      <c r="AV116" s="666"/>
      <c r="AW116" s="666"/>
      <c r="AX116" s="666"/>
      <c r="AY116" s="666"/>
      <c r="AZ116" s="666"/>
      <c r="BA116" s="666"/>
      <c r="BB116" s="666"/>
      <c r="BC116" s="666"/>
      <c r="BD116" s="666"/>
      <c r="BE116" s="666"/>
      <c r="BF116" s="666"/>
      <c r="BG116" s="666"/>
      <c r="BH116" s="666"/>
      <c r="BI116" s="666"/>
      <c r="BJ116" s="666"/>
      <c r="BK116" s="666"/>
      <c r="BL116" s="666"/>
      <c r="BM116" s="666"/>
      <c r="BN116" s="666"/>
      <c r="BO116" s="666"/>
      <c r="BP116" s="666"/>
      <c r="BQ116" s="666"/>
      <c r="BR116" s="666"/>
      <c r="BS116" s="666"/>
      <c r="BT116" s="666"/>
      <c r="BU116" s="666"/>
      <c r="BV116" s="666"/>
      <c r="BW116" s="666"/>
      <c r="BX116" s="666"/>
      <c r="BY116" s="666"/>
      <c r="BZ116" s="666"/>
      <c r="CA116" s="666"/>
      <c r="CB116" s="666"/>
      <c r="CC116" s="666"/>
      <c r="CD116" s="666"/>
      <c r="CE116" s="666"/>
      <c r="CF116" s="666"/>
      <c r="CG116" s="666"/>
      <c r="CH116" s="666"/>
      <c r="CI116" s="666"/>
      <c r="CJ116" s="1439"/>
    </row>
    <row r="117" spans="2:89" ht="28.5" x14ac:dyDescent="0.2">
      <c r="B117" s="674" t="s">
        <v>673</v>
      </c>
      <c r="C117" s="675" t="s">
        <v>674</v>
      </c>
      <c r="D117" s="676" t="s">
        <v>675</v>
      </c>
      <c r="E117" s="675" t="s">
        <v>236</v>
      </c>
      <c r="F117" s="677">
        <v>2</v>
      </c>
      <c r="G117" s="670"/>
      <c r="H117" s="671"/>
      <c r="I117" s="671">
        <v>0</v>
      </c>
      <c r="J117" s="671">
        <v>0</v>
      </c>
      <c r="K117" s="671">
        <v>0</v>
      </c>
      <c r="L117" s="671">
        <v>0</v>
      </c>
      <c r="M117" s="666">
        <v>7.6732596283879406E-7</v>
      </c>
      <c r="N117" s="666">
        <v>1.6527534288292983E-6</v>
      </c>
      <c r="O117" s="666">
        <v>1.8889564351379229E-6</v>
      </c>
      <c r="P117" s="666">
        <v>2.1251594414517516E-6</v>
      </c>
      <c r="Q117" s="666">
        <v>-1.6768343234253857E-7</v>
      </c>
      <c r="R117" s="666">
        <v>-4.2865004958904385E-6</v>
      </c>
      <c r="S117" s="666">
        <v>-5.9861075933035496E-6</v>
      </c>
      <c r="T117" s="666">
        <v>-5.969576414931177E-6</v>
      </c>
      <c r="U117" s="666">
        <v>-5.9530452365605391E-6</v>
      </c>
      <c r="V117" s="666">
        <v>-5.9365140581881665E-6</v>
      </c>
      <c r="W117" s="666">
        <v>-5.9199828798192633E-6</v>
      </c>
      <c r="X117" s="666">
        <v>-5.903451701445156E-6</v>
      </c>
      <c r="Y117" s="666">
        <v>-5.8869205230745181E-6</v>
      </c>
      <c r="Z117" s="666">
        <v>-5.8703893447004107E-6</v>
      </c>
      <c r="AA117" s="666">
        <v>-5.8538581663280381E-6</v>
      </c>
      <c r="AB117" s="666">
        <v>-5.8394522365994017E-6</v>
      </c>
      <c r="AC117" s="666">
        <v>-5.8271715555058279E-6</v>
      </c>
      <c r="AD117" s="666">
        <v>-5.8148908744105193E-6</v>
      </c>
      <c r="AE117" s="666">
        <v>-5.8026101933152108E-6</v>
      </c>
      <c r="AF117" s="666">
        <v>-5.7903295122233717E-6</v>
      </c>
      <c r="AG117" s="666">
        <v>-5.7780488311263284E-6</v>
      </c>
      <c r="AH117" s="666">
        <v>-5.7657681500344893E-6</v>
      </c>
      <c r="AI117" s="666">
        <v>-5.7534874689409155E-6</v>
      </c>
      <c r="AJ117" s="666">
        <v>-5.7412067878456069E-6</v>
      </c>
      <c r="AK117" s="666">
        <v>-5.7289261067502983E-6</v>
      </c>
      <c r="AL117" s="666"/>
      <c r="AM117" s="666"/>
      <c r="AN117" s="666"/>
      <c r="AO117" s="666"/>
      <c r="AP117" s="666"/>
      <c r="AQ117" s="666"/>
      <c r="AR117" s="666"/>
      <c r="AS117" s="666"/>
      <c r="AT117" s="666"/>
      <c r="AU117" s="666"/>
      <c r="AV117" s="666"/>
      <c r="AW117" s="666"/>
      <c r="AX117" s="666"/>
      <c r="AY117" s="666"/>
      <c r="AZ117" s="666"/>
      <c r="BA117" s="666"/>
      <c r="BB117" s="666"/>
      <c r="BC117" s="666"/>
      <c r="BD117" s="666"/>
      <c r="BE117" s="666"/>
      <c r="BF117" s="666"/>
      <c r="BG117" s="666"/>
      <c r="BH117" s="666"/>
      <c r="BI117" s="666"/>
      <c r="BJ117" s="666"/>
      <c r="BK117" s="666"/>
      <c r="BL117" s="666"/>
      <c r="BM117" s="666"/>
      <c r="BN117" s="666"/>
      <c r="BO117" s="666"/>
      <c r="BP117" s="666"/>
      <c r="BQ117" s="666"/>
      <c r="BR117" s="666"/>
      <c r="BS117" s="666"/>
      <c r="BT117" s="666"/>
      <c r="BU117" s="666"/>
      <c r="BV117" s="666"/>
      <c r="BW117" s="666"/>
      <c r="BX117" s="666"/>
      <c r="BY117" s="666"/>
      <c r="BZ117" s="666"/>
      <c r="CA117" s="666"/>
      <c r="CB117" s="666"/>
      <c r="CC117" s="666"/>
      <c r="CD117" s="666"/>
      <c r="CE117" s="666"/>
      <c r="CF117" s="666"/>
      <c r="CG117" s="666"/>
      <c r="CH117" s="666"/>
      <c r="CI117" s="666"/>
      <c r="CJ117" s="1439"/>
    </row>
    <row r="118" spans="2:89" x14ac:dyDescent="0.2">
      <c r="B118" s="667" t="s">
        <v>676</v>
      </c>
      <c r="C118" s="668" t="s">
        <v>677</v>
      </c>
      <c r="D118" s="668" t="s">
        <v>678</v>
      </c>
      <c r="E118" s="668" t="s">
        <v>236</v>
      </c>
      <c r="F118" s="677">
        <v>2</v>
      </c>
      <c r="G118" s="670"/>
      <c r="H118" s="671"/>
      <c r="I118" s="671">
        <v>0</v>
      </c>
      <c r="J118" s="671">
        <v>0</v>
      </c>
      <c r="K118" s="671">
        <v>0</v>
      </c>
      <c r="L118" s="671">
        <v>0</v>
      </c>
      <c r="M118" s="666">
        <v>-1.6012833302289531E-2</v>
      </c>
      <c r="N118" s="666">
        <v>-3.2297784268105145E-2</v>
      </c>
      <c r="O118" s="666">
        <v>-4.6891326556159241E-2</v>
      </c>
      <c r="P118" s="666">
        <v>-6.1476061398944459E-2</v>
      </c>
      <c r="Q118" s="666">
        <v>-6.7704838780245469E-2</v>
      </c>
      <c r="R118" s="666">
        <v>-6.8220328336446867E-2</v>
      </c>
      <c r="S118" s="666">
        <v>-7.6904546290095466E-2</v>
      </c>
      <c r="T118" s="666">
        <v>-9.1173372840745115E-2</v>
      </c>
      <c r="U118" s="666">
        <v>-0.10542791179829925</v>
      </c>
      <c r="V118" s="666">
        <v>-0.11966776006978419</v>
      </c>
      <c r="W118" s="666">
        <v>-0.1338935329489499</v>
      </c>
      <c r="X118" s="666">
        <v>-0.14810483085964576</v>
      </c>
      <c r="Y118" s="666">
        <v>-0.16230273066300716</v>
      </c>
      <c r="Z118" s="666">
        <v>-0.17648917044213785</v>
      </c>
      <c r="AA118" s="666">
        <v>-0.19066368741453266</v>
      </c>
      <c r="AB118" s="666">
        <v>-0.20481992820443029</v>
      </c>
      <c r="AC118" s="666">
        <v>-0.21895815868837754</v>
      </c>
      <c r="AD118" s="666">
        <v>-0.23308594445252351</v>
      </c>
      <c r="AE118" s="666">
        <v>-0.24720120862646122</v>
      </c>
      <c r="AF118" s="666">
        <v>-0.26130520094276699</v>
      </c>
      <c r="AG118" s="666">
        <v>-0.27539827539136907</v>
      </c>
      <c r="AH118" s="666">
        <v>-0.28948165215975519</v>
      </c>
      <c r="AI118" s="666">
        <v>-0.30355690303425731</v>
      </c>
      <c r="AJ118" s="666">
        <v>-0.31762429344060794</v>
      </c>
      <c r="AK118" s="666">
        <v>-0.33168332357691122</v>
      </c>
      <c r="AL118" s="666"/>
      <c r="AM118" s="666"/>
      <c r="AN118" s="666"/>
      <c r="AO118" s="666"/>
      <c r="AP118" s="666"/>
      <c r="AQ118" s="666"/>
      <c r="AR118" s="666"/>
      <c r="AS118" s="666"/>
      <c r="AT118" s="666"/>
      <c r="AU118" s="666"/>
      <c r="AV118" s="666"/>
      <c r="AW118" s="666"/>
      <c r="AX118" s="666"/>
      <c r="AY118" s="666"/>
      <c r="AZ118" s="666"/>
      <c r="BA118" s="666"/>
      <c r="BB118" s="666"/>
      <c r="BC118" s="666"/>
      <c r="BD118" s="666"/>
      <c r="BE118" s="666"/>
      <c r="BF118" s="666"/>
      <c r="BG118" s="666"/>
      <c r="BH118" s="666"/>
      <c r="BI118" s="666"/>
      <c r="BJ118" s="666"/>
      <c r="BK118" s="666"/>
      <c r="BL118" s="666"/>
      <c r="BM118" s="666"/>
      <c r="BN118" s="666"/>
      <c r="BO118" s="666"/>
      <c r="BP118" s="666"/>
      <c r="BQ118" s="666"/>
      <c r="BR118" s="666"/>
      <c r="BS118" s="666"/>
      <c r="BT118" s="666"/>
      <c r="BU118" s="666"/>
      <c r="BV118" s="666"/>
      <c r="BW118" s="666"/>
      <c r="BX118" s="666"/>
      <c r="BY118" s="666"/>
      <c r="BZ118" s="666"/>
      <c r="CA118" s="666"/>
      <c r="CB118" s="666"/>
      <c r="CC118" s="666"/>
      <c r="CD118" s="666"/>
      <c r="CE118" s="666"/>
      <c r="CF118" s="666"/>
      <c r="CG118" s="666"/>
      <c r="CH118" s="666"/>
      <c r="CI118" s="666"/>
      <c r="CJ118" s="1440"/>
    </row>
    <row r="119" spans="2:89" ht="15" thickBot="1" x14ac:dyDescent="0.25">
      <c r="B119" s="1414"/>
      <c r="C119" s="1414"/>
      <c r="D119" s="1414"/>
      <c r="E119" s="1414"/>
      <c r="F119" s="1415"/>
      <c r="G119" s="1416"/>
      <c r="H119" s="1416"/>
      <c r="I119" s="1416"/>
      <c r="J119" s="1416"/>
      <c r="K119" s="1416"/>
      <c r="L119" s="1416"/>
      <c r="M119" s="1416"/>
      <c r="N119" s="1416"/>
      <c r="O119" s="1416"/>
      <c r="P119" s="1416"/>
      <c r="Q119" s="1416"/>
      <c r="R119" s="1416"/>
      <c r="S119" s="1416"/>
      <c r="T119" s="1416"/>
      <c r="U119" s="1416"/>
      <c r="V119" s="1416"/>
      <c r="W119" s="1416"/>
      <c r="X119" s="1416"/>
      <c r="Y119" s="1416"/>
      <c r="Z119" s="1416"/>
      <c r="AA119" s="1416"/>
      <c r="AB119" s="1416"/>
      <c r="AC119" s="1416"/>
      <c r="AD119" s="1416"/>
      <c r="AE119" s="1416"/>
      <c r="AF119" s="1416"/>
      <c r="AG119" s="1416"/>
      <c r="AH119" s="1416"/>
      <c r="AI119" s="1416"/>
      <c r="AJ119" s="1416"/>
      <c r="AK119" s="1416"/>
      <c r="AL119" s="1416"/>
      <c r="AM119" s="1416"/>
      <c r="AN119" s="1416"/>
      <c r="AO119" s="1416"/>
      <c r="AP119" s="1416"/>
      <c r="AQ119" s="1416"/>
      <c r="AR119" s="1416"/>
      <c r="AS119" s="1416"/>
      <c r="AT119" s="1416"/>
      <c r="AU119" s="1416"/>
      <c r="AV119" s="1416"/>
      <c r="AW119" s="1416"/>
      <c r="AX119" s="1416"/>
      <c r="AY119" s="1416"/>
      <c r="AZ119" s="1416"/>
      <c r="BA119" s="1416"/>
      <c r="BB119" s="1416"/>
      <c r="BC119" s="1416"/>
      <c r="BD119" s="1416"/>
      <c r="BE119" s="1416"/>
      <c r="BF119" s="1416"/>
      <c r="BG119" s="1416"/>
      <c r="BH119" s="1416"/>
      <c r="BI119" s="1416"/>
      <c r="BJ119" s="1416"/>
      <c r="BK119" s="1416"/>
      <c r="BL119" s="1416"/>
      <c r="BM119" s="1416"/>
      <c r="BN119" s="1416"/>
      <c r="BO119" s="1416"/>
      <c r="BP119" s="1416"/>
      <c r="BQ119" s="1416"/>
      <c r="BR119" s="1416"/>
      <c r="BS119" s="1416"/>
      <c r="BT119" s="1416"/>
      <c r="BU119" s="1416"/>
      <c r="BV119" s="1416"/>
      <c r="BW119" s="1416"/>
      <c r="BX119" s="1416"/>
      <c r="BY119" s="1416"/>
      <c r="BZ119" s="1416"/>
      <c r="CA119" s="1416"/>
      <c r="CB119" s="1416"/>
      <c r="CC119" s="1416"/>
      <c r="CD119" s="1416"/>
      <c r="CE119" s="1416"/>
      <c r="CF119" s="1416"/>
      <c r="CG119" s="1416"/>
      <c r="CH119" s="1416"/>
      <c r="CI119" s="1416"/>
      <c r="CJ119" s="1519"/>
    </row>
    <row r="120" spans="2:89" ht="15.75" thickBot="1" x14ac:dyDescent="0.25">
      <c r="B120" s="655" t="s">
        <v>440</v>
      </c>
      <c r="C120" s="1306" t="s">
        <v>204</v>
      </c>
      <c r="D120" s="523"/>
      <c r="E120" s="523"/>
      <c r="F120" s="523"/>
      <c r="G120" s="523"/>
      <c r="H120" s="1420"/>
      <c r="I120" s="1420">
        <f>SUM(I95:I102,I104:I118)</f>
        <v>0</v>
      </c>
      <c r="J120" s="1420">
        <f t="shared" ref="J120:AK120" si="21">SUM(J95:J102,J104:J118)</f>
        <v>0</v>
      </c>
      <c r="K120" s="1420">
        <f t="shared" si="21"/>
        <v>0</v>
      </c>
      <c r="L120" s="1420">
        <f t="shared" si="21"/>
        <v>0</v>
      </c>
      <c r="M120" s="1420">
        <f t="shared" si="21"/>
        <v>-6.194633215113398E-2</v>
      </c>
      <c r="N120" s="1420">
        <f t="shared" si="21"/>
        <v>0.5221248000439086</v>
      </c>
      <c r="O120" s="1420">
        <f t="shared" si="21"/>
        <v>0.4089287948994289</v>
      </c>
      <c r="P120" s="1420">
        <f t="shared" si="21"/>
        <v>0.20896983245648859</v>
      </c>
      <c r="Q120" s="1420">
        <f t="shared" si="21"/>
        <v>-6.110319258863002E-2</v>
      </c>
      <c r="R120" s="1420">
        <f t="shared" si="21"/>
        <v>1.3606855064163395</v>
      </c>
      <c r="S120" s="1420">
        <f t="shared" si="21"/>
        <v>1.1368354298179129</v>
      </c>
      <c r="T120" s="1420">
        <f t="shared" si="21"/>
        <v>3.2571985118685793</v>
      </c>
      <c r="U120" s="1420">
        <f t="shared" si="21"/>
        <v>3.0333470295974427</v>
      </c>
      <c r="V120" s="1420">
        <f t="shared" si="21"/>
        <v>2.8122481358856701</v>
      </c>
      <c r="W120" s="1420">
        <f t="shared" si="21"/>
        <v>2.6946987247973246</v>
      </c>
      <c r="X120" s="1420">
        <f t="shared" si="21"/>
        <v>2.5751639381942093</v>
      </c>
      <c r="Y120" s="1420">
        <f t="shared" si="21"/>
        <v>2.4587150309376575</v>
      </c>
      <c r="Z120" s="1420">
        <f t="shared" si="21"/>
        <v>2.3857482829353254</v>
      </c>
      <c r="AA120" s="1420">
        <f t="shared" si="21"/>
        <v>2.3077025689511985</v>
      </c>
      <c r="AB120" s="1420">
        <f t="shared" si="21"/>
        <v>3.1351989577544921</v>
      </c>
      <c r="AC120" s="1420">
        <f t="shared" si="21"/>
        <v>3.0604982268459704</v>
      </c>
      <c r="AD120" s="1420">
        <f t="shared" si="21"/>
        <v>2.9852850028266706</v>
      </c>
      <c r="AE120" s="1420">
        <f t="shared" si="21"/>
        <v>2.9416728062946085</v>
      </c>
      <c r="AF120" s="1420">
        <f t="shared" si="21"/>
        <v>2.8992034894926326</v>
      </c>
      <c r="AG120" s="1420">
        <f t="shared" si="21"/>
        <v>3.6861754682147065</v>
      </c>
      <c r="AH120" s="1420">
        <f t="shared" si="21"/>
        <v>3.6431672168285445</v>
      </c>
      <c r="AI120" s="1420">
        <f t="shared" si="21"/>
        <v>3.5973062006396992</v>
      </c>
      <c r="AJ120" s="1420">
        <f t="shared" si="21"/>
        <v>3.5610988042927376</v>
      </c>
      <c r="AK120" s="1420">
        <f t="shared" si="21"/>
        <v>3.5197974738249833</v>
      </c>
      <c r="AL120" s="523"/>
      <c r="AM120" s="523"/>
      <c r="AN120" s="523"/>
      <c r="AO120" s="523"/>
      <c r="AP120" s="523"/>
      <c r="AQ120" s="523"/>
      <c r="AR120" s="523"/>
      <c r="AS120" s="523"/>
      <c r="AT120" s="523"/>
      <c r="AU120" s="523"/>
      <c r="AV120" s="523"/>
      <c r="AW120" s="523"/>
      <c r="AX120" s="523"/>
      <c r="AY120" s="523"/>
      <c r="AZ120" s="523"/>
      <c r="BA120" s="523"/>
      <c r="BB120" s="523"/>
      <c r="BC120" s="523"/>
      <c r="BD120" s="523"/>
      <c r="BE120" s="523"/>
      <c r="BF120" s="523"/>
      <c r="BG120" s="523"/>
      <c r="BH120" s="523"/>
      <c r="BI120" s="523"/>
      <c r="BJ120" s="523"/>
      <c r="BK120" s="523"/>
      <c r="BL120" s="523"/>
      <c r="BM120" s="523"/>
      <c r="BN120" s="523"/>
      <c r="BO120" s="523"/>
      <c r="BP120" s="523"/>
      <c r="BQ120" s="523"/>
      <c r="BR120" s="523"/>
      <c r="BS120" s="523"/>
      <c r="BT120" s="523"/>
      <c r="BU120" s="523"/>
      <c r="BV120" s="523"/>
      <c r="BW120" s="523"/>
      <c r="BX120" s="523"/>
      <c r="BY120" s="523"/>
      <c r="BZ120" s="523"/>
      <c r="CA120" s="523"/>
      <c r="CB120" s="523"/>
      <c r="CC120" s="523"/>
      <c r="CD120" s="523"/>
      <c r="CE120" s="523"/>
      <c r="CF120" s="523"/>
      <c r="CG120" s="523"/>
      <c r="CH120" s="523"/>
      <c r="CI120" s="523"/>
    </row>
    <row r="121" spans="2:89" ht="15.75" thickBot="1" x14ac:dyDescent="0.25">
      <c r="B121" s="705" t="s">
        <v>446</v>
      </c>
      <c r="C121" s="706" t="s">
        <v>205</v>
      </c>
      <c r="D121" s="706" t="s">
        <v>71</v>
      </c>
      <c r="E121" s="706" t="s">
        <v>206</v>
      </c>
      <c r="F121" s="707" t="s">
        <v>207</v>
      </c>
      <c r="G121" s="705" t="s">
        <v>208</v>
      </c>
      <c r="H121" s="705" t="s">
        <v>209</v>
      </c>
      <c r="I121" s="705" t="s">
        <v>210</v>
      </c>
      <c r="J121" s="705" t="s">
        <v>211</v>
      </c>
      <c r="K121" s="705" t="s">
        <v>212</v>
      </c>
      <c r="L121" s="705" t="s">
        <v>213</v>
      </c>
      <c r="M121" s="706" t="s">
        <v>214</v>
      </c>
      <c r="N121" s="706" t="s">
        <v>215</v>
      </c>
      <c r="O121" s="706" t="s">
        <v>216</v>
      </c>
      <c r="P121" s="706" t="s">
        <v>217</v>
      </c>
      <c r="Q121" s="706" t="s">
        <v>218</v>
      </c>
      <c r="R121" s="706" t="s">
        <v>247</v>
      </c>
      <c r="S121" s="706" t="s">
        <v>248</v>
      </c>
      <c r="T121" s="706" t="s">
        <v>249</v>
      </c>
      <c r="U121" s="706" t="s">
        <v>250</v>
      </c>
      <c r="V121" s="706" t="s">
        <v>219</v>
      </c>
      <c r="W121" s="706" t="s">
        <v>251</v>
      </c>
      <c r="X121" s="706" t="s">
        <v>252</v>
      </c>
      <c r="Y121" s="706" t="s">
        <v>253</v>
      </c>
      <c r="Z121" s="706" t="s">
        <v>254</v>
      </c>
      <c r="AA121" s="706" t="s">
        <v>220</v>
      </c>
      <c r="AB121" s="706" t="s">
        <v>255</v>
      </c>
      <c r="AC121" s="706" t="s">
        <v>256</v>
      </c>
      <c r="AD121" s="706" t="s">
        <v>257</v>
      </c>
      <c r="AE121" s="706" t="s">
        <v>258</v>
      </c>
      <c r="AF121" s="706" t="s">
        <v>221</v>
      </c>
      <c r="AG121" s="706" t="s">
        <v>259</v>
      </c>
      <c r="AH121" s="706" t="s">
        <v>260</v>
      </c>
      <c r="AI121" s="706" t="s">
        <v>261</v>
      </c>
      <c r="AJ121" s="706" t="s">
        <v>262</v>
      </c>
      <c r="AK121" s="706" t="s">
        <v>222</v>
      </c>
      <c r="AL121" s="706" t="s">
        <v>263</v>
      </c>
      <c r="AM121" s="706" t="s">
        <v>264</v>
      </c>
      <c r="AN121" s="706" t="s">
        <v>265</v>
      </c>
      <c r="AO121" s="706" t="s">
        <v>266</v>
      </c>
      <c r="AP121" s="706" t="s">
        <v>223</v>
      </c>
      <c r="AQ121" s="706" t="s">
        <v>267</v>
      </c>
      <c r="AR121" s="706" t="s">
        <v>268</v>
      </c>
      <c r="AS121" s="706" t="s">
        <v>269</v>
      </c>
      <c r="AT121" s="706" t="s">
        <v>270</v>
      </c>
      <c r="AU121" s="706" t="s">
        <v>224</v>
      </c>
      <c r="AV121" s="706" t="s">
        <v>271</v>
      </c>
      <c r="AW121" s="706" t="s">
        <v>272</v>
      </c>
      <c r="AX121" s="706" t="s">
        <v>273</v>
      </c>
      <c r="AY121" s="706" t="s">
        <v>274</v>
      </c>
      <c r="AZ121" s="706" t="s">
        <v>225</v>
      </c>
      <c r="BA121" s="706" t="s">
        <v>275</v>
      </c>
      <c r="BB121" s="706" t="s">
        <v>276</v>
      </c>
      <c r="BC121" s="706" t="s">
        <v>277</v>
      </c>
      <c r="BD121" s="706" t="s">
        <v>278</v>
      </c>
      <c r="BE121" s="706" t="s">
        <v>226</v>
      </c>
      <c r="BF121" s="706" t="s">
        <v>279</v>
      </c>
      <c r="BG121" s="706" t="s">
        <v>280</v>
      </c>
      <c r="BH121" s="706" t="s">
        <v>281</v>
      </c>
      <c r="BI121" s="706" t="s">
        <v>282</v>
      </c>
      <c r="BJ121" s="706" t="s">
        <v>227</v>
      </c>
      <c r="BK121" s="706" t="s">
        <v>283</v>
      </c>
      <c r="BL121" s="706" t="s">
        <v>284</v>
      </c>
      <c r="BM121" s="706" t="s">
        <v>285</v>
      </c>
      <c r="BN121" s="706" t="s">
        <v>286</v>
      </c>
      <c r="BO121" s="706" t="s">
        <v>228</v>
      </c>
      <c r="BP121" s="706" t="s">
        <v>287</v>
      </c>
      <c r="BQ121" s="706" t="s">
        <v>288</v>
      </c>
      <c r="BR121" s="706" t="s">
        <v>289</v>
      </c>
      <c r="BS121" s="706" t="s">
        <v>290</v>
      </c>
      <c r="BT121" s="706" t="s">
        <v>229</v>
      </c>
      <c r="BU121" s="706" t="s">
        <v>291</v>
      </c>
      <c r="BV121" s="706" t="s">
        <v>292</v>
      </c>
      <c r="BW121" s="706" t="s">
        <v>293</v>
      </c>
      <c r="BX121" s="706" t="s">
        <v>294</v>
      </c>
      <c r="BY121" s="706" t="s">
        <v>230</v>
      </c>
      <c r="BZ121" s="706" t="s">
        <v>295</v>
      </c>
      <c r="CA121" s="706" t="s">
        <v>296</v>
      </c>
      <c r="CB121" s="706" t="s">
        <v>297</v>
      </c>
      <c r="CC121" s="706" t="s">
        <v>298</v>
      </c>
      <c r="CD121" s="706" t="s">
        <v>231</v>
      </c>
      <c r="CE121" s="706" t="s">
        <v>299</v>
      </c>
      <c r="CF121" s="706" t="s">
        <v>300</v>
      </c>
      <c r="CG121" s="706" t="s">
        <v>301</v>
      </c>
      <c r="CH121" s="706" t="s">
        <v>302</v>
      </c>
      <c r="CI121" s="707" t="s">
        <v>232</v>
      </c>
      <c r="CK121" s="1296"/>
    </row>
    <row r="122" spans="2:89" x14ac:dyDescent="0.2">
      <c r="B122" s="1049" t="s">
        <v>679</v>
      </c>
      <c r="C122" s="1050" t="s">
        <v>448</v>
      </c>
      <c r="D122" s="1051" t="s">
        <v>86</v>
      </c>
      <c r="E122" s="1052" t="s">
        <v>236</v>
      </c>
      <c r="F122" s="1053">
        <v>2</v>
      </c>
      <c r="G122" s="532"/>
      <c r="H122" s="532"/>
      <c r="I122" s="532">
        <v>11.076402923751679</v>
      </c>
      <c r="J122" s="532">
        <v>10.992936901528184</v>
      </c>
      <c r="K122" s="532">
        <v>10.919023095000247</v>
      </c>
      <c r="L122" s="532">
        <v>10.861789697252874</v>
      </c>
      <c r="M122" s="532">
        <v>10.917360886591648</v>
      </c>
      <c r="N122" s="532">
        <v>10.940530735504518</v>
      </c>
      <c r="O122" s="532">
        <v>10.954219596433688</v>
      </c>
      <c r="P122" s="532">
        <v>10.915078008666876</v>
      </c>
      <c r="Q122" s="532">
        <v>10.853873360391869</v>
      </c>
      <c r="R122" s="532">
        <v>10.560179594988817</v>
      </c>
      <c r="S122" s="532">
        <v>10.487656197906688</v>
      </c>
      <c r="T122" s="532">
        <v>12.708580622524394</v>
      </c>
      <c r="U122" s="532">
        <v>12.630784036830484</v>
      </c>
      <c r="V122" s="532">
        <v>12.555415579884116</v>
      </c>
      <c r="W122" s="532">
        <v>12.493716855599555</v>
      </c>
      <c r="X122" s="532">
        <v>12.435083599748102</v>
      </c>
      <c r="Y122" s="532">
        <v>12.410043454043159</v>
      </c>
      <c r="Z122" s="532">
        <v>12.388169804729436</v>
      </c>
      <c r="AA122" s="532">
        <v>12.366846629525726</v>
      </c>
      <c r="AB122" s="532">
        <v>12.315855843748086</v>
      </c>
      <c r="AC122" s="532">
        <v>12.294075171271665</v>
      </c>
      <c r="AD122" s="532">
        <v>12.274141011857429</v>
      </c>
      <c r="AE122" s="532">
        <v>12.26927348416601</v>
      </c>
      <c r="AF122" s="532">
        <v>12.265341857686911</v>
      </c>
      <c r="AG122" s="532">
        <v>12.236790959436217</v>
      </c>
      <c r="AH122" s="532">
        <v>12.23433318430726</v>
      </c>
      <c r="AI122" s="532">
        <v>12.232696429542314</v>
      </c>
      <c r="AJ122" s="532">
        <v>12.232485860180326</v>
      </c>
      <c r="AK122" s="532">
        <v>12.233611766338608</v>
      </c>
      <c r="AL122" s="532"/>
      <c r="AM122" s="532"/>
      <c r="AN122" s="532"/>
      <c r="AO122" s="532"/>
      <c r="AP122" s="532"/>
      <c r="AQ122" s="532"/>
      <c r="AR122" s="532"/>
      <c r="AS122" s="532"/>
      <c r="AT122" s="532"/>
      <c r="AU122" s="532"/>
      <c r="AV122" s="532"/>
      <c r="AW122" s="532"/>
      <c r="AX122" s="532"/>
      <c r="AY122" s="532"/>
      <c r="AZ122" s="532"/>
      <c r="BA122" s="532"/>
      <c r="BB122" s="532"/>
      <c r="BC122" s="532"/>
      <c r="BD122" s="532"/>
      <c r="BE122" s="532"/>
      <c r="BF122" s="532"/>
      <c r="BG122" s="532"/>
      <c r="BH122" s="532"/>
      <c r="BI122" s="532"/>
      <c r="BJ122" s="532"/>
      <c r="BK122" s="532"/>
      <c r="BL122" s="532"/>
      <c r="BM122" s="532"/>
      <c r="BN122" s="532"/>
      <c r="BO122" s="532"/>
      <c r="BP122" s="532"/>
      <c r="BQ122" s="532"/>
      <c r="BR122" s="532"/>
      <c r="BS122" s="532"/>
      <c r="BT122" s="532"/>
      <c r="BU122" s="532"/>
      <c r="BV122" s="532"/>
      <c r="BW122" s="532"/>
      <c r="BX122" s="532"/>
      <c r="BY122" s="532"/>
      <c r="BZ122" s="532"/>
      <c r="CA122" s="532"/>
      <c r="CB122" s="532"/>
      <c r="CC122" s="532"/>
      <c r="CD122" s="532"/>
      <c r="CE122" s="532"/>
      <c r="CF122" s="532"/>
      <c r="CG122" s="532"/>
      <c r="CH122" s="532"/>
      <c r="CI122" s="532"/>
      <c r="CK122" s="1296"/>
    </row>
    <row r="123" spans="2:89" x14ac:dyDescent="0.2">
      <c r="B123" s="1048" t="s">
        <v>680</v>
      </c>
      <c r="C123" s="1039" t="s">
        <v>681</v>
      </c>
      <c r="D123" s="1040" t="s">
        <v>682</v>
      </c>
      <c r="E123" s="1041" t="s">
        <v>236</v>
      </c>
      <c r="F123" s="1042">
        <v>2</v>
      </c>
      <c r="G123" s="798">
        <f t="shared" ref="G123:AK123" si="22">G25+G95</f>
        <v>0</v>
      </c>
      <c r="H123" s="798">
        <f t="shared" si="22"/>
        <v>0</v>
      </c>
      <c r="I123" s="798">
        <f t="shared" si="22"/>
        <v>0</v>
      </c>
      <c r="J123" s="798">
        <f t="shared" si="22"/>
        <v>0</v>
      </c>
      <c r="K123" s="798">
        <f t="shared" si="22"/>
        <v>0</v>
      </c>
      <c r="L123" s="798">
        <f t="shared" si="22"/>
        <v>0</v>
      </c>
      <c r="M123" s="798">
        <f t="shared" si="22"/>
        <v>0</v>
      </c>
      <c r="N123" s="798">
        <f t="shared" si="22"/>
        <v>0</v>
      </c>
      <c r="O123" s="798">
        <f t="shared" si="22"/>
        <v>0</v>
      </c>
      <c r="P123" s="798">
        <f t="shared" si="22"/>
        <v>0</v>
      </c>
      <c r="Q123" s="798">
        <f t="shared" si="22"/>
        <v>0</v>
      </c>
      <c r="R123" s="798">
        <f t="shared" si="22"/>
        <v>0</v>
      </c>
      <c r="S123" s="798">
        <f t="shared" si="22"/>
        <v>0</v>
      </c>
      <c r="T123" s="798">
        <f t="shared" si="22"/>
        <v>0</v>
      </c>
      <c r="U123" s="798">
        <f t="shared" si="22"/>
        <v>0</v>
      </c>
      <c r="V123" s="798">
        <f t="shared" si="22"/>
        <v>0</v>
      </c>
      <c r="W123" s="798">
        <f t="shared" si="22"/>
        <v>0</v>
      </c>
      <c r="X123" s="798">
        <f t="shared" si="22"/>
        <v>0</v>
      </c>
      <c r="Y123" s="798">
        <f t="shared" si="22"/>
        <v>0</v>
      </c>
      <c r="Z123" s="798">
        <f t="shared" si="22"/>
        <v>0</v>
      </c>
      <c r="AA123" s="798">
        <f t="shared" si="22"/>
        <v>0</v>
      </c>
      <c r="AB123" s="798">
        <f t="shared" si="22"/>
        <v>0</v>
      </c>
      <c r="AC123" s="798">
        <f t="shared" si="22"/>
        <v>0</v>
      </c>
      <c r="AD123" s="798">
        <f t="shared" si="22"/>
        <v>0</v>
      </c>
      <c r="AE123" s="798">
        <f t="shared" si="22"/>
        <v>0</v>
      </c>
      <c r="AF123" s="798">
        <f t="shared" si="22"/>
        <v>0</v>
      </c>
      <c r="AG123" s="798">
        <f t="shared" si="22"/>
        <v>0</v>
      </c>
      <c r="AH123" s="798">
        <f t="shared" si="22"/>
        <v>0</v>
      </c>
      <c r="AI123" s="798">
        <f t="shared" si="22"/>
        <v>0</v>
      </c>
      <c r="AJ123" s="798">
        <f t="shared" si="22"/>
        <v>0</v>
      </c>
      <c r="AK123" s="798">
        <f t="shared" si="22"/>
        <v>0</v>
      </c>
      <c r="AL123" s="798"/>
      <c r="AM123" s="798"/>
      <c r="AN123" s="798"/>
      <c r="AO123" s="798"/>
      <c r="AP123" s="798"/>
      <c r="AQ123" s="798"/>
      <c r="AR123" s="798"/>
      <c r="AS123" s="798"/>
      <c r="AT123" s="798"/>
      <c r="AU123" s="798"/>
      <c r="AV123" s="798"/>
      <c r="AW123" s="798"/>
      <c r="AX123" s="798"/>
      <c r="AY123" s="798"/>
      <c r="AZ123" s="798"/>
      <c r="BA123" s="798"/>
      <c r="BB123" s="798"/>
      <c r="BC123" s="798"/>
      <c r="BD123" s="798"/>
      <c r="BE123" s="798"/>
      <c r="BF123" s="798"/>
      <c r="BG123" s="798"/>
      <c r="BH123" s="798"/>
      <c r="BI123" s="798"/>
      <c r="BJ123" s="798"/>
      <c r="BK123" s="798"/>
      <c r="BL123" s="798"/>
      <c r="BM123" s="798"/>
      <c r="BN123" s="798"/>
      <c r="BO123" s="798"/>
      <c r="BP123" s="798"/>
      <c r="BQ123" s="798"/>
      <c r="BR123" s="798"/>
      <c r="BS123" s="798"/>
      <c r="BT123" s="798"/>
      <c r="BU123" s="798"/>
      <c r="BV123" s="798"/>
      <c r="BW123" s="798"/>
      <c r="BX123" s="798"/>
      <c r="BY123" s="798"/>
      <c r="BZ123" s="798"/>
      <c r="CA123" s="798"/>
      <c r="CB123" s="798"/>
      <c r="CC123" s="798"/>
      <c r="CD123" s="798"/>
      <c r="CE123" s="798"/>
      <c r="CF123" s="798"/>
      <c r="CG123" s="798"/>
      <c r="CH123" s="798"/>
      <c r="CI123" s="719"/>
      <c r="CK123" s="1296"/>
    </row>
    <row r="124" spans="2:89" x14ac:dyDescent="0.2">
      <c r="B124" s="1038" t="s">
        <v>683</v>
      </c>
      <c r="C124" s="1039" t="s">
        <v>452</v>
      </c>
      <c r="D124" s="1040" t="s">
        <v>684</v>
      </c>
      <c r="E124" s="1041" t="s">
        <v>236</v>
      </c>
      <c r="F124" s="1042">
        <v>2</v>
      </c>
      <c r="G124" s="569">
        <f t="shared" ref="G124:AK124" si="23">G26+G96</f>
        <v>0</v>
      </c>
      <c r="H124" s="569">
        <f t="shared" si="23"/>
        <v>0</v>
      </c>
      <c r="I124" s="569">
        <f t="shared" si="23"/>
        <v>2.27</v>
      </c>
      <c r="J124" s="569">
        <f t="shared" si="23"/>
        <v>2.27</v>
      </c>
      <c r="K124" s="569">
        <f t="shared" si="23"/>
        <v>2.27</v>
      </c>
      <c r="L124" s="569">
        <f t="shared" si="23"/>
        <v>2.27</v>
      </c>
      <c r="M124" s="718">
        <f t="shared" si="23"/>
        <v>2.27</v>
      </c>
      <c r="N124" s="718">
        <f t="shared" si="23"/>
        <v>1.39</v>
      </c>
      <c r="O124" s="718">
        <f t="shared" si="23"/>
        <v>1.39</v>
      </c>
      <c r="P124" s="718">
        <f t="shared" si="23"/>
        <v>1.39</v>
      </c>
      <c r="Q124" s="718">
        <f t="shared" si="23"/>
        <v>1.39</v>
      </c>
      <c r="R124" s="718">
        <f t="shared" si="23"/>
        <v>1.39</v>
      </c>
      <c r="S124" s="718">
        <f t="shared" si="23"/>
        <v>1.39</v>
      </c>
      <c r="T124" s="718">
        <f t="shared" si="23"/>
        <v>1.39</v>
      </c>
      <c r="U124" s="718">
        <f t="shared" si="23"/>
        <v>1.39</v>
      </c>
      <c r="V124" s="718">
        <f t="shared" si="23"/>
        <v>1.39</v>
      </c>
      <c r="W124" s="718">
        <f t="shared" si="23"/>
        <v>1.39</v>
      </c>
      <c r="X124" s="718">
        <f t="shared" si="23"/>
        <v>1.39</v>
      </c>
      <c r="Y124" s="718">
        <f t="shared" si="23"/>
        <v>1.39</v>
      </c>
      <c r="Z124" s="718">
        <f t="shared" si="23"/>
        <v>1.39</v>
      </c>
      <c r="AA124" s="718">
        <f t="shared" si="23"/>
        <v>1.39</v>
      </c>
      <c r="AB124" s="718">
        <f t="shared" si="23"/>
        <v>1.32</v>
      </c>
      <c r="AC124" s="718">
        <f t="shared" si="23"/>
        <v>1.32</v>
      </c>
      <c r="AD124" s="718">
        <f t="shared" si="23"/>
        <v>1.32</v>
      </c>
      <c r="AE124" s="718">
        <f t="shared" si="23"/>
        <v>1.32</v>
      </c>
      <c r="AF124" s="718">
        <f t="shared" si="23"/>
        <v>1.32</v>
      </c>
      <c r="AG124" s="718">
        <f t="shared" si="23"/>
        <v>1.32</v>
      </c>
      <c r="AH124" s="718">
        <f t="shared" si="23"/>
        <v>1.32</v>
      </c>
      <c r="AI124" s="718">
        <f t="shared" si="23"/>
        <v>1.32</v>
      </c>
      <c r="AJ124" s="718">
        <f t="shared" si="23"/>
        <v>1.32</v>
      </c>
      <c r="AK124" s="718">
        <f t="shared" si="23"/>
        <v>1.32</v>
      </c>
      <c r="AL124" s="718"/>
      <c r="AM124" s="718"/>
      <c r="AN124" s="718"/>
      <c r="AO124" s="718"/>
      <c r="AP124" s="718"/>
      <c r="AQ124" s="718"/>
      <c r="AR124" s="718"/>
      <c r="AS124" s="718"/>
      <c r="AT124" s="718"/>
      <c r="AU124" s="718"/>
      <c r="AV124" s="718"/>
      <c r="AW124" s="718"/>
      <c r="AX124" s="718"/>
      <c r="AY124" s="718"/>
      <c r="AZ124" s="718"/>
      <c r="BA124" s="718"/>
      <c r="BB124" s="718"/>
      <c r="BC124" s="718"/>
      <c r="BD124" s="718"/>
      <c r="BE124" s="718"/>
      <c r="BF124" s="718"/>
      <c r="BG124" s="718"/>
      <c r="BH124" s="718"/>
      <c r="BI124" s="718"/>
      <c r="BJ124" s="718"/>
      <c r="BK124" s="718"/>
      <c r="BL124" s="718"/>
      <c r="BM124" s="718"/>
      <c r="BN124" s="718"/>
      <c r="BO124" s="718"/>
      <c r="BP124" s="718"/>
      <c r="BQ124" s="718"/>
      <c r="BR124" s="718"/>
      <c r="BS124" s="718"/>
      <c r="BT124" s="718"/>
      <c r="BU124" s="718"/>
      <c r="BV124" s="718"/>
      <c r="BW124" s="718"/>
      <c r="BX124" s="718"/>
      <c r="BY124" s="718"/>
      <c r="BZ124" s="718"/>
      <c r="CA124" s="718"/>
      <c r="CB124" s="718"/>
      <c r="CC124" s="718"/>
      <c r="CD124" s="718"/>
      <c r="CE124" s="718"/>
      <c r="CF124" s="718"/>
      <c r="CG124" s="718"/>
      <c r="CH124" s="718"/>
      <c r="CI124" s="719"/>
      <c r="CK124" s="1296"/>
    </row>
    <row r="125" spans="2:89" x14ac:dyDescent="0.2">
      <c r="B125" s="713" t="s">
        <v>685</v>
      </c>
      <c r="C125" s="714" t="s">
        <v>454</v>
      </c>
      <c r="D125" s="715" t="s">
        <v>686</v>
      </c>
      <c r="E125" s="716" t="s">
        <v>236</v>
      </c>
      <c r="F125" s="717">
        <v>2</v>
      </c>
      <c r="G125" s="569">
        <f t="shared" ref="G125:AK125" si="24">G27+G97</f>
        <v>0</v>
      </c>
      <c r="H125" s="569">
        <f t="shared" si="24"/>
        <v>0</v>
      </c>
      <c r="I125" s="569">
        <f t="shared" si="24"/>
        <v>0</v>
      </c>
      <c r="J125" s="569">
        <f t="shared" si="24"/>
        <v>0</v>
      </c>
      <c r="K125" s="569">
        <f t="shared" si="24"/>
        <v>0</v>
      </c>
      <c r="L125" s="569">
        <f t="shared" si="24"/>
        <v>0</v>
      </c>
      <c r="M125" s="718">
        <f t="shared" si="24"/>
        <v>0</v>
      </c>
      <c r="N125" s="718">
        <f t="shared" si="24"/>
        <v>0</v>
      </c>
      <c r="O125" s="718">
        <f t="shared" si="24"/>
        <v>0</v>
      </c>
      <c r="P125" s="718">
        <f t="shared" si="24"/>
        <v>0.52981537984108951</v>
      </c>
      <c r="Q125" s="718">
        <f t="shared" si="24"/>
        <v>0.41022915495426138</v>
      </c>
      <c r="R125" s="718">
        <f t="shared" si="24"/>
        <v>1.9969002474290551</v>
      </c>
      <c r="S125" s="718">
        <f t="shared" si="24"/>
        <v>1.9013283248532828</v>
      </c>
      <c r="T125" s="718">
        <f t="shared" si="24"/>
        <v>4.132353579458325</v>
      </c>
      <c r="U125" s="718">
        <f t="shared" si="24"/>
        <v>4.0303463650160074</v>
      </c>
      <c r="V125" s="718">
        <f t="shared" si="24"/>
        <v>3.9299665038642964</v>
      </c>
      <c r="W125" s="718">
        <f t="shared" si="24"/>
        <v>3.8811543549678813</v>
      </c>
      <c r="X125" s="718">
        <f t="shared" si="24"/>
        <v>3.8301910463949911</v>
      </c>
      <c r="Y125" s="718">
        <f t="shared" si="24"/>
        <v>3.7825314736066251</v>
      </c>
      <c r="Z125" s="718">
        <f t="shared" si="24"/>
        <v>3.7582861267371013</v>
      </c>
      <c r="AA125" s="718">
        <f t="shared" si="24"/>
        <v>3.7283825950762579</v>
      </c>
      <c r="AB125" s="718">
        <f t="shared" si="24"/>
        <v>4.6033840907552888</v>
      </c>
      <c r="AC125" s="718">
        <f t="shared" si="24"/>
        <v>4.576671091952095</v>
      </c>
      <c r="AD125" s="718">
        <f t="shared" si="24"/>
        <v>4.54951954311794</v>
      </c>
      <c r="AE125" s="718">
        <f t="shared" si="24"/>
        <v>4.5381927937372986</v>
      </c>
      <c r="AF125" s="718">
        <f t="shared" si="24"/>
        <v>4.5281645466344935</v>
      </c>
      <c r="AG125" s="718">
        <f t="shared" si="24"/>
        <v>5.347236636067028</v>
      </c>
      <c r="AH125" s="718">
        <f t="shared" si="24"/>
        <v>5.3364547211658282</v>
      </c>
      <c r="AI125" s="718">
        <f t="shared" si="24"/>
        <v>5.3231392274904987</v>
      </c>
      <c r="AJ125" s="718">
        <f t="shared" si="24"/>
        <v>5.3197550071245763</v>
      </c>
      <c r="AK125" s="718">
        <f t="shared" si="24"/>
        <v>5.3114223719818474</v>
      </c>
      <c r="AL125" s="718"/>
      <c r="AM125" s="718"/>
      <c r="AN125" s="718"/>
      <c r="AO125" s="718"/>
      <c r="AP125" s="718"/>
      <c r="AQ125" s="718"/>
      <c r="AR125" s="718"/>
      <c r="AS125" s="718"/>
      <c r="AT125" s="718"/>
      <c r="AU125" s="718"/>
      <c r="AV125" s="718"/>
      <c r="AW125" s="718"/>
      <c r="AX125" s="718"/>
      <c r="AY125" s="718"/>
      <c r="AZ125" s="718"/>
      <c r="BA125" s="718"/>
      <c r="BB125" s="718"/>
      <c r="BC125" s="718"/>
      <c r="BD125" s="718"/>
      <c r="BE125" s="718"/>
      <c r="BF125" s="718"/>
      <c r="BG125" s="718"/>
      <c r="BH125" s="718"/>
      <c r="BI125" s="718"/>
      <c r="BJ125" s="718"/>
      <c r="BK125" s="718"/>
      <c r="BL125" s="718"/>
      <c r="BM125" s="718"/>
      <c r="BN125" s="718"/>
      <c r="BO125" s="718"/>
      <c r="BP125" s="718"/>
      <c r="BQ125" s="718"/>
      <c r="BR125" s="718"/>
      <c r="BS125" s="718"/>
      <c r="BT125" s="718"/>
      <c r="BU125" s="718"/>
      <c r="BV125" s="718"/>
      <c r="BW125" s="718"/>
      <c r="BX125" s="718"/>
      <c r="BY125" s="718"/>
      <c r="BZ125" s="718"/>
      <c r="CA125" s="718"/>
      <c r="CB125" s="718"/>
      <c r="CC125" s="718"/>
      <c r="CD125" s="718"/>
      <c r="CE125" s="718"/>
      <c r="CF125" s="718"/>
      <c r="CG125" s="718"/>
      <c r="CH125" s="718"/>
      <c r="CI125" s="719"/>
      <c r="CK125" s="1296"/>
    </row>
    <row r="126" spans="2:89" x14ac:dyDescent="0.2">
      <c r="B126" s="720" t="s">
        <v>687</v>
      </c>
      <c r="C126" s="714" t="s">
        <v>456</v>
      </c>
      <c r="D126" s="715" t="s">
        <v>688</v>
      </c>
      <c r="E126" s="716" t="s">
        <v>236</v>
      </c>
      <c r="F126" s="717">
        <v>2</v>
      </c>
      <c r="G126" s="569">
        <f t="shared" ref="G126:AK126" si="25">G28+G98</f>
        <v>0</v>
      </c>
      <c r="H126" s="569">
        <f t="shared" si="25"/>
        <v>0</v>
      </c>
      <c r="I126" s="569">
        <f t="shared" si="25"/>
        <v>0</v>
      </c>
      <c r="J126" s="569">
        <f t="shared" si="25"/>
        <v>0</v>
      </c>
      <c r="K126" s="569">
        <f t="shared" si="25"/>
        <v>0</v>
      </c>
      <c r="L126" s="569">
        <f t="shared" si="25"/>
        <v>0</v>
      </c>
      <c r="M126" s="569">
        <f t="shared" si="25"/>
        <v>0</v>
      </c>
      <c r="N126" s="569">
        <f t="shared" si="25"/>
        <v>0</v>
      </c>
      <c r="O126" s="569">
        <f t="shared" si="25"/>
        <v>0</v>
      </c>
      <c r="P126" s="569">
        <f t="shared" si="25"/>
        <v>0</v>
      </c>
      <c r="Q126" s="569">
        <f t="shared" si="25"/>
        <v>0</v>
      </c>
      <c r="R126" s="569">
        <f t="shared" si="25"/>
        <v>0</v>
      </c>
      <c r="S126" s="569">
        <f t="shared" si="25"/>
        <v>0</v>
      </c>
      <c r="T126" s="569">
        <f t="shared" si="25"/>
        <v>0</v>
      </c>
      <c r="U126" s="569">
        <f t="shared" si="25"/>
        <v>0</v>
      </c>
      <c r="V126" s="569">
        <f t="shared" si="25"/>
        <v>0</v>
      </c>
      <c r="W126" s="569">
        <f t="shared" si="25"/>
        <v>0</v>
      </c>
      <c r="X126" s="569">
        <f t="shared" si="25"/>
        <v>0</v>
      </c>
      <c r="Y126" s="569">
        <f t="shared" si="25"/>
        <v>0</v>
      </c>
      <c r="Z126" s="569">
        <f t="shared" si="25"/>
        <v>0</v>
      </c>
      <c r="AA126" s="569">
        <f t="shared" si="25"/>
        <v>0</v>
      </c>
      <c r="AB126" s="569">
        <f t="shared" si="25"/>
        <v>0</v>
      </c>
      <c r="AC126" s="569">
        <f t="shared" si="25"/>
        <v>0</v>
      </c>
      <c r="AD126" s="569">
        <f t="shared" si="25"/>
        <v>0</v>
      </c>
      <c r="AE126" s="569">
        <f t="shared" si="25"/>
        <v>0</v>
      </c>
      <c r="AF126" s="569">
        <f t="shared" si="25"/>
        <v>0</v>
      </c>
      <c r="AG126" s="569">
        <f t="shared" si="25"/>
        <v>0</v>
      </c>
      <c r="AH126" s="569">
        <f t="shared" si="25"/>
        <v>0</v>
      </c>
      <c r="AI126" s="569">
        <f t="shared" si="25"/>
        <v>0</v>
      </c>
      <c r="AJ126" s="569">
        <f t="shared" si="25"/>
        <v>0</v>
      </c>
      <c r="AK126" s="569">
        <f t="shared" si="25"/>
        <v>0</v>
      </c>
      <c r="AL126" s="569"/>
      <c r="AM126" s="569"/>
      <c r="AN126" s="569"/>
      <c r="AO126" s="569"/>
      <c r="AP126" s="569"/>
      <c r="AQ126" s="569"/>
      <c r="AR126" s="569"/>
      <c r="AS126" s="569"/>
      <c r="AT126" s="569"/>
      <c r="AU126" s="569"/>
      <c r="AV126" s="569"/>
      <c r="AW126" s="569"/>
      <c r="AX126" s="569"/>
      <c r="AY126" s="569"/>
      <c r="AZ126" s="569"/>
      <c r="BA126" s="569"/>
      <c r="BB126" s="569"/>
      <c r="BC126" s="569"/>
      <c r="BD126" s="569"/>
      <c r="BE126" s="569"/>
      <c r="BF126" s="569"/>
      <c r="BG126" s="569"/>
      <c r="BH126" s="569"/>
      <c r="BI126" s="569"/>
      <c r="BJ126" s="569"/>
      <c r="BK126" s="569"/>
      <c r="BL126" s="569"/>
      <c r="BM126" s="569"/>
      <c r="BN126" s="569"/>
      <c r="BO126" s="569"/>
      <c r="BP126" s="569"/>
      <c r="BQ126" s="569"/>
      <c r="BR126" s="569"/>
      <c r="BS126" s="569"/>
      <c r="BT126" s="569"/>
      <c r="BU126" s="569"/>
      <c r="BV126" s="569"/>
      <c r="BW126" s="569"/>
      <c r="BX126" s="569"/>
      <c r="BY126" s="569"/>
      <c r="BZ126" s="569"/>
      <c r="CA126" s="569"/>
      <c r="CB126" s="569"/>
      <c r="CC126" s="569"/>
      <c r="CD126" s="569"/>
      <c r="CE126" s="569"/>
      <c r="CF126" s="569"/>
      <c r="CG126" s="569"/>
      <c r="CH126" s="569"/>
      <c r="CI126" s="719"/>
      <c r="CK126" s="1296"/>
    </row>
    <row r="127" spans="2:89" x14ac:dyDescent="0.2">
      <c r="B127" s="720" t="s">
        <v>689</v>
      </c>
      <c r="C127" s="714" t="s">
        <v>458</v>
      </c>
      <c r="D127" s="715" t="s">
        <v>690</v>
      </c>
      <c r="E127" s="716" t="s">
        <v>236</v>
      </c>
      <c r="F127" s="717">
        <v>2</v>
      </c>
      <c r="G127" s="569">
        <f t="shared" ref="G127:AK127" si="26">G29+G99</f>
        <v>0</v>
      </c>
      <c r="H127" s="569">
        <f t="shared" si="26"/>
        <v>0</v>
      </c>
      <c r="I127" s="569">
        <f t="shared" si="26"/>
        <v>-1.35</v>
      </c>
      <c r="J127" s="569">
        <f t="shared" si="26"/>
        <v>-1.35</v>
      </c>
      <c r="K127" s="569">
        <f t="shared" si="26"/>
        <v>-1.35</v>
      </c>
      <c r="L127" s="569">
        <f t="shared" si="26"/>
        <v>-1.35</v>
      </c>
      <c r="M127" s="718">
        <f t="shared" si="26"/>
        <v>-1.35</v>
      </c>
      <c r="N127" s="718">
        <f t="shared" si="26"/>
        <v>-0.69318123722819125</v>
      </c>
      <c r="O127" s="718">
        <f t="shared" si="26"/>
        <v>-0.73094490432758463</v>
      </c>
      <c r="P127" s="718">
        <f t="shared" si="26"/>
        <v>-1.35</v>
      </c>
      <c r="Q127" s="718">
        <f t="shared" si="26"/>
        <v>-1.35</v>
      </c>
      <c r="R127" s="718">
        <f t="shared" si="26"/>
        <v>-1.35</v>
      </c>
      <c r="S127" s="718">
        <f t="shared" si="26"/>
        <v>-1.35</v>
      </c>
      <c r="T127" s="718">
        <f t="shared" si="26"/>
        <v>-1.35</v>
      </c>
      <c r="U127" s="718">
        <f t="shared" si="26"/>
        <v>-1.35</v>
      </c>
      <c r="V127" s="718">
        <f t="shared" si="26"/>
        <v>-1.35</v>
      </c>
      <c r="W127" s="718">
        <f t="shared" si="26"/>
        <v>-1.35</v>
      </c>
      <c r="X127" s="718">
        <f t="shared" si="26"/>
        <v>-1.35</v>
      </c>
      <c r="Y127" s="718">
        <f t="shared" si="26"/>
        <v>-1.35</v>
      </c>
      <c r="Z127" s="718">
        <f t="shared" si="26"/>
        <v>-1.35</v>
      </c>
      <c r="AA127" s="718">
        <f t="shared" si="26"/>
        <v>-1.35</v>
      </c>
      <c r="AB127" s="718">
        <f t="shared" si="26"/>
        <v>-1.35</v>
      </c>
      <c r="AC127" s="718">
        <f t="shared" si="26"/>
        <v>-1.35</v>
      </c>
      <c r="AD127" s="718">
        <f t="shared" si="26"/>
        <v>-1.35</v>
      </c>
      <c r="AE127" s="718">
        <f t="shared" si="26"/>
        <v>-1.35</v>
      </c>
      <c r="AF127" s="718">
        <f t="shared" si="26"/>
        <v>-1.35</v>
      </c>
      <c r="AG127" s="718">
        <f t="shared" si="26"/>
        <v>-1.35</v>
      </c>
      <c r="AH127" s="718">
        <f t="shared" si="26"/>
        <v>-1.35</v>
      </c>
      <c r="AI127" s="718">
        <f t="shared" si="26"/>
        <v>-1.35</v>
      </c>
      <c r="AJ127" s="718">
        <f t="shared" si="26"/>
        <v>-1.35</v>
      </c>
      <c r="AK127" s="718">
        <f t="shared" si="26"/>
        <v>-1.35</v>
      </c>
      <c r="AL127" s="718"/>
      <c r="AM127" s="718"/>
      <c r="AN127" s="718"/>
      <c r="AO127" s="718"/>
      <c r="AP127" s="718"/>
      <c r="AQ127" s="718"/>
      <c r="AR127" s="718"/>
      <c r="AS127" s="718"/>
      <c r="AT127" s="718"/>
      <c r="AU127" s="718"/>
      <c r="AV127" s="718"/>
      <c r="AW127" s="718"/>
      <c r="AX127" s="718"/>
      <c r="AY127" s="718"/>
      <c r="AZ127" s="718"/>
      <c r="BA127" s="718"/>
      <c r="BB127" s="718"/>
      <c r="BC127" s="718"/>
      <c r="BD127" s="718"/>
      <c r="BE127" s="718"/>
      <c r="BF127" s="718"/>
      <c r="BG127" s="718"/>
      <c r="BH127" s="718"/>
      <c r="BI127" s="718"/>
      <c r="BJ127" s="718"/>
      <c r="BK127" s="718"/>
      <c r="BL127" s="718"/>
      <c r="BM127" s="718"/>
      <c r="BN127" s="718"/>
      <c r="BO127" s="718"/>
      <c r="BP127" s="718"/>
      <c r="BQ127" s="718"/>
      <c r="BR127" s="718"/>
      <c r="BS127" s="718"/>
      <c r="BT127" s="718"/>
      <c r="BU127" s="718"/>
      <c r="BV127" s="718"/>
      <c r="BW127" s="718"/>
      <c r="BX127" s="718"/>
      <c r="BY127" s="718"/>
      <c r="BZ127" s="718"/>
      <c r="CA127" s="718"/>
      <c r="CB127" s="718"/>
      <c r="CC127" s="718"/>
      <c r="CD127" s="718"/>
      <c r="CE127" s="718"/>
      <c r="CF127" s="718"/>
      <c r="CG127" s="718"/>
      <c r="CH127" s="718"/>
      <c r="CI127" s="719"/>
      <c r="CK127" s="1296"/>
    </row>
    <row r="128" spans="2:89" x14ac:dyDescent="0.2">
      <c r="B128" s="720" t="s">
        <v>691</v>
      </c>
      <c r="C128" s="721" t="s">
        <v>462</v>
      </c>
      <c r="D128" s="715" t="s">
        <v>692</v>
      </c>
      <c r="E128" s="716" t="s">
        <v>236</v>
      </c>
      <c r="F128" s="717">
        <v>2</v>
      </c>
      <c r="G128" s="569">
        <f t="shared" ref="G128:AK128" si="27">G31+G100+G101+G102+G103</f>
        <v>0</v>
      </c>
      <c r="H128" s="569">
        <f t="shared" si="27"/>
        <v>0</v>
      </c>
      <c r="I128" s="569">
        <f t="shared" si="27"/>
        <v>13.321967751291384</v>
      </c>
      <c r="J128" s="569">
        <f t="shared" si="27"/>
        <v>13.320985515613112</v>
      </c>
      <c r="K128" s="569">
        <f t="shared" si="27"/>
        <v>13.300423079661332</v>
      </c>
      <c r="L128" s="569">
        <f t="shared" si="27"/>
        <v>13.291059870935838</v>
      </c>
      <c r="M128" s="569">
        <f t="shared" si="27"/>
        <v>13.278707985459139</v>
      </c>
      <c r="N128" s="569">
        <f t="shared" si="27"/>
        <v>10.965317343992956</v>
      </c>
      <c r="O128" s="569">
        <f t="shared" si="27"/>
        <v>10.962218975093959</v>
      </c>
      <c r="P128" s="569">
        <f t="shared" si="27"/>
        <v>10.953175086897811</v>
      </c>
      <c r="Q128" s="569">
        <f t="shared" si="27"/>
        <v>10.929179467555329</v>
      </c>
      <c r="R128" s="569">
        <f t="shared" si="27"/>
        <v>9.1309209332219687</v>
      </c>
      <c r="S128" s="569">
        <f t="shared" si="27"/>
        <v>9.1169418032722245</v>
      </c>
      <c r="T128" s="569">
        <f t="shared" si="27"/>
        <v>9.1110734840950443</v>
      </c>
      <c r="U128" s="569">
        <f t="shared" si="27"/>
        <v>9.1039388155602481</v>
      </c>
      <c r="V128" s="569">
        <f t="shared" si="27"/>
        <v>9.096957421743328</v>
      </c>
      <c r="W128" s="569">
        <f t="shared" si="27"/>
        <v>9.0950325516898207</v>
      </c>
      <c r="X128" s="569">
        <f t="shared" si="27"/>
        <v>9.0932161262115958</v>
      </c>
      <c r="Y128" s="569">
        <f t="shared" si="27"/>
        <v>9.0915377605241829</v>
      </c>
      <c r="Z128" s="569">
        <f t="shared" si="27"/>
        <v>9.090017164347131</v>
      </c>
      <c r="AA128" s="569">
        <f t="shared" si="27"/>
        <v>9.0882681793332853</v>
      </c>
      <c r="AB128" s="569">
        <f t="shared" si="27"/>
        <v>8.2258587102116039</v>
      </c>
      <c r="AC128" s="569">
        <f t="shared" si="27"/>
        <v>8.2240618221846553</v>
      </c>
      <c r="AD128" s="569">
        <f t="shared" si="27"/>
        <v>8.2224591034268073</v>
      </c>
      <c r="AE128" s="569">
        <f t="shared" si="27"/>
        <v>8.2225341842479551</v>
      </c>
      <c r="AF128" s="569">
        <f t="shared" si="27"/>
        <v>8.222663572890621</v>
      </c>
      <c r="AG128" s="569">
        <f t="shared" si="27"/>
        <v>7.3627924809424394</v>
      </c>
      <c r="AH128" s="569">
        <f t="shared" si="27"/>
        <v>7.3630458748931122</v>
      </c>
      <c r="AI128" s="569">
        <f t="shared" si="27"/>
        <v>7.3633168438740686</v>
      </c>
      <c r="AJ128" s="569">
        <f t="shared" si="27"/>
        <v>7.3636680826413681</v>
      </c>
      <c r="AK128" s="569">
        <f t="shared" si="27"/>
        <v>7.3639941938470574</v>
      </c>
      <c r="AL128" s="569"/>
      <c r="AM128" s="569"/>
      <c r="AN128" s="569"/>
      <c r="AO128" s="569"/>
      <c r="AP128" s="569"/>
      <c r="AQ128" s="569"/>
      <c r="AR128" s="569"/>
      <c r="AS128" s="569"/>
      <c r="AT128" s="569"/>
      <c r="AU128" s="569"/>
      <c r="AV128" s="569"/>
      <c r="AW128" s="569"/>
      <c r="AX128" s="569"/>
      <c r="AY128" s="569"/>
      <c r="AZ128" s="569"/>
      <c r="BA128" s="569"/>
      <c r="BB128" s="569"/>
      <c r="BC128" s="569"/>
      <c r="BD128" s="569"/>
      <c r="BE128" s="569"/>
      <c r="BF128" s="569"/>
      <c r="BG128" s="569"/>
      <c r="BH128" s="569"/>
      <c r="BI128" s="569"/>
      <c r="BJ128" s="569"/>
      <c r="BK128" s="569"/>
      <c r="BL128" s="569"/>
      <c r="BM128" s="569"/>
      <c r="BN128" s="569"/>
      <c r="BO128" s="569"/>
      <c r="BP128" s="569"/>
      <c r="BQ128" s="569"/>
      <c r="BR128" s="569"/>
      <c r="BS128" s="569"/>
      <c r="BT128" s="569"/>
      <c r="BU128" s="569"/>
      <c r="BV128" s="569"/>
      <c r="BW128" s="569"/>
      <c r="BX128" s="569"/>
      <c r="BY128" s="569"/>
      <c r="BZ128" s="569"/>
      <c r="CA128" s="569"/>
      <c r="CB128" s="569"/>
      <c r="CC128" s="569"/>
      <c r="CD128" s="569"/>
      <c r="CE128" s="569"/>
      <c r="CF128" s="569"/>
      <c r="CG128" s="569"/>
      <c r="CH128" s="569"/>
      <c r="CI128" s="719"/>
      <c r="CK128" s="1296"/>
    </row>
    <row r="129" spans="2:89" ht="28.5" x14ac:dyDescent="0.2">
      <c r="B129" s="720" t="s">
        <v>693</v>
      </c>
      <c r="C129" s="721" t="s">
        <v>694</v>
      </c>
      <c r="D129" s="715" t="s">
        <v>695</v>
      </c>
      <c r="E129" s="716" t="s">
        <v>236</v>
      </c>
      <c r="F129" s="717">
        <v>2</v>
      </c>
      <c r="G129" s="569">
        <f t="shared" ref="G129:AK129" si="28">G39+G104+G105</f>
        <v>0</v>
      </c>
      <c r="H129" s="569">
        <f t="shared" si="28"/>
        <v>0</v>
      </c>
      <c r="I129" s="569">
        <f t="shared" si="28"/>
        <v>0.54</v>
      </c>
      <c r="J129" s="569">
        <f t="shared" si="28"/>
        <v>0.54</v>
      </c>
      <c r="K129" s="569">
        <f t="shared" si="28"/>
        <v>0.54</v>
      </c>
      <c r="L129" s="569">
        <f t="shared" si="28"/>
        <v>0.54</v>
      </c>
      <c r="M129" s="718">
        <f t="shared" si="28"/>
        <v>0.54</v>
      </c>
      <c r="N129" s="718">
        <f t="shared" si="28"/>
        <v>0.38</v>
      </c>
      <c r="O129" s="718">
        <f t="shared" si="28"/>
        <v>0.38</v>
      </c>
      <c r="P129" s="718">
        <f t="shared" si="28"/>
        <v>0.38</v>
      </c>
      <c r="Q129" s="718">
        <f t="shared" si="28"/>
        <v>0.38</v>
      </c>
      <c r="R129" s="718">
        <f t="shared" si="28"/>
        <v>0.32</v>
      </c>
      <c r="S129" s="718">
        <f t="shared" si="28"/>
        <v>0.32</v>
      </c>
      <c r="T129" s="718">
        <f t="shared" si="28"/>
        <v>0.32</v>
      </c>
      <c r="U129" s="718">
        <f t="shared" si="28"/>
        <v>0.32</v>
      </c>
      <c r="V129" s="718">
        <f t="shared" si="28"/>
        <v>0.32</v>
      </c>
      <c r="W129" s="718">
        <f t="shared" si="28"/>
        <v>0.32</v>
      </c>
      <c r="X129" s="718">
        <f t="shared" si="28"/>
        <v>0.32</v>
      </c>
      <c r="Y129" s="718">
        <f t="shared" si="28"/>
        <v>0.32</v>
      </c>
      <c r="Z129" s="718">
        <f t="shared" si="28"/>
        <v>0.32</v>
      </c>
      <c r="AA129" s="718">
        <f t="shared" si="28"/>
        <v>0.32</v>
      </c>
      <c r="AB129" s="718">
        <f t="shared" si="28"/>
        <v>0.3</v>
      </c>
      <c r="AC129" s="718">
        <f t="shared" si="28"/>
        <v>0.3</v>
      </c>
      <c r="AD129" s="718">
        <f t="shared" si="28"/>
        <v>0.3</v>
      </c>
      <c r="AE129" s="718">
        <f t="shared" si="28"/>
        <v>0.3</v>
      </c>
      <c r="AF129" s="718">
        <f t="shared" si="28"/>
        <v>0.3</v>
      </c>
      <c r="AG129" s="718">
        <f t="shared" si="28"/>
        <v>0.27</v>
      </c>
      <c r="AH129" s="718">
        <f t="shared" si="28"/>
        <v>0.27</v>
      </c>
      <c r="AI129" s="718">
        <f t="shared" si="28"/>
        <v>0.27</v>
      </c>
      <c r="AJ129" s="718">
        <f t="shared" si="28"/>
        <v>0.27</v>
      </c>
      <c r="AK129" s="718">
        <f t="shared" si="28"/>
        <v>0.27</v>
      </c>
      <c r="AL129" s="718"/>
      <c r="AM129" s="718"/>
      <c r="AN129" s="718"/>
      <c r="AO129" s="718"/>
      <c r="AP129" s="718"/>
      <c r="AQ129" s="718"/>
      <c r="AR129" s="718"/>
      <c r="AS129" s="718"/>
      <c r="AT129" s="718"/>
      <c r="AU129" s="718"/>
      <c r="AV129" s="718"/>
      <c r="AW129" s="718"/>
      <c r="AX129" s="718"/>
      <c r="AY129" s="718"/>
      <c r="AZ129" s="718"/>
      <c r="BA129" s="718"/>
      <c r="BB129" s="718"/>
      <c r="BC129" s="718"/>
      <c r="BD129" s="718"/>
      <c r="BE129" s="718"/>
      <c r="BF129" s="718"/>
      <c r="BG129" s="718"/>
      <c r="BH129" s="718"/>
      <c r="BI129" s="718"/>
      <c r="BJ129" s="718"/>
      <c r="BK129" s="718"/>
      <c r="BL129" s="718"/>
      <c r="BM129" s="718"/>
      <c r="BN129" s="718"/>
      <c r="BO129" s="718"/>
      <c r="BP129" s="718"/>
      <c r="BQ129" s="718"/>
      <c r="BR129" s="718"/>
      <c r="BS129" s="718"/>
      <c r="BT129" s="718"/>
      <c r="BU129" s="718"/>
      <c r="BV129" s="718"/>
      <c r="BW129" s="718"/>
      <c r="BX129" s="718"/>
      <c r="BY129" s="718"/>
      <c r="BZ129" s="718"/>
      <c r="CA129" s="718"/>
      <c r="CB129" s="718"/>
      <c r="CC129" s="718"/>
      <c r="CD129" s="718"/>
      <c r="CE129" s="718"/>
      <c r="CF129" s="718"/>
      <c r="CG129" s="718"/>
      <c r="CH129" s="718"/>
      <c r="CI129" s="719"/>
      <c r="CK129" s="1296"/>
    </row>
    <row r="130" spans="2:89" x14ac:dyDescent="0.2">
      <c r="B130" s="720" t="s">
        <v>696</v>
      </c>
      <c r="C130" s="721" t="s">
        <v>483</v>
      </c>
      <c r="D130" s="715" t="s">
        <v>697</v>
      </c>
      <c r="E130" s="716" t="s">
        <v>236</v>
      </c>
      <c r="F130" s="717">
        <v>2</v>
      </c>
      <c r="G130" s="569">
        <f t="shared" ref="G130:AK130" si="29">G40+G106</f>
        <v>0</v>
      </c>
      <c r="H130" s="569">
        <f t="shared" si="29"/>
        <v>0</v>
      </c>
      <c r="I130" s="569">
        <f t="shared" si="29"/>
        <v>0.68</v>
      </c>
      <c r="J130" s="569">
        <f t="shared" si="29"/>
        <v>0.68</v>
      </c>
      <c r="K130" s="569">
        <f t="shared" si="29"/>
        <v>0.68</v>
      </c>
      <c r="L130" s="569">
        <f t="shared" si="29"/>
        <v>0.68</v>
      </c>
      <c r="M130" s="718">
        <f t="shared" si="29"/>
        <v>0.68</v>
      </c>
      <c r="N130" s="718">
        <f t="shared" si="29"/>
        <v>0.68</v>
      </c>
      <c r="O130" s="718">
        <f t="shared" si="29"/>
        <v>0.68</v>
      </c>
      <c r="P130" s="718">
        <f t="shared" si="29"/>
        <v>0.68</v>
      </c>
      <c r="Q130" s="718">
        <f t="shared" si="29"/>
        <v>0.68</v>
      </c>
      <c r="R130" s="718">
        <f t="shared" si="29"/>
        <v>0.68</v>
      </c>
      <c r="S130" s="718">
        <f t="shared" si="29"/>
        <v>0.68</v>
      </c>
      <c r="T130" s="718">
        <f t="shared" si="29"/>
        <v>0.68</v>
      </c>
      <c r="U130" s="718">
        <f t="shared" si="29"/>
        <v>0.68</v>
      </c>
      <c r="V130" s="718">
        <f t="shared" si="29"/>
        <v>0.68</v>
      </c>
      <c r="W130" s="718">
        <f t="shared" si="29"/>
        <v>0.68</v>
      </c>
      <c r="X130" s="718">
        <f t="shared" si="29"/>
        <v>0.68</v>
      </c>
      <c r="Y130" s="718">
        <f t="shared" si="29"/>
        <v>0.68</v>
      </c>
      <c r="Z130" s="718">
        <f t="shared" si="29"/>
        <v>0.68</v>
      </c>
      <c r="AA130" s="718">
        <f t="shared" si="29"/>
        <v>0.68</v>
      </c>
      <c r="AB130" s="718">
        <f t="shared" si="29"/>
        <v>0.68</v>
      </c>
      <c r="AC130" s="718">
        <f t="shared" si="29"/>
        <v>0.68</v>
      </c>
      <c r="AD130" s="718">
        <f t="shared" si="29"/>
        <v>0.68</v>
      </c>
      <c r="AE130" s="718">
        <f t="shared" si="29"/>
        <v>0.68</v>
      </c>
      <c r="AF130" s="718">
        <f t="shared" si="29"/>
        <v>0.68</v>
      </c>
      <c r="AG130" s="718">
        <f t="shared" si="29"/>
        <v>0.68</v>
      </c>
      <c r="AH130" s="718">
        <f t="shared" si="29"/>
        <v>0.68</v>
      </c>
      <c r="AI130" s="718">
        <f t="shared" si="29"/>
        <v>0.68</v>
      </c>
      <c r="AJ130" s="718">
        <f t="shared" si="29"/>
        <v>0.68</v>
      </c>
      <c r="AK130" s="718">
        <f t="shared" si="29"/>
        <v>0.68</v>
      </c>
      <c r="AL130" s="718"/>
      <c r="AM130" s="718"/>
      <c r="AN130" s="718"/>
      <c r="AO130" s="718"/>
      <c r="AP130" s="718"/>
      <c r="AQ130" s="718"/>
      <c r="AR130" s="718"/>
      <c r="AS130" s="718"/>
      <c r="AT130" s="718"/>
      <c r="AU130" s="718"/>
      <c r="AV130" s="718"/>
      <c r="AW130" s="718"/>
      <c r="AX130" s="718"/>
      <c r="AY130" s="718"/>
      <c r="AZ130" s="718"/>
      <c r="BA130" s="718"/>
      <c r="BB130" s="718"/>
      <c r="BC130" s="718"/>
      <c r="BD130" s="718"/>
      <c r="BE130" s="718"/>
      <c r="BF130" s="718"/>
      <c r="BG130" s="718"/>
      <c r="BH130" s="718"/>
      <c r="BI130" s="718"/>
      <c r="BJ130" s="718"/>
      <c r="BK130" s="718"/>
      <c r="BL130" s="718"/>
      <c r="BM130" s="718"/>
      <c r="BN130" s="718"/>
      <c r="BO130" s="718"/>
      <c r="BP130" s="718"/>
      <c r="BQ130" s="718"/>
      <c r="BR130" s="718"/>
      <c r="BS130" s="718"/>
      <c r="BT130" s="718"/>
      <c r="BU130" s="718"/>
      <c r="BV130" s="718"/>
      <c r="BW130" s="718"/>
      <c r="BX130" s="718"/>
      <c r="BY130" s="718"/>
      <c r="BZ130" s="718"/>
      <c r="CA130" s="718"/>
      <c r="CB130" s="718"/>
      <c r="CC130" s="718"/>
      <c r="CD130" s="718"/>
      <c r="CE130" s="718"/>
      <c r="CF130" s="718"/>
      <c r="CG130" s="718"/>
      <c r="CH130" s="718"/>
      <c r="CI130" s="719"/>
      <c r="CK130" s="1296"/>
    </row>
    <row r="131" spans="2:89" x14ac:dyDescent="0.2">
      <c r="B131" s="722" t="s">
        <v>698</v>
      </c>
      <c r="C131" s="723" t="s">
        <v>387</v>
      </c>
      <c r="D131" s="723" t="s">
        <v>699</v>
      </c>
      <c r="E131" s="724" t="s">
        <v>236</v>
      </c>
      <c r="F131" s="717">
        <v>2</v>
      </c>
      <c r="G131" s="569">
        <f>(G128)-(G129+G130)</f>
        <v>0</v>
      </c>
      <c r="H131" s="569">
        <f t="shared" ref="H131:AK131" si="30">(H128)-(H129+H130)</f>
        <v>0</v>
      </c>
      <c r="I131" s="569">
        <f>(I128)-(I129+I130)</f>
        <v>12.101967751291383</v>
      </c>
      <c r="J131" s="569">
        <f t="shared" si="30"/>
        <v>12.100985515613111</v>
      </c>
      <c r="K131" s="569">
        <f t="shared" si="30"/>
        <v>12.080423079661331</v>
      </c>
      <c r="L131" s="569">
        <f>(L128)-(L129+L130)</f>
        <v>12.071059870935837</v>
      </c>
      <c r="M131" s="569">
        <f t="shared" si="30"/>
        <v>12.058707985459138</v>
      </c>
      <c r="N131" s="569">
        <f t="shared" si="30"/>
        <v>9.9053173439929552</v>
      </c>
      <c r="O131" s="569">
        <f t="shared" si="30"/>
        <v>9.9022189750939589</v>
      </c>
      <c r="P131" s="569">
        <f t="shared" si="30"/>
        <v>9.893175086897811</v>
      </c>
      <c r="Q131" s="569">
        <f t="shared" si="30"/>
        <v>9.8691794675553286</v>
      </c>
      <c r="R131" s="569">
        <f t="shared" si="30"/>
        <v>8.1309209332219687</v>
      </c>
      <c r="S131" s="569">
        <f t="shared" si="30"/>
        <v>8.1169418032722245</v>
      </c>
      <c r="T131" s="569">
        <f t="shared" si="30"/>
        <v>8.1110734840950443</v>
      </c>
      <c r="U131" s="569">
        <f t="shared" si="30"/>
        <v>8.1039388155602481</v>
      </c>
      <c r="V131" s="569">
        <f t="shared" si="30"/>
        <v>8.096957421743328</v>
      </c>
      <c r="W131" s="569">
        <f t="shared" si="30"/>
        <v>8.0950325516898207</v>
      </c>
      <c r="X131" s="569">
        <f t="shared" si="30"/>
        <v>8.0932161262115958</v>
      </c>
      <c r="Y131" s="569">
        <f t="shared" si="30"/>
        <v>8.0915377605241829</v>
      </c>
      <c r="Z131" s="569">
        <f t="shared" si="30"/>
        <v>8.090017164347131</v>
      </c>
      <c r="AA131" s="569">
        <f t="shared" si="30"/>
        <v>8.0882681793332853</v>
      </c>
      <c r="AB131" s="569">
        <f t="shared" si="30"/>
        <v>7.2458587102116034</v>
      </c>
      <c r="AC131" s="569">
        <f t="shared" si="30"/>
        <v>7.2440618221846549</v>
      </c>
      <c r="AD131" s="569">
        <f t="shared" si="30"/>
        <v>7.2424591034268069</v>
      </c>
      <c r="AE131" s="569">
        <f t="shared" si="30"/>
        <v>7.2425341842479547</v>
      </c>
      <c r="AF131" s="569">
        <f t="shared" si="30"/>
        <v>7.2426635728906206</v>
      </c>
      <c r="AG131" s="569">
        <f t="shared" si="30"/>
        <v>6.4127924809424393</v>
      </c>
      <c r="AH131" s="569">
        <f t="shared" si="30"/>
        <v>6.4130458748931121</v>
      </c>
      <c r="AI131" s="569">
        <f t="shared" si="30"/>
        <v>6.4133168438740684</v>
      </c>
      <c r="AJ131" s="569">
        <f t="shared" si="30"/>
        <v>6.4136680826413679</v>
      </c>
      <c r="AK131" s="569">
        <f t="shared" si="30"/>
        <v>6.4139941938470573</v>
      </c>
      <c r="AL131" s="569"/>
      <c r="AM131" s="569"/>
      <c r="AN131" s="569"/>
      <c r="AO131" s="569"/>
      <c r="AP131" s="569"/>
      <c r="AQ131" s="569"/>
      <c r="AR131" s="569"/>
      <c r="AS131" s="569"/>
      <c r="AT131" s="569"/>
      <c r="AU131" s="569"/>
      <c r="AV131" s="569"/>
      <c r="AW131" s="569"/>
      <c r="AX131" s="569"/>
      <c r="AY131" s="569"/>
      <c r="AZ131" s="569"/>
      <c r="BA131" s="569"/>
      <c r="BB131" s="569"/>
      <c r="BC131" s="569"/>
      <c r="BD131" s="569"/>
      <c r="BE131" s="569"/>
      <c r="BF131" s="569"/>
      <c r="BG131" s="569"/>
      <c r="BH131" s="569"/>
      <c r="BI131" s="569"/>
      <c r="BJ131" s="569"/>
      <c r="BK131" s="569"/>
      <c r="BL131" s="569"/>
      <c r="BM131" s="569"/>
      <c r="BN131" s="569"/>
      <c r="BO131" s="569"/>
      <c r="BP131" s="569"/>
      <c r="BQ131" s="569"/>
      <c r="BR131" s="569"/>
      <c r="BS131" s="569"/>
      <c r="BT131" s="569"/>
      <c r="BU131" s="569"/>
      <c r="BV131" s="569"/>
      <c r="BW131" s="569"/>
      <c r="BX131" s="569"/>
      <c r="BY131" s="569"/>
      <c r="BZ131" s="569"/>
      <c r="CA131" s="569"/>
      <c r="CB131" s="569"/>
      <c r="CC131" s="569"/>
      <c r="CD131" s="569"/>
      <c r="CE131" s="569"/>
      <c r="CF131" s="569"/>
      <c r="CG131" s="569"/>
      <c r="CH131" s="569"/>
      <c r="CI131" s="569"/>
      <c r="CK131" s="1296"/>
    </row>
    <row r="132" spans="2:89" ht="40.35" customHeight="1" thickBot="1" x14ac:dyDescent="0.25">
      <c r="B132" s="725" t="s">
        <v>700</v>
      </c>
      <c r="C132" s="726" t="s">
        <v>390</v>
      </c>
      <c r="D132" s="726" t="s">
        <v>701</v>
      </c>
      <c r="E132" s="727" t="s">
        <v>236</v>
      </c>
      <c r="F132" s="728">
        <v>2</v>
      </c>
      <c r="G132" s="729">
        <f t="shared" ref="G132:AK132" si="31">G131+SUM(G124:G127)</f>
        <v>0</v>
      </c>
      <c r="H132" s="729">
        <f>H131+SUM(H124:H127)</f>
        <v>0</v>
      </c>
      <c r="I132" s="729">
        <f>I131+SUM(I124:I127)</f>
        <v>13.021967751291383</v>
      </c>
      <c r="J132" s="729">
        <f t="shared" si="31"/>
        <v>13.020985515613111</v>
      </c>
      <c r="K132" s="729">
        <f t="shared" si="31"/>
        <v>13.000423079661331</v>
      </c>
      <c r="L132" s="729">
        <f>L131+SUM(L124:L127)</f>
        <v>12.991059870935837</v>
      </c>
      <c r="M132" s="729">
        <f t="shared" si="31"/>
        <v>12.978707985459138</v>
      </c>
      <c r="N132" s="729">
        <f t="shared" si="31"/>
        <v>10.602136106764764</v>
      </c>
      <c r="O132" s="729">
        <f t="shared" si="31"/>
        <v>10.561274070766373</v>
      </c>
      <c r="P132" s="729">
        <f t="shared" si="31"/>
        <v>10.462990466738901</v>
      </c>
      <c r="Q132" s="729">
        <f t="shared" si="31"/>
        <v>10.31940862250959</v>
      </c>
      <c r="R132" s="729">
        <f t="shared" si="31"/>
        <v>10.167821180651023</v>
      </c>
      <c r="S132" s="729">
        <f t="shared" si="31"/>
        <v>10.058270128125507</v>
      </c>
      <c r="T132" s="729">
        <f t="shared" si="31"/>
        <v>12.283427063553368</v>
      </c>
      <c r="U132" s="729">
        <f t="shared" si="31"/>
        <v>12.174285180576256</v>
      </c>
      <c r="V132" s="729">
        <f t="shared" si="31"/>
        <v>12.066923925607624</v>
      </c>
      <c r="W132" s="729">
        <f t="shared" si="31"/>
        <v>12.016186906657701</v>
      </c>
      <c r="X132" s="729">
        <f t="shared" si="31"/>
        <v>11.963407172606587</v>
      </c>
      <c r="Y132" s="729">
        <f t="shared" si="31"/>
        <v>11.914069234130809</v>
      </c>
      <c r="Z132" s="729">
        <f t="shared" si="31"/>
        <v>11.888303291084233</v>
      </c>
      <c r="AA132" s="729">
        <f t="shared" si="31"/>
        <v>11.856650774409543</v>
      </c>
      <c r="AB132" s="729">
        <f t="shared" si="31"/>
        <v>11.819242800966892</v>
      </c>
      <c r="AC132" s="729">
        <f t="shared" si="31"/>
        <v>11.790732914136751</v>
      </c>
      <c r="AD132" s="729">
        <f t="shared" si="31"/>
        <v>11.761978646544748</v>
      </c>
      <c r="AE132" s="729">
        <f t="shared" si="31"/>
        <v>11.750726977985254</v>
      </c>
      <c r="AF132" s="729">
        <f t="shared" si="31"/>
        <v>11.740828119525114</v>
      </c>
      <c r="AG132" s="729">
        <f t="shared" si="31"/>
        <v>11.730029117009467</v>
      </c>
      <c r="AH132" s="729">
        <f t="shared" si="31"/>
        <v>11.719500596058939</v>
      </c>
      <c r="AI132" s="729">
        <f t="shared" si="31"/>
        <v>11.706456071364567</v>
      </c>
      <c r="AJ132" s="729">
        <f t="shared" si="31"/>
        <v>11.703423089765945</v>
      </c>
      <c r="AK132" s="729">
        <f t="shared" si="31"/>
        <v>11.695416565828904</v>
      </c>
      <c r="AL132" s="729"/>
      <c r="AM132" s="729"/>
      <c r="AN132" s="729"/>
      <c r="AO132" s="729"/>
      <c r="AP132" s="729"/>
      <c r="AQ132" s="729"/>
      <c r="AR132" s="729"/>
      <c r="AS132" s="729"/>
      <c r="AT132" s="729"/>
      <c r="AU132" s="729"/>
      <c r="AV132" s="729"/>
      <c r="AW132" s="729"/>
      <c r="AX132" s="729"/>
      <c r="AY132" s="729"/>
      <c r="AZ132" s="729"/>
      <c r="BA132" s="729"/>
      <c r="BB132" s="729"/>
      <c r="BC132" s="729"/>
      <c r="BD132" s="729"/>
      <c r="BE132" s="729"/>
      <c r="BF132" s="729"/>
      <c r="BG132" s="729"/>
      <c r="BH132" s="729"/>
      <c r="BI132" s="729"/>
      <c r="BJ132" s="729"/>
      <c r="BK132" s="729"/>
      <c r="BL132" s="729"/>
      <c r="BM132" s="729"/>
      <c r="BN132" s="729"/>
      <c r="BO132" s="729"/>
      <c r="BP132" s="729"/>
      <c r="BQ132" s="729"/>
      <c r="BR132" s="729"/>
      <c r="BS132" s="729"/>
      <c r="BT132" s="729"/>
      <c r="BU132" s="729"/>
      <c r="BV132" s="729"/>
      <c r="BW132" s="729"/>
      <c r="BX132" s="729"/>
      <c r="BY132" s="729"/>
      <c r="BZ132" s="729"/>
      <c r="CA132" s="729"/>
      <c r="CB132" s="729"/>
      <c r="CC132" s="729"/>
      <c r="CD132" s="729"/>
      <c r="CE132" s="729"/>
      <c r="CF132" s="729"/>
      <c r="CG132" s="729"/>
      <c r="CH132" s="729"/>
      <c r="CI132" s="729"/>
      <c r="CK132" s="1296"/>
    </row>
    <row r="133" spans="2:89" x14ac:dyDescent="0.2">
      <c r="B133" s="730" t="s">
        <v>702</v>
      </c>
      <c r="C133" s="731" t="s">
        <v>489</v>
      </c>
      <c r="D133" s="732" t="s">
        <v>703</v>
      </c>
      <c r="E133" s="733" t="s">
        <v>236</v>
      </c>
      <c r="F133" s="734">
        <v>2</v>
      </c>
      <c r="G133" s="735">
        <f t="shared" ref="G133:AK133" si="32">G43+G107</f>
        <v>0</v>
      </c>
      <c r="H133" s="735">
        <f t="shared" si="32"/>
        <v>0</v>
      </c>
      <c r="I133" s="735">
        <f t="shared" si="32"/>
        <v>3.3547427843612052</v>
      </c>
      <c r="J133" s="735">
        <f t="shared" si="32"/>
        <v>3.1443778968174603</v>
      </c>
      <c r="K133" s="735">
        <f t="shared" si="32"/>
        <v>3.3085150105173571</v>
      </c>
      <c r="L133" s="735">
        <f t="shared" si="32"/>
        <v>3.4980837300055168</v>
      </c>
      <c r="M133" s="736">
        <f t="shared" si="32"/>
        <v>3.6529723441870625</v>
      </c>
      <c r="N133" s="736">
        <f t="shared" si="32"/>
        <v>3.6934565168049178</v>
      </c>
      <c r="O133" s="736">
        <f t="shared" si="32"/>
        <v>3.6985045706651918</v>
      </c>
      <c r="P133" s="736">
        <f t="shared" si="32"/>
        <v>3.7028634494975647</v>
      </c>
      <c r="Q133" s="736">
        <f t="shared" si="32"/>
        <v>3.7043243080814117</v>
      </c>
      <c r="R133" s="736">
        <f t="shared" si="32"/>
        <v>3.6903349265911007</v>
      </c>
      <c r="S133" s="736">
        <f t="shared" si="32"/>
        <v>3.6755899545866466</v>
      </c>
      <c r="T133" s="736">
        <f t="shared" si="32"/>
        <v>5.9506351283920562</v>
      </c>
      <c r="U133" s="736">
        <f t="shared" si="32"/>
        <v>5.9358760362714778</v>
      </c>
      <c r="V133" s="736">
        <f t="shared" si="32"/>
        <v>5.9211708434436785</v>
      </c>
      <c r="W133" s="736">
        <f t="shared" si="32"/>
        <v>5.9081368564903727</v>
      </c>
      <c r="X133" s="736">
        <f t="shared" si="32"/>
        <v>5.8950755535469606</v>
      </c>
      <c r="Y133" s="736">
        <f t="shared" si="32"/>
        <v>5.8821921750295649</v>
      </c>
      <c r="Z133" s="736">
        <f t="shared" si="32"/>
        <v>5.8895022677747191</v>
      </c>
      <c r="AA133" s="736">
        <f t="shared" si="32"/>
        <v>5.8968359512900808</v>
      </c>
      <c r="AB133" s="736">
        <f t="shared" si="32"/>
        <v>5.9041788116629021</v>
      </c>
      <c r="AC133" s="736">
        <f t="shared" si="32"/>
        <v>5.9114995794406351</v>
      </c>
      <c r="AD133" s="736">
        <f t="shared" si="32"/>
        <v>5.9186885247733576</v>
      </c>
      <c r="AE133" s="736">
        <f t="shared" si="32"/>
        <v>5.9257016324507266</v>
      </c>
      <c r="AF133" s="736">
        <f t="shared" si="32"/>
        <v>5.932655154141564</v>
      </c>
      <c r="AG133" s="736">
        <f t="shared" si="32"/>
        <v>5.9394812848564875</v>
      </c>
      <c r="AH133" s="736">
        <f t="shared" si="32"/>
        <v>5.9462777141771523</v>
      </c>
      <c r="AI133" s="736">
        <f t="shared" si="32"/>
        <v>5.95302407239733</v>
      </c>
      <c r="AJ133" s="736">
        <f t="shared" si="32"/>
        <v>5.9596858098057099</v>
      </c>
      <c r="AK133" s="736">
        <f t="shared" si="32"/>
        <v>5.966330434857845</v>
      </c>
      <c r="AL133" s="736"/>
      <c r="AM133" s="736"/>
      <c r="AN133" s="736"/>
      <c r="AO133" s="736"/>
      <c r="AP133" s="736"/>
      <c r="AQ133" s="736"/>
      <c r="AR133" s="736"/>
      <c r="AS133" s="736"/>
      <c r="AT133" s="736"/>
      <c r="AU133" s="736"/>
      <c r="AV133" s="736"/>
      <c r="AW133" s="736"/>
      <c r="AX133" s="736"/>
      <c r="AY133" s="736"/>
      <c r="AZ133" s="736"/>
      <c r="BA133" s="736"/>
      <c r="BB133" s="736"/>
      <c r="BC133" s="736"/>
      <c r="BD133" s="736"/>
      <c r="BE133" s="736"/>
      <c r="BF133" s="736"/>
      <c r="BG133" s="736"/>
      <c r="BH133" s="736"/>
      <c r="BI133" s="736"/>
      <c r="BJ133" s="736"/>
      <c r="BK133" s="736"/>
      <c r="BL133" s="736"/>
      <c r="BM133" s="736"/>
      <c r="BN133" s="736"/>
      <c r="BO133" s="736"/>
      <c r="BP133" s="736"/>
      <c r="BQ133" s="736"/>
      <c r="BR133" s="736"/>
      <c r="BS133" s="736"/>
      <c r="BT133" s="736"/>
      <c r="BU133" s="736"/>
      <c r="BV133" s="736"/>
      <c r="BW133" s="736"/>
      <c r="BX133" s="736"/>
      <c r="BY133" s="736"/>
      <c r="BZ133" s="736"/>
      <c r="CA133" s="736"/>
      <c r="CB133" s="736"/>
      <c r="CC133" s="736"/>
      <c r="CD133" s="736"/>
      <c r="CE133" s="736"/>
      <c r="CF133" s="736"/>
      <c r="CG133" s="736"/>
      <c r="CH133" s="736"/>
      <c r="CI133" s="737"/>
      <c r="CK133" s="1296"/>
    </row>
    <row r="134" spans="2:89" x14ac:dyDescent="0.2">
      <c r="B134" s="1043" t="s">
        <v>704</v>
      </c>
      <c r="C134" s="1044" t="s">
        <v>705</v>
      </c>
      <c r="D134" s="1045" t="s">
        <v>86</v>
      </c>
      <c r="E134" s="1046" t="s">
        <v>236</v>
      </c>
      <c r="F134" s="1047">
        <v>2</v>
      </c>
      <c r="G134" s="540"/>
      <c r="H134" s="540"/>
      <c r="I134" s="540">
        <v>0</v>
      </c>
      <c r="J134" s="540">
        <v>0</v>
      </c>
      <c r="K134" s="540">
        <v>0</v>
      </c>
      <c r="L134" s="540">
        <v>0</v>
      </c>
      <c r="M134" s="1345">
        <v>0</v>
      </c>
      <c r="N134" s="1345">
        <v>0</v>
      </c>
      <c r="O134" s="1345">
        <v>0</v>
      </c>
      <c r="P134" s="1345">
        <v>0</v>
      </c>
      <c r="Q134" s="1345">
        <v>0</v>
      </c>
      <c r="R134" s="1345">
        <v>0</v>
      </c>
      <c r="S134" s="1345">
        <v>0</v>
      </c>
      <c r="T134" s="1345">
        <v>0</v>
      </c>
      <c r="U134" s="1345">
        <v>0</v>
      </c>
      <c r="V134" s="1345">
        <v>0</v>
      </c>
      <c r="W134" s="1345">
        <v>0</v>
      </c>
      <c r="X134" s="1345">
        <v>0</v>
      </c>
      <c r="Y134" s="1345">
        <v>0</v>
      </c>
      <c r="Z134" s="1345">
        <v>0</v>
      </c>
      <c r="AA134" s="1345">
        <v>0</v>
      </c>
      <c r="AB134" s="1345">
        <v>0</v>
      </c>
      <c r="AC134" s="1345">
        <v>0</v>
      </c>
      <c r="AD134" s="1345">
        <v>0</v>
      </c>
      <c r="AE134" s="1345">
        <v>0</v>
      </c>
      <c r="AF134" s="1345">
        <v>0</v>
      </c>
      <c r="AG134" s="1345">
        <v>0</v>
      </c>
      <c r="AH134" s="1345">
        <v>0</v>
      </c>
      <c r="AI134" s="1345">
        <v>0</v>
      </c>
      <c r="AJ134" s="1345">
        <v>0</v>
      </c>
      <c r="AK134" s="1345">
        <v>0</v>
      </c>
      <c r="AL134" s="1345"/>
      <c r="AM134" s="1345"/>
      <c r="AN134" s="1345"/>
      <c r="AO134" s="1345"/>
      <c r="AP134" s="1345"/>
      <c r="AQ134" s="1345"/>
      <c r="AR134" s="1345"/>
      <c r="AS134" s="1345"/>
      <c r="AT134" s="1345"/>
      <c r="AU134" s="1345"/>
      <c r="AV134" s="1345"/>
      <c r="AW134" s="1345"/>
      <c r="AX134" s="1345"/>
      <c r="AY134" s="1345"/>
      <c r="AZ134" s="1345"/>
      <c r="BA134" s="1345"/>
      <c r="BB134" s="1345"/>
      <c r="BC134" s="1345"/>
      <c r="BD134" s="1345"/>
      <c r="BE134" s="1345"/>
      <c r="BF134" s="1345"/>
      <c r="BG134" s="1345"/>
      <c r="BH134" s="1345"/>
      <c r="BI134" s="1345"/>
      <c r="BJ134" s="1345"/>
      <c r="BK134" s="1345"/>
      <c r="BL134" s="1345"/>
      <c r="BM134" s="1345"/>
      <c r="BN134" s="1345"/>
      <c r="BO134" s="1345"/>
      <c r="BP134" s="1345"/>
      <c r="BQ134" s="1345"/>
      <c r="BR134" s="1345"/>
      <c r="BS134" s="1345"/>
      <c r="BT134" s="1345"/>
      <c r="BU134" s="1345"/>
      <c r="BV134" s="1345"/>
      <c r="BW134" s="1345"/>
      <c r="BX134" s="1345"/>
      <c r="BY134" s="1345"/>
      <c r="BZ134" s="1345"/>
      <c r="CA134" s="1345"/>
      <c r="CB134" s="1345"/>
      <c r="CC134" s="1345"/>
      <c r="CD134" s="1345"/>
      <c r="CE134" s="1345"/>
      <c r="CF134" s="1345"/>
      <c r="CG134" s="1345"/>
      <c r="CH134" s="1345"/>
      <c r="CI134" s="1345"/>
      <c r="CK134" s="1296"/>
    </row>
    <row r="135" spans="2:89" x14ac:dyDescent="0.2">
      <c r="B135" s="1043" t="s">
        <v>706</v>
      </c>
      <c r="C135" s="1044" t="s">
        <v>493</v>
      </c>
      <c r="D135" s="1045" t="s">
        <v>707</v>
      </c>
      <c r="E135" s="1046" t="s">
        <v>236</v>
      </c>
      <c r="F135" s="1047">
        <v>2</v>
      </c>
      <c r="G135" s="569">
        <f t="shared" ref="G135:AK135" si="33">G45+G108</f>
        <v>0</v>
      </c>
      <c r="H135" s="569">
        <f t="shared" si="33"/>
        <v>0</v>
      </c>
      <c r="I135" s="569">
        <f t="shared" si="33"/>
        <v>3.0406118885365267E-2</v>
      </c>
      <c r="J135" s="569">
        <f t="shared" si="33"/>
        <v>2.7041654066919437E-2</v>
      </c>
      <c r="K135" s="569">
        <f t="shared" si="33"/>
        <v>2.6668890448681058E-2</v>
      </c>
      <c r="L135" s="569">
        <f t="shared" si="33"/>
        <v>1.67252599362211E-2</v>
      </c>
      <c r="M135" s="718">
        <f t="shared" si="33"/>
        <v>9.0208773623666055E-3</v>
      </c>
      <c r="N135" s="718">
        <f t="shared" si="33"/>
        <v>8.9227111400721586E-3</v>
      </c>
      <c r="O135" s="718">
        <f t="shared" si="33"/>
        <v>8.8246130270753093E-3</v>
      </c>
      <c r="P135" s="718">
        <f t="shared" si="33"/>
        <v>8.7265830233760593E-3</v>
      </c>
      <c r="Q135" s="718">
        <f t="shared" si="33"/>
        <v>8.6286211289744053E-3</v>
      </c>
      <c r="R135" s="718">
        <f t="shared" si="33"/>
        <v>8.530727343870349E-3</v>
      </c>
      <c r="S135" s="718">
        <f t="shared" si="33"/>
        <v>8.4329016680638868E-3</v>
      </c>
      <c r="T135" s="718">
        <f t="shared" si="33"/>
        <v>8.3351441015550257E-3</v>
      </c>
      <c r="U135" s="718">
        <f t="shared" si="33"/>
        <v>8.2374546443437606E-3</v>
      </c>
      <c r="V135" s="718">
        <f t="shared" si="33"/>
        <v>8.2344921890283099E-3</v>
      </c>
      <c r="W135" s="718">
        <f t="shared" si="33"/>
        <v>8.2315297337128591E-3</v>
      </c>
      <c r="X135" s="718">
        <f t="shared" si="33"/>
        <v>8.2285672783974084E-3</v>
      </c>
      <c r="Y135" s="718">
        <f t="shared" si="33"/>
        <v>8.2256048230819577E-3</v>
      </c>
      <c r="Z135" s="718">
        <f t="shared" si="33"/>
        <v>8.222642367766507E-3</v>
      </c>
      <c r="AA135" s="718">
        <f t="shared" si="33"/>
        <v>8.2196799124510563E-3</v>
      </c>
      <c r="AB135" s="718">
        <f t="shared" si="33"/>
        <v>8.2167174571356055E-3</v>
      </c>
      <c r="AC135" s="718">
        <f t="shared" si="33"/>
        <v>8.2137550018201548E-3</v>
      </c>
      <c r="AD135" s="718">
        <f t="shared" si="33"/>
        <v>8.2107925465047041E-3</v>
      </c>
      <c r="AE135" s="718">
        <f t="shared" si="33"/>
        <v>8.2078300911892534E-3</v>
      </c>
      <c r="AF135" s="718">
        <f t="shared" si="33"/>
        <v>8.2048676358738026E-3</v>
      </c>
      <c r="AG135" s="718">
        <f t="shared" si="33"/>
        <v>8.2019051805583519E-3</v>
      </c>
      <c r="AH135" s="718">
        <f t="shared" si="33"/>
        <v>8.1989427252429012E-3</v>
      </c>
      <c r="AI135" s="718">
        <f t="shared" si="33"/>
        <v>8.1959802699274505E-3</v>
      </c>
      <c r="AJ135" s="718">
        <f t="shared" si="33"/>
        <v>8.1930178146119997E-3</v>
      </c>
      <c r="AK135" s="718">
        <f t="shared" si="33"/>
        <v>8.190055359296549E-3</v>
      </c>
      <c r="AL135" s="718"/>
      <c r="AM135" s="718"/>
      <c r="AN135" s="718"/>
      <c r="AO135" s="718"/>
      <c r="AP135" s="718"/>
      <c r="AQ135" s="718"/>
      <c r="AR135" s="718"/>
      <c r="AS135" s="718"/>
      <c r="AT135" s="718"/>
      <c r="AU135" s="718"/>
      <c r="AV135" s="718"/>
      <c r="AW135" s="718"/>
      <c r="AX135" s="718"/>
      <c r="AY135" s="718"/>
      <c r="AZ135" s="718"/>
      <c r="BA135" s="718"/>
      <c r="BB135" s="718"/>
      <c r="BC135" s="718"/>
      <c r="BD135" s="718"/>
      <c r="BE135" s="718"/>
      <c r="BF135" s="718"/>
      <c r="BG135" s="718"/>
      <c r="BH135" s="718"/>
      <c r="BI135" s="718"/>
      <c r="BJ135" s="718"/>
      <c r="BK135" s="718"/>
      <c r="BL135" s="718"/>
      <c r="BM135" s="718"/>
      <c r="BN135" s="718"/>
      <c r="BO135" s="718"/>
      <c r="BP135" s="718"/>
      <c r="BQ135" s="718"/>
      <c r="BR135" s="718"/>
      <c r="BS135" s="718"/>
      <c r="BT135" s="718"/>
      <c r="BU135" s="718"/>
      <c r="BV135" s="718"/>
      <c r="BW135" s="718"/>
      <c r="BX135" s="718"/>
      <c r="BY135" s="718"/>
      <c r="BZ135" s="718"/>
      <c r="CA135" s="718"/>
      <c r="CB135" s="718"/>
      <c r="CC135" s="718"/>
      <c r="CD135" s="718"/>
      <c r="CE135" s="718"/>
      <c r="CF135" s="718"/>
      <c r="CG135" s="718"/>
      <c r="CH135" s="718"/>
      <c r="CI135" s="719"/>
      <c r="CK135" s="1296"/>
    </row>
    <row r="136" spans="2:89" x14ac:dyDescent="0.2">
      <c r="B136" s="738" t="s">
        <v>708</v>
      </c>
      <c r="C136" s="739" t="s">
        <v>495</v>
      </c>
      <c r="D136" s="740" t="s">
        <v>709</v>
      </c>
      <c r="E136" s="741" t="s">
        <v>236</v>
      </c>
      <c r="F136" s="742">
        <v>2</v>
      </c>
      <c r="G136" s="569">
        <f t="shared" ref="G136:AK136" si="34">G46+G109</f>
        <v>0</v>
      </c>
      <c r="H136" s="569">
        <f t="shared" si="34"/>
        <v>0</v>
      </c>
      <c r="I136" s="569">
        <f t="shared" si="34"/>
        <v>3.7484319924025837</v>
      </c>
      <c r="J136" s="569">
        <f t="shared" si="34"/>
        <v>3.6203115483071051</v>
      </c>
      <c r="K136" s="569">
        <f t="shared" si="34"/>
        <v>3.5877343205600334</v>
      </c>
      <c r="L136" s="569">
        <f t="shared" si="34"/>
        <v>3.5700102677934189</v>
      </c>
      <c r="M136" s="718">
        <f t="shared" si="34"/>
        <v>3.5285905178034778</v>
      </c>
      <c r="N136" s="718">
        <f t="shared" si="34"/>
        <v>3.5333727642196289</v>
      </c>
      <c r="O136" s="718">
        <f t="shared" si="34"/>
        <v>3.5453274785656506</v>
      </c>
      <c r="P136" s="718">
        <f t="shared" si="34"/>
        <v>3.503004341277498</v>
      </c>
      <c r="Q136" s="718">
        <f t="shared" si="34"/>
        <v>3.7290774712657062</v>
      </c>
      <c r="R136" s="718">
        <f t="shared" si="34"/>
        <v>4.1665401391870791</v>
      </c>
      <c r="S136" s="718">
        <f t="shared" si="34"/>
        <v>4.3067979244821002</v>
      </c>
      <c r="T136" s="718">
        <f t="shared" si="34"/>
        <v>4.2501892449038445</v>
      </c>
      <c r="U136" s="718">
        <f t="shared" si="34"/>
        <v>4.1814603609551293</v>
      </c>
      <c r="V136" s="718">
        <f t="shared" si="34"/>
        <v>4.114317331872928</v>
      </c>
      <c r="W136" s="718">
        <f t="shared" si="34"/>
        <v>4.097592573613289</v>
      </c>
      <c r="X136" s="718">
        <f t="shared" si="34"/>
        <v>4.0819897643229446</v>
      </c>
      <c r="Y136" s="718">
        <f t="shared" si="34"/>
        <v>4.0678316384906479</v>
      </c>
      <c r="Z136" s="718">
        <f t="shared" si="34"/>
        <v>4.0552167673335902</v>
      </c>
      <c r="AA136" s="718">
        <f t="shared" si="34"/>
        <v>4.0402787695917031</v>
      </c>
      <c r="AB136" s="718">
        <f t="shared" si="34"/>
        <v>4.0188338256422504</v>
      </c>
      <c r="AC136" s="718">
        <f t="shared" si="34"/>
        <v>4.0039334111397222</v>
      </c>
      <c r="AD136" s="718">
        <f t="shared" si="34"/>
        <v>3.990847040638712</v>
      </c>
      <c r="AE136" s="718">
        <f t="shared" si="34"/>
        <v>3.9937819228355473</v>
      </c>
      <c r="AF136" s="718">
        <f t="shared" si="34"/>
        <v>3.9972421623607723</v>
      </c>
      <c r="AG136" s="718">
        <f t="shared" si="34"/>
        <v>4.0006248947315148</v>
      </c>
      <c r="AH136" s="718">
        <f t="shared" si="34"/>
        <v>4.0051828381404526</v>
      </c>
      <c r="AI136" s="718">
        <f t="shared" si="34"/>
        <v>4.0099103872021971</v>
      </c>
      <c r="AJ136" s="718">
        <f t="shared" si="34"/>
        <v>4.0154186099094069</v>
      </c>
      <c r="AK136" s="718">
        <f t="shared" si="34"/>
        <v>4.020724046058648</v>
      </c>
      <c r="AL136" s="718"/>
      <c r="AM136" s="718"/>
      <c r="AN136" s="718"/>
      <c r="AO136" s="718"/>
      <c r="AP136" s="718"/>
      <c r="AQ136" s="718"/>
      <c r="AR136" s="718"/>
      <c r="AS136" s="718"/>
      <c r="AT136" s="718"/>
      <c r="AU136" s="718"/>
      <c r="AV136" s="718"/>
      <c r="AW136" s="718"/>
      <c r="AX136" s="718"/>
      <c r="AY136" s="718"/>
      <c r="AZ136" s="718"/>
      <c r="BA136" s="718"/>
      <c r="BB136" s="718"/>
      <c r="BC136" s="718"/>
      <c r="BD136" s="718"/>
      <c r="BE136" s="718"/>
      <c r="BF136" s="718"/>
      <c r="BG136" s="718"/>
      <c r="BH136" s="718"/>
      <c r="BI136" s="718"/>
      <c r="BJ136" s="718"/>
      <c r="BK136" s="718"/>
      <c r="BL136" s="718"/>
      <c r="BM136" s="718"/>
      <c r="BN136" s="718"/>
      <c r="BO136" s="718"/>
      <c r="BP136" s="718"/>
      <c r="BQ136" s="718"/>
      <c r="BR136" s="718"/>
      <c r="BS136" s="718"/>
      <c r="BT136" s="718"/>
      <c r="BU136" s="718"/>
      <c r="BV136" s="718"/>
      <c r="BW136" s="718"/>
      <c r="BX136" s="718"/>
      <c r="BY136" s="718"/>
      <c r="BZ136" s="718"/>
      <c r="CA136" s="718"/>
      <c r="CB136" s="718"/>
      <c r="CC136" s="718"/>
      <c r="CD136" s="718"/>
      <c r="CE136" s="718"/>
      <c r="CF136" s="718"/>
      <c r="CG136" s="718"/>
      <c r="CH136" s="718"/>
      <c r="CI136" s="719"/>
      <c r="CK136" s="1296"/>
    </row>
    <row r="137" spans="2:89" x14ac:dyDescent="0.2">
      <c r="B137" s="738" t="s">
        <v>710</v>
      </c>
      <c r="C137" s="739" t="s">
        <v>497</v>
      </c>
      <c r="D137" s="740" t="s">
        <v>711</v>
      </c>
      <c r="E137" s="741" t="s">
        <v>236</v>
      </c>
      <c r="F137" s="742">
        <v>2</v>
      </c>
      <c r="G137" s="569">
        <f t="shared" ref="G137:AK137" si="35">G47+G110</f>
        <v>0</v>
      </c>
      <c r="H137" s="569">
        <f t="shared" si="35"/>
        <v>0</v>
      </c>
      <c r="I137" s="569">
        <f t="shared" si="35"/>
        <v>1.7847550445431084</v>
      </c>
      <c r="J137" s="569">
        <f t="shared" si="35"/>
        <v>1.7367066436682905</v>
      </c>
      <c r="K137" s="569">
        <f t="shared" si="35"/>
        <v>1.597971289347925</v>
      </c>
      <c r="L137" s="569">
        <f t="shared" si="35"/>
        <v>1.5338221880699914</v>
      </c>
      <c r="M137" s="718">
        <f t="shared" si="35"/>
        <v>1.4687434682994189</v>
      </c>
      <c r="N137" s="718">
        <f t="shared" si="35"/>
        <v>1.4388709612412025</v>
      </c>
      <c r="O137" s="718">
        <f t="shared" si="35"/>
        <v>1.4057604743801062</v>
      </c>
      <c r="P137" s="718">
        <f t="shared" si="35"/>
        <v>1.3672653213695323</v>
      </c>
      <c r="Q137" s="718">
        <f t="shared" si="35"/>
        <v>1.0028469674438012</v>
      </c>
      <c r="R137" s="718">
        <f t="shared" si="35"/>
        <v>0.44089970288554936</v>
      </c>
      <c r="S137" s="718">
        <f t="shared" si="35"/>
        <v>0.22129235577273054</v>
      </c>
      <c r="T137" s="718">
        <f t="shared" si="35"/>
        <v>0.21808452593129102</v>
      </c>
      <c r="U137" s="718">
        <f t="shared" si="35"/>
        <v>0.21421319840654529</v>
      </c>
      <c r="V137" s="718">
        <f t="shared" si="35"/>
        <v>0.21031971465772614</v>
      </c>
      <c r="W137" s="718">
        <f t="shared" si="35"/>
        <v>0.20749423143256651</v>
      </c>
      <c r="X137" s="718">
        <f t="shared" si="35"/>
        <v>0.2046512360744045</v>
      </c>
      <c r="Y137" s="718">
        <f t="shared" si="35"/>
        <v>0.20177119589484971</v>
      </c>
      <c r="Z137" s="718">
        <f t="shared" si="35"/>
        <v>0.19892422830522127</v>
      </c>
      <c r="AA137" s="718">
        <f t="shared" si="35"/>
        <v>0.19604483167321751</v>
      </c>
      <c r="AB137" s="718">
        <f t="shared" si="35"/>
        <v>0.19294246992537889</v>
      </c>
      <c r="AC137" s="718">
        <f t="shared" si="35"/>
        <v>0.18962532970535906</v>
      </c>
      <c r="AD137" s="718">
        <f t="shared" si="35"/>
        <v>0.18642371697001081</v>
      </c>
      <c r="AE137" s="718">
        <f t="shared" si="35"/>
        <v>0.18410211209140159</v>
      </c>
      <c r="AF137" s="718">
        <f t="shared" si="35"/>
        <v>0.18179145509592565</v>
      </c>
      <c r="AG137" s="718">
        <f t="shared" si="35"/>
        <v>0.17952217664431624</v>
      </c>
      <c r="AH137" s="718">
        <f t="shared" si="35"/>
        <v>0.17731358052157598</v>
      </c>
      <c r="AI137" s="718">
        <f t="shared" si="35"/>
        <v>0.17509485874349107</v>
      </c>
      <c r="AJ137" s="718">
        <f t="shared" si="35"/>
        <v>0.17289095587848347</v>
      </c>
      <c r="AK137" s="718">
        <f t="shared" si="35"/>
        <v>0.17063137493369329</v>
      </c>
      <c r="AL137" s="718"/>
      <c r="AM137" s="718"/>
      <c r="AN137" s="718"/>
      <c r="AO137" s="718"/>
      <c r="AP137" s="718"/>
      <c r="AQ137" s="718"/>
      <c r="AR137" s="718"/>
      <c r="AS137" s="718"/>
      <c r="AT137" s="718"/>
      <c r="AU137" s="718"/>
      <c r="AV137" s="718"/>
      <c r="AW137" s="718"/>
      <c r="AX137" s="718"/>
      <c r="AY137" s="718"/>
      <c r="AZ137" s="718"/>
      <c r="BA137" s="718"/>
      <c r="BB137" s="718"/>
      <c r="BC137" s="718"/>
      <c r="BD137" s="718"/>
      <c r="BE137" s="718"/>
      <c r="BF137" s="718"/>
      <c r="BG137" s="718"/>
      <c r="BH137" s="718"/>
      <c r="BI137" s="718"/>
      <c r="BJ137" s="718"/>
      <c r="BK137" s="718"/>
      <c r="BL137" s="718"/>
      <c r="BM137" s="718"/>
      <c r="BN137" s="718"/>
      <c r="BO137" s="718"/>
      <c r="BP137" s="718"/>
      <c r="BQ137" s="718"/>
      <c r="BR137" s="718"/>
      <c r="BS137" s="718"/>
      <c r="BT137" s="718"/>
      <c r="BU137" s="718"/>
      <c r="BV137" s="718"/>
      <c r="BW137" s="718"/>
      <c r="BX137" s="718"/>
      <c r="BY137" s="718"/>
      <c r="BZ137" s="718"/>
      <c r="CA137" s="718"/>
      <c r="CB137" s="718"/>
      <c r="CC137" s="718"/>
      <c r="CD137" s="718"/>
      <c r="CE137" s="718"/>
      <c r="CF137" s="718"/>
      <c r="CG137" s="718"/>
      <c r="CH137" s="718"/>
      <c r="CI137" s="719"/>
      <c r="CK137" s="1296"/>
    </row>
    <row r="138" spans="2:89" ht="28.5" x14ac:dyDescent="0.2">
      <c r="B138" s="738" t="s">
        <v>712</v>
      </c>
      <c r="C138" s="739" t="s">
        <v>499</v>
      </c>
      <c r="D138" s="740" t="s">
        <v>498</v>
      </c>
      <c r="E138" s="741" t="s">
        <v>375</v>
      </c>
      <c r="F138" s="742">
        <v>1</v>
      </c>
      <c r="G138" s="743">
        <f t="shared" ref="G138:AK138" si="36">G48</f>
        <v>0</v>
      </c>
      <c r="H138" s="743">
        <f t="shared" si="36"/>
        <v>0</v>
      </c>
      <c r="I138" s="743">
        <f t="shared" si="36"/>
        <v>0</v>
      </c>
      <c r="J138" s="743">
        <f t="shared" si="36"/>
        <v>1.5801690149964791E-3</v>
      </c>
      <c r="K138" s="743">
        <f t="shared" si="36"/>
        <v>1.1999561659399284E-2</v>
      </c>
      <c r="L138" s="743">
        <f t="shared" si="36"/>
        <v>1.167323132275064E-2</v>
      </c>
      <c r="M138" s="744">
        <f t="shared" si="36"/>
        <v>1.1044360558581425E-2</v>
      </c>
      <c r="N138" s="744">
        <f t="shared" si="36"/>
        <v>1.0586764136474669E-2</v>
      </c>
      <c r="O138" s="744">
        <f t="shared" si="36"/>
        <v>1.0469044758290014E-2</v>
      </c>
      <c r="P138" s="744">
        <f t="shared" si="36"/>
        <v>1.0433687854713136E-2</v>
      </c>
      <c r="Q138" s="744">
        <f t="shared" si="36"/>
        <v>1.1712126775353847E-2</v>
      </c>
      <c r="R138" s="744">
        <f t="shared" si="36"/>
        <v>1.1747883729670507E-2</v>
      </c>
      <c r="S138" s="744">
        <f t="shared" si="36"/>
        <v>1.1856299815819277E-2</v>
      </c>
      <c r="T138" s="744">
        <f t="shared" si="36"/>
        <v>9.5108401133379341E-3</v>
      </c>
      <c r="U138" s="744">
        <f t="shared" si="36"/>
        <v>9.5972589879881626E-3</v>
      </c>
      <c r="V138" s="744">
        <f t="shared" si="36"/>
        <v>9.6406514052439617E-3</v>
      </c>
      <c r="W138" s="744">
        <f t="shared" si="36"/>
        <v>9.726420582260099E-3</v>
      </c>
      <c r="X138" s="744">
        <f t="shared" si="36"/>
        <v>9.807398611029014E-3</v>
      </c>
      <c r="Y138" s="744">
        <f t="shared" si="36"/>
        <v>9.8454200308963121E-3</v>
      </c>
      <c r="Z138" s="744">
        <f t="shared" si="36"/>
        <v>9.9257809205405383E-3</v>
      </c>
      <c r="AA138" s="744">
        <f t="shared" si="36"/>
        <v>1.0005740409341147E-2</v>
      </c>
      <c r="AB138" s="744">
        <f t="shared" si="36"/>
        <v>1.0044676765803888E-2</v>
      </c>
      <c r="AC138" s="744">
        <f t="shared" si="36"/>
        <v>1.0125110166278166E-2</v>
      </c>
      <c r="AD138" s="744">
        <f t="shared" si="36"/>
        <v>1.0193630173765513E-2</v>
      </c>
      <c r="AE138" s="744">
        <f t="shared" si="36"/>
        <v>1.026425738005371E-2</v>
      </c>
      <c r="AF138" s="744">
        <f t="shared" si="36"/>
        <v>1.0334994039860795E-2</v>
      </c>
      <c r="AG138" s="744">
        <f t="shared" si="36"/>
        <v>1.0405220775642413E-2</v>
      </c>
      <c r="AH138" s="744">
        <f t="shared" si="36"/>
        <v>1.047668230839194E-2</v>
      </c>
      <c r="AI138" s="744">
        <f t="shared" si="36"/>
        <v>1.0547974097500523E-2</v>
      </c>
      <c r="AJ138" s="744">
        <f t="shared" si="36"/>
        <v>1.062018399756404E-2</v>
      </c>
      <c r="AK138" s="744">
        <f t="shared" si="36"/>
        <v>1.0690981357797131E-2</v>
      </c>
      <c r="AL138" s="744"/>
      <c r="AM138" s="744"/>
      <c r="AN138" s="744"/>
      <c r="AO138" s="744"/>
      <c r="AP138" s="744"/>
      <c r="AQ138" s="744"/>
      <c r="AR138" s="744"/>
      <c r="AS138" s="744"/>
      <c r="AT138" s="744"/>
      <c r="AU138" s="744"/>
      <c r="AV138" s="744"/>
      <c r="AW138" s="744"/>
      <c r="AX138" s="744"/>
      <c r="AY138" s="744"/>
      <c r="AZ138" s="744"/>
      <c r="BA138" s="744"/>
      <c r="BB138" s="744"/>
      <c r="BC138" s="744"/>
      <c r="BD138" s="744"/>
      <c r="BE138" s="744"/>
      <c r="BF138" s="744"/>
      <c r="BG138" s="744"/>
      <c r="BH138" s="744"/>
      <c r="BI138" s="744"/>
      <c r="BJ138" s="744"/>
      <c r="BK138" s="744"/>
      <c r="BL138" s="744"/>
      <c r="BM138" s="744"/>
      <c r="BN138" s="744"/>
      <c r="BO138" s="744"/>
      <c r="BP138" s="744"/>
      <c r="BQ138" s="744"/>
      <c r="BR138" s="744"/>
      <c r="BS138" s="744"/>
      <c r="BT138" s="744"/>
      <c r="BU138" s="744"/>
      <c r="BV138" s="744"/>
      <c r="BW138" s="744"/>
      <c r="BX138" s="744"/>
      <c r="BY138" s="744"/>
      <c r="BZ138" s="744"/>
      <c r="CA138" s="744"/>
      <c r="CB138" s="744"/>
      <c r="CC138" s="744"/>
      <c r="CD138" s="744"/>
      <c r="CE138" s="744"/>
      <c r="CF138" s="744"/>
      <c r="CG138" s="744"/>
      <c r="CH138" s="744"/>
      <c r="CI138" s="745"/>
      <c r="CK138" s="1296"/>
    </row>
    <row r="139" spans="2:89" ht="28.5" x14ac:dyDescent="0.2">
      <c r="B139" s="738" t="s">
        <v>713</v>
      </c>
      <c r="C139" s="739" t="s">
        <v>501</v>
      </c>
      <c r="D139" s="740" t="s">
        <v>714</v>
      </c>
      <c r="E139" s="741" t="s">
        <v>236</v>
      </c>
      <c r="F139" s="742">
        <v>2</v>
      </c>
      <c r="G139" s="569">
        <f>G138*(G133+SUM(G135:G137)-SUM(G145:G148))</f>
        <v>0</v>
      </c>
      <c r="H139" s="569">
        <f t="shared" ref="H139" si="37">H138*(SUM(H133:H137)-SUM(H145:H148))</f>
        <v>0</v>
      </c>
      <c r="I139" s="569">
        <f t="shared" ref="I139" si="38">I138*(SUM(I133:I137)-SUM(I145:I148))</f>
        <v>0</v>
      </c>
      <c r="J139" s="569">
        <f t="shared" ref="J139:AK139" si="39">J138*(SUM(J133:J137)-SUM(J145:J148))</f>
        <v>1.3204866424370345E-2</v>
      </c>
      <c r="K139" s="569">
        <f t="shared" si="39"/>
        <v>0.10025609136945166</v>
      </c>
      <c r="L139" s="569">
        <f t="shared" si="39"/>
        <v>9.8745119126410888E-2</v>
      </c>
      <c r="M139" s="569">
        <f t="shared" si="39"/>
        <v>9.3887275787233243E-2</v>
      </c>
      <c r="N139" s="569">
        <f t="shared" si="39"/>
        <v>9.016079650238247E-2</v>
      </c>
      <c r="O139" s="569">
        <f t="shared" si="39"/>
        <v>8.8991716340427601E-2</v>
      </c>
      <c r="P139" s="569">
        <f t="shared" si="39"/>
        <v>8.7900585212952534E-2</v>
      </c>
      <c r="Q139" s="569">
        <f t="shared" si="39"/>
        <v>9.7175450029830343E-2</v>
      </c>
      <c r="R139" s="569">
        <f t="shared" si="39"/>
        <v>9.6017176981165894E-2</v>
      </c>
      <c r="S139" s="569">
        <f t="shared" si="39"/>
        <v>9.5861171429495948E-2</v>
      </c>
      <c r="T139" s="569">
        <f t="shared" si="39"/>
        <v>9.7972161315970419E-2</v>
      </c>
      <c r="U139" s="569">
        <f t="shared" si="39"/>
        <v>9.8030132906587686E-2</v>
      </c>
      <c r="V139" s="569">
        <f t="shared" si="39"/>
        <v>9.7653999860564666E-2</v>
      </c>
      <c r="W139" s="569">
        <f t="shared" si="39"/>
        <v>9.8213356906819219E-2</v>
      </c>
      <c r="X139" s="569">
        <f t="shared" si="39"/>
        <v>9.8729739019166471E-2</v>
      </c>
      <c r="Y139" s="569">
        <f t="shared" si="39"/>
        <v>9.8825852994977037E-2</v>
      </c>
      <c r="Z139" s="569">
        <f t="shared" si="39"/>
        <v>9.9559911888856323E-2</v>
      </c>
      <c r="AA139" s="569">
        <f t="shared" si="39"/>
        <v>0.10026569019693861</v>
      </c>
      <c r="AB139" s="569">
        <f t="shared" si="39"/>
        <v>0.10049201244105212</v>
      </c>
      <c r="AC139" s="569">
        <f t="shared" si="39"/>
        <v>0.10119567656725603</v>
      </c>
      <c r="AD139" s="569">
        <f t="shared" si="39"/>
        <v>0.10179736026900447</v>
      </c>
      <c r="AE139" s="569">
        <f t="shared" si="39"/>
        <v>0.10259076433154281</v>
      </c>
      <c r="AF139" s="569">
        <f t="shared" si="39"/>
        <v>0.10339159107146847</v>
      </c>
      <c r="AG139" s="569">
        <f t="shared" si="39"/>
        <v>0.10418708770759201</v>
      </c>
      <c r="AH139" s="569">
        <f t="shared" si="39"/>
        <v>0.10500907896861499</v>
      </c>
      <c r="AI139" s="569">
        <f t="shared" si="39"/>
        <v>0.10583224105442497</v>
      </c>
      <c r="AJ139" s="569">
        <f t="shared" si="39"/>
        <v>0.10667389717810395</v>
      </c>
      <c r="AK139" s="569">
        <f t="shared" si="39"/>
        <v>0.10750021660041194</v>
      </c>
      <c r="AL139" s="569"/>
      <c r="AM139" s="569"/>
      <c r="AN139" s="569"/>
      <c r="AO139" s="569"/>
      <c r="AP139" s="569"/>
      <c r="AQ139" s="569"/>
      <c r="AR139" s="569"/>
      <c r="AS139" s="569"/>
      <c r="AT139" s="569"/>
      <c r="AU139" s="569"/>
      <c r="AV139" s="569"/>
      <c r="AW139" s="569"/>
      <c r="AX139" s="569"/>
      <c r="AY139" s="569"/>
      <c r="AZ139" s="569"/>
      <c r="BA139" s="569"/>
      <c r="BB139" s="569"/>
      <c r="BC139" s="569"/>
      <c r="BD139" s="569"/>
      <c r="BE139" s="569"/>
      <c r="BF139" s="569"/>
      <c r="BG139" s="569"/>
      <c r="BH139" s="569"/>
      <c r="BI139" s="569"/>
      <c r="BJ139" s="569"/>
      <c r="BK139" s="569"/>
      <c r="BL139" s="569"/>
      <c r="BM139" s="569"/>
      <c r="BN139" s="569"/>
      <c r="BO139" s="569"/>
      <c r="BP139" s="569"/>
      <c r="BQ139" s="569"/>
      <c r="BR139" s="569"/>
      <c r="BS139" s="569"/>
      <c r="BT139" s="569"/>
      <c r="BU139" s="569"/>
      <c r="BV139" s="569"/>
      <c r="BW139" s="569"/>
      <c r="BX139" s="569"/>
      <c r="BY139" s="569"/>
      <c r="BZ139" s="569"/>
      <c r="CA139" s="569"/>
      <c r="CB139" s="569"/>
      <c r="CC139" s="569"/>
      <c r="CD139" s="569"/>
      <c r="CE139" s="569"/>
      <c r="CF139" s="569"/>
      <c r="CG139" s="569"/>
      <c r="CH139" s="569"/>
      <c r="CI139" s="569"/>
      <c r="CK139" s="1296"/>
    </row>
    <row r="140" spans="2:89" x14ac:dyDescent="0.2">
      <c r="B140" s="738" t="s">
        <v>715</v>
      </c>
      <c r="C140" s="746" t="s">
        <v>305</v>
      </c>
      <c r="D140" s="747" t="s">
        <v>716</v>
      </c>
      <c r="E140" s="748" t="s">
        <v>239</v>
      </c>
      <c r="F140" s="749">
        <v>1</v>
      </c>
      <c r="G140" s="750" t="e">
        <f>(((G136-G147))*1000000)/((G169)*1000)</f>
        <v>#DIV/0!</v>
      </c>
      <c r="H140" s="750" t="e">
        <f t="shared" ref="H140:AK141" si="40">(((H136-H147))*1000000)/((H169)*1000)</f>
        <v>#DIV/0!</v>
      </c>
      <c r="I140" s="750">
        <f t="shared" si="40"/>
        <v>142.66768501850137</v>
      </c>
      <c r="J140" s="750">
        <f t="shared" si="40"/>
        <v>138.57088681112171</v>
      </c>
      <c r="K140" s="750">
        <f t="shared" si="40"/>
        <v>135.01467540989944</v>
      </c>
      <c r="L140" s="750">
        <f t="shared" si="40"/>
        <v>132.79329836683436</v>
      </c>
      <c r="M140" s="751">
        <f t="shared" si="40"/>
        <v>130.18858971817139</v>
      </c>
      <c r="N140" s="751">
        <f t="shared" si="40"/>
        <v>128.32131838716987</v>
      </c>
      <c r="O140" s="751">
        <f t="shared" si="40"/>
        <v>127.00047636297937</v>
      </c>
      <c r="P140" s="751">
        <f t="shared" si="40"/>
        <v>124.63559161607937</v>
      </c>
      <c r="Q140" s="751">
        <f t="shared" si="40"/>
        <v>121.21785093572059</v>
      </c>
      <c r="R140" s="751">
        <f t="shared" si="40"/>
        <v>118.71679843537279</v>
      </c>
      <c r="S140" s="751">
        <f t="shared" si="40"/>
        <v>116.71294962000717</v>
      </c>
      <c r="T140" s="751">
        <f t="shared" si="40"/>
        <v>114.71503337287847</v>
      </c>
      <c r="U140" s="751">
        <f t="shared" si="40"/>
        <v>112.4262124075441</v>
      </c>
      <c r="V140" s="751">
        <f t="shared" si="40"/>
        <v>110.19977005617638</v>
      </c>
      <c r="W140" s="751">
        <f t="shared" si="40"/>
        <v>109.34221389889993</v>
      </c>
      <c r="X140" s="751">
        <f t="shared" si="40"/>
        <v>108.53637411843694</v>
      </c>
      <c r="Y140" s="751">
        <f t="shared" si="40"/>
        <v>107.74332997308913</v>
      </c>
      <c r="Z140" s="751">
        <f t="shared" si="40"/>
        <v>106.98050022304174</v>
      </c>
      <c r="AA140" s="751">
        <f t="shared" si="40"/>
        <v>106.20533290798754</v>
      </c>
      <c r="AB140" s="751">
        <f t="shared" si="40"/>
        <v>105.28613530134005</v>
      </c>
      <c r="AC140" s="751">
        <f t="shared" si="40"/>
        <v>104.51804831631678</v>
      </c>
      <c r="AD140" s="751">
        <f t="shared" si="40"/>
        <v>103.79366216381034</v>
      </c>
      <c r="AE140" s="751">
        <f t="shared" si="40"/>
        <v>103.47994083310374</v>
      </c>
      <c r="AF140" s="751">
        <f t="shared" si="40"/>
        <v>103.17080917176447</v>
      </c>
      <c r="AG140" s="751">
        <f t="shared" si="40"/>
        <v>102.86557973160598</v>
      </c>
      <c r="AH140" s="751">
        <f t="shared" si="40"/>
        <v>102.5931916764205</v>
      </c>
      <c r="AI140" s="751">
        <f t="shared" si="40"/>
        <v>102.30534281784134</v>
      </c>
      <c r="AJ140" s="751">
        <f t="shared" si="40"/>
        <v>102.01652952144832</v>
      </c>
      <c r="AK140" s="751">
        <f t="shared" si="40"/>
        <v>101.71213637451824</v>
      </c>
      <c r="AL140" s="751"/>
      <c r="AM140" s="751"/>
      <c r="AN140" s="751"/>
      <c r="AO140" s="751"/>
      <c r="AP140" s="751"/>
      <c r="AQ140" s="751"/>
      <c r="AR140" s="751"/>
      <c r="AS140" s="751"/>
      <c r="AT140" s="751"/>
      <c r="AU140" s="751"/>
      <c r="AV140" s="751"/>
      <c r="AW140" s="751"/>
      <c r="AX140" s="751"/>
      <c r="AY140" s="751"/>
      <c r="AZ140" s="751"/>
      <c r="BA140" s="751"/>
      <c r="BB140" s="751"/>
      <c r="BC140" s="751"/>
      <c r="BD140" s="751"/>
      <c r="BE140" s="751"/>
      <c r="BF140" s="751"/>
      <c r="BG140" s="751"/>
      <c r="BH140" s="751"/>
      <c r="BI140" s="751"/>
      <c r="BJ140" s="751"/>
      <c r="BK140" s="751"/>
      <c r="BL140" s="751"/>
      <c r="BM140" s="751"/>
      <c r="BN140" s="751"/>
      <c r="BO140" s="751"/>
      <c r="BP140" s="751"/>
      <c r="BQ140" s="751"/>
      <c r="BR140" s="751"/>
      <c r="BS140" s="751"/>
      <c r="BT140" s="751"/>
      <c r="BU140" s="751"/>
      <c r="BV140" s="751"/>
      <c r="BW140" s="751"/>
      <c r="BX140" s="751"/>
      <c r="BY140" s="751"/>
      <c r="BZ140" s="751"/>
      <c r="CA140" s="751"/>
      <c r="CB140" s="751"/>
      <c r="CC140" s="751"/>
      <c r="CD140" s="751"/>
      <c r="CE140" s="751"/>
      <c r="CF140" s="751"/>
      <c r="CG140" s="751"/>
      <c r="CH140" s="751"/>
      <c r="CI140" s="752"/>
      <c r="CK140" s="1296"/>
    </row>
    <row r="141" spans="2:89" x14ac:dyDescent="0.2">
      <c r="B141" s="738" t="s">
        <v>717</v>
      </c>
      <c r="C141" s="746" t="s">
        <v>324</v>
      </c>
      <c r="D141" s="747" t="s">
        <v>718</v>
      </c>
      <c r="E141" s="748" t="s">
        <v>239</v>
      </c>
      <c r="F141" s="749">
        <v>1</v>
      </c>
      <c r="G141" s="750" t="e">
        <f>(((G137-G148))*1000000)/((G170)*1000)</f>
        <v>#DIV/0!</v>
      </c>
      <c r="H141" s="750" t="e">
        <f t="shared" si="40"/>
        <v>#DIV/0!</v>
      </c>
      <c r="I141" s="750">
        <f t="shared" si="40"/>
        <v>153.01222380103445</v>
      </c>
      <c r="J141" s="750">
        <f t="shared" si="40"/>
        <v>157.81299413525343</v>
      </c>
      <c r="K141" s="750">
        <f t="shared" si="40"/>
        <v>147.48440940677801</v>
      </c>
      <c r="L141" s="750">
        <f t="shared" si="40"/>
        <v>145.19589200160385</v>
      </c>
      <c r="M141" s="751">
        <f t="shared" si="40"/>
        <v>141.27270308428325</v>
      </c>
      <c r="N141" s="751">
        <f t="shared" si="40"/>
        <v>138.53664622758484</v>
      </c>
      <c r="O141" s="751">
        <f t="shared" si="40"/>
        <v>135.47756418409568</v>
      </c>
      <c r="P141" s="751">
        <f t="shared" si="40"/>
        <v>131.87641029576665</v>
      </c>
      <c r="Q141" s="751">
        <f t="shared" si="40"/>
        <v>128.84777718705166</v>
      </c>
      <c r="R141" s="751">
        <f t="shared" si="40"/>
        <v>126.85023042676561</v>
      </c>
      <c r="S141" s="751">
        <f t="shared" si="40"/>
        <v>125.04322363539821</v>
      </c>
      <c r="T141" s="751">
        <f t="shared" si="40"/>
        <v>123.24027017319804</v>
      </c>
      <c r="U141" s="751">
        <f t="shared" si="40"/>
        <v>121.05838770419282</v>
      </c>
      <c r="V141" s="751">
        <f t="shared" si="40"/>
        <v>118.87710814014841</v>
      </c>
      <c r="W141" s="751">
        <f t="shared" si="40"/>
        <v>117.34240818565763</v>
      </c>
      <c r="X141" s="751">
        <f t="shared" si="40"/>
        <v>115.80839944799065</v>
      </c>
      <c r="Y141" s="751">
        <f t="shared" si="40"/>
        <v>114.26284507719652</v>
      </c>
      <c r="Z141" s="751">
        <f t="shared" si="40"/>
        <v>112.74548368370607</v>
      </c>
      <c r="AA141" s="751">
        <f t="shared" si="40"/>
        <v>111.21559372328704</v>
      </c>
      <c r="AB141" s="751">
        <f t="shared" si="40"/>
        <v>109.69612707125565</v>
      </c>
      <c r="AC141" s="751">
        <f t="shared" si="40"/>
        <v>108.17970258553109</v>
      </c>
      <c r="AD141" s="751">
        <f t="shared" si="40"/>
        <v>106.72676996902929</v>
      </c>
      <c r="AE141" s="751">
        <f t="shared" si="40"/>
        <v>105.79832543478643</v>
      </c>
      <c r="AF141" s="751">
        <f t="shared" si="40"/>
        <v>104.87292869603499</v>
      </c>
      <c r="AG141" s="751">
        <f t="shared" si="40"/>
        <v>103.96841780151485</v>
      </c>
      <c r="AH141" s="751">
        <f t="shared" si="40"/>
        <v>103.09648417799336</v>
      </c>
      <c r="AI141" s="751">
        <f t="shared" si="40"/>
        <v>102.21364514316706</v>
      </c>
      <c r="AJ141" s="751">
        <f t="shared" si="40"/>
        <v>101.33407929352629</v>
      </c>
      <c r="AK141" s="751">
        <f t="shared" si="40"/>
        <v>100.41334067657984</v>
      </c>
      <c r="AL141" s="751"/>
      <c r="AM141" s="751"/>
      <c r="AN141" s="751"/>
      <c r="AO141" s="751"/>
      <c r="AP141" s="751"/>
      <c r="AQ141" s="751"/>
      <c r="AR141" s="751"/>
      <c r="AS141" s="751"/>
      <c r="AT141" s="751"/>
      <c r="AU141" s="751"/>
      <c r="AV141" s="751"/>
      <c r="AW141" s="751"/>
      <c r="AX141" s="751"/>
      <c r="AY141" s="751"/>
      <c r="AZ141" s="751"/>
      <c r="BA141" s="751"/>
      <c r="BB141" s="751"/>
      <c r="BC141" s="751"/>
      <c r="BD141" s="751"/>
      <c r="BE141" s="751"/>
      <c r="BF141" s="751"/>
      <c r="BG141" s="751"/>
      <c r="BH141" s="751"/>
      <c r="BI141" s="751"/>
      <c r="BJ141" s="751"/>
      <c r="BK141" s="751"/>
      <c r="BL141" s="751"/>
      <c r="BM141" s="751"/>
      <c r="BN141" s="751"/>
      <c r="BO141" s="751"/>
      <c r="BP141" s="751"/>
      <c r="BQ141" s="751"/>
      <c r="BR141" s="751"/>
      <c r="BS141" s="751"/>
      <c r="BT141" s="751"/>
      <c r="BU141" s="751"/>
      <c r="BV141" s="751"/>
      <c r="BW141" s="751"/>
      <c r="BX141" s="751"/>
      <c r="BY141" s="751"/>
      <c r="BZ141" s="751"/>
      <c r="CA141" s="751"/>
      <c r="CB141" s="751"/>
      <c r="CC141" s="751"/>
      <c r="CD141" s="751"/>
      <c r="CE141" s="751"/>
      <c r="CF141" s="751"/>
      <c r="CG141" s="751"/>
      <c r="CH141" s="751"/>
      <c r="CI141" s="752"/>
      <c r="CK141" s="1296"/>
    </row>
    <row r="142" spans="2:89" ht="28.5" x14ac:dyDescent="0.2">
      <c r="B142" s="738" t="s">
        <v>719</v>
      </c>
      <c r="C142" s="746" t="s">
        <v>238</v>
      </c>
      <c r="D142" s="747" t="s">
        <v>720</v>
      </c>
      <c r="E142" s="748" t="s">
        <v>239</v>
      </c>
      <c r="F142" s="749">
        <v>1</v>
      </c>
      <c r="G142" s="750" t="e">
        <f>(((G136-G147)+(G137-G148))*1000000)/((G169+G170)*1000)</f>
        <v>#DIV/0!</v>
      </c>
      <c r="H142" s="750" t="e">
        <f t="shared" ref="H142:AK142" si="41">(((H136-H147)+(H137-H148))*1000000)/((H169+H170)*1000)</f>
        <v>#DIV/0!</v>
      </c>
      <c r="I142" s="750">
        <f t="shared" si="41"/>
        <v>145.76294691553531</v>
      </c>
      <c r="J142" s="750">
        <f t="shared" si="41"/>
        <v>144.20379451706677</v>
      </c>
      <c r="K142" s="750">
        <f t="shared" si="41"/>
        <v>138.57830717861634</v>
      </c>
      <c r="L142" s="750">
        <f t="shared" si="41"/>
        <v>136.2470746196008</v>
      </c>
      <c r="M142" s="751">
        <f t="shared" si="41"/>
        <v>133.22137480203349</v>
      </c>
      <c r="N142" s="751">
        <f t="shared" si="41"/>
        <v>131.08186728270348</v>
      </c>
      <c r="O142" s="751">
        <f t="shared" si="41"/>
        <v>129.26601801320967</v>
      </c>
      <c r="P142" s="751">
        <f t="shared" si="41"/>
        <v>126.55932374135524</v>
      </c>
      <c r="Q142" s="751">
        <f t="shared" si="41"/>
        <v>122.73377122617498</v>
      </c>
      <c r="R142" s="751">
        <f t="shared" si="41"/>
        <v>119.43522257966158</v>
      </c>
      <c r="S142" s="751">
        <f t="shared" si="41"/>
        <v>117.08583513036457</v>
      </c>
      <c r="T142" s="751">
        <f t="shared" si="41"/>
        <v>115.09520261925843</v>
      </c>
      <c r="U142" s="751">
        <f t="shared" si="41"/>
        <v>112.80974285368532</v>
      </c>
      <c r="V142" s="751">
        <f t="shared" si="41"/>
        <v>110.58386170272645</v>
      </c>
      <c r="W142" s="751">
        <f t="shared" si="41"/>
        <v>109.69488005906909</v>
      </c>
      <c r="X142" s="751">
        <f t="shared" si="41"/>
        <v>108.85563591170128</v>
      </c>
      <c r="Y142" s="751">
        <f t="shared" si="41"/>
        <v>108.02827892743278</v>
      </c>
      <c r="Z142" s="751">
        <f t="shared" si="41"/>
        <v>107.23128577869983</v>
      </c>
      <c r="AA142" s="751">
        <f t="shared" si="41"/>
        <v>106.42233175751943</v>
      </c>
      <c r="AB142" s="751">
        <f t="shared" si="41"/>
        <v>105.47611120851353</v>
      </c>
      <c r="AC142" s="751">
        <f t="shared" si="41"/>
        <v>104.67470414735078</v>
      </c>
      <c r="AD142" s="751">
        <f t="shared" si="41"/>
        <v>103.91826878556084</v>
      </c>
      <c r="AE142" s="751">
        <f t="shared" si="41"/>
        <v>103.57771876907692</v>
      </c>
      <c r="AF142" s="751">
        <f t="shared" si="41"/>
        <v>103.24206556317631</v>
      </c>
      <c r="AG142" s="751">
        <f t="shared" si="41"/>
        <v>102.91140699912368</v>
      </c>
      <c r="AH142" s="751">
        <f t="shared" si="41"/>
        <v>102.61395016424244</v>
      </c>
      <c r="AI142" s="751">
        <f t="shared" si="41"/>
        <v>102.30158968193952</v>
      </c>
      <c r="AJ142" s="751">
        <f t="shared" si="41"/>
        <v>101.98881783017954</v>
      </c>
      <c r="AK142" s="751">
        <f t="shared" si="41"/>
        <v>101.65982053005341</v>
      </c>
      <c r="AL142" s="751"/>
      <c r="AM142" s="751"/>
      <c r="AN142" s="751"/>
      <c r="AO142" s="751"/>
      <c r="AP142" s="751"/>
      <c r="AQ142" s="751"/>
      <c r="AR142" s="751"/>
      <c r="AS142" s="751"/>
      <c r="AT142" s="751"/>
      <c r="AU142" s="751"/>
      <c r="AV142" s="751"/>
      <c r="AW142" s="751"/>
      <c r="AX142" s="751"/>
      <c r="AY142" s="751"/>
      <c r="AZ142" s="751"/>
      <c r="BA142" s="751"/>
      <c r="BB142" s="751"/>
      <c r="BC142" s="751"/>
      <c r="BD142" s="751"/>
      <c r="BE142" s="751"/>
      <c r="BF142" s="751"/>
      <c r="BG142" s="751"/>
      <c r="BH142" s="751"/>
      <c r="BI142" s="751"/>
      <c r="BJ142" s="751"/>
      <c r="BK142" s="751"/>
      <c r="BL142" s="751"/>
      <c r="BM142" s="751"/>
      <c r="BN142" s="751"/>
      <c r="BO142" s="751"/>
      <c r="BP142" s="751"/>
      <c r="BQ142" s="751"/>
      <c r="BR142" s="751"/>
      <c r="BS142" s="751"/>
      <c r="BT142" s="751"/>
      <c r="BU142" s="751"/>
      <c r="BV142" s="751"/>
      <c r="BW142" s="751"/>
      <c r="BX142" s="751"/>
      <c r="BY142" s="751"/>
      <c r="BZ142" s="751"/>
      <c r="CA142" s="751"/>
      <c r="CB142" s="751"/>
      <c r="CC142" s="751"/>
      <c r="CD142" s="751"/>
      <c r="CE142" s="751"/>
      <c r="CF142" s="751"/>
      <c r="CG142" s="751"/>
      <c r="CH142" s="751"/>
      <c r="CI142" s="752"/>
      <c r="CK142" s="1296"/>
    </row>
    <row r="143" spans="2:89" x14ac:dyDescent="0.2">
      <c r="B143" s="738" t="s">
        <v>721</v>
      </c>
      <c r="C143" s="746" t="s">
        <v>510</v>
      </c>
      <c r="D143" s="747" t="s">
        <v>722</v>
      </c>
      <c r="E143" s="748" t="s">
        <v>236</v>
      </c>
      <c r="F143" s="749">
        <v>2</v>
      </c>
      <c r="G143" s="569">
        <f t="shared" ref="G143:AK143" si="42">G53+G111</f>
        <v>0</v>
      </c>
      <c r="H143" s="569">
        <f t="shared" si="42"/>
        <v>0</v>
      </c>
      <c r="I143" s="569">
        <f t="shared" si="42"/>
        <v>0.1776710352873897</v>
      </c>
      <c r="J143" s="569">
        <f t="shared" si="42"/>
        <v>0.18666659916750739</v>
      </c>
      <c r="K143" s="569">
        <f t="shared" si="42"/>
        <v>0.18655380045941841</v>
      </c>
      <c r="L143" s="569">
        <f t="shared" si="42"/>
        <v>0.18654185704689694</v>
      </c>
      <c r="M143" s="718">
        <f t="shared" si="42"/>
        <v>0.18669397507169064</v>
      </c>
      <c r="N143" s="718">
        <f t="shared" si="42"/>
        <v>0.1865420189570432</v>
      </c>
      <c r="O143" s="718">
        <f t="shared" si="42"/>
        <v>0.18640097562631008</v>
      </c>
      <c r="P143" s="718">
        <f t="shared" si="42"/>
        <v>0.1863027171681029</v>
      </c>
      <c r="Q143" s="718">
        <f t="shared" si="42"/>
        <v>0.18622011135810515</v>
      </c>
      <c r="R143" s="718">
        <f t="shared" si="42"/>
        <v>0.18614037350769361</v>
      </c>
      <c r="S143" s="718">
        <f t="shared" si="42"/>
        <v>0.18606049202787842</v>
      </c>
      <c r="T143" s="718">
        <f t="shared" si="42"/>
        <v>0.18597954480969861</v>
      </c>
      <c r="U143" s="718">
        <f t="shared" si="42"/>
        <v>0.18589900087665889</v>
      </c>
      <c r="V143" s="718">
        <f t="shared" si="42"/>
        <v>0.18581826137998822</v>
      </c>
      <c r="W143" s="718">
        <f t="shared" si="42"/>
        <v>0.18573796245103633</v>
      </c>
      <c r="X143" s="718">
        <f t="shared" si="42"/>
        <v>0.18565769616171157</v>
      </c>
      <c r="Y143" s="718">
        <f t="shared" si="42"/>
        <v>0.18557819175433615</v>
      </c>
      <c r="Z143" s="718">
        <f t="shared" si="42"/>
        <v>0.18550051395114303</v>
      </c>
      <c r="AA143" s="718">
        <f t="shared" si="42"/>
        <v>0.18542353190251995</v>
      </c>
      <c r="AB143" s="718">
        <f t="shared" si="42"/>
        <v>0.18534741756717188</v>
      </c>
      <c r="AC143" s="718">
        <f t="shared" si="42"/>
        <v>0.18527270850221572</v>
      </c>
      <c r="AD143" s="718">
        <f t="shared" si="42"/>
        <v>0.1851992512415451</v>
      </c>
      <c r="AE143" s="718">
        <f t="shared" si="42"/>
        <v>0.18512587856969392</v>
      </c>
      <c r="AF143" s="718">
        <f t="shared" si="42"/>
        <v>0.18505313087887013</v>
      </c>
      <c r="AG143" s="718">
        <f t="shared" si="42"/>
        <v>0.18498106740098946</v>
      </c>
      <c r="AH143" s="718">
        <f t="shared" si="42"/>
        <v>0.1849100846923839</v>
      </c>
      <c r="AI143" s="718">
        <f t="shared" si="42"/>
        <v>0.18484064494616503</v>
      </c>
      <c r="AJ143" s="718">
        <f t="shared" si="42"/>
        <v>0.18477265171218543</v>
      </c>
      <c r="AK143" s="718">
        <f t="shared" si="42"/>
        <v>0.18470575365099215</v>
      </c>
      <c r="AL143" s="718"/>
      <c r="AM143" s="718"/>
      <c r="AN143" s="718"/>
      <c r="AO143" s="718"/>
      <c r="AP143" s="718"/>
      <c r="AQ143" s="718"/>
      <c r="AR143" s="718"/>
      <c r="AS143" s="718"/>
      <c r="AT143" s="718"/>
      <c r="AU143" s="718"/>
      <c r="AV143" s="718"/>
      <c r="AW143" s="718"/>
      <c r="AX143" s="718"/>
      <c r="AY143" s="718"/>
      <c r="AZ143" s="718"/>
      <c r="BA143" s="718"/>
      <c r="BB143" s="718"/>
      <c r="BC143" s="718"/>
      <c r="BD143" s="718"/>
      <c r="BE143" s="718"/>
      <c r="BF143" s="718"/>
      <c r="BG143" s="718"/>
      <c r="BH143" s="718"/>
      <c r="BI143" s="718"/>
      <c r="BJ143" s="718"/>
      <c r="BK143" s="718"/>
      <c r="BL143" s="718"/>
      <c r="BM143" s="718"/>
      <c r="BN143" s="718"/>
      <c r="BO143" s="718"/>
      <c r="BP143" s="718"/>
      <c r="BQ143" s="718"/>
      <c r="BR143" s="718"/>
      <c r="BS143" s="718"/>
      <c r="BT143" s="718"/>
      <c r="BU143" s="718"/>
      <c r="BV143" s="718"/>
      <c r="BW143" s="718"/>
      <c r="BX143" s="718"/>
      <c r="BY143" s="718"/>
      <c r="BZ143" s="718"/>
      <c r="CA143" s="718"/>
      <c r="CB143" s="718"/>
      <c r="CC143" s="718"/>
      <c r="CD143" s="718"/>
      <c r="CE143" s="718"/>
      <c r="CF143" s="718"/>
      <c r="CG143" s="718"/>
      <c r="CH143" s="718"/>
      <c r="CI143" s="719"/>
      <c r="CK143" s="1296"/>
    </row>
    <row r="144" spans="2:89" ht="15" thickBot="1" x14ac:dyDescent="0.25">
      <c r="B144" s="753" t="s">
        <v>723</v>
      </c>
      <c r="C144" s="754" t="s">
        <v>512</v>
      </c>
      <c r="D144" s="755" t="s">
        <v>724</v>
      </c>
      <c r="E144" s="756" t="s">
        <v>236</v>
      </c>
      <c r="F144" s="757">
        <v>2</v>
      </c>
      <c r="G144" s="729">
        <f t="shared" ref="G144:AK144" si="43">G54+G112</f>
        <v>0</v>
      </c>
      <c r="H144" s="729">
        <f t="shared" si="43"/>
        <v>0</v>
      </c>
      <c r="I144" s="729">
        <f t="shared" si="43"/>
        <v>0.10012450177836422</v>
      </c>
      <c r="J144" s="729">
        <f t="shared" si="43"/>
        <v>0.10012450177836422</v>
      </c>
      <c r="K144" s="729">
        <f t="shared" si="43"/>
        <v>0.10012450177836422</v>
      </c>
      <c r="L144" s="729">
        <f t="shared" si="43"/>
        <v>0.10012450177836422</v>
      </c>
      <c r="M144" s="758">
        <f t="shared" si="43"/>
        <v>0.10012450177836422</v>
      </c>
      <c r="N144" s="758">
        <f t="shared" si="43"/>
        <v>0.10012450177836422</v>
      </c>
      <c r="O144" s="758">
        <f t="shared" si="43"/>
        <v>0.10012450177836422</v>
      </c>
      <c r="P144" s="758">
        <f t="shared" si="43"/>
        <v>0.10012450177836422</v>
      </c>
      <c r="Q144" s="758">
        <f t="shared" si="43"/>
        <v>0.10012450177836422</v>
      </c>
      <c r="R144" s="758">
        <f t="shared" si="43"/>
        <v>0.10012450177836422</v>
      </c>
      <c r="S144" s="758">
        <f t="shared" si="43"/>
        <v>0.10012450177836422</v>
      </c>
      <c r="T144" s="758">
        <f t="shared" si="43"/>
        <v>0.10012450177836422</v>
      </c>
      <c r="U144" s="758">
        <f t="shared" si="43"/>
        <v>0.10012450177836422</v>
      </c>
      <c r="V144" s="758">
        <f t="shared" si="43"/>
        <v>0.10012450177836422</v>
      </c>
      <c r="W144" s="758">
        <f t="shared" si="43"/>
        <v>0.10012450177836422</v>
      </c>
      <c r="X144" s="758">
        <f t="shared" si="43"/>
        <v>0.10012450177836422</v>
      </c>
      <c r="Y144" s="758">
        <f t="shared" si="43"/>
        <v>0.10012450177836422</v>
      </c>
      <c r="Z144" s="758">
        <f t="shared" si="43"/>
        <v>0.10012450177836422</v>
      </c>
      <c r="AA144" s="758">
        <f t="shared" si="43"/>
        <v>0.10012450177836422</v>
      </c>
      <c r="AB144" s="758">
        <f t="shared" si="43"/>
        <v>0.10012450177836422</v>
      </c>
      <c r="AC144" s="758">
        <f t="shared" si="43"/>
        <v>0.10012450177836422</v>
      </c>
      <c r="AD144" s="758">
        <f t="shared" si="43"/>
        <v>0.10012450177836422</v>
      </c>
      <c r="AE144" s="758">
        <f t="shared" si="43"/>
        <v>0.10012450177836422</v>
      </c>
      <c r="AF144" s="758">
        <f t="shared" si="43"/>
        <v>0.10012450177836422</v>
      </c>
      <c r="AG144" s="758">
        <f t="shared" si="43"/>
        <v>0.10012450177836422</v>
      </c>
      <c r="AH144" s="758">
        <f t="shared" si="43"/>
        <v>0.10012450177836422</v>
      </c>
      <c r="AI144" s="758">
        <f t="shared" si="43"/>
        <v>0.10012450177836422</v>
      </c>
      <c r="AJ144" s="758">
        <f t="shared" si="43"/>
        <v>0.10012450177836422</v>
      </c>
      <c r="AK144" s="758">
        <f t="shared" si="43"/>
        <v>0.10012450177836422</v>
      </c>
      <c r="AL144" s="758"/>
      <c r="AM144" s="758"/>
      <c r="AN144" s="758"/>
      <c r="AO144" s="758"/>
      <c r="AP144" s="758"/>
      <c r="AQ144" s="758"/>
      <c r="AR144" s="758"/>
      <c r="AS144" s="758"/>
      <c r="AT144" s="758"/>
      <c r="AU144" s="758"/>
      <c r="AV144" s="758"/>
      <c r="AW144" s="758"/>
      <c r="AX144" s="758"/>
      <c r="AY144" s="758"/>
      <c r="AZ144" s="758"/>
      <c r="BA144" s="758"/>
      <c r="BB144" s="758"/>
      <c r="BC144" s="758"/>
      <c r="BD144" s="758"/>
      <c r="BE144" s="758"/>
      <c r="BF144" s="758"/>
      <c r="BG144" s="758"/>
      <c r="BH144" s="758"/>
      <c r="BI144" s="758"/>
      <c r="BJ144" s="758"/>
      <c r="BK144" s="758"/>
      <c r="BL144" s="758"/>
      <c r="BM144" s="758"/>
      <c r="BN144" s="758"/>
      <c r="BO144" s="758"/>
      <c r="BP144" s="758"/>
      <c r="BQ144" s="758"/>
      <c r="BR144" s="758"/>
      <c r="BS144" s="758"/>
      <c r="BT144" s="758"/>
      <c r="BU144" s="758"/>
      <c r="BV144" s="758"/>
      <c r="BW144" s="758"/>
      <c r="BX144" s="758"/>
      <c r="BY144" s="758"/>
      <c r="BZ144" s="758"/>
      <c r="CA144" s="758"/>
      <c r="CB144" s="758"/>
      <c r="CC144" s="758"/>
      <c r="CD144" s="758"/>
      <c r="CE144" s="758"/>
      <c r="CF144" s="758"/>
      <c r="CG144" s="758"/>
      <c r="CH144" s="758"/>
      <c r="CI144" s="759"/>
      <c r="CK144" s="1296"/>
    </row>
    <row r="145" spans="2:89" x14ac:dyDescent="0.2">
      <c r="B145" s="708" t="s">
        <v>725</v>
      </c>
      <c r="C145" s="709" t="s">
        <v>514</v>
      </c>
      <c r="D145" s="710" t="s">
        <v>726</v>
      </c>
      <c r="E145" s="711" t="s">
        <v>236</v>
      </c>
      <c r="F145" s="712">
        <v>2</v>
      </c>
      <c r="G145" s="735">
        <f t="shared" ref="G145:AK145" si="44">G55+G113</f>
        <v>0</v>
      </c>
      <c r="H145" s="735">
        <f t="shared" si="44"/>
        <v>0</v>
      </c>
      <c r="I145" s="735">
        <f t="shared" si="44"/>
        <v>1.4511846045543333E-2</v>
      </c>
      <c r="J145" s="735">
        <f t="shared" si="44"/>
        <v>9.974894350640022E-3</v>
      </c>
      <c r="K145" s="735">
        <f t="shared" si="44"/>
        <v>9.6389157311885E-3</v>
      </c>
      <c r="L145" s="735">
        <f t="shared" si="44"/>
        <v>9.493117905589956E-3</v>
      </c>
      <c r="M145" s="736">
        <f t="shared" si="44"/>
        <v>9.6664445162875697E-3</v>
      </c>
      <c r="N145" s="736">
        <f t="shared" si="44"/>
        <v>9.6131458344110993E-3</v>
      </c>
      <c r="O145" s="736">
        <f t="shared" si="44"/>
        <v>9.5588975203334016E-3</v>
      </c>
      <c r="P145" s="736">
        <f t="shared" si="44"/>
        <v>9.5036995740544767E-3</v>
      </c>
      <c r="Q145" s="736">
        <f t="shared" si="44"/>
        <v>9.4475519955743228E-3</v>
      </c>
      <c r="R145" s="736">
        <f t="shared" si="44"/>
        <v>9.3904547848929452E-3</v>
      </c>
      <c r="S145" s="736">
        <f t="shared" si="44"/>
        <v>9.3324079420103352E-3</v>
      </c>
      <c r="T145" s="736">
        <f t="shared" si="44"/>
        <v>9.2734114669265032E-3</v>
      </c>
      <c r="U145" s="736">
        <f t="shared" si="44"/>
        <v>9.213465359641437E-3</v>
      </c>
      <c r="V145" s="736">
        <f t="shared" si="44"/>
        <v>9.1525696201551487E-3</v>
      </c>
      <c r="W145" s="736">
        <f t="shared" si="44"/>
        <v>9.0907242484676316E-3</v>
      </c>
      <c r="X145" s="736">
        <f t="shared" si="44"/>
        <v>9.0279292445788854E-3</v>
      </c>
      <c r="Y145" s="736">
        <f t="shared" si="44"/>
        <v>8.9641846084889103E-3</v>
      </c>
      <c r="Z145" s="736">
        <f t="shared" si="44"/>
        <v>8.8994903401977132E-3</v>
      </c>
      <c r="AA145" s="736">
        <f t="shared" si="44"/>
        <v>8.8338464397052837E-3</v>
      </c>
      <c r="AB145" s="736">
        <f t="shared" si="44"/>
        <v>8.7672529070116287E-3</v>
      </c>
      <c r="AC145" s="736">
        <f t="shared" si="44"/>
        <v>8.699709742116743E-3</v>
      </c>
      <c r="AD145" s="736">
        <f t="shared" si="44"/>
        <v>8.6312169450206335E-3</v>
      </c>
      <c r="AE145" s="736">
        <f t="shared" si="44"/>
        <v>8.5617745157232934E-3</v>
      </c>
      <c r="AF145" s="736">
        <f t="shared" si="44"/>
        <v>8.4913824542247295E-3</v>
      </c>
      <c r="AG145" s="736">
        <f t="shared" si="44"/>
        <v>8.4200407605249331E-3</v>
      </c>
      <c r="AH145" s="736">
        <f t="shared" si="44"/>
        <v>8.3477494346239148E-3</v>
      </c>
      <c r="AI145" s="736">
        <f t="shared" si="44"/>
        <v>8.2745084765216657E-3</v>
      </c>
      <c r="AJ145" s="736">
        <f t="shared" si="44"/>
        <v>8.2003178862181895E-3</v>
      </c>
      <c r="AK145" s="736">
        <f t="shared" si="44"/>
        <v>8.125177663713486E-3</v>
      </c>
      <c r="AL145" s="736"/>
      <c r="AM145" s="736"/>
      <c r="AN145" s="736"/>
      <c r="AO145" s="736"/>
      <c r="AP145" s="736"/>
      <c r="AQ145" s="736"/>
      <c r="AR145" s="736"/>
      <c r="AS145" s="736"/>
      <c r="AT145" s="736"/>
      <c r="AU145" s="736"/>
      <c r="AV145" s="736"/>
      <c r="AW145" s="736"/>
      <c r="AX145" s="736"/>
      <c r="AY145" s="736"/>
      <c r="AZ145" s="736"/>
      <c r="BA145" s="736"/>
      <c r="BB145" s="736"/>
      <c r="BC145" s="736"/>
      <c r="BD145" s="736"/>
      <c r="BE145" s="736"/>
      <c r="BF145" s="736"/>
      <c r="BG145" s="736"/>
      <c r="BH145" s="736"/>
      <c r="BI145" s="736"/>
      <c r="BJ145" s="736"/>
      <c r="BK145" s="736"/>
      <c r="BL145" s="736"/>
      <c r="BM145" s="736"/>
      <c r="BN145" s="736"/>
      <c r="BO145" s="736"/>
      <c r="BP145" s="736"/>
      <c r="BQ145" s="736"/>
      <c r="BR145" s="736"/>
      <c r="BS145" s="736"/>
      <c r="BT145" s="736"/>
      <c r="BU145" s="736"/>
      <c r="BV145" s="736"/>
      <c r="BW145" s="736"/>
      <c r="BX145" s="736"/>
      <c r="BY145" s="736"/>
      <c r="BZ145" s="736"/>
      <c r="CA145" s="736"/>
      <c r="CB145" s="736"/>
      <c r="CC145" s="736"/>
      <c r="CD145" s="736"/>
      <c r="CE145" s="736"/>
      <c r="CF145" s="736"/>
      <c r="CG145" s="736"/>
      <c r="CH145" s="736"/>
      <c r="CI145" s="737"/>
      <c r="CK145" s="1296"/>
    </row>
    <row r="146" spans="2:89" x14ac:dyDescent="0.2">
      <c r="B146" s="720" t="s">
        <v>727</v>
      </c>
      <c r="C146" s="721" t="s">
        <v>516</v>
      </c>
      <c r="D146" s="715" t="s">
        <v>728</v>
      </c>
      <c r="E146" s="716" t="s">
        <v>236</v>
      </c>
      <c r="F146" s="717">
        <v>2</v>
      </c>
      <c r="G146" s="569">
        <f t="shared" ref="G146:AK146" si="45">G56+G114</f>
        <v>0</v>
      </c>
      <c r="H146" s="569">
        <f t="shared" si="45"/>
        <v>0</v>
      </c>
      <c r="I146" s="569">
        <f t="shared" si="45"/>
        <v>1.2461188853652668E-3</v>
      </c>
      <c r="J146" s="569">
        <f t="shared" si="45"/>
        <v>1.0329212354244757E-3</v>
      </c>
      <c r="K146" s="569">
        <f t="shared" si="45"/>
        <v>9.8031022049270512E-4</v>
      </c>
      <c r="L146" s="569">
        <f t="shared" si="45"/>
        <v>5.9065943065365802E-4</v>
      </c>
      <c r="M146" s="718">
        <f t="shared" si="45"/>
        <v>3.1545534172330647E-4</v>
      </c>
      <c r="N146" s="718">
        <f t="shared" si="45"/>
        <v>3.0893361426803602E-4</v>
      </c>
      <c r="O146" s="718">
        <f t="shared" si="45"/>
        <v>3.0247999611036279E-4</v>
      </c>
      <c r="P146" s="718">
        <f t="shared" si="45"/>
        <v>2.9609448725028672E-4</v>
      </c>
      <c r="Q146" s="718">
        <f t="shared" si="45"/>
        <v>2.8977708768780793E-4</v>
      </c>
      <c r="R146" s="718">
        <f t="shared" si="45"/>
        <v>2.8352779742292635E-4</v>
      </c>
      <c r="S146" s="718">
        <f t="shared" si="45"/>
        <v>2.77346616455642E-4</v>
      </c>
      <c r="T146" s="718">
        <f t="shared" si="45"/>
        <v>2.7123354478595491E-4</v>
      </c>
      <c r="U146" s="718">
        <f t="shared" si="45"/>
        <v>2.6518858241386499E-4</v>
      </c>
      <c r="V146" s="718">
        <f t="shared" si="45"/>
        <v>2.6222612709841426E-4</v>
      </c>
      <c r="W146" s="718">
        <f t="shared" si="45"/>
        <v>2.592636717829636E-4</v>
      </c>
      <c r="X146" s="718">
        <f t="shared" si="45"/>
        <v>2.5630121646751282E-4</v>
      </c>
      <c r="Y146" s="718">
        <f t="shared" si="45"/>
        <v>2.5333876115206198E-4</v>
      </c>
      <c r="Z146" s="718">
        <f t="shared" si="45"/>
        <v>2.5037630583661137E-4</v>
      </c>
      <c r="AA146" s="718">
        <f t="shared" si="45"/>
        <v>2.4741385052116059E-4</v>
      </c>
      <c r="AB146" s="718">
        <f t="shared" si="45"/>
        <v>2.4445139520570987E-4</v>
      </c>
      <c r="AC146" s="718">
        <f t="shared" si="45"/>
        <v>2.4148893989025906E-4</v>
      </c>
      <c r="AD146" s="718">
        <f t="shared" si="45"/>
        <v>2.3852648457480834E-4</v>
      </c>
      <c r="AE146" s="718">
        <f t="shared" si="45"/>
        <v>2.3556402925935759E-4</v>
      </c>
      <c r="AF146" s="718">
        <f t="shared" si="45"/>
        <v>2.3260157394390697E-4</v>
      </c>
      <c r="AG146" s="718">
        <f t="shared" si="45"/>
        <v>2.2963911862845611E-4</v>
      </c>
      <c r="AH146" s="718">
        <f t="shared" si="45"/>
        <v>2.2667666331300542E-4</v>
      </c>
      <c r="AI146" s="718">
        <f t="shared" si="45"/>
        <v>2.2371420799755469E-4</v>
      </c>
      <c r="AJ146" s="718">
        <f t="shared" si="45"/>
        <v>2.2075175268210391E-4</v>
      </c>
      <c r="AK146" s="718">
        <f t="shared" si="45"/>
        <v>2.1778929736665319E-4</v>
      </c>
      <c r="AL146" s="718"/>
      <c r="AM146" s="718"/>
      <c r="AN146" s="718"/>
      <c r="AO146" s="718"/>
      <c r="AP146" s="718"/>
      <c r="AQ146" s="718"/>
      <c r="AR146" s="718"/>
      <c r="AS146" s="718"/>
      <c r="AT146" s="718"/>
      <c r="AU146" s="718"/>
      <c r="AV146" s="718"/>
      <c r="AW146" s="718"/>
      <c r="AX146" s="718"/>
      <c r="AY146" s="718"/>
      <c r="AZ146" s="718"/>
      <c r="BA146" s="718"/>
      <c r="BB146" s="718"/>
      <c r="BC146" s="718"/>
      <c r="BD146" s="718"/>
      <c r="BE146" s="718"/>
      <c r="BF146" s="718"/>
      <c r="BG146" s="718"/>
      <c r="BH146" s="718"/>
      <c r="BI146" s="718"/>
      <c r="BJ146" s="718"/>
      <c r="BK146" s="718"/>
      <c r="BL146" s="718"/>
      <c r="BM146" s="718"/>
      <c r="BN146" s="718"/>
      <c r="BO146" s="718"/>
      <c r="BP146" s="718"/>
      <c r="BQ146" s="718"/>
      <c r="BR146" s="718"/>
      <c r="BS146" s="718"/>
      <c r="BT146" s="718"/>
      <c r="BU146" s="718"/>
      <c r="BV146" s="718"/>
      <c r="BW146" s="718"/>
      <c r="BX146" s="718"/>
      <c r="BY146" s="718"/>
      <c r="BZ146" s="718"/>
      <c r="CA146" s="718"/>
      <c r="CB146" s="718"/>
      <c r="CC146" s="718"/>
      <c r="CD146" s="718"/>
      <c r="CE146" s="718"/>
      <c r="CF146" s="718"/>
      <c r="CG146" s="718"/>
      <c r="CH146" s="718"/>
      <c r="CI146" s="719"/>
      <c r="CK146" s="1296"/>
    </row>
    <row r="147" spans="2:89" x14ac:dyDescent="0.2">
      <c r="B147" s="720" t="s">
        <v>729</v>
      </c>
      <c r="C147" s="721" t="s">
        <v>518</v>
      </c>
      <c r="D147" s="715" t="s">
        <v>730</v>
      </c>
      <c r="E147" s="716" t="s">
        <v>236</v>
      </c>
      <c r="F147" s="717">
        <v>2</v>
      </c>
      <c r="G147" s="569">
        <f t="shared" ref="G147:AK147" si="46">G57+G115</f>
        <v>0</v>
      </c>
      <c r="H147" s="569">
        <f t="shared" si="46"/>
        <v>0</v>
      </c>
      <c r="I147" s="569">
        <f t="shared" si="46"/>
        <v>0.1713238219184729</v>
      </c>
      <c r="J147" s="569">
        <f t="shared" si="46"/>
        <v>8.8792814906410542E-2</v>
      </c>
      <c r="K147" s="569">
        <f t="shared" si="46"/>
        <v>8.7315508702803454E-2</v>
      </c>
      <c r="L147" s="569">
        <f t="shared" si="46"/>
        <v>8.5902168946379601E-2</v>
      </c>
      <c r="M147" s="718">
        <f t="shared" si="46"/>
        <v>8.659738605575884E-2</v>
      </c>
      <c r="N147" s="718">
        <f t="shared" si="46"/>
        <v>8.7191841905019524E-2</v>
      </c>
      <c r="O147" s="718">
        <f t="shared" si="46"/>
        <v>8.7637356785634987E-2</v>
      </c>
      <c r="P147" s="718">
        <f t="shared" si="46"/>
        <v>8.75953655083197E-2</v>
      </c>
      <c r="Q147" s="718">
        <f t="shared" si="46"/>
        <v>9.3460717613835634E-2</v>
      </c>
      <c r="R147" s="718">
        <f t="shared" si="46"/>
        <v>0.10324119751736396</v>
      </c>
      <c r="S147" s="718">
        <f t="shared" si="46"/>
        <v>0.10681857883148896</v>
      </c>
      <c r="T147" s="718">
        <f t="shared" si="46"/>
        <v>0.10629914298641435</v>
      </c>
      <c r="U147" s="718">
        <f t="shared" si="46"/>
        <v>0.10576131108157202</v>
      </c>
      <c r="V147" s="718">
        <f t="shared" si="46"/>
        <v>0.10520701809928375</v>
      </c>
      <c r="W147" s="718">
        <f t="shared" si="46"/>
        <v>0.10463418956981389</v>
      </c>
      <c r="X147" s="718">
        <f t="shared" si="46"/>
        <v>0.10404698976790563</v>
      </c>
      <c r="Y147" s="718">
        <f t="shared" si="46"/>
        <v>0.10343833331931274</v>
      </c>
      <c r="Z147" s="718">
        <f t="shared" si="46"/>
        <v>0.10279823976213096</v>
      </c>
      <c r="AA147" s="718">
        <f t="shared" si="46"/>
        <v>0.10213348855236612</v>
      </c>
      <c r="AB147" s="718">
        <f t="shared" si="46"/>
        <v>0.10145192300744157</v>
      </c>
      <c r="AC147" s="718">
        <f t="shared" si="46"/>
        <v>0.10074426042980694</v>
      </c>
      <c r="AD147" s="718">
        <f t="shared" si="46"/>
        <v>0.10001234205474306</v>
      </c>
      <c r="AE147" s="718">
        <f t="shared" si="46"/>
        <v>9.9267155483936109E-2</v>
      </c>
      <c r="AF147" s="718">
        <f t="shared" si="46"/>
        <v>9.8503900176792905E-2</v>
      </c>
      <c r="AG147" s="718">
        <f t="shared" si="46"/>
        <v>9.7722265782291901E-2</v>
      </c>
      <c r="AH147" s="718">
        <f t="shared" si="46"/>
        <v>9.6919031407369821E-2</v>
      </c>
      <c r="AI147" s="718">
        <f t="shared" si="46"/>
        <v>9.6090592263554375E-2</v>
      </c>
      <c r="AJ147" s="718">
        <f t="shared" si="46"/>
        <v>9.5238291551659415E-2</v>
      </c>
      <c r="AK147" s="718">
        <f t="shared" si="46"/>
        <v>9.4365561517166394E-2</v>
      </c>
      <c r="AL147" s="718"/>
      <c r="AM147" s="718"/>
      <c r="AN147" s="718"/>
      <c r="AO147" s="718"/>
      <c r="AP147" s="718"/>
      <c r="AQ147" s="718"/>
      <c r="AR147" s="718"/>
      <c r="AS147" s="718"/>
      <c r="AT147" s="718"/>
      <c r="AU147" s="718"/>
      <c r="AV147" s="718"/>
      <c r="AW147" s="718"/>
      <c r="AX147" s="718"/>
      <c r="AY147" s="718"/>
      <c r="AZ147" s="718"/>
      <c r="BA147" s="718"/>
      <c r="BB147" s="718"/>
      <c r="BC147" s="718"/>
      <c r="BD147" s="718"/>
      <c r="BE147" s="718"/>
      <c r="BF147" s="718"/>
      <c r="BG147" s="718"/>
      <c r="BH147" s="718"/>
      <c r="BI147" s="718"/>
      <c r="BJ147" s="718"/>
      <c r="BK147" s="718"/>
      <c r="BL147" s="718"/>
      <c r="BM147" s="718"/>
      <c r="BN147" s="718"/>
      <c r="BO147" s="718"/>
      <c r="BP147" s="718"/>
      <c r="BQ147" s="718"/>
      <c r="BR147" s="718"/>
      <c r="BS147" s="718"/>
      <c r="BT147" s="718"/>
      <c r="BU147" s="718"/>
      <c r="BV147" s="718"/>
      <c r="BW147" s="718"/>
      <c r="BX147" s="718"/>
      <c r="BY147" s="718"/>
      <c r="BZ147" s="718"/>
      <c r="CA147" s="718"/>
      <c r="CB147" s="718"/>
      <c r="CC147" s="718"/>
      <c r="CD147" s="718"/>
      <c r="CE147" s="718"/>
      <c r="CF147" s="718"/>
      <c r="CG147" s="718"/>
      <c r="CH147" s="718"/>
      <c r="CI147" s="719"/>
      <c r="CK147" s="1296"/>
    </row>
    <row r="148" spans="2:89" x14ac:dyDescent="0.2">
      <c r="B148" s="720" t="s">
        <v>731</v>
      </c>
      <c r="C148" s="721" t="s">
        <v>520</v>
      </c>
      <c r="D148" s="715" t="s">
        <v>732</v>
      </c>
      <c r="E148" s="716" t="s">
        <v>236</v>
      </c>
      <c r="F148" s="717">
        <v>2</v>
      </c>
      <c r="G148" s="569">
        <f t="shared" ref="G148:AK148" si="47">G58+G116</f>
        <v>0</v>
      </c>
      <c r="H148" s="569">
        <f t="shared" si="47"/>
        <v>0</v>
      </c>
      <c r="I148" s="569">
        <f t="shared" si="47"/>
        <v>0.14667432126102647</v>
      </c>
      <c r="J148" s="569">
        <f t="shared" si="47"/>
        <v>7.202063713552441E-2</v>
      </c>
      <c r="K148" s="569">
        <f t="shared" si="47"/>
        <v>6.7975301538381508E-2</v>
      </c>
      <c r="L148" s="569">
        <f t="shared" si="47"/>
        <v>6.354795712672219E-2</v>
      </c>
      <c r="M148" s="718">
        <f t="shared" si="47"/>
        <v>6.1823373935452619E-2</v>
      </c>
      <c r="N148" s="718">
        <f t="shared" si="47"/>
        <v>6.1139408613481466E-2</v>
      </c>
      <c r="O148" s="718">
        <f t="shared" si="47"/>
        <v>6.0456479106640627E-2</v>
      </c>
      <c r="P148" s="718">
        <f t="shared" si="47"/>
        <v>5.9774585414930088E-2</v>
      </c>
      <c r="Q148" s="718">
        <f t="shared" si="47"/>
        <v>4.4684941489873009E-2</v>
      </c>
      <c r="R148" s="718">
        <f t="shared" si="47"/>
        <v>2.0243629184719041E-2</v>
      </c>
      <c r="S148" s="718">
        <f t="shared" si="47"/>
        <v>1.0432834238611716E-2</v>
      </c>
      <c r="T148" s="718">
        <f t="shared" si="47"/>
        <v>1.0295395143247399E-2</v>
      </c>
      <c r="U148" s="718">
        <f t="shared" si="47"/>
        <v>1.0158473955448243E-2</v>
      </c>
      <c r="V148" s="718">
        <f t="shared" si="47"/>
        <v>1.0022070675214247E-2</v>
      </c>
      <c r="W148" s="718">
        <f t="shared" si="47"/>
        <v>9.886185302545418E-3</v>
      </c>
      <c r="X148" s="718">
        <f t="shared" si="47"/>
        <v>9.7508178374417498E-3</v>
      </c>
      <c r="Y148" s="718">
        <f t="shared" si="47"/>
        <v>9.615968279903242E-3</v>
      </c>
      <c r="Z148" s="718">
        <f t="shared" si="47"/>
        <v>9.4816366299299015E-3</v>
      </c>
      <c r="AA148" s="718">
        <f t="shared" si="47"/>
        <v>9.3478228875217215E-3</v>
      </c>
      <c r="AB148" s="718">
        <f t="shared" si="47"/>
        <v>9.2038430749127528E-3</v>
      </c>
      <c r="AC148" s="718">
        <f t="shared" si="47"/>
        <v>9.0606401236515213E-3</v>
      </c>
      <c r="AD148" s="718">
        <f t="shared" si="47"/>
        <v>8.9182140337380408E-3</v>
      </c>
      <c r="AE148" s="718">
        <f t="shared" si="47"/>
        <v>8.7765648051723044E-3</v>
      </c>
      <c r="AF148" s="718">
        <f t="shared" si="47"/>
        <v>8.6356924379543121E-3</v>
      </c>
      <c r="AG148" s="718">
        <f t="shared" si="47"/>
        <v>8.4955969320840638E-3</v>
      </c>
      <c r="AH148" s="718">
        <f t="shared" si="47"/>
        <v>8.3562782875615527E-3</v>
      </c>
      <c r="AI148" s="718">
        <f t="shared" si="47"/>
        <v>8.2177365043867925E-3</v>
      </c>
      <c r="AJ148" s="718">
        <f t="shared" si="47"/>
        <v>8.0799715825597765E-3</v>
      </c>
      <c r="AK148" s="718">
        <f t="shared" si="47"/>
        <v>7.9429835220804976E-3</v>
      </c>
      <c r="AL148" s="718"/>
      <c r="AM148" s="718"/>
      <c r="AN148" s="718"/>
      <c r="AO148" s="718"/>
      <c r="AP148" s="718"/>
      <c r="AQ148" s="718"/>
      <c r="AR148" s="718"/>
      <c r="AS148" s="718"/>
      <c r="AT148" s="718"/>
      <c r="AU148" s="718"/>
      <c r="AV148" s="718"/>
      <c r="AW148" s="718"/>
      <c r="AX148" s="718"/>
      <c r="AY148" s="718"/>
      <c r="AZ148" s="718"/>
      <c r="BA148" s="718"/>
      <c r="BB148" s="718"/>
      <c r="BC148" s="718"/>
      <c r="BD148" s="718"/>
      <c r="BE148" s="718"/>
      <c r="BF148" s="718"/>
      <c r="BG148" s="718"/>
      <c r="BH148" s="718"/>
      <c r="BI148" s="718"/>
      <c r="BJ148" s="718"/>
      <c r="BK148" s="718"/>
      <c r="BL148" s="718"/>
      <c r="BM148" s="718"/>
      <c r="BN148" s="718"/>
      <c r="BO148" s="718"/>
      <c r="BP148" s="718"/>
      <c r="BQ148" s="718"/>
      <c r="BR148" s="718"/>
      <c r="BS148" s="718"/>
      <c r="BT148" s="718"/>
      <c r="BU148" s="718"/>
      <c r="BV148" s="718"/>
      <c r="BW148" s="718"/>
      <c r="BX148" s="718"/>
      <c r="BY148" s="718"/>
      <c r="BZ148" s="718"/>
      <c r="CA148" s="718"/>
      <c r="CB148" s="718"/>
      <c r="CC148" s="718"/>
      <c r="CD148" s="718"/>
      <c r="CE148" s="718"/>
      <c r="CF148" s="718"/>
      <c r="CG148" s="718"/>
      <c r="CH148" s="718"/>
      <c r="CI148" s="719"/>
      <c r="CK148" s="1296"/>
    </row>
    <row r="149" spans="2:89" x14ac:dyDescent="0.2">
      <c r="B149" s="720" t="s">
        <v>733</v>
      </c>
      <c r="C149" s="721" t="s">
        <v>522</v>
      </c>
      <c r="D149" s="715" t="s">
        <v>734</v>
      </c>
      <c r="E149" s="716" t="s">
        <v>236</v>
      </c>
      <c r="F149" s="717">
        <v>2</v>
      </c>
      <c r="G149" s="569">
        <f t="shared" ref="G149:AK149" si="48">G59+G117</f>
        <v>0</v>
      </c>
      <c r="H149" s="569">
        <f t="shared" si="48"/>
        <v>0</v>
      </c>
      <c r="I149" s="569">
        <f t="shared" si="48"/>
        <v>2.1788695133288419E-2</v>
      </c>
      <c r="J149" s="569">
        <f t="shared" si="48"/>
        <v>1.2793131253170708E-2</v>
      </c>
      <c r="K149" s="569">
        <f t="shared" si="48"/>
        <v>1.2905929961259683E-2</v>
      </c>
      <c r="L149" s="569">
        <f t="shared" si="48"/>
        <v>1.2917873373781164E-2</v>
      </c>
      <c r="M149" s="718">
        <f t="shared" si="48"/>
        <v>1.2765755348987459E-2</v>
      </c>
      <c r="N149" s="718">
        <f t="shared" si="48"/>
        <v>1.2917711463634914E-2</v>
      </c>
      <c r="O149" s="718">
        <f t="shared" si="48"/>
        <v>1.3058754794368027E-2</v>
      </c>
      <c r="P149" s="718">
        <f t="shared" si="48"/>
        <v>1.3157013252575199E-2</v>
      </c>
      <c r="Q149" s="718">
        <f t="shared" si="48"/>
        <v>1.3239619062572948E-2</v>
      </c>
      <c r="R149" s="718">
        <f t="shared" si="48"/>
        <v>1.3319356912984486E-2</v>
      </c>
      <c r="S149" s="718">
        <f t="shared" si="48"/>
        <v>1.3399238392799695E-2</v>
      </c>
      <c r="T149" s="718">
        <f t="shared" si="48"/>
        <v>1.3480185610979493E-2</v>
      </c>
      <c r="U149" s="718">
        <f t="shared" si="48"/>
        <v>1.3560729544019214E-2</v>
      </c>
      <c r="V149" s="718">
        <f t="shared" si="48"/>
        <v>1.364146904068988E-2</v>
      </c>
      <c r="W149" s="718">
        <f t="shared" si="48"/>
        <v>1.3721767969641767E-2</v>
      </c>
      <c r="X149" s="718">
        <f t="shared" si="48"/>
        <v>1.3802034258966542E-2</v>
      </c>
      <c r="Y149" s="718">
        <f t="shared" si="48"/>
        <v>1.3881538666341942E-2</v>
      </c>
      <c r="Z149" s="718">
        <f t="shared" si="48"/>
        <v>1.3959216469535077E-2</v>
      </c>
      <c r="AA149" s="718">
        <f t="shared" si="48"/>
        <v>1.4036198518158152E-2</v>
      </c>
      <c r="AB149" s="718">
        <f t="shared" si="48"/>
        <v>1.4112312853506233E-2</v>
      </c>
      <c r="AC149" s="718">
        <f t="shared" si="48"/>
        <v>1.4187021918462387E-2</v>
      </c>
      <c r="AD149" s="718">
        <f t="shared" si="48"/>
        <v>1.4260479179133019E-2</v>
      </c>
      <c r="AE149" s="718">
        <f t="shared" si="48"/>
        <v>1.4333851850984186E-2</v>
      </c>
      <c r="AF149" s="718">
        <f t="shared" si="48"/>
        <v>1.4406599541807985E-2</v>
      </c>
      <c r="AG149" s="718">
        <f t="shared" si="48"/>
        <v>1.4478663019688646E-2</v>
      </c>
      <c r="AH149" s="718">
        <f t="shared" si="48"/>
        <v>1.4549645728294217E-2</v>
      </c>
      <c r="AI149" s="718">
        <f t="shared" si="48"/>
        <v>1.4619085474513084E-2</v>
      </c>
      <c r="AJ149" s="718">
        <f t="shared" si="48"/>
        <v>1.4687078708492663E-2</v>
      </c>
      <c r="AK149" s="718">
        <f t="shared" si="48"/>
        <v>1.4753976769685945E-2</v>
      </c>
      <c r="AL149" s="718"/>
      <c r="AM149" s="718"/>
      <c r="AN149" s="718"/>
      <c r="AO149" s="718"/>
      <c r="AP149" s="718"/>
      <c r="AQ149" s="718"/>
      <c r="AR149" s="718"/>
      <c r="AS149" s="718"/>
      <c r="AT149" s="718"/>
      <c r="AU149" s="718"/>
      <c r="AV149" s="718"/>
      <c r="AW149" s="718"/>
      <c r="AX149" s="718"/>
      <c r="AY149" s="718"/>
      <c r="AZ149" s="718"/>
      <c r="BA149" s="718"/>
      <c r="BB149" s="718"/>
      <c r="BC149" s="718"/>
      <c r="BD149" s="718"/>
      <c r="BE149" s="718"/>
      <c r="BF149" s="718"/>
      <c r="BG149" s="718"/>
      <c r="BH149" s="718"/>
      <c r="BI149" s="718"/>
      <c r="BJ149" s="718"/>
      <c r="BK149" s="718"/>
      <c r="BL149" s="718"/>
      <c r="BM149" s="718"/>
      <c r="BN149" s="718"/>
      <c r="BO149" s="718"/>
      <c r="BP149" s="718"/>
      <c r="BQ149" s="718"/>
      <c r="BR149" s="718"/>
      <c r="BS149" s="718"/>
      <c r="BT149" s="718"/>
      <c r="BU149" s="718"/>
      <c r="BV149" s="718"/>
      <c r="BW149" s="718"/>
      <c r="BX149" s="718"/>
      <c r="BY149" s="718"/>
      <c r="BZ149" s="718"/>
      <c r="CA149" s="718"/>
      <c r="CB149" s="718"/>
      <c r="CC149" s="718"/>
      <c r="CD149" s="718"/>
      <c r="CE149" s="718"/>
      <c r="CF149" s="718"/>
      <c r="CG149" s="718"/>
      <c r="CH149" s="718"/>
      <c r="CI149" s="719"/>
      <c r="CK149" s="1296"/>
    </row>
    <row r="150" spans="2:89" x14ac:dyDescent="0.2">
      <c r="B150" s="720" t="s">
        <v>735</v>
      </c>
      <c r="C150" s="714" t="s">
        <v>524</v>
      </c>
      <c r="D150" s="715" t="s">
        <v>736</v>
      </c>
      <c r="E150" s="716" t="s">
        <v>236</v>
      </c>
      <c r="F150" s="717">
        <v>2</v>
      </c>
      <c r="G150" s="569">
        <f t="shared" ref="G150:AK150" si="49">G60+G118</f>
        <v>0</v>
      </c>
      <c r="H150" s="569">
        <f t="shared" si="49"/>
        <v>0</v>
      </c>
      <c r="I150" s="569">
        <f t="shared" si="49"/>
        <v>1.5749683943563038</v>
      </c>
      <c r="J150" s="569">
        <f t="shared" si="49"/>
        <v>1.4901454011188295</v>
      </c>
      <c r="K150" s="569">
        <f t="shared" si="49"/>
        <v>1.4304504338458739</v>
      </c>
      <c r="L150" s="569">
        <f t="shared" si="49"/>
        <v>1.3713212232168734</v>
      </c>
      <c r="M150" s="718">
        <f t="shared" si="49"/>
        <v>1.3569343848017903</v>
      </c>
      <c r="N150" s="718">
        <f t="shared" si="49"/>
        <v>1.3412615585691852</v>
      </c>
      <c r="O150" s="718">
        <f t="shared" si="49"/>
        <v>1.3257484317969128</v>
      </c>
      <c r="P150" s="718">
        <f t="shared" si="49"/>
        <v>1.3107654417628705</v>
      </c>
      <c r="Q150" s="718">
        <f t="shared" si="49"/>
        <v>1.3042993927504565</v>
      </c>
      <c r="R150" s="718">
        <f t="shared" si="49"/>
        <v>1.303273633802617</v>
      </c>
      <c r="S150" s="718">
        <f t="shared" si="49"/>
        <v>1.2938211939786339</v>
      </c>
      <c r="T150" s="718">
        <f t="shared" si="49"/>
        <v>1.2787920312476466</v>
      </c>
      <c r="U150" s="718">
        <f t="shared" si="49"/>
        <v>1.2637820314769055</v>
      </c>
      <c r="V150" s="718">
        <f t="shared" si="49"/>
        <v>1.2487856464375588</v>
      </c>
      <c r="W150" s="718">
        <f t="shared" si="49"/>
        <v>1.2338086692377488</v>
      </c>
      <c r="X150" s="718">
        <f t="shared" si="49"/>
        <v>1.2188465276746401</v>
      </c>
      <c r="Y150" s="718">
        <f t="shared" si="49"/>
        <v>1.2039070363648017</v>
      </c>
      <c r="Z150" s="718">
        <f t="shared" si="49"/>
        <v>1.1890012404923702</v>
      </c>
      <c r="AA150" s="718">
        <f t="shared" si="49"/>
        <v>1.1741212297517281</v>
      </c>
      <c r="AB150" s="718">
        <f t="shared" si="49"/>
        <v>1.1592700167619228</v>
      </c>
      <c r="AC150" s="718">
        <f t="shared" si="49"/>
        <v>1.1444464788460729</v>
      </c>
      <c r="AD150" s="718">
        <f t="shared" si="49"/>
        <v>1.129648621302791</v>
      </c>
      <c r="AE150" s="718">
        <f t="shared" si="49"/>
        <v>1.1148642893149254</v>
      </c>
      <c r="AF150" s="718">
        <f t="shared" si="49"/>
        <v>1.1000988238152769</v>
      </c>
      <c r="AG150" s="718">
        <f t="shared" si="49"/>
        <v>1.0853525943867828</v>
      </c>
      <c r="AH150" s="718">
        <f t="shared" si="49"/>
        <v>1.0706292184788382</v>
      </c>
      <c r="AI150" s="718">
        <f t="shared" si="49"/>
        <v>1.0559327630730273</v>
      </c>
      <c r="AJ150" s="718">
        <f t="shared" si="49"/>
        <v>1.0412617885183888</v>
      </c>
      <c r="AK150" s="718">
        <f t="shared" si="49"/>
        <v>1.0266125112299871</v>
      </c>
      <c r="AL150" s="718"/>
      <c r="AM150" s="718"/>
      <c r="AN150" s="718"/>
      <c r="AO150" s="718"/>
      <c r="AP150" s="718"/>
      <c r="AQ150" s="718"/>
      <c r="AR150" s="718"/>
      <c r="AS150" s="718"/>
      <c r="AT150" s="718"/>
      <c r="AU150" s="718"/>
      <c r="AV150" s="718"/>
      <c r="AW150" s="718"/>
      <c r="AX150" s="718"/>
      <c r="AY150" s="718"/>
      <c r="AZ150" s="718"/>
      <c r="BA150" s="718"/>
      <c r="BB150" s="718"/>
      <c r="BC150" s="718"/>
      <c r="BD150" s="718"/>
      <c r="BE150" s="718"/>
      <c r="BF150" s="718"/>
      <c r="BG150" s="718"/>
      <c r="BH150" s="718"/>
      <c r="BI150" s="718"/>
      <c r="BJ150" s="718"/>
      <c r="BK150" s="718"/>
      <c r="BL150" s="718"/>
      <c r="BM150" s="718"/>
      <c r="BN150" s="718"/>
      <c r="BO150" s="718"/>
      <c r="BP150" s="718"/>
      <c r="BQ150" s="718"/>
      <c r="BR150" s="718"/>
      <c r="BS150" s="718"/>
      <c r="BT150" s="718"/>
      <c r="BU150" s="718"/>
      <c r="BV150" s="718"/>
      <c r="BW150" s="718"/>
      <c r="BX150" s="718"/>
      <c r="BY150" s="718"/>
      <c r="BZ150" s="718"/>
      <c r="CA150" s="718"/>
      <c r="CB150" s="718"/>
      <c r="CC150" s="718"/>
      <c r="CD150" s="718"/>
      <c r="CE150" s="718"/>
      <c r="CF150" s="718"/>
      <c r="CG150" s="718"/>
      <c r="CH150" s="718"/>
      <c r="CI150" s="719"/>
      <c r="CK150" s="1296"/>
    </row>
    <row r="151" spans="2:89" x14ac:dyDescent="0.2">
      <c r="B151" s="720" t="s">
        <v>737</v>
      </c>
      <c r="C151" s="714" t="s">
        <v>243</v>
      </c>
      <c r="D151" s="715" t="s">
        <v>738</v>
      </c>
      <c r="E151" s="716" t="s">
        <v>236</v>
      </c>
      <c r="F151" s="717">
        <v>2</v>
      </c>
      <c r="G151" s="569">
        <f>SUM(G145:G150)</f>
        <v>0</v>
      </c>
      <c r="H151" s="569">
        <f t="shared" ref="H151:AK151" si="50">SUM(H145:H150)</f>
        <v>0</v>
      </c>
      <c r="I151" s="569">
        <f t="shared" si="50"/>
        <v>1.9305131976000001</v>
      </c>
      <c r="J151" s="569">
        <f t="shared" si="50"/>
        <v>1.6747597999999997</v>
      </c>
      <c r="K151" s="569">
        <f t="shared" si="50"/>
        <v>1.6092663999999997</v>
      </c>
      <c r="L151" s="569">
        <f t="shared" si="50"/>
        <v>1.5437730000000001</v>
      </c>
      <c r="M151" s="718">
        <f t="shared" si="50"/>
        <v>1.5281028000000001</v>
      </c>
      <c r="N151" s="718">
        <f t="shared" si="50"/>
        <v>1.5124326000000001</v>
      </c>
      <c r="O151" s="718">
        <f t="shared" si="50"/>
        <v>1.4967624000000002</v>
      </c>
      <c r="P151" s="718">
        <f t="shared" si="50"/>
        <v>1.4810922000000002</v>
      </c>
      <c r="Q151" s="718">
        <f t="shared" si="50"/>
        <v>1.4654220000000002</v>
      </c>
      <c r="R151" s="718">
        <f t="shared" si="50"/>
        <v>1.4497518000000003</v>
      </c>
      <c r="S151" s="718">
        <f t="shared" si="50"/>
        <v>1.4340816000000003</v>
      </c>
      <c r="T151" s="718">
        <f t="shared" si="50"/>
        <v>1.4184114000000003</v>
      </c>
      <c r="U151" s="718">
        <f t="shared" si="50"/>
        <v>1.4027412000000004</v>
      </c>
      <c r="V151" s="718">
        <f t="shared" si="50"/>
        <v>1.3870710000000004</v>
      </c>
      <c r="W151" s="718">
        <f t="shared" si="50"/>
        <v>1.3714008000000004</v>
      </c>
      <c r="X151" s="718">
        <f t="shared" si="50"/>
        <v>1.3557306000000005</v>
      </c>
      <c r="Y151" s="718">
        <f t="shared" si="50"/>
        <v>1.3400604000000005</v>
      </c>
      <c r="Z151" s="718">
        <f t="shared" si="50"/>
        <v>1.3243902000000005</v>
      </c>
      <c r="AA151" s="718">
        <f t="shared" si="50"/>
        <v>1.3087200000000005</v>
      </c>
      <c r="AB151" s="718">
        <f t="shared" si="50"/>
        <v>1.2930498000000006</v>
      </c>
      <c r="AC151" s="718">
        <f t="shared" si="50"/>
        <v>1.2773796000000006</v>
      </c>
      <c r="AD151" s="718">
        <f t="shared" si="50"/>
        <v>1.2617094000000004</v>
      </c>
      <c r="AE151" s="718">
        <f t="shared" si="50"/>
        <v>1.2460392000000007</v>
      </c>
      <c r="AF151" s="718">
        <f t="shared" si="50"/>
        <v>1.2303690000000007</v>
      </c>
      <c r="AG151" s="718">
        <f t="shared" si="50"/>
        <v>1.2146988000000007</v>
      </c>
      <c r="AH151" s="718">
        <f t="shared" si="50"/>
        <v>1.1990286000000008</v>
      </c>
      <c r="AI151" s="718">
        <f t="shared" si="50"/>
        <v>1.1833584000000008</v>
      </c>
      <c r="AJ151" s="718">
        <f t="shared" si="50"/>
        <v>1.1676882000000011</v>
      </c>
      <c r="AK151" s="718">
        <f t="shared" si="50"/>
        <v>1.152018</v>
      </c>
      <c r="AL151" s="718"/>
      <c r="AM151" s="718"/>
      <c r="AN151" s="718"/>
      <c r="AO151" s="718"/>
      <c r="AP151" s="718"/>
      <c r="AQ151" s="718"/>
      <c r="AR151" s="718"/>
      <c r="AS151" s="718"/>
      <c r="AT151" s="718"/>
      <c r="AU151" s="718"/>
      <c r="AV151" s="718"/>
      <c r="AW151" s="718"/>
      <c r="AX151" s="718"/>
      <c r="AY151" s="718"/>
      <c r="AZ151" s="718"/>
      <c r="BA151" s="718"/>
      <c r="BB151" s="718"/>
      <c r="BC151" s="718"/>
      <c r="BD151" s="718"/>
      <c r="BE151" s="718"/>
      <c r="BF151" s="718"/>
      <c r="BG151" s="718"/>
      <c r="BH151" s="718"/>
      <c r="BI151" s="718"/>
      <c r="BJ151" s="718"/>
      <c r="BK151" s="718"/>
      <c r="BL151" s="718"/>
      <c r="BM151" s="718"/>
      <c r="BN151" s="718"/>
      <c r="BO151" s="718"/>
      <c r="BP151" s="718"/>
      <c r="BQ151" s="718"/>
      <c r="BR151" s="718"/>
      <c r="BS151" s="718"/>
      <c r="BT151" s="718"/>
      <c r="BU151" s="718"/>
      <c r="BV151" s="718"/>
      <c r="BW151" s="718"/>
      <c r="BX151" s="718"/>
      <c r="BY151" s="718"/>
      <c r="BZ151" s="718"/>
      <c r="CA151" s="718"/>
      <c r="CB151" s="718"/>
      <c r="CC151" s="718"/>
      <c r="CD151" s="718"/>
      <c r="CE151" s="718"/>
      <c r="CF151" s="718"/>
      <c r="CG151" s="718"/>
      <c r="CH151" s="718"/>
      <c r="CI151" s="719"/>
      <c r="CK151" s="1296"/>
    </row>
    <row r="152" spans="2:89" ht="15" thickBot="1" x14ac:dyDescent="0.25">
      <c r="B152" s="760" t="s">
        <v>739</v>
      </c>
      <c r="C152" s="761" t="s">
        <v>528</v>
      </c>
      <c r="D152" s="762" t="s">
        <v>740</v>
      </c>
      <c r="E152" s="763" t="s">
        <v>530</v>
      </c>
      <c r="F152" s="728">
        <v>2</v>
      </c>
      <c r="G152" s="729" t="e">
        <f>(G151*1000000)/(G166*1000)</f>
        <v>#DIV/0!</v>
      </c>
      <c r="H152" s="729" t="e">
        <f t="shared" ref="H152:AK152" si="51">(H151*1000000)/(H166*1000)</f>
        <v>#DIV/0!</v>
      </c>
      <c r="I152" s="729">
        <f t="shared" si="51"/>
        <v>97.911101972916782</v>
      </c>
      <c r="J152" s="729">
        <f t="shared" si="51"/>
        <v>83.8869048691015</v>
      </c>
      <c r="K152" s="729">
        <f t="shared" si="51"/>
        <v>79.748632550563755</v>
      </c>
      <c r="L152" s="729">
        <f t="shared" si="51"/>
        <v>75.779539607707235</v>
      </c>
      <c r="M152" s="758">
        <f t="shared" si="51"/>
        <v>74.410901576904706</v>
      </c>
      <c r="N152" s="758">
        <f t="shared" si="51"/>
        <v>72.620583431702215</v>
      </c>
      <c r="O152" s="758">
        <f t="shared" si="51"/>
        <v>70.956700232933017</v>
      </c>
      <c r="P152" s="758">
        <f t="shared" si="51"/>
        <v>69.62801458116202</v>
      </c>
      <c r="Q152" s="758">
        <f t="shared" si="51"/>
        <v>68.409413629994887</v>
      </c>
      <c r="R152" s="758">
        <f t="shared" si="51"/>
        <v>67.215311485915336</v>
      </c>
      <c r="S152" s="758">
        <f t="shared" si="51"/>
        <v>66.052706638346692</v>
      </c>
      <c r="T152" s="758">
        <f t="shared" si="51"/>
        <v>64.909318819484355</v>
      </c>
      <c r="U152" s="758">
        <f t="shared" si="51"/>
        <v>63.783056324396718</v>
      </c>
      <c r="V152" s="758">
        <f t="shared" si="51"/>
        <v>62.671598509216835</v>
      </c>
      <c r="W152" s="758">
        <f t="shared" si="51"/>
        <v>61.576676213623166</v>
      </c>
      <c r="X152" s="758">
        <f t="shared" si="51"/>
        <v>60.495527903961083</v>
      </c>
      <c r="Y152" s="758">
        <f t="shared" si="51"/>
        <v>59.43193434383565</v>
      </c>
      <c r="Z152" s="758">
        <f t="shared" si="51"/>
        <v>58.391119582962915</v>
      </c>
      <c r="AA152" s="758">
        <f t="shared" si="51"/>
        <v>57.366171613256327</v>
      </c>
      <c r="AB152" s="758">
        <f t="shared" si="51"/>
        <v>56.357498183552707</v>
      </c>
      <c r="AC152" s="758">
        <f t="shared" si="51"/>
        <v>55.367310558179874</v>
      </c>
      <c r="AD152" s="758">
        <f t="shared" si="51"/>
        <v>54.394168119180158</v>
      </c>
      <c r="AE152" s="758">
        <f t="shared" si="51"/>
        <v>53.43183817284708</v>
      </c>
      <c r="AF152" s="758">
        <f t="shared" si="51"/>
        <v>52.482672699594623</v>
      </c>
      <c r="AG152" s="758">
        <f t="shared" si="51"/>
        <v>51.546579019582424</v>
      </c>
      <c r="AH152" s="758">
        <f t="shared" si="51"/>
        <v>50.624968808050049</v>
      </c>
      <c r="AI152" s="758">
        <f t="shared" si="51"/>
        <v>49.719391830049503</v>
      </c>
      <c r="AJ152" s="758">
        <f t="shared" si="51"/>
        <v>48.828830894624922</v>
      </c>
      <c r="AK152" s="758">
        <f t="shared" si="51"/>
        <v>47.951259242423241</v>
      </c>
      <c r="AL152" s="758"/>
      <c r="AM152" s="758"/>
      <c r="AN152" s="758"/>
      <c r="AO152" s="758"/>
      <c r="AP152" s="758"/>
      <c r="AQ152" s="758"/>
      <c r="AR152" s="758"/>
      <c r="AS152" s="758"/>
      <c r="AT152" s="758"/>
      <c r="AU152" s="758"/>
      <c r="AV152" s="758"/>
      <c r="AW152" s="758"/>
      <c r="AX152" s="758"/>
      <c r="AY152" s="758"/>
      <c r="AZ152" s="758"/>
      <c r="BA152" s="758"/>
      <c r="BB152" s="758"/>
      <c r="BC152" s="758"/>
      <c r="BD152" s="758"/>
      <c r="BE152" s="758"/>
      <c r="BF152" s="758"/>
      <c r="BG152" s="758"/>
      <c r="BH152" s="758"/>
      <c r="BI152" s="758"/>
      <c r="BJ152" s="758"/>
      <c r="BK152" s="758"/>
      <c r="BL152" s="758"/>
      <c r="BM152" s="758"/>
      <c r="BN152" s="758"/>
      <c r="BO152" s="758"/>
      <c r="BP152" s="758"/>
      <c r="BQ152" s="758"/>
      <c r="BR152" s="758"/>
      <c r="BS152" s="758"/>
      <c r="BT152" s="758"/>
      <c r="BU152" s="758"/>
      <c r="BV152" s="758"/>
      <c r="BW152" s="758"/>
      <c r="BX152" s="758"/>
      <c r="BY152" s="758"/>
      <c r="BZ152" s="758"/>
      <c r="CA152" s="758"/>
      <c r="CB152" s="758"/>
      <c r="CC152" s="758"/>
      <c r="CD152" s="758"/>
      <c r="CE152" s="758"/>
      <c r="CF152" s="758"/>
      <c r="CG152" s="758"/>
      <c r="CH152" s="758"/>
      <c r="CI152" s="759"/>
      <c r="CK152" s="1296"/>
    </row>
    <row r="153" spans="2:89" x14ac:dyDescent="0.2">
      <c r="B153" s="730" t="s">
        <v>741</v>
      </c>
      <c r="C153" s="731" t="s">
        <v>532</v>
      </c>
      <c r="D153" s="686" t="s">
        <v>86</v>
      </c>
      <c r="E153" s="764" t="s">
        <v>344</v>
      </c>
      <c r="F153" s="765">
        <v>2</v>
      </c>
      <c r="G153" s="593"/>
      <c r="H153" s="593"/>
      <c r="I153" s="593">
        <v>1.5489999999999999</v>
      </c>
      <c r="J153" s="593">
        <v>1.4991936561407804</v>
      </c>
      <c r="K153" s="593">
        <v>1.5076557861318296</v>
      </c>
      <c r="L153" s="593">
        <v>1.5478447303118581</v>
      </c>
      <c r="M153" s="594">
        <v>1.5922679375031263</v>
      </c>
      <c r="N153" s="594">
        <v>1.599894921878908</v>
      </c>
      <c r="O153" s="594">
        <v>1.6075219062546897</v>
      </c>
      <c r="P153" s="594">
        <v>1.6151488906304712</v>
      </c>
      <c r="Q153" s="594">
        <v>1.6227758750062526</v>
      </c>
      <c r="R153" s="594">
        <v>1.6304028593820343</v>
      </c>
      <c r="S153" s="594">
        <v>1.6380298437578158</v>
      </c>
      <c r="T153" s="594">
        <v>1.6456568281335977</v>
      </c>
      <c r="U153" s="594">
        <v>1.6532838125093789</v>
      </c>
      <c r="V153" s="594">
        <v>1.6609107968851609</v>
      </c>
      <c r="W153" s="594">
        <v>1.6685377812609423</v>
      </c>
      <c r="X153" s="594">
        <v>1.6761647656367238</v>
      </c>
      <c r="Y153" s="594">
        <v>1.6837917500125055</v>
      </c>
      <c r="Z153" s="594">
        <v>1.6914187343882869</v>
      </c>
      <c r="AA153" s="594">
        <v>1.6990457187640686</v>
      </c>
      <c r="AB153" s="594">
        <v>1.7066727031398503</v>
      </c>
      <c r="AC153" s="594">
        <v>1.7142996875156318</v>
      </c>
      <c r="AD153" s="594">
        <v>1.7219266718914135</v>
      </c>
      <c r="AE153" s="594">
        <v>1.7295536562671949</v>
      </c>
      <c r="AF153" s="594">
        <v>1.7371806406429766</v>
      </c>
      <c r="AG153" s="594">
        <v>1.7448076250187583</v>
      </c>
      <c r="AH153" s="594">
        <v>1.7524346093945398</v>
      </c>
      <c r="AI153" s="594">
        <v>1.7600615937703215</v>
      </c>
      <c r="AJ153" s="594">
        <v>1.7676885781461031</v>
      </c>
      <c r="AK153" s="594">
        <v>1.7753155625218846</v>
      </c>
      <c r="AL153" s="594"/>
      <c r="AM153" s="594"/>
      <c r="AN153" s="594"/>
      <c r="AO153" s="594"/>
      <c r="AP153" s="594"/>
      <c r="AQ153" s="594"/>
      <c r="AR153" s="594"/>
      <c r="AS153" s="594"/>
      <c r="AT153" s="594"/>
      <c r="AU153" s="594"/>
      <c r="AV153" s="594"/>
      <c r="AW153" s="594"/>
      <c r="AX153" s="594"/>
      <c r="AY153" s="594"/>
      <c r="AZ153" s="594"/>
      <c r="BA153" s="594"/>
      <c r="BB153" s="594"/>
      <c r="BC153" s="594"/>
      <c r="BD153" s="594"/>
      <c r="BE153" s="594"/>
      <c r="BF153" s="594"/>
      <c r="BG153" s="594"/>
      <c r="BH153" s="594"/>
      <c r="BI153" s="594"/>
      <c r="BJ153" s="594"/>
      <c r="BK153" s="594"/>
      <c r="BL153" s="594"/>
      <c r="BM153" s="594"/>
      <c r="BN153" s="594"/>
      <c r="BO153" s="594"/>
      <c r="BP153" s="594"/>
      <c r="BQ153" s="594"/>
      <c r="BR153" s="594"/>
      <c r="BS153" s="594"/>
      <c r="BT153" s="594"/>
      <c r="BU153" s="594"/>
      <c r="BV153" s="594"/>
      <c r="BW153" s="594"/>
      <c r="BX153" s="594"/>
      <c r="BY153" s="594"/>
      <c r="BZ153" s="594"/>
      <c r="CA153" s="594"/>
      <c r="CB153" s="594"/>
      <c r="CC153" s="594"/>
      <c r="CD153" s="594"/>
      <c r="CE153" s="594"/>
      <c r="CF153" s="594"/>
      <c r="CG153" s="594"/>
      <c r="CH153" s="594"/>
      <c r="CI153" s="595"/>
      <c r="CK153" s="1296"/>
    </row>
    <row r="154" spans="2:89" x14ac:dyDescent="0.2">
      <c r="B154" s="738" t="s">
        <v>742</v>
      </c>
      <c r="C154" s="739" t="s">
        <v>534</v>
      </c>
      <c r="D154" s="690" t="s">
        <v>86</v>
      </c>
      <c r="E154" s="748" t="s">
        <v>344</v>
      </c>
      <c r="F154" s="749">
        <v>2</v>
      </c>
      <c r="G154" s="597"/>
      <c r="H154" s="597"/>
      <c r="I154" s="597">
        <v>8.1000000000000003E-2</v>
      </c>
      <c r="J154" s="597">
        <v>7.2246480087486006E-2</v>
      </c>
      <c r="K154" s="597">
        <v>7.1357167300523203E-2</v>
      </c>
      <c r="L154" s="597">
        <v>4.4818334737687336E-2</v>
      </c>
      <c r="M154" s="598">
        <v>2.4181727835120275E-2</v>
      </c>
      <c r="N154" s="598">
        <v>2.3927159793900341E-2</v>
      </c>
      <c r="O154" s="598">
        <v>2.3672591752680411E-2</v>
      </c>
      <c r="P154" s="598">
        <v>2.3418023711460477E-2</v>
      </c>
      <c r="Q154" s="598">
        <v>2.3163455670240543E-2</v>
      </c>
      <c r="R154" s="598">
        <v>2.2908887629020616E-2</v>
      </c>
      <c r="S154" s="598">
        <v>2.2654319587800682E-2</v>
      </c>
      <c r="T154" s="598">
        <v>2.2399751546580752E-2</v>
      </c>
      <c r="U154" s="598">
        <v>2.2145183505360818E-2</v>
      </c>
      <c r="V154" s="598">
        <v>2.2145183505360818E-2</v>
      </c>
      <c r="W154" s="598">
        <v>2.2145183505360818E-2</v>
      </c>
      <c r="X154" s="598">
        <v>2.2145183505360818E-2</v>
      </c>
      <c r="Y154" s="598">
        <v>2.2145183505360818E-2</v>
      </c>
      <c r="Z154" s="598">
        <v>2.2145183505360818E-2</v>
      </c>
      <c r="AA154" s="598">
        <v>2.2145183505360818E-2</v>
      </c>
      <c r="AB154" s="598">
        <v>2.2145183505360818E-2</v>
      </c>
      <c r="AC154" s="598">
        <v>2.2145183505360818E-2</v>
      </c>
      <c r="AD154" s="598">
        <v>2.2145183505360818E-2</v>
      </c>
      <c r="AE154" s="598">
        <v>2.2145183505360818E-2</v>
      </c>
      <c r="AF154" s="598">
        <v>2.2145183505360818E-2</v>
      </c>
      <c r="AG154" s="598">
        <v>2.2145183505360818E-2</v>
      </c>
      <c r="AH154" s="598">
        <v>2.2145183505360818E-2</v>
      </c>
      <c r="AI154" s="598">
        <v>2.2145183505360818E-2</v>
      </c>
      <c r="AJ154" s="598">
        <v>2.2145183505360818E-2</v>
      </c>
      <c r="AK154" s="598">
        <v>2.2145183505360818E-2</v>
      </c>
      <c r="AL154" s="598"/>
      <c r="AM154" s="598"/>
      <c r="AN154" s="598"/>
      <c r="AO154" s="598"/>
      <c r="AP154" s="598"/>
      <c r="AQ154" s="598"/>
      <c r="AR154" s="598"/>
      <c r="AS154" s="598"/>
      <c r="AT154" s="598"/>
      <c r="AU154" s="598"/>
      <c r="AV154" s="598"/>
      <c r="AW154" s="598"/>
      <c r="AX154" s="598"/>
      <c r="AY154" s="598"/>
      <c r="AZ154" s="598"/>
      <c r="BA154" s="598"/>
      <c r="BB154" s="598"/>
      <c r="BC154" s="598"/>
      <c r="BD154" s="598"/>
      <c r="BE154" s="598"/>
      <c r="BF154" s="598"/>
      <c r="BG154" s="598"/>
      <c r="BH154" s="598"/>
      <c r="BI154" s="598"/>
      <c r="BJ154" s="598"/>
      <c r="BK154" s="598"/>
      <c r="BL154" s="598"/>
      <c r="BM154" s="598"/>
      <c r="BN154" s="598"/>
      <c r="BO154" s="598"/>
      <c r="BP154" s="598"/>
      <c r="BQ154" s="598"/>
      <c r="BR154" s="598"/>
      <c r="BS154" s="598"/>
      <c r="BT154" s="598"/>
      <c r="BU154" s="598"/>
      <c r="BV154" s="598"/>
      <c r="BW154" s="598"/>
      <c r="BX154" s="598"/>
      <c r="BY154" s="598"/>
      <c r="BZ154" s="598"/>
      <c r="CA154" s="598"/>
      <c r="CB154" s="598"/>
      <c r="CC154" s="598"/>
      <c r="CD154" s="598"/>
      <c r="CE154" s="598"/>
      <c r="CF154" s="598"/>
      <c r="CG154" s="598"/>
      <c r="CH154" s="598"/>
      <c r="CI154" s="599"/>
      <c r="CK154" s="1296"/>
    </row>
    <row r="155" spans="2:89" x14ac:dyDescent="0.2">
      <c r="B155" s="766" t="s">
        <v>743</v>
      </c>
      <c r="C155" s="767" t="s">
        <v>536</v>
      </c>
      <c r="D155" s="690" t="s">
        <v>86</v>
      </c>
      <c r="E155" s="748" t="s">
        <v>344</v>
      </c>
      <c r="F155" s="749">
        <v>2</v>
      </c>
      <c r="G155" s="597"/>
      <c r="H155" s="597"/>
      <c r="I155" s="597">
        <v>0.215</v>
      </c>
      <c r="J155" s="597">
        <v>0.28114559687606738</v>
      </c>
      <c r="K155" s="597">
        <v>0.2821585127763146</v>
      </c>
      <c r="L155" s="597">
        <v>0.27709413426345569</v>
      </c>
      <c r="M155" s="598">
        <v>0.26189326707908822</v>
      </c>
      <c r="N155" s="598">
        <v>0.26310658384886026</v>
      </c>
      <c r="O155" s="598">
        <v>0.26431990061863231</v>
      </c>
      <c r="P155" s="598">
        <v>0.26553321738840435</v>
      </c>
      <c r="Q155" s="598">
        <v>0.26674653415817645</v>
      </c>
      <c r="R155" s="598">
        <v>0.2679598509279485</v>
      </c>
      <c r="S155" s="598">
        <v>0.26917316769772054</v>
      </c>
      <c r="T155" s="598">
        <v>0.27038648446749253</v>
      </c>
      <c r="U155" s="598">
        <v>0.27159980123726463</v>
      </c>
      <c r="V155" s="598">
        <v>0.27284140334495</v>
      </c>
      <c r="W155" s="598">
        <v>0.27408300545263542</v>
      </c>
      <c r="X155" s="598">
        <v>0.27532460756032079</v>
      </c>
      <c r="Y155" s="598">
        <v>0.27656620966800616</v>
      </c>
      <c r="Z155" s="598">
        <v>0.27780781177569153</v>
      </c>
      <c r="AA155" s="598">
        <v>0.2790494138833769</v>
      </c>
      <c r="AB155" s="598">
        <v>0.28029101599106226</v>
      </c>
      <c r="AC155" s="598">
        <v>0.28153261809874769</v>
      </c>
      <c r="AD155" s="598">
        <v>0.282774220206433</v>
      </c>
      <c r="AE155" s="598">
        <v>0.28401582231411837</v>
      </c>
      <c r="AF155" s="598">
        <v>0.28525742442180374</v>
      </c>
      <c r="AG155" s="598">
        <v>0.28649902652948911</v>
      </c>
      <c r="AH155" s="598">
        <v>0.28774062863717448</v>
      </c>
      <c r="AI155" s="598">
        <v>0.28898223074485985</v>
      </c>
      <c r="AJ155" s="598">
        <v>0.29022383285254527</v>
      </c>
      <c r="AK155" s="598">
        <v>0.29146543496023064</v>
      </c>
      <c r="AL155" s="598"/>
      <c r="AM155" s="598"/>
      <c r="AN155" s="598"/>
      <c r="AO155" s="598"/>
      <c r="AP155" s="598"/>
      <c r="AQ155" s="598"/>
      <c r="AR155" s="598"/>
      <c r="AS155" s="598"/>
      <c r="AT155" s="598"/>
      <c r="AU155" s="598"/>
      <c r="AV155" s="598"/>
      <c r="AW155" s="598"/>
      <c r="AX155" s="598"/>
      <c r="AY155" s="598"/>
      <c r="AZ155" s="598"/>
      <c r="BA155" s="598"/>
      <c r="BB155" s="598"/>
      <c r="BC155" s="598"/>
      <c r="BD155" s="598"/>
      <c r="BE155" s="598"/>
      <c r="BF155" s="598"/>
      <c r="BG155" s="598"/>
      <c r="BH155" s="598"/>
      <c r="BI155" s="598"/>
      <c r="BJ155" s="598"/>
      <c r="BK155" s="598"/>
      <c r="BL155" s="598"/>
      <c r="BM155" s="598"/>
      <c r="BN155" s="598"/>
      <c r="BO155" s="598"/>
      <c r="BP155" s="598"/>
      <c r="BQ155" s="598"/>
      <c r="BR155" s="598"/>
      <c r="BS155" s="598"/>
      <c r="BT155" s="598"/>
      <c r="BU155" s="598"/>
      <c r="BV155" s="598"/>
      <c r="BW155" s="598"/>
      <c r="BX155" s="598"/>
      <c r="BY155" s="598"/>
      <c r="BZ155" s="598"/>
      <c r="CA155" s="598"/>
      <c r="CB155" s="598"/>
      <c r="CC155" s="598"/>
      <c r="CD155" s="598"/>
      <c r="CE155" s="598"/>
      <c r="CF155" s="598"/>
      <c r="CG155" s="598"/>
      <c r="CH155" s="598"/>
      <c r="CI155" s="599"/>
      <c r="CK155" s="1296"/>
    </row>
    <row r="156" spans="2:89" ht="28.5" x14ac:dyDescent="0.2">
      <c r="B156" s="766" t="s">
        <v>744</v>
      </c>
      <c r="C156" s="767" t="s">
        <v>538</v>
      </c>
      <c r="D156" s="602" t="s">
        <v>539</v>
      </c>
      <c r="E156" s="603" t="s">
        <v>344</v>
      </c>
      <c r="F156" s="604">
        <v>2</v>
      </c>
      <c r="G156" s="597"/>
      <c r="H156" s="597"/>
      <c r="I156" s="597">
        <v>12.180999999999999</v>
      </c>
      <c r="J156" s="552">
        <f t="shared" ref="J156:L156" si="52">I156+SUM(J157:J162)</f>
        <v>12.4945305903319</v>
      </c>
      <c r="K156" s="552">
        <f t="shared" si="52"/>
        <v>12.783554979025508</v>
      </c>
      <c r="L156" s="552">
        <f t="shared" si="52"/>
        <v>13.087790363423581</v>
      </c>
      <c r="M156" s="552">
        <f t="shared" ref="M156:AK156" si="53">L156+SUM(M157:M162)</f>
        <v>13.321106200393258</v>
      </c>
      <c r="N156" s="552">
        <f t="shared" si="53"/>
        <v>13.597870092528535</v>
      </c>
      <c r="O156" s="552">
        <f t="shared" si="53"/>
        <v>13.852399950061582</v>
      </c>
      <c r="P156" s="552">
        <f t="shared" si="53"/>
        <v>14.019758619778505</v>
      </c>
      <c r="Q156" s="552">
        <f t="shared" si="53"/>
        <v>15.312321587636076</v>
      </c>
      <c r="R156" s="552">
        <f t="shared" si="53"/>
        <v>17.383240868589361</v>
      </c>
      <c r="S156" s="552">
        <f t="shared" si="53"/>
        <v>18.296384960270725</v>
      </c>
      <c r="T156" s="552">
        <f t="shared" si="53"/>
        <v>18.426528489924131</v>
      </c>
      <c r="U156" s="552">
        <f t="shared" si="53"/>
        <v>18.5558503542876</v>
      </c>
      <c r="V156" s="552">
        <f t="shared" si="53"/>
        <v>18.684714506699045</v>
      </c>
      <c r="W156" s="552">
        <f t="shared" si="53"/>
        <v>18.812681033171881</v>
      </c>
      <c r="X156" s="552">
        <f t="shared" si="53"/>
        <v>18.940581058685449</v>
      </c>
      <c r="Y156" s="552">
        <f t="shared" si="53"/>
        <v>19.066928802970121</v>
      </c>
      <c r="Z156" s="552">
        <f t="shared" si="53"/>
        <v>19.189554968882874</v>
      </c>
      <c r="AA156" s="552">
        <f t="shared" si="53"/>
        <v>19.310763583480867</v>
      </c>
      <c r="AB156" s="552">
        <f t="shared" si="53"/>
        <v>19.431176642058553</v>
      </c>
      <c r="AC156" s="552">
        <f t="shared" si="53"/>
        <v>19.548726560417851</v>
      </c>
      <c r="AD156" s="552">
        <f t="shared" si="53"/>
        <v>19.663726015025834</v>
      </c>
      <c r="AE156" s="552">
        <f t="shared" si="53"/>
        <v>19.778553125825514</v>
      </c>
      <c r="AF156" s="552">
        <f t="shared" si="53"/>
        <v>19.892106881457785</v>
      </c>
      <c r="AG156" s="552">
        <f t="shared" si="53"/>
        <v>20.004266601033578</v>
      </c>
      <c r="AH156" s="552">
        <f t="shared" si="53"/>
        <v>20.11422432873929</v>
      </c>
      <c r="AI156" s="552">
        <f t="shared" si="53"/>
        <v>20.221038378409663</v>
      </c>
      <c r="AJ156" s="552">
        <f t="shared" si="53"/>
        <v>20.324905260479788</v>
      </c>
      <c r="AK156" s="552">
        <f t="shared" si="53"/>
        <v>20.426540804532312</v>
      </c>
      <c r="AL156" s="552"/>
      <c r="AM156" s="552"/>
      <c r="AN156" s="552"/>
      <c r="AO156" s="552"/>
      <c r="AP156" s="552"/>
      <c r="AQ156" s="552"/>
      <c r="AR156" s="552"/>
      <c r="AS156" s="552"/>
      <c r="AT156" s="552"/>
      <c r="AU156" s="552"/>
      <c r="AV156" s="552"/>
      <c r="AW156" s="552"/>
      <c r="AX156" s="552"/>
      <c r="AY156" s="552"/>
      <c r="AZ156" s="552"/>
      <c r="BA156" s="552"/>
      <c r="BB156" s="552"/>
      <c r="BC156" s="552"/>
      <c r="BD156" s="552"/>
      <c r="BE156" s="552"/>
      <c r="BF156" s="552"/>
      <c r="BG156" s="552"/>
      <c r="BH156" s="552"/>
      <c r="BI156" s="552"/>
      <c r="BJ156" s="552"/>
      <c r="BK156" s="552"/>
      <c r="BL156" s="552"/>
      <c r="BM156" s="552"/>
      <c r="BN156" s="552"/>
      <c r="BO156" s="552"/>
      <c r="BP156" s="552"/>
      <c r="BQ156" s="552"/>
      <c r="BR156" s="552"/>
      <c r="BS156" s="552"/>
      <c r="BT156" s="552"/>
      <c r="BU156" s="552"/>
      <c r="BV156" s="552"/>
      <c r="BW156" s="552"/>
      <c r="BX156" s="552"/>
      <c r="BY156" s="552"/>
      <c r="BZ156" s="552"/>
      <c r="CA156" s="552"/>
      <c r="CB156" s="552"/>
      <c r="CC156" s="552"/>
      <c r="CD156" s="552"/>
      <c r="CE156" s="552"/>
      <c r="CF156" s="552"/>
      <c r="CG156" s="552"/>
      <c r="CH156" s="552"/>
      <c r="CI156" s="552"/>
      <c r="CK156" s="1296"/>
    </row>
    <row r="157" spans="2:89" x14ac:dyDescent="0.2">
      <c r="B157" s="766" t="s">
        <v>745</v>
      </c>
      <c r="C157" s="767" t="s">
        <v>541</v>
      </c>
      <c r="D157" s="602" t="s">
        <v>542</v>
      </c>
      <c r="E157" s="603" t="s">
        <v>344</v>
      </c>
      <c r="F157" s="604">
        <v>2</v>
      </c>
      <c r="G157" s="597"/>
      <c r="H157" s="597"/>
      <c r="I157" s="597">
        <v>0.25</v>
      </c>
      <c r="J157" s="597">
        <v>0.24503194485629864</v>
      </c>
      <c r="K157" s="597">
        <v>0.2112744251527256</v>
      </c>
      <c r="L157" s="597">
        <v>0.18919795375275134</v>
      </c>
      <c r="M157" s="598">
        <v>0.16006968359339954</v>
      </c>
      <c r="N157" s="598">
        <v>0.28645315281032524</v>
      </c>
      <c r="O157" s="598">
        <v>0.26348456183810415</v>
      </c>
      <c r="P157" s="598">
        <v>0.17343345805369609</v>
      </c>
      <c r="Q157" s="598">
        <v>0.14609451883157454</v>
      </c>
      <c r="R157" s="598">
        <v>0.14366575943094723</v>
      </c>
      <c r="S157" s="598">
        <v>0.13864060088820407</v>
      </c>
      <c r="T157" s="598">
        <v>0.13727167709700006</v>
      </c>
      <c r="U157" s="598">
        <v>0.1364228660603003</v>
      </c>
      <c r="V157" s="598">
        <v>0.13595003246094711</v>
      </c>
      <c r="W157" s="598">
        <v>0.13502275122752325</v>
      </c>
      <c r="X157" s="598">
        <v>0.13495405324445164</v>
      </c>
      <c r="Y157" s="598">
        <v>0.13335048856272624</v>
      </c>
      <c r="Z157" s="598">
        <v>0.12950595863709896</v>
      </c>
      <c r="AA157" s="598">
        <v>0.12945584190139925</v>
      </c>
      <c r="AB157" s="598">
        <v>0.12763400271867795</v>
      </c>
      <c r="AC157" s="598">
        <v>0.12367627157592141</v>
      </c>
      <c r="AD157" s="598">
        <v>0.12104154694130193</v>
      </c>
      <c r="AE157" s="598">
        <v>0.12086350932867936</v>
      </c>
      <c r="AF157" s="598">
        <v>0.11954808572132242</v>
      </c>
      <c r="AG157" s="598">
        <v>0.11810799423299977</v>
      </c>
      <c r="AH157" s="598">
        <v>0.11583325411079931</v>
      </c>
      <c r="AI157" s="598">
        <v>0.11258571688987649</v>
      </c>
      <c r="AJ157" s="598">
        <v>0.10954118231269604</v>
      </c>
      <c r="AK157" s="598">
        <v>0.10723612652035081</v>
      </c>
      <c r="AL157" s="598"/>
      <c r="AM157" s="598"/>
      <c r="AN157" s="598"/>
      <c r="AO157" s="598"/>
      <c r="AP157" s="598"/>
      <c r="AQ157" s="598"/>
      <c r="AR157" s="598"/>
      <c r="AS157" s="598"/>
      <c r="AT157" s="598"/>
      <c r="AU157" s="598"/>
      <c r="AV157" s="598"/>
      <c r="AW157" s="598"/>
      <c r="AX157" s="598"/>
      <c r="AY157" s="598"/>
      <c r="AZ157" s="598"/>
      <c r="BA157" s="598"/>
      <c r="BB157" s="598"/>
      <c r="BC157" s="598"/>
      <c r="BD157" s="598"/>
      <c r="BE157" s="598"/>
      <c r="BF157" s="598"/>
      <c r="BG157" s="598"/>
      <c r="BH157" s="598"/>
      <c r="BI157" s="598"/>
      <c r="BJ157" s="598"/>
      <c r="BK157" s="598"/>
      <c r="BL157" s="598"/>
      <c r="BM157" s="598"/>
      <c r="BN157" s="598"/>
      <c r="BO157" s="598"/>
      <c r="BP157" s="598"/>
      <c r="BQ157" s="598"/>
      <c r="BR157" s="598"/>
      <c r="BS157" s="598"/>
      <c r="BT157" s="598"/>
      <c r="BU157" s="598"/>
      <c r="BV157" s="598"/>
      <c r="BW157" s="598"/>
      <c r="BX157" s="598"/>
      <c r="BY157" s="598"/>
      <c r="BZ157" s="598"/>
      <c r="CA157" s="598"/>
      <c r="CB157" s="598"/>
      <c r="CC157" s="598"/>
      <c r="CD157" s="598"/>
      <c r="CE157" s="598"/>
      <c r="CF157" s="598"/>
      <c r="CG157" s="598"/>
      <c r="CH157" s="598"/>
      <c r="CI157" s="599"/>
      <c r="CK157" s="1296"/>
    </row>
    <row r="158" spans="2:89" x14ac:dyDescent="0.2">
      <c r="B158" s="766" t="s">
        <v>746</v>
      </c>
      <c r="C158" s="767" t="s">
        <v>544</v>
      </c>
      <c r="D158" s="602" t="s">
        <v>545</v>
      </c>
      <c r="E158" s="603" t="s">
        <v>344</v>
      </c>
      <c r="F158" s="604">
        <v>2</v>
      </c>
      <c r="G158" s="597"/>
      <c r="H158" s="597"/>
      <c r="I158" s="597">
        <v>0</v>
      </c>
      <c r="J158" s="597">
        <v>8.1197792146634779E-2</v>
      </c>
      <c r="K158" s="597">
        <v>8.8999999999999996E-2</v>
      </c>
      <c r="L158" s="597">
        <v>0.127</v>
      </c>
      <c r="M158" s="598">
        <v>8.3500000000000005E-2</v>
      </c>
      <c r="N158" s="598">
        <v>2E-3</v>
      </c>
      <c r="O158" s="598">
        <v>2E-3</v>
      </c>
      <c r="P158" s="598">
        <v>2E-3</v>
      </c>
      <c r="Q158" s="598">
        <v>2E-3</v>
      </c>
      <c r="R158" s="598">
        <v>1E-3</v>
      </c>
      <c r="S158" s="598">
        <v>0</v>
      </c>
      <c r="T158" s="598">
        <v>0</v>
      </c>
      <c r="U158" s="598">
        <v>0</v>
      </c>
      <c r="V158" s="598">
        <v>0</v>
      </c>
      <c r="W158" s="598">
        <v>0</v>
      </c>
      <c r="X158" s="598">
        <v>0</v>
      </c>
      <c r="Y158" s="598">
        <v>0</v>
      </c>
      <c r="Z158" s="598">
        <v>0</v>
      </c>
      <c r="AA158" s="598">
        <v>0</v>
      </c>
      <c r="AB158" s="598">
        <v>0</v>
      </c>
      <c r="AC158" s="598">
        <v>0</v>
      </c>
      <c r="AD158" s="598">
        <v>0</v>
      </c>
      <c r="AE158" s="598">
        <v>0</v>
      </c>
      <c r="AF158" s="598">
        <v>0</v>
      </c>
      <c r="AG158" s="598">
        <v>0</v>
      </c>
      <c r="AH158" s="598">
        <v>0</v>
      </c>
      <c r="AI158" s="598">
        <v>0</v>
      </c>
      <c r="AJ158" s="598">
        <v>0</v>
      </c>
      <c r="AK158" s="598">
        <v>0</v>
      </c>
      <c r="AL158" s="598"/>
      <c r="AM158" s="598"/>
      <c r="AN158" s="598"/>
      <c r="AO158" s="598"/>
      <c r="AP158" s="598"/>
      <c r="AQ158" s="598"/>
      <c r="AR158" s="598"/>
      <c r="AS158" s="598"/>
      <c r="AT158" s="598"/>
      <c r="AU158" s="598"/>
      <c r="AV158" s="598"/>
      <c r="AW158" s="598"/>
      <c r="AX158" s="598"/>
      <c r="AY158" s="598"/>
      <c r="AZ158" s="598"/>
      <c r="BA158" s="598"/>
      <c r="BB158" s="598"/>
      <c r="BC158" s="598"/>
      <c r="BD158" s="598"/>
      <c r="BE158" s="598"/>
      <c r="BF158" s="598"/>
      <c r="BG158" s="598"/>
      <c r="BH158" s="598"/>
      <c r="BI158" s="598"/>
      <c r="BJ158" s="598"/>
      <c r="BK158" s="598"/>
      <c r="BL158" s="598"/>
      <c r="BM158" s="598"/>
      <c r="BN158" s="598"/>
      <c r="BO158" s="598"/>
      <c r="BP158" s="598"/>
      <c r="BQ158" s="598"/>
      <c r="BR158" s="598"/>
      <c r="BS158" s="598"/>
      <c r="BT158" s="598"/>
      <c r="BU158" s="598"/>
      <c r="BV158" s="598"/>
      <c r="BW158" s="598"/>
      <c r="BX158" s="598"/>
      <c r="BY158" s="598"/>
      <c r="BZ158" s="598"/>
      <c r="CA158" s="598"/>
      <c r="CB158" s="598"/>
      <c r="CC158" s="598"/>
      <c r="CD158" s="598"/>
      <c r="CE158" s="598"/>
      <c r="CF158" s="598"/>
      <c r="CG158" s="598"/>
      <c r="CH158" s="598"/>
      <c r="CI158" s="599"/>
      <c r="CK158" s="1296"/>
    </row>
    <row r="159" spans="2:89" x14ac:dyDescent="0.2">
      <c r="B159" s="766" t="s">
        <v>747</v>
      </c>
      <c r="C159" s="767" t="s">
        <v>547</v>
      </c>
      <c r="D159" s="602" t="s">
        <v>548</v>
      </c>
      <c r="E159" s="603" t="s">
        <v>344</v>
      </c>
      <c r="F159" s="604">
        <v>2</v>
      </c>
      <c r="G159" s="597"/>
      <c r="H159" s="597"/>
      <c r="I159" s="597">
        <v>0</v>
      </c>
      <c r="J159" s="597">
        <v>0</v>
      </c>
      <c r="K159" s="597">
        <v>0</v>
      </c>
      <c r="L159" s="597">
        <v>0</v>
      </c>
      <c r="M159" s="598">
        <v>0</v>
      </c>
      <c r="N159" s="598">
        <v>0</v>
      </c>
      <c r="O159" s="598">
        <v>0</v>
      </c>
      <c r="P159" s="598">
        <v>0</v>
      </c>
      <c r="Q159" s="598">
        <v>1.19</v>
      </c>
      <c r="R159" s="598">
        <v>1.9975000000000001</v>
      </c>
      <c r="S159" s="598">
        <v>0.8075</v>
      </c>
      <c r="T159" s="598">
        <v>0</v>
      </c>
      <c r="U159" s="598">
        <v>0</v>
      </c>
      <c r="V159" s="598">
        <v>0</v>
      </c>
      <c r="W159" s="598">
        <v>0</v>
      </c>
      <c r="X159" s="598">
        <v>0</v>
      </c>
      <c r="Y159" s="598">
        <v>0</v>
      </c>
      <c r="Z159" s="598">
        <v>0</v>
      </c>
      <c r="AA159" s="598">
        <v>0</v>
      </c>
      <c r="AB159" s="598">
        <v>1E-3</v>
      </c>
      <c r="AC159" s="598">
        <v>2E-3</v>
      </c>
      <c r="AD159" s="598">
        <v>2E-3</v>
      </c>
      <c r="AE159" s="598">
        <v>2E-3</v>
      </c>
      <c r="AF159" s="598">
        <v>2E-3</v>
      </c>
      <c r="AG159" s="598">
        <v>2E-3</v>
      </c>
      <c r="AH159" s="598">
        <v>2E-3</v>
      </c>
      <c r="AI159" s="598">
        <v>2E-3</v>
      </c>
      <c r="AJ159" s="598">
        <v>2E-3</v>
      </c>
      <c r="AK159" s="598">
        <v>2E-3</v>
      </c>
      <c r="AL159" s="598"/>
      <c r="AM159" s="598"/>
      <c r="AN159" s="598"/>
      <c r="AO159" s="598"/>
      <c r="AP159" s="598"/>
      <c r="AQ159" s="598"/>
      <c r="AR159" s="598"/>
      <c r="AS159" s="598"/>
      <c r="AT159" s="598"/>
      <c r="AU159" s="598"/>
      <c r="AV159" s="598"/>
      <c r="AW159" s="598"/>
      <c r="AX159" s="598"/>
      <c r="AY159" s="598"/>
      <c r="AZ159" s="598"/>
      <c r="BA159" s="598"/>
      <c r="BB159" s="598"/>
      <c r="BC159" s="598"/>
      <c r="BD159" s="598"/>
      <c r="BE159" s="598"/>
      <c r="BF159" s="598"/>
      <c r="BG159" s="598"/>
      <c r="BH159" s="598"/>
      <c r="BI159" s="598"/>
      <c r="BJ159" s="598"/>
      <c r="BK159" s="598"/>
      <c r="BL159" s="598"/>
      <c r="BM159" s="598"/>
      <c r="BN159" s="598"/>
      <c r="BO159" s="598"/>
      <c r="BP159" s="598"/>
      <c r="BQ159" s="598"/>
      <c r="BR159" s="598"/>
      <c r="BS159" s="598"/>
      <c r="BT159" s="598"/>
      <c r="BU159" s="598"/>
      <c r="BV159" s="598"/>
      <c r="BW159" s="598"/>
      <c r="BX159" s="598"/>
      <c r="BY159" s="598"/>
      <c r="BZ159" s="598"/>
      <c r="CA159" s="598"/>
      <c r="CB159" s="598"/>
      <c r="CC159" s="598"/>
      <c r="CD159" s="598"/>
      <c r="CE159" s="598"/>
      <c r="CF159" s="598"/>
      <c r="CG159" s="598"/>
      <c r="CH159" s="598"/>
      <c r="CI159" s="599"/>
      <c r="CK159" s="1296"/>
    </row>
    <row r="160" spans="2:89" ht="28.5" x14ac:dyDescent="0.2">
      <c r="B160" s="766" t="s">
        <v>748</v>
      </c>
      <c r="C160" s="767" t="s">
        <v>550</v>
      </c>
      <c r="D160" s="602" t="s">
        <v>551</v>
      </c>
      <c r="E160" s="603" t="s">
        <v>344</v>
      </c>
      <c r="F160" s="604">
        <v>2</v>
      </c>
      <c r="G160" s="597"/>
      <c r="H160" s="597"/>
      <c r="I160" s="597">
        <v>0</v>
      </c>
      <c r="J160" s="597">
        <v>0</v>
      </c>
      <c r="K160" s="597">
        <v>0</v>
      </c>
      <c r="L160" s="597">
        <v>0</v>
      </c>
      <c r="M160" s="598">
        <v>0</v>
      </c>
      <c r="N160" s="598">
        <v>0</v>
      </c>
      <c r="O160" s="598">
        <v>0</v>
      </c>
      <c r="P160" s="598">
        <v>0</v>
      </c>
      <c r="Q160" s="598">
        <v>0</v>
      </c>
      <c r="R160" s="598">
        <v>0</v>
      </c>
      <c r="S160" s="598">
        <v>0</v>
      </c>
      <c r="T160" s="598">
        <v>0</v>
      </c>
      <c r="U160" s="598">
        <v>0</v>
      </c>
      <c r="V160" s="598">
        <v>0</v>
      </c>
      <c r="W160" s="598">
        <v>0</v>
      </c>
      <c r="X160" s="598">
        <v>0</v>
      </c>
      <c r="Y160" s="598">
        <v>0</v>
      </c>
      <c r="Z160" s="598">
        <v>0</v>
      </c>
      <c r="AA160" s="598">
        <v>0</v>
      </c>
      <c r="AB160" s="598">
        <v>0</v>
      </c>
      <c r="AC160" s="598">
        <v>0</v>
      </c>
      <c r="AD160" s="598">
        <v>0</v>
      </c>
      <c r="AE160" s="598">
        <v>0</v>
      </c>
      <c r="AF160" s="598">
        <v>0</v>
      </c>
      <c r="AG160" s="598">
        <v>0</v>
      </c>
      <c r="AH160" s="598">
        <v>0</v>
      </c>
      <c r="AI160" s="598">
        <v>0</v>
      </c>
      <c r="AJ160" s="598">
        <v>0</v>
      </c>
      <c r="AK160" s="598">
        <v>0</v>
      </c>
      <c r="AL160" s="598"/>
      <c r="AM160" s="598"/>
      <c r="AN160" s="598"/>
      <c r="AO160" s="598"/>
      <c r="AP160" s="598"/>
      <c r="AQ160" s="598"/>
      <c r="AR160" s="598"/>
      <c r="AS160" s="598"/>
      <c r="AT160" s="598"/>
      <c r="AU160" s="598"/>
      <c r="AV160" s="598"/>
      <c r="AW160" s="598"/>
      <c r="AX160" s="598"/>
      <c r="AY160" s="598"/>
      <c r="AZ160" s="598"/>
      <c r="BA160" s="598"/>
      <c r="BB160" s="598"/>
      <c r="BC160" s="598"/>
      <c r="BD160" s="598"/>
      <c r="BE160" s="598"/>
      <c r="BF160" s="598"/>
      <c r="BG160" s="598"/>
      <c r="BH160" s="598"/>
      <c r="BI160" s="598"/>
      <c r="BJ160" s="598"/>
      <c r="BK160" s="598"/>
      <c r="BL160" s="598"/>
      <c r="BM160" s="598"/>
      <c r="BN160" s="598"/>
      <c r="BO160" s="598"/>
      <c r="BP160" s="598"/>
      <c r="BQ160" s="598"/>
      <c r="BR160" s="598"/>
      <c r="BS160" s="598"/>
      <c r="BT160" s="598"/>
      <c r="BU160" s="598"/>
      <c r="BV160" s="598"/>
      <c r="BW160" s="598"/>
      <c r="BX160" s="598"/>
      <c r="BY160" s="598"/>
      <c r="BZ160" s="598"/>
      <c r="CA160" s="598"/>
      <c r="CB160" s="598"/>
      <c r="CC160" s="598"/>
      <c r="CD160" s="598"/>
      <c r="CE160" s="598"/>
      <c r="CF160" s="598"/>
      <c r="CG160" s="598"/>
      <c r="CH160" s="598"/>
      <c r="CI160" s="599"/>
      <c r="CK160" s="1296"/>
    </row>
    <row r="161" spans="2:89" x14ac:dyDescent="0.2">
      <c r="B161" s="766" t="s">
        <v>749</v>
      </c>
      <c r="C161" s="767" t="s">
        <v>553</v>
      </c>
      <c r="D161" s="602" t="s">
        <v>554</v>
      </c>
      <c r="E161" s="603" t="s">
        <v>344</v>
      </c>
      <c r="F161" s="604">
        <v>2</v>
      </c>
      <c r="G161" s="597"/>
      <c r="H161" s="597"/>
      <c r="I161" s="597">
        <v>0</v>
      </c>
      <c r="J161" s="597">
        <v>2.1000000000000001E-4</v>
      </c>
      <c r="K161" s="597">
        <v>4.2000000000000002E-4</v>
      </c>
      <c r="L161" s="597">
        <v>2.1000000000000001E-4</v>
      </c>
      <c r="M161" s="598">
        <v>0</v>
      </c>
      <c r="N161" s="598">
        <v>0</v>
      </c>
      <c r="O161" s="598">
        <v>0</v>
      </c>
      <c r="P161" s="598">
        <v>0</v>
      </c>
      <c r="Q161" s="598">
        <v>1.19</v>
      </c>
      <c r="R161" s="598">
        <v>1.9975000000000001</v>
      </c>
      <c r="S161" s="598">
        <v>0.8075</v>
      </c>
      <c r="T161" s="598">
        <v>0</v>
      </c>
      <c r="U161" s="598">
        <v>0</v>
      </c>
      <c r="V161" s="598">
        <v>0</v>
      </c>
      <c r="W161" s="598">
        <v>0</v>
      </c>
      <c r="X161" s="598">
        <v>0</v>
      </c>
      <c r="Y161" s="598">
        <v>0</v>
      </c>
      <c r="Z161" s="598">
        <v>0</v>
      </c>
      <c r="AA161" s="598">
        <v>0</v>
      </c>
      <c r="AB161" s="598">
        <v>1E-3</v>
      </c>
      <c r="AC161" s="598">
        <v>2E-3</v>
      </c>
      <c r="AD161" s="598">
        <v>2E-3</v>
      </c>
      <c r="AE161" s="598">
        <v>2E-3</v>
      </c>
      <c r="AF161" s="598">
        <v>2E-3</v>
      </c>
      <c r="AG161" s="598">
        <v>2E-3</v>
      </c>
      <c r="AH161" s="598">
        <v>2E-3</v>
      </c>
      <c r="AI161" s="598">
        <v>2E-3</v>
      </c>
      <c r="AJ161" s="598">
        <v>2E-3</v>
      </c>
      <c r="AK161" s="598">
        <v>2E-3</v>
      </c>
      <c r="AL161" s="598"/>
      <c r="AM161" s="598"/>
      <c r="AN161" s="598"/>
      <c r="AO161" s="598"/>
      <c r="AP161" s="598"/>
      <c r="AQ161" s="598"/>
      <c r="AR161" s="598"/>
      <c r="AS161" s="598"/>
      <c r="AT161" s="598"/>
      <c r="AU161" s="598"/>
      <c r="AV161" s="598"/>
      <c r="AW161" s="598"/>
      <c r="AX161" s="598"/>
      <c r="AY161" s="598"/>
      <c r="AZ161" s="598"/>
      <c r="BA161" s="598"/>
      <c r="BB161" s="598"/>
      <c r="BC161" s="598"/>
      <c r="BD161" s="598"/>
      <c r="BE161" s="598"/>
      <c r="BF161" s="598"/>
      <c r="BG161" s="598"/>
      <c r="BH161" s="598"/>
      <c r="BI161" s="598"/>
      <c r="BJ161" s="598"/>
      <c r="BK161" s="598"/>
      <c r="BL161" s="598"/>
      <c r="BM161" s="598"/>
      <c r="BN161" s="598"/>
      <c r="BO161" s="598"/>
      <c r="BP161" s="598"/>
      <c r="BQ161" s="598"/>
      <c r="BR161" s="598"/>
      <c r="BS161" s="598"/>
      <c r="BT161" s="598"/>
      <c r="BU161" s="598"/>
      <c r="BV161" s="598"/>
      <c r="BW161" s="598"/>
      <c r="BX161" s="598"/>
      <c r="BY161" s="598"/>
      <c r="BZ161" s="598"/>
      <c r="CA161" s="598"/>
      <c r="CB161" s="598"/>
      <c r="CC161" s="598"/>
      <c r="CD161" s="598"/>
      <c r="CE161" s="598"/>
      <c r="CF161" s="598"/>
      <c r="CG161" s="598"/>
      <c r="CH161" s="598"/>
      <c r="CI161" s="599"/>
      <c r="CK161" s="1296"/>
    </row>
    <row r="162" spans="2:89" ht="28.5" x14ac:dyDescent="0.2">
      <c r="B162" s="766" t="s">
        <v>750</v>
      </c>
      <c r="C162" s="767" t="s">
        <v>556</v>
      </c>
      <c r="D162" s="602" t="s">
        <v>557</v>
      </c>
      <c r="E162" s="603" t="s">
        <v>344</v>
      </c>
      <c r="F162" s="604">
        <v>2</v>
      </c>
      <c r="G162" s="597"/>
      <c r="H162" s="597"/>
      <c r="I162" s="597">
        <v>0</v>
      </c>
      <c r="J162" s="597">
        <v>-1.2909146671033156E-2</v>
      </c>
      <c r="K162" s="597">
        <v>-1.1670036459117128E-2</v>
      </c>
      <c r="L162" s="597">
        <v>-1.2172569354678586E-2</v>
      </c>
      <c r="M162" s="598">
        <v>-1.0253846623722751E-2</v>
      </c>
      <c r="N162" s="598">
        <v>-1.1689260675048274E-2</v>
      </c>
      <c r="O162" s="598">
        <v>-1.095470430505685E-2</v>
      </c>
      <c r="P162" s="598">
        <v>-8.0747883367724427E-3</v>
      </c>
      <c r="Q162" s="598">
        <v>-1.2355315509740041</v>
      </c>
      <c r="R162" s="598">
        <v>-2.0687464784776601</v>
      </c>
      <c r="S162" s="598">
        <v>-0.84049650920684016</v>
      </c>
      <c r="T162" s="598">
        <v>-7.1281474435949121E-3</v>
      </c>
      <c r="U162" s="598">
        <v>-7.1010016968315881E-3</v>
      </c>
      <c r="V162" s="598">
        <v>-7.0858800495017249E-3</v>
      </c>
      <c r="W162" s="598">
        <v>-7.0562247546881451E-3</v>
      </c>
      <c r="X162" s="598">
        <v>-7.0540277308843713E-3</v>
      </c>
      <c r="Y162" s="598">
        <v>-7.0027442780542515E-3</v>
      </c>
      <c r="Z162" s="598">
        <v>-6.8797927243480217E-3</v>
      </c>
      <c r="AA162" s="598">
        <v>-8.2472273034071009E-3</v>
      </c>
      <c r="AB162" s="598">
        <v>-9.2209441409920601E-3</v>
      </c>
      <c r="AC162" s="598">
        <v>-1.0126353216623585E-2</v>
      </c>
      <c r="AD162" s="598">
        <v>-1.0042092333318209E-2</v>
      </c>
      <c r="AE162" s="598">
        <v>-1.0036398528999513E-2</v>
      </c>
      <c r="AF162" s="598">
        <v>-9.9943300890501519E-3</v>
      </c>
      <c r="AG162" s="598">
        <v>-9.9482746572086E-3</v>
      </c>
      <c r="AH162" s="598">
        <v>-9.8755264050858216E-3</v>
      </c>
      <c r="AI162" s="598">
        <v>-9.7716672195033993E-3</v>
      </c>
      <c r="AJ162" s="598">
        <v>-9.6743002425689895E-3</v>
      </c>
      <c r="AK162" s="598">
        <v>-9.6005824678258023E-3</v>
      </c>
      <c r="AL162" s="598"/>
      <c r="AM162" s="598"/>
      <c r="AN162" s="598"/>
      <c r="AO162" s="598"/>
      <c r="AP162" s="598"/>
      <c r="AQ162" s="598"/>
      <c r="AR162" s="598"/>
      <c r="AS162" s="598"/>
      <c r="AT162" s="598"/>
      <c r="AU162" s="598"/>
      <c r="AV162" s="598"/>
      <c r="AW162" s="598"/>
      <c r="AX162" s="598"/>
      <c r="AY162" s="598"/>
      <c r="AZ162" s="598"/>
      <c r="BA162" s="598"/>
      <c r="BB162" s="598"/>
      <c r="BC162" s="598"/>
      <c r="BD162" s="598"/>
      <c r="BE162" s="598"/>
      <c r="BF162" s="598"/>
      <c r="BG162" s="598"/>
      <c r="BH162" s="598"/>
      <c r="BI162" s="598"/>
      <c r="BJ162" s="598"/>
      <c r="BK162" s="598"/>
      <c r="BL162" s="598"/>
      <c r="BM162" s="598"/>
      <c r="BN162" s="598"/>
      <c r="BO162" s="598"/>
      <c r="BP162" s="598"/>
      <c r="BQ162" s="598"/>
      <c r="BR162" s="598"/>
      <c r="BS162" s="598"/>
      <c r="BT162" s="598"/>
      <c r="BU162" s="598"/>
      <c r="BV162" s="598"/>
      <c r="BW162" s="598"/>
      <c r="BX162" s="598"/>
      <c r="BY162" s="598"/>
      <c r="BZ162" s="598"/>
      <c r="CA162" s="598"/>
      <c r="CB162" s="598"/>
      <c r="CC162" s="598"/>
      <c r="CD162" s="598"/>
      <c r="CE162" s="598"/>
      <c r="CF162" s="598"/>
      <c r="CG162" s="598"/>
      <c r="CH162" s="598"/>
      <c r="CI162" s="599"/>
      <c r="CK162" s="1296"/>
    </row>
    <row r="163" spans="2:89" x14ac:dyDescent="0.2">
      <c r="B163" s="766" t="s">
        <v>751</v>
      </c>
      <c r="C163" s="767" t="s">
        <v>559</v>
      </c>
      <c r="D163" s="690" t="s">
        <v>86</v>
      </c>
      <c r="E163" s="748" t="s">
        <v>344</v>
      </c>
      <c r="F163" s="749">
        <v>2</v>
      </c>
      <c r="G163" s="597"/>
      <c r="H163" s="597"/>
      <c r="I163" s="597">
        <v>0.40200000000000002</v>
      </c>
      <c r="J163" s="597">
        <v>0.41278774632753323</v>
      </c>
      <c r="K163" s="597">
        <v>0.42233638244315047</v>
      </c>
      <c r="L163" s="597">
        <v>0.43238755145432933</v>
      </c>
      <c r="M163" s="598">
        <v>0.44009571766585226</v>
      </c>
      <c r="N163" s="598">
        <v>0.44923929792870404</v>
      </c>
      <c r="O163" s="598">
        <v>0.45764832182156112</v>
      </c>
      <c r="P163" s="598">
        <v>0.46317742974613413</v>
      </c>
      <c r="Q163" s="598">
        <v>0.50588044692880529</v>
      </c>
      <c r="R163" s="598">
        <v>0.57429839161513185</v>
      </c>
      <c r="S163" s="598">
        <v>0.60446636703064038</v>
      </c>
      <c r="T163" s="598">
        <v>0.608765980682898</v>
      </c>
      <c r="U163" s="598">
        <v>0.61303844858839718</v>
      </c>
      <c r="V163" s="598">
        <v>0.61729579484656627</v>
      </c>
      <c r="W163" s="598">
        <v>0.62152348580991945</v>
      </c>
      <c r="X163" s="598">
        <v>0.62574897974947019</v>
      </c>
      <c r="Y163" s="598">
        <v>0.62992319023619259</v>
      </c>
      <c r="Z163" s="598">
        <v>0.63397444916920742</v>
      </c>
      <c r="AA163" s="598">
        <v>0.63797887578561074</v>
      </c>
      <c r="AB163" s="598">
        <v>0.64195701923960713</v>
      </c>
      <c r="AC163" s="598">
        <v>0.64584057176922893</v>
      </c>
      <c r="AD163" s="598">
        <v>0.64963986341554791</v>
      </c>
      <c r="AE163" s="598">
        <v>0.6534334612575492</v>
      </c>
      <c r="AF163" s="598">
        <v>0.65718499065960145</v>
      </c>
      <c r="AG163" s="598">
        <v>0.66089046462980761</v>
      </c>
      <c r="AH163" s="598">
        <v>0.66452319034789586</v>
      </c>
      <c r="AI163" s="598">
        <v>0.66805205688039826</v>
      </c>
      <c r="AJ163" s="598">
        <v>0.67148355643596946</v>
      </c>
      <c r="AK163" s="598">
        <v>0.67484133821679748</v>
      </c>
      <c r="AL163" s="598"/>
      <c r="AM163" s="598"/>
      <c r="AN163" s="598"/>
      <c r="AO163" s="598"/>
      <c r="AP163" s="598"/>
      <c r="AQ163" s="598"/>
      <c r="AR163" s="598"/>
      <c r="AS163" s="598"/>
      <c r="AT163" s="598"/>
      <c r="AU163" s="598"/>
      <c r="AV163" s="598"/>
      <c r="AW163" s="598"/>
      <c r="AX163" s="598"/>
      <c r="AY163" s="598"/>
      <c r="AZ163" s="598"/>
      <c r="BA163" s="598"/>
      <c r="BB163" s="598"/>
      <c r="BC163" s="598"/>
      <c r="BD163" s="598"/>
      <c r="BE163" s="598"/>
      <c r="BF163" s="598"/>
      <c r="BG163" s="598"/>
      <c r="BH163" s="598"/>
      <c r="BI163" s="598"/>
      <c r="BJ163" s="598"/>
      <c r="BK163" s="598"/>
      <c r="BL163" s="598"/>
      <c r="BM163" s="598"/>
      <c r="BN163" s="598"/>
      <c r="BO163" s="598"/>
      <c r="BP163" s="598"/>
      <c r="BQ163" s="598"/>
      <c r="BR163" s="598"/>
      <c r="BS163" s="598"/>
      <c r="BT163" s="598"/>
      <c r="BU163" s="598"/>
      <c r="BV163" s="598"/>
      <c r="BW163" s="598"/>
      <c r="BX163" s="598"/>
      <c r="BY163" s="598"/>
      <c r="BZ163" s="598"/>
      <c r="CA163" s="598"/>
      <c r="CB163" s="598"/>
      <c r="CC163" s="598"/>
      <c r="CD163" s="598"/>
      <c r="CE163" s="598"/>
      <c r="CF163" s="598"/>
      <c r="CG163" s="598"/>
      <c r="CH163" s="598"/>
      <c r="CI163" s="599"/>
      <c r="CK163" s="1296"/>
    </row>
    <row r="164" spans="2:89" ht="28.5" x14ac:dyDescent="0.2">
      <c r="B164" s="766" t="s">
        <v>752</v>
      </c>
      <c r="C164" s="767" t="s">
        <v>561</v>
      </c>
      <c r="D164" s="690" t="s">
        <v>86</v>
      </c>
      <c r="E164" s="748" t="s">
        <v>344</v>
      </c>
      <c r="F164" s="749">
        <v>2</v>
      </c>
      <c r="G164" s="597"/>
      <c r="H164" s="597"/>
      <c r="I164" s="597">
        <v>5.1189999999999998</v>
      </c>
      <c r="J164" s="597">
        <v>5.0374000923327564</v>
      </c>
      <c r="K164" s="597">
        <v>4.9479489887802268</v>
      </c>
      <c r="L164" s="597">
        <v>4.8219218497023757</v>
      </c>
      <c r="M164" s="598">
        <v>4.7391684483418297</v>
      </c>
      <c r="N164" s="598">
        <v>4.7352969441846096</v>
      </c>
      <c r="O164" s="598">
        <v>4.7314254400273894</v>
      </c>
      <c r="P164" s="598">
        <v>4.7275539358701693</v>
      </c>
      <c r="Q164" s="598">
        <v>3.5719099449404639</v>
      </c>
      <c r="R164" s="598">
        <v>1.6356739283115902</v>
      </c>
      <c r="S164" s="598">
        <v>0.85217827449450767</v>
      </c>
      <c r="T164" s="598">
        <v>0.85024252241589837</v>
      </c>
      <c r="U164" s="598">
        <v>0.84830677033728918</v>
      </c>
      <c r="V164" s="598">
        <v>0.84637101825868</v>
      </c>
      <c r="W164" s="598">
        <v>0.84443526618007081</v>
      </c>
      <c r="X164" s="598">
        <v>0.84249951410146162</v>
      </c>
      <c r="Y164" s="598">
        <v>0.84056376202285232</v>
      </c>
      <c r="Z164" s="598">
        <v>0.83862800994424314</v>
      </c>
      <c r="AA164" s="598">
        <v>0.83669225786563395</v>
      </c>
      <c r="AB164" s="598">
        <v>0.83378862974772006</v>
      </c>
      <c r="AC164" s="598">
        <v>0.83088500162980616</v>
      </c>
      <c r="AD164" s="598">
        <v>0.82798137351189238</v>
      </c>
      <c r="AE164" s="598">
        <v>0.8250777453939786</v>
      </c>
      <c r="AF164" s="598">
        <v>0.82217411727606471</v>
      </c>
      <c r="AG164" s="598">
        <v>0.81927048915815093</v>
      </c>
      <c r="AH164" s="598">
        <v>0.81636686104023704</v>
      </c>
      <c r="AI164" s="598">
        <v>0.81346323292232314</v>
      </c>
      <c r="AJ164" s="598">
        <v>0.81055960480440947</v>
      </c>
      <c r="AK164" s="598">
        <v>0.80765597668649558</v>
      </c>
      <c r="AL164" s="598"/>
      <c r="AM164" s="598"/>
      <c r="AN164" s="598"/>
      <c r="AO164" s="598"/>
      <c r="AP164" s="598"/>
      <c r="AQ164" s="598"/>
      <c r="AR164" s="598"/>
      <c r="AS164" s="598"/>
      <c r="AT164" s="598"/>
      <c r="AU164" s="598"/>
      <c r="AV164" s="598"/>
      <c r="AW164" s="598"/>
      <c r="AX164" s="598"/>
      <c r="AY164" s="598"/>
      <c r="AZ164" s="598"/>
      <c r="BA164" s="598"/>
      <c r="BB164" s="598"/>
      <c r="BC164" s="598"/>
      <c r="BD164" s="598"/>
      <c r="BE164" s="598"/>
      <c r="BF164" s="598"/>
      <c r="BG164" s="598"/>
      <c r="BH164" s="598"/>
      <c r="BI164" s="598"/>
      <c r="BJ164" s="598"/>
      <c r="BK164" s="598"/>
      <c r="BL164" s="598"/>
      <c r="BM164" s="598"/>
      <c r="BN164" s="598"/>
      <c r="BO164" s="598"/>
      <c r="BP164" s="598"/>
      <c r="BQ164" s="598"/>
      <c r="BR164" s="598"/>
      <c r="BS164" s="598"/>
      <c r="BT164" s="598"/>
      <c r="BU164" s="598"/>
      <c r="BV164" s="598"/>
      <c r="BW164" s="598"/>
      <c r="BX164" s="598"/>
      <c r="BY164" s="598"/>
      <c r="BZ164" s="598"/>
      <c r="CA164" s="598"/>
      <c r="CB164" s="598"/>
      <c r="CC164" s="598"/>
      <c r="CD164" s="598"/>
      <c r="CE164" s="598"/>
      <c r="CF164" s="598"/>
      <c r="CG164" s="598"/>
      <c r="CH164" s="598"/>
      <c r="CI164" s="599"/>
      <c r="CK164" s="1296"/>
    </row>
    <row r="165" spans="2:89" x14ac:dyDescent="0.2">
      <c r="B165" s="766" t="s">
        <v>753</v>
      </c>
      <c r="C165" s="767" t="s">
        <v>563</v>
      </c>
      <c r="D165" s="690" t="s">
        <v>86</v>
      </c>
      <c r="E165" s="748" t="s">
        <v>344</v>
      </c>
      <c r="F165" s="749">
        <v>2</v>
      </c>
      <c r="G165" s="597"/>
      <c r="H165" s="597"/>
      <c r="I165" s="597">
        <v>0.17</v>
      </c>
      <c r="J165" s="597">
        <v>0.16719211552061083</v>
      </c>
      <c r="K165" s="597">
        <v>0.16422321907314302</v>
      </c>
      <c r="L165" s="597">
        <v>0.16004035815099646</v>
      </c>
      <c r="M165" s="598">
        <v>0.15729375951154062</v>
      </c>
      <c r="N165" s="598">
        <v>0.15716526366875899</v>
      </c>
      <c r="O165" s="598">
        <v>0.15703676782597739</v>
      </c>
      <c r="P165" s="598">
        <v>0.15690827198319576</v>
      </c>
      <c r="Q165" s="598">
        <v>0.11855226291290098</v>
      </c>
      <c r="R165" s="598">
        <v>5.4288279541774759E-2</v>
      </c>
      <c r="S165" s="598">
        <v>2.8283933358857146E-2</v>
      </c>
      <c r="T165" s="598">
        <v>2.8219685437466367E-2</v>
      </c>
      <c r="U165" s="598">
        <v>2.815543751607559E-2</v>
      </c>
      <c r="V165" s="598">
        <v>2.8091189594684811E-2</v>
      </c>
      <c r="W165" s="598">
        <v>2.8026941673294031E-2</v>
      </c>
      <c r="X165" s="598">
        <v>2.7962693751903252E-2</v>
      </c>
      <c r="Y165" s="598">
        <v>2.7898445830512476E-2</v>
      </c>
      <c r="Z165" s="598">
        <v>2.78341979091217E-2</v>
      </c>
      <c r="AA165" s="598">
        <v>2.7769949987730917E-2</v>
      </c>
      <c r="AB165" s="598">
        <v>2.7673578105644751E-2</v>
      </c>
      <c r="AC165" s="598">
        <v>2.7577206223558585E-2</v>
      </c>
      <c r="AD165" s="598">
        <v>2.7480834341472415E-2</v>
      </c>
      <c r="AE165" s="598">
        <v>2.7384462459386246E-2</v>
      </c>
      <c r="AF165" s="598">
        <v>2.7288090577300077E-2</v>
      </c>
      <c r="AG165" s="598">
        <v>2.7191718695213911E-2</v>
      </c>
      <c r="AH165" s="598">
        <v>2.7095346813127745E-2</v>
      </c>
      <c r="AI165" s="598">
        <v>2.6998974931041576E-2</v>
      </c>
      <c r="AJ165" s="598">
        <v>2.690260304895541E-2</v>
      </c>
      <c r="AK165" s="598">
        <v>2.680623116686924E-2</v>
      </c>
      <c r="AL165" s="598"/>
      <c r="AM165" s="598"/>
      <c r="AN165" s="598"/>
      <c r="AO165" s="598"/>
      <c r="AP165" s="598"/>
      <c r="AQ165" s="598"/>
      <c r="AR165" s="598"/>
      <c r="AS165" s="598"/>
      <c r="AT165" s="598"/>
      <c r="AU165" s="598"/>
      <c r="AV165" s="598"/>
      <c r="AW165" s="598"/>
      <c r="AX165" s="598"/>
      <c r="AY165" s="598"/>
      <c r="AZ165" s="598"/>
      <c r="BA165" s="598"/>
      <c r="BB165" s="598"/>
      <c r="BC165" s="598"/>
      <c r="BD165" s="598"/>
      <c r="BE165" s="598"/>
      <c r="BF165" s="598"/>
      <c r="BG165" s="598"/>
      <c r="BH165" s="598"/>
      <c r="BI165" s="598"/>
      <c r="BJ165" s="598"/>
      <c r="BK165" s="598"/>
      <c r="BL165" s="598"/>
      <c r="BM165" s="598"/>
      <c r="BN165" s="598"/>
      <c r="BO165" s="598"/>
      <c r="BP165" s="598"/>
      <c r="BQ165" s="598"/>
      <c r="BR165" s="598"/>
      <c r="BS165" s="598"/>
      <c r="BT165" s="598"/>
      <c r="BU165" s="598"/>
      <c r="BV165" s="598"/>
      <c r="BW165" s="598"/>
      <c r="BX165" s="598"/>
      <c r="BY165" s="598"/>
      <c r="BZ165" s="598"/>
      <c r="CA165" s="598"/>
      <c r="CB165" s="598"/>
      <c r="CC165" s="598"/>
      <c r="CD165" s="598"/>
      <c r="CE165" s="598"/>
      <c r="CF165" s="598"/>
      <c r="CG165" s="598"/>
      <c r="CH165" s="598"/>
      <c r="CI165" s="599"/>
      <c r="CK165" s="1296"/>
    </row>
    <row r="166" spans="2:89" ht="29.25" thickBot="1" x14ac:dyDescent="0.25">
      <c r="B166" s="768" t="s">
        <v>754</v>
      </c>
      <c r="C166" s="769" t="s">
        <v>565</v>
      </c>
      <c r="D166" s="770" t="s">
        <v>755</v>
      </c>
      <c r="E166" s="771" t="s">
        <v>344</v>
      </c>
      <c r="F166" s="772">
        <v>2</v>
      </c>
      <c r="G166" s="729">
        <f>SUM(G153:G156)+G163+G164+G165</f>
        <v>0</v>
      </c>
      <c r="H166" s="729">
        <f t="shared" ref="H166:M166" si="54">SUM(H153:H156)+H163+H164+H165</f>
        <v>0</v>
      </c>
      <c r="I166" s="729">
        <f t="shared" si="54"/>
        <v>19.716999999999999</v>
      </c>
      <c r="J166" s="729">
        <f t="shared" si="54"/>
        <v>19.964496277617133</v>
      </c>
      <c r="K166" s="729">
        <f t="shared" si="54"/>
        <v>20.179235035530695</v>
      </c>
      <c r="L166" s="729">
        <f t="shared" si="54"/>
        <v>20.371897322044287</v>
      </c>
      <c r="M166" s="729">
        <f t="shared" si="54"/>
        <v>20.536007058329812</v>
      </c>
      <c r="N166" s="729">
        <f t="shared" ref="N166:AK166" si="55">SUM(N153:N156)+N163+N164+N165</f>
        <v>20.826500263832276</v>
      </c>
      <c r="O166" s="729">
        <f t="shared" si="55"/>
        <v>21.094024878362514</v>
      </c>
      <c r="P166" s="729">
        <f t="shared" si="55"/>
        <v>21.271498389108341</v>
      </c>
      <c r="Q166" s="729">
        <f t="shared" si="55"/>
        <v>21.421350107252916</v>
      </c>
      <c r="R166" s="729">
        <f t="shared" si="55"/>
        <v>21.568773065996862</v>
      </c>
      <c r="S166" s="729">
        <f t="shared" si="55"/>
        <v>21.711170866198067</v>
      </c>
      <c r="T166" s="729">
        <f t="shared" si="55"/>
        <v>21.852199742608061</v>
      </c>
      <c r="U166" s="729">
        <f t="shared" si="55"/>
        <v>21.992379807981365</v>
      </c>
      <c r="V166" s="729">
        <f t="shared" si="55"/>
        <v>22.132369893134449</v>
      </c>
      <c r="W166" s="729">
        <f t="shared" si="55"/>
        <v>22.271432697054102</v>
      </c>
      <c r="X166" s="729">
        <f t="shared" si="55"/>
        <v>22.410426802990688</v>
      </c>
      <c r="Y166" s="729">
        <f t="shared" si="55"/>
        <v>22.547817344245551</v>
      </c>
      <c r="Z166" s="729">
        <f t="shared" si="55"/>
        <v>22.681363355574788</v>
      </c>
      <c r="AA166" s="729">
        <f t="shared" si="55"/>
        <v>22.81344498327265</v>
      </c>
      <c r="AB166" s="729">
        <f t="shared" si="55"/>
        <v>22.9437047717878</v>
      </c>
      <c r="AC166" s="729">
        <f t="shared" si="55"/>
        <v>23.071006829160183</v>
      </c>
      <c r="AD166" s="729">
        <f t="shared" si="55"/>
        <v>23.195674161897951</v>
      </c>
      <c r="AE166" s="729">
        <f t="shared" si="55"/>
        <v>23.320163457023103</v>
      </c>
      <c r="AF166" s="729">
        <f t="shared" si="55"/>
        <v>23.443337328540892</v>
      </c>
      <c r="AG166" s="729">
        <f t="shared" si="55"/>
        <v>23.565071108570358</v>
      </c>
      <c r="AH166" s="729">
        <f t="shared" si="55"/>
        <v>23.684530148477624</v>
      </c>
      <c r="AI166" s="729">
        <f t="shared" si="55"/>
        <v>23.800741651163971</v>
      </c>
      <c r="AJ166" s="729">
        <f t="shared" si="55"/>
        <v>23.913908619273133</v>
      </c>
      <c r="AK166" s="729">
        <f t="shared" si="55"/>
        <v>24.024770531589947</v>
      </c>
      <c r="AL166" s="729"/>
      <c r="AM166" s="729"/>
      <c r="AN166" s="729"/>
      <c r="AO166" s="729"/>
      <c r="AP166" s="729"/>
      <c r="AQ166" s="729"/>
      <c r="AR166" s="729"/>
      <c r="AS166" s="729"/>
      <c r="AT166" s="729"/>
      <c r="AU166" s="729"/>
      <c r="AV166" s="729"/>
      <c r="AW166" s="729"/>
      <c r="AX166" s="729"/>
      <c r="AY166" s="729"/>
      <c r="AZ166" s="729"/>
      <c r="BA166" s="729"/>
      <c r="BB166" s="729"/>
      <c r="BC166" s="729"/>
      <c r="BD166" s="729"/>
      <c r="BE166" s="729"/>
      <c r="BF166" s="729"/>
      <c r="BG166" s="729"/>
      <c r="BH166" s="729"/>
      <c r="BI166" s="729"/>
      <c r="BJ166" s="729"/>
      <c r="BK166" s="729"/>
      <c r="BL166" s="729"/>
      <c r="BM166" s="729"/>
      <c r="BN166" s="729"/>
      <c r="BO166" s="729"/>
      <c r="BP166" s="729"/>
      <c r="BQ166" s="729"/>
      <c r="BR166" s="729"/>
      <c r="BS166" s="729"/>
      <c r="BT166" s="729"/>
      <c r="BU166" s="729"/>
      <c r="BV166" s="729"/>
      <c r="BW166" s="729"/>
      <c r="BX166" s="729"/>
      <c r="BY166" s="729"/>
      <c r="BZ166" s="729"/>
      <c r="CA166" s="729"/>
      <c r="CB166" s="729"/>
      <c r="CC166" s="729"/>
      <c r="CD166" s="729"/>
      <c r="CE166" s="729"/>
      <c r="CF166" s="729"/>
      <c r="CG166" s="729"/>
      <c r="CH166" s="729"/>
      <c r="CI166" s="729"/>
      <c r="CK166" s="1296"/>
    </row>
    <row r="167" spans="2:89" x14ac:dyDescent="0.2">
      <c r="B167" s="708" t="s">
        <v>756</v>
      </c>
      <c r="C167" s="709" t="s">
        <v>568</v>
      </c>
      <c r="D167" s="710" t="s">
        <v>86</v>
      </c>
      <c r="E167" s="773" t="s">
        <v>344</v>
      </c>
      <c r="F167" s="774">
        <v>2</v>
      </c>
      <c r="G167" s="593"/>
      <c r="H167" s="593"/>
      <c r="I167" s="593">
        <v>0.75004709999999997</v>
      </c>
      <c r="J167" s="593">
        <v>0.76485304518235242</v>
      </c>
      <c r="K167" s="593">
        <v>0.77913346278161477</v>
      </c>
      <c r="L167" s="593">
        <v>0.7940257761684264</v>
      </c>
      <c r="M167" s="594">
        <v>0.80531354873848082</v>
      </c>
      <c r="N167" s="594">
        <v>0.81993279335439173</v>
      </c>
      <c r="O167" s="594">
        <v>0.83736629273190133</v>
      </c>
      <c r="P167" s="594">
        <v>0.85358580067965872</v>
      </c>
      <c r="Q167" s="594">
        <v>0.86979782546943285</v>
      </c>
      <c r="R167" s="594">
        <v>0.88422575835994177</v>
      </c>
      <c r="S167" s="594">
        <v>0.906588282207624</v>
      </c>
      <c r="T167" s="594">
        <v>0.92847044918435573</v>
      </c>
      <c r="U167" s="594">
        <v>0.94528501550694866</v>
      </c>
      <c r="V167" s="594">
        <v>0.95962999171763996</v>
      </c>
      <c r="W167" s="594">
        <v>0.97167350171046751</v>
      </c>
      <c r="X167" s="594">
        <v>0.98360087011589992</v>
      </c>
      <c r="Y167" s="594">
        <v>0.99493297024685745</v>
      </c>
      <c r="Z167" s="594">
        <v>1.0067830944613747</v>
      </c>
      <c r="AA167" s="594">
        <v>1.0178145842173048</v>
      </c>
      <c r="AB167" s="594">
        <v>1.0297527493130523</v>
      </c>
      <c r="AC167" s="594">
        <v>1.0425971916955596</v>
      </c>
      <c r="AD167" s="594">
        <v>1.0571088667671023</v>
      </c>
      <c r="AE167" s="594">
        <v>1.0728758466281196</v>
      </c>
      <c r="AF167" s="594">
        <v>1.0897311503751796</v>
      </c>
      <c r="AG167" s="594">
        <v>1.1080745316056322</v>
      </c>
      <c r="AH167" s="594">
        <v>1.1267743770670622</v>
      </c>
      <c r="AI167" s="594">
        <v>1.1450898468211947</v>
      </c>
      <c r="AJ167" s="594">
        <v>1.1635207993134922</v>
      </c>
      <c r="AK167" s="594">
        <v>1.1818889861553523</v>
      </c>
      <c r="AL167" s="594"/>
      <c r="AM167" s="594"/>
      <c r="AN167" s="594"/>
      <c r="AO167" s="594"/>
      <c r="AP167" s="594"/>
      <c r="AQ167" s="594"/>
      <c r="AR167" s="594"/>
      <c r="AS167" s="594"/>
      <c r="AT167" s="594"/>
      <c r="AU167" s="594"/>
      <c r="AV167" s="594"/>
      <c r="AW167" s="594"/>
      <c r="AX167" s="594"/>
      <c r="AY167" s="594"/>
      <c r="AZ167" s="594"/>
      <c r="BA167" s="594"/>
      <c r="BB167" s="594"/>
      <c r="BC167" s="594"/>
      <c r="BD167" s="594"/>
      <c r="BE167" s="594"/>
      <c r="BF167" s="594"/>
      <c r="BG167" s="594"/>
      <c r="BH167" s="594"/>
      <c r="BI167" s="594"/>
      <c r="BJ167" s="594"/>
      <c r="BK167" s="594"/>
      <c r="BL167" s="594"/>
      <c r="BM167" s="594"/>
      <c r="BN167" s="594"/>
      <c r="BO167" s="594"/>
      <c r="BP167" s="594"/>
      <c r="BQ167" s="594"/>
      <c r="BR167" s="594"/>
      <c r="BS167" s="594"/>
      <c r="BT167" s="594"/>
      <c r="BU167" s="594"/>
      <c r="BV167" s="594"/>
      <c r="BW167" s="594"/>
      <c r="BX167" s="594"/>
      <c r="BY167" s="594"/>
      <c r="BZ167" s="594"/>
      <c r="CA167" s="594"/>
      <c r="CB167" s="594"/>
      <c r="CC167" s="594"/>
      <c r="CD167" s="594"/>
      <c r="CE167" s="594"/>
      <c r="CF167" s="594"/>
      <c r="CG167" s="594"/>
      <c r="CH167" s="594"/>
      <c r="CI167" s="595"/>
      <c r="CK167" s="1296"/>
    </row>
    <row r="168" spans="2:89" x14ac:dyDescent="0.2">
      <c r="B168" s="720" t="s">
        <v>757</v>
      </c>
      <c r="C168" s="721" t="s">
        <v>570</v>
      </c>
      <c r="D168" s="715" t="s">
        <v>86</v>
      </c>
      <c r="E168" s="775" t="s">
        <v>344</v>
      </c>
      <c r="F168" s="776">
        <v>2</v>
      </c>
      <c r="G168" s="597"/>
      <c r="H168" s="597"/>
      <c r="I168" s="597">
        <v>0</v>
      </c>
      <c r="J168" s="597">
        <v>0</v>
      </c>
      <c r="K168" s="597">
        <v>0</v>
      </c>
      <c r="L168" s="597">
        <v>0</v>
      </c>
      <c r="M168" s="598">
        <v>0</v>
      </c>
      <c r="N168" s="598">
        <v>0</v>
      </c>
      <c r="O168" s="598">
        <v>0</v>
      </c>
      <c r="P168" s="598">
        <v>0</v>
      </c>
      <c r="Q168" s="598">
        <v>0</v>
      </c>
      <c r="R168" s="598">
        <v>0</v>
      </c>
      <c r="S168" s="598">
        <v>0</v>
      </c>
      <c r="T168" s="598">
        <v>0</v>
      </c>
      <c r="U168" s="598">
        <v>0</v>
      </c>
      <c r="V168" s="598">
        <v>0</v>
      </c>
      <c r="W168" s="598">
        <v>0</v>
      </c>
      <c r="X168" s="598">
        <v>0</v>
      </c>
      <c r="Y168" s="598">
        <v>0</v>
      </c>
      <c r="Z168" s="598">
        <v>0</v>
      </c>
      <c r="AA168" s="598">
        <v>0</v>
      </c>
      <c r="AB168" s="598">
        <v>0</v>
      </c>
      <c r="AC168" s="598">
        <v>0</v>
      </c>
      <c r="AD168" s="598">
        <v>0</v>
      </c>
      <c r="AE168" s="598">
        <v>0</v>
      </c>
      <c r="AF168" s="598">
        <v>0</v>
      </c>
      <c r="AG168" s="598">
        <v>0</v>
      </c>
      <c r="AH168" s="598">
        <v>0</v>
      </c>
      <c r="AI168" s="598">
        <v>0</v>
      </c>
      <c r="AJ168" s="598">
        <v>0</v>
      </c>
      <c r="AK168" s="598">
        <v>0</v>
      </c>
      <c r="AL168" s="598"/>
      <c r="AM168" s="598"/>
      <c r="AN168" s="598"/>
      <c r="AO168" s="598"/>
      <c r="AP168" s="598"/>
      <c r="AQ168" s="598"/>
      <c r="AR168" s="598"/>
      <c r="AS168" s="598"/>
      <c r="AT168" s="598"/>
      <c r="AU168" s="598"/>
      <c r="AV168" s="598"/>
      <c r="AW168" s="598"/>
      <c r="AX168" s="598"/>
      <c r="AY168" s="598"/>
      <c r="AZ168" s="598"/>
      <c r="BA168" s="598"/>
      <c r="BB168" s="598"/>
      <c r="BC168" s="598"/>
      <c r="BD168" s="598"/>
      <c r="BE168" s="598"/>
      <c r="BF168" s="598"/>
      <c r="BG168" s="598"/>
      <c r="BH168" s="598"/>
      <c r="BI168" s="598"/>
      <c r="BJ168" s="598"/>
      <c r="BK168" s="598"/>
      <c r="BL168" s="598"/>
      <c r="BM168" s="598"/>
      <c r="BN168" s="598"/>
      <c r="BO168" s="598"/>
      <c r="BP168" s="598"/>
      <c r="BQ168" s="598"/>
      <c r="BR168" s="598"/>
      <c r="BS168" s="598"/>
      <c r="BT168" s="598"/>
      <c r="BU168" s="598"/>
      <c r="BV168" s="598"/>
      <c r="BW168" s="598"/>
      <c r="BX168" s="598"/>
      <c r="BY168" s="598"/>
      <c r="BZ168" s="598"/>
      <c r="CA168" s="598"/>
      <c r="CB168" s="598"/>
      <c r="CC168" s="598"/>
      <c r="CD168" s="598"/>
      <c r="CE168" s="598"/>
      <c r="CF168" s="598"/>
      <c r="CG168" s="598"/>
      <c r="CH168" s="598"/>
      <c r="CI168" s="599"/>
      <c r="CK168" s="1296"/>
    </row>
    <row r="169" spans="2:89" x14ac:dyDescent="0.2">
      <c r="B169" s="713" t="s">
        <v>758</v>
      </c>
      <c r="C169" s="777" t="s">
        <v>572</v>
      </c>
      <c r="D169" s="715" t="s">
        <v>86</v>
      </c>
      <c r="E169" s="775" t="s">
        <v>344</v>
      </c>
      <c r="F169" s="776">
        <v>2</v>
      </c>
      <c r="G169" s="597"/>
      <c r="H169" s="597"/>
      <c r="I169" s="597">
        <v>25.073009140228393</v>
      </c>
      <c r="J169" s="597">
        <v>25.485286373423534</v>
      </c>
      <c r="K169" s="597">
        <v>25.926209882222736</v>
      </c>
      <c r="L169" s="597">
        <v>26.23707778703092</v>
      </c>
      <c r="M169" s="598">
        <v>26.438516149524695</v>
      </c>
      <c r="N169" s="598">
        <v>26.855872162385552</v>
      </c>
      <c r="O169" s="598">
        <v>27.225804349722363</v>
      </c>
      <c r="P169" s="598">
        <v>27.403159334211825</v>
      </c>
      <c r="Q169" s="598">
        <v>29.992420469323164</v>
      </c>
      <c r="R169" s="598">
        <v>34.226823795974404</v>
      </c>
      <c r="S169" s="598">
        <v>35.985547099313841</v>
      </c>
      <c r="T169" s="598">
        <v>36.12333954912269</v>
      </c>
      <c r="U169" s="598">
        <v>36.25221345267046</v>
      </c>
      <c r="V169" s="598">
        <v>36.380387288738675</v>
      </c>
      <c r="W169" s="598">
        <v>36.517994667050061</v>
      </c>
      <c r="X169" s="598">
        <v>36.650780043695143</v>
      </c>
      <c r="Y169" s="598">
        <v>36.794790973710526</v>
      </c>
      <c r="Z169" s="598">
        <v>36.945223842953922</v>
      </c>
      <c r="AA169" s="598">
        <v>37.080485256340225</v>
      </c>
      <c r="AB169" s="598">
        <v>37.207006330157789</v>
      </c>
      <c r="AC169" s="598">
        <v>37.344642514727965</v>
      </c>
      <c r="AD169" s="598">
        <v>37.486245474635382</v>
      </c>
      <c r="AE169" s="598">
        <v>37.635456070010981</v>
      </c>
      <c r="AF169" s="598">
        <v>37.789160456162982</v>
      </c>
      <c r="AG169" s="598">
        <v>37.941774489898066</v>
      </c>
      <c r="AH169" s="598">
        <v>38.094767721622006</v>
      </c>
      <c r="AI169" s="598">
        <v>38.256260006941687</v>
      </c>
      <c r="AJ169" s="598">
        <v>38.426913136008558</v>
      </c>
      <c r="AK169" s="598">
        <v>38.602654751878219</v>
      </c>
      <c r="AL169" s="598"/>
      <c r="AM169" s="598"/>
      <c r="AN169" s="598"/>
      <c r="AO169" s="598"/>
      <c r="AP169" s="598"/>
      <c r="AQ169" s="598"/>
      <c r="AR169" s="598"/>
      <c r="AS169" s="598"/>
      <c r="AT169" s="598"/>
      <c r="AU169" s="598"/>
      <c r="AV169" s="598"/>
      <c r="AW169" s="598"/>
      <c r="AX169" s="598"/>
      <c r="AY169" s="598"/>
      <c r="AZ169" s="598"/>
      <c r="BA169" s="598"/>
      <c r="BB169" s="598"/>
      <c r="BC169" s="598"/>
      <c r="BD169" s="598"/>
      <c r="BE169" s="598"/>
      <c r="BF169" s="598"/>
      <c r="BG169" s="598"/>
      <c r="BH169" s="598"/>
      <c r="BI169" s="598"/>
      <c r="BJ169" s="598"/>
      <c r="BK169" s="598"/>
      <c r="BL169" s="598"/>
      <c r="BM169" s="598"/>
      <c r="BN169" s="598"/>
      <c r="BO169" s="598"/>
      <c r="BP169" s="598"/>
      <c r="BQ169" s="598"/>
      <c r="BR169" s="598"/>
      <c r="BS169" s="598"/>
      <c r="BT169" s="598"/>
      <c r="BU169" s="598"/>
      <c r="BV169" s="598"/>
      <c r="BW169" s="598"/>
      <c r="BX169" s="598"/>
      <c r="BY169" s="598"/>
      <c r="BZ169" s="598"/>
      <c r="CA169" s="598"/>
      <c r="CB169" s="598"/>
      <c r="CC169" s="598"/>
      <c r="CD169" s="598"/>
      <c r="CE169" s="598"/>
      <c r="CF169" s="598"/>
      <c r="CG169" s="598"/>
      <c r="CH169" s="598"/>
      <c r="CI169" s="599"/>
      <c r="CK169" s="1296"/>
    </row>
    <row r="170" spans="2:89" x14ac:dyDescent="0.2">
      <c r="B170" s="713" t="s">
        <v>759</v>
      </c>
      <c r="C170" s="777" t="s">
        <v>574</v>
      </c>
      <c r="D170" s="715" t="s">
        <v>86</v>
      </c>
      <c r="E170" s="775" t="s">
        <v>344</v>
      </c>
      <c r="F170" s="776">
        <v>2</v>
      </c>
      <c r="G170" s="597"/>
      <c r="H170" s="597"/>
      <c r="I170" s="597">
        <v>10.705554645177358</v>
      </c>
      <c r="J170" s="597">
        <v>10.548472359038122</v>
      </c>
      <c r="K170" s="597">
        <v>10.373950670200323</v>
      </c>
      <c r="L170" s="597">
        <v>10.126142073820025</v>
      </c>
      <c r="M170" s="598">
        <v>9.9588955519920805</v>
      </c>
      <c r="N170" s="598">
        <v>9.9448888806245179</v>
      </c>
      <c r="O170" s="598">
        <v>9.9300869732598613</v>
      </c>
      <c r="P170" s="598">
        <v>9.914515666768752</v>
      </c>
      <c r="Q170" s="598">
        <v>7.4363877039410582</v>
      </c>
      <c r="R170" s="598">
        <v>3.3161632602921247</v>
      </c>
      <c r="S170" s="598">
        <v>1.686293070538107</v>
      </c>
      <c r="T170" s="598">
        <v>1.6860489716228568</v>
      </c>
      <c r="U170" s="598">
        <v>1.6855893120739924</v>
      </c>
      <c r="V170" s="598">
        <v>1.6849134969398309</v>
      </c>
      <c r="W170" s="598">
        <v>1.6840292370458956</v>
      </c>
      <c r="X170" s="598">
        <v>1.6829558060207213</v>
      </c>
      <c r="Y170" s="598">
        <v>1.6816947581265413</v>
      </c>
      <c r="Z170" s="598">
        <v>1.6802676744617977</v>
      </c>
      <c r="AA170" s="598">
        <v>1.6786945295658118</v>
      </c>
      <c r="AB170" s="598">
        <v>1.6749782490599185</v>
      </c>
      <c r="AC170" s="598">
        <v>1.6691180070396854</v>
      </c>
      <c r="AD170" s="598">
        <v>1.6631769422777671</v>
      </c>
      <c r="AE170" s="598">
        <v>1.6571675077626735</v>
      </c>
      <c r="AF170" s="598">
        <v>1.6511006683130607</v>
      </c>
      <c r="AG170" s="598">
        <v>1.6449858844513481</v>
      </c>
      <c r="AH170" s="598">
        <v>1.6388270034729224</v>
      </c>
      <c r="AI170" s="598">
        <v>1.6326305749625245</v>
      </c>
      <c r="AJ170" s="598">
        <v>1.6264122143798136</v>
      </c>
      <c r="AK170" s="598">
        <v>1.6201870221170507</v>
      </c>
      <c r="AL170" s="598"/>
      <c r="AM170" s="598"/>
      <c r="AN170" s="598"/>
      <c r="AO170" s="598"/>
      <c r="AP170" s="598"/>
      <c r="AQ170" s="598"/>
      <c r="AR170" s="598"/>
      <c r="AS170" s="598"/>
      <c r="AT170" s="598"/>
      <c r="AU170" s="598"/>
      <c r="AV170" s="598"/>
      <c r="AW170" s="598"/>
      <c r="AX170" s="598"/>
      <c r="AY170" s="598"/>
      <c r="AZ170" s="598"/>
      <c r="BA170" s="598"/>
      <c r="BB170" s="598"/>
      <c r="BC170" s="598"/>
      <c r="BD170" s="598"/>
      <c r="BE170" s="598"/>
      <c r="BF170" s="598"/>
      <c r="BG170" s="598"/>
      <c r="BH170" s="598"/>
      <c r="BI170" s="598"/>
      <c r="BJ170" s="598"/>
      <c r="BK170" s="598"/>
      <c r="BL170" s="598"/>
      <c r="BM170" s="598"/>
      <c r="BN170" s="598"/>
      <c r="BO170" s="598"/>
      <c r="BP170" s="598"/>
      <c r="BQ170" s="598"/>
      <c r="BR170" s="598"/>
      <c r="BS170" s="598"/>
      <c r="BT170" s="598"/>
      <c r="BU170" s="598"/>
      <c r="BV170" s="598"/>
      <c r="BW170" s="598"/>
      <c r="BX170" s="598"/>
      <c r="BY170" s="598"/>
      <c r="BZ170" s="598"/>
      <c r="CA170" s="598"/>
      <c r="CB170" s="598"/>
      <c r="CC170" s="598"/>
      <c r="CD170" s="598"/>
      <c r="CE170" s="598"/>
      <c r="CF170" s="598"/>
      <c r="CG170" s="598"/>
      <c r="CH170" s="598"/>
      <c r="CI170" s="599"/>
      <c r="CK170" s="1296"/>
    </row>
    <row r="171" spans="2:89" x14ac:dyDescent="0.2">
      <c r="B171" s="778" t="s">
        <v>760</v>
      </c>
      <c r="C171" s="777" t="s">
        <v>576</v>
      </c>
      <c r="D171" s="779" t="s">
        <v>761</v>
      </c>
      <c r="E171" s="775" t="s">
        <v>344</v>
      </c>
      <c r="F171" s="776">
        <v>2</v>
      </c>
      <c r="G171" s="569">
        <f>SUM(G167:G170)</f>
        <v>0</v>
      </c>
      <c r="H171" s="569">
        <f t="shared" ref="H171:AK171" si="56">SUM(H167:H170)</f>
        <v>0</v>
      </c>
      <c r="I171" s="569">
        <f t="shared" si="56"/>
        <v>36.528610885405755</v>
      </c>
      <c r="J171" s="569">
        <f t="shared" si="56"/>
        <v>36.798611777644012</v>
      </c>
      <c r="K171" s="569">
        <f t="shared" si="56"/>
        <v>37.079294015204674</v>
      </c>
      <c r="L171" s="569">
        <f t="shared" si="56"/>
        <v>37.157245637019372</v>
      </c>
      <c r="M171" s="718">
        <f t="shared" si="56"/>
        <v>37.202725250255256</v>
      </c>
      <c r="N171" s="718">
        <f t="shared" si="56"/>
        <v>37.620693836364467</v>
      </c>
      <c r="O171" s="718">
        <f t="shared" si="56"/>
        <v>37.993257615714128</v>
      </c>
      <c r="P171" s="718">
        <f t="shared" si="56"/>
        <v>38.171260801660239</v>
      </c>
      <c r="Q171" s="718">
        <f t="shared" si="56"/>
        <v>38.298605998733656</v>
      </c>
      <c r="R171" s="718">
        <f t="shared" si="56"/>
        <v>38.427212814626465</v>
      </c>
      <c r="S171" s="718">
        <f t="shared" si="56"/>
        <v>38.578428452059569</v>
      </c>
      <c r="T171" s="718">
        <f t="shared" si="56"/>
        <v>38.737858969929903</v>
      </c>
      <c r="U171" s="718">
        <f t="shared" si="56"/>
        <v>38.883087780251401</v>
      </c>
      <c r="V171" s="718">
        <f t="shared" si="56"/>
        <v>39.024930777396143</v>
      </c>
      <c r="W171" s="718">
        <f t="shared" si="56"/>
        <v>39.173697405806429</v>
      </c>
      <c r="X171" s="718">
        <f t="shared" si="56"/>
        <v>39.317336719831765</v>
      </c>
      <c r="Y171" s="718">
        <f t="shared" si="56"/>
        <v>39.471418702083923</v>
      </c>
      <c r="Z171" s="718">
        <f t="shared" si="56"/>
        <v>39.632274611877094</v>
      </c>
      <c r="AA171" s="718">
        <f t="shared" si="56"/>
        <v>39.77699437012334</v>
      </c>
      <c r="AB171" s="718">
        <f t="shared" si="56"/>
        <v>39.911737328530762</v>
      </c>
      <c r="AC171" s="718">
        <f t="shared" si="56"/>
        <v>40.056357713463214</v>
      </c>
      <c r="AD171" s="718">
        <f t="shared" si="56"/>
        <v>40.206531283680249</v>
      </c>
      <c r="AE171" s="718">
        <f t="shared" si="56"/>
        <v>40.365499424401776</v>
      </c>
      <c r="AF171" s="718">
        <f t="shared" si="56"/>
        <v>40.529992274851224</v>
      </c>
      <c r="AG171" s="718">
        <f t="shared" si="56"/>
        <v>40.694834905955048</v>
      </c>
      <c r="AH171" s="718">
        <f t="shared" si="56"/>
        <v>40.860369102161997</v>
      </c>
      <c r="AI171" s="718">
        <f t="shared" si="56"/>
        <v>41.033980428725407</v>
      </c>
      <c r="AJ171" s="718">
        <f t="shared" si="56"/>
        <v>41.216846149701865</v>
      </c>
      <c r="AK171" s="718">
        <f t="shared" si="56"/>
        <v>41.40473076015062</v>
      </c>
      <c r="AL171" s="718"/>
      <c r="AM171" s="718"/>
      <c r="AN171" s="718"/>
      <c r="AO171" s="718"/>
      <c r="AP171" s="718"/>
      <c r="AQ171" s="718"/>
      <c r="AR171" s="718"/>
      <c r="AS171" s="718"/>
      <c r="AT171" s="718"/>
      <c r="AU171" s="718"/>
      <c r="AV171" s="718"/>
      <c r="AW171" s="718"/>
      <c r="AX171" s="718"/>
      <c r="AY171" s="718"/>
      <c r="AZ171" s="718"/>
      <c r="BA171" s="718"/>
      <c r="BB171" s="718"/>
      <c r="BC171" s="718"/>
      <c r="BD171" s="718"/>
      <c r="BE171" s="718"/>
      <c r="BF171" s="718"/>
      <c r="BG171" s="718"/>
      <c r="BH171" s="718"/>
      <c r="BI171" s="718"/>
      <c r="BJ171" s="718"/>
      <c r="BK171" s="718"/>
      <c r="BL171" s="718"/>
      <c r="BM171" s="718"/>
      <c r="BN171" s="718"/>
      <c r="BO171" s="718"/>
      <c r="BP171" s="718"/>
      <c r="BQ171" s="718"/>
      <c r="BR171" s="718"/>
      <c r="BS171" s="718"/>
      <c r="BT171" s="718"/>
      <c r="BU171" s="718"/>
      <c r="BV171" s="718"/>
      <c r="BW171" s="718"/>
      <c r="BX171" s="718"/>
      <c r="BY171" s="718"/>
      <c r="BZ171" s="718"/>
      <c r="CA171" s="718"/>
      <c r="CB171" s="718"/>
      <c r="CC171" s="718"/>
      <c r="CD171" s="718"/>
      <c r="CE171" s="718"/>
      <c r="CF171" s="718"/>
      <c r="CG171" s="718"/>
      <c r="CH171" s="718"/>
      <c r="CI171" s="719"/>
      <c r="CK171" s="1296"/>
    </row>
    <row r="172" spans="2:89" ht="28.5" x14ac:dyDescent="0.2">
      <c r="B172" s="778" t="s">
        <v>762</v>
      </c>
      <c r="C172" s="777" t="s">
        <v>579</v>
      </c>
      <c r="D172" s="779" t="s">
        <v>763</v>
      </c>
      <c r="E172" s="775" t="s">
        <v>581</v>
      </c>
      <c r="F172" s="776">
        <v>1</v>
      </c>
      <c r="G172" s="750" t="e">
        <f>(G170+G169)/(G156+G164)</f>
        <v>#DIV/0!</v>
      </c>
      <c r="H172" s="750" t="e">
        <f t="shared" ref="H172:AK172" si="57">(H170+H169)/(H156+H164)</f>
        <v>#DIV/0!</v>
      </c>
      <c r="I172" s="750">
        <f t="shared" si="57"/>
        <v>2.068125074300911</v>
      </c>
      <c r="J172" s="750">
        <f t="shared" si="57"/>
        <v>2.0553217660215464</v>
      </c>
      <c r="K172" s="750">
        <f t="shared" si="57"/>
        <v>2.0472127247824869</v>
      </c>
      <c r="L172" s="750">
        <f t="shared" si="57"/>
        <v>2.0303631587223658</v>
      </c>
      <c r="M172" s="750">
        <f t="shared" si="57"/>
        <v>2.0153299110579135</v>
      </c>
      <c r="N172" s="750">
        <f t="shared" si="57"/>
        <v>2.0073324466697211</v>
      </c>
      <c r="O172" s="750">
        <f t="shared" si="57"/>
        <v>1.999367220852065</v>
      </c>
      <c r="P172" s="750">
        <f t="shared" si="57"/>
        <v>1.9905613079319224</v>
      </c>
      <c r="Q172" s="750">
        <f t="shared" si="57"/>
        <v>1.9820138356542107</v>
      </c>
      <c r="R172" s="750">
        <f t="shared" si="57"/>
        <v>1.973981557685089</v>
      </c>
      <c r="S172" s="750">
        <f t="shared" si="57"/>
        <v>1.967345523942847</v>
      </c>
      <c r="T172" s="750">
        <f t="shared" si="57"/>
        <v>1.9613963612755405</v>
      </c>
      <c r="U172" s="750">
        <f t="shared" si="57"/>
        <v>1.9551378872622818</v>
      </c>
      <c r="V172" s="750">
        <f t="shared" si="57"/>
        <v>1.9489598126554155</v>
      </c>
      <c r="W172" s="750">
        <f t="shared" si="57"/>
        <v>1.9434195393835763</v>
      </c>
      <c r="X172" s="750">
        <f t="shared" si="57"/>
        <v>1.937703064428032</v>
      </c>
      <c r="Y172" s="750">
        <f t="shared" si="57"/>
        <v>1.9327640387769067</v>
      </c>
      <c r="Z172" s="750">
        <f t="shared" si="57"/>
        <v>1.9285569518836945</v>
      </c>
      <c r="AA172" s="750">
        <f t="shared" si="57"/>
        <v>1.9237753933359991</v>
      </c>
      <c r="AB172" s="750">
        <f t="shared" si="57"/>
        <v>1.9186800499141468</v>
      </c>
      <c r="AC172" s="750">
        <f t="shared" si="57"/>
        <v>1.9143525087799913</v>
      </c>
      <c r="AD172" s="750">
        <f t="shared" si="57"/>
        <v>1.9105007540177852</v>
      </c>
      <c r="AE172" s="750">
        <f t="shared" si="57"/>
        <v>1.9070727787430988</v>
      </c>
      <c r="AF172" s="750">
        <f t="shared" si="57"/>
        <v>1.904013039452676</v>
      </c>
      <c r="AG172" s="750">
        <f t="shared" si="57"/>
        <v>1.9010584130299129</v>
      </c>
      <c r="AH172" s="750">
        <f t="shared" si="57"/>
        <v>1.898350331570996</v>
      </c>
      <c r="AI172" s="750">
        <f t="shared" si="57"/>
        <v>1.8963553935794104</v>
      </c>
      <c r="AJ172" s="750">
        <f t="shared" si="57"/>
        <v>1.8950766214836123</v>
      </c>
      <c r="AK172" s="750">
        <f t="shared" si="57"/>
        <v>1.8942483291655052</v>
      </c>
      <c r="AL172" s="750"/>
      <c r="AM172" s="750"/>
      <c r="AN172" s="750"/>
      <c r="AO172" s="750"/>
      <c r="AP172" s="750"/>
      <c r="AQ172" s="750"/>
      <c r="AR172" s="750"/>
      <c r="AS172" s="750"/>
      <c r="AT172" s="750"/>
      <c r="AU172" s="750"/>
      <c r="AV172" s="750"/>
      <c r="AW172" s="750"/>
      <c r="AX172" s="750"/>
      <c r="AY172" s="750"/>
      <c r="AZ172" s="750"/>
      <c r="BA172" s="750"/>
      <c r="BB172" s="750"/>
      <c r="BC172" s="750"/>
      <c r="BD172" s="750"/>
      <c r="BE172" s="750"/>
      <c r="BF172" s="750"/>
      <c r="BG172" s="750"/>
      <c r="BH172" s="750"/>
      <c r="BI172" s="750"/>
      <c r="BJ172" s="750"/>
      <c r="BK172" s="750"/>
      <c r="BL172" s="750"/>
      <c r="BM172" s="750"/>
      <c r="BN172" s="750"/>
      <c r="BO172" s="750"/>
      <c r="BP172" s="750"/>
      <c r="BQ172" s="750"/>
      <c r="BR172" s="750"/>
      <c r="BS172" s="750"/>
      <c r="BT172" s="750"/>
      <c r="BU172" s="750"/>
      <c r="BV172" s="750"/>
      <c r="BW172" s="750"/>
      <c r="BX172" s="750"/>
      <c r="BY172" s="750"/>
      <c r="BZ172" s="750"/>
      <c r="CA172" s="750"/>
      <c r="CB172" s="750"/>
      <c r="CC172" s="750"/>
      <c r="CD172" s="750"/>
      <c r="CE172" s="750"/>
      <c r="CF172" s="750"/>
      <c r="CG172" s="750"/>
      <c r="CH172" s="750"/>
      <c r="CI172" s="750"/>
      <c r="CK172" s="1296"/>
    </row>
    <row r="173" spans="2:89" ht="28.5" x14ac:dyDescent="0.2">
      <c r="B173" s="778" t="s">
        <v>764</v>
      </c>
      <c r="C173" s="777" t="s">
        <v>583</v>
      </c>
      <c r="D173" s="779" t="s">
        <v>765</v>
      </c>
      <c r="E173" s="775" t="s">
        <v>375</v>
      </c>
      <c r="F173" s="776">
        <v>1</v>
      </c>
      <c r="G173" s="743" t="e">
        <f>G156/(G156+G164)</f>
        <v>#DIV/0!</v>
      </c>
      <c r="H173" s="743" t="e">
        <f t="shared" ref="H173:AK173" si="58">H156/(H156+H164)</f>
        <v>#DIV/0!</v>
      </c>
      <c r="I173" s="743">
        <f t="shared" si="58"/>
        <v>0.70410404624277467</v>
      </c>
      <c r="J173" s="743">
        <f t="shared" si="58"/>
        <v>0.71267282631263917</v>
      </c>
      <c r="K173" s="743">
        <f t="shared" si="58"/>
        <v>0.72095153362264208</v>
      </c>
      <c r="L173" s="743">
        <f t="shared" si="58"/>
        <v>0.73076497308714938</v>
      </c>
      <c r="M173" s="744">
        <f t="shared" si="58"/>
        <v>0.73759156266907855</v>
      </c>
      <c r="N173" s="744">
        <f t="shared" si="58"/>
        <v>0.74170873288276251</v>
      </c>
      <c r="O173" s="744">
        <f t="shared" si="58"/>
        <v>0.74540088809967353</v>
      </c>
      <c r="P173" s="744">
        <f t="shared" si="58"/>
        <v>0.74782764613129948</v>
      </c>
      <c r="Q173" s="744">
        <f t="shared" si="58"/>
        <v>0.81085224787788246</v>
      </c>
      <c r="R173" s="744">
        <f t="shared" si="58"/>
        <v>0.91399751532731421</v>
      </c>
      <c r="S173" s="744">
        <f t="shared" si="58"/>
        <v>0.95549649004749693</v>
      </c>
      <c r="T173" s="744">
        <f t="shared" si="58"/>
        <v>0.95589289711064085</v>
      </c>
      <c r="U173" s="744">
        <f t="shared" si="58"/>
        <v>0.95628221494554166</v>
      </c>
      <c r="V173" s="744">
        <f t="shared" si="58"/>
        <v>0.95666543893952294</v>
      </c>
      <c r="W173" s="744">
        <f t="shared" si="58"/>
        <v>0.95704175254801183</v>
      </c>
      <c r="X173" s="744">
        <f t="shared" si="58"/>
        <v>0.95741312830417413</v>
      </c>
      <c r="Y173" s="744">
        <f t="shared" si="58"/>
        <v>0.95777651257291074</v>
      </c>
      <c r="Z173" s="744">
        <f t="shared" si="58"/>
        <v>0.95812760394536023</v>
      </c>
      <c r="AA173" s="744">
        <f t="shared" si="58"/>
        <v>0.95847156760365859</v>
      </c>
      <c r="AB173" s="744">
        <f t="shared" si="58"/>
        <v>0.95885565957975105</v>
      </c>
      <c r="AC173" s="744">
        <f t="shared" si="58"/>
        <v>0.95922959576044431</v>
      </c>
      <c r="AD173" s="744">
        <f t="shared" si="58"/>
        <v>0.95959431989668986</v>
      </c>
      <c r="AE173" s="744">
        <f t="shared" si="58"/>
        <v>0.95995474047506346</v>
      </c>
      <c r="AF173" s="744">
        <f t="shared" si="58"/>
        <v>0.96030882668211759</v>
      </c>
      <c r="AG173" s="744">
        <f t="shared" si="58"/>
        <v>0.96065651644052141</v>
      </c>
      <c r="AH173" s="744">
        <f t="shared" si="58"/>
        <v>0.96099647383878617</v>
      </c>
      <c r="AI173" s="744">
        <f t="shared" si="58"/>
        <v>0.96132719244062892</v>
      </c>
      <c r="AJ173" s="744">
        <f t="shared" si="58"/>
        <v>0.9616493126614033</v>
      </c>
      <c r="AK173" s="744">
        <f t="shared" si="58"/>
        <v>0.96196437355234232</v>
      </c>
      <c r="AL173" s="744"/>
      <c r="AM173" s="744"/>
      <c r="AN173" s="744"/>
      <c r="AO173" s="744"/>
      <c r="AP173" s="744"/>
      <c r="AQ173" s="744"/>
      <c r="AR173" s="744"/>
      <c r="AS173" s="744"/>
      <c r="AT173" s="744"/>
      <c r="AU173" s="744"/>
      <c r="AV173" s="744"/>
      <c r="AW173" s="744"/>
      <c r="AX173" s="744"/>
      <c r="AY173" s="744"/>
      <c r="AZ173" s="744"/>
      <c r="BA173" s="744"/>
      <c r="BB173" s="744"/>
      <c r="BC173" s="744"/>
      <c r="BD173" s="744"/>
      <c r="BE173" s="744"/>
      <c r="BF173" s="744"/>
      <c r="BG173" s="744"/>
      <c r="BH173" s="744"/>
      <c r="BI173" s="744"/>
      <c r="BJ173" s="744"/>
      <c r="BK173" s="744"/>
      <c r="BL173" s="744"/>
      <c r="BM173" s="744"/>
      <c r="BN173" s="744"/>
      <c r="BO173" s="744"/>
      <c r="BP173" s="744"/>
      <c r="BQ173" s="744"/>
      <c r="BR173" s="744"/>
      <c r="BS173" s="744"/>
      <c r="BT173" s="744"/>
      <c r="BU173" s="744"/>
      <c r="BV173" s="744"/>
      <c r="BW173" s="744"/>
      <c r="BX173" s="744"/>
      <c r="BY173" s="744"/>
      <c r="BZ173" s="744"/>
      <c r="CA173" s="744"/>
      <c r="CB173" s="744"/>
      <c r="CC173" s="744"/>
      <c r="CD173" s="744"/>
      <c r="CE173" s="744"/>
      <c r="CF173" s="744"/>
      <c r="CG173" s="744"/>
      <c r="CH173" s="744"/>
      <c r="CI173" s="745"/>
      <c r="CK173" s="1296"/>
    </row>
    <row r="174" spans="2:89" ht="29.25" thickBot="1" x14ac:dyDescent="0.25">
      <c r="B174" s="780" t="s">
        <v>766</v>
      </c>
      <c r="C174" s="781" t="s">
        <v>586</v>
      </c>
      <c r="D174" s="782" t="s">
        <v>767</v>
      </c>
      <c r="E174" s="783" t="s">
        <v>375</v>
      </c>
      <c r="F174" s="784">
        <v>1</v>
      </c>
      <c r="G174" s="785" t="e">
        <f>(G156)/(G156+G165+G164+G163)</f>
        <v>#DIV/0!</v>
      </c>
      <c r="H174" s="785" t="e">
        <f t="shared" ref="H174:AK174" si="59">(H156)/(H156+H165+H164+H163)</f>
        <v>#DIV/0!</v>
      </c>
      <c r="I174" s="785">
        <f t="shared" si="59"/>
        <v>0.68156893464637414</v>
      </c>
      <c r="J174" s="785">
        <f t="shared" si="59"/>
        <v>0.68985160674378743</v>
      </c>
      <c r="K174" s="785">
        <f t="shared" si="59"/>
        <v>0.69786606704622556</v>
      </c>
      <c r="L174" s="785">
        <f t="shared" si="59"/>
        <v>0.70736629798540096</v>
      </c>
      <c r="M174" s="785">
        <f t="shared" si="59"/>
        <v>0.71397502444544469</v>
      </c>
      <c r="N174" s="785">
        <f t="shared" si="59"/>
        <v>0.71796080613256608</v>
      </c>
      <c r="O174" s="785">
        <f t="shared" si="59"/>
        <v>0.72153514017050446</v>
      </c>
      <c r="P174" s="785">
        <f t="shared" si="59"/>
        <v>0.723884459516274</v>
      </c>
      <c r="Q174" s="785">
        <f t="shared" si="59"/>
        <v>0.78489851469902561</v>
      </c>
      <c r="R174" s="785">
        <f t="shared" si="59"/>
        <v>0.88475579945115956</v>
      </c>
      <c r="S174" s="785">
        <f t="shared" si="59"/>
        <v>0.92493276180851003</v>
      </c>
      <c r="T174" s="785">
        <f t="shared" si="59"/>
        <v>0.92531654310384781</v>
      </c>
      <c r="U174" s="785">
        <f t="shared" si="59"/>
        <v>0.92569346101026118</v>
      </c>
      <c r="V174" s="785">
        <f t="shared" si="59"/>
        <v>0.92606447920938539</v>
      </c>
      <c r="W174" s="785">
        <f t="shared" si="59"/>
        <v>0.92642880716168996</v>
      </c>
      <c r="X174" s="785">
        <f t="shared" si="59"/>
        <v>0.92678835457288677</v>
      </c>
      <c r="Y174" s="785">
        <f t="shared" si="59"/>
        <v>0.92714016506432229</v>
      </c>
      <c r="Z174" s="785">
        <f t="shared" si="59"/>
        <v>0.92748007422371725</v>
      </c>
      <c r="AA174" s="785">
        <f t="shared" si="59"/>
        <v>0.92781308271990937</v>
      </c>
      <c r="AB174" s="785">
        <f t="shared" si="59"/>
        <v>0.92818494149636976</v>
      </c>
      <c r="AC174" s="785">
        <f t="shared" si="59"/>
        <v>0.92854696797664271</v>
      </c>
      <c r="AD174" s="785">
        <f t="shared" si="59"/>
        <v>0.92890007585052126</v>
      </c>
      <c r="AE174" s="785">
        <f t="shared" si="59"/>
        <v>0.92924901726986842</v>
      </c>
      <c r="AF174" s="785">
        <f t="shared" si="59"/>
        <v>0.9295918260996705</v>
      </c>
      <c r="AG174" s="785">
        <f t="shared" si="59"/>
        <v>0.92992844223777726</v>
      </c>
      <c r="AH174" s="785">
        <f t="shared" si="59"/>
        <v>0.93025757231822792</v>
      </c>
      <c r="AI174" s="785">
        <f t="shared" si="59"/>
        <v>0.9305777578808202</v>
      </c>
      <c r="AJ174" s="785">
        <f t="shared" si="59"/>
        <v>0.93088961894181965</v>
      </c>
      <c r="AK174" s="785">
        <f t="shared" si="59"/>
        <v>0.93119464553327269</v>
      </c>
      <c r="AL174" s="785"/>
      <c r="AM174" s="785"/>
      <c r="AN174" s="785"/>
      <c r="AO174" s="785"/>
      <c r="AP174" s="785"/>
      <c r="AQ174" s="785"/>
      <c r="AR174" s="785"/>
      <c r="AS174" s="785"/>
      <c r="AT174" s="785"/>
      <c r="AU174" s="785"/>
      <c r="AV174" s="785"/>
      <c r="AW174" s="785"/>
      <c r="AX174" s="785"/>
      <c r="AY174" s="785"/>
      <c r="AZ174" s="785"/>
      <c r="BA174" s="785"/>
      <c r="BB174" s="785"/>
      <c r="BC174" s="785"/>
      <c r="BD174" s="785"/>
      <c r="BE174" s="785"/>
      <c r="BF174" s="785"/>
      <c r="BG174" s="785"/>
      <c r="BH174" s="785"/>
      <c r="BI174" s="785"/>
      <c r="BJ174" s="785"/>
      <c r="BK174" s="785"/>
      <c r="BL174" s="785"/>
      <c r="BM174" s="785"/>
      <c r="BN174" s="785"/>
      <c r="BO174" s="785"/>
      <c r="BP174" s="785"/>
      <c r="BQ174" s="785"/>
      <c r="BR174" s="785"/>
      <c r="BS174" s="785"/>
      <c r="BT174" s="785"/>
      <c r="BU174" s="785"/>
      <c r="BV174" s="785"/>
      <c r="BW174" s="785"/>
      <c r="BX174" s="785"/>
      <c r="BY174" s="785"/>
      <c r="BZ174" s="785"/>
      <c r="CA174" s="785"/>
      <c r="CB174" s="785"/>
      <c r="CC174" s="785"/>
      <c r="CD174" s="785"/>
      <c r="CE174" s="785"/>
      <c r="CF174" s="785"/>
      <c r="CG174" s="785"/>
      <c r="CH174" s="785"/>
      <c r="CI174" s="785"/>
      <c r="CK174" s="1296"/>
    </row>
    <row r="175" spans="2:89" ht="29.25" thickBot="1" x14ac:dyDescent="0.25">
      <c r="B175" s="786" t="s">
        <v>768</v>
      </c>
      <c r="C175" s="787" t="s">
        <v>245</v>
      </c>
      <c r="D175" s="787" t="s">
        <v>769</v>
      </c>
      <c r="E175" s="787" t="s">
        <v>236</v>
      </c>
      <c r="F175" s="788">
        <v>2</v>
      </c>
      <c r="G175" s="629">
        <f>SUM(G135:G137)+G133+G144+G149+G150+G143</f>
        <v>0</v>
      </c>
      <c r="H175" s="629">
        <f t="shared" ref="H175:AK175" si="60">SUM(H135:H137)+H133+H144+H149+H150+H143</f>
        <v>0</v>
      </c>
      <c r="I175" s="629">
        <f t="shared" si="60"/>
        <v>10.792888566747608</v>
      </c>
      <c r="J175" s="629">
        <f t="shared" si="60"/>
        <v>10.318167376177646</v>
      </c>
      <c r="K175" s="629">
        <f t="shared" si="60"/>
        <v>10.250924176918911</v>
      </c>
      <c r="L175" s="629">
        <f t="shared" si="60"/>
        <v>10.289546901221065</v>
      </c>
      <c r="M175" s="629">
        <f t="shared" si="60"/>
        <v>10.315845824653159</v>
      </c>
      <c r="N175" s="629">
        <f t="shared" si="60"/>
        <v>10.315468744174048</v>
      </c>
      <c r="O175" s="629">
        <f t="shared" si="60"/>
        <v>10.283749800633977</v>
      </c>
      <c r="P175" s="629">
        <f t="shared" si="60"/>
        <v>10.192209369129882</v>
      </c>
      <c r="Q175" s="629">
        <f t="shared" si="60"/>
        <v>10.048760992869392</v>
      </c>
      <c r="R175" s="629">
        <f t="shared" si="60"/>
        <v>9.9091633620092576</v>
      </c>
      <c r="S175" s="629">
        <f t="shared" si="60"/>
        <v>9.805518562687217</v>
      </c>
      <c r="T175" s="629">
        <f t="shared" si="60"/>
        <v>12.005620306775437</v>
      </c>
      <c r="U175" s="629">
        <f t="shared" si="60"/>
        <v>11.903153313953446</v>
      </c>
      <c r="V175" s="629">
        <f t="shared" si="60"/>
        <v>11.802412260799963</v>
      </c>
      <c r="W175" s="629">
        <f t="shared" si="60"/>
        <v>11.754848092706732</v>
      </c>
      <c r="X175" s="629">
        <f t="shared" si="60"/>
        <v>11.708375881096391</v>
      </c>
      <c r="Y175" s="629">
        <f t="shared" si="60"/>
        <v>11.663511882801988</v>
      </c>
      <c r="Z175" s="629">
        <f t="shared" si="60"/>
        <v>11.640451378472708</v>
      </c>
      <c r="AA175" s="629">
        <f t="shared" si="60"/>
        <v>11.615084694418222</v>
      </c>
      <c r="AB175" s="629">
        <f t="shared" si="60"/>
        <v>11.583026073648632</v>
      </c>
      <c r="AC175" s="629">
        <f t="shared" si="60"/>
        <v>11.557302786332652</v>
      </c>
      <c r="AD175" s="629">
        <f t="shared" si="60"/>
        <v>11.533402928430419</v>
      </c>
      <c r="AE175" s="629">
        <f t="shared" si="60"/>
        <v>11.526242018982833</v>
      </c>
      <c r="AF175" s="629">
        <f t="shared" si="60"/>
        <v>11.519576695248453</v>
      </c>
      <c r="AG175" s="629">
        <f t="shared" si="60"/>
        <v>11.512767087998704</v>
      </c>
      <c r="AH175" s="629">
        <f t="shared" si="60"/>
        <v>11.507186526242304</v>
      </c>
      <c r="AI175" s="629">
        <f t="shared" si="60"/>
        <v>11.501742293885014</v>
      </c>
      <c r="AJ175" s="629">
        <f t="shared" si="60"/>
        <v>11.497034414125643</v>
      </c>
      <c r="AK175" s="629">
        <f t="shared" si="60"/>
        <v>11.492072654638511</v>
      </c>
      <c r="AL175" s="629"/>
      <c r="AM175" s="629"/>
      <c r="AN175" s="629"/>
      <c r="AO175" s="629"/>
      <c r="AP175" s="629"/>
      <c r="AQ175" s="629"/>
      <c r="AR175" s="629"/>
      <c r="AS175" s="629"/>
      <c r="AT175" s="629"/>
      <c r="AU175" s="629"/>
      <c r="AV175" s="629"/>
      <c r="AW175" s="629"/>
      <c r="AX175" s="629"/>
      <c r="AY175" s="629"/>
      <c r="AZ175" s="629"/>
      <c r="BA175" s="629"/>
      <c r="BB175" s="629"/>
      <c r="BC175" s="629"/>
      <c r="BD175" s="629"/>
      <c r="BE175" s="629"/>
      <c r="BF175" s="629"/>
      <c r="BG175" s="629"/>
      <c r="BH175" s="629"/>
      <c r="BI175" s="629"/>
      <c r="BJ175" s="629"/>
      <c r="BK175" s="629"/>
      <c r="BL175" s="629"/>
      <c r="BM175" s="629"/>
      <c r="BN175" s="629"/>
      <c r="BO175" s="629"/>
      <c r="BP175" s="629"/>
      <c r="BQ175" s="629"/>
      <c r="BR175" s="629"/>
      <c r="BS175" s="629"/>
      <c r="BT175" s="629"/>
      <c r="BU175" s="629"/>
      <c r="BV175" s="629"/>
      <c r="BW175" s="629"/>
      <c r="BX175" s="629"/>
      <c r="BY175" s="629"/>
      <c r="BZ175" s="629"/>
      <c r="CA175" s="629"/>
      <c r="CB175" s="629"/>
      <c r="CC175" s="629"/>
      <c r="CD175" s="629"/>
      <c r="CE175" s="629"/>
      <c r="CF175" s="629"/>
      <c r="CG175" s="629"/>
      <c r="CH175" s="629"/>
      <c r="CI175" s="629"/>
      <c r="CK175" s="1296"/>
    </row>
    <row r="176" spans="2:89" ht="28.5" x14ac:dyDescent="0.2">
      <c r="B176" s="789" t="s">
        <v>770</v>
      </c>
      <c r="C176" s="790" t="s">
        <v>591</v>
      </c>
      <c r="D176" s="710" t="s">
        <v>86</v>
      </c>
      <c r="E176" s="790" t="s">
        <v>236</v>
      </c>
      <c r="F176" s="791">
        <v>2</v>
      </c>
      <c r="G176" s="633"/>
      <c r="H176" s="633"/>
      <c r="I176" s="633">
        <v>-2.5621980229398322E-4</v>
      </c>
      <c r="J176" s="633">
        <v>1.2957579880463005E-2</v>
      </c>
      <c r="K176" s="633">
        <v>7.7046652245315039E-2</v>
      </c>
      <c r="L176" s="633">
        <v>7.5350069724654023E-2</v>
      </c>
      <c r="M176" s="1343">
        <v>7.1220037381026974E-2</v>
      </c>
      <c r="N176" s="1343">
        <v>7.0813814951724979E-2</v>
      </c>
      <c r="O176" s="1343">
        <v>6.8577822440766989E-2</v>
      </c>
      <c r="P176" s="1343">
        <v>6.9509417792482014E-2</v>
      </c>
      <c r="Q176" s="1343">
        <v>7.6423358018442994E-2</v>
      </c>
      <c r="R176" s="1343">
        <v>7.7584605353482994E-2</v>
      </c>
      <c r="S176" s="1343">
        <v>7.8860734876829014E-2</v>
      </c>
      <c r="T176" s="1343">
        <v>8.0850227135337016E-2</v>
      </c>
      <c r="U176" s="1343">
        <v>7.9937796750592011E-2</v>
      </c>
      <c r="V176" s="1343">
        <v>8.0077831469513E-2</v>
      </c>
      <c r="W176" s="1343">
        <v>8.3355404785068005E-2</v>
      </c>
      <c r="X176" s="1343">
        <v>8.3627701429942997E-2</v>
      </c>
      <c r="Y176" s="1343">
        <v>8.3793050383780016E-2</v>
      </c>
      <c r="Z176" s="1343">
        <v>8.5858173803529003E-2</v>
      </c>
      <c r="AA176" s="1343">
        <v>8.6185400554666974E-2</v>
      </c>
      <c r="AB176" s="1343">
        <v>8.653116489198899E-2</v>
      </c>
      <c r="AC176" s="1343">
        <v>8.9349192332313004E-2</v>
      </c>
      <c r="AD176" s="1343">
        <v>8.8170312475372006E-2</v>
      </c>
      <c r="AE176" s="1343">
        <v>8.8770594940629999E-2</v>
      </c>
      <c r="AF176" s="1343">
        <v>9.0334823407519999E-2</v>
      </c>
      <c r="AG176" s="1343">
        <v>9.2694397346722995E-2</v>
      </c>
      <c r="AH176" s="1343">
        <v>9.1327838071595002E-2</v>
      </c>
      <c r="AI176" s="1343">
        <v>9.4013856170086993E-2</v>
      </c>
      <c r="AJ176" s="1343">
        <v>9.4914810026821006E-2</v>
      </c>
      <c r="AK176" s="1343">
        <v>9.5748733740625994E-2</v>
      </c>
      <c r="AL176" s="1343"/>
      <c r="AM176" s="1343"/>
      <c r="AN176" s="1343"/>
      <c r="AO176" s="1343"/>
      <c r="AP176" s="1343"/>
      <c r="AQ176" s="1343"/>
      <c r="AR176" s="1343"/>
      <c r="AS176" s="1343"/>
      <c r="AT176" s="1343"/>
      <c r="AU176" s="1343"/>
      <c r="AV176" s="1343"/>
      <c r="AW176" s="1343"/>
      <c r="AX176" s="1343"/>
      <c r="AY176" s="1343"/>
      <c r="AZ176" s="1343"/>
      <c r="BA176" s="1343"/>
      <c r="BB176" s="1343"/>
      <c r="BC176" s="1343"/>
      <c r="BD176" s="1343"/>
      <c r="BE176" s="1343"/>
      <c r="BF176" s="1343"/>
      <c r="BG176" s="1343"/>
      <c r="BH176" s="1343"/>
      <c r="BI176" s="1343"/>
      <c r="BJ176" s="1343"/>
      <c r="BK176" s="1343"/>
      <c r="BL176" s="1343"/>
      <c r="BM176" s="1343"/>
      <c r="BN176" s="1343"/>
      <c r="BO176" s="1343"/>
      <c r="BP176" s="1343"/>
      <c r="BQ176" s="1343"/>
      <c r="BR176" s="1343"/>
      <c r="BS176" s="1343"/>
      <c r="BT176" s="1343"/>
      <c r="BU176" s="1343"/>
      <c r="BV176" s="1343"/>
      <c r="BW176" s="1343"/>
      <c r="BX176" s="1343"/>
      <c r="BY176" s="1343"/>
      <c r="BZ176" s="1343"/>
      <c r="CA176" s="1343"/>
      <c r="CB176" s="1343"/>
      <c r="CC176" s="1343"/>
      <c r="CD176" s="1343"/>
      <c r="CE176" s="1343"/>
      <c r="CF176" s="1343"/>
      <c r="CG176" s="1343"/>
      <c r="CH176" s="1343"/>
      <c r="CI176" s="1343"/>
    </row>
    <row r="177" spans="2:87" x14ac:dyDescent="0.2">
      <c r="B177" s="792" t="s">
        <v>771</v>
      </c>
      <c r="C177" s="793" t="s">
        <v>593</v>
      </c>
      <c r="D177" s="715" t="s">
        <v>86</v>
      </c>
      <c r="E177" s="793" t="s">
        <v>236</v>
      </c>
      <c r="F177" s="794">
        <v>2</v>
      </c>
      <c r="G177" s="637"/>
      <c r="H177" s="633"/>
      <c r="I177" s="633">
        <v>0.20337238115997799</v>
      </c>
      <c r="J177" s="633">
        <v>0.194913841957501</v>
      </c>
      <c r="K177" s="633">
        <v>0.19417594868416799</v>
      </c>
      <c r="L177" s="633">
        <v>0.19598972047621799</v>
      </c>
      <c r="M177" s="1343">
        <v>0.19595908561303901</v>
      </c>
      <c r="N177" s="1343">
        <v>0.18585354763899101</v>
      </c>
      <c r="O177" s="1343">
        <v>0.17894644769163001</v>
      </c>
      <c r="P177" s="1343">
        <v>0.17127167981653599</v>
      </c>
      <c r="Q177" s="1343">
        <v>0.16422427162175501</v>
      </c>
      <c r="R177" s="1343">
        <v>0.15107321328828299</v>
      </c>
      <c r="S177" s="1343">
        <v>0.14389083056146099</v>
      </c>
      <c r="T177" s="1343">
        <v>0.166956529642595</v>
      </c>
      <c r="U177" s="1343">
        <v>0.16119406987221699</v>
      </c>
      <c r="V177" s="1343">
        <v>0.154433833338148</v>
      </c>
      <c r="W177" s="1343">
        <v>0.147983409165902</v>
      </c>
      <c r="X177" s="1343">
        <v>0.14140359008025299</v>
      </c>
      <c r="Y177" s="1343">
        <v>0.13676430094504</v>
      </c>
      <c r="Z177" s="1343">
        <v>0.131993738807995</v>
      </c>
      <c r="AA177" s="1343">
        <v>0.12538067943665401</v>
      </c>
      <c r="AB177" s="1343">
        <v>0.11968556242627</v>
      </c>
      <c r="AC177" s="1343">
        <v>0.114080935471784</v>
      </c>
      <c r="AD177" s="1343">
        <v>0.110405405638955</v>
      </c>
      <c r="AE177" s="1343">
        <v>0.10571436406178999</v>
      </c>
      <c r="AF177" s="1343">
        <v>0.10091660086914001</v>
      </c>
      <c r="AG177" s="1343">
        <v>9.4567631664040003E-2</v>
      </c>
      <c r="AH177" s="1343">
        <v>9.0986231745042001E-2</v>
      </c>
      <c r="AI177" s="1343">
        <v>8.0699921309466002E-2</v>
      </c>
      <c r="AJ177" s="1343">
        <v>8.1473865613479995E-2</v>
      </c>
      <c r="AK177" s="1343">
        <v>7.7595177449768002E-2</v>
      </c>
      <c r="AL177" s="1343"/>
      <c r="AM177" s="1343"/>
      <c r="AN177" s="1343"/>
      <c r="AO177" s="1343"/>
      <c r="AP177" s="1343"/>
      <c r="AQ177" s="1343"/>
      <c r="AR177" s="1343"/>
      <c r="AS177" s="1343"/>
      <c r="AT177" s="1343"/>
      <c r="AU177" s="1343"/>
      <c r="AV177" s="1343"/>
      <c r="AW177" s="1343"/>
      <c r="AX177" s="1343"/>
      <c r="AY177" s="1343"/>
      <c r="AZ177" s="1343"/>
      <c r="BA177" s="1343"/>
      <c r="BB177" s="1343"/>
      <c r="BC177" s="1343"/>
      <c r="BD177" s="1343"/>
      <c r="BE177" s="1343"/>
      <c r="BF177" s="1343"/>
      <c r="BG177" s="1343"/>
      <c r="BH177" s="1343"/>
      <c r="BI177" s="1343"/>
      <c r="BJ177" s="1343"/>
      <c r="BK177" s="1343"/>
      <c r="BL177" s="1343"/>
      <c r="BM177" s="1343"/>
      <c r="BN177" s="1343"/>
      <c r="BO177" s="1343"/>
      <c r="BP177" s="1343"/>
      <c r="BQ177" s="1343"/>
      <c r="BR177" s="1343"/>
      <c r="BS177" s="1343"/>
      <c r="BT177" s="1343"/>
      <c r="BU177" s="1343"/>
      <c r="BV177" s="1343"/>
      <c r="BW177" s="1343"/>
      <c r="BX177" s="1343"/>
      <c r="BY177" s="1343"/>
      <c r="BZ177" s="1343"/>
      <c r="CA177" s="1343"/>
      <c r="CB177" s="1343"/>
      <c r="CC177" s="1343"/>
      <c r="CD177" s="1343"/>
      <c r="CE177" s="1343"/>
      <c r="CF177" s="1343"/>
      <c r="CG177" s="1343"/>
      <c r="CH177" s="1343"/>
      <c r="CI177" s="1343"/>
    </row>
    <row r="178" spans="2:87" x14ac:dyDescent="0.2">
      <c r="B178" s="792" t="s">
        <v>772</v>
      </c>
      <c r="C178" s="793" t="s">
        <v>384</v>
      </c>
      <c r="D178" s="715" t="s">
        <v>773</v>
      </c>
      <c r="E178" s="793" t="s">
        <v>236</v>
      </c>
      <c r="F178" s="794">
        <v>2</v>
      </c>
      <c r="G178" s="795">
        <f t="shared" ref="G178:AK178" si="61">G176+G177</f>
        <v>0</v>
      </c>
      <c r="H178" s="795">
        <f t="shared" si="61"/>
        <v>0</v>
      </c>
      <c r="I178" s="795">
        <f t="shared" si="61"/>
        <v>0.20311616135768401</v>
      </c>
      <c r="J178" s="795">
        <f t="shared" si="61"/>
        <v>0.207871421837964</v>
      </c>
      <c r="K178" s="795">
        <f t="shared" si="61"/>
        <v>0.27122260092948303</v>
      </c>
      <c r="L178" s="795">
        <f t="shared" si="61"/>
        <v>0.27133979020087201</v>
      </c>
      <c r="M178" s="796">
        <f t="shared" si="61"/>
        <v>0.26717912299406599</v>
      </c>
      <c r="N178" s="796">
        <f t="shared" si="61"/>
        <v>0.25666736259071599</v>
      </c>
      <c r="O178" s="796">
        <f t="shared" si="61"/>
        <v>0.247524270132397</v>
      </c>
      <c r="P178" s="796">
        <f t="shared" si="61"/>
        <v>0.240781097609018</v>
      </c>
      <c r="Q178" s="796">
        <f t="shared" si="61"/>
        <v>0.24064762964019801</v>
      </c>
      <c r="R178" s="796">
        <f t="shared" si="61"/>
        <v>0.22865781864176599</v>
      </c>
      <c r="S178" s="796">
        <f t="shared" si="61"/>
        <v>0.22275156543829</v>
      </c>
      <c r="T178" s="796">
        <f t="shared" si="61"/>
        <v>0.24780675677793201</v>
      </c>
      <c r="U178" s="796">
        <f t="shared" si="61"/>
        <v>0.241131866622809</v>
      </c>
      <c r="V178" s="796">
        <f t="shared" si="61"/>
        <v>0.234511664807661</v>
      </c>
      <c r="W178" s="796">
        <f t="shared" si="61"/>
        <v>0.23133881395097</v>
      </c>
      <c r="X178" s="796">
        <f t="shared" si="61"/>
        <v>0.22503129151019599</v>
      </c>
      <c r="Y178" s="796">
        <f t="shared" si="61"/>
        <v>0.22055735132882001</v>
      </c>
      <c r="Z178" s="796">
        <f t="shared" si="61"/>
        <v>0.21785191261152401</v>
      </c>
      <c r="AA178" s="796">
        <f t="shared" si="61"/>
        <v>0.21156607999132099</v>
      </c>
      <c r="AB178" s="796">
        <f t="shared" si="61"/>
        <v>0.20621672731825899</v>
      </c>
      <c r="AC178" s="796">
        <f t="shared" si="61"/>
        <v>0.203430127804097</v>
      </c>
      <c r="AD178" s="796">
        <f t="shared" si="61"/>
        <v>0.198575718114327</v>
      </c>
      <c r="AE178" s="796">
        <f t="shared" si="61"/>
        <v>0.19448495900241999</v>
      </c>
      <c r="AF178" s="796">
        <f t="shared" si="61"/>
        <v>0.19125142427666</v>
      </c>
      <c r="AG178" s="796">
        <f t="shared" si="61"/>
        <v>0.187262029010763</v>
      </c>
      <c r="AH178" s="796">
        <f t="shared" si="61"/>
        <v>0.182314069816637</v>
      </c>
      <c r="AI178" s="796">
        <f t="shared" si="61"/>
        <v>0.174713777479553</v>
      </c>
      <c r="AJ178" s="796">
        <f t="shared" si="61"/>
        <v>0.176388675640301</v>
      </c>
      <c r="AK178" s="796">
        <f t="shared" si="61"/>
        <v>0.173343911190394</v>
      </c>
      <c r="AL178" s="796"/>
      <c r="AM178" s="796"/>
      <c r="AN178" s="796"/>
      <c r="AO178" s="796"/>
      <c r="AP178" s="796"/>
      <c r="AQ178" s="796"/>
      <c r="AR178" s="796"/>
      <c r="AS178" s="796"/>
      <c r="AT178" s="796"/>
      <c r="AU178" s="796"/>
      <c r="AV178" s="796"/>
      <c r="AW178" s="796"/>
      <c r="AX178" s="796"/>
      <c r="AY178" s="796"/>
      <c r="AZ178" s="796"/>
      <c r="BA178" s="796"/>
      <c r="BB178" s="796"/>
      <c r="BC178" s="796"/>
      <c r="BD178" s="796"/>
      <c r="BE178" s="796"/>
      <c r="BF178" s="796"/>
      <c r="BG178" s="796"/>
      <c r="BH178" s="796"/>
      <c r="BI178" s="796"/>
      <c r="BJ178" s="796"/>
      <c r="BK178" s="796"/>
      <c r="BL178" s="796"/>
      <c r="BM178" s="796"/>
      <c r="BN178" s="796"/>
      <c r="BO178" s="796"/>
      <c r="BP178" s="796"/>
      <c r="BQ178" s="796"/>
      <c r="BR178" s="796"/>
      <c r="BS178" s="796"/>
      <c r="BT178" s="796"/>
      <c r="BU178" s="796"/>
      <c r="BV178" s="796"/>
      <c r="BW178" s="796"/>
      <c r="BX178" s="796"/>
      <c r="BY178" s="796"/>
      <c r="BZ178" s="796"/>
      <c r="CA178" s="796"/>
      <c r="CB178" s="796"/>
      <c r="CC178" s="796"/>
      <c r="CD178" s="796"/>
      <c r="CE178" s="796"/>
      <c r="CF178" s="796"/>
      <c r="CG178" s="796"/>
      <c r="CH178" s="796"/>
      <c r="CI178" s="797"/>
    </row>
    <row r="179" spans="2:87" x14ac:dyDescent="0.2">
      <c r="B179" s="1059" t="s">
        <v>774</v>
      </c>
      <c r="C179" s="1060" t="s">
        <v>597</v>
      </c>
      <c r="D179" s="1061" t="s">
        <v>775</v>
      </c>
      <c r="E179" s="1060" t="s">
        <v>236</v>
      </c>
      <c r="F179" s="1062">
        <v>2</v>
      </c>
      <c r="G179" s="798">
        <f>G132-G175</f>
        <v>0</v>
      </c>
      <c r="H179" s="798">
        <f t="shared" ref="H179:AK179" si="62">H132-H175</f>
        <v>0</v>
      </c>
      <c r="I179" s="798">
        <f t="shared" si="62"/>
        <v>2.2290791845437745</v>
      </c>
      <c r="J179" s="798">
        <f t="shared" si="62"/>
        <v>2.7028181394354647</v>
      </c>
      <c r="K179" s="798">
        <f t="shared" si="62"/>
        <v>2.7494989027424204</v>
      </c>
      <c r="L179" s="798">
        <f>L132-L175</f>
        <v>2.7015129697147717</v>
      </c>
      <c r="M179" s="799">
        <f t="shared" si="62"/>
        <v>2.6628621608059788</v>
      </c>
      <c r="N179" s="799">
        <f t="shared" si="62"/>
        <v>0.28666736259071612</v>
      </c>
      <c r="O179" s="799">
        <f t="shared" si="62"/>
        <v>0.27752427013239611</v>
      </c>
      <c r="P179" s="799">
        <f t="shared" si="62"/>
        <v>0.27078109760901903</v>
      </c>
      <c r="Q179" s="799">
        <f t="shared" si="62"/>
        <v>0.27064762964019806</v>
      </c>
      <c r="R179" s="799">
        <f t="shared" si="62"/>
        <v>0.2586578186417654</v>
      </c>
      <c r="S179" s="799">
        <f t="shared" si="62"/>
        <v>0.25275156543828992</v>
      </c>
      <c r="T179" s="799">
        <f t="shared" si="62"/>
        <v>0.27780675677793099</v>
      </c>
      <c r="U179" s="799">
        <f t="shared" si="62"/>
        <v>0.27113186662280953</v>
      </c>
      <c r="V179" s="799">
        <f t="shared" si="62"/>
        <v>0.2645116648076602</v>
      </c>
      <c r="W179" s="799">
        <f t="shared" si="62"/>
        <v>0.26133881395096914</v>
      </c>
      <c r="X179" s="799">
        <f t="shared" si="62"/>
        <v>0.25503129151019621</v>
      </c>
      <c r="Y179" s="799">
        <f t="shared" si="62"/>
        <v>0.25055735132882084</v>
      </c>
      <c r="Z179" s="799">
        <f t="shared" si="62"/>
        <v>0.24785191261152484</v>
      </c>
      <c r="AA179" s="799">
        <f t="shared" si="62"/>
        <v>0.24156607999132085</v>
      </c>
      <c r="AB179" s="799">
        <f t="shared" si="62"/>
        <v>0.2362167273182596</v>
      </c>
      <c r="AC179" s="799">
        <f t="shared" si="62"/>
        <v>0.23343012780409822</v>
      </c>
      <c r="AD179" s="799">
        <f t="shared" si="62"/>
        <v>0.2285757181143282</v>
      </c>
      <c r="AE179" s="799">
        <f t="shared" si="62"/>
        <v>0.22448495900242094</v>
      </c>
      <c r="AF179" s="799">
        <f t="shared" si="62"/>
        <v>0.22125142427666056</v>
      </c>
      <c r="AG179" s="799">
        <f t="shared" si="62"/>
        <v>0.21726202901076341</v>
      </c>
      <c r="AH179" s="799">
        <f t="shared" si="62"/>
        <v>0.21231406981663525</v>
      </c>
      <c r="AI179" s="799">
        <f t="shared" si="62"/>
        <v>0.20471377747955266</v>
      </c>
      <c r="AJ179" s="799">
        <f t="shared" si="62"/>
        <v>0.2063886756403015</v>
      </c>
      <c r="AK179" s="799">
        <f t="shared" si="62"/>
        <v>0.20334391119039275</v>
      </c>
      <c r="AL179" s="799"/>
      <c r="AM179" s="799"/>
      <c r="AN179" s="799"/>
      <c r="AO179" s="799"/>
      <c r="AP179" s="799"/>
      <c r="AQ179" s="799"/>
      <c r="AR179" s="799"/>
      <c r="AS179" s="799"/>
      <c r="AT179" s="799"/>
      <c r="AU179" s="799"/>
      <c r="AV179" s="799"/>
      <c r="AW179" s="799"/>
      <c r="AX179" s="799"/>
      <c r="AY179" s="799"/>
      <c r="AZ179" s="799"/>
      <c r="BA179" s="799"/>
      <c r="BB179" s="799"/>
      <c r="BC179" s="799"/>
      <c r="BD179" s="799"/>
      <c r="BE179" s="799"/>
      <c r="BF179" s="799"/>
      <c r="BG179" s="799"/>
      <c r="BH179" s="799"/>
      <c r="BI179" s="799"/>
      <c r="BJ179" s="799"/>
      <c r="BK179" s="799"/>
      <c r="BL179" s="799"/>
      <c r="BM179" s="799"/>
      <c r="BN179" s="799"/>
      <c r="BO179" s="799"/>
      <c r="BP179" s="799"/>
      <c r="BQ179" s="799"/>
      <c r="BR179" s="799"/>
      <c r="BS179" s="799"/>
      <c r="BT179" s="799"/>
      <c r="BU179" s="799"/>
      <c r="BV179" s="799"/>
      <c r="BW179" s="799"/>
      <c r="BX179" s="799"/>
      <c r="BY179" s="799"/>
      <c r="BZ179" s="799"/>
      <c r="CA179" s="799"/>
      <c r="CB179" s="799"/>
      <c r="CC179" s="799"/>
      <c r="CD179" s="799"/>
      <c r="CE179" s="799"/>
      <c r="CF179" s="799"/>
      <c r="CG179" s="799"/>
      <c r="CH179" s="799"/>
      <c r="CI179" s="800"/>
    </row>
    <row r="180" spans="2:87" ht="15" thickBot="1" x14ac:dyDescent="0.25">
      <c r="B180" s="1059" t="s">
        <v>776</v>
      </c>
      <c r="C180" s="1060" t="s">
        <v>600</v>
      </c>
      <c r="D180" s="1061" t="s">
        <v>777</v>
      </c>
      <c r="E180" s="1060" t="s">
        <v>236</v>
      </c>
      <c r="F180" s="1062">
        <v>2</v>
      </c>
      <c r="G180" s="798">
        <f t="shared" ref="G180:AK180" si="63">G123-G134</f>
        <v>0</v>
      </c>
      <c r="H180" s="798">
        <f t="shared" si="63"/>
        <v>0</v>
      </c>
      <c r="I180" s="798">
        <f t="shared" si="63"/>
        <v>0</v>
      </c>
      <c r="J180" s="798">
        <f t="shared" si="63"/>
        <v>0</v>
      </c>
      <c r="K180" s="798">
        <f t="shared" si="63"/>
        <v>0</v>
      </c>
      <c r="L180" s="798">
        <f t="shared" si="63"/>
        <v>0</v>
      </c>
      <c r="M180" s="798">
        <f t="shared" si="63"/>
        <v>0</v>
      </c>
      <c r="N180" s="798">
        <f t="shared" si="63"/>
        <v>0</v>
      </c>
      <c r="O180" s="798">
        <f t="shared" si="63"/>
        <v>0</v>
      </c>
      <c r="P180" s="798">
        <f t="shared" si="63"/>
        <v>0</v>
      </c>
      <c r="Q180" s="798">
        <f t="shared" si="63"/>
        <v>0</v>
      </c>
      <c r="R180" s="798">
        <f t="shared" si="63"/>
        <v>0</v>
      </c>
      <c r="S180" s="798">
        <f t="shared" si="63"/>
        <v>0</v>
      </c>
      <c r="T180" s="798">
        <f t="shared" si="63"/>
        <v>0</v>
      </c>
      <c r="U180" s="798">
        <f t="shared" si="63"/>
        <v>0</v>
      </c>
      <c r="V180" s="798">
        <f t="shared" si="63"/>
        <v>0</v>
      </c>
      <c r="W180" s="798">
        <f t="shared" si="63"/>
        <v>0</v>
      </c>
      <c r="X180" s="798">
        <f t="shared" si="63"/>
        <v>0</v>
      </c>
      <c r="Y180" s="798">
        <f t="shared" si="63"/>
        <v>0</v>
      </c>
      <c r="Z180" s="798">
        <f t="shared" si="63"/>
        <v>0</v>
      </c>
      <c r="AA180" s="798">
        <f t="shared" si="63"/>
        <v>0</v>
      </c>
      <c r="AB180" s="798">
        <f t="shared" si="63"/>
        <v>0</v>
      </c>
      <c r="AC180" s="798">
        <f t="shared" si="63"/>
        <v>0</v>
      </c>
      <c r="AD180" s="798">
        <f t="shared" si="63"/>
        <v>0</v>
      </c>
      <c r="AE180" s="798">
        <f t="shared" si="63"/>
        <v>0</v>
      </c>
      <c r="AF180" s="798">
        <f t="shared" si="63"/>
        <v>0</v>
      </c>
      <c r="AG180" s="798">
        <f t="shared" si="63"/>
        <v>0</v>
      </c>
      <c r="AH180" s="798">
        <f t="shared" si="63"/>
        <v>0</v>
      </c>
      <c r="AI180" s="798">
        <f t="shared" si="63"/>
        <v>0</v>
      </c>
      <c r="AJ180" s="798">
        <f t="shared" si="63"/>
        <v>0</v>
      </c>
      <c r="AK180" s="798">
        <f t="shared" si="63"/>
        <v>0</v>
      </c>
      <c r="AL180" s="798"/>
      <c r="AM180" s="798"/>
      <c r="AN180" s="798"/>
      <c r="AO180" s="798"/>
      <c r="AP180" s="798"/>
      <c r="AQ180" s="798"/>
      <c r="AR180" s="798"/>
      <c r="AS180" s="798"/>
      <c r="AT180" s="798"/>
      <c r="AU180" s="798"/>
      <c r="AV180" s="798"/>
      <c r="AW180" s="798"/>
      <c r="AX180" s="798"/>
      <c r="AY180" s="798"/>
      <c r="AZ180" s="798"/>
      <c r="BA180" s="798"/>
      <c r="BB180" s="798"/>
      <c r="BC180" s="798"/>
      <c r="BD180" s="798"/>
      <c r="BE180" s="798"/>
      <c r="BF180" s="798"/>
      <c r="BG180" s="798"/>
      <c r="BH180" s="798"/>
      <c r="BI180" s="798"/>
      <c r="BJ180" s="798"/>
      <c r="BK180" s="798"/>
      <c r="BL180" s="798"/>
      <c r="BM180" s="798"/>
      <c r="BN180" s="798"/>
      <c r="BO180" s="798"/>
      <c r="BP180" s="798"/>
      <c r="BQ180" s="798"/>
      <c r="BR180" s="798"/>
      <c r="BS180" s="798"/>
      <c r="BT180" s="798"/>
      <c r="BU180" s="798"/>
      <c r="BV180" s="798"/>
      <c r="BW180" s="798"/>
      <c r="BX180" s="798"/>
      <c r="BY180" s="798"/>
      <c r="BZ180" s="798"/>
      <c r="CA180" s="798"/>
      <c r="CB180" s="798"/>
      <c r="CC180" s="798"/>
      <c r="CD180" s="798"/>
      <c r="CE180" s="798"/>
      <c r="CF180" s="798"/>
      <c r="CG180" s="798"/>
      <c r="CH180" s="798"/>
      <c r="CI180" s="798"/>
    </row>
    <row r="181" spans="2:87" x14ac:dyDescent="0.2">
      <c r="B181" s="801" t="s">
        <v>778</v>
      </c>
      <c r="C181" s="802" t="s">
        <v>393</v>
      </c>
      <c r="D181" s="803" t="s">
        <v>779</v>
      </c>
      <c r="E181" s="802" t="s">
        <v>236</v>
      </c>
      <c r="F181" s="804">
        <v>2</v>
      </c>
      <c r="G181" s="805">
        <f>G179-G178</f>
        <v>0</v>
      </c>
      <c r="H181" s="805">
        <f t="shared" ref="H181:AK181" si="64">H179-H178</f>
        <v>0</v>
      </c>
      <c r="I181" s="805">
        <f t="shared" si="64"/>
        <v>2.0259630231860903</v>
      </c>
      <c r="J181" s="805">
        <f t="shared" si="64"/>
        <v>2.4949467175975006</v>
      </c>
      <c r="K181" s="805">
        <f t="shared" si="64"/>
        <v>2.4782763018129375</v>
      </c>
      <c r="L181" s="805">
        <f>L179-L178</f>
        <v>2.4301731795138997</v>
      </c>
      <c r="M181" s="806">
        <f t="shared" si="64"/>
        <v>2.3956830378119127</v>
      </c>
      <c r="N181" s="806">
        <f t="shared" si="64"/>
        <v>3.0000000000000138E-2</v>
      </c>
      <c r="O181" s="806">
        <f t="shared" si="64"/>
        <v>2.9999999999999111E-2</v>
      </c>
      <c r="P181" s="806">
        <f t="shared" si="64"/>
        <v>3.0000000000001026E-2</v>
      </c>
      <c r="Q181" s="806">
        <f t="shared" si="64"/>
        <v>3.0000000000000054E-2</v>
      </c>
      <c r="R181" s="798">
        <f t="shared" si="64"/>
        <v>2.9999999999999416E-2</v>
      </c>
      <c r="S181" s="798">
        <f t="shared" ref="S181:AJ181" si="65">S179-S178</f>
        <v>2.9999999999999916E-2</v>
      </c>
      <c r="T181" s="806">
        <f t="shared" si="65"/>
        <v>2.9999999999998972E-2</v>
      </c>
      <c r="U181" s="806">
        <f t="shared" si="65"/>
        <v>3.0000000000000526E-2</v>
      </c>
      <c r="V181" s="806">
        <f t="shared" si="65"/>
        <v>2.9999999999999194E-2</v>
      </c>
      <c r="W181" s="806">
        <f t="shared" si="65"/>
        <v>2.9999999999999138E-2</v>
      </c>
      <c r="X181" s="806">
        <f t="shared" si="65"/>
        <v>3.0000000000000221E-2</v>
      </c>
      <c r="Y181" s="806">
        <f t="shared" si="65"/>
        <v>3.0000000000000832E-2</v>
      </c>
      <c r="Z181" s="806">
        <f t="shared" si="65"/>
        <v>3.0000000000000832E-2</v>
      </c>
      <c r="AA181" s="806">
        <f t="shared" si="65"/>
        <v>2.999999999999986E-2</v>
      </c>
      <c r="AB181" s="806">
        <f t="shared" si="65"/>
        <v>3.000000000000061E-2</v>
      </c>
      <c r="AC181" s="806">
        <f t="shared" si="65"/>
        <v>3.000000000000122E-2</v>
      </c>
      <c r="AD181" s="806">
        <f t="shared" si="65"/>
        <v>3.0000000000001192E-2</v>
      </c>
      <c r="AE181" s="806">
        <f t="shared" si="65"/>
        <v>3.0000000000000943E-2</v>
      </c>
      <c r="AF181" s="806">
        <f t="shared" si="65"/>
        <v>3.0000000000000554E-2</v>
      </c>
      <c r="AG181" s="806">
        <f t="shared" si="65"/>
        <v>3.0000000000000415E-2</v>
      </c>
      <c r="AH181" s="806">
        <f t="shared" si="65"/>
        <v>2.999999999999825E-2</v>
      </c>
      <c r="AI181" s="806">
        <f t="shared" si="65"/>
        <v>2.9999999999999666E-2</v>
      </c>
      <c r="AJ181" s="806">
        <f t="shared" si="65"/>
        <v>3.0000000000000498E-2</v>
      </c>
      <c r="AK181" s="806">
        <f t="shared" si="64"/>
        <v>2.999999999999875E-2</v>
      </c>
      <c r="AL181" s="806"/>
      <c r="AM181" s="806"/>
      <c r="AN181" s="806"/>
      <c r="AO181" s="806"/>
      <c r="AP181" s="806"/>
      <c r="AQ181" s="806"/>
      <c r="AR181" s="806"/>
      <c r="AS181" s="806"/>
      <c r="AT181" s="806"/>
      <c r="AU181" s="806"/>
      <c r="AV181" s="806"/>
      <c r="AW181" s="806"/>
      <c r="AX181" s="806"/>
      <c r="AY181" s="806"/>
      <c r="AZ181" s="806"/>
      <c r="BA181" s="806"/>
      <c r="BB181" s="806"/>
      <c r="BC181" s="806"/>
      <c r="BD181" s="806"/>
      <c r="BE181" s="806"/>
      <c r="BF181" s="806"/>
      <c r="BG181" s="806"/>
      <c r="BH181" s="806"/>
      <c r="BI181" s="806"/>
      <c r="BJ181" s="806"/>
      <c r="BK181" s="806"/>
      <c r="BL181" s="806"/>
      <c r="BM181" s="806"/>
      <c r="BN181" s="806"/>
      <c r="BO181" s="806"/>
      <c r="BP181" s="806"/>
      <c r="BQ181" s="806"/>
      <c r="BR181" s="806"/>
      <c r="BS181" s="806"/>
      <c r="BT181" s="806"/>
      <c r="BU181" s="806"/>
      <c r="BV181" s="806"/>
      <c r="BW181" s="806"/>
      <c r="BX181" s="806"/>
      <c r="BY181" s="806"/>
      <c r="BZ181" s="806"/>
      <c r="CA181" s="806"/>
      <c r="CB181" s="806"/>
      <c r="CC181" s="806"/>
      <c r="CD181" s="806"/>
      <c r="CE181" s="806"/>
      <c r="CF181" s="806"/>
      <c r="CG181" s="806"/>
      <c r="CH181" s="806"/>
      <c r="CI181" s="807"/>
    </row>
    <row r="182" spans="2:87" x14ac:dyDescent="0.2">
      <c r="B182" s="652"/>
      <c r="C182" s="652"/>
      <c r="D182" s="53"/>
      <c r="E182" s="652"/>
      <c r="F182" s="808"/>
      <c r="G182" s="809"/>
      <c r="H182" s="809"/>
      <c r="I182" s="809"/>
      <c r="J182" s="809"/>
      <c r="K182" s="809"/>
      <c r="L182" s="809"/>
      <c r="M182" s="809"/>
      <c r="N182" s="809"/>
      <c r="O182" s="809"/>
      <c r="P182" s="809"/>
      <c r="Q182" s="809"/>
      <c r="R182" s="809"/>
      <c r="S182" s="809"/>
      <c r="T182" s="809"/>
      <c r="U182" s="809"/>
      <c r="V182" s="809"/>
      <c r="W182" s="809"/>
      <c r="X182" s="809"/>
      <c r="Y182" s="809"/>
      <c r="Z182" s="809"/>
      <c r="AA182" s="809"/>
      <c r="AB182" s="809"/>
      <c r="AC182" s="809"/>
      <c r="AD182" s="809"/>
      <c r="AE182" s="809"/>
      <c r="AF182" s="809"/>
      <c r="AG182" s="809"/>
      <c r="AH182" s="809"/>
      <c r="AI182" s="809"/>
      <c r="AJ182" s="809"/>
      <c r="AK182" s="809"/>
      <c r="AL182" s="809"/>
      <c r="AM182" s="809"/>
      <c r="AN182" s="809"/>
      <c r="AO182" s="809"/>
      <c r="AP182" s="809"/>
      <c r="AQ182" s="809"/>
      <c r="AR182" s="809"/>
      <c r="AS182" s="809"/>
      <c r="AT182" s="809"/>
      <c r="AU182" s="809"/>
      <c r="AV182" s="809"/>
      <c r="AW182" s="809"/>
      <c r="AX182" s="809"/>
      <c r="AY182" s="809"/>
      <c r="AZ182" s="809"/>
      <c r="BA182" s="809"/>
      <c r="BB182" s="809"/>
      <c r="BC182" s="809"/>
      <c r="BD182" s="809"/>
      <c r="BE182" s="809"/>
      <c r="BF182" s="809"/>
      <c r="BG182" s="809"/>
      <c r="BH182" s="809"/>
      <c r="BI182" s="809"/>
      <c r="BJ182" s="809"/>
      <c r="BK182" s="809"/>
      <c r="BL182" s="809"/>
      <c r="BM182" s="809"/>
      <c r="BN182" s="809"/>
      <c r="BO182" s="809"/>
      <c r="BP182" s="809"/>
      <c r="BQ182" s="809"/>
      <c r="BR182" s="809"/>
      <c r="BS182" s="809"/>
      <c r="BT182" s="809"/>
      <c r="BU182" s="809"/>
      <c r="BV182" s="809"/>
      <c r="BW182" s="809"/>
      <c r="BX182" s="809"/>
      <c r="BY182" s="809"/>
      <c r="BZ182" s="809"/>
      <c r="CA182" s="809"/>
      <c r="CB182" s="809"/>
      <c r="CC182" s="809"/>
      <c r="CD182" s="809"/>
      <c r="CE182" s="809"/>
      <c r="CF182" s="809"/>
      <c r="CG182" s="809"/>
      <c r="CH182" s="809"/>
      <c r="CI182" s="809"/>
    </row>
    <row r="183" spans="2:87" ht="44.1" customHeight="1" thickBot="1" x14ac:dyDescent="0.25">
      <c r="C183" s="1498"/>
      <c r="R183" s="1292"/>
      <c r="S183" s="1292"/>
      <c r="T183" s="1292"/>
      <c r="U183" s="1292"/>
      <c r="V183" s="1292"/>
      <c r="W183" s="1292"/>
      <c r="X183" s="1292"/>
      <c r="Y183" s="1292"/>
      <c r="Z183" s="1292"/>
      <c r="AA183" s="1292"/>
      <c r="AB183" s="1292"/>
      <c r="AC183" s="1292"/>
      <c r="AD183" s="1292"/>
      <c r="AE183" s="1292"/>
      <c r="AF183" s="1292"/>
      <c r="AG183" s="1292"/>
      <c r="AH183" s="1292"/>
      <c r="AI183" s="1292"/>
      <c r="AJ183" s="1292"/>
      <c r="AK183" s="1292"/>
    </row>
    <row r="184" spans="2:87" x14ac:dyDescent="0.2">
      <c r="B184" s="1287" t="s">
        <v>64</v>
      </c>
      <c r="C184" s="1284" t="s">
        <v>444</v>
      </c>
      <c r="D184" s="1287" t="s">
        <v>2</v>
      </c>
      <c r="E184" s="1468">
        <f>E13</f>
        <v>16</v>
      </c>
    </row>
    <row r="185" spans="2:87" ht="15" thickBot="1" x14ac:dyDescent="0.25">
      <c r="B185" s="1289" t="s">
        <v>445</v>
      </c>
      <c r="C185" s="1290" t="str">
        <f ca="1">MID(CELL("filename",A182),FIND("]",CELL("filename",A182))+1,255)</f>
        <v>ESWBLY</v>
      </c>
      <c r="D185" s="1291" t="s">
        <v>200</v>
      </c>
      <c r="E185" s="1290" t="s">
        <v>780</v>
      </c>
    </row>
    <row r="186" spans="2:87" x14ac:dyDescent="0.2">
      <c r="B186" s="1296"/>
    </row>
    <row r="187" spans="2:87" x14ac:dyDescent="0.2">
      <c r="B187" s="1296"/>
    </row>
    <row r="188" spans="2:87" x14ac:dyDescent="0.2">
      <c r="B188" s="1296"/>
    </row>
    <row r="189" spans="2:87" x14ac:dyDescent="0.2">
      <c r="B189" s="1296"/>
    </row>
    <row r="190" spans="2:87" x14ac:dyDescent="0.2">
      <c r="B190" s="1296"/>
    </row>
    <row r="191" spans="2:87" x14ac:dyDescent="0.2">
      <c r="B191" s="1296"/>
    </row>
    <row r="192" spans="2:87" x14ac:dyDescent="0.2">
      <c r="B192" s="1296"/>
    </row>
    <row r="193" spans="1:89" x14ac:dyDescent="0.2">
      <c r="B193" s="1296"/>
    </row>
    <row r="194" spans="1:89" x14ac:dyDescent="0.2">
      <c r="B194" s="1296"/>
    </row>
    <row r="195" spans="1:89" x14ac:dyDescent="0.2">
      <c r="B195" s="1296"/>
    </row>
    <row r="196" spans="1:89" x14ac:dyDescent="0.2">
      <c r="B196" s="1296"/>
    </row>
    <row r="197" spans="1:89" x14ac:dyDescent="0.2">
      <c r="B197" s="1296"/>
    </row>
    <row r="198" spans="1:89" x14ac:dyDescent="0.2">
      <c r="B198" s="1296"/>
    </row>
    <row r="199" spans="1:89" x14ac:dyDescent="0.2">
      <c r="B199" s="1296"/>
    </row>
    <row r="200" spans="1:89" x14ac:dyDescent="0.2">
      <c r="B200" s="1296"/>
    </row>
    <row r="201" spans="1:89" x14ac:dyDescent="0.2">
      <c r="B201" s="1296"/>
    </row>
    <row r="202" spans="1:89" ht="15.75" thickBot="1" x14ac:dyDescent="0.25">
      <c r="CJ202" s="523"/>
    </row>
    <row r="203" spans="1:89" ht="15.75" thickBot="1" x14ac:dyDescent="0.25">
      <c r="B203" s="810" t="s">
        <v>441</v>
      </c>
      <c r="C203" s="1306" t="s">
        <v>204</v>
      </c>
      <c r="D203" s="523"/>
      <c r="E203" s="523"/>
      <c r="F203" s="523"/>
      <c r="G203" s="523"/>
      <c r="H203" s="523"/>
      <c r="I203" s="523"/>
      <c r="J203" s="523"/>
      <c r="K203" s="523"/>
      <c r="L203" s="523"/>
      <c r="M203" s="523"/>
      <c r="N203" s="523"/>
      <c r="O203" s="523"/>
      <c r="P203" s="523"/>
      <c r="Q203" s="523"/>
      <c r="R203" s="523"/>
      <c r="S203" s="523"/>
      <c r="T203" s="523"/>
      <c r="U203" s="523"/>
      <c r="V203" s="523"/>
      <c r="W203" s="523"/>
      <c r="X203" s="523"/>
      <c r="Y203" s="523"/>
      <c r="Z203" s="523"/>
      <c r="AA203" s="523"/>
      <c r="AB203" s="523"/>
      <c r="AC203" s="523"/>
      <c r="AD203" s="523"/>
      <c r="AE203" s="523"/>
      <c r="AF203" s="523"/>
      <c r="AG203" s="523"/>
      <c r="AH203" s="523"/>
      <c r="AI203" s="523"/>
      <c r="AJ203" s="523"/>
      <c r="AK203" s="523"/>
      <c r="AL203" s="523"/>
      <c r="AM203" s="523"/>
      <c r="AN203" s="523"/>
      <c r="AO203" s="523"/>
      <c r="AP203" s="523"/>
      <c r="AQ203" s="523"/>
      <c r="AR203" s="523"/>
      <c r="AS203" s="523"/>
      <c r="AT203" s="523"/>
      <c r="AU203" s="523"/>
      <c r="AV203" s="523"/>
      <c r="AW203" s="523"/>
      <c r="AX203" s="523"/>
      <c r="AY203" s="523"/>
      <c r="AZ203" s="523"/>
      <c r="BA203" s="523"/>
      <c r="BB203" s="523"/>
      <c r="BC203" s="523"/>
      <c r="BD203" s="523"/>
      <c r="BE203" s="523"/>
      <c r="BF203" s="523"/>
      <c r="BG203" s="523"/>
      <c r="BH203" s="523"/>
      <c r="BI203" s="523"/>
      <c r="BJ203" s="523"/>
      <c r="BK203" s="523"/>
      <c r="BL203" s="523"/>
      <c r="BM203" s="523"/>
      <c r="BN203" s="523"/>
      <c r="BO203" s="523"/>
      <c r="BP203" s="523"/>
      <c r="BQ203" s="523"/>
      <c r="BR203" s="523"/>
      <c r="BS203" s="523"/>
      <c r="BT203" s="523"/>
      <c r="BU203" s="523"/>
      <c r="BV203" s="523"/>
      <c r="BW203" s="523"/>
      <c r="BX203" s="523"/>
      <c r="BY203" s="523"/>
      <c r="BZ203" s="523"/>
      <c r="CA203" s="523"/>
      <c r="CB203" s="523"/>
      <c r="CC203" s="523"/>
      <c r="CD203" s="523"/>
      <c r="CE203" s="523"/>
      <c r="CF203" s="523"/>
      <c r="CG203" s="523"/>
      <c r="CH203" s="523"/>
      <c r="CI203" s="523"/>
    </row>
    <row r="204" spans="1:89" s="1292" customFormat="1" ht="15.75" thickBot="1" x14ac:dyDescent="0.25">
      <c r="A204" s="1284"/>
      <c r="B204" s="811" t="s">
        <v>446</v>
      </c>
      <c r="C204" s="812" t="s">
        <v>205</v>
      </c>
      <c r="D204" s="812" t="s">
        <v>71</v>
      </c>
      <c r="E204" s="812" t="s">
        <v>206</v>
      </c>
      <c r="F204" s="813" t="s">
        <v>207</v>
      </c>
      <c r="G204" s="811" t="s">
        <v>208</v>
      </c>
      <c r="H204" s="811" t="s">
        <v>209</v>
      </c>
      <c r="I204" s="811" t="s">
        <v>210</v>
      </c>
      <c r="J204" s="811" t="s">
        <v>211</v>
      </c>
      <c r="K204" s="811" t="s">
        <v>212</v>
      </c>
      <c r="L204" s="811" t="s">
        <v>213</v>
      </c>
      <c r="M204" s="812" t="s">
        <v>214</v>
      </c>
      <c r="N204" s="812" t="s">
        <v>215</v>
      </c>
      <c r="O204" s="812" t="s">
        <v>216</v>
      </c>
      <c r="P204" s="812" t="s">
        <v>217</v>
      </c>
      <c r="Q204" s="812" t="s">
        <v>218</v>
      </c>
      <c r="R204" s="812" t="s">
        <v>247</v>
      </c>
      <c r="S204" s="812" t="s">
        <v>248</v>
      </c>
      <c r="T204" s="812" t="s">
        <v>249</v>
      </c>
      <c r="U204" s="812" t="s">
        <v>250</v>
      </c>
      <c r="V204" s="812" t="s">
        <v>219</v>
      </c>
      <c r="W204" s="812" t="s">
        <v>251</v>
      </c>
      <c r="X204" s="812" t="s">
        <v>252</v>
      </c>
      <c r="Y204" s="812" t="s">
        <v>253</v>
      </c>
      <c r="Z204" s="812" t="s">
        <v>254</v>
      </c>
      <c r="AA204" s="812" t="s">
        <v>220</v>
      </c>
      <c r="AB204" s="812" t="s">
        <v>255</v>
      </c>
      <c r="AC204" s="812" t="s">
        <v>256</v>
      </c>
      <c r="AD204" s="812" t="s">
        <v>257</v>
      </c>
      <c r="AE204" s="812" t="s">
        <v>258</v>
      </c>
      <c r="AF204" s="812" t="s">
        <v>221</v>
      </c>
      <c r="AG204" s="812" t="s">
        <v>259</v>
      </c>
      <c r="AH204" s="812" t="s">
        <v>260</v>
      </c>
      <c r="AI204" s="812" t="s">
        <v>261</v>
      </c>
      <c r="AJ204" s="812" t="s">
        <v>262</v>
      </c>
      <c r="AK204" s="812" t="s">
        <v>222</v>
      </c>
      <c r="AL204" s="812" t="s">
        <v>263</v>
      </c>
      <c r="AM204" s="812" t="s">
        <v>264</v>
      </c>
      <c r="AN204" s="812" t="s">
        <v>265</v>
      </c>
      <c r="AO204" s="812" t="s">
        <v>266</v>
      </c>
      <c r="AP204" s="812" t="s">
        <v>223</v>
      </c>
      <c r="AQ204" s="812" t="s">
        <v>267</v>
      </c>
      <c r="AR204" s="812" t="s">
        <v>268</v>
      </c>
      <c r="AS204" s="812" t="s">
        <v>269</v>
      </c>
      <c r="AT204" s="812" t="s">
        <v>270</v>
      </c>
      <c r="AU204" s="812" t="s">
        <v>224</v>
      </c>
      <c r="AV204" s="812" t="s">
        <v>271</v>
      </c>
      <c r="AW204" s="812" t="s">
        <v>272</v>
      </c>
      <c r="AX204" s="812" t="s">
        <v>273</v>
      </c>
      <c r="AY204" s="812" t="s">
        <v>274</v>
      </c>
      <c r="AZ204" s="812" t="s">
        <v>225</v>
      </c>
      <c r="BA204" s="812" t="s">
        <v>275</v>
      </c>
      <c r="BB204" s="812" t="s">
        <v>276</v>
      </c>
      <c r="BC204" s="812" t="s">
        <v>277</v>
      </c>
      <c r="BD204" s="812" t="s">
        <v>278</v>
      </c>
      <c r="BE204" s="812" t="s">
        <v>226</v>
      </c>
      <c r="BF204" s="812" t="s">
        <v>279</v>
      </c>
      <c r="BG204" s="812" t="s">
        <v>280</v>
      </c>
      <c r="BH204" s="812" t="s">
        <v>281</v>
      </c>
      <c r="BI204" s="812" t="s">
        <v>282</v>
      </c>
      <c r="BJ204" s="812" t="s">
        <v>227</v>
      </c>
      <c r="BK204" s="812" t="s">
        <v>283</v>
      </c>
      <c r="BL204" s="812" t="s">
        <v>284</v>
      </c>
      <c r="BM204" s="812" t="s">
        <v>285</v>
      </c>
      <c r="BN204" s="812" t="s">
        <v>286</v>
      </c>
      <c r="BO204" s="812" t="s">
        <v>228</v>
      </c>
      <c r="BP204" s="812" t="s">
        <v>287</v>
      </c>
      <c r="BQ204" s="812" t="s">
        <v>288</v>
      </c>
      <c r="BR204" s="812" t="s">
        <v>289</v>
      </c>
      <c r="BS204" s="812" t="s">
        <v>290</v>
      </c>
      <c r="BT204" s="812" t="s">
        <v>229</v>
      </c>
      <c r="BU204" s="812" t="s">
        <v>291</v>
      </c>
      <c r="BV204" s="812" t="s">
        <v>292</v>
      </c>
      <c r="BW204" s="812" t="s">
        <v>293</v>
      </c>
      <c r="BX204" s="812" t="s">
        <v>294</v>
      </c>
      <c r="BY204" s="812" t="s">
        <v>230</v>
      </c>
      <c r="BZ204" s="812" t="s">
        <v>295</v>
      </c>
      <c r="CA204" s="812" t="s">
        <v>296</v>
      </c>
      <c r="CB204" s="812" t="s">
        <v>297</v>
      </c>
      <c r="CC204" s="812" t="s">
        <v>298</v>
      </c>
      <c r="CD204" s="812" t="s">
        <v>231</v>
      </c>
      <c r="CE204" s="812" t="s">
        <v>299</v>
      </c>
      <c r="CF204" s="812" t="s">
        <v>300</v>
      </c>
      <c r="CG204" s="812" t="s">
        <v>301</v>
      </c>
      <c r="CH204" s="812" t="s">
        <v>302</v>
      </c>
      <c r="CI204" s="813" t="s">
        <v>232</v>
      </c>
      <c r="CK204" s="1293"/>
    </row>
    <row r="205" spans="1:89" s="1292" customFormat="1" x14ac:dyDescent="0.2">
      <c r="A205" s="1284"/>
      <c r="B205" s="814" t="s">
        <v>447</v>
      </c>
      <c r="C205" s="815" t="s">
        <v>448</v>
      </c>
      <c r="D205" s="816" t="s">
        <v>86</v>
      </c>
      <c r="E205" s="817" t="s">
        <v>236</v>
      </c>
      <c r="F205" s="818">
        <v>2</v>
      </c>
      <c r="G205" s="532"/>
      <c r="H205" s="540"/>
      <c r="I205" s="540">
        <v>11.77088642169371</v>
      </c>
      <c r="J205" s="540">
        <v>11.675485388856485</v>
      </c>
      <c r="K205" s="540">
        <v>11.588794080854624</v>
      </c>
      <c r="L205" s="540">
        <v>11.520070609742477</v>
      </c>
      <c r="M205" s="1342">
        <v>11.939275433716444</v>
      </c>
      <c r="N205" s="1342">
        <v>12.031403903760085</v>
      </c>
      <c r="O205" s="1342">
        <v>12.07584009123465</v>
      </c>
      <c r="P205" s="1342">
        <v>12.084965522148989</v>
      </c>
      <c r="Q205" s="1342">
        <v>12.070469823536685</v>
      </c>
      <c r="R205" s="1342">
        <v>12.048199653827748</v>
      </c>
      <c r="S205" s="1342">
        <v>12.031738178794475</v>
      </c>
      <c r="T205" s="1342">
        <v>14.338039488934054</v>
      </c>
      <c r="U205" s="1342">
        <v>14.313573778670715</v>
      </c>
      <c r="V205" s="1342">
        <v>14.290333717437749</v>
      </c>
      <c r="W205" s="1342">
        <v>14.27034789268966</v>
      </c>
      <c r="X205" s="1342">
        <v>14.250256477949325</v>
      </c>
      <c r="Y205" s="1342">
        <v>14.234196974892825</v>
      </c>
      <c r="Z205" s="1342">
        <v>14.221947155559223</v>
      </c>
      <c r="AA205" s="1342">
        <v>14.210245159321591</v>
      </c>
      <c r="AB205" s="1342">
        <v>14.192654738677222</v>
      </c>
      <c r="AC205" s="1342">
        <v>14.180622386996552</v>
      </c>
      <c r="AD205" s="1342">
        <v>14.170871235745624</v>
      </c>
      <c r="AE205" s="1342">
        <v>14.17898465263627</v>
      </c>
      <c r="AF205" s="1342">
        <v>14.188321114362106</v>
      </c>
      <c r="AG205" s="1342">
        <v>14.197708076788107</v>
      </c>
      <c r="AH205" s="1342">
        <v>14.208791225983491</v>
      </c>
      <c r="AI205" s="1342">
        <v>14.22102295147497</v>
      </c>
      <c r="AJ205" s="1342">
        <v>14.23487844725326</v>
      </c>
      <c r="AK205" s="1342">
        <v>14.250386136037806</v>
      </c>
      <c r="AL205" s="1342"/>
      <c r="AM205" s="1342"/>
      <c r="AN205" s="1342"/>
      <c r="AO205" s="1342"/>
      <c r="AP205" s="1342"/>
      <c r="AQ205" s="1342"/>
      <c r="AR205" s="1342"/>
      <c r="AS205" s="1342"/>
      <c r="AT205" s="1342"/>
      <c r="AU205" s="1342"/>
      <c r="AV205" s="1342"/>
      <c r="AW205" s="1342"/>
      <c r="AX205" s="1342"/>
      <c r="AY205" s="1342"/>
      <c r="AZ205" s="1342"/>
      <c r="BA205" s="1342"/>
      <c r="BB205" s="1342"/>
      <c r="BC205" s="1342"/>
      <c r="BD205" s="1342"/>
      <c r="BE205" s="1342"/>
      <c r="BF205" s="1342"/>
      <c r="BG205" s="1342"/>
      <c r="BH205" s="1342"/>
      <c r="BI205" s="1342"/>
      <c r="BJ205" s="1342"/>
      <c r="BK205" s="1342"/>
      <c r="BL205" s="1342"/>
      <c r="BM205" s="1342"/>
      <c r="BN205" s="1342"/>
      <c r="BO205" s="1342"/>
      <c r="BP205" s="1342"/>
      <c r="BQ205" s="1342"/>
      <c r="BR205" s="1342"/>
      <c r="BS205" s="1342"/>
      <c r="BT205" s="1342"/>
      <c r="BU205" s="1342"/>
      <c r="BV205" s="1342"/>
      <c r="BW205" s="1342"/>
      <c r="BX205" s="1342"/>
      <c r="BY205" s="1342"/>
      <c r="BZ205" s="1342"/>
      <c r="CA205" s="1342"/>
      <c r="CB205" s="1342"/>
      <c r="CC205" s="1342"/>
      <c r="CD205" s="1342"/>
      <c r="CE205" s="1342"/>
      <c r="CF205" s="1342"/>
      <c r="CG205" s="1342"/>
      <c r="CH205" s="1342"/>
      <c r="CI205" s="1342"/>
      <c r="CK205" s="1293"/>
    </row>
    <row r="206" spans="1:89" s="1292" customFormat="1" x14ac:dyDescent="0.2">
      <c r="A206" s="1284"/>
      <c r="B206" s="819" t="s">
        <v>449</v>
      </c>
      <c r="C206" s="820" t="s">
        <v>681</v>
      </c>
      <c r="D206" s="821" t="s">
        <v>86</v>
      </c>
      <c r="E206" s="822" t="s">
        <v>236</v>
      </c>
      <c r="F206" s="823">
        <v>2</v>
      </c>
      <c r="G206" s="1008"/>
      <c r="H206" s="540"/>
      <c r="I206" s="540">
        <v>0</v>
      </c>
      <c r="J206" s="540">
        <v>0</v>
      </c>
      <c r="K206" s="540">
        <v>0</v>
      </c>
      <c r="L206" s="540">
        <v>0</v>
      </c>
      <c r="M206" s="1342">
        <v>0</v>
      </c>
      <c r="N206" s="1342">
        <v>0</v>
      </c>
      <c r="O206" s="1342">
        <v>0</v>
      </c>
      <c r="P206" s="1342">
        <v>0</v>
      </c>
      <c r="Q206" s="1342">
        <v>0</v>
      </c>
      <c r="R206" s="1342">
        <v>0</v>
      </c>
      <c r="S206" s="1342">
        <v>0</v>
      </c>
      <c r="T206" s="1342">
        <v>0</v>
      </c>
      <c r="U206" s="1342">
        <v>0</v>
      </c>
      <c r="V206" s="1342">
        <v>0</v>
      </c>
      <c r="W206" s="1342">
        <v>0</v>
      </c>
      <c r="X206" s="1342">
        <v>0</v>
      </c>
      <c r="Y206" s="1342">
        <v>0</v>
      </c>
      <c r="Z206" s="1342">
        <v>0</v>
      </c>
      <c r="AA206" s="1342">
        <v>0</v>
      </c>
      <c r="AB206" s="1342">
        <v>0</v>
      </c>
      <c r="AC206" s="1342">
        <v>0</v>
      </c>
      <c r="AD206" s="1342">
        <v>0</v>
      </c>
      <c r="AE206" s="1342">
        <v>0</v>
      </c>
      <c r="AF206" s="1342">
        <v>0</v>
      </c>
      <c r="AG206" s="1342">
        <v>0</v>
      </c>
      <c r="AH206" s="1342">
        <v>0</v>
      </c>
      <c r="AI206" s="1342">
        <v>0</v>
      </c>
      <c r="AJ206" s="1342">
        <v>0</v>
      </c>
      <c r="AK206" s="1342">
        <v>0</v>
      </c>
      <c r="AL206" s="1342"/>
      <c r="AM206" s="1342"/>
      <c r="AN206" s="1342"/>
      <c r="AO206" s="1342"/>
      <c r="AP206" s="1342"/>
      <c r="AQ206" s="1342"/>
      <c r="AR206" s="1342"/>
      <c r="AS206" s="1342"/>
      <c r="AT206" s="1342"/>
      <c r="AU206" s="1342"/>
      <c r="AV206" s="1342"/>
      <c r="AW206" s="1342"/>
      <c r="AX206" s="1342"/>
      <c r="AY206" s="1342"/>
      <c r="AZ206" s="1342"/>
      <c r="BA206" s="1342"/>
      <c r="BB206" s="1342"/>
      <c r="BC206" s="1342"/>
      <c r="BD206" s="1342"/>
      <c r="BE206" s="1342"/>
      <c r="BF206" s="1342"/>
      <c r="BG206" s="1342"/>
      <c r="BH206" s="1342"/>
      <c r="BI206" s="1342"/>
      <c r="BJ206" s="1342"/>
      <c r="BK206" s="1342"/>
      <c r="BL206" s="1342"/>
      <c r="BM206" s="1342"/>
      <c r="BN206" s="1342"/>
      <c r="BO206" s="1342"/>
      <c r="BP206" s="1342"/>
      <c r="BQ206" s="1342"/>
      <c r="BR206" s="1342"/>
      <c r="BS206" s="1342"/>
      <c r="BT206" s="1342"/>
      <c r="BU206" s="1342"/>
      <c r="BV206" s="1342"/>
      <c r="BW206" s="1342"/>
      <c r="BX206" s="1342"/>
      <c r="BY206" s="1342"/>
      <c r="BZ206" s="1342"/>
      <c r="CA206" s="1342"/>
      <c r="CB206" s="1342"/>
      <c r="CC206" s="1342"/>
      <c r="CD206" s="1342"/>
      <c r="CE206" s="1342"/>
      <c r="CF206" s="1342"/>
      <c r="CG206" s="1342"/>
      <c r="CH206" s="1342"/>
      <c r="CI206" s="1342"/>
      <c r="CK206" s="1293"/>
    </row>
    <row r="207" spans="1:89" s="1292" customFormat="1" x14ac:dyDescent="0.2">
      <c r="A207" s="1284"/>
      <c r="B207" s="819" t="s">
        <v>451</v>
      </c>
      <c r="C207" s="820" t="s">
        <v>452</v>
      </c>
      <c r="D207" s="821" t="s">
        <v>86</v>
      </c>
      <c r="E207" s="822" t="s">
        <v>236</v>
      </c>
      <c r="F207" s="823">
        <v>2</v>
      </c>
      <c r="G207" s="540"/>
      <c r="H207" s="540"/>
      <c r="I207" s="540">
        <v>2.27</v>
      </c>
      <c r="J207" s="540">
        <v>2.27</v>
      </c>
      <c r="K207" s="540">
        <v>2.27</v>
      </c>
      <c r="L207" s="540">
        <v>2.27</v>
      </c>
      <c r="M207" s="1342">
        <v>2.27</v>
      </c>
      <c r="N207" s="1342">
        <v>2.27</v>
      </c>
      <c r="O207" s="1342">
        <v>2.27</v>
      </c>
      <c r="P207" s="1342">
        <v>2.27</v>
      </c>
      <c r="Q207" s="1342">
        <v>2.27</v>
      </c>
      <c r="R207" s="1342">
        <v>2.27</v>
      </c>
      <c r="S207" s="1342">
        <v>2.27</v>
      </c>
      <c r="T207" s="1342">
        <v>2.27</v>
      </c>
      <c r="U207" s="1342">
        <v>2.27</v>
      </c>
      <c r="V207" s="1342">
        <v>2.27</v>
      </c>
      <c r="W207" s="1342">
        <v>2.27</v>
      </c>
      <c r="X207" s="1342">
        <v>2.27</v>
      </c>
      <c r="Y207" s="1342">
        <v>2.27</v>
      </c>
      <c r="Z207" s="1342">
        <v>2.27</v>
      </c>
      <c r="AA207" s="1342">
        <v>2.27</v>
      </c>
      <c r="AB207" s="1342">
        <v>2.27</v>
      </c>
      <c r="AC207" s="1342">
        <v>2.27</v>
      </c>
      <c r="AD207" s="1342">
        <v>2.27</v>
      </c>
      <c r="AE207" s="1342">
        <v>2.27</v>
      </c>
      <c r="AF207" s="1342">
        <v>2.27</v>
      </c>
      <c r="AG207" s="1342">
        <v>2.27</v>
      </c>
      <c r="AH207" s="1342">
        <v>2.27</v>
      </c>
      <c r="AI207" s="1342">
        <v>2.27</v>
      </c>
      <c r="AJ207" s="1342">
        <v>2.27</v>
      </c>
      <c r="AK207" s="1342">
        <v>2.27</v>
      </c>
      <c r="AL207" s="1342"/>
      <c r="AM207" s="1342"/>
      <c r="AN207" s="1342"/>
      <c r="AO207" s="1342"/>
      <c r="AP207" s="1342"/>
      <c r="AQ207" s="1342"/>
      <c r="AR207" s="1342"/>
      <c r="AS207" s="1342"/>
      <c r="AT207" s="1342"/>
      <c r="AU207" s="1342"/>
      <c r="AV207" s="1342"/>
      <c r="AW207" s="1342"/>
      <c r="AX207" s="1342"/>
      <c r="AY207" s="1342"/>
      <c r="AZ207" s="1342"/>
      <c r="BA207" s="1342"/>
      <c r="BB207" s="1342"/>
      <c r="BC207" s="1342"/>
      <c r="BD207" s="1342"/>
      <c r="BE207" s="1342"/>
      <c r="BF207" s="1342"/>
      <c r="BG207" s="1342"/>
      <c r="BH207" s="1342"/>
      <c r="BI207" s="1342"/>
      <c r="BJ207" s="1342"/>
      <c r="BK207" s="1342"/>
      <c r="BL207" s="1342"/>
      <c r="BM207" s="1342"/>
      <c r="BN207" s="1342"/>
      <c r="BO207" s="1342"/>
      <c r="BP207" s="1342"/>
      <c r="BQ207" s="1342"/>
      <c r="BR207" s="1342"/>
      <c r="BS207" s="1342"/>
      <c r="BT207" s="1342"/>
      <c r="BU207" s="1342"/>
      <c r="BV207" s="1342"/>
      <c r="BW207" s="1342"/>
      <c r="BX207" s="1342"/>
      <c r="BY207" s="1342"/>
      <c r="BZ207" s="1342"/>
      <c r="CA207" s="1342"/>
      <c r="CB207" s="1342"/>
      <c r="CC207" s="1342"/>
      <c r="CD207" s="1342"/>
      <c r="CE207" s="1342"/>
      <c r="CF207" s="1342"/>
      <c r="CG207" s="1342"/>
      <c r="CH207" s="1342"/>
      <c r="CI207" s="1342"/>
      <c r="CK207" s="1293"/>
    </row>
    <row r="208" spans="1:89" s="1292" customFormat="1" x14ac:dyDescent="0.2">
      <c r="A208" s="1284"/>
      <c r="B208" s="819" t="s">
        <v>453</v>
      </c>
      <c r="C208" s="820" t="s">
        <v>454</v>
      </c>
      <c r="D208" s="821" t="s">
        <v>86</v>
      </c>
      <c r="E208" s="822" t="s">
        <v>236</v>
      </c>
      <c r="F208" s="823">
        <v>2</v>
      </c>
      <c r="G208" s="540"/>
      <c r="H208" s="540"/>
      <c r="I208" s="540">
        <v>0</v>
      </c>
      <c r="J208" s="540">
        <v>0</v>
      </c>
      <c r="K208" s="540">
        <v>0</v>
      </c>
      <c r="L208" s="540">
        <v>0</v>
      </c>
      <c r="M208" s="1342">
        <v>0</v>
      </c>
      <c r="N208" s="1342">
        <v>0</v>
      </c>
      <c r="O208" s="1342">
        <v>0</v>
      </c>
      <c r="P208" s="1342">
        <v>0</v>
      </c>
      <c r="Q208" s="1342">
        <v>0</v>
      </c>
      <c r="R208" s="1342">
        <v>0</v>
      </c>
      <c r="S208" s="1342">
        <v>0</v>
      </c>
      <c r="T208" s="1342">
        <v>0</v>
      </c>
      <c r="U208" s="1342">
        <v>0</v>
      </c>
      <c r="V208" s="1342">
        <v>0</v>
      </c>
      <c r="W208" s="1342">
        <v>0</v>
      </c>
      <c r="X208" s="1342">
        <v>0</v>
      </c>
      <c r="Y208" s="1342">
        <v>0</v>
      </c>
      <c r="Z208" s="1342">
        <v>0</v>
      </c>
      <c r="AA208" s="1342">
        <v>0</v>
      </c>
      <c r="AB208" s="1342">
        <v>0</v>
      </c>
      <c r="AC208" s="1342">
        <v>0</v>
      </c>
      <c r="AD208" s="1342">
        <v>0</v>
      </c>
      <c r="AE208" s="1342">
        <v>0</v>
      </c>
      <c r="AF208" s="1342">
        <v>0</v>
      </c>
      <c r="AG208" s="1342">
        <v>0</v>
      </c>
      <c r="AH208" s="1342">
        <v>0</v>
      </c>
      <c r="AI208" s="1342">
        <v>0</v>
      </c>
      <c r="AJ208" s="1342">
        <v>0</v>
      </c>
      <c r="AK208" s="1342">
        <v>0</v>
      </c>
      <c r="AL208" s="1342"/>
      <c r="AM208" s="1342"/>
      <c r="AN208" s="1342"/>
      <c r="AO208" s="1342"/>
      <c r="AP208" s="1342"/>
      <c r="AQ208" s="1342"/>
      <c r="AR208" s="1342"/>
      <c r="AS208" s="1342"/>
      <c r="AT208" s="1342"/>
      <c r="AU208" s="1342"/>
      <c r="AV208" s="1342"/>
      <c r="AW208" s="1342"/>
      <c r="AX208" s="1342"/>
      <c r="AY208" s="1342"/>
      <c r="AZ208" s="1342"/>
      <c r="BA208" s="1342"/>
      <c r="BB208" s="1342"/>
      <c r="BC208" s="1342"/>
      <c r="BD208" s="1342"/>
      <c r="BE208" s="1342"/>
      <c r="BF208" s="1342"/>
      <c r="BG208" s="1342"/>
      <c r="BH208" s="1342"/>
      <c r="BI208" s="1342"/>
      <c r="BJ208" s="1342"/>
      <c r="BK208" s="1342"/>
      <c r="BL208" s="1342"/>
      <c r="BM208" s="1342"/>
      <c r="BN208" s="1342"/>
      <c r="BO208" s="1342"/>
      <c r="BP208" s="1342"/>
      <c r="BQ208" s="1342"/>
      <c r="BR208" s="1342"/>
      <c r="BS208" s="1342"/>
      <c r="BT208" s="1342"/>
      <c r="BU208" s="1342"/>
      <c r="BV208" s="1342"/>
      <c r="BW208" s="1342"/>
      <c r="BX208" s="1342"/>
      <c r="BY208" s="1342"/>
      <c r="BZ208" s="1342"/>
      <c r="CA208" s="1342"/>
      <c r="CB208" s="1342"/>
      <c r="CC208" s="1342"/>
      <c r="CD208" s="1342"/>
      <c r="CE208" s="1342"/>
      <c r="CF208" s="1342"/>
      <c r="CG208" s="1342"/>
      <c r="CH208" s="1342"/>
      <c r="CI208" s="1342"/>
      <c r="CK208" s="1293"/>
    </row>
    <row r="209" spans="1:89" s="1292" customFormat="1" x14ac:dyDescent="0.2">
      <c r="A209" s="1284"/>
      <c r="B209" s="824" t="s">
        <v>455</v>
      </c>
      <c r="C209" s="820" t="s">
        <v>456</v>
      </c>
      <c r="D209" s="821" t="s">
        <v>86</v>
      </c>
      <c r="E209" s="822" t="s">
        <v>236</v>
      </c>
      <c r="F209" s="823">
        <v>2</v>
      </c>
      <c r="G209" s="540"/>
      <c r="H209" s="540"/>
      <c r="I209" s="540">
        <v>0</v>
      </c>
      <c r="J209" s="540">
        <v>0</v>
      </c>
      <c r="K209" s="540">
        <v>0</v>
      </c>
      <c r="L209" s="540">
        <v>0</v>
      </c>
      <c r="M209" s="1342">
        <v>0</v>
      </c>
      <c r="N209" s="1342">
        <v>0</v>
      </c>
      <c r="O209" s="1342">
        <v>0</v>
      </c>
      <c r="P209" s="1342">
        <v>0</v>
      </c>
      <c r="Q209" s="1342">
        <v>0</v>
      </c>
      <c r="R209" s="1342">
        <v>0</v>
      </c>
      <c r="S209" s="1342">
        <v>0</v>
      </c>
      <c r="T209" s="1342">
        <v>0</v>
      </c>
      <c r="U209" s="1342">
        <v>0</v>
      </c>
      <c r="V209" s="1342">
        <v>0</v>
      </c>
      <c r="W209" s="1342">
        <v>0</v>
      </c>
      <c r="X209" s="1342">
        <v>0</v>
      </c>
      <c r="Y209" s="1342">
        <v>0</v>
      </c>
      <c r="Z209" s="1342">
        <v>0</v>
      </c>
      <c r="AA209" s="1342">
        <v>0</v>
      </c>
      <c r="AB209" s="1342">
        <v>0</v>
      </c>
      <c r="AC209" s="1342">
        <v>0</v>
      </c>
      <c r="AD209" s="1342">
        <v>0</v>
      </c>
      <c r="AE209" s="1342">
        <v>0</v>
      </c>
      <c r="AF209" s="1342">
        <v>0</v>
      </c>
      <c r="AG209" s="1342">
        <v>0</v>
      </c>
      <c r="AH209" s="1342">
        <v>0</v>
      </c>
      <c r="AI209" s="1342">
        <v>0</v>
      </c>
      <c r="AJ209" s="1342">
        <v>0</v>
      </c>
      <c r="AK209" s="1342">
        <v>0</v>
      </c>
      <c r="AL209" s="1342"/>
      <c r="AM209" s="1342"/>
      <c r="AN209" s="1342"/>
      <c r="AO209" s="1342"/>
      <c r="AP209" s="1342"/>
      <c r="AQ209" s="1342"/>
      <c r="AR209" s="1342"/>
      <c r="AS209" s="1342"/>
      <c r="AT209" s="1342"/>
      <c r="AU209" s="1342"/>
      <c r="AV209" s="1342"/>
      <c r="AW209" s="1342"/>
      <c r="AX209" s="1342"/>
      <c r="AY209" s="1342"/>
      <c r="AZ209" s="1342"/>
      <c r="BA209" s="1342"/>
      <c r="BB209" s="1342"/>
      <c r="BC209" s="1342"/>
      <c r="BD209" s="1342"/>
      <c r="BE209" s="1342"/>
      <c r="BF209" s="1342"/>
      <c r="BG209" s="1342"/>
      <c r="BH209" s="1342"/>
      <c r="BI209" s="1342"/>
      <c r="BJ209" s="1342"/>
      <c r="BK209" s="1342"/>
      <c r="BL209" s="1342"/>
      <c r="BM209" s="1342"/>
      <c r="BN209" s="1342"/>
      <c r="BO209" s="1342"/>
      <c r="BP209" s="1342"/>
      <c r="BQ209" s="1342"/>
      <c r="BR209" s="1342"/>
      <c r="BS209" s="1342"/>
      <c r="BT209" s="1342"/>
      <c r="BU209" s="1342"/>
      <c r="BV209" s="1342"/>
      <c r="BW209" s="1342"/>
      <c r="BX209" s="1342"/>
      <c r="BY209" s="1342"/>
      <c r="BZ209" s="1342"/>
      <c r="CA209" s="1342"/>
      <c r="CB209" s="1342"/>
      <c r="CC209" s="1342"/>
      <c r="CD209" s="1342"/>
      <c r="CE209" s="1342"/>
      <c r="CF209" s="1342"/>
      <c r="CG209" s="1342"/>
      <c r="CH209" s="1342"/>
      <c r="CI209" s="1342"/>
      <c r="CK209" s="1293"/>
    </row>
    <row r="210" spans="1:89" s="1292" customFormat="1" x14ac:dyDescent="0.2">
      <c r="A210" s="1284"/>
      <c r="B210" s="824" t="s">
        <v>457</v>
      </c>
      <c r="C210" s="820" t="s">
        <v>458</v>
      </c>
      <c r="D210" s="821" t="s">
        <v>86</v>
      </c>
      <c r="E210" s="822" t="s">
        <v>236</v>
      </c>
      <c r="F210" s="823">
        <v>2</v>
      </c>
      <c r="G210" s="540"/>
      <c r="H210" s="540"/>
      <c r="I210" s="540">
        <v>-1.3800000000000001</v>
      </c>
      <c r="J210" s="540">
        <v>-1.3800000000000001</v>
      </c>
      <c r="K210" s="540">
        <v>-1.3800000000000001</v>
      </c>
      <c r="L210" s="540">
        <v>-1.3800000000000001</v>
      </c>
      <c r="M210" s="1342">
        <v>-1.3800000000000001</v>
      </c>
      <c r="N210" s="1342">
        <v>-1.3800000000000001</v>
      </c>
      <c r="O210" s="1342">
        <v>-1.3800000000000001</v>
      </c>
      <c r="P210" s="1342">
        <v>-1.3800000000000001</v>
      </c>
      <c r="Q210" s="1342">
        <v>-1.3800000000000001</v>
      </c>
      <c r="R210" s="1342">
        <v>-1.3800000000000001</v>
      </c>
      <c r="S210" s="1342">
        <v>-1.3800000000000001</v>
      </c>
      <c r="T210" s="1342">
        <v>-1.3800000000000001</v>
      </c>
      <c r="U210" s="1342">
        <v>-1.3800000000000001</v>
      </c>
      <c r="V210" s="1342">
        <v>-1.3800000000000001</v>
      </c>
      <c r="W210" s="1342">
        <v>-1.3800000000000001</v>
      </c>
      <c r="X210" s="1342">
        <v>-1.3800000000000001</v>
      </c>
      <c r="Y210" s="1342">
        <v>-1.3800000000000001</v>
      </c>
      <c r="Z210" s="1342">
        <v>-1.3800000000000001</v>
      </c>
      <c r="AA210" s="1342">
        <v>-1.3800000000000001</v>
      </c>
      <c r="AB210" s="1342">
        <v>-1.3800000000000001</v>
      </c>
      <c r="AC210" s="1342">
        <v>-1.3800000000000001</v>
      </c>
      <c r="AD210" s="1342">
        <v>-1.3800000000000001</v>
      </c>
      <c r="AE210" s="1342">
        <v>-1.3800000000000001</v>
      </c>
      <c r="AF210" s="1342">
        <v>-1.3800000000000001</v>
      </c>
      <c r="AG210" s="1342">
        <v>-1.3800000000000001</v>
      </c>
      <c r="AH210" s="1342">
        <v>-1.3800000000000001</v>
      </c>
      <c r="AI210" s="1342">
        <v>-1.3800000000000001</v>
      </c>
      <c r="AJ210" s="1342">
        <v>-1.3800000000000001</v>
      </c>
      <c r="AK210" s="1342">
        <v>-1.3800000000000001</v>
      </c>
      <c r="AL210" s="1342"/>
      <c r="AM210" s="1342"/>
      <c r="AN210" s="1342"/>
      <c r="AO210" s="1342"/>
      <c r="AP210" s="1342"/>
      <c r="AQ210" s="1342"/>
      <c r="AR210" s="1342"/>
      <c r="AS210" s="1342"/>
      <c r="AT210" s="1342"/>
      <c r="AU210" s="1342"/>
      <c r="AV210" s="1342"/>
      <c r="AW210" s="1342"/>
      <c r="AX210" s="1342"/>
      <c r="AY210" s="1342"/>
      <c r="AZ210" s="1342"/>
      <c r="BA210" s="1342"/>
      <c r="BB210" s="1342"/>
      <c r="BC210" s="1342"/>
      <c r="BD210" s="1342"/>
      <c r="BE210" s="1342"/>
      <c r="BF210" s="1342"/>
      <c r="BG210" s="1342"/>
      <c r="BH210" s="1342"/>
      <c r="BI210" s="1342"/>
      <c r="BJ210" s="1342"/>
      <c r="BK210" s="1342"/>
      <c r="BL210" s="1342"/>
      <c r="BM210" s="1342"/>
      <c r="BN210" s="1342"/>
      <c r="BO210" s="1342"/>
      <c r="BP210" s="1342"/>
      <c r="BQ210" s="1342"/>
      <c r="BR210" s="1342"/>
      <c r="BS210" s="1342"/>
      <c r="BT210" s="1342"/>
      <c r="BU210" s="1342"/>
      <c r="BV210" s="1342"/>
      <c r="BW210" s="1342"/>
      <c r="BX210" s="1342"/>
      <c r="BY210" s="1342"/>
      <c r="BZ210" s="1342"/>
      <c r="CA210" s="1342"/>
      <c r="CB210" s="1342"/>
      <c r="CC210" s="1342"/>
      <c r="CD210" s="1342"/>
      <c r="CE210" s="1342"/>
      <c r="CF210" s="1342"/>
      <c r="CG210" s="1342"/>
      <c r="CH210" s="1342"/>
      <c r="CI210" s="1342"/>
      <c r="CK210" s="1293"/>
    </row>
    <row r="211" spans="1:89" s="1292" customFormat="1" x14ac:dyDescent="0.2">
      <c r="A211" s="1284"/>
      <c r="B211" s="824" t="s">
        <v>459</v>
      </c>
      <c r="C211" s="820" t="s">
        <v>460</v>
      </c>
      <c r="D211" s="821" t="s">
        <v>86</v>
      </c>
      <c r="E211" s="822" t="s">
        <v>236</v>
      </c>
      <c r="F211" s="823">
        <v>2</v>
      </c>
      <c r="G211" s="540"/>
      <c r="H211" s="540"/>
      <c r="I211" s="540">
        <v>21.35</v>
      </c>
      <c r="J211" s="540">
        <v>21.35</v>
      </c>
      <c r="K211" s="540">
        <v>21.35</v>
      </c>
      <c r="L211" s="540">
        <v>21.35</v>
      </c>
      <c r="M211" s="1342">
        <v>21.35</v>
      </c>
      <c r="N211" s="1342">
        <v>21.35</v>
      </c>
      <c r="O211" s="1342">
        <v>21.35</v>
      </c>
      <c r="P211" s="1342">
        <v>21.35</v>
      </c>
      <c r="Q211" s="1342">
        <v>21.35</v>
      </c>
      <c r="R211" s="1342">
        <v>21.35</v>
      </c>
      <c r="S211" s="1342">
        <v>21.35</v>
      </c>
      <c r="T211" s="1342">
        <v>21.35</v>
      </c>
      <c r="U211" s="1342">
        <v>21.35</v>
      </c>
      <c r="V211" s="1342">
        <v>21.35</v>
      </c>
      <c r="W211" s="1342">
        <v>21.35</v>
      </c>
      <c r="X211" s="1342">
        <v>21.35</v>
      </c>
      <c r="Y211" s="1342">
        <v>21.35</v>
      </c>
      <c r="Z211" s="1342">
        <v>21.35</v>
      </c>
      <c r="AA211" s="1342">
        <v>21.35</v>
      </c>
      <c r="AB211" s="1342">
        <v>21.35</v>
      </c>
      <c r="AC211" s="1342">
        <v>21.35</v>
      </c>
      <c r="AD211" s="1342">
        <v>21.35</v>
      </c>
      <c r="AE211" s="1342">
        <v>21.35</v>
      </c>
      <c r="AF211" s="1342">
        <v>21.35</v>
      </c>
      <c r="AG211" s="1342">
        <v>21.35</v>
      </c>
      <c r="AH211" s="1342">
        <v>21.35</v>
      </c>
      <c r="AI211" s="1342">
        <v>21.35</v>
      </c>
      <c r="AJ211" s="1342">
        <v>21.35</v>
      </c>
      <c r="AK211" s="1342">
        <v>21.35</v>
      </c>
      <c r="AL211" s="1342"/>
      <c r="AM211" s="1342"/>
      <c r="AN211" s="1342"/>
      <c r="AO211" s="1342"/>
      <c r="AP211" s="1342"/>
      <c r="AQ211" s="1342"/>
      <c r="AR211" s="1342"/>
      <c r="AS211" s="1342"/>
      <c r="AT211" s="1342"/>
      <c r="AU211" s="1342"/>
      <c r="AV211" s="1342"/>
      <c r="AW211" s="1342"/>
      <c r="AX211" s="1342"/>
      <c r="AY211" s="1342"/>
      <c r="AZ211" s="1342"/>
      <c r="BA211" s="1342"/>
      <c r="BB211" s="1342"/>
      <c r="BC211" s="1342"/>
      <c r="BD211" s="1342"/>
      <c r="BE211" s="1342"/>
      <c r="BF211" s="1342"/>
      <c r="BG211" s="1342"/>
      <c r="BH211" s="1342"/>
      <c r="BI211" s="1342"/>
      <c r="BJ211" s="1342"/>
      <c r="BK211" s="1342"/>
      <c r="BL211" s="1342"/>
      <c r="BM211" s="1342"/>
      <c r="BN211" s="1342"/>
      <c r="BO211" s="1342"/>
      <c r="BP211" s="1342"/>
      <c r="BQ211" s="1342"/>
      <c r="BR211" s="1342"/>
      <c r="BS211" s="1342"/>
      <c r="BT211" s="1342"/>
      <c r="BU211" s="1342"/>
      <c r="BV211" s="1342"/>
      <c r="BW211" s="1342"/>
      <c r="BX211" s="1342"/>
      <c r="BY211" s="1342"/>
      <c r="BZ211" s="1342"/>
      <c r="CA211" s="1342"/>
      <c r="CB211" s="1342"/>
      <c r="CC211" s="1342"/>
      <c r="CD211" s="1342"/>
      <c r="CE211" s="1342"/>
      <c r="CF211" s="1342"/>
      <c r="CG211" s="1342"/>
      <c r="CH211" s="1342"/>
      <c r="CI211" s="1342"/>
      <c r="CK211" s="1293"/>
    </row>
    <row r="212" spans="1:89" s="1292" customFormat="1" x14ac:dyDescent="0.2">
      <c r="A212" s="1284"/>
      <c r="B212" s="824" t="s">
        <v>461</v>
      </c>
      <c r="C212" s="825" t="s">
        <v>462</v>
      </c>
      <c r="D212" s="821" t="s">
        <v>463</v>
      </c>
      <c r="E212" s="822" t="s">
        <v>236</v>
      </c>
      <c r="F212" s="823">
        <v>2</v>
      </c>
      <c r="G212" s="547">
        <f>G211+G213</f>
        <v>0</v>
      </c>
      <c r="H212" s="547">
        <f t="shared" ref="H212:AK212" si="66">H211+H213</f>
        <v>0</v>
      </c>
      <c r="I212" s="547">
        <f t="shared" si="66"/>
        <v>21.35</v>
      </c>
      <c r="J212" s="547">
        <f t="shared" si="66"/>
        <v>21.35</v>
      </c>
      <c r="K212" s="547">
        <f t="shared" si="66"/>
        <v>21.35</v>
      </c>
      <c r="L212" s="547">
        <f t="shared" si="66"/>
        <v>21.35</v>
      </c>
      <c r="M212" s="552">
        <f t="shared" si="66"/>
        <v>21.35</v>
      </c>
      <c r="N212" s="552">
        <f t="shared" si="66"/>
        <v>21.35</v>
      </c>
      <c r="O212" s="552">
        <f t="shared" si="66"/>
        <v>21.35</v>
      </c>
      <c r="P212" s="552">
        <f t="shared" si="66"/>
        <v>21.35</v>
      </c>
      <c r="Q212" s="552">
        <f t="shared" si="66"/>
        <v>21.35</v>
      </c>
      <c r="R212" s="552">
        <f t="shared" si="66"/>
        <v>21.35</v>
      </c>
      <c r="S212" s="552">
        <f t="shared" si="66"/>
        <v>21.35</v>
      </c>
      <c r="T212" s="552">
        <f t="shared" si="66"/>
        <v>21.35</v>
      </c>
      <c r="U212" s="552">
        <f t="shared" si="66"/>
        <v>21.35</v>
      </c>
      <c r="V212" s="552">
        <f t="shared" si="66"/>
        <v>21.35</v>
      </c>
      <c r="W212" s="552">
        <f t="shared" si="66"/>
        <v>21.35</v>
      </c>
      <c r="X212" s="552">
        <f t="shared" si="66"/>
        <v>21.35</v>
      </c>
      <c r="Y212" s="552">
        <f t="shared" si="66"/>
        <v>21.35</v>
      </c>
      <c r="Z212" s="552">
        <f t="shared" si="66"/>
        <v>21.35</v>
      </c>
      <c r="AA212" s="552">
        <f t="shared" si="66"/>
        <v>21.35</v>
      </c>
      <c r="AB212" s="552">
        <f t="shared" si="66"/>
        <v>21.35</v>
      </c>
      <c r="AC212" s="552">
        <f t="shared" si="66"/>
        <v>21.35</v>
      </c>
      <c r="AD212" s="552">
        <f t="shared" si="66"/>
        <v>21.35</v>
      </c>
      <c r="AE212" s="552">
        <f t="shared" si="66"/>
        <v>21.35</v>
      </c>
      <c r="AF212" s="552">
        <f t="shared" si="66"/>
        <v>21.35</v>
      </c>
      <c r="AG212" s="552">
        <f t="shared" si="66"/>
        <v>21.35</v>
      </c>
      <c r="AH212" s="552">
        <f t="shared" si="66"/>
        <v>21.35</v>
      </c>
      <c r="AI212" s="552">
        <f t="shared" si="66"/>
        <v>21.35</v>
      </c>
      <c r="AJ212" s="552">
        <f t="shared" si="66"/>
        <v>21.35</v>
      </c>
      <c r="AK212" s="552">
        <f t="shared" si="66"/>
        <v>21.35</v>
      </c>
      <c r="AL212" s="552"/>
      <c r="AM212" s="552"/>
      <c r="AN212" s="552"/>
      <c r="AO212" s="552"/>
      <c r="AP212" s="552"/>
      <c r="AQ212" s="552"/>
      <c r="AR212" s="552"/>
      <c r="AS212" s="552"/>
      <c r="AT212" s="552"/>
      <c r="AU212" s="552"/>
      <c r="AV212" s="552"/>
      <c r="AW212" s="552"/>
      <c r="AX212" s="552"/>
      <c r="AY212" s="552"/>
      <c r="AZ212" s="552"/>
      <c r="BA212" s="552"/>
      <c r="BB212" s="552"/>
      <c r="BC212" s="552"/>
      <c r="BD212" s="552"/>
      <c r="BE212" s="552"/>
      <c r="BF212" s="552"/>
      <c r="BG212" s="552"/>
      <c r="BH212" s="552"/>
      <c r="BI212" s="552"/>
      <c r="BJ212" s="552"/>
      <c r="BK212" s="552"/>
      <c r="BL212" s="552"/>
      <c r="BM212" s="552"/>
      <c r="BN212" s="552"/>
      <c r="BO212" s="552"/>
      <c r="BP212" s="552"/>
      <c r="BQ212" s="552"/>
      <c r="BR212" s="552"/>
      <c r="BS212" s="552"/>
      <c r="BT212" s="552"/>
      <c r="BU212" s="552"/>
      <c r="BV212" s="552"/>
      <c r="BW212" s="552"/>
      <c r="BX212" s="552"/>
      <c r="BY212" s="552"/>
      <c r="BZ212" s="552"/>
      <c r="CA212" s="552"/>
      <c r="CB212" s="552"/>
      <c r="CC212" s="552"/>
      <c r="CD212" s="552"/>
      <c r="CE212" s="552"/>
      <c r="CF212" s="552"/>
      <c r="CG212" s="552"/>
      <c r="CH212" s="552"/>
      <c r="CI212" s="548"/>
      <c r="CK212" s="1293"/>
    </row>
    <row r="213" spans="1:89" s="1292" customFormat="1" ht="28.5" x14ac:dyDescent="0.2">
      <c r="A213" s="1284"/>
      <c r="B213" s="826" t="s">
        <v>464</v>
      </c>
      <c r="C213" s="827" t="s">
        <v>465</v>
      </c>
      <c r="D213" s="827" t="s">
        <v>466</v>
      </c>
      <c r="E213" s="828" t="s">
        <v>236</v>
      </c>
      <c r="F213" s="823">
        <v>2</v>
      </c>
      <c r="G213" s="547">
        <f>SUM(G214:G219)</f>
        <v>0</v>
      </c>
      <c r="H213" s="547">
        <f t="shared" ref="H213:AK213" si="67">SUM(H214:H219)</f>
        <v>0</v>
      </c>
      <c r="I213" s="547">
        <f t="shared" si="67"/>
        <v>0</v>
      </c>
      <c r="J213" s="547">
        <f t="shared" si="67"/>
        <v>0</v>
      </c>
      <c r="K213" s="547">
        <f t="shared" si="67"/>
        <v>0</v>
      </c>
      <c r="L213" s="547">
        <f t="shared" si="67"/>
        <v>0</v>
      </c>
      <c r="M213" s="552">
        <f t="shared" si="67"/>
        <v>0</v>
      </c>
      <c r="N213" s="552">
        <f t="shared" si="67"/>
        <v>0</v>
      </c>
      <c r="O213" s="552">
        <f t="shared" si="67"/>
        <v>0</v>
      </c>
      <c r="P213" s="552">
        <f t="shared" si="67"/>
        <v>0</v>
      </c>
      <c r="Q213" s="552">
        <f t="shared" si="67"/>
        <v>0</v>
      </c>
      <c r="R213" s="552">
        <f t="shared" si="67"/>
        <v>0</v>
      </c>
      <c r="S213" s="552">
        <f t="shared" si="67"/>
        <v>0</v>
      </c>
      <c r="T213" s="552">
        <f t="shared" si="67"/>
        <v>0</v>
      </c>
      <c r="U213" s="552">
        <f t="shared" si="67"/>
        <v>0</v>
      </c>
      <c r="V213" s="552">
        <f t="shared" si="67"/>
        <v>0</v>
      </c>
      <c r="W213" s="552">
        <f t="shared" si="67"/>
        <v>0</v>
      </c>
      <c r="X213" s="552">
        <f t="shared" si="67"/>
        <v>0</v>
      </c>
      <c r="Y213" s="552">
        <f t="shared" si="67"/>
        <v>0</v>
      </c>
      <c r="Z213" s="552">
        <f t="shared" si="67"/>
        <v>0</v>
      </c>
      <c r="AA213" s="552">
        <f t="shared" si="67"/>
        <v>0</v>
      </c>
      <c r="AB213" s="552">
        <f t="shared" si="67"/>
        <v>0</v>
      </c>
      <c r="AC213" s="552">
        <f t="shared" si="67"/>
        <v>0</v>
      </c>
      <c r="AD213" s="552">
        <f t="shared" si="67"/>
        <v>0</v>
      </c>
      <c r="AE213" s="552">
        <f t="shared" si="67"/>
        <v>0</v>
      </c>
      <c r="AF213" s="552">
        <f t="shared" si="67"/>
        <v>0</v>
      </c>
      <c r="AG213" s="552">
        <f t="shared" si="67"/>
        <v>0</v>
      </c>
      <c r="AH213" s="552">
        <f t="shared" si="67"/>
        <v>0</v>
      </c>
      <c r="AI213" s="552">
        <f t="shared" si="67"/>
        <v>0</v>
      </c>
      <c r="AJ213" s="552">
        <f t="shared" si="67"/>
        <v>0</v>
      </c>
      <c r="AK213" s="552">
        <f t="shared" si="67"/>
        <v>0</v>
      </c>
      <c r="AL213" s="552"/>
      <c r="AM213" s="552"/>
      <c r="AN213" s="552"/>
      <c r="AO213" s="552"/>
      <c r="AP213" s="552"/>
      <c r="AQ213" s="552"/>
      <c r="AR213" s="552"/>
      <c r="AS213" s="552"/>
      <c r="AT213" s="552"/>
      <c r="AU213" s="552"/>
      <c r="AV213" s="552"/>
      <c r="AW213" s="552"/>
      <c r="AX213" s="552"/>
      <c r="AY213" s="552"/>
      <c r="AZ213" s="552"/>
      <c r="BA213" s="552"/>
      <c r="BB213" s="552"/>
      <c r="BC213" s="552"/>
      <c r="BD213" s="552"/>
      <c r="BE213" s="552"/>
      <c r="BF213" s="552"/>
      <c r="BG213" s="552"/>
      <c r="BH213" s="552"/>
      <c r="BI213" s="552"/>
      <c r="BJ213" s="552"/>
      <c r="BK213" s="552"/>
      <c r="BL213" s="552"/>
      <c r="BM213" s="552"/>
      <c r="BN213" s="552"/>
      <c r="BO213" s="552"/>
      <c r="BP213" s="552"/>
      <c r="BQ213" s="552"/>
      <c r="BR213" s="552"/>
      <c r="BS213" s="552"/>
      <c r="BT213" s="552"/>
      <c r="BU213" s="552"/>
      <c r="BV213" s="552"/>
      <c r="BW213" s="552"/>
      <c r="BX213" s="552"/>
      <c r="BY213" s="552"/>
      <c r="BZ213" s="552"/>
      <c r="CA213" s="552"/>
      <c r="CB213" s="552"/>
      <c r="CC213" s="552"/>
      <c r="CD213" s="552"/>
      <c r="CE213" s="552"/>
      <c r="CF213" s="552"/>
      <c r="CG213" s="552"/>
      <c r="CH213" s="552"/>
      <c r="CI213" s="548"/>
      <c r="CK213" s="1293"/>
    </row>
    <row r="214" spans="1:89" s="1292" customFormat="1" x14ac:dyDescent="0.2">
      <c r="A214" s="1284"/>
      <c r="B214" s="824" t="s">
        <v>467</v>
      </c>
      <c r="C214" s="825" t="s">
        <v>468</v>
      </c>
      <c r="D214" s="821" t="s">
        <v>86</v>
      </c>
      <c r="E214" s="822" t="s">
        <v>236</v>
      </c>
      <c r="F214" s="823">
        <v>2</v>
      </c>
      <c r="G214" s="540"/>
      <c r="H214" s="540"/>
      <c r="I214" s="540">
        <v>0</v>
      </c>
      <c r="J214" s="540">
        <v>0</v>
      </c>
      <c r="K214" s="540">
        <v>0</v>
      </c>
      <c r="L214" s="540">
        <v>0</v>
      </c>
      <c r="M214" s="1342">
        <v>0</v>
      </c>
      <c r="N214" s="1342">
        <v>0</v>
      </c>
      <c r="O214" s="1342">
        <v>0</v>
      </c>
      <c r="P214" s="1342">
        <v>0</v>
      </c>
      <c r="Q214" s="1342">
        <v>0</v>
      </c>
      <c r="R214" s="1342">
        <v>0</v>
      </c>
      <c r="S214" s="1342">
        <v>0</v>
      </c>
      <c r="T214" s="1342">
        <v>0</v>
      </c>
      <c r="U214" s="1342">
        <v>0</v>
      </c>
      <c r="V214" s="1342">
        <v>0</v>
      </c>
      <c r="W214" s="1342">
        <v>0</v>
      </c>
      <c r="X214" s="1342">
        <v>0</v>
      </c>
      <c r="Y214" s="1342">
        <v>0</v>
      </c>
      <c r="Z214" s="1342">
        <v>0</v>
      </c>
      <c r="AA214" s="1342">
        <v>0</v>
      </c>
      <c r="AB214" s="1342">
        <v>0</v>
      </c>
      <c r="AC214" s="1342">
        <v>0</v>
      </c>
      <c r="AD214" s="1342">
        <v>0</v>
      </c>
      <c r="AE214" s="1342">
        <v>0</v>
      </c>
      <c r="AF214" s="1342">
        <v>0</v>
      </c>
      <c r="AG214" s="1342">
        <v>0</v>
      </c>
      <c r="AH214" s="1342">
        <v>0</v>
      </c>
      <c r="AI214" s="1342">
        <v>0</v>
      </c>
      <c r="AJ214" s="1342">
        <v>0</v>
      </c>
      <c r="AK214" s="1342">
        <v>0</v>
      </c>
      <c r="AL214" s="1342"/>
      <c r="AM214" s="1342"/>
      <c r="AN214" s="1342"/>
      <c r="AO214" s="1342"/>
      <c r="AP214" s="1342"/>
      <c r="AQ214" s="1342"/>
      <c r="AR214" s="1342"/>
      <c r="AS214" s="1342"/>
      <c r="AT214" s="1342"/>
      <c r="AU214" s="1342"/>
      <c r="AV214" s="1342"/>
      <c r="AW214" s="1342"/>
      <c r="AX214" s="1342"/>
      <c r="AY214" s="1342"/>
      <c r="AZ214" s="1342"/>
      <c r="BA214" s="1342"/>
      <c r="BB214" s="1342"/>
      <c r="BC214" s="1342"/>
      <c r="BD214" s="1342"/>
      <c r="BE214" s="1342"/>
      <c r="BF214" s="1342"/>
      <c r="BG214" s="1342"/>
      <c r="BH214" s="1342"/>
      <c r="BI214" s="1342"/>
      <c r="BJ214" s="1342"/>
      <c r="BK214" s="1342"/>
      <c r="BL214" s="1342"/>
      <c r="BM214" s="1342"/>
      <c r="BN214" s="1342"/>
      <c r="BO214" s="1342"/>
      <c r="BP214" s="1342"/>
      <c r="BQ214" s="1342"/>
      <c r="BR214" s="1342"/>
      <c r="BS214" s="1342"/>
      <c r="BT214" s="1342"/>
      <c r="BU214" s="1342"/>
      <c r="BV214" s="1342"/>
      <c r="BW214" s="1342"/>
      <c r="BX214" s="1342"/>
      <c r="BY214" s="1342"/>
      <c r="BZ214" s="1342"/>
      <c r="CA214" s="1342"/>
      <c r="CB214" s="1342"/>
      <c r="CC214" s="1342"/>
      <c r="CD214" s="1342"/>
      <c r="CE214" s="1342"/>
      <c r="CF214" s="1342"/>
      <c r="CG214" s="1342"/>
      <c r="CH214" s="1342"/>
      <c r="CI214" s="1342"/>
      <c r="CK214" s="1293"/>
    </row>
    <row r="215" spans="1:89" s="1292" customFormat="1" ht="28.5" x14ac:dyDescent="0.2">
      <c r="A215" s="1284"/>
      <c r="B215" s="824" t="s">
        <v>469</v>
      </c>
      <c r="C215" s="825" t="s">
        <v>470</v>
      </c>
      <c r="D215" s="821" t="s">
        <v>86</v>
      </c>
      <c r="E215" s="822" t="s">
        <v>236</v>
      </c>
      <c r="F215" s="823">
        <v>2</v>
      </c>
      <c r="G215" s="540"/>
      <c r="H215" s="540"/>
      <c r="I215" s="540">
        <v>0</v>
      </c>
      <c r="J215" s="540">
        <v>0</v>
      </c>
      <c r="K215" s="540">
        <v>0</v>
      </c>
      <c r="L215" s="540">
        <v>0</v>
      </c>
      <c r="M215" s="1342">
        <v>0</v>
      </c>
      <c r="N215" s="1342">
        <v>0</v>
      </c>
      <c r="O215" s="1342">
        <v>0</v>
      </c>
      <c r="P215" s="1342">
        <v>0</v>
      </c>
      <c r="Q215" s="1342">
        <v>0</v>
      </c>
      <c r="R215" s="1342">
        <v>0</v>
      </c>
      <c r="S215" s="1342">
        <v>0</v>
      </c>
      <c r="T215" s="1342">
        <v>0</v>
      </c>
      <c r="U215" s="1342">
        <v>0</v>
      </c>
      <c r="V215" s="1342">
        <v>0</v>
      </c>
      <c r="W215" s="1342">
        <v>0</v>
      </c>
      <c r="X215" s="1342">
        <v>0</v>
      </c>
      <c r="Y215" s="1342">
        <v>0</v>
      </c>
      <c r="Z215" s="1342">
        <v>0</v>
      </c>
      <c r="AA215" s="1342">
        <v>0</v>
      </c>
      <c r="AB215" s="1342">
        <v>0</v>
      </c>
      <c r="AC215" s="1342">
        <v>0</v>
      </c>
      <c r="AD215" s="1342">
        <v>0</v>
      </c>
      <c r="AE215" s="1342">
        <v>0</v>
      </c>
      <c r="AF215" s="1342">
        <v>0</v>
      </c>
      <c r="AG215" s="1342">
        <v>0</v>
      </c>
      <c r="AH215" s="1342">
        <v>0</v>
      </c>
      <c r="AI215" s="1342">
        <v>0</v>
      </c>
      <c r="AJ215" s="1342">
        <v>0</v>
      </c>
      <c r="AK215" s="1342">
        <v>0</v>
      </c>
      <c r="AL215" s="1342"/>
      <c r="AM215" s="1342"/>
      <c r="AN215" s="1342"/>
      <c r="AO215" s="1342"/>
      <c r="AP215" s="1342"/>
      <c r="AQ215" s="1342"/>
      <c r="AR215" s="1342"/>
      <c r="AS215" s="1342"/>
      <c r="AT215" s="1342"/>
      <c r="AU215" s="1342"/>
      <c r="AV215" s="1342"/>
      <c r="AW215" s="1342"/>
      <c r="AX215" s="1342"/>
      <c r="AY215" s="1342"/>
      <c r="AZ215" s="1342"/>
      <c r="BA215" s="1342"/>
      <c r="BB215" s="1342"/>
      <c r="BC215" s="1342"/>
      <c r="BD215" s="1342"/>
      <c r="BE215" s="1342"/>
      <c r="BF215" s="1342"/>
      <c r="BG215" s="1342"/>
      <c r="BH215" s="1342"/>
      <c r="BI215" s="1342"/>
      <c r="BJ215" s="1342"/>
      <c r="BK215" s="1342"/>
      <c r="BL215" s="1342"/>
      <c r="BM215" s="1342"/>
      <c r="BN215" s="1342"/>
      <c r="BO215" s="1342"/>
      <c r="BP215" s="1342"/>
      <c r="BQ215" s="1342"/>
      <c r="BR215" s="1342"/>
      <c r="BS215" s="1342"/>
      <c r="BT215" s="1342"/>
      <c r="BU215" s="1342"/>
      <c r="BV215" s="1342"/>
      <c r="BW215" s="1342"/>
      <c r="BX215" s="1342"/>
      <c r="BY215" s="1342"/>
      <c r="BZ215" s="1342"/>
      <c r="CA215" s="1342"/>
      <c r="CB215" s="1342"/>
      <c r="CC215" s="1342"/>
      <c r="CD215" s="1342"/>
      <c r="CE215" s="1342"/>
      <c r="CF215" s="1342"/>
      <c r="CG215" s="1342"/>
      <c r="CH215" s="1342"/>
      <c r="CI215" s="1342"/>
      <c r="CK215" s="1293"/>
    </row>
    <row r="216" spans="1:89" s="1292" customFormat="1" ht="57" x14ac:dyDescent="0.2">
      <c r="A216" s="1284"/>
      <c r="B216" s="824" t="s">
        <v>471</v>
      </c>
      <c r="C216" s="825" t="s">
        <v>781</v>
      </c>
      <c r="D216" s="821" t="s">
        <v>86</v>
      </c>
      <c r="E216" s="822" t="s">
        <v>236</v>
      </c>
      <c r="F216" s="823">
        <v>2</v>
      </c>
      <c r="G216" s="540"/>
      <c r="H216" s="540"/>
      <c r="I216" s="540">
        <v>0</v>
      </c>
      <c r="J216" s="540">
        <v>0</v>
      </c>
      <c r="K216" s="540">
        <v>0</v>
      </c>
      <c r="L216" s="540">
        <v>0</v>
      </c>
      <c r="M216" s="1342">
        <v>0</v>
      </c>
      <c r="N216" s="1342">
        <v>0</v>
      </c>
      <c r="O216" s="1342">
        <v>0</v>
      </c>
      <c r="P216" s="1342">
        <v>0</v>
      </c>
      <c r="Q216" s="1342">
        <v>0</v>
      </c>
      <c r="R216" s="1342">
        <v>0</v>
      </c>
      <c r="S216" s="1342">
        <v>0</v>
      </c>
      <c r="T216" s="1342">
        <v>0</v>
      </c>
      <c r="U216" s="1342">
        <v>0</v>
      </c>
      <c r="V216" s="1342">
        <v>0</v>
      </c>
      <c r="W216" s="1342">
        <v>0</v>
      </c>
      <c r="X216" s="1342">
        <v>0</v>
      </c>
      <c r="Y216" s="1342">
        <v>0</v>
      </c>
      <c r="Z216" s="1342">
        <v>0</v>
      </c>
      <c r="AA216" s="1342">
        <v>0</v>
      </c>
      <c r="AB216" s="1342">
        <v>0</v>
      </c>
      <c r="AC216" s="1342">
        <v>0</v>
      </c>
      <c r="AD216" s="1342">
        <v>0</v>
      </c>
      <c r="AE216" s="1342">
        <v>0</v>
      </c>
      <c r="AF216" s="1342">
        <v>0</v>
      </c>
      <c r="AG216" s="1342">
        <v>0</v>
      </c>
      <c r="AH216" s="1342">
        <v>0</v>
      </c>
      <c r="AI216" s="1342">
        <v>0</v>
      </c>
      <c r="AJ216" s="1342">
        <v>0</v>
      </c>
      <c r="AK216" s="1342">
        <v>0</v>
      </c>
      <c r="AL216" s="1342"/>
      <c r="AM216" s="1342"/>
      <c r="AN216" s="1342"/>
      <c r="AO216" s="1342"/>
      <c r="AP216" s="1342"/>
      <c r="AQ216" s="1342"/>
      <c r="AR216" s="1342"/>
      <c r="AS216" s="1342"/>
      <c r="AT216" s="1342"/>
      <c r="AU216" s="1342"/>
      <c r="AV216" s="1342"/>
      <c r="AW216" s="1342"/>
      <c r="AX216" s="1342"/>
      <c r="AY216" s="1342"/>
      <c r="AZ216" s="1342"/>
      <c r="BA216" s="1342"/>
      <c r="BB216" s="1342"/>
      <c r="BC216" s="1342"/>
      <c r="BD216" s="1342"/>
      <c r="BE216" s="1342"/>
      <c r="BF216" s="1342"/>
      <c r="BG216" s="1342"/>
      <c r="BH216" s="1342"/>
      <c r="BI216" s="1342"/>
      <c r="BJ216" s="1342"/>
      <c r="BK216" s="1342"/>
      <c r="BL216" s="1342"/>
      <c r="BM216" s="1342"/>
      <c r="BN216" s="1342"/>
      <c r="BO216" s="1342"/>
      <c r="BP216" s="1342"/>
      <c r="BQ216" s="1342"/>
      <c r="BR216" s="1342"/>
      <c r="BS216" s="1342"/>
      <c r="BT216" s="1342"/>
      <c r="BU216" s="1342"/>
      <c r="BV216" s="1342"/>
      <c r="BW216" s="1342"/>
      <c r="BX216" s="1342"/>
      <c r="BY216" s="1342"/>
      <c r="BZ216" s="1342"/>
      <c r="CA216" s="1342"/>
      <c r="CB216" s="1342"/>
      <c r="CC216" s="1342"/>
      <c r="CD216" s="1342"/>
      <c r="CE216" s="1342"/>
      <c r="CF216" s="1342"/>
      <c r="CG216" s="1342"/>
      <c r="CH216" s="1342"/>
      <c r="CI216" s="1342"/>
      <c r="CK216" s="1293"/>
    </row>
    <row r="217" spans="1:89" s="1292" customFormat="1" ht="28.5" x14ac:dyDescent="0.2">
      <c r="A217" s="1284"/>
      <c r="B217" s="824" t="s">
        <v>473</v>
      </c>
      <c r="C217" s="825" t="s">
        <v>474</v>
      </c>
      <c r="D217" s="821" t="s">
        <v>86</v>
      </c>
      <c r="E217" s="822" t="s">
        <v>236</v>
      </c>
      <c r="F217" s="823">
        <v>2</v>
      </c>
      <c r="G217" s="540"/>
      <c r="H217" s="540"/>
      <c r="I217" s="540">
        <v>0</v>
      </c>
      <c r="J217" s="540">
        <v>0</v>
      </c>
      <c r="K217" s="540">
        <v>0</v>
      </c>
      <c r="L217" s="540">
        <v>0</v>
      </c>
      <c r="M217" s="1342">
        <v>0</v>
      </c>
      <c r="N217" s="1342">
        <v>0</v>
      </c>
      <c r="O217" s="1342">
        <v>0</v>
      </c>
      <c r="P217" s="1342">
        <v>0</v>
      </c>
      <c r="Q217" s="1342">
        <v>0</v>
      </c>
      <c r="R217" s="1342">
        <v>0</v>
      </c>
      <c r="S217" s="1342">
        <v>0</v>
      </c>
      <c r="T217" s="1342">
        <v>0</v>
      </c>
      <c r="U217" s="1342">
        <v>0</v>
      </c>
      <c r="V217" s="1342">
        <v>0</v>
      </c>
      <c r="W217" s="1342">
        <v>0</v>
      </c>
      <c r="X217" s="1342">
        <v>0</v>
      </c>
      <c r="Y217" s="1342">
        <v>0</v>
      </c>
      <c r="Z217" s="1342">
        <v>0</v>
      </c>
      <c r="AA217" s="1342">
        <v>0</v>
      </c>
      <c r="AB217" s="1342">
        <v>0</v>
      </c>
      <c r="AC217" s="1342">
        <v>0</v>
      </c>
      <c r="AD217" s="1342">
        <v>0</v>
      </c>
      <c r="AE217" s="1342">
        <v>0</v>
      </c>
      <c r="AF217" s="1342">
        <v>0</v>
      </c>
      <c r="AG217" s="1342">
        <v>0</v>
      </c>
      <c r="AH217" s="1342">
        <v>0</v>
      </c>
      <c r="AI217" s="1342">
        <v>0</v>
      </c>
      <c r="AJ217" s="1342">
        <v>0</v>
      </c>
      <c r="AK217" s="1342">
        <v>0</v>
      </c>
      <c r="AL217" s="1342"/>
      <c r="AM217" s="1342"/>
      <c r="AN217" s="1342"/>
      <c r="AO217" s="1342"/>
      <c r="AP217" s="1342"/>
      <c r="AQ217" s="1342"/>
      <c r="AR217" s="1342"/>
      <c r="AS217" s="1342"/>
      <c r="AT217" s="1342"/>
      <c r="AU217" s="1342"/>
      <c r="AV217" s="1342"/>
      <c r="AW217" s="1342"/>
      <c r="AX217" s="1342"/>
      <c r="AY217" s="1342"/>
      <c r="AZ217" s="1342"/>
      <c r="BA217" s="1342"/>
      <c r="BB217" s="1342"/>
      <c r="BC217" s="1342"/>
      <c r="BD217" s="1342"/>
      <c r="BE217" s="1342"/>
      <c r="BF217" s="1342"/>
      <c r="BG217" s="1342"/>
      <c r="BH217" s="1342"/>
      <c r="BI217" s="1342"/>
      <c r="BJ217" s="1342"/>
      <c r="BK217" s="1342"/>
      <c r="BL217" s="1342"/>
      <c r="BM217" s="1342"/>
      <c r="BN217" s="1342"/>
      <c r="BO217" s="1342"/>
      <c r="BP217" s="1342"/>
      <c r="BQ217" s="1342"/>
      <c r="BR217" s="1342"/>
      <c r="BS217" s="1342"/>
      <c r="BT217" s="1342"/>
      <c r="BU217" s="1342"/>
      <c r="BV217" s="1342"/>
      <c r="BW217" s="1342"/>
      <c r="BX217" s="1342"/>
      <c r="BY217" s="1342"/>
      <c r="BZ217" s="1342"/>
      <c r="CA217" s="1342"/>
      <c r="CB217" s="1342"/>
      <c r="CC217" s="1342"/>
      <c r="CD217" s="1342"/>
      <c r="CE217" s="1342"/>
      <c r="CF217" s="1342"/>
      <c r="CG217" s="1342"/>
      <c r="CH217" s="1342"/>
      <c r="CI217" s="1342"/>
      <c r="CK217" s="1293"/>
    </row>
    <row r="218" spans="1:89" s="1292" customFormat="1" x14ac:dyDescent="0.2">
      <c r="A218" s="1284"/>
      <c r="B218" s="824" t="s">
        <v>475</v>
      </c>
      <c r="C218" s="825" t="s">
        <v>476</v>
      </c>
      <c r="D218" s="821" t="s">
        <v>477</v>
      </c>
      <c r="E218" s="822" t="s">
        <v>236</v>
      </c>
      <c r="F218" s="823">
        <v>2</v>
      </c>
      <c r="G218" s="540"/>
      <c r="H218" s="540"/>
      <c r="I218" s="540">
        <v>0</v>
      </c>
      <c r="J218" s="540">
        <v>0</v>
      </c>
      <c r="K218" s="540">
        <v>0</v>
      </c>
      <c r="L218" s="540">
        <v>0</v>
      </c>
      <c r="M218" s="1345">
        <v>0</v>
      </c>
      <c r="N218" s="1345">
        <v>0</v>
      </c>
      <c r="O218" s="1345">
        <v>0</v>
      </c>
      <c r="P218" s="1345">
        <v>0</v>
      </c>
      <c r="Q218" s="1345">
        <v>0</v>
      </c>
      <c r="R218" s="1345">
        <v>0</v>
      </c>
      <c r="S218" s="1345">
        <v>0</v>
      </c>
      <c r="T218" s="1345">
        <v>0</v>
      </c>
      <c r="U218" s="1345">
        <v>0</v>
      </c>
      <c r="V218" s="1345">
        <v>0</v>
      </c>
      <c r="W218" s="1345">
        <v>0</v>
      </c>
      <c r="X218" s="1345">
        <v>0</v>
      </c>
      <c r="Y218" s="1345">
        <v>0</v>
      </c>
      <c r="Z218" s="1345">
        <v>0</v>
      </c>
      <c r="AA218" s="1345">
        <v>0</v>
      </c>
      <c r="AB218" s="1345">
        <v>0</v>
      </c>
      <c r="AC218" s="1345">
        <v>0</v>
      </c>
      <c r="AD218" s="1345">
        <v>0</v>
      </c>
      <c r="AE218" s="1345">
        <v>0</v>
      </c>
      <c r="AF218" s="1345">
        <v>0</v>
      </c>
      <c r="AG218" s="1345">
        <v>0</v>
      </c>
      <c r="AH218" s="1345">
        <v>0</v>
      </c>
      <c r="AI218" s="1345">
        <v>0</v>
      </c>
      <c r="AJ218" s="1345">
        <v>0</v>
      </c>
      <c r="AK218" s="1345">
        <v>0</v>
      </c>
      <c r="AL218" s="1345"/>
      <c r="AM218" s="1345"/>
      <c r="AN218" s="1345"/>
      <c r="AO218" s="1345"/>
      <c r="AP218" s="1345"/>
      <c r="AQ218" s="1345"/>
      <c r="AR218" s="1345"/>
      <c r="AS218" s="1345"/>
      <c r="AT218" s="1345"/>
      <c r="AU218" s="1345"/>
      <c r="AV218" s="1345"/>
      <c r="AW218" s="1345"/>
      <c r="AX218" s="1345"/>
      <c r="AY218" s="1345"/>
      <c r="AZ218" s="1345"/>
      <c r="BA218" s="1345"/>
      <c r="BB218" s="1345"/>
      <c r="BC218" s="1345"/>
      <c r="BD218" s="1345"/>
      <c r="BE218" s="1345"/>
      <c r="BF218" s="1345"/>
      <c r="BG218" s="1345"/>
      <c r="BH218" s="1345"/>
      <c r="BI218" s="1345"/>
      <c r="BJ218" s="1345"/>
      <c r="BK218" s="1345"/>
      <c r="BL218" s="1345"/>
      <c r="BM218" s="1345"/>
      <c r="BN218" s="1345"/>
      <c r="BO218" s="1345"/>
      <c r="BP218" s="1345"/>
      <c r="BQ218" s="1345"/>
      <c r="BR218" s="1345"/>
      <c r="BS218" s="1345"/>
      <c r="BT218" s="1345"/>
      <c r="BU218" s="1345"/>
      <c r="BV218" s="1345"/>
      <c r="BW218" s="1345"/>
      <c r="BX218" s="1345"/>
      <c r="BY218" s="1345"/>
      <c r="BZ218" s="1345"/>
      <c r="CA218" s="1345"/>
      <c r="CB218" s="1345"/>
      <c r="CC218" s="1345"/>
      <c r="CD218" s="1345"/>
      <c r="CE218" s="1345"/>
      <c r="CF218" s="1345"/>
      <c r="CG218" s="1345"/>
      <c r="CH218" s="1345"/>
      <c r="CI218" s="1345"/>
      <c r="CK218" s="1293"/>
    </row>
    <row r="219" spans="1:89" s="1292" customFormat="1" ht="28.5" x14ac:dyDescent="0.2">
      <c r="A219" s="1284"/>
      <c r="B219" s="824" t="s">
        <v>478</v>
      </c>
      <c r="C219" s="825" t="s">
        <v>782</v>
      </c>
      <c r="D219" s="821" t="s">
        <v>86</v>
      </c>
      <c r="E219" s="822" t="s">
        <v>236</v>
      </c>
      <c r="F219" s="823">
        <v>2</v>
      </c>
      <c r="G219" s="540"/>
      <c r="H219" s="540"/>
      <c r="I219" s="540">
        <v>0</v>
      </c>
      <c r="J219" s="540">
        <v>0</v>
      </c>
      <c r="K219" s="540">
        <v>0</v>
      </c>
      <c r="L219" s="540">
        <v>0</v>
      </c>
      <c r="M219" s="1342">
        <v>0</v>
      </c>
      <c r="N219" s="1342">
        <v>0</v>
      </c>
      <c r="O219" s="1342">
        <v>0</v>
      </c>
      <c r="P219" s="1342">
        <v>0</v>
      </c>
      <c r="Q219" s="1342">
        <v>0</v>
      </c>
      <c r="R219" s="1342">
        <v>0</v>
      </c>
      <c r="S219" s="1342">
        <v>0</v>
      </c>
      <c r="T219" s="1342">
        <v>0</v>
      </c>
      <c r="U219" s="1342">
        <v>0</v>
      </c>
      <c r="V219" s="1342">
        <v>0</v>
      </c>
      <c r="W219" s="1342">
        <v>0</v>
      </c>
      <c r="X219" s="1342">
        <v>0</v>
      </c>
      <c r="Y219" s="1342">
        <v>0</v>
      </c>
      <c r="Z219" s="1342">
        <v>0</v>
      </c>
      <c r="AA219" s="1342">
        <v>0</v>
      </c>
      <c r="AB219" s="1342">
        <v>0</v>
      </c>
      <c r="AC219" s="1342">
        <v>0</v>
      </c>
      <c r="AD219" s="1342">
        <v>0</v>
      </c>
      <c r="AE219" s="1342">
        <v>0</v>
      </c>
      <c r="AF219" s="1342">
        <v>0</v>
      </c>
      <c r="AG219" s="1342">
        <v>0</v>
      </c>
      <c r="AH219" s="1342">
        <v>0</v>
      </c>
      <c r="AI219" s="1342">
        <v>0</v>
      </c>
      <c r="AJ219" s="1342">
        <v>0</v>
      </c>
      <c r="AK219" s="1342">
        <v>0</v>
      </c>
      <c r="AL219" s="1342"/>
      <c r="AM219" s="1342"/>
      <c r="AN219" s="1342"/>
      <c r="AO219" s="1342"/>
      <c r="AP219" s="1342"/>
      <c r="AQ219" s="1342"/>
      <c r="AR219" s="1342"/>
      <c r="AS219" s="1342"/>
      <c r="AT219" s="1342"/>
      <c r="AU219" s="1342"/>
      <c r="AV219" s="1342"/>
      <c r="AW219" s="1342"/>
      <c r="AX219" s="1342"/>
      <c r="AY219" s="1342"/>
      <c r="AZ219" s="1342"/>
      <c r="BA219" s="1342"/>
      <c r="BB219" s="1342"/>
      <c r="BC219" s="1342"/>
      <c r="BD219" s="1342"/>
      <c r="BE219" s="1342"/>
      <c r="BF219" s="1342"/>
      <c r="BG219" s="1342"/>
      <c r="BH219" s="1342"/>
      <c r="BI219" s="1342"/>
      <c r="BJ219" s="1342"/>
      <c r="BK219" s="1342"/>
      <c r="BL219" s="1342"/>
      <c r="BM219" s="1342"/>
      <c r="BN219" s="1342"/>
      <c r="BO219" s="1342"/>
      <c r="BP219" s="1342"/>
      <c r="BQ219" s="1342"/>
      <c r="BR219" s="1342"/>
      <c r="BS219" s="1342"/>
      <c r="BT219" s="1342"/>
      <c r="BU219" s="1342"/>
      <c r="BV219" s="1342"/>
      <c r="BW219" s="1342"/>
      <c r="BX219" s="1342"/>
      <c r="BY219" s="1342"/>
      <c r="BZ219" s="1342"/>
      <c r="CA219" s="1342"/>
      <c r="CB219" s="1342"/>
      <c r="CC219" s="1342"/>
      <c r="CD219" s="1342"/>
      <c r="CE219" s="1342"/>
      <c r="CF219" s="1342"/>
      <c r="CG219" s="1342"/>
      <c r="CH219" s="1342"/>
      <c r="CI219" s="1342"/>
      <c r="CK219" s="1293"/>
    </row>
    <row r="220" spans="1:89" s="1292" customFormat="1" ht="28.5" x14ac:dyDescent="0.2">
      <c r="A220" s="1284"/>
      <c r="B220" s="824" t="s">
        <v>480</v>
      </c>
      <c r="C220" s="825" t="s">
        <v>694</v>
      </c>
      <c r="D220" s="821" t="s">
        <v>86</v>
      </c>
      <c r="E220" s="822" t="s">
        <v>236</v>
      </c>
      <c r="F220" s="823">
        <v>2</v>
      </c>
      <c r="G220" s="540"/>
      <c r="H220" s="540"/>
      <c r="I220" s="540">
        <v>0.72864999999999991</v>
      </c>
      <c r="J220" s="540">
        <v>0.72864999999999991</v>
      </c>
      <c r="K220" s="540">
        <v>0.72864999999999991</v>
      </c>
      <c r="L220" s="540">
        <v>0.72864999999999991</v>
      </c>
      <c r="M220" s="1342">
        <v>0.72864999999999991</v>
      </c>
      <c r="N220" s="1342">
        <v>0.72864999999999991</v>
      </c>
      <c r="O220" s="1342">
        <v>0.72864999999999991</v>
      </c>
      <c r="P220" s="1342">
        <v>0.72864999999999991</v>
      </c>
      <c r="Q220" s="1342">
        <v>0.72864999999999991</v>
      </c>
      <c r="R220" s="1342">
        <v>0.72864999999999991</v>
      </c>
      <c r="S220" s="1342">
        <v>0.72864999999999991</v>
      </c>
      <c r="T220" s="1342">
        <v>0.72864999999999991</v>
      </c>
      <c r="U220" s="1342">
        <v>0.72864999999999991</v>
      </c>
      <c r="V220" s="1342">
        <v>0.72864999999999991</v>
      </c>
      <c r="W220" s="1342">
        <v>0.72864999999999991</v>
      </c>
      <c r="X220" s="1342">
        <v>0.72864999999999991</v>
      </c>
      <c r="Y220" s="1342">
        <v>0.72864999999999991</v>
      </c>
      <c r="Z220" s="1342">
        <v>0.72864999999999991</v>
      </c>
      <c r="AA220" s="1342">
        <v>0.72864999999999991</v>
      </c>
      <c r="AB220" s="1342">
        <v>0.72864999999999991</v>
      </c>
      <c r="AC220" s="1342">
        <v>0.72864999999999991</v>
      </c>
      <c r="AD220" s="1342">
        <v>0.72864999999999991</v>
      </c>
      <c r="AE220" s="1342">
        <v>0.72864999999999991</v>
      </c>
      <c r="AF220" s="1342">
        <v>0.72864999999999991</v>
      </c>
      <c r="AG220" s="1342">
        <v>0.72864999999999991</v>
      </c>
      <c r="AH220" s="1342">
        <v>0.72864999999999991</v>
      </c>
      <c r="AI220" s="1342">
        <v>0.72864999999999991</v>
      </c>
      <c r="AJ220" s="1342">
        <v>0.72864999999999991</v>
      </c>
      <c r="AK220" s="1342">
        <v>0.72864999999999991</v>
      </c>
      <c r="AL220" s="1342"/>
      <c r="AM220" s="1342"/>
      <c r="AN220" s="1342"/>
      <c r="AO220" s="1342"/>
      <c r="AP220" s="1342"/>
      <c r="AQ220" s="1342"/>
      <c r="AR220" s="1342"/>
      <c r="AS220" s="1342"/>
      <c r="AT220" s="1342"/>
      <c r="AU220" s="1342"/>
      <c r="AV220" s="1342"/>
      <c r="AW220" s="1342"/>
      <c r="AX220" s="1342"/>
      <c r="AY220" s="1342"/>
      <c r="AZ220" s="1342"/>
      <c r="BA220" s="1342"/>
      <c r="BB220" s="1342"/>
      <c r="BC220" s="1342"/>
      <c r="BD220" s="1342"/>
      <c r="BE220" s="1342"/>
      <c r="BF220" s="1342"/>
      <c r="BG220" s="1342"/>
      <c r="BH220" s="1342"/>
      <c r="BI220" s="1342"/>
      <c r="BJ220" s="1342"/>
      <c r="BK220" s="1342"/>
      <c r="BL220" s="1342"/>
      <c r="BM220" s="1342"/>
      <c r="BN220" s="1342"/>
      <c r="BO220" s="1342"/>
      <c r="BP220" s="1342"/>
      <c r="BQ220" s="1342"/>
      <c r="BR220" s="1342"/>
      <c r="BS220" s="1342"/>
      <c r="BT220" s="1342"/>
      <c r="BU220" s="1342"/>
      <c r="BV220" s="1342"/>
      <c r="BW220" s="1342"/>
      <c r="BX220" s="1342"/>
      <c r="BY220" s="1342"/>
      <c r="BZ220" s="1342"/>
      <c r="CA220" s="1342"/>
      <c r="CB220" s="1342"/>
      <c r="CC220" s="1342"/>
      <c r="CD220" s="1342"/>
      <c r="CE220" s="1342"/>
      <c r="CF220" s="1342"/>
      <c r="CG220" s="1342"/>
      <c r="CH220" s="1342"/>
      <c r="CI220" s="1342"/>
      <c r="CK220" s="1293"/>
    </row>
    <row r="221" spans="1:89" s="1292" customFormat="1" x14ac:dyDescent="0.2">
      <c r="A221" s="1284"/>
      <c r="B221" s="824" t="s">
        <v>482</v>
      </c>
      <c r="C221" s="825" t="s">
        <v>483</v>
      </c>
      <c r="D221" s="821" t="s">
        <v>86</v>
      </c>
      <c r="E221" s="822" t="s">
        <v>236</v>
      </c>
      <c r="F221" s="823">
        <v>2</v>
      </c>
      <c r="G221" s="540"/>
      <c r="H221" s="540"/>
      <c r="I221" s="540">
        <v>0.5</v>
      </c>
      <c r="J221" s="540">
        <v>0.5</v>
      </c>
      <c r="K221" s="540">
        <v>0.5</v>
      </c>
      <c r="L221" s="540">
        <v>0.5</v>
      </c>
      <c r="M221" s="1342">
        <v>0.5</v>
      </c>
      <c r="N221" s="1342">
        <v>0.5</v>
      </c>
      <c r="O221" s="1342">
        <v>0.5</v>
      </c>
      <c r="P221" s="1342">
        <v>0.5</v>
      </c>
      <c r="Q221" s="1342">
        <v>0.5</v>
      </c>
      <c r="R221" s="1342">
        <v>0.5</v>
      </c>
      <c r="S221" s="1342">
        <v>0.5</v>
      </c>
      <c r="T221" s="1342">
        <v>0.5</v>
      </c>
      <c r="U221" s="1342">
        <v>0.5</v>
      </c>
      <c r="V221" s="1342">
        <v>0.5</v>
      </c>
      <c r="W221" s="1342">
        <v>0.5</v>
      </c>
      <c r="X221" s="1342">
        <v>0.5</v>
      </c>
      <c r="Y221" s="1342">
        <v>0.5</v>
      </c>
      <c r="Z221" s="1342">
        <v>0.5</v>
      </c>
      <c r="AA221" s="1342">
        <v>0.5</v>
      </c>
      <c r="AB221" s="1342">
        <v>0.5</v>
      </c>
      <c r="AC221" s="1342">
        <v>0.5</v>
      </c>
      <c r="AD221" s="1342">
        <v>0.5</v>
      </c>
      <c r="AE221" s="1342">
        <v>0.5</v>
      </c>
      <c r="AF221" s="1342">
        <v>0.5</v>
      </c>
      <c r="AG221" s="1342">
        <v>0.5</v>
      </c>
      <c r="AH221" s="1342">
        <v>0.5</v>
      </c>
      <c r="AI221" s="1342">
        <v>0.5</v>
      </c>
      <c r="AJ221" s="1342">
        <v>0.5</v>
      </c>
      <c r="AK221" s="1342">
        <v>0.5</v>
      </c>
      <c r="AL221" s="1342"/>
      <c r="AM221" s="1342"/>
      <c r="AN221" s="1342"/>
      <c r="AO221" s="1342"/>
      <c r="AP221" s="1342"/>
      <c r="AQ221" s="1342"/>
      <c r="AR221" s="1342"/>
      <c r="AS221" s="1342"/>
      <c r="AT221" s="1342"/>
      <c r="AU221" s="1342"/>
      <c r="AV221" s="1342"/>
      <c r="AW221" s="1342"/>
      <c r="AX221" s="1342"/>
      <c r="AY221" s="1342"/>
      <c r="AZ221" s="1342"/>
      <c r="BA221" s="1342"/>
      <c r="BB221" s="1342"/>
      <c r="BC221" s="1342"/>
      <c r="BD221" s="1342"/>
      <c r="BE221" s="1342"/>
      <c r="BF221" s="1342"/>
      <c r="BG221" s="1342"/>
      <c r="BH221" s="1342"/>
      <c r="BI221" s="1342"/>
      <c r="BJ221" s="1342"/>
      <c r="BK221" s="1342"/>
      <c r="BL221" s="1342"/>
      <c r="BM221" s="1342"/>
      <c r="BN221" s="1342"/>
      <c r="BO221" s="1342"/>
      <c r="BP221" s="1342"/>
      <c r="BQ221" s="1342"/>
      <c r="BR221" s="1342"/>
      <c r="BS221" s="1342"/>
      <c r="BT221" s="1342"/>
      <c r="BU221" s="1342"/>
      <c r="BV221" s="1342"/>
      <c r="BW221" s="1342"/>
      <c r="BX221" s="1342"/>
      <c r="BY221" s="1342"/>
      <c r="BZ221" s="1342"/>
      <c r="CA221" s="1342"/>
      <c r="CB221" s="1342"/>
      <c r="CC221" s="1342"/>
      <c r="CD221" s="1342"/>
      <c r="CE221" s="1342"/>
      <c r="CF221" s="1342"/>
      <c r="CG221" s="1342"/>
      <c r="CH221" s="1342"/>
      <c r="CI221" s="1342"/>
      <c r="CK221" s="1293"/>
    </row>
    <row r="222" spans="1:89" s="1292" customFormat="1" x14ac:dyDescent="0.2">
      <c r="A222" s="1284"/>
      <c r="B222" s="826" t="s">
        <v>484</v>
      </c>
      <c r="C222" s="827" t="s">
        <v>387</v>
      </c>
      <c r="D222" s="827" t="s">
        <v>485</v>
      </c>
      <c r="E222" s="828" t="s">
        <v>236</v>
      </c>
      <c r="F222" s="823">
        <v>2</v>
      </c>
      <c r="G222" s="547">
        <f>(G211+G213)-(G220+G221)</f>
        <v>0</v>
      </c>
      <c r="H222" s="547">
        <f t="shared" ref="H222:AK222" si="68">(H211+H213)-(H220+H221)</f>
        <v>0</v>
      </c>
      <c r="I222" s="547">
        <f t="shared" si="68"/>
        <v>20.12135</v>
      </c>
      <c r="J222" s="547">
        <f t="shared" si="68"/>
        <v>20.12135</v>
      </c>
      <c r="K222" s="547">
        <f t="shared" si="68"/>
        <v>20.12135</v>
      </c>
      <c r="L222" s="547">
        <f t="shared" si="68"/>
        <v>20.12135</v>
      </c>
      <c r="M222" s="552">
        <f t="shared" si="68"/>
        <v>20.12135</v>
      </c>
      <c r="N222" s="552">
        <f t="shared" si="68"/>
        <v>20.12135</v>
      </c>
      <c r="O222" s="552">
        <f t="shared" si="68"/>
        <v>20.12135</v>
      </c>
      <c r="P222" s="552">
        <f t="shared" si="68"/>
        <v>20.12135</v>
      </c>
      <c r="Q222" s="552">
        <f t="shared" si="68"/>
        <v>20.12135</v>
      </c>
      <c r="R222" s="552">
        <f t="shared" si="68"/>
        <v>20.12135</v>
      </c>
      <c r="S222" s="552">
        <f t="shared" si="68"/>
        <v>20.12135</v>
      </c>
      <c r="T222" s="552">
        <f t="shared" si="68"/>
        <v>20.12135</v>
      </c>
      <c r="U222" s="552">
        <f t="shared" si="68"/>
        <v>20.12135</v>
      </c>
      <c r="V222" s="552">
        <f t="shared" si="68"/>
        <v>20.12135</v>
      </c>
      <c r="W222" s="552">
        <f t="shared" si="68"/>
        <v>20.12135</v>
      </c>
      <c r="X222" s="552">
        <f t="shared" si="68"/>
        <v>20.12135</v>
      </c>
      <c r="Y222" s="552">
        <f t="shared" si="68"/>
        <v>20.12135</v>
      </c>
      <c r="Z222" s="552">
        <f t="shared" si="68"/>
        <v>20.12135</v>
      </c>
      <c r="AA222" s="552">
        <f t="shared" si="68"/>
        <v>20.12135</v>
      </c>
      <c r="AB222" s="552">
        <f t="shared" si="68"/>
        <v>20.12135</v>
      </c>
      <c r="AC222" s="552">
        <f t="shared" si="68"/>
        <v>20.12135</v>
      </c>
      <c r="AD222" s="552">
        <f t="shared" si="68"/>
        <v>20.12135</v>
      </c>
      <c r="AE222" s="552">
        <f t="shared" si="68"/>
        <v>20.12135</v>
      </c>
      <c r="AF222" s="552">
        <f t="shared" si="68"/>
        <v>20.12135</v>
      </c>
      <c r="AG222" s="552">
        <f t="shared" si="68"/>
        <v>20.12135</v>
      </c>
      <c r="AH222" s="552">
        <f t="shared" si="68"/>
        <v>20.12135</v>
      </c>
      <c r="AI222" s="552">
        <f t="shared" si="68"/>
        <v>20.12135</v>
      </c>
      <c r="AJ222" s="552">
        <f t="shared" si="68"/>
        <v>20.12135</v>
      </c>
      <c r="AK222" s="552">
        <f t="shared" si="68"/>
        <v>20.12135</v>
      </c>
      <c r="AL222" s="552"/>
      <c r="AM222" s="552"/>
      <c r="AN222" s="552"/>
      <c r="AO222" s="552"/>
      <c r="AP222" s="552"/>
      <c r="AQ222" s="552"/>
      <c r="AR222" s="552"/>
      <c r="AS222" s="552"/>
      <c r="AT222" s="552"/>
      <c r="AU222" s="552"/>
      <c r="AV222" s="552"/>
      <c r="AW222" s="552"/>
      <c r="AX222" s="552"/>
      <c r="AY222" s="552"/>
      <c r="AZ222" s="552"/>
      <c r="BA222" s="552"/>
      <c r="BB222" s="552"/>
      <c r="BC222" s="552"/>
      <c r="BD222" s="552"/>
      <c r="BE222" s="552"/>
      <c r="BF222" s="552"/>
      <c r="BG222" s="552"/>
      <c r="BH222" s="552"/>
      <c r="BI222" s="552"/>
      <c r="BJ222" s="552"/>
      <c r="BK222" s="552"/>
      <c r="BL222" s="552"/>
      <c r="BM222" s="552"/>
      <c r="BN222" s="552"/>
      <c r="BO222" s="552"/>
      <c r="BP222" s="552"/>
      <c r="BQ222" s="552"/>
      <c r="BR222" s="552"/>
      <c r="BS222" s="552"/>
      <c r="BT222" s="552"/>
      <c r="BU222" s="552"/>
      <c r="BV222" s="552"/>
      <c r="BW222" s="552"/>
      <c r="BX222" s="552"/>
      <c r="BY222" s="552"/>
      <c r="BZ222" s="552"/>
      <c r="CA222" s="552"/>
      <c r="CB222" s="552"/>
      <c r="CC222" s="552"/>
      <c r="CD222" s="552"/>
      <c r="CE222" s="552"/>
      <c r="CF222" s="552"/>
      <c r="CG222" s="552"/>
      <c r="CH222" s="552"/>
      <c r="CI222" s="548"/>
      <c r="CK222" s="1293"/>
    </row>
    <row r="223" spans="1:89" s="1292" customFormat="1" ht="34.5" customHeight="1" thickBot="1" x14ac:dyDescent="0.25">
      <c r="A223" s="1284"/>
      <c r="B223" s="829" t="s">
        <v>486</v>
      </c>
      <c r="C223" s="830" t="s">
        <v>390</v>
      </c>
      <c r="D223" s="830" t="s">
        <v>487</v>
      </c>
      <c r="E223" s="831" t="s">
        <v>236</v>
      </c>
      <c r="F223" s="832">
        <v>2</v>
      </c>
      <c r="G223" s="559">
        <f>G222+SUM(G207:G210)</f>
        <v>0</v>
      </c>
      <c r="H223" s="559">
        <f t="shared" ref="H223:AK223" si="69">H222+SUM(H207:H210)</f>
        <v>0</v>
      </c>
      <c r="I223" s="559">
        <f t="shared" si="69"/>
        <v>21.01135</v>
      </c>
      <c r="J223" s="559">
        <f t="shared" si="69"/>
        <v>21.01135</v>
      </c>
      <c r="K223" s="559">
        <f t="shared" si="69"/>
        <v>21.01135</v>
      </c>
      <c r="L223" s="559">
        <f t="shared" si="69"/>
        <v>21.01135</v>
      </c>
      <c r="M223" s="559">
        <f t="shared" si="69"/>
        <v>21.01135</v>
      </c>
      <c r="N223" s="559">
        <f t="shared" si="69"/>
        <v>21.01135</v>
      </c>
      <c r="O223" s="559">
        <f t="shared" si="69"/>
        <v>21.01135</v>
      </c>
      <c r="P223" s="559">
        <f t="shared" si="69"/>
        <v>21.01135</v>
      </c>
      <c r="Q223" s="559">
        <f t="shared" si="69"/>
        <v>21.01135</v>
      </c>
      <c r="R223" s="559">
        <f t="shared" si="69"/>
        <v>21.01135</v>
      </c>
      <c r="S223" s="559">
        <f t="shared" si="69"/>
        <v>21.01135</v>
      </c>
      <c r="T223" s="559">
        <f t="shared" si="69"/>
        <v>21.01135</v>
      </c>
      <c r="U223" s="559">
        <f t="shared" si="69"/>
        <v>21.01135</v>
      </c>
      <c r="V223" s="559">
        <f t="shared" si="69"/>
        <v>21.01135</v>
      </c>
      <c r="W223" s="559">
        <f t="shared" si="69"/>
        <v>21.01135</v>
      </c>
      <c r="X223" s="559">
        <f t="shared" si="69"/>
        <v>21.01135</v>
      </c>
      <c r="Y223" s="559">
        <f t="shared" si="69"/>
        <v>21.01135</v>
      </c>
      <c r="Z223" s="559">
        <f t="shared" si="69"/>
        <v>21.01135</v>
      </c>
      <c r="AA223" s="559">
        <f t="shared" si="69"/>
        <v>21.01135</v>
      </c>
      <c r="AB223" s="559">
        <f t="shared" si="69"/>
        <v>21.01135</v>
      </c>
      <c r="AC223" s="559">
        <f t="shared" si="69"/>
        <v>21.01135</v>
      </c>
      <c r="AD223" s="559">
        <f t="shared" si="69"/>
        <v>21.01135</v>
      </c>
      <c r="AE223" s="559">
        <f t="shared" si="69"/>
        <v>21.01135</v>
      </c>
      <c r="AF223" s="559">
        <f t="shared" si="69"/>
        <v>21.01135</v>
      </c>
      <c r="AG223" s="559">
        <f t="shared" si="69"/>
        <v>21.01135</v>
      </c>
      <c r="AH223" s="559">
        <f t="shared" si="69"/>
        <v>21.01135</v>
      </c>
      <c r="AI223" s="559">
        <f t="shared" si="69"/>
        <v>21.01135</v>
      </c>
      <c r="AJ223" s="559">
        <f t="shared" si="69"/>
        <v>21.01135</v>
      </c>
      <c r="AK223" s="559">
        <f t="shared" si="69"/>
        <v>21.01135</v>
      </c>
      <c r="AL223" s="559"/>
      <c r="AM223" s="559"/>
      <c r="AN223" s="559"/>
      <c r="AO223" s="559"/>
      <c r="AP223" s="559"/>
      <c r="AQ223" s="559"/>
      <c r="AR223" s="559"/>
      <c r="AS223" s="559"/>
      <c r="AT223" s="559"/>
      <c r="AU223" s="559"/>
      <c r="AV223" s="559"/>
      <c r="AW223" s="559"/>
      <c r="AX223" s="559"/>
      <c r="AY223" s="559"/>
      <c r="AZ223" s="559"/>
      <c r="BA223" s="559"/>
      <c r="BB223" s="559"/>
      <c r="BC223" s="559"/>
      <c r="BD223" s="559"/>
      <c r="BE223" s="559"/>
      <c r="BF223" s="559"/>
      <c r="BG223" s="559"/>
      <c r="BH223" s="559"/>
      <c r="BI223" s="559"/>
      <c r="BJ223" s="559"/>
      <c r="BK223" s="559"/>
      <c r="BL223" s="559"/>
      <c r="BM223" s="559"/>
      <c r="BN223" s="559"/>
      <c r="BO223" s="559"/>
      <c r="BP223" s="559"/>
      <c r="BQ223" s="559"/>
      <c r="BR223" s="559"/>
      <c r="BS223" s="559"/>
      <c r="BT223" s="559"/>
      <c r="BU223" s="559"/>
      <c r="BV223" s="559"/>
      <c r="BW223" s="559"/>
      <c r="BX223" s="559"/>
      <c r="BY223" s="559"/>
      <c r="BZ223" s="559"/>
      <c r="CA223" s="559"/>
      <c r="CB223" s="559"/>
      <c r="CC223" s="559"/>
      <c r="CD223" s="559"/>
      <c r="CE223" s="559"/>
      <c r="CF223" s="559"/>
      <c r="CG223" s="559"/>
      <c r="CH223" s="559"/>
      <c r="CI223" s="559"/>
      <c r="CK223" s="1293"/>
    </row>
    <row r="224" spans="1:89" s="1292" customFormat="1" x14ac:dyDescent="0.2">
      <c r="A224" s="1284"/>
      <c r="B224" s="833" t="s">
        <v>488</v>
      </c>
      <c r="C224" s="834" t="s">
        <v>489</v>
      </c>
      <c r="D224" s="839" t="s">
        <v>783</v>
      </c>
      <c r="E224" s="835" t="s">
        <v>236</v>
      </c>
      <c r="F224" s="836">
        <v>2</v>
      </c>
      <c r="G224" s="532"/>
      <c r="H224" s="532"/>
      <c r="I224" s="532">
        <v>3.4019433058412964</v>
      </c>
      <c r="J224" s="532">
        <v>3.9533718044534298</v>
      </c>
      <c r="K224" s="532">
        <v>4.1171729395338756</v>
      </c>
      <c r="L224" s="532">
        <v>4.3065958611964366</v>
      </c>
      <c r="M224" s="533">
        <v>4.471911315249451</v>
      </c>
      <c r="N224" s="533">
        <v>4.5225967461860979</v>
      </c>
      <c r="O224" s="533">
        <v>4.5378461524728593</v>
      </c>
      <c r="P224" s="533">
        <v>4.5524064778394138</v>
      </c>
      <c r="Q224" s="533">
        <v>4.5640688770651403</v>
      </c>
      <c r="R224" s="533">
        <v>4.5718814540884489</v>
      </c>
      <c r="S224" s="533">
        <v>4.5789385347053129</v>
      </c>
      <c r="T224" s="533">
        <v>6.8757858552397355</v>
      </c>
      <c r="U224" s="533">
        <v>6.8828290039558651</v>
      </c>
      <c r="V224" s="533">
        <v>6.8899261460724688</v>
      </c>
      <c r="W224" s="533">
        <v>6.8971482959731674</v>
      </c>
      <c r="X224" s="533">
        <v>6.9043432239914564</v>
      </c>
      <c r="Y224" s="533">
        <v>6.9117161705434569</v>
      </c>
      <c r="Z224" s="533">
        <v>6.9190840872244888</v>
      </c>
      <c r="AA224" s="533">
        <v>6.9264756887834205</v>
      </c>
      <c r="AB224" s="533">
        <v>6.9338765613075086</v>
      </c>
      <c r="AC224" s="533">
        <v>6.941255435344206</v>
      </c>
      <c r="AD224" s="533">
        <v>6.9485025810435861</v>
      </c>
      <c r="AE224" s="533">
        <v>6.9555739831953094</v>
      </c>
      <c r="AF224" s="533">
        <v>6.962585893468197</v>
      </c>
      <c r="AG224" s="533">
        <v>6.9694705068728657</v>
      </c>
      <c r="AH224" s="533">
        <v>6.9763255129909707</v>
      </c>
      <c r="AI224" s="533">
        <v>6.9831305421162853</v>
      </c>
      <c r="AJ224" s="533">
        <v>6.9898510445374979</v>
      </c>
      <c r="AK224" s="533">
        <v>6.9965545287101598</v>
      </c>
      <c r="AL224" s="533"/>
      <c r="AM224" s="533"/>
      <c r="AN224" s="533"/>
      <c r="AO224" s="533"/>
      <c r="AP224" s="533"/>
      <c r="AQ224" s="533"/>
      <c r="AR224" s="533"/>
      <c r="AS224" s="533"/>
      <c r="AT224" s="533"/>
      <c r="AU224" s="533"/>
      <c r="AV224" s="533"/>
      <c r="AW224" s="533"/>
      <c r="AX224" s="533"/>
      <c r="AY224" s="533"/>
      <c r="AZ224" s="533"/>
      <c r="BA224" s="533"/>
      <c r="BB224" s="533"/>
      <c r="BC224" s="533"/>
      <c r="BD224" s="533"/>
      <c r="BE224" s="533"/>
      <c r="BF224" s="533"/>
      <c r="BG224" s="533"/>
      <c r="BH224" s="533"/>
      <c r="BI224" s="533"/>
      <c r="BJ224" s="533"/>
      <c r="BK224" s="533"/>
      <c r="BL224" s="533"/>
      <c r="BM224" s="533"/>
      <c r="BN224" s="533"/>
      <c r="BO224" s="533"/>
      <c r="BP224" s="533"/>
      <c r="BQ224" s="533"/>
      <c r="BR224" s="533"/>
      <c r="BS224" s="533"/>
      <c r="BT224" s="533"/>
      <c r="BU224" s="533"/>
      <c r="BV224" s="533"/>
      <c r="BW224" s="533"/>
      <c r="BX224" s="533"/>
      <c r="BY224" s="533"/>
      <c r="BZ224" s="533"/>
      <c r="CA224" s="533"/>
      <c r="CB224" s="533"/>
      <c r="CC224" s="533"/>
      <c r="CD224" s="533"/>
      <c r="CE224" s="533"/>
      <c r="CF224" s="533"/>
      <c r="CG224" s="533"/>
      <c r="CH224" s="533"/>
      <c r="CI224" s="534"/>
      <c r="CK224" s="1293"/>
    </row>
    <row r="225" spans="1:89" s="1292" customFormat="1" x14ac:dyDescent="0.2">
      <c r="A225" s="1284"/>
      <c r="B225" s="837" t="s">
        <v>490</v>
      </c>
      <c r="C225" s="838" t="s">
        <v>705</v>
      </c>
      <c r="D225" s="839" t="s">
        <v>86</v>
      </c>
      <c r="E225" s="840" t="s">
        <v>236</v>
      </c>
      <c r="F225" s="841">
        <v>2</v>
      </c>
      <c r="G225" s="1008"/>
      <c r="H225" s="1008"/>
      <c r="I225" s="1008"/>
      <c r="J225" s="1008"/>
      <c r="K225" s="1008"/>
      <c r="L225" s="1008"/>
      <c r="M225" s="1009"/>
      <c r="N225" s="1009"/>
      <c r="O225" s="1009"/>
      <c r="P225" s="1009"/>
      <c r="Q225" s="1009"/>
      <c r="R225" s="1009"/>
      <c r="S225" s="1009"/>
      <c r="T225" s="1009"/>
      <c r="U225" s="1009"/>
      <c r="V225" s="1009"/>
      <c r="W225" s="1009"/>
      <c r="X225" s="1009"/>
      <c r="Y225" s="1009"/>
      <c r="Z225" s="1009"/>
      <c r="AA225" s="1009"/>
      <c r="AB225" s="1009"/>
      <c r="AC225" s="1009"/>
      <c r="AD225" s="1009"/>
      <c r="AE225" s="1009"/>
      <c r="AF225" s="1009"/>
      <c r="AG225" s="1009"/>
      <c r="AH225" s="1009"/>
      <c r="AI225" s="1009"/>
      <c r="AJ225" s="1009"/>
      <c r="AK225" s="1009"/>
      <c r="AL225" s="1009"/>
      <c r="AM225" s="1009"/>
      <c r="AN225" s="1009"/>
      <c r="AO225" s="1009"/>
      <c r="AP225" s="1009"/>
      <c r="AQ225" s="1009"/>
      <c r="AR225" s="1009"/>
      <c r="AS225" s="1009"/>
      <c r="AT225" s="1009"/>
      <c r="AU225" s="1009"/>
      <c r="AV225" s="1009"/>
      <c r="AW225" s="1009"/>
      <c r="AX225" s="1009"/>
      <c r="AY225" s="1009"/>
      <c r="AZ225" s="1009"/>
      <c r="BA225" s="1009"/>
      <c r="BB225" s="1009"/>
      <c r="BC225" s="1009"/>
      <c r="BD225" s="1009"/>
      <c r="BE225" s="1009"/>
      <c r="BF225" s="1009"/>
      <c r="BG225" s="1009"/>
      <c r="BH225" s="1009"/>
      <c r="BI225" s="1009"/>
      <c r="BJ225" s="1009"/>
      <c r="BK225" s="1009"/>
      <c r="BL225" s="1009"/>
      <c r="BM225" s="1009"/>
      <c r="BN225" s="1009"/>
      <c r="BO225" s="1009"/>
      <c r="BP225" s="1009"/>
      <c r="BQ225" s="1009"/>
      <c r="BR225" s="1009"/>
      <c r="BS225" s="1009"/>
      <c r="BT225" s="1009"/>
      <c r="BU225" s="1009"/>
      <c r="BV225" s="1009"/>
      <c r="BW225" s="1009"/>
      <c r="BX225" s="1009"/>
      <c r="BY225" s="1009"/>
      <c r="BZ225" s="1009"/>
      <c r="CA225" s="1009"/>
      <c r="CB225" s="1009"/>
      <c r="CC225" s="1009"/>
      <c r="CD225" s="1009"/>
      <c r="CE225" s="1009"/>
      <c r="CF225" s="1009"/>
      <c r="CG225" s="1009"/>
      <c r="CH225" s="1009"/>
      <c r="CI225" s="1010"/>
      <c r="CK225" s="1293"/>
    </row>
    <row r="226" spans="1:89" s="1292" customFormat="1" x14ac:dyDescent="0.2">
      <c r="A226" s="1284"/>
      <c r="B226" s="837" t="s">
        <v>492</v>
      </c>
      <c r="C226" s="838" t="s">
        <v>493</v>
      </c>
      <c r="D226" s="839" t="s">
        <v>783</v>
      </c>
      <c r="E226" s="840" t="s">
        <v>236</v>
      </c>
      <c r="F226" s="841">
        <v>2</v>
      </c>
      <c r="G226" s="540"/>
      <c r="H226" s="540"/>
      <c r="I226" s="540">
        <v>3.0406118885365267E-2</v>
      </c>
      <c r="J226" s="540">
        <v>2.7041654066919437E-2</v>
      </c>
      <c r="K226" s="540">
        <v>2.6668890448681058E-2</v>
      </c>
      <c r="L226" s="540">
        <v>1.67252599362211E-2</v>
      </c>
      <c r="M226" s="544">
        <v>9.0241122548724451E-3</v>
      </c>
      <c r="N226" s="544">
        <v>8.9291128157862401E-3</v>
      </c>
      <c r="O226" s="544">
        <v>8.8341133767000368E-3</v>
      </c>
      <c r="P226" s="544">
        <v>8.7391139376138335E-3</v>
      </c>
      <c r="Q226" s="544">
        <v>8.6441144985276303E-3</v>
      </c>
      <c r="R226" s="544">
        <v>8.5491150594414287E-3</v>
      </c>
      <c r="S226" s="544">
        <v>8.4541156203552237E-3</v>
      </c>
      <c r="T226" s="544">
        <v>8.3591161812690204E-3</v>
      </c>
      <c r="U226" s="544">
        <v>8.2641167421828171E-3</v>
      </c>
      <c r="V226" s="544">
        <v>8.2641167421828171E-3</v>
      </c>
      <c r="W226" s="544">
        <v>8.2641167421828171E-3</v>
      </c>
      <c r="X226" s="544">
        <v>8.2641167421828171E-3</v>
      </c>
      <c r="Y226" s="544">
        <v>8.2641167421828171E-3</v>
      </c>
      <c r="Z226" s="544">
        <v>8.2641167421828171E-3</v>
      </c>
      <c r="AA226" s="544">
        <v>8.2641167421828171E-3</v>
      </c>
      <c r="AB226" s="544">
        <v>8.2641167421828171E-3</v>
      </c>
      <c r="AC226" s="544">
        <v>8.2641167421828171E-3</v>
      </c>
      <c r="AD226" s="544">
        <v>8.2641167421828171E-3</v>
      </c>
      <c r="AE226" s="544">
        <v>8.2641167421828171E-3</v>
      </c>
      <c r="AF226" s="544">
        <v>8.2641167421828171E-3</v>
      </c>
      <c r="AG226" s="544">
        <v>8.2641167421828171E-3</v>
      </c>
      <c r="AH226" s="544">
        <v>8.2641167421828171E-3</v>
      </c>
      <c r="AI226" s="544">
        <v>8.2641167421828171E-3</v>
      </c>
      <c r="AJ226" s="544">
        <v>8.2641167421828171E-3</v>
      </c>
      <c r="AK226" s="544">
        <v>8.2641167421828171E-3</v>
      </c>
      <c r="AL226" s="544"/>
      <c r="AM226" s="544"/>
      <c r="AN226" s="544"/>
      <c r="AO226" s="544"/>
      <c r="AP226" s="544"/>
      <c r="AQ226" s="544"/>
      <c r="AR226" s="544"/>
      <c r="AS226" s="544"/>
      <c r="AT226" s="544"/>
      <c r="AU226" s="544"/>
      <c r="AV226" s="544"/>
      <c r="AW226" s="544"/>
      <c r="AX226" s="544"/>
      <c r="AY226" s="544"/>
      <c r="AZ226" s="544"/>
      <c r="BA226" s="544"/>
      <c r="BB226" s="544"/>
      <c r="BC226" s="544"/>
      <c r="BD226" s="544"/>
      <c r="BE226" s="544"/>
      <c r="BF226" s="544"/>
      <c r="BG226" s="544"/>
      <c r="BH226" s="544"/>
      <c r="BI226" s="544"/>
      <c r="BJ226" s="544"/>
      <c r="BK226" s="544"/>
      <c r="BL226" s="544"/>
      <c r="BM226" s="544"/>
      <c r="BN226" s="544"/>
      <c r="BO226" s="544"/>
      <c r="BP226" s="544"/>
      <c r="BQ226" s="544"/>
      <c r="BR226" s="544"/>
      <c r="BS226" s="544"/>
      <c r="BT226" s="544"/>
      <c r="BU226" s="544"/>
      <c r="BV226" s="544"/>
      <c r="BW226" s="544"/>
      <c r="BX226" s="544"/>
      <c r="BY226" s="544"/>
      <c r="BZ226" s="544"/>
      <c r="CA226" s="544"/>
      <c r="CB226" s="544"/>
      <c r="CC226" s="544"/>
      <c r="CD226" s="544"/>
      <c r="CE226" s="544"/>
      <c r="CF226" s="544"/>
      <c r="CG226" s="544"/>
      <c r="CH226" s="544"/>
      <c r="CI226" s="545"/>
      <c r="CK226" s="1293"/>
    </row>
    <row r="227" spans="1:89" s="1292" customFormat="1" x14ac:dyDescent="0.2">
      <c r="A227" s="1284"/>
      <c r="B227" s="837" t="s">
        <v>494</v>
      </c>
      <c r="C227" s="838" t="s">
        <v>495</v>
      </c>
      <c r="D227" s="839" t="s">
        <v>783</v>
      </c>
      <c r="E227" s="840" t="s">
        <v>236</v>
      </c>
      <c r="F227" s="841">
        <v>2</v>
      </c>
      <c r="G227" s="540"/>
      <c r="H227" s="540"/>
      <c r="I227" s="540">
        <v>3.781437291488337</v>
      </c>
      <c r="J227" s="540">
        <v>3.6518465756035563</v>
      </c>
      <c r="K227" s="540">
        <v>3.6190111029618537</v>
      </c>
      <c r="L227" s="540">
        <v>3.60117549317214</v>
      </c>
      <c r="M227" s="544">
        <v>3.6774396432032006</v>
      </c>
      <c r="N227" s="544">
        <v>3.8246132757996842</v>
      </c>
      <c r="O227" s="544">
        <v>3.8902905368308622</v>
      </c>
      <c r="P227" s="544">
        <v>3.9313469197592261</v>
      </c>
      <c r="Q227" s="544">
        <v>3.9545562016855738</v>
      </c>
      <c r="R227" s="544">
        <v>3.978322257235249</v>
      </c>
      <c r="S227" s="544">
        <v>3.9941866817772969</v>
      </c>
      <c r="T227" s="544">
        <v>4.0120023026840164</v>
      </c>
      <c r="U227" s="544">
        <v>4.0283138283230215</v>
      </c>
      <c r="V227" s="544">
        <v>4.0451028385587913</v>
      </c>
      <c r="W227" s="544">
        <v>4.062207504787164</v>
      </c>
      <c r="X227" s="544">
        <v>4.080274553346162</v>
      </c>
      <c r="Y227" s="544">
        <v>4.100106019916697</v>
      </c>
      <c r="Z227" s="544">
        <v>4.1214695995634312</v>
      </c>
      <c r="AA227" s="544">
        <v>4.1399752931974536</v>
      </c>
      <c r="AB227" s="544">
        <v>4.151189165580436</v>
      </c>
      <c r="AC227" s="544">
        <v>4.1692647377697174</v>
      </c>
      <c r="AD227" s="544">
        <v>4.1888925045046674</v>
      </c>
      <c r="AE227" s="544">
        <v>4.2092470252801792</v>
      </c>
      <c r="AF227" s="544">
        <v>4.230271218261354</v>
      </c>
      <c r="AG227" s="544">
        <v>4.2509885988648257</v>
      </c>
      <c r="AH227" s="544">
        <v>4.2728406015618736</v>
      </c>
      <c r="AI227" s="544">
        <v>4.2952493160486274</v>
      </c>
      <c r="AJ227" s="544">
        <v>4.3187046909131412</v>
      </c>
      <c r="AK227" s="544">
        <v>4.3423192036328819</v>
      </c>
      <c r="AL227" s="544"/>
      <c r="AM227" s="544"/>
      <c r="AN227" s="544"/>
      <c r="AO227" s="544"/>
      <c r="AP227" s="544"/>
      <c r="AQ227" s="544"/>
      <c r="AR227" s="544"/>
      <c r="AS227" s="544"/>
      <c r="AT227" s="544"/>
      <c r="AU227" s="544"/>
      <c r="AV227" s="544"/>
      <c r="AW227" s="544"/>
      <c r="AX227" s="544"/>
      <c r="AY227" s="544"/>
      <c r="AZ227" s="544"/>
      <c r="BA227" s="544"/>
      <c r="BB227" s="544"/>
      <c r="BC227" s="544"/>
      <c r="BD227" s="544"/>
      <c r="BE227" s="544"/>
      <c r="BF227" s="544"/>
      <c r="BG227" s="544"/>
      <c r="BH227" s="544"/>
      <c r="BI227" s="544"/>
      <c r="BJ227" s="544"/>
      <c r="BK227" s="544"/>
      <c r="BL227" s="544"/>
      <c r="BM227" s="544"/>
      <c r="BN227" s="544"/>
      <c r="BO227" s="544"/>
      <c r="BP227" s="544"/>
      <c r="BQ227" s="544"/>
      <c r="BR227" s="544"/>
      <c r="BS227" s="544"/>
      <c r="BT227" s="544"/>
      <c r="BU227" s="544"/>
      <c r="BV227" s="544"/>
      <c r="BW227" s="544"/>
      <c r="BX227" s="544"/>
      <c r="BY227" s="544"/>
      <c r="BZ227" s="544"/>
      <c r="CA227" s="544"/>
      <c r="CB227" s="544"/>
      <c r="CC227" s="544"/>
      <c r="CD227" s="544"/>
      <c r="CE227" s="544"/>
      <c r="CF227" s="544"/>
      <c r="CG227" s="544"/>
      <c r="CH227" s="544"/>
      <c r="CI227" s="545"/>
      <c r="CK227" s="1293"/>
    </row>
    <row r="228" spans="1:89" s="1294" customFormat="1" x14ac:dyDescent="0.2">
      <c r="A228" s="1284"/>
      <c r="B228" s="837" t="s">
        <v>496</v>
      </c>
      <c r="C228" s="838" t="s">
        <v>497</v>
      </c>
      <c r="D228" s="839" t="s">
        <v>783</v>
      </c>
      <c r="E228" s="840" t="s">
        <v>236</v>
      </c>
      <c r="F228" s="841">
        <v>2</v>
      </c>
      <c r="G228" s="540"/>
      <c r="H228" s="540"/>
      <c r="I228" s="540">
        <v>2.3333379588936718</v>
      </c>
      <c r="J228" s="540">
        <v>2.2941994997667416</v>
      </c>
      <c r="K228" s="540">
        <v>2.1103573067204597</v>
      </c>
      <c r="L228" s="540">
        <v>2.0262077653139143</v>
      </c>
      <c r="M228" s="544">
        <v>1.8331546633661902</v>
      </c>
      <c r="N228" s="544">
        <v>1.6692863656480972</v>
      </c>
      <c r="O228" s="544">
        <v>1.6207983377685244</v>
      </c>
      <c r="P228" s="544">
        <v>1.5723545688827869</v>
      </c>
      <c r="Q228" s="544">
        <v>1.5238138130587804</v>
      </c>
      <c r="R228" s="544">
        <v>1.4965636402302442</v>
      </c>
      <c r="S228" s="544">
        <v>1.4909368774126956</v>
      </c>
      <c r="T228" s="544">
        <v>1.4852874240465033</v>
      </c>
      <c r="U228" s="544">
        <v>1.4794889688600619</v>
      </c>
      <c r="V228" s="544">
        <v>1.4736441444545925</v>
      </c>
      <c r="W228" s="544">
        <v>1.4687848283165534</v>
      </c>
      <c r="X228" s="544">
        <v>1.4639059379993697</v>
      </c>
      <c r="Y228" s="544">
        <v>1.4588643705433295</v>
      </c>
      <c r="Z228" s="544">
        <v>1.4540767928763096</v>
      </c>
      <c r="AA228" s="544">
        <v>1.4491505645699865</v>
      </c>
      <c r="AB228" s="544">
        <v>1.4440319900874869</v>
      </c>
      <c r="AC228" s="544">
        <v>1.4389314802789421</v>
      </c>
      <c r="AD228" s="544">
        <v>1.4344538467588497</v>
      </c>
      <c r="AE228" s="544">
        <v>1.4305170219557621</v>
      </c>
      <c r="AF228" s="544">
        <v>1.4266186991017875</v>
      </c>
      <c r="AG228" s="544">
        <v>1.4226230159031383</v>
      </c>
      <c r="AH228" s="544">
        <v>1.4189460169028005</v>
      </c>
      <c r="AI228" s="544">
        <v>1.4151728203580238</v>
      </c>
      <c r="AJ228" s="544">
        <v>1.4114491124594035</v>
      </c>
      <c r="AK228" s="544">
        <v>1.4073648408397661</v>
      </c>
      <c r="AL228" s="544"/>
      <c r="AM228" s="544"/>
      <c r="AN228" s="544"/>
      <c r="AO228" s="544"/>
      <c r="AP228" s="544"/>
      <c r="AQ228" s="544"/>
      <c r="AR228" s="544"/>
      <c r="AS228" s="544"/>
      <c r="AT228" s="544"/>
      <c r="AU228" s="544"/>
      <c r="AV228" s="544"/>
      <c r="AW228" s="544"/>
      <c r="AX228" s="544"/>
      <c r="AY228" s="544"/>
      <c r="AZ228" s="544"/>
      <c r="BA228" s="544"/>
      <c r="BB228" s="544"/>
      <c r="BC228" s="544"/>
      <c r="BD228" s="544"/>
      <c r="BE228" s="544"/>
      <c r="BF228" s="544"/>
      <c r="BG228" s="544"/>
      <c r="BH228" s="544"/>
      <c r="BI228" s="544"/>
      <c r="BJ228" s="544"/>
      <c r="BK228" s="544"/>
      <c r="BL228" s="544"/>
      <c r="BM228" s="544"/>
      <c r="BN228" s="544"/>
      <c r="BO228" s="544"/>
      <c r="BP228" s="544"/>
      <c r="BQ228" s="544"/>
      <c r="BR228" s="544"/>
      <c r="BS228" s="544"/>
      <c r="BT228" s="544"/>
      <c r="BU228" s="544"/>
      <c r="BV228" s="544"/>
      <c r="BW228" s="544"/>
      <c r="BX228" s="544"/>
      <c r="BY228" s="544"/>
      <c r="BZ228" s="544"/>
      <c r="CA228" s="544"/>
      <c r="CB228" s="544"/>
      <c r="CC228" s="544"/>
      <c r="CD228" s="544"/>
      <c r="CE228" s="544"/>
      <c r="CF228" s="544"/>
      <c r="CG228" s="544"/>
      <c r="CH228" s="544"/>
      <c r="CI228" s="545"/>
      <c r="CK228" s="1295"/>
    </row>
    <row r="229" spans="1:89" s="1292" customFormat="1" ht="28.5" x14ac:dyDescent="0.2">
      <c r="A229" s="1284"/>
      <c r="B229" s="837" t="s">
        <v>498</v>
      </c>
      <c r="C229" s="838" t="s">
        <v>499</v>
      </c>
      <c r="D229" s="839" t="s">
        <v>86</v>
      </c>
      <c r="E229" s="840" t="s">
        <v>375</v>
      </c>
      <c r="F229" s="841">
        <v>1</v>
      </c>
      <c r="G229" s="568"/>
      <c r="H229" s="1326"/>
      <c r="I229" s="1326">
        <v>0</v>
      </c>
      <c r="J229" s="1326">
        <v>4.1987773791381522E-3</v>
      </c>
      <c r="K229" s="1326">
        <v>1.6340180895311206E-2</v>
      </c>
      <c r="L229" s="1326">
        <v>1.6240489621790689E-2</v>
      </c>
      <c r="M229" s="1327">
        <v>1.5614379862200781E-2</v>
      </c>
      <c r="N229" s="1327">
        <v>1.5222055634268575E-2</v>
      </c>
      <c r="O229" s="1327">
        <v>1.5390353204622113E-2</v>
      </c>
      <c r="P229" s="1327">
        <v>1.5521011059417576E-2</v>
      </c>
      <c r="Q229" s="1327">
        <v>1.6823279961505639E-2</v>
      </c>
      <c r="R229" s="1327">
        <v>1.7096429126431768E-2</v>
      </c>
      <c r="S229" s="1327">
        <v>1.746752378572396E-2</v>
      </c>
      <c r="T229" s="1327">
        <v>1.4490752069996685E-2</v>
      </c>
      <c r="U229" s="1327">
        <v>1.4750122982496575E-2</v>
      </c>
      <c r="V229" s="1327">
        <v>1.5056027982500313E-2</v>
      </c>
      <c r="W229" s="1327">
        <v>1.5316754741492897E-2</v>
      </c>
      <c r="X229" s="1327">
        <v>1.5573682813916672E-2</v>
      </c>
      <c r="Y229" s="1327">
        <v>1.5877884397117705E-2</v>
      </c>
      <c r="Z229" s="1327">
        <v>1.6136471146544235E-2</v>
      </c>
      <c r="AA229" s="1327">
        <v>1.6393459405791389E-2</v>
      </c>
      <c r="AB229" s="1327">
        <v>1.6695236646523375E-2</v>
      </c>
      <c r="AC229" s="1327">
        <v>1.6942964177915135E-2</v>
      </c>
      <c r="AD229" s="1327">
        <v>1.7218031181751203E-2</v>
      </c>
      <c r="AE229" s="1327">
        <v>1.7496816393418119E-2</v>
      </c>
      <c r="AF229" s="1327">
        <v>1.777663322390521E-2</v>
      </c>
      <c r="AG229" s="1327">
        <v>1.8056171557533127E-2</v>
      </c>
      <c r="AH229" s="1327">
        <v>1.8338582483127506E-2</v>
      </c>
      <c r="AI229" s="1327">
        <v>1.8621583792084982E-2</v>
      </c>
      <c r="AJ229" s="1327">
        <v>1.8906811344444826E-2</v>
      </c>
      <c r="AK229" s="1327">
        <v>1.9190788449094991E-2</v>
      </c>
      <c r="AL229" s="1327"/>
      <c r="AM229" s="1327"/>
      <c r="AN229" s="1327"/>
      <c r="AO229" s="1327"/>
      <c r="AP229" s="1327"/>
      <c r="AQ229" s="1327"/>
      <c r="AR229" s="1327"/>
      <c r="AS229" s="1327"/>
      <c r="AT229" s="1327"/>
      <c r="AU229" s="1327"/>
      <c r="AV229" s="1327"/>
      <c r="AW229" s="1327"/>
      <c r="AX229" s="1327"/>
      <c r="AY229" s="1327"/>
      <c r="AZ229" s="1327"/>
      <c r="BA229" s="1327"/>
      <c r="BB229" s="1327"/>
      <c r="BC229" s="1327"/>
      <c r="BD229" s="1327"/>
      <c r="BE229" s="1327"/>
      <c r="BF229" s="1327"/>
      <c r="BG229" s="1327"/>
      <c r="BH229" s="1327"/>
      <c r="BI229" s="1327"/>
      <c r="BJ229" s="1327"/>
      <c r="BK229" s="1327"/>
      <c r="BL229" s="1327"/>
      <c r="BM229" s="1327"/>
      <c r="BN229" s="1327"/>
      <c r="BO229" s="1327"/>
      <c r="BP229" s="1327"/>
      <c r="BQ229" s="1327"/>
      <c r="BR229" s="1327"/>
      <c r="BS229" s="1327"/>
      <c r="BT229" s="1327"/>
      <c r="BU229" s="1327"/>
      <c r="BV229" s="1327"/>
      <c r="BW229" s="1327"/>
      <c r="BX229" s="1327"/>
      <c r="BY229" s="1327"/>
      <c r="BZ229" s="1327"/>
      <c r="CA229" s="1327"/>
      <c r="CB229" s="1327"/>
      <c r="CC229" s="1327"/>
      <c r="CD229" s="1327"/>
      <c r="CE229" s="1327"/>
      <c r="CF229" s="1327"/>
      <c r="CG229" s="1327"/>
      <c r="CH229" s="1327"/>
      <c r="CI229" s="1328"/>
      <c r="CK229" s="1293"/>
    </row>
    <row r="230" spans="1:89" s="1292" customFormat="1" ht="28.5" x14ac:dyDescent="0.2">
      <c r="A230" s="1284"/>
      <c r="B230" s="837" t="s">
        <v>500</v>
      </c>
      <c r="C230" s="838" t="s">
        <v>501</v>
      </c>
      <c r="D230" s="839" t="s">
        <v>502</v>
      </c>
      <c r="E230" s="840" t="s">
        <v>236</v>
      </c>
      <c r="F230" s="841">
        <v>2</v>
      </c>
      <c r="G230" s="569">
        <f>G229*(G224+SUM(G226:G228)-SUM(G236:G239))</f>
        <v>0</v>
      </c>
      <c r="H230" s="569">
        <f t="shared" ref="H230:AK230" si="70">H229*(SUM(H224:H228)-SUM(H236:H239))</f>
        <v>0</v>
      </c>
      <c r="I230" s="569">
        <f t="shared" si="70"/>
        <v>0</v>
      </c>
      <c r="J230" s="569">
        <f t="shared" si="70"/>
        <v>4.0957554494059009E-2</v>
      </c>
      <c r="K230" s="569">
        <f t="shared" si="70"/>
        <v>0.15861904132982382</v>
      </c>
      <c r="L230" s="569">
        <f t="shared" si="70"/>
        <v>0.1590134025040616</v>
      </c>
      <c r="M230" s="569">
        <f t="shared" si="70"/>
        <v>0.15354351939544855</v>
      </c>
      <c r="N230" s="569">
        <f t="shared" si="70"/>
        <v>0.15021319193027882</v>
      </c>
      <c r="O230" s="569">
        <f t="shared" si="70"/>
        <v>0.15235976826505082</v>
      </c>
      <c r="P230" s="569">
        <f t="shared" si="70"/>
        <v>0.15375843775064565</v>
      </c>
      <c r="Q230" s="569">
        <f t="shared" si="70"/>
        <v>0.16642520588990822</v>
      </c>
      <c r="R230" s="569">
        <f t="shared" si="70"/>
        <v>0.16919243567986308</v>
      </c>
      <c r="S230" s="569">
        <f t="shared" si="70"/>
        <v>0.1731533654242082</v>
      </c>
      <c r="T230" s="569">
        <f t="shared" si="70"/>
        <v>0.17709312223272869</v>
      </c>
      <c r="U230" s="569">
        <f t="shared" si="70"/>
        <v>0.18051052331768622</v>
      </c>
      <c r="V230" s="569">
        <f t="shared" si="70"/>
        <v>0.18451561364455205</v>
      </c>
      <c r="W230" s="569">
        <f t="shared" si="70"/>
        <v>0.18799879175994016</v>
      </c>
      <c r="X230" s="569">
        <f t="shared" si="70"/>
        <v>0.19145933886045483</v>
      </c>
      <c r="Y230" s="569">
        <f t="shared" si="70"/>
        <v>0.19554051071031023</v>
      </c>
      <c r="Z230" s="569">
        <f t="shared" si="70"/>
        <v>0.19910109326996667</v>
      </c>
      <c r="AA230" s="569">
        <f t="shared" si="70"/>
        <v>0.20260544730032912</v>
      </c>
      <c r="AB230" s="569">
        <f t="shared" si="70"/>
        <v>0.20655007750560481</v>
      </c>
      <c r="AC230" s="569">
        <f t="shared" si="70"/>
        <v>0.20994942267946978</v>
      </c>
      <c r="AD230" s="569">
        <f t="shared" si="70"/>
        <v>0.21373329083871076</v>
      </c>
      <c r="AE230" s="569">
        <f t="shared" si="70"/>
        <v>0.21759450816521</v>
      </c>
      <c r="AF230" s="569">
        <f t="shared" si="70"/>
        <v>0.22149299852366452</v>
      </c>
      <c r="AG230" s="569">
        <f t="shared" si="70"/>
        <v>0.22539173268473237</v>
      </c>
      <c r="AH230" s="569">
        <f t="shared" si="70"/>
        <v>0.2293655939207167</v>
      </c>
      <c r="AI230" s="569">
        <f t="shared" si="70"/>
        <v>0.23336863588535006</v>
      </c>
      <c r="AJ230" s="569">
        <f t="shared" si="70"/>
        <v>0.23743315235083071</v>
      </c>
      <c r="AK230" s="569">
        <f t="shared" si="70"/>
        <v>0.24149276024598368</v>
      </c>
      <c r="AL230" s="569"/>
      <c r="AM230" s="569"/>
      <c r="AN230" s="569"/>
      <c r="AO230" s="569"/>
      <c r="AP230" s="569"/>
      <c r="AQ230" s="569"/>
      <c r="AR230" s="569"/>
      <c r="AS230" s="569"/>
      <c r="AT230" s="569"/>
      <c r="AU230" s="569"/>
      <c r="AV230" s="569"/>
      <c r="AW230" s="569"/>
      <c r="AX230" s="569"/>
      <c r="AY230" s="569"/>
      <c r="AZ230" s="569"/>
      <c r="BA230" s="569"/>
      <c r="BB230" s="569"/>
      <c r="BC230" s="569"/>
      <c r="BD230" s="569"/>
      <c r="BE230" s="569"/>
      <c r="BF230" s="569"/>
      <c r="BG230" s="569"/>
      <c r="BH230" s="569"/>
      <c r="BI230" s="569"/>
      <c r="BJ230" s="569"/>
      <c r="BK230" s="569"/>
      <c r="BL230" s="569"/>
      <c r="BM230" s="569"/>
      <c r="BN230" s="569"/>
      <c r="BO230" s="569"/>
      <c r="BP230" s="569"/>
      <c r="BQ230" s="569"/>
      <c r="BR230" s="569"/>
      <c r="BS230" s="569"/>
      <c r="BT230" s="569"/>
      <c r="BU230" s="569"/>
      <c r="BV230" s="569"/>
      <c r="BW230" s="569"/>
      <c r="BX230" s="569"/>
      <c r="BY230" s="569"/>
      <c r="BZ230" s="569"/>
      <c r="CA230" s="569"/>
      <c r="CB230" s="569"/>
      <c r="CC230" s="569"/>
      <c r="CD230" s="569"/>
      <c r="CE230" s="569"/>
      <c r="CF230" s="569"/>
      <c r="CG230" s="569"/>
      <c r="CH230" s="569"/>
      <c r="CI230" s="569"/>
      <c r="CK230" s="1293"/>
    </row>
    <row r="231" spans="1:89" s="1292" customFormat="1" x14ac:dyDescent="0.2">
      <c r="A231" s="1284"/>
      <c r="B231" s="837" t="s">
        <v>503</v>
      </c>
      <c r="C231" s="842" t="s">
        <v>305</v>
      </c>
      <c r="D231" s="843" t="s">
        <v>504</v>
      </c>
      <c r="E231" s="844" t="s">
        <v>239</v>
      </c>
      <c r="F231" s="845">
        <v>1</v>
      </c>
      <c r="G231" s="575" t="e">
        <f>(((G227-G238))*1000000)/((G260)*1000)</f>
        <v>#DIV/0!</v>
      </c>
      <c r="H231" s="575" t="e">
        <f t="shared" ref="H231:AK232" si="71">(((H227-H238))*1000000)/((H260)*1000)</f>
        <v>#DIV/0!</v>
      </c>
      <c r="I231" s="575">
        <f t="shared" si="71"/>
        <v>143.98405270700505</v>
      </c>
      <c r="J231" s="575">
        <f t="shared" si="71"/>
        <v>139.80826852362765</v>
      </c>
      <c r="K231" s="575">
        <f t="shared" si="71"/>
        <v>136.22105237529101</v>
      </c>
      <c r="L231" s="575">
        <f t="shared" si="71"/>
        <v>133.98112978737947</v>
      </c>
      <c r="M231" s="576">
        <f t="shared" si="71"/>
        <v>132.24940567055427</v>
      </c>
      <c r="N231" s="576">
        <f t="shared" si="71"/>
        <v>131.62921020311279</v>
      </c>
      <c r="O231" s="576">
        <f t="shared" si="71"/>
        <v>131.17242115562735</v>
      </c>
      <c r="P231" s="576">
        <f t="shared" si="71"/>
        <v>130.76855653662594</v>
      </c>
      <c r="Q231" s="576">
        <f t="shared" si="71"/>
        <v>129.9974008264941</v>
      </c>
      <c r="R231" s="576">
        <f t="shared" si="71"/>
        <v>129.69456348033214</v>
      </c>
      <c r="S231" s="576">
        <f t="shared" si="71"/>
        <v>129.51541913830411</v>
      </c>
      <c r="T231" s="576">
        <f t="shared" si="71"/>
        <v>129.36429753629423</v>
      </c>
      <c r="U231" s="576">
        <f t="shared" si="71"/>
        <v>129.20319998364903</v>
      </c>
      <c r="V231" s="576">
        <f t="shared" si="71"/>
        <v>129.06217616836352</v>
      </c>
      <c r="W231" s="576">
        <f t="shared" si="71"/>
        <v>128.89328437409583</v>
      </c>
      <c r="X231" s="576">
        <f t="shared" si="71"/>
        <v>128.77768244020388</v>
      </c>
      <c r="Y231" s="576">
        <f t="shared" si="71"/>
        <v>128.67399108004284</v>
      </c>
      <c r="Z231" s="576">
        <f t="shared" si="71"/>
        <v>128.59502797633129</v>
      </c>
      <c r="AA231" s="576">
        <f t="shared" si="71"/>
        <v>128.48891601994771</v>
      </c>
      <c r="AB231" s="576">
        <f t="shared" si="71"/>
        <v>128.19699767404035</v>
      </c>
      <c r="AC231" s="576">
        <f t="shared" si="71"/>
        <v>128.08848124794679</v>
      </c>
      <c r="AD231" s="576">
        <f t="shared" si="71"/>
        <v>128.01467304520392</v>
      </c>
      <c r="AE231" s="576">
        <f t="shared" si="71"/>
        <v>127.93445547087869</v>
      </c>
      <c r="AF231" s="576">
        <f t="shared" si="71"/>
        <v>127.85884570221444</v>
      </c>
      <c r="AG231" s="576">
        <f t="shared" si="71"/>
        <v>127.77977692827932</v>
      </c>
      <c r="AH231" s="576">
        <f t="shared" si="71"/>
        <v>127.73594361627497</v>
      </c>
      <c r="AI231" s="576">
        <f t="shared" si="71"/>
        <v>127.67766217393729</v>
      </c>
      <c r="AJ231" s="576">
        <f t="shared" si="71"/>
        <v>127.6176315418913</v>
      </c>
      <c r="AK231" s="576">
        <f t="shared" si="71"/>
        <v>127.54484916580036</v>
      </c>
      <c r="AL231" s="576"/>
      <c r="AM231" s="576"/>
      <c r="AN231" s="576"/>
      <c r="AO231" s="576"/>
      <c r="AP231" s="576"/>
      <c r="AQ231" s="576"/>
      <c r="AR231" s="576"/>
      <c r="AS231" s="576"/>
      <c r="AT231" s="576"/>
      <c r="AU231" s="576"/>
      <c r="AV231" s="576"/>
      <c r="AW231" s="576"/>
      <c r="AX231" s="576"/>
      <c r="AY231" s="576"/>
      <c r="AZ231" s="576"/>
      <c r="BA231" s="576"/>
      <c r="BB231" s="576"/>
      <c r="BC231" s="576"/>
      <c r="BD231" s="576"/>
      <c r="BE231" s="576"/>
      <c r="BF231" s="576"/>
      <c r="BG231" s="576"/>
      <c r="BH231" s="576"/>
      <c r="BI231" s="576"/>
      <c r="BJ231" s="576"/>
      <c r="BK231" s="576"/>
      <c r="BL231" s="576"/>
      <c r="BM231" s="576"/>
      <c r="BN231" s="576"/>
      <c r="BO231" s="576"/>
      <c r="BP231" s="576"/>
      <c r="BQ231" s="576"/>
      <c r="BR231" s="576"/>
      <c r="BS231" s="576"/>
      <c r="BT231" s="576"/>
      <c r="BU231" s="576"/>
      <c r="BV231" s="576"/>
      <c r="BW231" s="576"/>
      <c r="BX231" s="576"/>
      <c r="BY231" s="576"/>
      <c r="BZ231" s="576"/>
      <c r="CA231" s="576"/>
      <c r="CB231" s="576"/>
      <c r="CC231" s="576"/>
      <c r="CD231" s="576"/>
      <c r="CE231" s="576"/>
      <c r="CF231" s="576"/>
      <c r="CG231" s="576"/>
      <c r="CH231" s="576"/>
      <c r="CI231" s="570"/>
      <c r="CK231" s="1293"/>
    </row>
    <row r="232" spans="1:89" s="1292" customFormat="1" x14ac:dyDescent="0.2">
      <c r="A232" s="1284"/>
      <c r="B232" s="837" t="s">
        <v>505</v>
      </c>
      <c r="C232" s="842" t="s">
        <v>324</v>
      </c>
      <c r="D232" s="843" t="s">
        <v>506</v>
      </c>
      <c r="E232" s="844" t="s">
        <v>239</v>
      </c>
      <c r="F232" s="845">
        <v>1</v>
      </c>
      <c r="G232" s="575" t="e">
        <f>(((G228-G239))*1000000)/((G261)*1000)</f>
        <v>#DIV/0!</v>
      </c>
      <c r="H232" s="575" t="e">
        <f t="shared" si="71"/>
        <v>#DIV/0!</v>
      </c>
      <c r="I232" s="575">
        <f t="shared" si="71"/>
        <v>204.25505357797545</v>
      </c>
      <c r="J232" s="575">
        <f t="shared" si="71"/>
        <v>210.66357165236482</v>
      </c>
      <c r="K232" s="575">
        <f t="shared" si="71"/>
        <v>196.87600896820533</v>
      </c>
      <c r="L232" s="575">
        <f t="shared" si="71"/>
        <v>193.82108150165337</v>
      </c>
      <c r="M232" s="576">
        <f t="shared" si="71"/>
        <v>191.46852436775927</v>
      </c>
      <c r="N232" s="576">
        <f t="shared" si="71"/>
        <v>191.01810658672488</v>
      </c>
      <c r="O232" s="576">
        <f t="shared" si="71"/>
        <v>190.5841591915154</v>
      </c>
      <c r="P232" s="576">
        <f t="shared" si="71"/>
        <v>190.15145881232851</v>
      </c>
      <c r="Q232" s="576">
        <f t="shared" si="71"/>
        <v>189.70126562663398</v>
      </c>
      <c r="R232" s="576">
        <f t="shared" si="71"/>
        <v>189.44722389698364</v>
      </c>
      <c r="S232" s="576">
        <f t="shared" si="71"/>
        <v>189.44755069894853</v>
      </c>
      <c r="T232" s="576">
        <f t="shared" si="71"/>
        <v>189.45330619198683</v>
      </c>
      <c r="U232" s="576">
        <f t="shared" si="71"/>
        <v>189.44601589731425</v>
      </c>
      <c r="V232" s="576">
        <f t="shared" si="71"/>
        <v>189.43956807504165</v>
      </c>
      <c r="W232" s="576">
        <f t="shared" si="71"/>
        <v>189.57054799307417</v>
      </c>
      <c r="X232" s="576">
        <f t="shared" si="71"/>
        <v>189.70381299041591</v>
      </c>
      <c r="Y232" s="576">
        <f t="shared" si="71"/>
        <v>189.82037875975985</v>
      </c>
      <c r="Z232" s="576">
        <f t="shared" si="71"/>
        <v>189.97461681525746</v>
      </c>
      <c r="AA232" s="576">
        <f t="shared" si="71"/>
        <v>190.11216822405785</v>
      </c>
      <c r="AB232" s="576">
        <f t="shared" si="71"/>
        <v>190.22650077765175</v>
      </c>
      <c r="AC232" s="576">
        <f t="shared" si="71"/>
        <v>190.34493195824922</v>
      </c>
      <c r="AD232" s="576">
        <f t="shared" si="71"/>
        <v>190.54948057252031</v>
      </c>
      <c r="AE232" s="576">
        <f t="shared" si="71"/>
        <v>190.8288472919491</v>
      </c>
      <c r="AF232" s="576">
        <f t="shared" si="71"/>
        <v>191.1136201030466</v>
      </c>
      <c r="AG232" s="576">
        <f t="shared" si="71"/>
        <v>191.38422138457804</v>
      </c>
      <c r="AH232" s="576">
        <f t="shared" si="71"/>
        <v>191.69832258951811</v>
      </c>
      <c r="AI232" s="576">
        <f t="shared" si="71"/>
        <v>191.99787895919974</v>
      </c>
      <c r="AJ232" s="576">
        <f t="shared" si="71"/>
        <v>192.30181741275317</v>
      </c>
      <c r="AK232" s="576">
        <f t="shared" si="71"/>
        <v>192.55080732820619</v>
      </c>
      <c r="AL232" s="576"/>
      <c r="AM232" s="576"/>
      <c r="AN232" s="576"/>
      <c r="AO232" s="576"/>
      <c r="AP232" s="576"/>
      <c r="AQ232" s="576"/>
      <c r="AR232" s="576"/>
      <c r="AS232" s="576"/>
      <c r="AT232" s="576"/>
      <c r="AU232" s="576"/>
      <c r="AV232" s="576"/>
      <c r="AW232" s="576"/>
      <c r="AX232" s="576"/>
      <c r="AY232" s="576"/>
      <c r="AZ232" s="576"/>
      <c r="BA232" s="576"/>
      <c r="BB232" s="576"/>
      <c r="BC232" s="576"/>
      <c r="BD232" s="576"/>
      <c r="BE232" s="576"/>
      <c r="BF232" s="576"/>
      <c r="BG232" s="576"/>
      <c r="BH232" s="576"/>
      <c r="BI232" s="576"/>
      <c r="BJ232" s="576"/>
      <c r="BK232" s="576"/>
      <c r="BL232" s="576"/>
      <c r="BM232" s="576"/>
      <c r="BN232" s="576"/>
      <c r="BO232" s="576"/>
      <c r="BP232" s="576"/>
      <c r="BQ232" s="576"/>
      <c r="BR232" s="576"/>
      <c r="BS232" s="576"/>
      <c r="BT232" s="576"/>
      <c r="BU232" s="576"/>
      <c r="BV232" s="576"/>
      <c r="BW232" s="576"/>
      <c r="BX232" s="576"/>
      <c r="BY232" s="576"/>
      <c r="BZ232" s="576"/>
      <c r="CA232" s="576"/>
      <c r="CB232" s="576"/>
      <c r="CC232" s="576"/>
      <c r="CD232" s="576"/>
      <c r="CE232" s="576"/>
      <c r="CF232" s="576"/>
      <c r="CG232" s="576"/>
      <c r="CH232" s="576"/>
      <c r="CI232" s="570"/>
      <c r="CK232" s="1293"/>
    </row>
    <row r="233" spans="1:89" s="1292" customFormat="1" ht="28.5" x14ac:dyDescent="0.2">
      <c r="A233" s="1284"/>
      <c r="B233" s="837" t="s">
        <v>507</v>
      </c>
      <c r="C233" s="842" t="s">
        <v>238</v>
      </c>
      <c r="D233" s="843" t="s">
        <v>508</v>
      </c>
      <c r="E233" s="844" t="s">
        <v>239</v>
      </c>
      <c r="F233" s="845">
        <v>1</v>
      </c>
      <c r="G233" s="575" t="e">
        <f>(((G227-G238)+(G228-G239))*1000000)/((G260+G261)*1000)</f>
        <v>#DIV/0!</v>
      </c>
      <c r="H233" s="575" t="e">
        <f t="shared" ref="H233:AK233" si="72">(((H227-H238)+(H228-H239))*1000000)/((H260+H261)*1000)</f>
        <v>#DIV/0!</v>
      </c>
      <c r="I233" s="575">
        <f t="shared" si="72"/>
        <v>162.01816098518304</v>
      </c>
      <c r="J233" s="575">
        <f t="shared" si="72"/>
        <v>160.5503513047789</v>
      </c>
      <c r="K233" s="575">
        <f t="shared" si="72"/>
        <v>153.55517756984287</v>
      </c>
      <c r="L233" s="575">
        <f t="shared" si="72"/>
        <v>150.64488660176534</v>
      </c>
      <c r="M233" s="576">
        <f t="shared" si="72"/>
        <v>147.33514068764848</v>
      </c>
      <c r="N233" s="576">
        <f t="shared" si="72"/>
        <v>145.28856400625654</v>
      </c>
      <c r="O233" s="576">
        <f t="shared" si="72"/>
        <v>144.34275193991704</v>
      </c>
      <c r="P233" s="576">
        <f t="shared" si="72"/>
        <v>143.51214022775767</v>
      </c>
      <c r="Q233" s="576">
        <f t="shared" si="72"/>
        <v>142.40632398534015</v>
      </c>
      <c r="R233" s="576">
        <f t="shared" si="72"/>
        <v>141.87022112517968</v>
      </c>
      <c r="S233" s="576">
        <f t="shared" si="72"/>
        <v>141.63965164759409</v>
      </c>
      <c r="T233" s="576">
        <f t="shared" si="72"/>
        <v>141.42933044164772</v>
      </c>
      <c r="U233" s="576">
        <f t="shared" si="72"/>
        <v>141.21107897121493</v>
      </c>
      <c r="V233" s="576">
        <f t="shared" si="72"/>
        <v>141.00908440651665</v>
      </c>
      <c r="W233" s="576">
        <f t="shared" si="72"/>
        <v>140.80862391823302</v>
      </c>
      <c r="X233" s="576">
        <f t="shared" si="72"/>
        <v>140.65257765444898</v>
      </c>
      <c r="Y233" s="576">
        <f t="shared" si="72"/>
        <v>140.49914456223274</v>
      </c>
      <c r="Z233" s="576">
        <f t="shared" si="72"/>
        <v>140.37088467884936</v>
      </c>
      <c r="AA233" s="576">
        <f t="shared" si="72"/>
        <v>140.22206248339569</v>
      </c>
      <c r="AB233" s="576">
        <f t="shared" si="72"/>
        <v>139.92123579759121</v>
      </c>
      <c r="AC233" s="576">
        <f t="shared" si="72"/>
        <v>139.76675123358822</v>
      </c>
      <c r="AD233" s="576">
        <f t="shared" si="72"/>
        <v>139.6553641823061</v>
      </c>
      <c r="AE233" s="576">
        <f t="shared" si="72"/>
        <v>139.55025426260553</v>
      </c>
      <c r="AF233" s="576">
        <f t="shared" si="72"/>
        <v>139.44835464277813</v>
      </c>
      <c r="AG233" s="576">
        <f t="shared" si="72"/>
        <v>139.34120496757225</v>
      </c>
      <c r="AH233" s="576">
        <f t="shared" si="72"/>
        <v>139.27055132585406</v>
      </c>
      <c r="AI233" s="576">
        <f t="shared" si="72"/>
        <v>139.1828672249259</v>
      </c>
      <c r="AJ233" s="576">
        <f t="shared" si="72"/>
        <v>139.09189696131452</v>
      </c>
      <c r="AK233" s="576">
        <f t="shared" si="72"/>
        <v>138.97940605353782</v>
      </c>
      <c r="AL233" s="576"/>
      <c r="AM233" s="576"/>
      <c r="AN233" s="576"/>
      <c r="AO233" s="576"/>
      <c r="AP233" s="576"/>
      <c r="AQ233" s="576"/>
      <c r="AR233" s="576"/>
      <c r="AS233" s="576"/>
      <c r="AT233" s="576"/>
      <c r="AU233" s="576"/>
      <c r="AV233" s="576"/>
      <c r="AW233" s="576"/>
      <c r="AX233" s="576"/>
      <c r="AY233" s="576"/>
      <c r="AZ233" s="576"/>
      <c r="BA233" s="576"/>
      <c r="BB233" s="576"/>
      <c r="BC233" s="576"/>
      <c r="BD233" s="576"/>
      <c r="BE233" s="576"/>
      <c r="BF233" s="576"/>
      <c r="BG233" s="576"/>
      <c r="BH233" s="576"/>
      <c r="BI233" s="576"/>
      <c r="BJ233" s="576"/>
      <c r="BK233" s="576"/>
      <c r="BL233" s="576"/>
      <c r="BM233" s="576"/>
      <c r="BN233" s="576"/>
      <c r="BO233" s="576"/>
      <c r="BP233" s="576"/>
      <c r="BQ233" s="576"/>
      <c r="BR233" s="576"/>
      <c r="BS233" s="576"/>
      <c r="BT233" s="576"/>
      <c r="BU233" s="576"/>
      <c r="BV233" s="576"/>
      <c r="BW233" s="576"/>
      <c r="BX233" s="576"/>
      <c r="BY233" s="576"/>
      <c r="BZ233" s="576"/>
      <c r="CA233" s="576"/>
      <c r="CB233" s="576"/>
      <c r="CC233" s="576"/>
      <c r="CD233" s="576"/>
      <c r="CE233" s="576"/>
      <c r="CF233" s="576"/>
      <c r="CG233" s="576"/>
      <c r="CH233" s="576"/>
      <c r="CI233" s="570"/>
      <c r="CK233" s="1293"/>
    </row>
    <row r="234" spans="1:89" s="1292" customFormat="1" x14ac:dyDescent="0.2">
      <c r="A234" s="1284"/>
      <c r="B234" s="837" t="s">
        <v>509</v>
      </c>
      <c r="C234" s="842" t="s">
        <v>510</v>
      </c>
      <c r="D234" s="843" t="s">
        <v>86</v>
      </c>
      <c r="E234" s="844" t="s">
        <v>236</v>
      </c>
      <c r="F234" s="845">
        <v>2</v>
      </c>
      <c r="G234" s="540"/>
      <c r="H234" s="540"/>
      <c r="I234" s="540">
        <v>0.1776710352873897</v>
      </c>
      <c r="J234" s="540">
        <v>0.18666659916750739</v>
      </c>
      <c r="K234" s="540">
        <v>0.18655380045941841</v>
      </c>
      <c r="L234" s="540">
        <v>0.18654185704689694</v>
      </c>
      <c r="M234" s="541">
        <v>0.18669474239765349</v>
      </c>
      <c r="N234" s="541">
        <v>0.18654367171047201</v>
      </c>
      <c r="O234" s="541">
        <v>0.18640286458274521</v>
      </c>
      <c r="P234" s="541">
        <v>0.18630484232754435</v>
      </c>
      <c r="Q234" s="541">
        <v>0.18621994367467282</v>
      </c>
      <c r="R234" s="541">
        <v>0.18613608700719772</v>
      </c>
      <c r="S234" s="541">
        <v>0.18605450592028511</v>
      </c>
      <c r="T234" s="541">
        <v>0.18597357523328367</v>
      </c>
      <c r="U234" s="541">
        <v>0.18589304783142233</v>
      </c>
      <c r="V234" s="541">
        <v>0.18581232486593002</v>
      </c>
      <c r="W234" s="541">
        <v>0.18573204246815653</v>
      </c>
      <c r="X234" s="541">
        <v>0.18565179271001012</v>
      </c>
      <c r="Y234" s="541">
        <v>0.1855723048338131</v>
      </c>
      <c r="Z234" s="541">
        <v>0.18549464356179832</v>
      </c>
      <c r="AA234" s="541">
        <v>0.18541767804435363</v>
      </c>
      <c r="AB234" s="541">
        <v>0.18534157811493526</v>
      </c>
      <c r="AC234" s="541">
        <v>0.18526688133066022</v>
      </c>
      <c r="AD234" s="541">
        <v>0.18519343635067068</v>
      </c>
      <c r="AE234" s="541">
        <v>0.18512007595950061</v>
      </c>
      <c r="AF234" s="541">
        <v>0.1850473405493579</v>
      </c>
      <c r="AG234" s="541">
        <v>0.18497528935215835</v>
      </c>
      <c r="AH234" s="541">
        <v>0.18490431892423387</v>
      </c>
      <c r="AI234" s="541">
        <v>0.18483489145869608</v>
      </c>
      <c r="AJ234" s="541">
        <v>0.18476691050539759</v>
      </c>
      <c r="AK234" s="541">
        <v>0.18470002472488542</v>
      </c>
      <c r="AL234" s="541"/>
      <c r="AM234" s="541"/>
      <c r="AN234" s="541"/>
      <c r="AO234" s="541"/>
      <c r="AP234" s="541"/>
      <c r="AQ234" s="541"/>
      <c r="AR234" s="541"/>
      <c r="AS234" s="541"/>
      <c r="AT234" s="541"/>
      <c r="AU234" s="541"/>
      <c r="AV234" s="541"/>
      <c r="AW234" s="541"/>
      <c r="AX234" s="541"/>
      <c r="AY234" s="541"/>
      <c r="AZ234" s="541"/>
      <c r="BA234" s="541"/>
      <c r="BB234" s="541"/>
      <c r="BC234" s="541"/>
      <c r="BD234" s="541"/>
      <c r="BE234" s="541"/>
      <c r="BF234" s="541"/>
      <c r="BG234" s="541"/>
      <c r="BH234" s="541"/>
      <c r="BI234" s="541"/>
      <c r="BJ234" s="541"/>
      <c r="BK234" s="541"/>
      <c r="BL234" s="541"/>
      <c r="BM234" s="541"/>
      <c r="BN234" s="541"/>
      <c r="BO234" s="541"/>
      <c r="BP234" s="541"/>
      <c r="BQ234" s="541"/>
      <c r="BR234" s="541"/>
      <c r="BS234" s="541"/>
      <c r="BT234" s="541"/>
      <c r="BU234" s="541"/>
      <c r="BV234" s="541"/>
      <c r="BW234" s="541"/>
      <c r="BX234" s="541"/>
      <c r="BY234" s="541"/>
      <c r="BZ234" s="541"/>
      <c r="CA234" s="541"/>
      <c r="CB234" s="541"/>
      <c r="CC234" s="541"/>
      <c r="CD234" s="541"/>
      <c r="CE234" s="541"/>
      <c r="CF234" s="541"/>
      <c r="CG234" s="541"/>
      <c r="CH234" s="541"/>
      <c r="CI234" s="542"/>
      <c r="CK234" s="1293"/>
    </row>
    <row r="235" spans="1:89" s="1292" customFormat="1" ht="15" thickBot="1" x14ac:dyDescent="0.25">
      <c r="A235" s="1284"/>
      <c r="B235" s="846" t="s">
        <v>511</v>
      </c>
      <c r="C235" s="847" t="s">
        <v>512</v>
      </c>
      <c r="D235" s="848" t="s">
        <v>86</v>
      </c>
      <c r="E235" s="849" t="s">
        <v>236</v>
      </c>
      <c r="F235" s="850">
        <v>2</v>
      </c>
      <c r="G235" s="582"/>
      <c r="H235" s="582"/>
      <c r="I235" s="582">
        <v>0.10012450177836422</v>
      </c>
      <c r="J235" s="582">
        <v>0.10012450177836422</v>
      </c>
      <c r="K235" s="582">
        <v>0.10012450177836422</v>
      </c>
      <c r="L235" s="582">
        <v>0.10012450177836422</v>
      </c>
      <c r="M235" s="583">
        <v>0.10012450177836422</v>
      </c>
      <c r="N235" s="583">
        <v>0.10012450177836422</v>
      </c>
      <c r="O235" s="583">
        <v>0.10012450177836422</v>
      </c>
      <c r="P235" s="583">
        <v>0.10012450177836422</v>
      </c>
      <c r="Q235" s="583">
        <v>0.10012450177836422</v>
      </c>
      <c r="R235" s="583">
        <v>0.10012450177836422</v>
      </c>
      <c r="S235" s="583">
        <v>0.10012450177836422</v>
      </c>
      <c r="T235" s="583">
        <v>0.10012450177836422</v>
      </c>
      <c r="U235" s="583">
        <v>0.10012450177836422</v>
      </c>
      <c r="V235" s="583">
        <v>0.10012450177836422</v>
      </c>
      <c r="W235" s="583">
        <v>0.10012450177836422</v>
      </c>
      <c r="X235" s="583">
        <v>0.10012450177836422</v>
      </c>
      <c r="Y235" s="583">
        <v>0.10012450177836422</v>
      </c>
      <c r="Z235" s="583">
        <v>0.10012450177836422</v>
      </c>
      <c r="AA235" s="583">
        <v>0.10012450177836422</v>
      </c>
      <c r="AB235" s="583">
        <v>0.10012450177836422</v>
      </c>
      <c r="AC235" s="583">
        <v>0.10012450177836422</v>
      </c>
      <c r="AD235" s="583">
        <v>0.10012450177836422</v>
      </c>
      <c r="AE235" s="583">
        <v>0.10012450177836422</v>
      </c>
      <c r="AF235" s="583">
        <v>0.10012450177836422</v>
      </c>
      <c r="AG235" s="583">
        <v>0.10012450177836422</v>
      </c>
      <c r="AH235" s="583">
        <v>0.10012450177836422</v>
      </c>
      <c r="AI235" s="583">
        <v>0.10012450177836422</v>
      </c>
      <c r="AJ235" s="583">
        <v>0.10012450177836422</v>
      </c>
      <c r="AK235" s="583">
        <v>0.10012450177836422</v>
      </c>
      <c r="AL235" s="583"/>
      <c r="AM235" s="583"/>
      <c r="AN235" s="583"/>
      <c r="AO235" s="583"/>
      <c r="AP235" s="583"/>
      <c r="AQ235" s="583"/>
      <c r="AR235" s="583"/>
      <c r="AS235" s="583"/>
      <c r="AT235" s="583"/>
      <c r="AU235" s="583"/>
      <c r="AV235" s="583"/>
      <c r="AW235" s="583"/>
      <c r="AX235" s="583"/>
      <c r="AY235" s="583"/>
      <c r="AZ235" s="583"/>
      <c r="BA235" s="583"/>
      <c r="BB235" s="583"/>
      <c r="BC235" s="583"/>
      <c r="BD235" s="583"/>
      <c r="BE235" s="583"/>
      <c r="BF235" s="583"/>
      <c r="BG235" s="583"/>
      <c r="BH235" s="583"/>
      <c r="BI235" s="583"/>
      <c r="BJ235" s="583"/>
      <c r="BK235" s="583"/>
      <c r="BL235" s="583"/>
      <c r="BM235" s="583"/>
      <c r="BN235" s="583"/>
      <c r="BO235" s="583"/>
      <c r="BP235" s="583"/>
      <c r="BQ235" s="583"/>
      <c r="BR235" s="583"/>
      <c r="BS235" s="583"/>
      <c r="BT235" s="583"/>
      <c r="BU235" s="583"/>
      <c r="BV235" s="583"/>
      <c r="BW235" s="583"/>
      <c r="BX235" s="583"/>
      <c r="BY235" s="583"/>
      <c r="BZ235" s="583"/>
      <c r="CA235" s="583"/>
      <c r="CB235" s="583"/>
      <c r="CC235" s="583"/>
      <c r="CD235" s="583"/>
      <c r="CE235" s="583"/>
      <c r="CF235" s="583"/>
      <c r="CG235" s="583"/>
      <c r="CH235" s="583"/>
      <c r="CI235" s="584"/>
      <c r="CK235" s="1293"/>
    </row>
    <row r="236" spans="1:89" s="1292" customFormat="1" x14ac:dyDescent="0.2">
      <c r="A236" s="1284"/>
      <c r="B236" s="814" t="s">
        <v>513</v>
      </c>
      <c r="C236" s="815" t="s">
        <v>514</v>
      </c>
      <c r="D236" s="816" t="s">
        <v>86</v>
      </c>
      <c r="E236" s="817" t="s">
        <v>236</v>
      </c>
      <c r="F236" s="818">
        <v>2</v>
      </c>
      <c r="G236" s="532"/>
      <c r="H236" s="532"/>
      <c r="I236" s="532">
        <v>1.4511846045543333E-2</v>
      </c>
      <c r="J236" s="532">
        <v>9.974894350640022E-3</v>
      </c>
      <c r="K236" s="532">
        <v>9.6389157311885E-3</v>
      </c>
      <c r="L236" s="532">
        <v>9.493117905589956E-3</v>
      </c>
      <c r="M236" s="533">
        <v>9.7655707785122888E-3</v>
      </c>
      <c r="N236" s="533">
        <v>9.8123479910617664E-3</v>
      </c>
      <c r="O236" s="533">
        <v>9.8591252036112458E-3</v>
      </c>
      <c r="P236" s="533">
        <v>9.9059024161607234E-3</v>
      </c>
      <c r="Q236" s="533">
        <v>9.952679628710201E-3</v>
      </c>
      <c r="R236" s="533">
        <v>9.9994568412596803E-3</v>
      </c>
      <c r="S236" s="533">
        <v>1.0046234053809158E-2</v>
      </c>
      <c r="T236" s="533">
        <v>1.0093011266358635E-2</v>
      </c>
      <c r="U236" s="533">
        <v>1.0139788478908111E-2</v>
      </c>
      <c r="V236" s="533">
        <v>1.0186565691457592E-2</v>
      </c>
      <c r="W236" s="533">
        <v>1.0233342904007068E-2</v>
      </c>
      <c r="X236" s="533">
        <v>1.0280120116556548E-2</v>
      </c>
      <c r="Y236" s="533">
        <v>1.0326897329106023E-2</v>
      </c>
      <c r="Z236" s="533">
        <v>1.0373674541655503E-2</v>
      </c>
      <c r="AA236" s="533">
        <v>1.042045175420498E-2</v>
      </c>
      <c r="AB236" s="533">
        <v>1.0467228966754458E-2</v>
      </c>
      <c r="AC236" s="533">
        <v>1.0514006179303936E-2</v>
      </c>
      <c r="AD236" s="533">
        <v>1.0560783391853413E-2</v>
      </c>
      <c r="AE236" s="533">
        <v>1.0607560604402891E-2</v>
      </c>
      <c r="AF236" s="533">
        <v>1.065433781695237E-2</v>
      </c>
      <c r="AG236" s="533">
        <v>1.0701115029501848E-2</v>
      </c>
      <c r="AH236" s="533">
        <v>1.0747892242051327E-2</v>
      </c>
      <c r="AI236" s="533">
        <v>1.0794669454600803E-2</v>
      </c>
      <c r="AJ236" s="533">
        <v>1.0841446667150281E-2</v>
      </c>
      <c r="AK236" s="533">
        <v>1.088822387969976E-2</v>
      </c>
      <c r="AL236" s="533"/>
      <c r="AM236" s="533"/>
      <c r="AN236" s="533"/>
      <c r="AO236" s="533"/>
      <c r="AP236" s="533"/>
      <c r="AQ236" s="533"/>
      <c r="AR236" s="533"/>
      <c r="AS236" s="533"/>
      <c r="AT236" s="533"/>
      <c r="AU236" s="533"/>
      <c r="AV236" s="533"/>
      <c r="AW236" s="533"/>
      <c r="AX236" s="533"/>
      <c r="AY236" s="533"/>
      <c r="AZ236" s="533"/>
      <c r="BA236" s="533"/>
      <c r="BB236" s="533"/>
      <c r="BC236" s="533"/>
      <c r="BD236" s="533"/>
      <c r="BE236" s="533"/>
      <c r="BF236" s="533"/>
      <c r="BG236" s="533"/>
      <c r="BH236" s="533"/>
      <c r="BI236" s="533"/>
      <c r="BJ236" s="533"/>
      <c r="BK236" s="533"/>
      <c r="BL236" s="533"/>
      <c r="BM236" s="533"/>
      <c r="BN236" s="533"/>
      <c r="BO236" s="533"/>
      <c r="BP236" s="533"/>
      <c r="BQ236" s="533"/>
      <c r="BR236" s="533"/>
      <c r="BS236" s="533"/>
      <c r="BT236" s="533"/>
      <c r="BU236" s="533"/>
      <c r="BV236" s="533"/>
      <c r="BW236" s="533"/>
      <c r="BX236" s="533"/>
      <c r="BY236" s="533"/>
      <c r="BZ236" s="533"/>
      <c r="CA236" s="533"/>
      <c r="CB236" s="533"/>
      <c r="CC236" s="533"/>
      <c r="CD236" s="533"/>
      <c r="CE236" s="533"/>
      <c r="CF236" s="533"/>
      <c r="CG236" s="533"/>
      <c r="CH236" s="533"/>
      <c r="CI236" s="534"/>
      <c r="CK236" s="1293"/>
    </row>
    <row r="237" spans="1:89" s="1292" customFormat="1" x14ac:dyDescent="0.2">
      <c r="A237" s="1284"/>
      <c r="B237" s="824" t="s">
        <v>515</v>
      </c>
      <c r="C237" s="825" t="s">
        <v>516</v>
      </c>
      <c r="D237" s="821" t="s">
        <v>86</v>
      </c>
      <c r="E237" s="822" t="s">
        <v>236</v>
      </c>
      <c r="F237" s="823">
        <v>2</v>
      </c>
      <c r="G237" s="540"/>
      <c r="H237" s="540"/>
      <c r="I237" s="540">
        <v>1.2461188853652668E-3</v>
      </c>
      <c r="J237" s="540">
        <v>1.0329212354244757E-3</v>
      </c>
      <c r="K237" s="540">
        <v>9.8031022049270512E-4</v>
      </c>
      <c r="L237" s="540">
        <v>5.9065943065365802E-4</v>
      </c>
      <c r="M237" s="544">
        <v>3.1869023422914606E-4</v>
      </c>
      <c r="N237" s="544">
        <v>3.1533528998211799E-4</v>
      </c>
      <c r="O237" s="544">
        <v>3.1198034573508998E-4</v>
      </c>
      <c r="P237" s="544">
        <v>3.0862540148806191E-4</v>
      </c>
      <c r="Q237" s="544">
        <v>3.0527045724103384E-4</v>
      </c>
      <c r="R237" s="544">
        <v>3.0191551299400582E-4</v>
      </c>
      <c r="S237" s="544">
        <v>2.9856056874697775E-4</v>
      </c>
      <c r="T237" s="544">
        <v>2.9520562449994974E-4</v>
      </c>
      <c r="U237" s="544">
        <v>2.9185068025292167E-4</v>
      </c>
      <c r="V237" s="544">
        <v>2.9185068025292167E-4</v>
      </c>
      <c r="W237" s="544">
        <v>2.9185068025292167E-4</v>
      </c>
      <c r="X237" s="544">
        <v>2.9185068025292167E-4</v>
      </c>
      <c r="Y237" s="544">
        <v>2.9185068025292167E-4</v>
      </c>
      <c r="Z237" s="544">
        <v>2.9185068025292167E-4</v>
      </c>
      <c r="AA237" s="544">
        <v>2.9185068025292167E-4</v>
      </c>
      <c r="AB237" s="544">
        <v>2.9185068025292167E-4</v>
      </c>
      <c r="AC237" s="544">
        <v>2.9185068025292167E-4</v>
      </c>
      <c r="AD237" s="544">
        <v>2.9185068025292167E-4</v>
      </c>
      <c r="AE237" s="544">
        <v>2.9185068025292167E-4</v>
      </c>
      <c r="AF237" s="544">
        <v>2.9185068025292167E-4</v>
      </c>
      <c r="AG237" s="544">
        <v>2.9185068025292167E-4</v>
      </c>
      <c r="AH237" s="544">
        <v>2.9185068025292167E-4</v>
      </c>
      <c r="AI237" s="544">
        <v>2.9185068025292167E-4</v>
      </c>
      <c r="AJ237" s="544">
        <v>2.9185068025292167E-4</v>
      </c>
      <c r="AK237" s="544">
        <v>2.9185068025292167E-4</v>
      </c>
      <c r="AL237" s="544"/>
      <c r="AM237" s="544"/>
      <c r="AN237" s="544"/>
      <c r="AO237" s="544"/>
      <c r="AP237" s="544"/>
      <c r="AQ237" s="544"/>
      <c r="AR237" s="544"/>
      <c r="AS237" s="544"/>
      <c r="AT237" s="544"/>
      <c r="AU237" s="544"/>
      <c r="AV237" s="544"/>
      <c r="AW237" s="544"/>
      <c r="AX237" s="544"/>
      <c r="AY237" s="544"/>
      <c r="AZ237" s="544"/>
      <c r="BA237" s="544"/>
      <c r="BB237" s="544"/>
      <c r="BC237" s="544"/>
      <c r="BD237" s="544"/>
      <c r="BE237" s="544"/>
      <c r="BF237" s="544"/>
      <c r="BG237" s="544"/>
      <c r="BH237" s="544"/>
      <c r="BI237" s="544"/>
      <c r="BJ237" s="544"/>
      <c r="BK237" s="544"/>
      <c r="BL237" s="544"/>
      <c r="BM237" s="544"/>
      <c r="BN237" s="544"/>
      <c r="BO237" s="544"/>
      <c r="BP237" s="544"/>
      <c r="BQ237" s="544"/>
      <c r="BR237" s="544"/>
      <c r="BS237" s="544"/>
      <c r="BT237" s="544"/>
      <c r="BU237" s="544"/>
      <c r="BV237" s="544"/>
      <c r="BW237" s="544"/>
      <c r="BX237" s="544"/>
      <c r="BY237" s="544"/>
      <c r="BZ237" s="544"/>
      <c r="CA237" s="544"/>
      <c r="CB237" s="544"/>
      <c r="CC237" s="544"/>
      <c r="CD237" s="544"/>
      <c r="CE237" s="544"/>
      <c r="CF237" s="544"/>
      <c r="CG237" s="544"/>
      <c r="CH237" s="544"/>
      <c r="CI237" s="545"/>
      <c r="CK237" s="1293"/>
    </row>
    <row r="238" spans="1:89" s="1292" customFormat="1" x14ac:dyDescent="0.2">
      <c r="A238" s="1284"/>
      <c r="B238" s="824" t="s">
        <v>517</v>
      </c>
      <c r="C238" s="825" t="s">
        <v>518</v>
      </c>
      <c r="D238" s="821" t="s">
        <v>86</v>
      </c>
      <c r="E238" s="822" t="s">
        <v>236</v>
      </c>
      <c r="F238" s="823">
        <v>2</v>
      </c>
      <c r="G238" s="540"/>
      <c r="H238" s="540"/>
      <c r="I238" s="540">
        <v>0.1713238219184729</v>
      </c>
      <c r="J238" s="540">
        <v>8.8792814906410542E-2</v>
      </c>
      <c r="K238" s="540">
        <v>8.7315508702803454E-2</v>
      </c>
      <c r="L238" s="540">
        <v>8.5902168946379601E-2</v>
      </c>
      <c r="M238" s="544">
        <v>9.0124622158205964E-2</v>
      </c>
      <c r="N238" s="544">
        <v>9.4683306598735612E-2</v>
      </c>
      <c r="O238" s="544">
        <v>9.6887359636267281E-2</v>
      </c>
      <c r="P238" s="544">
        <v>9.8612868253363878E-2</v>
      </c>
      <c r="Q238" s="544">
        <v>0.10019051691264534</v>
      </c>
      <c r="R238" s="544">
        <v>0.10137022149516071</v>
      </c>
      <c r="S238" s="544">
        <v>0.10213817031424696</v>
      </c>
      <c r="T238" s="544">
        <v>0.1028988838432475</v>
      </c>
      <c r="U238" s="544">
        <v>0.10365512529023763</v>
      </c>
      <c r="V238" s="544">
        <v>0.10440889218402455</v>
      </c>
      <c r="W238" s="544">
        <v>0.10515776719831274</v>
      </c>
      <c r="X238" s="544">
        <v>0.10590631418399643</v>
      </c>
      <c r="Y238" s="544">
        <v>0.10664637090569383</v>
      </c>
      <c r="Z238" s="544">
        <v>0.10736601881839716</v>
      </c>
      <c r="AA238" s="544">
        <v>0.10807250016061719</v>
      </c>
      <c r="AB238" s="544">
        <v>0.10876932552252394</v>
      </c>
      <c r="AC238" s="544">
        <v>0.10944513365354222</v>
      </c>
      <c r="AD238" s="544">
        <v>0.11010695793607936</v>
      </c>
      <c r="AE238" s="544">
        <v>0.11076786284222806</v>
      </c>
      <c r="AF238" s="544">
        <v>0.11142179809881869</v>
      </c>
      <c r="AG238" s="544">
        <v>0.11206809936490197</v>
      </c>
      <c r="AH238" s="544">
        <v>0.11270232555992665</v>
      </c>
      <c r="AI238" s="544">
        <v>0.1133193001090885</v>
      </c>
      <c r="AJ238" s="544">
        <v>0.11392010078746871</v>
      </c>
      <c r="AK238" s="544">
        <v>0.1145086596424458</v>
      </c>
      <c r="AL238" s="544"/>
      <c r="AM238" s="544"/>
      <c r="AN238" s="544"/>
      <c r="AO238" s="544"/>
      <c r="AP238" s="544"/>
      <c r="AQ238" s="544"/>
      <c r="AR238" s="544"/>
      <c r="AS238" s="544"/>
      <c r="AT238" s="544"/>
      <c r="AU238" s="544"/>
      <c r="AV238" s="544"/>
      <c r="AW238" s="544"/>
      <c r="AX238" s="544"/>
      <c r="AY238" s="544"/>
      <c r="AZ238" s="544"/>
      <c r="BA238" s="544"/>
      <c r="BB238" s="544"/>
      <c r="BC238" s="544"/>
      <c r="BD238" s="544"/>
      <c r="BE238" s="544"/>
      <c r="BF238" s="544"/>
      <c r="BG238" s="544"/>
      <c r="BH238" s="544"/>
      <c r="BI238" s="544"/>
      <c r="BJ238" s="544"/>
      <c r="BK238" s="544"/>
      <c r="BL238" s="544"/>
      <c r="BM238" s="544"/>
      <c r="BN238" s="544"/>
      <c r="BO238" s="544"/>
      <c r="BP238" s="544"/>
      <c r="BQ238" s="544"/>
      <c r="BR238" s="544"/>
      <c r="BS238" s="544"/>
      <c r="BT238" s="544"/>
      <c r="BU238" s="544"/>
      <c r="BV238" s="544"/>
      <c r="BW238" s="544"/>
      <c r="BX238" s="544"/>
      <c r="BY238" s="544"/>
      <c r="BZ238" s="544"/>
      <c r="CA238" s="544"/>
      <c r="CB238" s="544"/>
      <c r="CC238" s="544"/>
      <c r="CD238" s="544"/>
      <c r="CE238" s="544"/>
      <c r="CF238" s="544"/>
      <c r="CG238" s="544"/>
      <c r="CH238" s="544"/>
      <c r="CI238" s="545"/>
      <c r="CK238" s="1293"/>
    </row>
    <row r="239" spans="1:89" s="1292" customFormat="1" x14ac:dyDescent="0.2">
      <c r="A239" s="1284"/>
      <c r="B239" s="824" t="s">
        <v>519</v>
      </c>
      <c r="C239" s="825" t="s">
        <v>520</v>
      </c>
      <c r="D239" s="821" t="s">
        <v>86</v>
      </c>
      <c r="E239" s="822" t="s">
        <v>236</v>
      </c>
      <c r="F239" s="823">
        <v>2</v>
      </c>
      <c r="G239" s="540"/>
      <c r="H239" s="540"/>
      <c r="I239" s="540">
        <v>0.14667432126102647</v>
      </c>
      <c r="J239" s="540">
        <v>7.202063713552441E-2</v>
      </c>
      <c r="K239" s="540">
        <v>6.7975301538381508E-2</v>
      </c>
      <c r="L239" s="540">
        <v>6.354795712672219E-2</v>
      </c>
      <c r="M239" s="544">
        <v>5.7851910701948152E-2</v>
      </c>
      <c r="N239" s="544">
        <v>5.2486608572724081E-2</v>
      </c>
      <c r="O239" s="544">
        <v>5.1017910623381429E-2</v>
      </c>
      <c r="P239" s="544">
        <v>4.9549212674038778E-2</v>
      </c>
      <c r="Q239" s="544">
        <v>4.8080514724696155E-2</v>
      </c>
      <c r="R239" s="544">
        <v>4.7283800598041416E-2</v>
      </c>
      <c r="S239" s="544">
        <v>4.7159070294074568E-2</v>
      </c>
      <c r="T239" s="544">
        <v>4.7034339990107719E-2</v>
      </c>
      <c r="U239" s="544">
        <v>4.6909609686140871E-2</v>
      </c>
      <c r="V239" s="544">
        <v>4.6784879382174002E-2</v>
      </c>
      <c r="W239" s="544">
        <v>4.6660149078207154E-2</v>
      </c>
      <c r="X239" s="544">
        <v>4.6535418774240306E-2</v>
      </c>
      <c r="Y239" s="544">
        <v>4.6410688470273458E-2</v>
      </c>
      <c r="Z239" s="544">
        <v>4.6285958166306609E-2</v>
      </c>
      <c r="AA239" s="544">
        <v>4.6161227862339768E-2</v>
      </c>
      <c r="AB239" s="544">
        <v>4.603649755837292E-2</v>
      </c>
      <c r="AC239" s="544">
        <v>4.5924522862432669E-2</v>
      </c>
      <c r="AD239" s="544">
        <v>4.5812548166492432E-2</v>
      </c>
      <c r="AE239" s="544">
        <v>4.5700573470552182E-2</v>
      </c>
      <c r="AF239" s="544">
        <v>4.5588598774611938E-2</v>
      </c>
      <c r="AG239" s="544">
        <v>4.5476624078671694E-2</v>
      </c>
      <c r="AH239" s="544">
        <v>4.5364649382731451E-2</v>
      </c>
      <c r="AI239" s="544">
        <v>4.52526746867912E-2</v>
      </c>
      <c r="AJ239" s="544">
        <v>4.5140699990850956E-2</v>
      </c>
      <c r="AK239" s="544">
        <v>4.5028725294910706E-2</v>
      </c>
      <c r="AL239" s="544"/>
      <c r="AM239" s="544"/>
      <c r="AN239" s="544"/>
      <c r="AO239" s="544"/>
      <c r="AP239" s="544"/>
      <c r="AQ239" s="544"/>
      <c r="AR239" s="544"/>
      <c r="AS239" s="544"/>
      <c r="AT239" s="544"/>
      <c r="AU239" s="544"/>
      <c r="AV239" s="544"/>
      <c r="AW239" s="544"/>
      <c r="AX239" s="544"/>
      <c r="AY239" s="544"/>
      <c r="AZ239" s="544"/>
      <c r="BA239" s="544"/>
      <c r="BB239" s="544"/>
      <c r="BC239" s="544"/>
      <c r="BD239" s="544"/>
      <c r="BE239" s="544"/>
      <c r="BF239" s="544"/>
      <c r="BG239" s="544"/>
      <c r="BH239" s="544"/>
      <c r="BI239" s="544"/>
      <c r="BJ239" s="544"/>
      <c r="BK239" s="544"/>
      <c r="BL239" s="544"/>
      <c r="BM239" s="544"/>
      <c r="BN239" s="544"/>
      <c r="BO239" s="544"/>
      <c r="BP239" s="544"/>
      <c r="BQ239" s="544"/>
      <c r="BR239" s="544"/>
      <c r="BS239" s="544"/>
      <c r="BT239" s="544"/>
      <c r="BU239" s="544"/>
      <c r="BV239" s="544"/>
      <c r="BW239" s="544"/>
      <c r="BX239" s="544"/>
      <c r="BY239" s="544"/>
      <c r="BZ239" s="544"/>
      <c r="CA239" s="544"/>
      <c r="CB239" s="544"/>
      <c r="CC239" s="544"/>
      <c r="CD239" s="544"/>
      <c r="CE239" s="544"/>
      <c r="CF239" s="544"/>
      <c r="CG239" s="544"/>
      <c r="CH239" s="544"/>
      <c r="CI239" s="545"/>
      <c r="CK239" s="1293"/>
    </row>
    <row r="240" spans="1:89" s="1292" customFormat="1" x14ac:dyDescent="0.2">
      <c r="A240" s="1284"/>
      <c r="B240" s="824" t="s">
        <v>521</v>
      </c>
      <c r="C240" s="825" t="s">
        <v>522</v>
      </c>
      <c r="D240" s="821" t="s">
        <v>86</v>
      </c>
      <c r="E240" s="822" t="s">
        <v>236</v>
      </c>
      <c r="F240" s="823">
        <v>2</v>
      </c>
      <c r="G240" s="540"/>
      <c r="H240" s="540"/>
      <c r="I240" s="540">
        <v>2.1788695133288419E-2</v>
      </c>
      <c r="J240" s="540">
        <v>1.2793131253170708E-2</v>
      </c>
      <c r="K240" s="540">
        <v>1.2905929961259683E-2</v>
      </c>
      <c r="L240" s="540">
        <v>1.2917873373781164E-2</v>
      </c>
      <c r="M240" s="544">
        <v>1.276498802302462E-2</v>
      </c>
      <c r="N240" s="544">
        <v>1.2916058710206084E-2</v>
      </c>
      <c r="O240" s="544">
        <v>1.3056865837932889E-2</v>
      </c>
      <c r="P240" s="544">
        <v>1.3154888093133747E-2</v>
      </c>
      <c r="Q240" s="544">
        <v>1.323978674600529E-2</v>
      </c>
      <c r="R240" s="544">
        <v>1.3323643413480376E-2</v>
      </c>
      <c r="S240" s="544">
        <v>1.3405224500392998E-2</v>
      </c>
      <c r="T240" s="544">
        <v>1.3486155187394424E-2</v>
      </c>
      <c r="U240" s="544">
        <v>1.3566682589255774E-2</v>
      </c>
      <c r="V240" s="544">
        <v>1.3647405554748068E-2</v>
      </c>
      <c r="W240" s="544">
        <v>1.3727687952521586E-2</v>
      </c>
      <c r="X240" s="544">
        <v>1.3807937710667987E-2</v>
      </c>
      <c r="Y240" s="544">
        <v>1.3887425586865017E-2</v>
      </c>
      <c r="Z240" s="544">
        <v>1.3965086858879778E-2</v>
      </c>
      <c r="AA240" s="544">
        <v>1.404205237632448E-2</v>
      </c>
      <c r="AB240" s="544">
        <v>1.4118152305742832E-2</v>
      </c>
      <c r="AC240" s="544">
        <v>1.4192849090017893E-2</v>
      </c>
      <c r="AD240" s="544">
        <v>1.4266294070007429E-2</v>
      </c>
      <c r="AE240" s="544">
        <v>1.4339654461177501E-2</v>
      </c>
      <c r="AF240" s="544">
        <v>1.4412389871320208E-2</v>
      </c>
      <c r="AG240" s="544">
        <v>1.4484441068519772E-2</v>
      </c>
      <c r="AH240" s="544">
        <v>1.4555411496444251E-2</v>
      </c>
      <c r="AI240" s="544">
        <v>1.4624838961982025E-2</v>
      </c>
      <c r="AJ240" s="544">
        <v>1.4692819915280509E-2</v>
      </c>
      <c r="AK240" s="544">
        <v>1.4759705695792696E-2</v>
      </c>
      <c r="AL240" s="544"/>
      <c r="AM240" s="544"/>
      <c r="AN240" s="544"/>
      <c r="AO240" s="544"/>
      <c r="AP240" s="544"/>
      <c r="AQ240" s="544"/>
      <c r="AR240" s="544"/>
      <c r="AS240" s="544"/>
      <c r="AT240" s="544"/>
      <c r="AU240" s="544"/>
      <c r="AV240" s="544"/>
      <c r="AW240" s="544"/>
      <c r="AX240" s="544"/>
      <c r="AY240" s="544"/>
      <c r="AZ240" s="544"/>
      <c r="BA240" s="544"/>
      <c r="BB240" s="544"/>
      <c r="BC240" s="544"/>
      <c r="BD240" s="544"/>
      <c r="BE240" s="544"/>
      <c r="BF240" s="544"/>
      <c r="BG240" s="544"/>
      <c r="BH240" s="544"/>
      <c r="BI240" s="544"/>
      <c r="BJ240" s="544"/>
      <c r="BK240" s="544"/>
      <c r="BL240" s="544"/>
      <c r="BM240" s="544"/>
      <c r="BN240" s="544"/>
      <c r="BO240" s="544"/>
      <c r="BP240" s="544"/>
      <c r="BQ240" s="544"/>
      <c r="BR240" s="544"/>
      <c r="BS240" s="544"/>
      <c r="BT240" s="544"/>
      <c r="BU240" s="544"/>
      <c r="BV240" s="544"/>
      <c r="BW240" s="544"/>
      <c r="BX240" s="544"/>
      <c r="BY240" s="544"/>
      <c r="BZ240" s="544"/>
      <c r="CA240" s="544"/>
      <c r="CB240" s="544"/>
      <c r="CC240" s="544"/>
      <c r="CD240" s="544"/>
      <c r="CE240" s="544"/>
      <c r="CF240" s="544"/>
      <c r="CG240" s="544"/>
      <c r="CH240" s="544"/>
      <c r="CI240" s="545"/>
      <c r="CK240" s="1293"/>
    </row>
    <row r="241" spans="1:89" s="1292" customFormat="1" x14ac:dyDescent="0.2">
      <c r="A241" s="1284"/>
      <c r="B241" s="824" t="s">
        <v>523</v>
      </c>
      <c r="C241" s="820" t="s">
        <v>524</v>
      </c>
      <c r="D241" s="821" t="s">
        <v>86</v>
      </c>
      <c r="E241" s="822" t="s">
        <v>236</v>
      </c>
      <c r="F241" s="823">
        <v>2</v>
      </c>
      <c r="G241" s="540"/>
      <c r="H241" s="540"/>
      <c r="I241" s="540">
        <v>1.5749683943563038</v>
      </c>
      <c r="J241" s="540">
        <v>1.4901454011188295</v>
      </c>
      <c r="K241" s="540">
        <v>1.4304504338458739</v>
      </c>
      <c r="L241" s="540">
        <v>1.3713212232168734</v>
      </c>
      <c r="M241" s="544">
        <v>1.3729472181040798</v>
      </c>
      <c r="N241" s="544">
        <v>1.3735593428372903</v>
      </c>
      <c r="O241" s="544">
        <v>1.3726397583530721</v>
      </c>
      <c r="P241" s="544">
        <v>1.3722415031618149</v>
      </c>
      <c r="Q241" s="544">
        <v>1.3720042315307019</v>
      </c>
      <c r="R241" s="544">
        <v>1.3714939621390638</v>
      </c>
      <c r="S241" s="544">
        <v>1.3707257402687294</v>
      </c>
      <c r="T241" s="544">
        <v>1.3699654040883917</v>
      </c>
      <c r="U241" s="544">
        <v>1.3692099432752047</v>
      </c>
      <c r="V241" s="544">
        <v>1.368453406507343</v>
      </c>
      <c r="W241" s="544">
        <v>1.3677022021866987</v>
      </c>
      <c r="X241" s="544">
        <v>1.3669513585342858</v>
      </c>
      <c r="Y241" s="544">
        <v>1.3662097670278088</v>
      </c>
      <c r="Z241" s="544">
        <v>1.3654904109345081</v>
      </c>
      <c r="AA241" s="544">
        <v>1.3647849171662607</v>
      </c>
      <c r="AB241" s="544">
        <v>1.3640899449663531</v>
      </c>
      <c r="AC241" s="544">
        <v>1.3634046375344504</v>
      </c>
      <c r="AD241" s="544">
        <v>1.3627345657553145</v>
      </c>
      <c r="AE241" s="544">
        <v>1.3620654979413866</v>
      </c>
      <c r="AF241" s="544">
        <v>1.3614040247580439</v>
      </c>
      <c r="AG241" s="544">
        <v>1.3607508697781519</v>
      </c>
      <c r="AH241" s="544">
        <v>1.3601108706385934</v>
      </c>
      <c r="AI241" s="544">
        <v>1.3594896661072846</v>
      </c>
      <c r="AJ241" s="544">
        <v>1.3588860819589967</v>
      </c>
      <c r="AK241" s="544">
        <v>1.3582958348068983</v>
      </c>
      <c r="AL241" s="544"/>
      <c r="AM241" s="544"/>
      <c r="AN241" s="544"/>
      <c r="AO241" s="544"/>
      <c r="AP241" s="544"/>
      <c r="AQ241" s="544"/>
      <c r="AR241" s="544"/>
      <c r="AS241" s="544"/>
      <c r="AT241" s="544"/>
      <c r="AU241" s="544"/>
      <c r="AV241" s="544"/>
      <c r="AW241" s="544"/>
      <c r="AX241" s="544"/>
      <c r="AY241" s="544"/>
      <c r="AZ241" s="544"/>
      <c r="BA241" s="544"/>
      <c r="BB241" s="544"/>
      <c r="BC241" s="544"/>
      <c r="BD241" s="544"/>
      <c r="BE241" s="544"/>
      <c r="BF241" s="544"/>
      <c r="BG241" s="544"/>
      <c r="BH241" s="544"/>
      <c r="BI241" s="544"/>
      <c r="BJ241" s="544"/>
      <c r="BK241" s="544"/>
      <c r="BL241" s="544"/>
      <c r="BM241" s="544"/>
      <c r="BN241" s="544"/>
      <c r="BO241" s="544"/>
      <c r="BP241" s="544"/>
      <c r="BQ241" s="544"/>
      <c r="BR241" s="544"/>
      <c r="BS241" s="544"/>
      <c r="BT241" s="544"/>
      <c r="BU241" s="544"/>
      <c r="BV241" s="544"/>
      <c r="BW241" s="544"/>
      <c r="BX241" s="544"/>
      <c r="BY241" s="544"/>
      <c r="BZ241" s="544"/>
      <c r="CA241" s="544"/>
      <c r="CB241" s="544"/>
      <c r="CC241" s="544"/>
      <c r="CD241" s="544"/>
      <c r="CE241" s="544"/>
      <c r="CF241" s="544"/>
      <c r="CG241" s="544"/>
      <c r="CH241" s="544"/>
      <c r="CI241" s="545"/>
      <c r="CK241" s="1293"/>
    </row>
    <row r="242" spans="1:89" s="1292" customFormat="1" x14ac:dyDescent="0.2">
      <c r="A242" s="1284"/>
      <c r="B242" s="824" t="s">
        <v>525</v>
      </c>
      <c r="C242" s="820" t="s">
        <v>243</v>
      </c>
      <c r="D242" s="821" t="s">
        <v>526</v>
      </c>
      <c r="E242" s="822" t="s">
        <v>236</v>
      </c>
      <c r="F242" s="823">
        <v>2</v>
      </c>
      <c r="G242" s="547">
        <f>SUM(G236:G241)</f>
        <v>0</v>
      </c>
      <c r="H242" s="547">
        <f t="shared" ref="H242:AK242" si="73">SUM(H236:H241)</f>
        <v>0</v>
      </c>
      <c r="I242" s="547">
        <f t="shared" si="73"/>
        <v>1.9305131976000001</v>
      </c>
      <c r="J242" s="547">
        <f t="shared" si="73"/>
        <v>1.6747597999999997</v>
      </c>
      <c r="K242" s="547">
        <f t="shared" si="73"/>
        <v>1.6092663999999997</v>
      </c>
      <c r="L242" s="547">
        <f t="shared" si="73"/>
        <v>1.5437730000000001</v>
      </c>
      <c r="M242" s="552">
        <f t="shared" si="73"/>
        <v>1.5437730000000001</v>
      </c>
      <c r="N242" s="552">
        <f t="shared" si="73"/>
        <v>1.5437730000000001</v>
      </c>
      <c r="O242" s="552">
        <f t="shared" si="73"/>
        <v>1.5437730000000001</v>
      </c>
      <c r="P242" s="552">
        <f t="shared" si="73"/>
        <v>1.5437730000000001</v>
      </c>
      <c r="Q242" s="552">
        <f t="shared" si="73"/>
        <v>1.5437729999999998</v>
      </c>
      <c r="R242" s="552">
        <f t="shared" si="73"/>
        <v>1.5437730000000001</v>
      </c>
      <c r="S242" s="552">
        <f t="shared" si="73"/>
        <v>1.5437730000000001</v>
      </c>
      <c r="T242" s="552">
        <f t="shared" si="73"/>
        <v>1.5437730000000001</v>
      </c>
      <c r="U242" s="552">
        <f t="shared" si="73"/>
        <v>1.5437730000000001</v>
      </c>
      <c r="V242" s="552">
        <f t="shared" si="73"/>
        <v>1.5437730000000003</v>
      </c>
      <c r="W242" s="552">
        <f t="shared" si="73"/>
        <v>1.5437730000000001</v>
      </c>
      <c r="X242" s="552">
        <f t="shared" si="73"/>
        <v>1.5437730000000001</v>
      </c>
      <c r="Y242" s="552">
        <f t="shared" si="73"/>
        <v>1.5437730000000001</v>
      </c>
      <c r="Z242" s="552">
        <f t="shared" si="73"/>
        <v>1.5437730000000001</v>
      </c>
      <c r="AA242" s="552">
        <f t="shared" si="73"/>
        <v>1.5437730000000001</v>
      </c>
      <c r="AB242" s="552">
        <f t="shared" si="73"/>
        <v>1.5437730000000001</v>
      </c>
      <c r="AC242" s="552">
        <f t="shared" si="73"/>
        <v>1.5437730000000001</v>
      </c>
      <c r="AD242" s="552">
        <f t="shared" si="73"/>
        <v>1.5437730000000001</v>
      </c>
      <c r="AE242" s="552">
        <f t="shared" si="73"/>
        <v>1.5437730000000003</v>
      </c>
      <c r="AF242" s="552">
        <f t="shared" si="73"/>
        <v>1.5437730000000001</v>
      </c>
      <c r="AG242" s="552">
        <f t="shared" si="73"/>
        <v>1.5437730000000001</v>
      </c>
      <c r="AH242" s="552">
        <f t="shared" si="73"/>
        <v>1.5437729999999998</v>
      </c>
      <c r="AI242" s="552">
        <f t="shared" si="73"/>
        <v>1.5437730000000001</v>
      </c>
      <c r="AJ242" s="552">
        <f t="shared" si="73"/>
        <v>1.5437730000000001</v>
      </c>
      <c r="AK242" s="552">
        <f t="shared" si="73"/>
        <v>1.5437730000000003</v>
      </c>
      <c r="AL242" s="552"/>
      <c r="AM242" s="552"/>
      <c r="AN242" s="552"/>
      <c r="AO242" s="552"/>
      <c r="AP242" s="552"/>
      <c r="AQ242" s="552"/>
      <c r="AR242" s="552"/>
      <c r="AS242" s="552"/>
      <c r="AT242" s="552"/>
      <c r="AU242" s="552"/>
      <c r="AV242" s="552"/>
      <c r="AW242" s="552"/>
      <c r="AX242" s="552"/>
      <c r="AY242" s="552"/>
      <c r="AZ242" s="552"/>
      <c r="BA242" s="552"/>
      <c r="BB242" s="552"/>
      <c r="BC242" s="552"/>
      <c r="BD242" s="552"/>
      <c r="BE242" s="552"/>
      <c r="BF242" s="552"/>
      <c r="BG242" s="552"/>
      <c r="BH242" s="552"/>
      <c r="BI242" s="552"/>
      <c r="BJ242" s="552"/>
      <c r="BK242" s="552"/>
      <c r="BL242" s="552"/>
      <c r="BM242" s="552"/>
      <c r="BN242" s="552"/>
      <c r="BO242" s="552"/>
      <c r="BP242" s="552"/>
      <c r="BQ242" s="552"/>
      <c r="BR242" s="552"/>
      <c r="BS242" s="552"/>
      <c r="BT242" s="552"/>
      <c r="BU242" s="552"/>
      <c r="BV242" s="552"/>
      <c r="BW242" s="552"/>
      <c r="BX242" s="552"/>
      <c r="BY242" s="552"/>
      <c r="BZ242" s="552"/>
      <c r="CA242" s="552"/>
      <c r="CB242" s="552"/>
      <c r="CC242" s="552"/>
      <c r="CD242" s="552"/>
      <c r="CE242" s="552"/>
      <c r="CF242" s="552"/>
      <c r="CG242" s="552"/>
      <c r="CH242" s="552"/>
      <c r="CI242" s="548"/>
      <c r="CK242" s="1293"/>
    </row>
    <row r="243" spans="1:89" s="1292" customFormat="1" ht="15" thickBot="1" x14ac:dyDescent="0.25">
      <c r="A243" s="1284"/>
      <c r="B243" s="851" t="s">
        <v>527</v>
      </c>
      <c r="C243" s="852" t="s">
        <v>528</v>
      </c>
      <c r="D243" s="853" t="s">
        <v>529</v>
      </c>
      <c r="E243" s="854" t="s">
        <v>530</v>
      </c>
      <c r="F243" s="832">
        <v>2</v>
      </c>
      <c r="G243" s="559" t="e">
        <f>(G242*1000000)/(G257*1000)</f>
        <v>#DIV/0!</v>
      </c>
      <c r="H243" s="559" t="e">
        <f t="shared" ref="H243:AK243" si="74">(H242*1000000)/(H257*1000)</f>
        <v>#DIV/0!</v>
      </c>
      <c r="I243" s="559">
        <f t="shared" si="74"/>
        <v>97.911101972916782</v>
      </c>
      <c r="J243" s="559">
        <f t="shared" si="74"/>
        <v>83.8869048691015</v>
      </c>
      <c r="K243" s="559">
        <f t="shared" si="74"/>
        <v>79.748632550563755</v>
      </c>
      <c r="L243" s="559">
        <f t="shared" si="74"/>
        <v>75.779539607707235</v>
      </c>
      <c r="M243" s="589">
        <f t="shared" si="74"/>
        <v>75.173961306845911</v>
      </c>
      <c r="N243" s="589">
        <f t="shared" si="74"/>
        <v>74.125416197792362</v>
      </c>
      <c r="O243" s="589">
        <f t="shared" si="74"/>
        <v>73.185321857828399</v>
      </c>
      <c r="P243" s="589">
        <f t="shared" si="74"/>
        <v>72.574718139764855</v>
      </c>
      <c r="Q243" s="589">
        <f t="shared" si="74"/>
        <v>72.067026227133255</v>
      </c>
      <c r="R243" s="589">
        <f t="shared" si="74"/>
        <v>71.57444678361216</v>
      </c>
      <c r="S243" s="589">
        <f t="shared" si="74"/>
        <v>71.105009007298008</v>
      </c>
      <c r="T243" s="589">
        <f t="shared" si="74"/>
        <v>70.646114266926887</v>
      </c>
      <c r="U243" s="589">
        <f t="shared" si="74"/>
        <v>70.195813890033904</v>
      </c>
      <c r="V243" s="589">
        <f t="shared" si="74"/>
        <v>69.751816342039575</v>
      </c>
      <c r="W243" s="589">
        <f t="shared" si="74"/>
        <v>69.316286069202832</v>
      </c>
      <c r="X243" s="589">
        <f t="shared" si="74"/>
        <v>68.886372114697167</v>
      </c>
      <c r="Y243" s="589">
        <f t="shared" si="74"/>
        <v>68.466627010085631</v>
      </c>
      <c r="Z243" s="589">
        <f t="shared" si="74"/>
        <v>68.06350111315335</v>
      </c>
      <c r="AA243" s="589">
        <f t="shared" si="74"/>
        <v>67.669437962216136</v>
      </c>
      <c r="AB243" s="589">
        <f t="shared" si="74"/>
        <v>67.285253857444374</v>
      </c>
      <c r="AC243" s="589">
        <f t="shared" si="74"/>
        <v>66.913984787554909</v>
      </c>
      <c r="AD243" s="589">
        <f t="shared" si="74"/>
        <v>66.554349281895696</v>
      </c>
      <c r="AE243" s="589">
        <f t="shared" si="74"/>
        <v>66.199064292367865</v>
      </c>
      <c r="AF243" s="589">
        <f t="shared" si="74"/>
        <v>65.851247131121823</v>
      </c>
      <c r="AG243" s="589">
        <f t="shared" si="74"/>
        <v>65.511069026163327</v>
      </c>
      <c r="AH243" s="589">
        <f t="shared" si="74"/>
        <v>65.180647043539906</v>
      </c>
      <c r="AI243" s="589">
        <f t="shared" si="74"/>
        <v>64.862390534981571</v>
      </c>
      <c r="AJ243" s="589">
        <f t="shared" si="74"/>
        <v>64.555444472837635</v>
      </c>
      <c r="AK243" s="589">
        <f t="shared" si="74"/>
        <v>64.257554425758499</v>
      </c>
      <c r="AL243" s="589"/>
      <c r="AM243" s="589"/>
      <c r="AN243" s="589"/>
      <c r="AO243" s="589"/>
      <c r="AP243" s="589"/>
      <c r="AQ243" s="589"/>
      <c r="AR243" s="589"/>
      <c r="AS243" s="589"/>
      <c r="AT243" s="589"/>
      <c r="AU243" s="589"/>
      <c r="AV243" s="589"/>
      <c r="AW243" s="589"/>
      <c r="AX243" s="589"/>
      <c r="AY243" s="589"/>
      <c r="AZ243" s="589"/>
      <c r="BA243" s="589"/>
      <c r="BB243" s="589"/>
      <c r="BC243" s="589"/>
      <c r="BD243" s="589"/>
      <c r="BE243" s="589"/>
      <c r="BF243" s="589"/>
      <c r="BG243" s="589"/>
      <c r="BH243" s="589"/>
      <c r="BI243" s="589"/>
      <c r="BJ243" s="589"/>
      <c r="BK243" s="589"/>
      <c r="BL243" s="589"/>
      <c r="BM243" s="589"/>
      <c r="BN243" s="589"/>
      <c r="BO243" s="589"/>
      <c r="BP243" s="589"/>
      <c r="BQ243" s="589"/>
      <c r="BR243" s="589"/>
      <c r="BS243" s="589"/>
      <c r="BT243" s="589"/>
      <c r="BU243" s="589"/>
      <c r="BV243" s="589"/>
      <c r="BW243" s="589"/>
      <c r="BX243" s="589"/>
      <c r="BY243" s="589"/>
      <c r="BZ243" s="589"/>
      <c r="CA243" s="589"/>
      <c r="CB243" s="589"/>
      <c r="CC243" s="589"/>
      <c r="CD243" s="589"/>
      <c r="CE243" s="589"/>
      <c r="CF243" s="589"/>
      <c r="CG243" s="589"/>
      <c r="CH243" s="589"/>
      <c r="CI243" s="560"/>
      <c r="CK243" s="1293"/>
    </row>
    <row r="244" spans="1:89" s="1292" customFormat="1" x14ac:dyDescent="0.2">
      <c r="A244" s="1284"/>
      <c r="B244" s="833" t="s">
        <v>531</v>
      </c>
      <c r="C244" s="834" t="s">
        <v>532</v>
      </c>
      <c r="D244" s="855" t="s">
        <v>86</v>
      </c>
      <c r="E244" s="856" t="s">
        <v>344</v>
      </c>
      <c r="F244" s="857">
        <v>2</v>
      </c>
      <c r="G244" s="593"/>
      <c r="H244" s="593"/>
      <c r="I244" s="593">
        <v>1.5489999999999999</v>
      </c>
      <c r="J244" s="593">
        <v>1.4991936561407804</v>
      </c>
      <c r="K244" s="593">
        <v>1.5076557861318296</v>
      </c>
      <c r="L244" s="593">
        <v>1.5478447303118581</v>
      </c>
      <c r="M244" s="594">
        <v>1.5922679375031263</v>
      </c>
      <c r="N244" s="594">
        <v>1.599894921878908</v>
      </c>
      <c r="O244" s="594">
        <v>1.6075219062546897</v>
      </c>
      <c r="P244" s="594">
        <v>1.6151488906304712</v>
      </c>
      <c r="Q244" s="594">
        <v>1.6227758750062526</v>
      </c>
      <c r="R244" s="594">
        <v>1.6304028593820343</v>
      </c>
      <c r="S244" s="594">
        <v>1.6380298437578158</v>
      </c>
      <c r="T244" s="594">
        <v>1.6456568281335977</v>
      </c>
      <c r="U244" s="594">
        <v>1.6532838125093789</v>
      </c>
      <c r="V244" s="594">
        <v>1.6609107968851609</v>
      </c>
      <c r="W244" s="594">
        <v>1.6685377812609423</v>
      </c>
      <c r="X244" s="594">
        <v>1.6761647656367238</v>
      </c>
      <c r="Y244" s="594">
        <v>1.6837917500125055</v>
      </c>
      <c r="Z244" s="594">
        <v>1.6914187343882869</v>
      </c>
      <c r="AA244" s="594">
        <v>1.6990457187640686</v>
      </c>
      <c r="AB244" s="594">
        <v>1.7066727031398503</v>
      </c>
      <c r="AC244" s="594">
        <v>1.7142996875156318</v>
      </c>
      <c r="AD244" s="594">
        <v>1.7219266718914135</v>
      </c>
      <c r="AE244" s="594">
        <v>1.7295536562671949</v>
      </c>
      <c r="AF244" s="594">
        <v>1.7371806406429766</v>
      </c>
      <c r="AG244" s="594">
        <v>1.7448076250187583</v>
      </c>
      <c r="AH244" s="594">
        <v>1.7524346093945398</v>
      </c>
      <c r="AI244" s="594">
        <v>1.7600615937703215</v>
      </c>
      <c r="AJ244" s="594">
        <v>1.7676885781461031</v>
      </c>
      <c r="AK244" s="594">
        <v>1.7753155625218846</v>
      </c>
      <c r="AL244" s="594"/>
      <c r="AM244" s="594"/>
      <c r="AN244" s="594"/>
      <c r="AO244" s="594"/>
      <c r="AP244" s="594"/>
      <c r="AQ244" s="594"/>
      <c r="AR244" s="594"/>
      <c r="AS244" s="594"/>
      <c r="AT244" s="594"/>
      <c r="AU244" s="594"/>
      <c r="AV244" s="594"/>
      <c r="AW244" s="594"/>
      <c r="AX244" s="594"/>
      <c r="AY244" s="594"/>
      <c r="AZ244" s="594"/>
      <c r="BA244" s="594"/>
      <c r="BB244" s="594"/>
      <c r="BC244" s="594"/>
      <c r="BD244" s="594"/>
      <c r="BE244" s="594"/>
      <c r="BF244" s="594"/>
      <c r="BG244" s="594"/>
      <c r="BH244" s="594"/>
      <c r="BI244" s="594"/>
      <c r="BJ244" s="594"/>
      <c r="BK244" s="594"/>
      <c r="BL244" s="594"/>
      <c r="BM244" s="594"/>
      <c r="BN244" s="594"/>
      <c r="BO244" s="594"/>
      <c r="BP244" s="594"/>
      <c r="BQ244" s="594"/>
      <c r="BR244" s="594"/>
      <c r="BS244" s="594"/>
      <c r="BT244" s="594"/>
      <c r="BU244" s="594"/>
      <c r="BV244" s="594"/>
      <c r="BW244" s="594"/>
      <c r="BX244" s="594"/>
      <c r="BY244" s="594"/>
      <c r="BZ244" s="594"/>
      <c r="CA244" s="594"/>
      <c r="CB244" s="594"/>
      <c r="CC244" s="594"/>
      <c r="CD244" s="594"/>
      <c r="CE244" s="594"/>
      <c r="CF244" s="594"/>
      <c r="CG244" s="594"/>
      <c r="CH244" s="594"/>
      <c r="CI244" s="595"/>
      <c r="CK244" s="1293"/>
    </row>
    <row r="245" spans="1:89" s="1292" customFormat="1" x14ac:dyDescent="0.2">
      <c r="A245" s="1284"/>
      <c r="B245" s="837" t="s">
        <v>533</v>
      </c>
      <c r="C245" s="838" t="s">
        <v>534</v>
      </c>
      <c r="D245" s="858" t="s">
        <v>86</v>
      </c>
      <c r="E245" s="844" t="s">
        <v>344</v>
      </c>
      <c r="F245" s="845">
        <v>2</v>
      </c>
      <c r="G245" s="597"/>
      <c r="H245" s="597"/>
      <c r="I245" s="597">
        <v>8.1000000000000003E-2</v>
      </c>
      <c r="J245" s="597">
        <v>7.2246480087486006E-2</v>
      </c>
      <c r="K245" s="597">
        <v>7.1357167300523203E-2</v>
      </c>
      <c r="L245" s="597">
        <v>4.4818334737687336E-2</v>
      </c>
      <c r="M245" s="598">
        <v>2.4181727835120275E-2</v>
      </c>
      <c r="N245" s="598">
        <v>2.3927159793900341E-2</v>
      </c>
      <c r="O245" s="598">
        <v>2.3672591752680411E-2</v>
      </c>
      <c r="P245" s="598">
        <v>2.3418023711460477E-2</v>
      </c>
      <c r="Q245" s="598">
        <v>2.3163455670240543E-2</v>
      </c>
      <c r="R245" s="598">
        <v>2.2908887629020616E-2</v>
      </c>
      <c r="S245" s="598">
        <v>2.2654319587800682E-2</v>
      </c>
      <c r="T245" s="598">
        <v>2.2399751546580752E-2</v>
      </c>
      <c r="U245" s="598">
        <v>2.2145183505360818E-2</v>
      </c>
      <c r="V245" s="598">
        <v>2.2145183505360818E-2</v>
      </c>
      <c r="W245" s="598">
        <v>2.2145183505360818E-2</v>
      </c>
      <c r="X245" s="598">
        <v>2.2145183505360818E-2</v>
      </c>
      <c r="Y245" s="598">
        <v>2.2145183505360818E-2</v>
      </c>
      <c r="Z245" s="598">
        <v>2.2145183505360818E-2</v>
      </c>
      <c r="AA245" s="598">
        <v>2.2145183505360818E-2</v>
      </c>
      <c r="AB245" s="598">
        <v>2.2145183505360818E-2</v>
      </c>
      <c r="AC245" s="598">
        <v>2.2145183505360818E-2</v>
      </c>
      <c r="AD245" s="598">
        <v>2.2145183505360818E-2</v>
      </c>
      <c r="AE245" s="598">
        <v>2.2145183505360818E-2</v>
      </c>
      <c r="AF245" s="598">
        <v>2.2145183505360818E-2</v>
      </c>
      <c r="AG245" s="598">
        <v>2.2145183505360818E-2</v>
      </c>
      <c r="AH245" s="598">
        <v>2.2145183505360818E-2</v>
      </c>
      <c r="AI245" s="598">
        <v>2.2145183505360818E-2</v>
      </c>
      <c r="AJ245" s="598">
        <v>2.2145183505360818E-2</v>
      </c>
      <c r="AK245" s="598">
        <v>2.2145183505360818E-2</v>
      </c>
      <c r="AL245" s="598"/>
      <c r="AM245" s="598"/>
      <c r="AN245" s="598"/>
      <c r="AO245" s="598"/>
      <c r="AP245" s="598"/>
      <c r="AQ245" s="598"/>
      <c r="AR245" s="598"/>
      <c r="AS245" s="598"/>
      <c r="AT245" s="598"/>
      <c r="AU245" s="598"/>
      <c r="AV245" s="598"/>
      <c r="AW245" s="598"/>
      <c r="AX245" s="598"/>
      <c r="AY245" s="598"/>
      <c r="AZ245" s="598"/>
      <c r="BA245" s="598"/>
      <c r="BB245" s="598"/>
      <c r="BC245" s="598"/>
      <c r="BD245" s="598"/>
      <c r="BE245" s="598"/>
      <c r="BF245" s="598"/>
      <c r="BG245" s="598"/>
      <c r="BH245" s="598"/>
      <c r="BI245" s="598"/>
      <c r="BJ245" s="598"/>
      <c r="BK245" s="598"/>
      <c r="BL245" s="598"/>
      <c r="BM245" s="598"/>
      <c r="BN245" s="598"/>
      <c r="BO245" s="598"/>
      <c r="BP245" s="598"/>
      <c r="BQ245" s="598"/>
      <c r="BR245" s="598"/>
      <c r="BS245" s="598"/>
      <c r="BT245" s="598"/>
      <c r="BU245" s="598"/>
      <c r="BV245" s="598"/>
      <c r="BW245" s="598"/>
      <c r="BX245" s="598"/>
      <c r="BY245" s="598"/>
      <c r="BZ245" s="598"/>
      <c r="CA245" s="598"/>
      <c r="CB245" s="598"/>
      <c r="CC245" s="598"/>
      <c r="CD245" s="598"/>
      <c r="CE245" s="598"/>
      <c r="CF245" s="598"/>
      <c r="CG245" s="598"/>
      <c r="CH245" s="598"/>
      <c r="CI245" s="599"/>
      <c r="CK245" s="1293"/>
    </row>
    <row r="246" spans="1:89" s="1292" customFormat="1" x14ac:dyDescent="0.2">
      <c r="A246" s="1284"/>
      <c r="B246" s="859" t="s">
        <v>535</v>
      </c>
      <c r="C246" s="860" t="s">
        <v>536</v>
      </c>
      <c r="D246" s="858" t="s">
        <v>86</v>
      </c>
      <c r="E246" s="844" t="s">
        <v>344</v>
      </c>
      <c r="F246" s="845">
        <v>2</v>
      </c>
      <c r="G246" s="597"/>
      <c r="H246" s="597"/>
      <c r="I246" s="597">
        <v>0.215</v>
      </c>
      <c r="J246" s="597">
        <v>0.28114559687606738</v>
      </c>
      <c r="K246" s="597">
        <v>0.2821585127763146</v>
      </c>
      <c r="L246" s="597">
        <v>0.27709413426345569</v>
      </c>
      <c r="M246" s="598">
        <v>0.26189326707908822</v>
      </c>
      <c r="N246" s="598">
        <v>0.26310658384886026</v>
      </c>
      <c r="O246" s="598">
        <v>0.26431990061863231</v>
      </c>
      <c r="P246" s="598">
        <v>0.26553321738840435</v>
      </c>
      <c r="Q246" s="598">
        <v>0.26674653415817645</v>
      </c>
      <c r="R246" s="598">
        <v>0.2679598509279485</v>
      </c>
      <c r="S246" s="598">
        <v>0.26917316769772054</v>
      </c>
      <c r="T246" s="598">
        <v>0.27038648446749253</v>
      </c>
      <c r="U246" s="598">
        <v>0.27159980123726463</v>
      </c>
      <c r="V246" s="598">
        <v>0.27284140334495</v>
      </c>
      <c r="W246" s="598">
        <v>0.27408300545263542</v>
      </c>
      <c r="X246" s="598">
        <v>0.27532460756032079</v>
      </c>
      <c r="Y246" s="598">
        <v>0.27656620966800616</v>
      </c>
      <c r="Z246" s="598">
        <v>0.27780781177569153</v>
      </c>
      <c r="AA246" s="598">
        <v>0.2790494138833769</v>
      </c>
      <c r="AB246" s="598">
        <v>0.28029101599106226</v>
      </c>
      <c r="AC246" s="598">
        <v>0.28153261809874769</v>
      </c>
      <c r="AD246" s="598">
        <v>0.282774220206433</v>
      </c>
      <c r="AE246" s="598">
        <v>0.28401582231411837</v>
      </c>
      <c r="AF246" s="598">
        <v>0.28525742442180374</v>
      </c>
      <c r="AG246" s="598">
        <v>0.28649902652948911</v>
      </c>
      <c r="AH246" s="598">
        <v>0.28774062863717448</v>
      </c>
      <c r="AI246" s="598">
        <v>0.28898223074485985</v>
      </c>
      <c r="AJ246" s="598">
        <v>0.29022383285254527</v>
      </c>
      <c r="AK246" s="598">
        <v>0.29146543496023064</v>
      </c>
      <c r="AL246" s="598"/>
      <c r="AM246" s="598"/>
      <c r="AN246" s="598"/>
      <c r="AO246" s="598"/>
      <c r="AP246" s="598"/>
      <c r="AQ246" s="598"/>
      <c r="AR246" s="598"/>
      <c r="AS246" s="598"/>
      <c r="AT246" s="598"/>
      <c r="AU246" s="598"/>
      <c r="AV246" s="598"/>
      <c r="AW246" s="598"/>
      <c r="AX246" s="598"/>
      <c r="AY246" s="598"/>
      <c r="AZ246" s="598"/>
      <c r="BA246" s="598"/>
      <c r="BB246" s="598"/>
      <c r="BC246" s="598"/>
      <c r="BD246" s="598"/>
      <c r="BE246" s="598"/>
      <c r="BF246" s="598"/>
      <c r="BG246" s="598"/>
      <c r="BH246" s="598"/>
      <c r="BI246" s="598"/>
      <c r="BJ246" s="598"/>
      <c r="BK246" s="598"/>
      <c r="BL246" s="598"/>
      <c r="BM246" s="598"/>
      <c r="BN246" s="598"/>
      <c r="BO246" s="598"/>
      <c r="BP246" s="598"/>
      <c r="BQ246" s="598"/>
      <c r="BR246" s="598"/>
      <c r="BS246" s="598"/>
      <c r="BT246" s="598"/>
      <c r="BU246" s="598"/>
      <c r="BV246" s="598"/>
      <c r="BW246" s="598"/>
      <c r="BX246" s="598"/>
      <c r="BY246" s="598"/>
      <c r="BZ246" s="598"/>
      <c r="CA246" s="598"/>
      <c r="CB246" s="598"/>
      <c r="CC246" s="598"/>
      <c r="CD246" s="598"/>
      <c r="CE246" s="598"/>
      <c r="CF246" s="598"/>
      <c r="CG246" s="598"/>
      <c r="CH246" s="598"/>
      <c r="CI246" s="599"/>
      <c r="CK246" s="1293"/>
    </row>
    <row r="247" spans="1:89" s="1292" customFormat="1" ht="28.5" x14ac:dyDescent="0.2">
      <c r="A247" s="1284"/>
      <c r="B247" s="859" t="s">
        <v>537</v>
      </c>
      <c r="C247" s="860" t="s">
        <v>538</v>
      </c>
      <c r="D247" s="602" t="s">
        <v>539</v>
      </c>
      <c r="E247" s="603" t="s">
        <v>344</v>
      </c>
      <c r="F247" s="604">
        <v>2</v>
      </c>
      <c r="G247" s="597"/>
      <c r="H247" s="597"/>
      <c r="I247" s="597">
        <v>12.180999999999999</v>
      </c>
      <c r="J247" s="552">
        <f t="shared" ref="J247:L247" si="75">I247+SUM(J248:J253)</f>
        <v>12.4945305903319</v>
      </c>
      <c r="K247" s="552">
        <f t="shared" si="75"/>
        <v>12.783554979025508</v>
      </c>
      <c r="L247" s="552">
        <f t="shared" si="75"/>
        <v>13.087790363423581</v>
      </c>
      <c r="M247" s="552">
        <f>L247+SUM(M248:M253)</f>
        <v>13.670611744875004</v>
      </c>
      <c r="N247" s="552">
        <f t="shared" ref="N247:AK247" si="76">M247+SUM(N248:N253)</f>
        <v>14.350674656707506</v>
      </c>
      <c r="O247" s="552">
        <f t="shared" si="76"/>
        <v>14.712791464671529</v>
      </c>
      <c r="P247" s="552">
        <f t="shared" si="76"/>
        <v>14.987737084819427</v>
      </c>
      <c r="Q247" s="552">
        <f t="shared" si="76"/>
        <v>15.235944282344249</v>
      </c>
      <c r="R247" s="552">
        <f t="shared" si="76"/>
        <v>15.430803752821916</v>
      </c>
      <c r="S247" s="552">
        <f t="shared" si="76"/>
        <v>15.56980213230961</v>
      </c>
      <c r="T247" s="552">
        <f t="shared" si="76"/>
        <v>15.707475367430444</v>
      </c>
      <c r="U247" s="552">
        <f t="shared" si="76"/>
        <v>15.844326937261341</v>
      </c>
      <c r="V247" s="552">
        <f t="shared" si="76"/>
        <v>15.980720795140215</v>
      </c>
      <c r="W247" s="552">
        <f t="shared" si="76"/>
        <v>16.116217027080477</v>
      </c>
      <c r="X247" s="552">
        <f t="shared" si="76"/>
        <v>16.251646758061472</v>
      </c>
      <c r="Y247" s="552">
        <f t="shared" si="76"/>
        <v>16.385524207813571</v>
      </c>
      <c r="Z247" s="552">
        <f t="shared" si="76"/>
        <v>16.51568007919375</v>
      </c>
      <c r="AA247" s="552">
        <f t="shared" si="76"/>
        <v>16.644418399259177</v>
      </c>
      <c r="AB247" s="552">
        <f t="shared" si="76"/>
        <v>16.771393144211203</v>
      </c>
      <c r="AC247" s="552">
        <f t="shared" si="76"/>
        <v>16.894536729851772</v>
      </c>
      <c r="AD247" s="552">
        <f t="shared" si="76"/>
        <v>17.01512985174103</v>
      </c>
      <c r="AE247" s="552">
        <f t="shared" si="76"/>
        <v>17.135550629821978</v>
      </c>
      <c r="AF247" s="552">
        <f t="shared" si="76"/>
        <v>17.25469805273552</v>
      </c>
      <c r="AG247" s="552">
        <f t="shared" si="76"/>
        <v>17.372451439592581</v>
      </c>
      <c r="AH247" s="552">
        <f t="shared" si="76"/>
        <v>17.488002834579561</v>
      </c>
      <c r="AI247" s="552">
        <f t="shared" si="76"/>
        <v>17.600410551531208</v>
      </c>
      <c r="AJ247" s="552">
        <f t="shared" si="76"/>
        <v>17.709871100882602</v>
      </c>
      <c r="AK247" s="552">
        <f t="shared" si="76"/>
        <v>17.817100312216397</v>
      </c>
      <c r="AL247" s="552"/>
      <c r="AM247" s="552"/>
      <c r="AN247" s="552"/>
      <c r="AO247" s="552"/>
      <c r="AP247" s="552"/>
      <c r="AQ247" s="552"/>
      <c r="AR247" s="552"/>
      <c r="AS247" s="552"/>
      <c r="AT247" s="552"/>
      <c r="AU247" s="552"/>
      <c r="AV247" s="552"/>
      <c r="AW247" s="552"/>
      <c r="AX247" s="552"/>
      <c r="AY247" s="552"/>
      <c r="AZ247" s="552"/>
      <c r="BA247" s="552"/>
      <c r="BB247" s="552"/>
      <c r="BC247" s="552"/>
      <c r="BD247" s="552"/>
      <c r="BE247" s="552"/>
      <c r="BF247" s="552"/>
      <c r="BG247" s="552"/>
      <c r="BH247" s="552"/>
      <c r="BI247" s="552"/>
      <c r="BJ247" s="552"/>
      <c r="BK247" s="552"/>
      <c r="BL247" s="552"/>
      <c r="BM247" s="552"/>
      <c r="BN247" s="552"/>
      <c r="BO247" s="552"/>
      <c r="BP247" s="552"/>
      <c r="BQ247" s="552"/>
      <c r="BR247" s="552"/>
      <c r="BS247" s="552"/>
      <c r="BT247" s="552"/>
      <c r="BU247" s="552"/>
      <c r="BV247" s="552"/>
      <c r="BW247" s="552"/>
      <c r="BX247" s="552"/>
      <c r="BY247" s="552"/>
      <c r="BZ247" s="552"/>
      <c r="CA247" s="552"/>
      <c r="CB247" s="552"/>
      <c r="CC247" s="552"/>
      <c r="CD247" s="552"/>
      <c r="CE247" s="552"/>
      <c r="CF247" s="552"/>
      <c r="CG247" s="552"/>
      <c r="CH247" s="552"/>
      <c r="CI247" s="548"/>
      <c r="CK247" s="1293"/>
    </row>
    <row r="248" spans="1:89" s="1292" customFormat="1" x14ac:dyDescent="0.2">
      <c r="A248" s="1284"/>
      <c r="B248" s="859" t="s">
        <v>540</v>
      </c>
      <c r="C248" s="860" t="s">
        <v>541</v>
      </c>
      <c r="D248" s="602" t="s">
        <v>542</v>
      </c>
      <c r="E248" s="603" t="s">
        <v>344</v>
      </c>
      <c r="F248" s="604">
        <v>2</v>
      </c>
      <c r="G248" s="597"/>
      <c r="H248" s="597"/>
      <c r="I248" s="597">
        <v>0.25</v>
      </c>
      <c r="J248" s="597">
        <v>0.24503194485629864</v>
      </c>
      <c r="K248" s="597">
        <v>0.2112744251527256</v>
      </c>
      <c r="L248" s="597">
        <v>0.18919795375275134</v>
      </c>
      <c r="M248" s="598">
        <v>0.16006968359339954</v>
      </c>
      <c r="N248" s="598">
        <v>0.28645315281032524</v>
      </c>
      <c r="O248" s="598">
        <v>0.26348456183810415</v>
      </c>
      <c r="P248" s="598">
        <v>0.17343345805369609</v>
      </c>
      <c r="Q248" s="598">
        <v>0.14609451883157454</v>
      </c>
      <c r="R248" s="598">
        <v>0.14366575943094723</v>
      </c>
      <c r="S248" s="598">
        <v>0.13864060088820407</v>
      </c>
      <c r="T248" s="598">
        <v>0.13727167709700006</v>
      </c>
      <c r="U248" s="598">
        <v>0.1364228660603003</v>
      </c>
      <c r="V248" s="598">
        <v>0.13595003246094711</v>
      </c>
      <c r="W248" s="598">
        <v>0.13502275122752325</v>
      </c>
      <c r="X248" s="598">
        <v>0.13495405324445164</v>
      </c>
      <c r="Y248" s="598">
        <v>0.13335048856272624</v>
      </c>
      <c r="Z248" s="598">
        <v>0.12950595863709896</v>
      </c>
      <c r="AA248" s="598">
        <v>0.12945584190139925</v>
      </c>
      <c r="AB248" s="598">
        <v>0.12763400271867795</v>
      </c>
      <c r="AC248" s="598">
        <v>0.12367627157592141</v>
      </c>
      <c r="AD248" s="598">
        <v>0.12104154694130193</v>
      </c>
      <c r="AE248" s="598">
        <v>0.12086350932867936</v>
      </c>
      <c r="AF248" s="598">
        <v>0.11954808572132242</v>
      </c>
      <c r="AG248" s="598">
        <v>0.11810799423299977</v>
      </c>
      <c r="AH248" s="598">
        <v>0.11583325411079931</v>
      </c>
      <c r="AI248" s="598">
        <v>0.11258571688987649</v>
      </c>
      <c r="AJ248" s="598">
        <v>0.10954118231269604</v>
      </c>
      <c r="AK248" s="598">
        <v>0.10723612652035081</v>
      </c>
      <c r="AL248" s="598"/>
      <c r="AM248" s="598"/>
      <c r="AN248" s="598"/>
      <c r="AO248" s="598"/>
      <c r="AP248" s="598"/>
      <c r="AQ248" s="598"/>
      <c r="AR248" s="598"/>
      <c r="AS248" s="598"/>
      <c r="AT248" s="598"/>
      <c r="AU248" s="598"/>
      <c r="AV248" s="598"/>
      <c r="AW248" s="598"/>
      <c r="AX248" s="598"/>
      <c r="AY248" s="598"/>
      <c r="AZ248" s="598"/>
      <c r="BA248" s="598"/>
      <c r="BB248" s="598"/>
      <c r="BC248" s="598"/>
      <c r="BD248" s="598"/>
      <c r="BE248" s="598"/>
      <c r="BF248" s="598"/>
      <c r="BG248" s="598"/>
      <c r="BH248" s="598"/>
      <c r="BI248" s="598"/>
      <c r="BJ248" s="598"/>
      <c r="BK248" s="598"/>
      <c r="BL248" s="598"/>
      <c r="BM248" s="598"/>
      <c r="BN248" s="598"/>
      <c r="BO248" s="598"/>
      <c r="BP248" s="598"/>
      <c r="BQ248" s="598"/>
      <c r="BR248" s="598"/>
      <c r="BS248" s="598"/>
      <c r="BT248" s="598"/>
      <c r="BU248" s="598"/>
      <c r="BV248" s="598"/>
      <c r="BW248" s="598"/>
      <c r="BX248" s="598"/>
      <c r="BY248" s="598"/>
      <c r="BZ248" s="598"/>
      <c r="CA248" s="598"/>
      <c r="CB248" s="598"/>
      <c r="CC248" s="598"/>
      <c r="CD248" s="598"/>
      <c r="CE248" s="598"/>
      <c r="CF248" s="598"/>
      <c r="CG248" s="598"/>
      <c r="CH248" s="598"/>
      <c r="CI248" s="599"/>
      <c r="CK248" s="1293"/>
    </row>
    <row r="249" spans="1:89" s="1292" customFormat="1" x14ac:dyDescent="0.2">
      <c r="A249" s="1284"/>
      <c r="B249" s="859" t="s">
        <v>543</v>
      </c>
      <c r="C249" s="860" t="s">
        <v>544</v>
      </c>
      <c r="D249" s="602" t="s">
        <v>545</v>
      </c>
      <c r="E249" s="603" t="s">
        <v>344</v>
      </c>
      <c r="F249" s="604">
        <v>2</v>
      </c>
      <c r="G249" s="597"/>
      <c r="H249" s="597"/>
      <c r="I249" s="597">
        <v>0</v>
      </c>
      <c r="J249" s="597">
        <v>8.1197792146634779E-2</v>
      </c>
      <c r="K249" s="597">
        <v>8.8999999999999996E-2</v>
      </c>
      <c r="L249" s="597">
        <v>0.127</v>
      </c>
      <c r="M249" s="598">
        <v>0.44455232529055716</v>
      </c>
      <c r="N249" s="598">
        <v>0.41862300111720668</v>
      </c>
      <c r="O249" s="598">
        <v>0.11314135165329911</v>
      </c>
      <c r="P249" s="598">
        <v>0.11314135165329911</v>
      </c>
      <c r="Q249" s="598">
        <v>0.11314135165329911</v>
      </c>
      <c r="R249" s="598">
        <v>6.045990978973171E-2</v>
      </c>
      <c r="S249" s="598">
        <v>7.7784679261643135E-3</v>
      </c>
      <c r="T249" s="598">
        <v>7.7784679261643135E-3</v>
      </c>
      <c r="U249" s="598">
        <v>7.7784679261643135E-3</v>
      </c>
      <c r="V249" s="598">
        <v>7.7784679261643135E-3</v>
      </c>
      <c r="W249" s="598">
        <v>7.7784679261643135E-3</v>
      </c>
      <c r="X249" s="598">
        <v>7.7784679261643135E-3</v>
      </c>
      <c r="Y249" s="598">
        <v>7.7784679261643135E-3</v>
      </c>
      <c r="Z249" s="598">
        <v>7.7784679261643135E-3</v>
      </c>
      <c r="AA249" s="598">
        <v>7.7784679261643135E-3</v>
      </c>
      <c r="AB249" s="598">
        <v>7.7784679261643135E-3</v>
      </c>
      <c r="AC249" s="598">
        <v>7.7784679261643135E-3</v>
      </c>
      <c r="AD249" s="598">
        <v>7.7784679261643135E-3</v>
      </c>
      <c r="AE249" s="598">
        <v>7.7784679261643135E-3</v>
      </c>
      <c r="AF249" s="598">
        <v>7.7784679261643135E-3</v>
      </c>
      <c r="AG249" s="598">
        <v>7.7784679261643135E-3</v>
      </c>
      <c r="AH249" s="598">
        <v>7.7784679261643135E-3</v>
      </c>
      <c r="AI249" s="598">
        <v>7.7784679261643135E-3</v>
      </c>
      <c r="AJ249" s="598">
        <v>7.7784679261643135E-3</v>
      </c>
      <c r="AK249" s="598">
        <v>7.7784679261643135E-3</v>
      </c>
      <c r="AL249" s="598"/>
      <c r="AM249" s="598"/>
      <c r="AN249" s="598"/>
      <c r="AO249" s="598"/>
      <c r="AP249" s="598"/>
      <c r="AQ249" s="598"/>
      <c r="AR249" s="598"/>
      <c r="AS249" s="598"/>
      <c r="AT249" s="598"/>
      <c r="AU249" s="598"/>
      <c r="AV249" s="598"/>
      <c r="AW249" s="598"/>
      <c r="AX249" s="598"/>
      <c r="AY249" s="598"/>
      <c r="AZ249" s="598"/>
      <c r="BA249" s="598"/>
      <c r="BB249" s="598"/>
      <c r="BC249" s="598"/>
      <c r="BD249" s="598"/>
      <c r="BE249" s="598"/>
      <c r="BF249" s="598"/>
      <c r="BG249" s="598"/>
      <c r="BH249" s="598"/>
      <c r="BI249" s="598"/>
      <c r="BJ249" s="598"/>
      <c r="BK249" s="598"/>
      <c r="BL249" s="598"/>
      <c r="BM249" s="598"/>
      <c r="BN249" s="598"/>
      <c r="BO249" s="598"/>
      <c r="BP249" s="598"/>
      <c r="BQ249" s="598"/>
      <c r="BR249" s="598"/>
      <c r="BS249" s="598"/>
      <c r="BT249" s="598"/>
      <c r="BU249" s="598"/>
      <c r="BV249" s="598"/>
      <c r="BW249" s="598"/>
      <c r="BX249" s="598"/>
      <c r="BY249" s="598"/>
      <c r="BZ249" s="598"/>
      <c r="CA249" s="598"/>
      <c r="CB249" s="598"/>
      <c r="CC249" s="598"/>
      <c r="CD249" s="598"/>
      <c r="CE249" s="598"/>
      <c r="CF249" s="598"/>
      <c r="CG249" s="598"/>
      <c r="CH249" s="598"/>
      <c r="CI249" s="599"/>
      <c r="CK249" s="1293"/>
    </row>
    <row r="250" spans="1:89" s="1292" customFormat="1" x14ac:dyDescent="0.2">
      <c r="A250" s="1284"/>
      <c r="B250" s="859" t="s">
        <v>546</v>
      </c>
      <c r="C250" s="860" t="s">
        <v>547</v>
      </c>
      <c r="D250" s="602" t="s">
        <v>548</v>
      </c>
      <c r="E250" s="603" t="s">
        <v>344</v>
      </c>
      <c r="F250" s="604">
        <v>2</v>
      </c>
      <c r="G250" s="597"/>
      <c r="H250" s="597"/>
      <c r="I250" s="597">
        <v>0</v>
      </c>
      <c r="J250" s="597">
        <v>0</v>
      </c>
      <c r="K250" s="597">
        <v>0</v>
      </c>
      <c r="L250" s="597">
        <v>0</v>
      </c>
      <c r="M250" s="598">
        <v>0</v>
      </c>
      <c r="N250" s="598">
        <v>0</v>
      </c>
      <c r="O250" s="598">
        <v>0</v>
      </c>
      <c r="P250" s="598">
        <v>0</v>
      </c>
      <c r="Q250" s="598">
        <v>0</v>
      </c>
      <c r="R250" s="598">
        <v>0</v>
      </c>
      <c r="S250" s="598">
        <v>0</v>
      </c>
      <c r="T250" s="598">
        <v>0</v>
      </c>
      <c r="U250" s="598">
        <v>0</v>
      </c>
      <c r="V250" s="598">
        <v>0</v>
      </c>
      <c r="W250" s="598">
        <v>0</v>
      </c>
      <c r="X250" s="598">
        <v>0</v>
      </c>
      <c r="Y250" s="598">
        <v>0</v>
      </c>
      <c r="Z250" s="598">
        <v>0</v>
      </c>
      <c r="AA250" s="598">
        <v>0</v>
      </c>
      <c r="AB250" s="598">
        <v>0</v>
      </c>
      <c r="AC250" s="598">
        <v>0</v>
      </c>
      <c r="AD250" s="598">
        <v>0</v>
      </c>
      <c r="AE250" s="598">
        <v>0</v>
      </c>
      <c r="AF250" s="598">
        <v>0</v>
      </c>
      <c r="AG250" s="598">
        <v>0</v>
      </c>
      <c r="AH250" s="598">
        <v>0</v>
      </c>
      <c r="AI250" s="598">
        <v>0</v>
      </c>
      <c r="AJ250" s="598">
        <v>0</v>
      </c>
      <c r="AK250" s="598">
        <v>0</v>
      </c>
      <c r="AL250" s="598"/>
      <c r="AM250" s="598"/>
      <c r="AN250" s="598"/>
      <c r="AO250" s="598"/>
      <c r="AP250" s="598"/>
      <c r="AQ250" s="598"/>
      <c r="AR250" s="598"/>
      <c r="AS250" s="598"/>
      <c r="AT250" s="598"/>
      <c r="AU250" s="598"/>
      <c r="AV250" s="598"/>
      <c r="AW250" s="598"/>
      <c r="AX250" s="598"/>
      <c r="AY250" s="598"/>
      <c r="AZ250" s="598"/>
      <c r="BA250" s="598"/>
      <c r="BB250" s="598"/>
      <c r="BC250" s="598"/>
      <c r="BD250" s="598"/>
      <c r="BE250" s="598"/>
      <c r="BF250" s="598"/>
      <c r="BG250" s="598"/>
      <c r="BH250" s="598"/>
      <c r="BI250" s="598"/>
      <c r="BJ250" s="598"/>
      <c r="BK250" s="598"/>
      <c r="BL250" s="598"/>
      <c r="BM250" s="598"/>
      <c r="BN250" s="598"/>
      <c r="BO250" s="598"/>
      <c r="BP250" s="598"/>
      <c r="BQ250" s="598"/>
      <c r="BR250" s="598"/>
      <c r="BS250" s="598"/>
      <c r="BT250" s="598"/>
      <c r="BU250" s="598"/>
      <c r="BV250" s="598"/>
      <c r="BW250" s="598"/>
      <c r="BX250" s="598"/>
      <c r="BY250" s="598"/>
      <c r="BZ250" s="598"/>
      <c r="CA250" s="598"/>
      <c r="CB250" s="598"/>
      <c r="CC250" s="598"/>
      <c r="CD250" s="598"/>
      <c r="CE250" s="598"/>
      <c r="CF250" s="598"/>
      <c r="CG250" s="598"/>
      <c r="CH250" s="598"/>
      <c r="CI250" s="599"/>
      <c r="CK250" s="1293"/>
    </row>
    <row r="251" spans="1:89" s="1292" customFormat="1" ht="28.5" x14ac:dyDescent="0.2">
      <c r="A251" s="1284"/>
      <c r="B251" s="859" t="s">
        <v>549</v>
      </c>
      <c r="C251" s="860" t="s">
        <v>550</v>
      </c>
      <c r="D251" s="602" t="s">
        <v>551</v>
      </c>
      <c r="E251" s="603" t="s">
        <v>344</v>
      </c>
      <c r="F251" s="604">
        <v>2</v>
      </c>
      <c r="G251" s="597"/>
      <c r="H251" s="597"/>
      <c r="I251" s="597">
        <v>0</v>
      </c>
      <c r="J251" s="597">
        <v>0</v>
      </c>
      <c r="K251" s="597">
        <v>0</v>
      </c>
      <c r="L251" s="597">
        <v>0</v>
      </c>
      <c r="M251" s="598">
        <v>0</v>
      </c>
      <c r="N251" s="598">
        <v>0</v>
      </c>
      <c r="O251" s="598">
        <v>0</v>
      </c>
      <c r="P251" s="598">
        <v>0</v>
      </c>
      <c r="Q251" s="598">
        <v>0</v>
      </c>
      <c r="R251" s="598">
        <v>0</v>
      </c>
      <c r="S251" s="598">
        <v>0</v>
      </c>
      <c r="T251" s="598">
        <v>0</v>
      </c>
      <c r="U251" s="598">
        <v>0</v>
      </c>
      <c r="V251" s="598">
        <v>0</v>
      </c>
      <c r="W251" s="598">
        <v>0</v>
      </c>
      <c r="X251" s="598">
        <v>0</v>
      </c>
      <c r="Y251" s="598">
        <v>0</v>
      </c>
      <c r="Z251" s="598">
        <v>0</v>
      </c>
      <c r="AA251" s="598">
        <v>0</v>
      </c>
      <c r="AB251" s="598">
        <v>0</v>
      </c>
      <c r="AC251" s="598">
        <v>0</v>
      </c>
      <c r="AD251" s="598">
        <v>0</v>
      </c>
      <c r="AE251" s="598">
        <v>0</v>
      </c>
      <c r="AF251" s="598">
        <v>0</v>
      </c>
      <c r="AG251" s="598">
        <v>0</v>
      </c>
      <c r="AH251" s="598">
        <v>0</v>
      </c>
      <c r="AI251" s="598">
        <v>0</v>
      </c>
      <c r="AJ251" s="598">
        <v>0</v>
      </c>
      <c r="AK251" s="598">
        <v>0</v>
      </c>
      <c r="AL251" s="598"/>
      <c r="AM251" s="598"/>
      <c r="AN251" s="598"/>
      <c r="AO251" s="598"/>
      <c r="AP251" s="598"/>
      <c r="AQ251" s="598"/>
      <c r="AR251" s="598"/>
      <c r="AS251" s="598"/>
      <c r="AT251" s="598"/>
      <c r="AU251" s="598"/>
      <c r="AV251" s="598"/>
      <c r="AW251" s="598"/>
      <c r="AX251" s="598"/>
      <c r="AY251" s="598"/>
      <c r="AZ251" s="598"/>
      <c r="BA251" s="598"/>
      <c r="BB251" s="598"/>
      <c r="BC251" s="598"/>
      <c r="BD251" s="598"/>
      <c r="BE251" s="598"/>
      <c r="BF251" s="598"/>
      <c r="BG251" s="598"/>
      <c r="BH251" s="598"/>
      <c r="BI251" s="598"/>
      <c r="BJ251" s="598"/>
      <c r="BK251" s="598"/>
      <c r="BL251" s="598"/>
      <c r="BM251" s="598"/>
      <c r="BN251" s="598"/>
      <c r="BO251" s="598"/>
      <c r="BP251" s="598"/>
      <c r="BQ251" s="598"/>
      <c r="BR251" s="598"/>
      <c r="BS251" s="598"/>
      <c r="BT251" s="598"/>
      <c r="BU251" s="598"/>
      <c r="BV251" s="598"/>
      <c r="BW251" s="598"/>
      <c r="BX251" s="598"/>
      <c r="BY251" s="598"/>
      <c r="BZ251" s="598"/>
      <c r="CA251" s="598"/>
      <c r="CB251" s="598"/>
      <c r="CC251" s="598"/>
      <c r="CD251" s="598"/>
      <c r="CE251" s="598"/>
      <c r="CF251" s="598"/>
      <c r="CG251" s="598"/>
      <c r="CH251" s="598"/>
      <c r="CI251" s="599"/>
      <c r="CK251" s="1293"/>
    </row>
    <row r="252" spans="1:89" s="1292" customFormat="1" x14ac:dyDescent="0.2">
      <c r="A252" s="1284"/>
      <c r="B252" s="859" t="s">
        <v>552</v>
      </c>
      <c r="C252" s="860" t="s">
        <v>553</v>
      </c>
      <c r="D252" s="602" t="s">
        <v>554</v>
      </c>
      <c r="E252" s="603" t="s">
        <v>344</v>
      </c>
      <c r="F252" s="604">
        <v>2</v>
      </c>
      <c r="G252" s="597"/>
      <c r="H252" s="597"/>
      <c r="I252" s="597">
        <v>0</v>
      </c>
      <c r="J252" s="597">
        <v>2.1000000000000001E-4</v>
      </c>
      <c r="K252" s="597">
        <v>4.2000000000000002E-4</v>
      </c>
      <c r="L252" s="597">
        <v>2.1000000000000001E-4</v>
      </c>
      <c r="M252" s="598">
        <v>0</v>
      </c>
      <c r="N252" s="598">
        <v>0</v>
      </c>
      <c r="O252" s="598">
        <v>0</v>
      </c>
      <c r="P252" s="598">
        <v>0</v>
      </c>
      <c r="Q252" s="598">
        <v>0</v>
      </c>
      <c r="R252" s="598">
        <v>0</v>
      </c>
      <c r="S252" s="598">
        <v>0</v>
      </c>
      <c r="T252" s="598">
        <v>0</v>
      </c>
      <c r="U252" s="598">
        <v>0</v>
      </c>
      <c r="V252" s="598">
        <v>0</v>
      </c>
      <c r="W252" s="598">
        <v>0</v>
      </c>
      <c r="X252" s="598">
        <v>0</v>
      </c>
      <c r="Y252" s="598">
        <v>0</v>
      </c>
      <c r="Z252" s="598">
        <v>0</v>
      </c>
      <c r="AA252" s="598">
        <v>0</v>
      </c>
      <c r="AB252" s="598">
        <v>0</v>
      </c>
      <c r="AC252" s="598">
        <v>0</v>
      </c>
      <c r="AD252" s="598">
        <v>0</v>
      </c>
      <c r="AE252" s="598">
        <v>0</v>
      </c>
      <c r="AF252" s="598">
        <v>0</v>
      </c>
      <c r="AG252" s="598">
        <v>0</v>
      </c>
      <c r="AH252" s="598">
        <v>0</v>
      </c>
      <c r="AI252" s="598">
        <v>0</v>
      </c>
      <c r="AJ252" s="598">
        <v>0</v>
      </c>
      <c r="AK252" s="598">
        <v>0</v>
      </c>
      <c r="AL252" s="598"/>
      <c r="AM252" s="598"/>
      <c r="AN252" s="598"/>
      <c r="AO252" s="598"/>
      <c r="AP252" s="598"/>
      <c r="AQ252" s="598"/>
      <c r="AR252" s="598"/>
      <c r="AS252" s="598"/>
      <c r="AT252" s="598"/>
      <c r="AU252" s="598"/>
      <c r="AV252" s="598"/>
      <c r="AW252" s="598"/>
      <c r="AX252" s="598"/>
      <c r="AY252" s="598"/>
      <c r="AZ252" s="598"/>
      <c r="BA252" s="598"/>
      <c r="BB252" s="598"/>
      <c r="BC252" s="598"/>
      <c r="BD252" s="598"/>
      <c r="BE252" s="598"/>
      <c r="BF252" s="598"/>
      <c r="BG252" s="598"/>
      <c r="BH252" s="598"/>
      <c r="BI252" s="598"/>
      <c r="BJ252" s="598"/>
      <c r="BK252" s="598"/>
      <c r="BL252" s="598"/>
      <c r="BM252" s="598"/>
      <c r="BN252" s="598"/>
      <c r="BO252" s="598"/>
      <c r="BP252" s="598"/>
      <c r="BQ252" s="598"/>
      <c r="BR252" s="598"/>
      <c r="BS252" s="598"/>
      <c r="BT252" s="598"/>
      <c r="BU252" s="598"/>
      <c r="BV252" s="598"/>
      <c r="BW252" s="598"/>
      <c r="BX252" s="598"/>
      <c r="BY252" s="598"/>
      <c r="BZ252" s="598"/>
      <c r="CA252" s="598"/>
      <c r="CB252" s="598"/>
      <c r="CC252" s="598"/>
      <c r="CD252" s="598"/>
      <c r="CE252" s="598"/>
      <c r="CF252" s="598"/>
      <c r="CG252" s="598"/>
      <c r="CH252" s="598"/>
      <c r="CI252" s="599"/>
      <c r="CK252" s="1293"/>
    </row>
    <row r="253" spans="1:89" s="1292" customFormat="1" ht="28.5" x14ac:dyDescent="0.2">
      <c r="A253" s="1284"/>
      <c r="B253" s="859" t="s">
        <v>555</v>
      </c>
      <c r="C253" s="860" t="s">
        <v>556</v>
      </c>
      <c r="D253" s="602" t="s">
        <v>557</v>
      </c>
      <c r="E253" s="603" t="s">
        <v>344</v>
      </c>
      <c r="F253" s="604">
        <v>2</v>
      </c>
      <c r="G253" s="597"/>
      <c r="H253" s="597"/>
      <c r="I253" s="597">
        <v>0</v>
      </c>
      <c r="J253" s="597">
        <v>-1.2909146671033156E-2</v>
      </c>
      <c r="K253" s="597">
        <v>-1.1670036459117128E-2</v>
      </c>
      <c r="L253" s="597">
        <v>-1.2172569354678586E-2</v>
      </c>
      <c r="M253" s="598">
        <v>-2.180062743253508E-2</v>
      </c>
      <c r="N253" s="598">
        <v>-2.5013242095029753E-2</v>
      </c>
      <c r="O253" s="598">
        <v>-1.4509105527380939E-2</v>
      </c>
      <c r="P253" s="598">
        <v>-1.1629189559096531E-2</v>
      </c>
      <c r="Q253" s="598">
        <v>-1.1028672960051722E-2</v>
      </c>
      <c r="R253" s="598">
        <v>-9.2661987430116E-3</v>
      </c>
      <c r="S253" s="598">
        <v>-7.4206893266755003E-3</v>
      </c>
      <c r="T253" s="598">
        <v>-7.3769099023301976E-3</v>
      </c>
      <c r="U253" s="598">
        <v>-7.3497641555668736E-3</v>
      </c>
      <c r="V253" s="598">
        <v>-7.3346425082370104E-3</v>
      </c>
      <c r="W253" s="598">
        <v>-7.3049872134234306E-3</v>
      </c>
      <c r="X253" s="598">
        <v>-7.3027901896196568E-3</v>
      </c>
      <c r="Y253" s="598">
        <v>-7.2515067367930897E-3</v>
      </c>
      <c r="Z253" s="598">
        <v>-7.1285551830833072E-3</v>
      </c>
      <c r="AA253" s="598">
        <v>-8.4959897621352809E-3</v>
      </c>
      <c r="AB253" s="598">
        <v>-8.4377256928149791E-3</v>
      </c>
      <c r="AC253" s="598">
        <v>-8.3111538615163738E-3</v>
      </c>
      <c r="AD253" s="598">
        <v>-8.2268929782074451E-3</v>
      </c>
      <c r="AE253" s="598">
        <v>-8.2211991738958545E-3</v>
      </c>
      <c r="AF253" s="598">
        <v>-8.1791307339429409E-3</v>
      </c>
      <c r="AG253" s="598">
        <v>-8.1330753021049418E-3</v>
      </c>
      <c r="AH253" s="598">
        <v>-8.0603270499821633E-3</v>
      </c>
      <c r="AI253" s="598">
        <v>-7.9564678643926356E-3</v>
      </c>
      <c r="AJ253" s="598">
        <v>-7.8591008874688839E-3</v>
      </c>
      <c r="AK253" s="598">
        <v>-7.7853831127185913E-3</v>
      </c>
      <c r="AL253" s="598"/>
      <c r="AM253" s="598"/>
      <c r="AN253" s="598"/>
      <c r="AO253" s="598"/>
      <c r="AP253" s="598"/>
      <c r="AQ253" s="598"/>
      <c r="AR253" s="598"/>
      <c r="AS253" s="598"/>
      <c r="AT253" s="598"/>
      <c r="AU253" s="598"/>
      <c r="AV253" s="598"/>
      <c r="AW253" s="598"/>
      <c r="AX253" s="598"/>
      <c r="AY253" s="598"/>
      <c r="AZ253" s="598"/>
      <c r="BA253" s="598"/>
      <c r="BB253" s="598"/>
      <c r="BC253" s="598"/>
      <c r="BD253" s="598"/>
      <c r="BE253" s="598"/>
      <c r="BF253" s="598"/>
      <c r="BG253" s="598"/>
      <c r="BH253" s="598"/>
      <c r="BI253" s="598"/>
      <c r="BJ253" s="598"/>
      <c r="BK253" s="598"/>
      <c r="BL253" s="598"/>
      <c r="BM253" s="598"/>
      <c r="BN253" s="598"/>
      <c r="BO253" s="598"/>
      <c r="BP253" s="598"/>
      <c r="BQ253" s="598"/>
      <c r="BR253" s="598"/>
      <c r="BS253" s="598"/>
      <c r="BT253" s="598"/>
      <c r="BU253" s="598"/>
      <c r="BV253" s="598"/>
      <c r="BW253" s="598"/>
      <c r="BX253" s="598"/>
      <c r="BY253" s="598"/>
      <c r="BZ253" s="598"/>
      <c r="CA253" s="598"/>
      <c r="CB253" s="598"/>
      <c r="CC253" s="598"/>
      <c r="CD253" s="598"/>
      <c r="CE253" s="598"/>
      <c r="CF253" s="598"/>
      <c r="CG253" s="598"/>
      <c r="CH253" s="598"/>
      <c r="CI253" s="599"/>
      <c r="CK253" s="1293"/>
    </row>
    <row r="254" spans="1:89" s="1292" customFormat="1" x14ac:dyDescent="0.2">
      <c r="A254" s="1284"/>
      <c r="B254" s="859" t="s">
        <v>558</v>
      </c>
      <c r="C254" s="860" t="s">
        <v>559</v>
      </c>
      <c r="D254" s="858" t="s">
        <v>86</v>
      </c>
      <c r="E254" s="844" t="s">
        <v>344</v>
      </c>
      <c r="F254" s="845">
        <v>2</v>
      </c>
      <c r="G254" s="597"/>
      <c r="H254" s="597"/>
      <c r="I254" s="597">
        <v>0.40200000000000002</v>
      </c>
      <c r="J254" s="597">
        <v>0.41278774632753323</v>
      </c>
      <c r="K254" s="597">
        <v>0.42233638244315047</v>
      </c>
      <c r="L254" s="597">
        <v>0.43238755145432933</v>
      </c>
      <c r="M254" s="598">
        <v>0.4516424984746672</v>
      </c>
      <c r="N254" s="598">
        <v>0.47411006015749652</v>
      </c>
      <c r="O254" s="598">
        <v>0.48607348527267868</v>
      </c>
      <c r="P254" s="598">
        <v>0.49515699441957672</v>
      </c>
      <c r="Q254" s="598">
        <v>0.50335713358829615</v>
      </c>
      <c r="R254" s="598">
        <v>0.50979479853997456</v>
      </c>
      <c r="S254" s="598">
        <v>0.51438695407531732</v>
      </c>
      <c r="T254" s="598">
        <v>0.51893533018631144</v>
      </c>
      <c r="U254" s="598">
        <v>0.52345656055054723</v>
      </c>
      <c r="V254" s="598">
        <v>0.52796266926745283</v>
      </c>
      <c r="W254" s="598">
        <v>0.53243912268954252</v>
      </c>
      <c r="X254" s="598">
        <v>0.53691337908782977</v>
      </c>
      <c r="Y254" s="598">
        <v>0.54133635203328867</v>
      </c>
      <c r="Z254" s="598">
        <v>0.54563637342504012</v>
      </c>
      <c r="AA254" s="598">
        <v>0.54988956250017984</v>
      </c>
      <c r="AB254" s="598">
        <v>0.5540844875059916</v>
      </c>
      <c r="AC254" s="598">
        <v>0.55815284068050741</v>
      </c>
      <c r="AD254" s="598">
        <v>0.5621369329717204</v>
      </c>
      <c r="AE254" s="598">
        <v>0.56611533145861559</v>
      </c>
      <c r="AF254" s="598">
        <v>0.57005166150556208</v>
      </c>
      <c r="AG254" s="598">
        <v>0.57394193612066224</v>
      </c>
      <c r="AH254" s="598">
        <v>0.5777594624836444</v>
      </c>
      <c r="AI254" s="598">
        <v>0.58147312966104092</v>
      </c>
      <c r="AJ254" s="598">
        <v>0.58508942986150614</v>
      </c>
      <c r="AK254" s="598">
        <v>0.58863201228722817</v>
      </c>
      <c r="AL254" s="598"/>
      <c r="AM254" s="598"/>
      <c r="AN254" s="598"/>
      <c r="AO254" s="598"/>
      <c r="AP254" s="598"/>
      <c r="AQ254" s="598"/>
      <c r="AR254" s="598"/>
      <c r="AS254" s="598"/>
      <c r="AT254" s="598"/>
      <c r="AU254" s="598"/>
      <c r="AV254" s="598"/>
      <c r="AW254" s="598"/>
      <c r="AX254" s="598"/>
      <c r="AY254" s="598"/>
      <c r="AZ254" s="598"/>
      <c r="BA254" s="598"/>
      <c r="BB254" s="598"/>
      <c r="BC254" s="598"/>
      <c r="BD254" s="598"/>
      <c r="BE254" s="598"/>
      <c r="BF254" s="598"/>
      <c r="BG254" s="598"/>
      <c r="BH254" s="598"/>
      <c r="BI254" s="598"/>
      <c r="BJ254" s="598"/>
      <c r="BK254" s="598"/>
      <c r="BL254" s="598"/>
      <c r="BM254" s="598"/>
      <c r="BN254" s="598"/>
      <c r="BO254" s="598"/>
      <c r="BP254" s="598"/>
      <c r="BQ254" s="598"/>
      <c r="BR254" s="598"/>
      <c r="BS254" s="598"/>
      <c r="BT254" s="598"/>
      <c r="BU254" s="598"/>
      <c r="BV254" s="598"/>
      <c r="BW254" s="598"/>
      <c r="BX254" s="598"/>
      <c r="BY254" s="598"/>
      <c r="BZ254" s="598"/>
      <c r="CA254" s="598"/>
      <c r="CB254" s="598"/>
      <c r="CC254" s="598"/>
      <c r="CD254" s="598"/>
      <c r="CE254" s="598"/>
      <c r="CF254" s="598"/>
      <c r="CG254" s="598"/>
      <c r="CH254" s="598"/>
      <c r="CI254" s="599"/>
      <c r="CK254" s="1293"/>
    </row>
    <row r="255" spans="1:89" s="1292" customFormat="1" ht="28.5" x14ac:dyDescent="0.2">
      <c r="A255" s="1284"/>
      <c r="B255" s="859" t="s">
        <v>560</v>
      </c>
      <c r="C255" s="860" t="s">
        <v>561</v>
      </c>
      <c r="D255" s="858" t="s">
        <v>86</v>
      </c>
      <c r="E255" s="844" t="s">
        <v>344</v>
      </c>
      <c r="F255" s="845">
        <v>2</v>
      </c>
      <c r="G255" s="597"/>
      <c r="H255" s="597"/>
      <c r="I255" s="597">
        <v>5.1189999999999998</v>
      </c>
      <c r="J255" s="597">
        <v>5.0374000923327564</v>
      </c>
      <c r="K255" s="597">
        <v>4.9479489887802268</v>
      </c>
      <c r="L255" s="597">
        <v>4.8219218497023757</v>
      </c>
      <c r="M255" s="598">
        <v>4.3897145537578854</v>
      </c>
      <c r="N255" s="598">
        <v>3.9826036293961433</v>
      </c>
      <c r="O255" s="598">
        <v>3.8711610739977664</v>
      </c>
      <c r="P255" s="598">
        <v>3.75971851859939</v>
      </c>
      <c r="Q255" s="598">
        <v>3.6482759632010153</v>
      </c>
      <c r="R255" s="598">
        <v>3.5878225130984065</v>
      </c>
      <c r="S255" s="598">
        <v>3.5783581682915639</v>
      </c>
      <c r="T255" s="598">
        <v>3.568893823484721</v>
      </c>
      <c r="U255" s="598">
        <v>3.5594294786778784</v>
      </c>
      <c r="V255" s="598">
        <v>3.5499651338710336</v>
      </c>
      <c r="W255" s="598">
        <v>3.5405007890641911</v>
      </c>
      <c r="X255" s="598">
        <v>3.5310364442573481</v>
      </c>
      <c r="Y255" s="598">
        <v>3.5215720994505051</v>
      </c>
      <c r="Z255" s="598">
        <v>3.5121077546436621</v>
      </c>
      <c r="AA255" s="598">
        <v>3.5026434098368195</v>
      </c>
      <c r="AB255" s="598">
        <v>3.4931790650299765</v>
      </c>
      <c r="AC255" s="598">
        <v>3.4846825962624384</v>
      </c>
      <c r="AD255" s="598">
        <v>3.4761861274949006</v>
      </c>
      <c r="AE255" s="598">
        <v>3.4676896587273625</v>
      </c>
      <c r="AF255" s="598">
        <v>3.4591931899598238</v>
      </c>
      <c r="AG255" s="598">
        <v>3.4506967211922861</v>
      </c>
      <c r="AH255" s="598">
        <v>3.4422002524247479</v>
      </c>
      <c r="AI255" s="598">
        <v>3.4337037836572093</v>
      </c>
      <c r="AJ255" s="598">
        <v>3.4252073148896711</v>
      </c>
      <c r="AK255" s="598">
        <v>3.4167108461221334</v>
      </c>
      <c r="AL255" s="598"/>
      <c r="AM255" s="598"/>
      <c r="AN255" s="598"/>
      <c r="AO255" s="598"/>
      <c r="AP255" s="598"/>
      <c r="AQ255" s="598"/>
      <c r="AR255" s="598"/>
      <c r="AS255" s="598"/>
      <c r="AT255" s="598"/>
      <c r="AU255" s="598"/>
      <c r="AV255" s="598"/>
      <c r="AW255" s="598"/>
      <c r="AX255" s="598"/>
      <c r="AY255" s="598"/>
      <c r="AZ255" s="598"/>
      <c r="BA255" s="598"/>
      <c r="BB255" s="598"/>
      <c r="BC255" s="598"/>
      <c r="BD255" s="598"/>
      <c r="BE255" s="598"/>
      <c r="BF255" s="598"/>
      <c r="BG255" s="598"/>
      <c r="BH255" s="598"/>
      <c r="BI255" s="598"/>
      <c r="BJ255" s="598"/>
      <c r="BK255" s="598"/>
      <c r="BL255" s="598"/>
      <c r="BM255" s="598"/>
      <c r="BN255" s="598"/>
      <c r="BO255" s="598"/>
      <c r="BP255" s="598"/>
      <c r="BQ255" s="598"/>
      <c r="BR255" s="598"/>
      <c r="BS255" s="598"/>
      <c r="BT255" s="598"/>
      <c r="BU255" s="598"/>
      <c r="BV255" s="598"/>
      <c r="BW255" s="598"/>
      <c r="BX255" s="598"/>
      <c r="BY255" s="598"/>
      <c r="BZ255" s="598"/>
      <c r="CA255" s="598"/>
      <c r="CB255" s="598"/>
      <c r="CC255" s="598"/>
      <c r="CD255" s="598"/>
      <c r="CE255" s="598"/>
      <c r="CF255" s="598"/>
      <c r="CG255" s="598"/>
      <c r="CH255" s="598"/>
      <c r="CI255" s="599"/>
      <c r="CK255" s="1293"/>
    </row>
    <row r="256" spans="1:89" s="1292" customFormat="1" x14ac:dyDescent="0.2">
      <c r="A256" s="1284"/>
      <c r="B256" s="859" t="s">
        <v>562</v>
      </c>
      <c r="C256" s="860" t="s">
        <v>563</v>
      </c>
      <c r="D256" s="858" t="s">
        <v>86</v>
      </c>
      <c r="E256" s="844" t="s">
        <v>344</v>
      </c>
      <c r="F256" s="845">
        <v>2</v>
      </c>
      <c r="G256" s="597"/>
      <c r="H256" s="597"/>
      <c r="I256" s="597">
        <v>0.17</v>
      </c>
      <c r="J256" s="597">
        <v>0.16719211552061083</v>
      </c>
      <c r="K256" s="597">
        <v>0.16422321907314302</v>
      </c>
      <c r="L256" s="597">
        <v>0.16004035815099646</v>
      </c>
      <c r="M256" s="598">
        <v>0.14569532880492786</v>
      </c>
      <c r="N256" s="598">
        <v>0.13218325204946199</v>
      </c>
      <c r="O256" s="598">
        <v>0.12848445579453735</v>
      </c>
      <c r="P256" s="598">
        <v>0.12478565953961271</v>
      </c>
      <c r="Q256" s="598">
        <v>0.12108686328468814</v>
      </c>
      <c r="R256" s="598">
        <v>0.11908040359756523</v>
      </c>
      <c r="S256" s="598">
        <v>0.11876628047824402</v>
      </c>
      <c r="T256" s="598">
        <v>0.1184521573589228</v>
      </c>
      <c r="U256" s="598">
        <v>0.11813803423960158</v>
      </c>
      <c r="V256" s="598">
        <v>0.1178239111202803</v>
      </c>
      <c r="W256" s="598">
        <v>0.1175097880009591</v>
      </c>
      <c r="X256" s="598">
        <v>0.11719566488163786</v>
      </c>
      <c r="Y256" s="598">
        <v>0.11688154176231665</v>
      </c>
      <c r="Z256" s="598">
        <v>0.11656741864299544</v>
      </c>
      <c r="AA256" s="598">
        <v>0.11625329552367421</v>
      </c>
      <c r="AB256" s="598">
        <v>0.115939172404353</v>
      </c>
      <c r="AC256" s="598">
        <v>0.11565717324572716</v>
      </c>
      <c r="AD256" s="598">
        <v>0.11537517408710134</v>
      </c>
      <c r="AE256" s="598">
        <v>0.11509317492847553</v>
      </c>
      <c r="AF256" s="598">
        <v>0.11481117576984969</v>
      </c>
      <c r="AG256" s="598">
        <v>0.11452917661122386</v>
      </c>
      <c r="AH256" s="598">
        <v>0.11424717745259802</v>
      </c>
      <c r="AI256" s="598">
        <v>0.11396517829397221</v>
      </c>
      <c r="AJ256" s="598">
        <v>0.11368317913534638</v>
      </c>
      <c r="AK256" s="598">
        <v>0.11340117997672054</v>
      </c>
      <c r="AL256" s="598"/>
      <c r="AM256" s="598"/>
      <c r="AN256" s="598"/>
      <c r="AO256" s="598"/>
      <c r="AP256" s="598"/>
      <c r="AQ256" s="598"/>
      <c r="AR256" s="598"/>
      <c r="AS256" s="598"/>
      <c r="AT256" s="598"/>
      <c r="AU256" s="598"/>
      <c r="AV256" s="598"/>
      <c r="AW256" s="598"/>
      <c r="AX256" s="598"/>
      <c r="AY256" s="598"/>
      <c r="AZ256" s="598"/>
      <c r="BA256" s="598"/>
      <c r="BB256" s="598"/>
      <c r="BC256" s="598"/>
      <c r="BD256" s="598"/>
      <c r="BE256" s="598"/>
      <c r="BF256" s="598"/>
      <c r="BG256" s="598"/>
      <c r="BH256" s="598"/>
      <c r="BI256" s="598"/>
      <c r="BJ256" s="598"/>
      <c r="BK256" s="598"/>
      <c r="BL256" s="598"/>
      <c r="BM256" s="598"/>
      <c r="BN256" s="598"/>
      <c r="BO256" s="598"/>
      <c r="BP256" s="598"/>
      <c r="BQ256" s="598"/>
      <c r="BR256" s="598"/>
      <c r="BS256" s="598"/>
      <c r="BT256" s="598"/>
      <c r="BU256" s="598"/>
      <c r="BV256" s="598"/>
      <c r="BW256" s="598"/>
      <c r="BX256" s="598"/>
      <c r="BY256" s="598"/>
      <c r="BZ256" s="598"/>
      <c r="CA256" s="598"/>
      <c r="CB256" s="598"/>
      <c r="CC256" s="598"/>
      <c r="CD256" s="598"/>
      <c r="CE256" s="598"/>
      <c r="CF256" s="598"/>
      <c r="CG256" s="598"/>
      <c r="CH256" s="598"/>
      <c r="CI256" s="599"/>
      <c r="CK256" s="1293"/>
    </row>
    <row r="257" spans="1:89" s="1292" customFormat="1" ht="29.25" thickBot="1" x14ac:dyDescent="0.25">
      <c r="A257" s="1284"/>
      <c r="B257" s="861" t="s">
        <v>564</v>
      </c>
      <c r="C257" s="862" t="s">
        <v>565</v>
      </c>
      <c r="D257" s="863" t="s">
        <v>566</v>
      </c>
      <c r="E257" s="864" t="s">
        <v>344</v>
      </c>
      <c r="F257" s="865">
        <v>2</v>
      </c>
      <c r="G257" s="559">
        <f>SUM(G244:G247)+G254+G255+G256</f>
        <v>0</v>
      </c>
      <c r="H257" s="559">
        <f t="shared" ref="H257:AK257" si="77">SUM(H244:H247)+H254+H255+H256</f>
        <v>0</v>
      </c>
      <c r="I257" s="559">
        <f t="shared" si="77"/>
        <v>19.716999999999999</v>
      </c>
      <c r="J257" s="559">
        <f t="shared" si="77"/>
        <v>19.964496277617133</v>
      </c>
      <c r="K257" s="559">
        <f t="shared" si="77"/>
        <v>20.179235035530695</v>
      </c>
      <c r="L257" s="559">
        <f t="shared" si="77"/>
        <v>20.371897322044287</v>
      </c>
      <c r="M257" s="559">
        <f t="shared" si="77"/>
        <v>20.536007058329815</v>
      </c>
      <c r="N257" s="559">
        <f t="shared" si="77"/>
        <v>20.826500263832276</v>
      </c>
      <c r="O257" s="559">
        <f t="shared" si="77"/>
        <v>21.094024878362514</v>
      </c>
      <c r="P257" s="559">
        <f t="shared" si="77"/>
        <v>21.271498389108341</v>
      </c>
      <c r="Q257" s="559">
        <f t="shared" si="77"/>
        <v>21.42135010725292</v>
      </c>
      <c r="R257" s="559">
        <f t="shared" si="77"/>
        <v>21.568773065996865</v>
      </c>
      <c r="S257" s="559">
        <f t="shared" si="77"/>
        <v>21.711170866198074</v>
      </c>
      <c r="T257" s="559">
        <f t="shared" si="77"/>
        <v>21.852199742608072</v>
      </c>
      <c r="U257" s="559">
        <f t="shared" si="77"/>
        <v>21.992379807981372</v>
      </c>
      <c r="V257" s="559">
        <f t="shared" si="77"/>
        <v>22.132369893134452</v>
      </c>
      <c r="W257" s="559">
        <f t="shared" si="77"/>
        <v>22.271432697054106</v>
      </c>
      <c r="X257" s="559">
        <f t="shared" si="77"/>
        <v>22.410426802990692</v>
      </c>
      <c r="Y257" s="559">
        <f t="shared" si="77"/>
        <v>22.547817344245555</v>
      </c>
      <c r="Z257" s="559">
        <f t="shared" si="77"/>
        <v>22.681363355574785</v>
      </c>
      <c r="AA257" s="559">
        <f t="shared" si="77"/>
        <v>22.813444983272657</v>
      </c>
      <c r="AB257" s="559">
        <f t="shared" si="77"/>
        <v>22.9437047717878</v>
      </c>
      <c r="AC257" s="559">
        <f t="shared" si="77"/>
        <v>23.071006829160183</v>
      </c>
      <c r="AD257" s="559">
        <f t="shared" si="77"/>
        <v>23.195674161897962</v>
      </c>
      <c r="AE257" s="559">
        <f t="shared" si="77"/>
        <v>23.320163457023106</v>
      </c>
      <c r="AF257" s="559">
        <f t="shared" si="77"/>
        <v>23.443337328540895</v>
      </c>
      <c r="AG257" s="559">
        <f t="shared" si="77"/>
        <v>23.565071108570361</v>
      </c>
      <c r="AH257" s="559">
        <f t="shared" si="77"/>
        <v>23.684530148477624</v>
      </c>
      <c r="AI257" s="559">
        <f t="shared" si="77"/>
        <v>23.800741651163975</v>
      </c>
      <c r="AJ257" s="559">
        <f t="shared" si="77"/>
        <v>23.913908619273133</v>
      </c>
      <c r="AK257" s="559">
        <f t="shared" si="77"/>
        <v>24.024770531589951</v>
      </c>
      <c r="AL257" s="559"/>
      <c r="AM257" s="559"/>
      <c r="AN257" s="559"/>
      <c r="AO257" s="559"/>
      <c r="AP257" s="559"/>
      <c r="AQ257" s="559"/>
      <c r="AR257" s="559"/>
      <c r="AS257" s="559"/>
      <c r="AT257" s="559"/>
      <c r="AU257" s="559"/>
      <c r="AV257" s="559"/>
      <c r="AW257" s="559"/>
      <c r="AX257" s="559"/>
      <c r="AY257" s="559"/>
      <c r="AZ257" s="559"/>
      <c r="BA257" s="559"/>
      <c r="BB257" s="559"/>
      <c r="BC257" s="559"/>
      <c r="BD257" s="559"/>
      <c r="BE257" s="559"/>
      <c r="BF257" s="559"/>
      <c r="BG257" s="559"/>
      <c r="BH257" s="559"/>
      <c r="BI257" s="559"/>
      <c r="BJ257" s="559"/>
      <c r="BK257" s="559"/>
      <c r="BL257" s="559"/>
      <c r="BM257" s="559"/>
      <c r="BN257" s="559"/>
      <c r="BO257" s="559"/>
      <c r="BP257" s="559"/>
      <c r="BQ257" s="559"/>
      <c r="BR257" s="559"/>
      <c r="BS257" s="559"/>
      <c r="BT257" s="559"/>
      <c r="BU257" s="559"/>
      <c r="BV257" s="559"/>
      <c r="BW257" s="559"/>
      <c r="BX257" s="559"/>
      <c r="BY257" s="559"/>
      <c r="BZ257" s="559"/>
      <c r="CA257" s="559"/>
      <c r="CB257" s="559"/>
      <c r="CC257" s="559"/>
      <c r="CD257" s="559"/>
      <c r="CE257" s="559"/>
      <c r="CF257" s="559"/>
      <c r="CG257" s="559"/>
      <c r="CH257" s="559"/>
      <c r="CI257" s="559"/>
      <c r="CK257" s="1293"/>
    </row>
    <row r="258" spans="1:89" s="1292" customFormat="1" x14ac:dyDescent="0.2">
      <c r="A258" s="1284"/>
      <c r="B258" s="814" t="s">
        <v>567</v>
      </c>
      <c r="C258" s="815" t="s">
        <v>568</v>
      </c>
      <c r="D258" s="816" t="s">
        <v>86</v>
      </c>
      <c r="E258" s="866" t="s">
        <v>344</v>
      </c>
      <c r="F258" s="867">
        <v>2</v>
      </c>
      <c r="G258" s="593"/>
      <c r="H258" s="593"/>
      <c r="I258" s="593">
        <v>0.75004709999999997</v>
      </c>
      <c r="J258" s="593">
        <v>0.76485304518235242</v>
      </c>
      <c r="K258" s="593">
        <v>0.77913346278161477</v>
      </c>
      <c r="L258" s="593">
        <v>0.7940257761684264</v>
      </c>
      <c r="M258" s="594">
        <v>0.80531354873848082</v>
      </c>
      <c r="N258" s="594">
        <v>0.81993279335439173</v>
      </c>
      <c r="O258" s="594">
        <v>0.83736629273190133</v>
      </c>
      <c r="P258" s="594">
        <v>0.85358580067965872</v>
      </c>
      <c r="Q258" s="594">
        <v>0.86979782546943285</v>
      </c>
      <c r="R258" s="594">
        <v>0.88422575835994177</v>
      </c>
      <c r="S258" s="594">
        <v>0.906588282207624</v>
      </c>
      <c r="T258" s="594">
        <v>0.92847044918435573</v>
      </c>
      <c r="U258" s="594">
        <v>0.94528501550694866</v>
      </c>
      <c r="V258" s="594">
        <v>0.95962999171763996</v>
      </c>
      <c r="W258" s="594">
        <v>0.97167350171046751</v>
      </c>
      <c r="X258" s="594">
        <v>0.98360087011589992</v>
      </c>
      <c r="Y258" s="594">
        <v>0.99493297024685745</v>
      </c>
      <c r="Z258" s="594">
        <v>1.0067830944613747</v>
      </c>
      <c r="AA258" s="594">
        <v>1.0178145842173048</v>
      </c>
      <c r="AB258" s="594">
        <v>1.0297527493130523</v>
      </c>
      <c r="AC258" s="594">
        <v>1.0425971916955596</v>
      </c>
      <c r="AD258" s="594">
        <v>1.0571088667671023</v>
      </c>
      <c r="AE258" s="594">
        <v>1.0728758466281196</v>
      </c>
      <c r="AF258" s="594">
        <v>1.0897311503751796</v>
      </c>
      <c r="AG258" s="594">
        <v>1.1080745316056322</v>
      </c>
      <c r="AH258" s="594">
        <v>1.1267743770670622</v>
      </c>
      <c r="AI258" s="594">
        <v>1.1450898468211947</v>
      </c>
      <c r="AJ258" s="594">
        <v>1.1635207993134922</v>
      </c>
      <c r="AK258" s="594">
        <v>1.1818889861553523</v>
      </c>
      <c r="AL258" s="594"/>
      <c r="AM258" s="594"/>
      <c r="AN258" s="594"/>
      <c r="AO258" s="594"/>
      <c r="AP258" s="594"/>
      <c r="AQ258" s="594"/>
      <c r="AR258" s="594"/>
      <c r="AS258" s="594"/>
      <c r="AT258" s="594"/>
      <c r="AU258" s="594"/>
      <c r="AV258" s="594"/>
      <c r="AW258" s="594"/>
      <c r="AX258" s="594"/>
      <c r="AY258" s="594"/>
      <c r="AZ258" s="594"/>
      <c r="BA258" s="594"/>
      <c r="BB258" s="594"/>
      <c r="BC258" s="594"/>
      <c r="BD258" s="594"/>
      <c r="BE258" s="594"/>
      <c r="BF258" s="594"/>
      <c r="BG258" s="594"/>
      <c r="BH258" s="594"/>
      <c r="BI258" s="594"/>
      <c r="BJ258" s="594"/>
      <c r="BK258" s="594"/>
      <c r="BL258" s="594"/>
      <c r="BM258" s="594"/>
      <c r="BN258" s="594"/>
      <c r="BO258" s="594"/>
      <c r="BP258" s="594"/>
      <c r="BQ258" s="594"/>
      <c r="BR258" s="594"/>
      <c r="BS258" s="594"/>
      <c r="BT258" s="594"/>
      <c r="BU258" s="594"/>
      <c r="BV258" s="594"/>
      <c r="BW258" s="594"/>
      <c r="BX258" s="594"/>
      <c r="BY258" s="594"/>
      <c r="BZ258" s="594"/>
      <c r="CA258" s="594"/>
      <c r="CB258" s="594"/>
      <c r="CC258" s="594"/>
      <c r="CD258" s="594"/>
      <c r="CE258" s="594"/>
      <c r="CF258" s="594"/>
      <c r="CG258" s="594"/>
      <c r="CH258" s="594"/>
      <c r="CI258" s="595"/>
      <c r="CK258" s="1293"/>
    </row>
    <row r="259" spans="1:89" s="1292" customFormat="1" x14ac:dyDescent="0.2">
      <c r="A259" s="1284"/>
      <c r="B259" s="824" t="s">
        <v>569</v>
      </c>
      <c r="C259" s="825" t="s">
        <v>570</v>
      </c>
      <c r="D259" s="821" t="s">
        <v>86</v>
      </c>
      <c r="E259" s="868" t="s">
        <v>344</v>
      </c>
      <c r="F259" s="869">
        <v>2</v>
      </c>
      <c r="G259" s="597"/>
      <c r="H259" s="597"/>
      <c r="I259" s="597">
        <v>0</v>
      </c>
      <c r="J259" s="597">
        <v>0</v>
      </c>
      <c r="K259" s="597">
        <v>0</v>
      </c>
      <c r="L259" s="597">
        <v>0</v>
      </c>
      <c r="M259" s="598">
        <v>0</v>
      </c>
      <c r="N259" s="598">
        <v>0</v>
      </c>
      <c r="O259" s="598">
        <v>0</v>
      </c>
      <c r="P259" s="598">
        <v>0</v>
      </c>
      <c r="Q259" s="598">
        <v>0</v>
      </c>
      <c r="R259" s="598">
        <v>0</v>
      </c>
      <c r="S259" s="598">
        <v>0</v>
      </c>
      <c r="T259" s="598">
        <v>0</v>
      </c>
      <c r="U259" s="598">
        <v>0</v>
      </c>
      <c r="V259" s="598">
        <v>0</v>
      </c>
      <c r="W259" s="598">
        <v>0</v>
      </c>
      <c r="X259" s="598">
        <v>0</v>
      </c>
      <c r="Y259" s="598">
        <v>0</v>
      </c>
      <c r="Z259" s="598">
        <v>0</v>
      </c>
      <c r="AA259" s="598">
        <v>0</v>
      </c>
      <c r="AB259" s="598">
        <v>0</v>
      </c>
      <c r="AC259" s="598">
        <v>0</v>
      </c>
      <c r="AD259" s="598">
        <v>0</v>
      </c>
      <c r="AE259" s="598">
        <v>0</v>
      </c>
      <c r="AF259" s="598">
        <v>0</v>
      </c>
      <c r="AG259" s="598">
        <v>0</v>
      </c>
      <c r="AH259" s="598">
        <v>0</v>
      </c>
      <c r="AI259" s="598">
        <v>0</v>
      </c>
      <c r="AJ259" s="598">
        <v>0</v>
      </c>
      <c r="AK259" s="598">
        <v>0</v>
      </c>
      <c r="AL259" s="598"/>
      <c r="AM259" s="598"/>
      <c r="AN259" s="598"/>
      <c r="AO259" s="598"/>
      <c r="AP259" s="598"/>
      <c r="AQ259" s="598"/>
      <c r="AR259" s="598"/>
      <c r="AS259" s="598"/>
      <c r="AT259" s="598"/>
      <c r="AU259" s="598"/>
      <c r="AV259" s="598"/>
      <c r="AW259" s="598"/>
      <c r="AX259" s="598"/>
      <c r="AY259" s="598"/>
      <c r="AZ259" s="598"/>
      <c r="BA259" s="598"/>
      <c r="BB259" s="598"/>
      <c r="BC259" s="598"/>
      <c r="BD259" s="598"/>
      <c r="BE259" s="598"/>
      <c r="BF259" s="598"/>
      <c r="BG259" s="598"/>
      <c r="BH259" s="598"/>
      <c r="BI259" s="598"/>
      <c r="BJ259" s="598"/>
      <c r="BK259" s="598"/>
      <c r="BL259" s="598"/>
      <c r="BM259" s="598"/>
      <c r="BN259" s="598"/>
      <c r="BO259" s="598"/>
      <c r="BP259" s="598"/>
      <c r="BQ259" s="598"/>
      <c r="BR259" s="598"/>
      <c r="BS259" s="598"/>
      <c r="BT259" s="598"/>
      <c r="BU259" s="598"/>
      <c r="BV259" s="598"/>
      <c r="BW259" s="598"/>
      <c r="BX259" s="598"/>
      <c r="BY259" s="598"/>
      <c r="BZ259" s="598"/>
      <c r="CA259" s="598"/>
      <c r="CB259" s="598"/>
      <c r="CC259" s="598"/>
      <c r="CD259" s="598"/>
      <c r="CE259" s="598"/>
      <c r="CF259" s="598"/>
      <c r="CG259" s="598"/>
      <c r="CH259" s="598"/>
      <c r="CI259" s="599"/>
      <c r="CK259" s="1293"/>
    </row>
    <row r="260" spans="1:89" s="1292" customFormat="1" x14ac:dyDescent="0.2">
      <c r="A260" s="1284"/>
      <c r="B260" s="819" t="s">
        <v>571</v>
      </c>
      <c r="C260" s="870" t="s">
        <v>572</v>
      </c>
      <c r="D260" s="821" t="s">
        <v>86</v>
      </c>
      <c r="E260" s="868" t="s">
        <v>344</v>
      </c>
      <c r="F260" s="869">
        <v>2</v>
      </c>
      <c r="G260" s="597"/>
      <c r="H260" s="597"/>
      <c r="I260" s="597">
        <v>25.073009140228393</v>
      </c>
      <c r="J260" s="597">
        <v>25.485286373423534</v>
      </c>
      <c r="K260" s="597">
        <v>25.926209882222736</v>
      </c>
      <c r="L260" s="597">
        <v>26.23707778703092</v>
      </c>
      <c r="M260" s="598">
        <v>27.125377258642157</v>
      </c>
      <c r="N260" s="598">
        <v>28.336643237814876</v>
      </c>
      <c r="O260" s="598">
        <v>28.919212924292786</v>
      </c>
      <c r="P260" s="598">
        <v>29.309293862491952</v>
      </c>
      <c r="Q260" s="598">
        <v>29.649559608636345</v>
      </c>
      <c r="R260" s="598">
        <v>29.892941783392626</v>
      </c>
      <c r="S260" s="598">
        <v>30.050850604180912</v>
      </c>
      <c r="T260" s="598">
        <v>30.217791873712589</v>
      </c>
      <c r="U260" s="598">
        <v>30.37586300903893</v>
      </c>
      <c r="V260" s="598">
        <v>30.533298471847189</v>
      </c>
      <c r="W260" s="598">
        <v>30.700200998091059</v>
      </c>
      <c r="X260" s="598">
        <v>30.862243859743387</v>
      </c>
      <c r="Y260" s="598">
        <v>31.03548444787754</v>
      </c>
      <c r="Z260" s="598">
        <v>31.2150760718669</v>
      </c>
      <c r="AA260" s="598">
        <v>31.379382112702157</v>
      </c>
      <c r="AB260" s="598">
        <v>31.532874508780278</v>
      </c>
      <c r="AC260" s="598">
        <v>31.695430881543476</v>
      </c>
      <c r="AD260" s="598">
        <v>31.861859656730971</v>
      </c>
      <c r="AE260" s="598">
        <v>32.03577290693886</v>
      </c>
      <c r="AF260" s="598">
        <v>32.21403570117792</v>
      </c>
      <c r="AG260" s="598">
        <v>32.39104496029158</v>
      </c>
      <c r="AH260" s="598">
        <v>32.568266677539143</v>
      </c>
      <c r="AI260" s="598">
        <v>32.75381100135143</v>
      </c>
      <c r="AJ260" s="598">
        <v>32.948304551048068</v>
      </c>
      <c r="AK260" s="598">
        <v>33.14763843183151</v>
      </c>
      <c r="AL260" s="598"/>
      <c r="AM260" s="598"/>
      <c r="AN260" s="598"/>
      <c r="AO260" s="598"/>
      <c r="AP260" s="598"/>
      <c r="AQ260" s="598"/>
      <c r="AR260" s="598"/>
      <c r="AS260" s="598"/>
      <c r="AT260" s="598"/>
      <c r="AU260" s="598"/>
      <c r="AV260" s="598"/>
      <c r="AW260" s="598"/>
      <c r="AX260" s="598"/>
      <c r="AY260" s="598"/>
      <c r="AZ260" s="598"/>
      <c r="BA260" s="598"/>
      <c r="BB260" s="598"/>
      <c r="BC260" s="598"/>
      <c r="BD260" s="598"/>
      <c r="BE260" s="598"/>
      <c r="BF260" s="598"/>
      <c r="BG260" s="598"/>
      <c r="BH260" s="598"/>
      <c r="BI260" s="598"/>
      <c r="BJ260" s="598"/>
      <c r="BK260" s="598"/>
      <c r="BL260" s="598"/>
      <c r="BM260" s="598"/>
      <c r="BN260" s="598"/>
      <c r="BO260" s="598"/>
      <c r="BP260" s="598"/>
      <c r="BQ260" s="598"/>
      <c r="BR260" s="598"/>
      <c r="BS260" s="598"/>
      <c r="BT260" s="598"/>
      <c r="BU260" s="598"/>
      <c r="BV260" s="598"/>
      <c r="BW260" s="598"/>
      <c r="BX260" s="598"/>
      <c r="BY260" s="598"/>
      <c r="BZ260" s="598"/>
      <c r="CA260" s="598"/>
      <c r="CB260" s="598"/>
      <c r="CC260" s="598"/>
      <c r="CD260" s="598"/>
      <c r="CE260" s="598"/>
      <c r="CF260" s="598"/>
      <c r="CG260" s="598"/>
      <c r="CH260" s="598"/>
      <c r="CI260" s="599"/>
      <c r="CK260" s="1293"/>
    </row>
    <row r="261" spans="1:89" s="1292" customFormat="1" x14ac:dyDescent="0.2">
      <c r="A261" s="1284"/>
      <c r="B261" s="819" t="s">
        <v>573</v>
      </c>
      <c r="C261" s="870" t="s">
        <v>574</v>
      </c>
      <c r="D261" s="821" t="s">
        <v>86</v>
      </c>
      <c r="E261" s="868" t="s">
        <v>344</v>
      </c>
      <c r="F261" s="869">
        <v>2</v>
      </c>
      <c r="G261" s="597"/>
      <c r="H261" s="597"/>
      <c r="I261" s="597">
        <v>10.705554645177358</v>
      </c>
      <c r="J261" s="597">
        <v>10.548472359038122</v>
      </c>
      <c r="K261" s="597">
        <v>10.373950670200323</v>
      </c>
      <c r="L261" s="597">
        <v>10.126142073820025</v>
      </c>
      <c r="M261" s="598">
        <v>9.2720344428746166</v>
      </c>
      <c r="N261" s="598">
        <v>8.4641178051952028</v>
      </c>
      <c r="O261" s="598">
        <v>8.236678398689433</v>
      </c>
      <c r="P261" s="598">
        <v>8.008381138488625</v>
      </c>
      <c r="Q261" s="598">
        <v>7.7792485646278777</v>
      </c>
      <c r="R261" s="598">
        <v>7.650045272873899</v>
      </c>
      <c r="S261" s="598">
        <v>7.6209895656710351</v>
      </c>
      <c r="T261" s="598">
        <v>7.5915966470329588</v>
      </c>
      <c r="U261" s="598">
        <v>7.5619397557055228</v>
      </c>
      <c r="V261" s="598">
        <v>7.532002313831315</v>
      </c>
      <c r="W261" s="598">
        <v>7.5018229060049064</v>
      </c>
      <c r="X261" s="598">
        <v>7.4714919899724785</v>
      </c>
      <c r="Y261" s="598">
        <v>7.4410012839595225</v>
      </c>
      <c r="Z261" s="598">
        <v>7.4104154455488223</v>
      </c>
      <c r="AA261" s="598">
        <v>7.3797976732038792</v>
      </c>
      <c r="AB261" s="598">
        <v>7.3491100704374297</v>
      </c>
      <c r="AC261" s="598">
        <v>7.3183296402241762</v>
      </c>
      <c r="AD261" s="598">
        <v>7.2875627601821824</v>
      </c>
      <c r="AE261" s="598">
        <v>7.2568506708347869</v>
      </c>
      <c r="AF261" s="598">
        <v>7.2262254232981276</v>
      </c>
      <c r="AG261" s="598">
        <v>7.1957154140578412</v>
      </c>
      <c r="AH261" s="598">
        <v>7.165328047555775</v>
      </c>
      <c r="AI261" s="598">
        <v>7.1350795805527927</v>
      </c>
      <c r="AJ261" s="598">
        <v>7.1050207993403038</v>
      </c>
      <c r="AK261" s="598">
        <v>7.0752033421637632</v>
      </c>
      <c r="AL261" s="598"/>
      <c r="AM261" s="598"/>
      <c r="AN261" s="598"/>
      <c r="AO261" s="598"/>
      <c r="AP261" s="598"/>
      <c r="AQ261" s="598"/>
      <c r="AR261" s="598"/>
      <c r="AS261" s="598"/>
      <c r="AT261" s="598"/>
      <c r="AU261" s="598"/>
      <c r="AV261" s="598"/>
      <c r="AW261" s="598"/>
      <c r="AX261" s="598"/>
      <c r="AY261" s="598"/>
      <c r="AZ261" s="598"/>
      <c r="BA261" s="598"/>
      <c r="BB261" s="598"/>
      <c r="BC261" s="598"/>
      <c r="BD261" s="598"/>
      <c r="BE261" s="598"/>
      <c r="BF261" s="598"/>
      <c r="BG261" s="598"/>
      <c r="BH261" s="598"/>
      <c r="BI261" s="598"/>
      <c r="BJ261" s="598"/>
      <c r="BK261" s="598"/>
      <c r="BL261" s="598"/>
      <c r="BM261" s="598"/>
      <c r="BN261" s="598"/>
      <c r="BO261" s="598"/>
      <c r="BP261" s="598"/>
      <c r="BQ261" s="598"/>
      <c r="BR261" s="598"/>
      <c r="BS261" s="598"/>
      <c r="BT261" s="598"/>
      <c r="BU261" s="598"/>
      <c r="BV261" s="598"/>
      <c r="BW261" s="598"/>
      <c r="BX261" s="598"/>
      <c r="BY261" s="598"/>
      <c r="BZ261" s="598"/>
      <c r="CA261" s="598"/>
      <c r="CB261" s="598"/>
      <c r="CC261" s="598"/>
      <c r="CD261" s="598"/>
      <c r="CE261" s="598"/>
      <c r="CF261" s="598"/>
      <c r="CG261" s="598"/>
      <c r="CH261" s="598"/>
      <c r="CI261" s="599"/>
      <c r="CK261" s="1293"/>
    </row>
    <row r="262" spans="1:89" s="1292" customFormat="1" x14ac:dyDescent="0.2">
      <c r="A262" s="1284"/>
      <c r="B262" s="871" t="s">
        <v>575</v>
      </c>
      <c r="C262" s="870" t="s">
        <v>576</v>
      </c>
      <c r="D262" s="872" t="s">
        <v>577</v>
      </c>
      <c r="E262" s="868" t="s">
        <v>344</v>
      </c>
      <c r="F262" s="869">
        <v>2</v>
      </c>
      <c r="G262" s="547">
        <f>SUM(G258:G261)</f>
        <v>0</v>
      </c>
      <c r="H262" s="547">
        <f t="shared" ref="H262:AK262" si="78">SUM(H258:H261)</f>
        <v>0</v>
      </c>
      <c r="I262" s="547">
        <f t="shared" si="78"/>
        <v>36.528610885405755</v>
      </c>
      <c r="J262" s="547">
        <f t="shared" si="78"/>
        <v>36.798611777644012</v>
      </c>
      <c r="K262" s="547">
        <f t="shared" si="78"/>
        <v>37.079294015204674</v>
      </c>
      <c r="L262" s="547">
        <f t="shared" si="78"/>
        <v>37.157245637019372</v>
      </c>
      <c r="M262" s="552">
        <f t="shared" si="78"/>
        <v>37.202725250255256</v>
      </c>
      <c r="N262" s="552">
        <f t="shared" si="78"/>
        <v>37.620693836364474</v>
      </c>
      <c r="O262" s="552">
        <f t="shared" si="78"/>
        <v>37.993257615714121</v>
      </c>
      <c r="P262" s="552">
        <f t="shared" si="78"/>
        <v>38.171260801660239</v>
      </c>
      <c r="Q262" s="552">
        <f t="shared" si="78"/>
        <v>38.298605998733656</v>
      </c>
      <c r="R262" s="552">
        <f t="shared" si="78"/>
        <v>38.427212814626465</v>
      </c>
      <c r="S262" s="552">
        <f t="shared" si="78"/>
        <v>38.578428452059569</v>
      </c>
      <c r="T262" s="552">
        <f t="shared" si="78"/>
        <v>38.737858969929903</v>
      </c>
      <c r="U262" s="552">
        <f t="shared" si="78"/>
        <v>38.883087780251401</v>
      </c>
      <c r="V262" s="552">
        <f t="shared" si="78"/>
        <v>39.024930777396143</v>
      </c>
      <c r="W262" s="552">
        <f t="shared" si="78"/>
        <v>39.173697405806429</v>
      </c>
      <c r="X262" s="552">
        <f t="shared" si="78"/>
        <v>39.317336719831765</v>
      </c>
      <c r="Y262" s="552">
        <f t="shared" si="78"/>
        <v>39.471418702083923</v>
      </c>
      <c r="Z262" s="552">
        <f t="shared" si="78"/>
        <v>39.632274611877094</v>
      </c>
      <c r="AA262" s="552">
        <f t="shared" si="78"/>
        <v>39.77699437012334</v>
      </c>
      <c r="AB262" s="552">
        <f t="shared" si="78"/>
        <v>39.911737328530762</v>
      </c>
      <c r="AC262" s="552">
        <f t="shared" si="78"/>
        <v>40.056357713463214</v>
      </c>
      <c r="AD262" s="552">
        <f t="shared" si="78"/>
        <v>40.206531283680256</v>
      </c>
      <c r="AE262" s="552">
        <f t="shared" si="78"/>
        <v>40.365499424401769</v>
      </c>
      <c r="AF262" s="552">
        <f t="shared" si="78"/>
        <v>40.529992274851224</v>
      </c>
      <c r="AG262" s="552">
        <f t="shared" si="78"/>
        <v>40.694834905955055</v>
      </c>
      <c r="AH262" s="552">
        <f t="shared" si="78"/>
        <v>40.860369102161982</v>
      </c>
      <c r="AI262" s="552">
        <f t="shared" si="78"/>
        <v>41.033980428725414</v>
      </c>
      <c r="AJ262" s="552">
        <f t="shared" si="78"/>
        <v>41.216846149701865</v>
      </c>
      <c r="AK262" s="552">
        <f t="shared" si="78"/>
        <v>41.40473076015062</v>
      </c>
      <c r="AL262" s="552"/>
      <c r="AM262" s="552"/>
      <c r="AN262" s="552"/>
      <c r="AO262" s="552"/>
      <c r="AP262" s="552"/>
      <c r="AQ262" s="552"/>
      <c r="AR262" s="552"/>
      <c r="AS262" s="552"/>
      <c r="AT262" s="552"/>
      <c r="AU262" s="552"/>
      <c r="AV262" s="552"/>
      <c r="AW262" s="552"/>
      <c r="AX262" s="552"/>
      <c r="AY262" s="552"/>
      <c r="AZ262" s="552"/>
      <c r="BA262" s="552"/>
      <c r="BB262" s="552"/>
      <c r="BC262" s="552"/>
      <c r="BD262" s="552"/>
      <c r="BE262" s="552"/>
      <c r="BF262" s="552"/>
      <c r="BG262" s="552"/>
      <c r="BH262" s="552"/>
      <c r="BI262" s="552"/>
      <c r="BJ262" s="552"/>
      <c r="BK262" s="552"/>
      <c r="BL262" s="552"/>
      <c r="BM262" s="552"/>
      <c r="BN262" s="552"/>
      <c r="BO262" s="552"/>
      <c r="BP262" s="552"/>
      <c r="BQ262" s="552"/>
      <c r="BR262" s="552"/>
      <c r="BS262" s="552"/>
      <c r="BT262" s="552"/>
      <c r="BU262" s="552"/>
      <c r="BV262" s="552"/>
      <c r="BW262" s="552"/>
      <c r="BX262" s="552"/>
      <c r="BY262" s="552"/>
      <c r="BZ262" s="552"/>
      <c r="CA262" s="552"/>
      <c r="CB262" s="552"/>
      <c r="CC262" s="552"/>
      <c r="CD262" s="552"/>
      <c r="CE262" s="552"/>
      <c r="CF262" s="552"/>
      <c r="CG262" s="552"/>
      <c r="CH262" s="552"/>
      <c r="CI262" s="548"/>
      <c r="CK262" s="1293"/>
    </row>
    <row r="263" spans="1:89" s="1292" customFormat="1" ht="28.5" x14ac:dyDescent="0.2">
      <c r="A263" s="1284"/>
      <c r="B263" s="871" t="s">
        <v>578</v>
      </c>
      <c r="C263" s="870" t="s">
        <v>579</v>
      </c>
      <c r="D263" s="872" t="s">
        <v>580</v>
      </c>
      <c r="E263" s="868" t="s">
        <v>581</v>
      </c>
      <c r="F263" s="869">
        <v>1</v>
      </c>
      <c r="G263" s="575" t="e">
        <f>(G261+G260)/(G247+G255)</f>
        <v>#DIV/0!</v>
      </c>
      <c r="H263" s="575" t="e">
        <f t="shared" ref="H263:AK263" si="79">(H261+H260)/(H247+H255)</f>
        <v>#DIV/0!</v>
      </c>
      <c r="I263" s="575">
        <f t="shared" si="79"/>
        <v>2.068125074300911</v>
      </c>
      <c r="J263" s="575">
        <f t="shared" si="79"/>
        <v>2.0553217660215464</v>
      </c>
      <c r="K263" s="575">
        <f t="shared" si="79"/>
        <v>2.0472127247824869</v>
      </c>
      <c r="L263" s="575">
        <f t="shared" si="79"/>
        <v>2.0303631587223658</v>
      </c>
      <c r="M263" s="575">
        <f t="shared" si="79"/>
        <v>2.0153241475084505</v>
      </c>
      <c r="N263" s="575">
        <f t="shared" si="79"/>
        <v>2.0073202658416256</v>
      </c>
      <c r="O263" s="575">
        <f t="shared" si="79"/>
        <v>1.9993535414852481</v>
      </c>
      <c r="P263" s="575">
        <f t="shared" si="79"/>
        <v>1.9905461194518186</v>
      </c>
      <c r="Q263" s="575">
        <f t="shared" si="79"/>
        <v>1.982015020296831</v>
      </c>
      <c r="R263" s="575">
        <f t="shared" si="79"/>
        <v>1.9740115048971862</v>
      </c>
      <c r="S263" s="575">
        <f t="shared" si="79"/>
        <v>1.9673869227358205</v>
      </c>
      <c r="T263" s="575">
        <f t="shared" si="79"/>
        <v>1.9614372471432475</v>
      </c>
      <c r="U263" s="575">
        <f t="shared" si="79"/>
        <v>1.9551782629872863</v>
      </c>
      <c r="V263" s="575">
        <f t="shared" si="79"/>
        <v>1.9489996881848164</v>
      </c>
      <c r="W263" s="575">
        <f t="shared" si="79"/>
        <v>1.9434589366043333</v>
      </c>
      <c r="X263" s="575">
        <f t="shared" si="79"/>
        <v>1.9377419866493433</v>
      </c>
      <c r="Y263" s="575">
        <f t="shared" si="79"/>
        <v>1.9328025111224802</v>
      </c>
      <c r="Z263" s="575">
        <f t="shared" si="79"/>
        <v>1.9285950019980271</v>
      </c>
      <c r="AA263" s="575">
        <f t="shared" si="79"/>
        <v>1.9238130181546891</v>
      </c>
      <c r="AB263" s="575">
        <f t="shared" si="79"/>
        <v>1.9187172656665554</v>
      </c>
      <c r="AC263" s="575">
        <f t="shared" si="79"/>
        <v>1.9143893540502253</v>
      </c>
      <c r="AD263" s="575">
        <f t="shared" si="79"/>
        <v>1.9105372469285857</v>
      </c>
      <c r="AE263" s="575">
        <f t="shared" si="79"/>
        <v>1.9071089317737706</v>
      </c>
      <c r="AF263" s="575">
        <f t="shared" si="79"/>
        <v>1.9040488656801493</v>
      </c>
      <c r="AG263" s="575">
        <f t="shared" si="79"/>
        <v>1.9010939205101116</v>
      </c>
      <c r="AH263" s="575">
        <f t="shared" si="79"/>
        <v>1.8983855321387564</v>
      </c>
      <c r="AI263" s="575">
        <f t="shared" si="79"/>
        <v>1.8963903089170362</v>
      </c>
      <c r="AJ263" s="575">
        <f t="shared" si="79"/>
        <v>1.8951112724757224</v>
      </c>
      <c r="AK263" s="575">
        <f t="shared" si="79"/>
        <v>1.8942827302200875</v>
      </c>
      <c r="AL263" s="575"/>
      <c r="AM263" s="575"/>
      <c r="AN263" s="575"/>
      <c r="AO263" s="575"/>
      <c r="AP263" s="575"/>
      <c r="AQ263" s="575"/>
      <c r="AR263" s="575"/>
      <c r="AS263" s="575"/>
      <c r="AT263" s="575"/>
      <c r="AU263" s="575"/>
      <c r="AV263" s="575"/>
      <c r="AW263" s="575"/>
      <c r="AX263" s="575"/>
      <c r="AY263" s="575"/>
      <c r="AZ263" s="575"/>
      <c r="BA263" s="575"/>
      <c r="BB263" s="575"/>
      <c r="BC263" s="575"/>
      <c r="BD263" s="575"/>
      <c r="BE263" s="575"/>
      <c r="BF263" s="575"/>
      <c r="BG263" s="575"/>
      <c r="BH263" s="575"/>
      <c r="BI263" s="575"/>
      <c r="BJ263" s="575"/>
      <c r="BK263" s="575"/>
      <c r="BL263" s="575"/>
      <c r="BM263" s="575"/>
      <c r="BN263" s="575"/>
      <c r="BO263" s="575"/>
      <c r="BP263" s="575"/>
      <c r="BQ263" s="575"/>
      <c r="BR263" s="575"/>
      <c r="BS263" s="575"/>
      <c r="BT263" s="575"/>
      <c r="BU263" s="575"/>
      <c r="BV263" s="575"/>
      <c r="BW263" s="575"/>
      <c r="BX263" s="575"/>
      <c r="BY263" s="575"/>
      <c r="BZ263" s="575"/>
      <c r="CA263" s="575"/>
      <c r="CB263" s="575"/>
      <c r="CC263" s="575"/>
      <c r="CD263" s="575"/>
      <c r="CE263" s="575"/>
      <c r="CF263" s="575"/>
      <c r="CG263" s="575"/>
      <c r="CH263" s="575"/>
      <c r="CI263" s="575"/>
      <c r="CK263" s="1293"/>
    </row>
    <row r="264" spans="1:89" s="1292" customFormat="1" ht="28.5" x14ac:dyDescent="0.2">
      <c r="A264" s="1284"/>
      <c r="B264" s="871" t="s">
        <v>582</v>
      </c>
      <c r="C264" s="870" t="s">
        <v>583</v>
      </c>
      <c r="D264" s="872" t="s">
        <v>584</v>
      </c>
      <c r="E264" s="868" t="s">
        <v>375</v>
      </c>
      <c r="F264" s="869">
        <v>1</v>
      </c>
      <c r="G264" s="617" t="e">
        <f>G247/(G247+G255)</f>
        <v>#DIV/0!</v>
      </c>
      <c r="H264" s="617" t="e">
        <f t="shared" ref="H264:AK264" si="80">H247/(H247+H255)</f>
        <v>#DIV/0!</v>
      </c>
      <c r="I264" s="617">
        <f t="shared" si="80"/>
        <v>0.70410404624277467</v>
      </c>
      <c r="J264" s="617">
        <f t="shared" si="80"/>
        <v>0.71267282631263917</v>
      </c>
      <c r="K264" s="617">
        <f t="shared" si="80"/>
        <v>0.72095153362264208</v>
      </c>
      <c r="L264" s="617">
        <f t="shared" si="80"/>
        <v>0.73076497308714938</v>
      </c>
      <c r="M264" s="618">
        <f t="shared" si="80"/>
        <v>0.75694157009277441</v>
      </c>
      <c r="N264" s="618">
        <f t="shared" si="80"/>
        <v>0.7827664224998484</v>
      </c>
      <c r="O264" s="618">
        <f t="shared" si="80"/>
        <v>0.7916933404805736</v>
      </c>
      <c r="P264" s="618">
        <f t="shared" si="80"/>
        <v>0.79945446474807158</v>
      </c>
      <c r="Q264" s="618">
        <f t="shared" si="80"/>
        <v>0.80680822846992406</v>
      </c>
      <c r="R264" s="618">
        <f t="shared" si="80"/>
        <v>0.81135217323622033</v>
      </c>
      <c r="S264" s="618">
        <f t="shared" si="80"/>
        <v>0.81312261271495534</v>
      </c>
      <c r="T264" s="618">
        <f t="shared" si="80"/>
        <v>0.81485653298408922</v>
      </c>
      <c r="U264" s="618">
        <f t="shared" si="80"/>
        <v>0.81655977315021411</v>
      </c>
      <c r="V264" s="618">
        <f t="shared" si="80"/>
        <v>0.81823653573795641</v>
      </c>
      <c r="W264" s="618">
        <f t="shared" si="80"/>
        <v>0.81988341989850066</v>
      </c>
      <c r="X264" s="618">
        <f t="shared" si="80"/>
        <v>0.82150872011924758</v>
      </c>
      <c r="Y264" s="618">
        <f t="shared" si="80"/>
        <v>0.82309966028719683</v>
      </c>
      <c r="Z264" s="618">
        <f t="shared" si="80"/>
        <v>0.82463825841464755</v>
      </c>
      <c r="AA264" s="618">
        <f t="shared" si="80"/>
        <v>0.8261461922822193</v>
      </c>
      <c r="AB264" s="618">
        <f t="shared" si="80"/>
        <v>0.82762137641193356</v>
      </c>
      <c r="AC264" s="618">
        <f t="shared" si="80"/>
        <v>0.82900804292355212</v>
      </c>
      <c r="AD264" s="618">
        <f t="shared" si="80"/>
        <v>0.83035808285727675</v>
      </c>
      <c r="AE264" s="618">
        <f t="shared" si="80"/>
        <v>0.83169202464456038</v>
      </c>
      <c r="AF264" s="618">
        <f t="shared" si="80"/>
        <v>0.8330012864589269</v>
      </c>
      <c r="AG264" s="618">
        <f t="shared" si="80"/>
        <v>0.83428554152581014</v>
      </c>
      <c r="AH264" s="618">
        <f t="shared" si="80"/>
        <v>0.83553908970133062</v>
      </c>
      <c r="AI264" s="618">
        <f t="shared" si="80"/>
        <v>0.83675548544904066</v>
      </c>
      <c r="AJ264" s="618">
        <f t="shared" si="80"/>
        <v>0.83793732639602725</v>
      </c>
      <c r="AK264" s="618">
        <f t="shared" si="80"/>
        <v>0.83909102230192967</v>
      </c>
      <c r="AL264" s="618"/>
      <c r="AM264" s="618"/>
      <c r="AN264" s="618"/>
      <c r="AO264" s="618"/>
      <c r="AP264" s="618"/>
      <c r="AQ264" s="618"/>
      <c r="AR264" s="618"/>
      <c r="AS264" s="618"/>
      <c r="AT264" s="618"/>
      <c r="AU264" s="618"/>
      <c r="AV264" s="618"/>
      <c r="AW264" s="618"/>
      <c r="AX264" s="618"/>
      <c r="AY264" s="618"/>
      <c r="AZ264" s="618"/>
      <c r="BA264" s="618"/>
      <c r="BB264" s="618"/>
      <c r="BC264" s="618"/>
      <c r="BD264" s="618"/>
      <c r="BE264" s="618"/>
      <c r="BF264" s="618"/>
      <c r="BG264" s="618"/>
      <c r="BH264" s="618"/>
      <c r="BI264" s="618"/>
      <c r="BJ264" s="618"/>
      <c r="BK264" s="618"/>
      <c r="BL264" s="618"/>
      <c r="BM264" s="618"/>
      <c r="BN264" s="618"/>
      <c r="BO264" s="618"/>
      <c r="BP264" s="618"/>
      <c r="BQ264" s="618"/>
      <c r="BR264" s="618"/>
      <c r="BS264" s="618"/>
      <c r="BT264" s="618"/>
      <c r="BU264" s="618"/>
      <c r="BV264" s="618"/>
      <c r="BW264" s="618"/>
      <c r="BX264" s="618"/>
      <c r="BY264" s="618"/>
      <c r="BZ264" s="618"/>
      <c r="CA264" s="618"/>
      <c r="CB264" s="618"/>
      <c r="CC264" s="618"/>
      <c r="CD264" s="618"/>
      <c r="CE264" s="618"/>
      <c r="CF264" s="618"/>
      <c r="CG264" s="618"/>
      <c r="CH264" s="618"/>
      <c r="CI264" s="619"/>
      <c r="CK264" s="1293"/>
    </row>
    <row r="265" spans="1:89" s="1292" customFormat="1" ht="29.25" thickBot="1" x14ac:dyDescent="0.25">
      <c r="A265" s="1284"/>
      <c r="B265" s="873" t="s">
        <v>585</v>
      </c>
      <c r="C265" s="874" t="s">
        <v>586</v>
      </c>
      <c r="D265" s="875" t="s">
        <v>587</v>
      </c>
      <c r="E265" s="876" t="s">
        <v>375</v>
      </c>
      <c r="F265" s="877">
        <v>1</v>
      </c>
      <c r="G265" s="625" t="e">
        <f>(G247)/(G247+G256+G255+G254)</f>
        <v>#DIV/0!</v>
      </c>
      <c r="H265" s="625" t="e">
        <f t="shared" ref="H265:AK265" si="81">(H247)/(H247+H256+H255+H254)</f>
        <v>#DIV/0!</v>
      </c>
      <c r="I265" s="625">
        <f t="shared" si="81"/>
        <v>0.68156893464637414</v>
      </c>
      <c r="J265" s="625">
        <f t="shared" si="81"/>
        <v>0.68985160674378743</v>
      </c>
      <c r="K265" s="625">
        <f t="shared" si="81"/>
        <v>0.69786606704622556</v>
      </c>
      <c r="L265" s="625">
        <f t="shared" si="81"/>
        <v>0.70736629798540096</v>
      </c>
      <c r="M265" s="625">
        <f t="shared" si="81"/>
        <v>0.73270757006975651</v>
      </c>
      <c r="N265" s="625">
        <f t="shared" si="81"/>
        <v>0.75770851427217989</v>
      </c>
      <c r="O265" s="625">
        <f t="shared" si="81"/>
        <v>0.76635067497556475</v>
      </c>
      <c r="P265" s="625">
        <f t="shared" si="81"/>
        <v>0.77386424782739471</v>
      </c>
      <c r="Q265" s="625">
        <f t="shared" si="81"/>
        <v>0.78098346934570217</v>
      </c>
      <c r="R265" s="625">
        <f t="shared" si="81"/>
        <v>0.78538249649242742</v>
      </c>
      <c r="S265" s="625">
        <f t="shared" si="81"/>
        <v>0.78709647388377135</v>
      </c>
      <c r="T265" s="625">
        <f t="shared" si="81"/>
        <v>0.78877509758971509</v>
      </c>
      <c r="U265" s="625">
        <f t="shared" si="81"/>
        <v>0.79042402045145488</v>
      </c>
      <c r="V265" s="625">
        <f t="shared" si="81"/>
        <v>0.79204731093087644</v>
      </c>
      <c r="W265" s="625">
        <f t="shared" si="81"/>
        <v>0.79364167659200169</v>
      </c>
      <c r="X265" s="625">
        <f t="shared" si="81"/>
        <v>0.79521514737779253</v>
      </c>
      <c r="Y265" s="625">
        <f t="shared" si="81"/>
        <v>0.79675535455564617</v>
      </c>
      <c r="Z265" s="625">
        <f t="shared" si="81"/>
        <v>0.7982448895008184</v>
      </c>
      <c r="AA265" s="625">
        <f t="shared" si="81"/>
        <v>0.79970473867263636</v>
      </c>
      <c r="AB265" s="625">
        <f t="shared" si="81"/>
        <v>0.80113288305340202</v>
      </c>
      <c r="AC265" s="625">
        <f t="shared" si="81"/>
        <v>0.80247533297834273</v>
      </c>
      <c r="AD265" s="625">
        <f t="shared" si="81"/>
        <v>0.80378232476445222</v>
      </c>
      <c r="AE265" s="625">
        <f t="shared" si="81"/>
        <v>0.80507373223113599</v>
      </c>
      <c r="AF265" s="625">
        <f t="shared" si="81"/>
        <v>0.80634124717036337</v>
      </c>
      <c r="AG265" s="625">
        <f t="shared" si="81"/>
        <v>0.80758455319911882</v>
      </c>
      <c r="AH265" s="625">
        <f t="shared" si="81"/>
        <v>0.80879813189445171</v>
      </c>
      <c r="AI265" s="625">
        <f t="shared" si="81"/>
        <v>0.80997574319988874</v>
      </c>
      <c r="AJ265" s="625">
        <f t="shared" si="81"/>
        <v>0.81111990188042737</v>
      </c>
      <c r="AK265" s="625">
        <f t="shared" si="81"/>
        <v>0.81223681329262543</v>
      </c>
      <c r="AL265" s="625"/>
      <c r="AM265" s="625"/>
      <c r="AN265" s="625"/>
      <c r="AO265" s="625"/>
      <c r="AP265" s="625"/>
      <c r="AQ265" s="625"/>
      <c r="AR265" s="625"/>
      <c r="AS265" s="625"/>
      <c r="AT265" s="625"/>
      <c r="AU265" s="625"/>
      <c r="AV265" s="625"/>
      <c r="AW265" s="625"/>
      <c r="AX265" s="625"/>
      <c r="AY265" s="625"/>
      <c r="AZ265" s="625"/>
      <c r="BA265" s="625"/>
      <c r="BB265" s="625"/>
      <c r="BC265" s="625"/>
      <c r="BD265" s="625"/>
      <c r="BE265" s="625"/>
      <c r="BF265" s="625"/>
      <c r="BG265" s="625"/>
      <c r="BH265" s="625"/>
      <c r="BI265" s="625"/>
      <c r="BJ265" s="625"/>
      <c r="BK265" s="625"/>
      <c r="BL265" s="625"/>
      <c r="BM265" s="625"/>
      <c r="BN265" s="625"/>
      <c r="BO265" s="625"/>
      <c r="BP265" s="625"/>
      <c r="BQ265" s="625"/>
      <c r="BR265" s="625"/>
      <c r="BS265" s="625"/>
      <c r="BT265" s="625"/>
      <c r="BU265" s="625"/>
      <c r="BV265" s="625"/>
      <c r="BW265" s="625"/>
      <c r="BX265" s="625"/>
      <c r="BY265" s="625"/>
      <c r="BZ265" s="625"/>
      <c r="CA265" s="625"/>
      <c r="CB265" s="625"/>
      <c r="CC265" s="625"/>
      <c r="CD265" s="625"/>
      <c r="CE265" s="625"/>
      <c r="CF265" s="625"/>
      <c r="CG265" s="625"/>
      <c r="CH265" s="625"/>
      <c r="CI265" s="625"/>
      <c r="CK265" s="1293"/>
    </row>
    <row r="266" spans="1:89" s="1292" customFormat="1" ht="29.25" thickBot="1" x14ac:dyDescent="0.25">
      <c r="A266" s="1284"/>
      <c r="B266" s="878" t="s">
        <v>588</v>
      </c>
      <c r="C266" s="879" t="s">
        <v>245</v>
      </c>
      <c r="D266" s="879" t="s">
        <v>589</v>
      </c>
      <c r="E266" s="879" t="s">
        <v>236</v>
      </c>
      <c r="F266" s="880">
        <v>2</v>
      </c>
      <c r="G266" s="629">
        <f>SUM(G226:G228)+G224+G235+G240+G241+G234</f>
        <v>0</v>
      </c>
      <c r="H266" s="629">
        <f t="shared" ref="H266" si="82">SUM(H226:H228)+H224+H235+H240+H241+H234</f>
        <v>0</v>
      </c>
      <c r="I266" s="629">
        <f t="shared" ref="I266:AK266" si="83">SUM(I226:I228)+I224+I235+I240+I241+I234</f>
        <v>11.421677301664015</v>
      </c>
      <c r="J266" s="629">
        <f t="shared" si="83"/>
        <v>11.716189167208517</v>
      </c>
      <c r="K266" s="629">
        <f t="shared" si="83"/>
        <v>11.603244905709786</v>
      </c>
      <c r="L266" s="629">
        <f t="shared" si="83"/>
        <v>11.621609835034629</v>
      </c>
      <c r="M266" s="629">
        <f t="shared" si="83"/>
        <v>11.664061184376838</v>
      </c>
      <c r="N266" s="629">
        <f t="shared" si="83"/>
        <v>11.698569075485997</v>
      </c>
      <c r="O266" s="629">
        <f t="shared" si="83"/>
        <v>11.729993131001061</v>
      </c>
      <c r="P266" s="629">
        <f t="shared" si="83"/>
        <v>11.736672815779897</v>
      </c>
      <c r="Q266" s="629">
        <f t="shared" si="83"/>
        <v>11.722671470037767</v>
      </c>
      <c r="R266" s="629">
        <f t="shared" si="83"/>
        <v>11.72639466095149</v>
      </c>
      <c r="S266" s="629">
        <f t="shared" si="83"/>
        <v>11.742826181983434</v>
      </c>
      <c r="T266" s="629">
        <f t="shared" si="83"/>
        <v>14.050984334438956</v>
      </c>
      <c r="U266" s="629">
        <f t="shared" si="83"/>
        <v>14.067690093355377</v>
      </c>
      <c r="V266" s="629">
        <f t="shared" si="83"/>
        <v>14.08497488453442</v>
      </c>
      <c r="W266" s="629">
        <f t="shared" si="83"/>
        <v>14.103691180204809</v>
      </c>
      <c r="X266" s="629">
        <f t="shared" si="83"/>
        <v>14.123323422812499</v>
      </c>
      <c r="Y266" s="629">
        <f t="shared" si="83"/>
        <v>14.144744676972516</v>
      </c>
      <c r="Z266" s="629">
        <f t="shared" si="83"/>
        <v>14.167969239539962</v>
      </c>
      <c r="AA266" s="629">
        <f t="shared" si="83"/>
        <v>14.188234812658347</v>
      </c>
      <c r="AB266" s="629">
        <f t="shared" si="83"/>
        <v>14.20103601088301</v>
      </c>
      <c r="AC266" s="629">
        <f t="shared" si="83"/>
        <v>14.22070463986854</v>
      </c>
      <c r="AD266" s="629">
        <f t="shared" si="83"/>
        <v>14.242431847003642</v>
      </c>
      <c r="AE266" s="629">
        <f t="shared" si="83"/>
        <v>14.265251877313863</v>
      </c>
      <c r="AF266" s="629">
        <f t="shared" si="83"/>
        <v>14.28872818453061</v>
      </c>
      <c r="AG266" s="629">
        <f t="shared" si="83"/>
        <v>14.311681340360206</v>
      </c>
      <c r="AH266" s="629">
        <f t="shared" si="83"/>
        <v>14.336071351035461</v>
      </c>
      <c r="AI266" s="629">
        <f t="shared" si="83"/>
        <v>14.360890693571445</v>
      </c>
      <c r="AJ266" s="629">
        <f t="shared" si="83"/>
        <v>14.386739278810264</v>
      </c>
      <c r="AK266" s="629">
        <f t="shared" si="83"/>
        <v>14.41238275693093</v>
      </c>
      <c r="AL266" s="629"/>
      <c r="AM266" s="629"/>
      <c r="AN266" s="629"/>
      <c r="AO266" s="629"/>
      <c r="AP266" s="629"/>
      <c r="AQ266" s="629"/>
      <c r="AR266" s="629"/>
      <c r="AS266" s="629"/>
      <c r="AT266" s="629"/>
      <c r="AU266" s="629"/>
      <c r="AV266" s="629"/>
      <c r="AW266" s="629"/>
      <c r="AX266" s="629"/>
      <c r="AY266" s="629"/>
      <c r="AZ266" s="629"/>
      <c r="BA266" s="629"/>
      <c r="BB266" s="629"/>
      <c r="BC266" s="629"/>
      <c r="BD266" s="629"/>
      <c r="BE266" s="629"/>
      <c r="BF266" s="629"/>
      <c r="BG266" s="629"/>
      <c r="BH266" s="629"/>
      <c r="BI266" s="629"/>
      <c r="BJ266" s="629"/>
      <c r="BK266" s="629"/>
      <c r="BL266" s="629"/>
      <c r="BM266" s="629"/>
      <c r="BN266" s="629"/>
      <c r="BO266" s="629"/>
      <c r="BP266" s="629"/>
      <c r="BQ266" s="629"/>
      <c r="BR266" s="629"/>
      <c r="BS266" s="629"/>
      <c r="BT266" s="629"/>
      <c r="BU266" s="629"/>
      <c r="BV266" s="629"/>
      <c r="BW266" s="629"/>
      <c r="BX266" s="629"/>
      <c r="BY266" s="629"/>
      <c r="BZ266" s="629"/>
      <c r="CA266" s="629"/>
      <c r="CB266" s="629"/>
      <c r="CC266" s="629"/>
      <c r="CD266" s="629"/>
      <c r="CE266" s="629"/>
      <c r="CF266" s="629"/>
      <c r="CG266" s="629"/>
      <c r="CH266" s="629"/>
      <c r="CI266" s="629"/>
      <c r="CK266" s="1293"/>
    </row>
    <row r="267" spans="1:89" s="1292" customFormat="1" ht="28.5" x14ac:dyDescent="0.2">
      <c r="A267" s="1284"/>
      <c r="B267" s="881" t="s">
        <v>590</v>
      </c>
      <c r="C267" s="882" t="s">
        <v>591</v>
      </c>
      <c r="D267" s="816" t="s">
        <v>86</v>
      </c>
      <c r="E267" s="882" t="s">
        <v>236</v>
      </c>
      <c r="F267" s="883">
        <v>2</v>
      </c>
      <c r="G267" s="633"/>
      <c r="H267" s="540"/>
      <c r="I267" s="540">
        <v>0</v>
      </c>
      <c r="J267" s="540">
        <v>0</v>
      </c>
      <c r="K267" s="540">
        <v>0</v>
      </c>
      <c r="L267" s="540">
        <v>0</v>
      </c>
      <c r="M267" s="1342">
        <v>0</v>
      </c>
      <c r="N267" s="1342">
        <v>0</v>
      </c>
      <c r="O267" s="1342">
        <v>0</v>
      </c>
      <c r="P267" s="1342">
        <v>0</v>
      </c>
      <c r="Q267" s="1342">
        <v>0</v>
      </c>
      <c r="R267" s="1342">
        <v>0</v>
      </c>
      <c r="S267" s="1342">
        <v>0</v>
      </c>
      <c r="T267" s="1342">
        <v>0</v>
      </c>
      <c r="U267" s="1342">
        <v>0</v>
      </c>
      <c r="V267" s="1342">
        <v>0</v>
      </c>
      <c r="W267" s="1342">
        <v>0</v>
      </c>
      <c r="X267" s="1342">
        <v>0</v>
      </c>
      <c r="Y267" s="1342">
        <v>0</v>
      </c>
      <c r="Z267" s="1342">
        <v>0</v>
      </c>
      <c r="AA267" s="1342">
        <v>0</v>
      </c>
      <c r="AB267" s="1342">
        <v>0</v>
      </c>
      <c r="AC267" s="1342">
        <v>0</v>
      </c>
      <c r="AD267" s="1342">
        <v>0</v>
      </c>
      <c r="AE267" s="1342">
        <v>0</v>
      </c>
      <c r="AF267" s="1342">
        <v>0</v>
      </c>
      <c r="AG267" s="1342">
        <v>0</v>
      </c>
      <c r="AH267" s="1342">
        <v>0</v>
      </c>
      <c r="AI267" s="1342">
        <v>0</v>
      </c>
      <c r="AJ267" s="1342">
        <v>0</v>
      </c>
      <c r="AK267" s="1342">
        <v>0</v>
      </c>
      <c r="AL267" s="1342"/>
      <c r="AM267" s="1342"/>
      <c r="AN267" s="1342"/>
      <c r="AO267" s="1342"/>
      <c r="AP267" s="1342"/>
      <c r="AQ267" s="1342"/>
      <c r="AR267" s="1342"/>
      <c r="AS267" s="1342"/>
      <c r="AT267" s="1342"/>
      <c r="AU267" s="1342"/>
      <c r="AV267" s="1342"/>
      <c r="AW267" s="1342"/>
      <c r="AX267" s="1342"/>
      <c r="AY267" s="1342"/>
      <c r="AZ267" s="1342"/>
      <c r="BA267" s="1342"/>
      <c r="BB267" s="1342"/>
      <c r="BC267" s="1342"/>
      <c r="BD267" s="1342"/>
      <c r="BE267" s="1342"/>
      <c r="BF267" s="1342"/>
      <c r="BG267" s="1342"/>
      <c r="BH267" s="1342"/>
      <c r="BI267" s="1342"/>
      <c r="BJ267" s="1342"/>
      <c r="BK267" s="1342"/>
      <c r="BL267" s="1342"/>
      <c r="BM267" s="1342"/>
      <c r="BN267" s="1342"/>
      <c r="BO267" s="1342"/>
      <c r="BP267" s="1342"/>
      <c r="BQ267" s="1342"/>
      <c r="BR267" s="1342"/>
      <c r="BS267" s="1342"/>
      <c r="BT267" s="1342"/>
      <c r="BU267" s="1342"/>
      <c r="BV267" s="1342"/>
      <c r="BW267" s="1342"/>
      <c r="BX267" s="1342"/>
      <c r="BY267" s="1342"/>
      <c r="BZ267" s="1342"/>
      <c r="CA267" s="1342"/>
      <c r="CB267" s="1342"/>
      <c r="CC267" s="1342"/>
      <c r="CD267" s="1342"/>
      <c r="CE267" s="1342"/>
      <c r="CF267" s="1342"/>
      <c r="CG267" s="1342"/>
      <c r="CH267" s="1342"/>
      <c r="CI267" s="1342"/>
    </row>
    <row r="268" spans="1:89" s="1292" customFormat="1" x14ac:dyDescent="0.2">
      <c r="A268" s="1284"/>
      <c r="B268" s="884" t="s">
        <v>592</v>
      </c>
      <c r="C268" s="885" t="s">
        <v>593</v>
      </c>
      <c r="D268" s="821" t="s">
        <v>86</v>
      </c>
      <c r="E268" s="885" t="s">
        <v>236</v>
      </c>
      <c r="F268" s="886">
        <v>2</v>
      </c>
      <c r="G268" s="637"/>
      <c r="H268" s="540"/>
      <c r="I268" s="540">
        <v>0.21161199175036299</v>
      </c>
      <c r="J268" s="540">
        <v>0.24491923906362101</v>
      </c>
      <c r="K268" s="540">
        <v>0.33550901051617898</v>
      </c>
      <c r="L268" s="540">
        <v>0.33499817704909601</v>
      </c>
      <c r="M268" s="1342">
        <v>0.33186679140884001</v>
      </c>
      <c r="N268" s="1342">
        <v>0.31911749188600902</v>
      </c>
      <c r="O268" s="1342">
        <v>0.31418649730238302</v>
      </c>
      <c r="P268" s="1342">
        <v>0.30794525689925001</v>
      </c>
      <c r="Q268" s="1342">
        <v>0.31070462420311001</v>
      </c>
      <c r="R268" s="1342">
        <v>0.30554337865078401</v>
      </c>
      <c r="S268" s="1342">
        <v>0.30116881628645198</v>
      </c>
      <c r="T268" s="1342">
        <v>0.32769066581158302</v>
      </c>
      <c r="U268" s="1342">
        <v>0.32134848413484401</v>
      </c>
      <c r="V268" s="1342">
        <v>0.319761654091619</v>
      </c>
      <c r="W268" s="1342">
        <v>0.31474082806731901</v>
      </c>
      <c r="X268" s="1342">
        <v>0.31438171004043902</v>
      </c>
      <c r="Y268" s="1342">
        <v>0.30953920268459401</v>
      </c>
      <c r="Z268" s="1342">
        <v>0.30734963942270599</v>
      </c>
      <c r="AA268" s="1342">
        <v>0.306365821542601</v>
      </c>
      <c r="AB268" s="1342">
        <v>0.30532588860549098</v>
      </c>
      <c r="AC268" s="1342">
        <v>0.30156302746848201</v>
      </c>
      <c r="AD268" s="1342">
        <v>0.30169087482085</v>
      </c>
      <c r="AE268" s="1342">
        <v>0.29863905801108598</v>
      </c>
      <c r="AF268" s="1342">
        <v>0.298035869452693</v>
      </c>
      <c r="AG268" s="1342">
        <v>0.29732031635127898</v>
      </c>
      <c r="AH268" s="1342">
        <v>0.29624216952668803</v>
      </c>
      <c r="AI268" s="1342">
        <v>0.29025569713680199</v>
      </c>
      <c r="AJ268" s="1342">
        <v>0.29243037055015902</v>
      </c>
      <c r="AK268" s="1342">
        <v>0.29348387257777703</v>
      </c>
      <c r="AL268" s="1342"/>
      <c r="AM268" s="1342"/>
      <c r="AN268" s="1342"/>
      <c r="AO268" s="1342"/>
      <c r="AP268" s="1342"/>
      <c r="AQ268" s="1342"/>
      <c r="AR268" s="1342"/>
      <c r="AS268" s="1342"/>
      <c r="AT268" s="1342"/>
      <c r="AU268" s="1342"/>
      <c r="AV268" s="1342"/>
      <c r="AW268" s="1342"/>
      <c r="AX268" s="1342"/>
      <c r="AY268" s="1342"/>
      <c r="AZ268" s="1342"/>
      <c r="BA268" s="1342"/>
      <c r="BB268" s="1342"/>
      <c r="BC268" s="1342"/>
      <c r="BD268" s="1342"/>
      <c r="BE268" s="1342"/>
      <c r="BF268" s="1342"/>
      <c r="BG268" s="1342"/>
      <c r="BH268" s="1342"/>
      <c r="BI268" s="1342"/>
      <c r="BJ268" s="1342"/>
      <c r="BK268" s="1342"/>
      <c r="BL268" s="1342"/>
      <c r="BM268" s="1342"/>
      <c r="BN268" s="1342"/>
      <c r="BO268" s="1342"/>
      <c r="BP268" s="1342"/>
      <c r="BQ268" s="1342"/>
      <c r="BR268" s="1342"/>
      <c r="BS268" s="1342"/>
      <c r="BT268" s="1342"/>
      <c r="BU268" s="1342"/>
      <c r="BV268" s="1342"/>
      <c r="BW268" s="1342"/>
      <c r="BX268" s="1342"/>
      <c r="BY268" s="1342"/>
      <c r="BZ268" s="1342"/>
      <c r="CA268" s="1342"/>
      <c r="CB268" s="1342"/>
      <c r="CC268" s="1342"/>
      <c r="CD268" s="1342"/>
      <c r="CE268" s="1342"/>
      <c r="CF268" s="1342"/>
      <c r="CG268" s="1342"/>
      <c r="CH268" s="1342"/>
      <c r="CI268" s="1342"/>
    </row>
    <row r="269" spans="1:89" s="1292" customFormat="1" x14ac:dyDescent="0.2">
      <c r="A269" s="1284"/>
      <c r="B269" s="884" t="s">
        <v>594</v>
      </c>
      <c r="C269" s="885" t="s">
        <v>384</v>
      </c>
      <c r="D269" s="821" t="s">
        <v>595</v>
      </c>
      <c r="E269" s="885" t="s">
        <v>236</v>
      </c>
      <c r="F269" s="886">
        <v>2</v>
      </c>
      <c r="G269" s="638">
        <f>G267+G268</f>
        <v>0</v>
      </c>
      <c r="H269" s="638">
        <f t="shared" ref="H269:AK269" si="84">H267+H268</f>
        <v>0</v>
      </c>
      <c r="I269" s="638">
        <f t="shared" si="84"/>
        <v>0.21161199175036299</v>
      </c>
      <c r="J269" s="638">
        <f t="shared" si="84"/>
        <v>0.24491923906362101</v>
      </c>
      <c r="K269" s="638">
        <f t="shared" si="84"/>
        <v>0.33550901051617898</v>
      </c>
      <c r="L269" s="638">
        <f t="shared" si="84"/>
        <v>0.33499817704909601</v>
      </c>
      <c r="M269" s="639">
        <f t="shared" si="84"/>
        <v>0.33186679140884001</v>
      </c>
      <c r="N269" s="639">
        <f t="shared" si="84"/>
        <v>0.31911749188600902</v>
      </c>
      <c r="O269" s="639">
        <f t="shared" si="84"/>
        <v>0.31418649730238302</v>
      </c>
      <c r="P269" s="639">
        <f t="shared" si="84"/>
        <v>0.30794525689925001</v>
      </c>
      <c r="Q269" s="639">
        <f t="shared" si="84"/>
        <v>0.31070462420311001</v>
      </c>
      <c r="R269" s="639">
        <f t="shared" si="84"/>
        <v>0.30554337865078401</v>
      </c>
      <c r="S269" s="639">
        <f t="shared" si="84"/>
        <v>0.30116881628645198</v>
      </c>
      <c r="T269" s="639">
        <f t="shared" si="84"/>
        <v>0.32769066581158302</v>
      </c>
      <c r="U269" s="639">
        <f t="shared" si="84"/>
        <v>0.32134848413484401</v>
      </c>
      <c r="V269" s="639">
        <f t="shared" si="84"/>
        <v>0.319761654091619</v>
      </c>
      <c r="W269" s="639">
        <f t="shared" si="84"/>
        <v>0.31474082806731901</v>
      </c>
      <c r="X269" s="639">
        <f t="shared" si="84"/>
        <v>0.31438171004043902</v>
      </c>
      <c r="Y269" s="639">
        <f t="shared" si="84"/>
        <v>0.30953920268459401</v>
      </c>
      <c r="Z269" s="639">
        <f t="shared" si="84"/>
        <v>0.30734963942270599</v>
      </c>
      <c r="AA269" s="639">
        <f t="shared" si="84"/>
        <v>0.306365821542601</v>
      </c>
      <c r="AB269" s="639">
        <f t="shared" si="84"/>
        <v>0.30532588860549098</v>
      </c>
      <c r="AC269" s="639">
        <f t="shared" si="84"/>
        <v>0.30156302746848201</v>
      </c>
      <c r="AD269" s="639">
        <f t="shared" si="84"/>
        <v>0.30169087482085</v>
      </c>
      <c r="AE269" s="639">
        <f t="shared" si="84"/>
        <v>0.29863905801108598</v>
      </c>
      <c r="AF269" s="639">
        <f t="shared" si="84"/>
        <v>0.298035869452693</v>
      </c>
      <c r="AG269" s="639">
        <f t="shared" si="84"/>
        <v>0.29732031635127898</v>
      </c>
      <c r="AH269" s="639">
        <f t="shared" si="84"/>
        <v>0.29624216952668803</v>
      </c>
      <c r="AI269" s="639">
        <f t="shared" si="84"/>
        <v>0.29025569713680199</v>
      </c>
      <c r="AJ269" s="639">
        <f t="shared" si="84"/>
        <v>0.29243037055015902</v>
      </c>
      <c r="AK269" s="639">
        <f t="shared" si="84"/>
        <v>0.29348387257777703</v>
      </c>
      <c r="AL269" s="639"/>
      <c r="AM269" s="639"/>
      <c r="AN269" s="639"/>
      <c r="AO269" s="639"/>
      <c r="AP269" s="639"/>
      <c r="AQ269" s="639"/>
      <c r="AR269" s="639"/>
      <c r="AS269" s="639"/>
      <c r="AT269" s="639"/>
      <c r="AU269" s="639"/>
      <c r="AV269" s="639"/>
      <c r="AW269" s="639"/>
      <c r="AX269" s="639"/>
      <c r="AY269" s="639"/>
      <c r="AZ269" s="639"/>
      <c r="BA269" s="639"/>
      <c r="BB269" s="639"/>
      <c r="BC269" s="639"/>
      <c r="BD269" s="639"/>
      <c r="BE269" s="639"/>
      <c r="BF269" s="639"/>
      <c r="BG269" s="639"/>
      <c r="BH269" s="639"/>
      <c r="BI269" s="639"/>
      <c r="BJ269" s="639"/>
      <c r="BK269" s="639"/>
      <c r="BL269" s="639"/>
      <c r="BM269" s="639"/>
      <c r="BN269" s="639"/>
      <c r="BO269" s="639"/>
      <c r="BP269" s="639"/>
      <c r="BQ269" s="639"/>
      <c r="BR269" s="639"/>
      <c r="BS269" s="639"/>
      <c r="BT269" s="639"/>
      <c r="BU269" s="639"/>
      <c r="BV269" s="639"/>
      <c r="BW269" s="639"/>
      <c r="BX269" s="639"/>
      <c r="BY269" s="639"/>
      <c r="BZ269" s="639"/>
      <c r="CA269" s="639"/>
      <c r="CB269" s="639"/>
      <c r="CC269" s="639"/>
      <c r="CD269" s="639"/>
      <c r="CE269" s="639"/>
      <c r="CF269" s="639"/>
      <c r="CG269" s="639"/>
      <c r="CH269" s="639"/>
      <c r="CI269" s="640"/>
    </row>
    <row r="270" spans="1:89" s="1292" customFormat="1" x14ac:dyDescent="0.2">
      <c r="A270" s="1284"/>
      <c r="B270" s="1063" t="s">
        <v>596</v>
      </c>
      <c r="C270" s="1064" t="s">
        <v>597</v>
      </c>
      <c r="D270" s="1065" t="s">
        <v>598</v>
      </c>
      <c r="E270" s="1064" t="s">
        <v>236</v>
      </c>
      <c r="F270" s="1066">
        <v>2</v>
      </c>
      <c r="G270" s="1072">
        <f>G223-G266</f>
        <v>0</v>
      </c>
      <c r="H270" s="638">
        <f t="shared" ref="H270:AK270" si="85">H223-H266</f>
        <v>0</v>
      </c>
      <c r="I270" s="638">
        <f t="shared" si="85"/>
        <v>9.5896726983359848</v>
      </c>
      <c r="J270" s="638">
        <f t="shared" si="85"/>
        <v>9.295160832791483</v>
      </c>
      <c r="K270" s="638">
        <f t="shared" si="85"/>
        <v>9.4081050942902138</v>
      </c>
      <c r="L270" s="638">
        <f t="shared" si="85"/>
        <v>9.3897401649653709</v>
      </c>
      <c r="M270" s="639">
        <f t="shared" si="85"/>
        <v>9.3472888156231626</v>
      </c>
      <c r="N270" s="639">
        <f t="shared" si="85"/>
        <v>9.3127809245140032</v>
      </c>
      <c r="O270" s="639">
        <f t="shared" si="85"/>
        <v>9.2813568689989392</v>
      </c>
      <c r="P270" s="639">
        <f t="shared" si="85"/>
        <v>9.2746771842201028</v>
      </c>
      <c r="Q270" s="639">
        <f t="shared" si="85"/>
        <v>9.2886785299622332</v>
      </c>
      <c r="R270" s="639">
        <f t="shared" si="85"/>
        <v>9.2849553390485102</v>
      </c>
      <c r="S270" s="639">
        <f t="shared" si="85"/>
        <v>9.2685238180165666</v>
      </c>
      <c r="T270" s="639">
        <f t="shared" si="85"/>
        <v>6.960365665561044</v>
      </c>
      <c r="U270" s="639">
        <f t="shared" si="85"/>
        <v>6.9436599066446227</v>
      </c>
      <c r="V270" s="639">
        <f t="shared" si="85"/>
        <v>6.9263751154655804</v>
      </c>
      <c r="W270" s="639">
        <f t="shared" si="85"/>
        <v>6.9076588197951914</v>
      </c>
      <c r="X270" s="639">
        <f t="shared" si="85"/>
        <v>6.8880265771875013</v>
      </c>
      <c r="Y270" s="639">
        <f t="shared" si="85"/>
        <v>6.8666053230274837</v>
      </c>
      <c r="Z270" s="639">
        <f t="shared" si="85"/>
        <v>6.8433807604600378</v>
      </c>
      <c r="AA270" s="639">
        <f t="shared" si="85"/>
        <v>6.8231151873416529</v>
      </c>
      <c r="AB270" s="639">
        <f t="shared" si="85"/>
        <v>6.8103139891169899</v>
      </c>
      <c r="AC270" s="639">
        <f t="shared" si="85"/>
        <v>6.7906453601314603</v>
      </c>
      <c r="AD270" s="639">
        <f t="shared" si="85"/>
        <v>6.768918152996358</v>
      </c>
      <c r="AE270" s="639">
        <f t="shared" si="85"/>
        <v>6.7460981226861367</v>
      </c>
      <c r="AF270" s="639">
        <f t="shared" si="85"/>
        <v>6.72262181546939</v>
      </c>
      <c r="AG270" s="639">
        <f t="shared" si="85"/>
        <v>6.6996686596397943</v>
      </c>
      <c r="AH270" s="639">
        <f t="shared" si="85"/>
        <v>6.6752786489645395</v>
      </c>
      <c r="AI270" s="639">
        <f t="shared" si="85"/>
        <v>6.6504593064285551</v>
      </c>
      <c r="AJ270" s="639">
        <f t="shared" si="85"/>
        <v>6.624610721189736</v>
      </c>
      <c r="AK270" s="639">
        <f t="shared" si="85"/>
        <v>6.5989672430690707</v>
      </c>
      <c r="AL270" s="639"/>
      <c r="AM270" s="639"/>
      <c r="AN270" s="639"/>
      <c r="AO270" s="639"/>
      <c r="AP270" s="639"/>
      <c r="AQ270" s="639"/>
      <c r="AR270" s="639"/>
      <c r="AS270" s="639"/>
      <c r="AT270" s="639"/>
      <c r="AU270" s="639"/>
      <c r="AV270" s="639"/>
      <c r="AW270" s="639"/>
      <c r="AX270" s="639"/>
      <c r="AY270" s="639"/>
      <c r="AZ270" s="639"/>
      <c r="BA270" s="639"/>
      <c r="BB270" s="639"/>
      <c r="BC270" s="639"/>
      <c r="BD270" s="639"/>
      <c r="BE270" s="639"/>
      <c r="BF270" s="639"/>
      <c r="BG270" s="639"/>
      <c r="BH270" s="639"/>
      <c r="BI270" s="639"/>
      <c r="BJ270" s="639"/>
      <c r="BK270" s="639"/>
      <c r="BL270" s="639"/>
      <c r="BM270" s="639"/>
      <c r="BN270" s="639"/>
      <c r="BO270" s="639"/>
      <c r="BP270" s="639"/>
      <c r="BQ270" s="639"/>
      <c r="BR270" s="639"/>
      <c r="BS270" s="639"/>
      <c r="BT270" s="639"/>
      <c r="BU270" s="639"/>
      <c r="BV270" s="639"/>
      <c r="BW270" s="639"/>
      <c r="BX270" s="639"/>
      <c r="BY270" s="639"/>
      <c r="BZ270" s="639"/>
      <c r="CA270" s="639"/>
      <c r="CB270" s="639"/>
      <c r="CC270" s="639"/>
      <c r="CD270" s="639"/>
      <c r="CE270" s="639"/>
      <c r="CF270" s="639"/>
      <c r="CG270" s="639"/>
      <c r="CH270" s="639"/>
      <c r="CI270" s="640"/>
    </row>
    <row r="271" spans="1:89" s="1292" customFormat="1" ht="15" thickBot="1" x14ac:dyDescent="0.25">
      <c r="A271" s="1284"/>
      <c r="B271" s="1063" t="s">
        <v>599</v>
      </c>
      <c r="C271" s="1064" t="s">
        <v>600</v>
      </c>
      <c r="D271" s="1065" t="s">
        <v>601</v>
      </c>
      <c r="E271" s="1064" t="s">
        <v>236</v>
      </c>
      <c r="F271" s="1066">
        <v>2</v>
      </c>
      <c r="G271" s="1073">
        <f>G206-G225</f>
        <v>0</v>
      </c>
      <c r="H271" s="1074">
        <f t="shared" ref="H271:AK271" si="86">H206-H225</f>
        <v>0</v>
      </c>
      <c r="I271" s="1074">
        <f t="shared" si="86"/>
        <v>0</v>
      </c>
      <c r="J271" s="1074">
        <f t="shared" si="86"/>
        <v>0</v>
      </c>
      <c r="K271" s="1074">
        <f t="shared" si="86"/>
        <v>0</v>
      </c>
      <c r="L271" s="1074">
        <f t="shared" si="86"/>
        <v>0</v>
      </c>
      <c r="M271" s="1074">
        <f t="shared" si="86"/>
        <v>0</v>
      </c>
      <c r="N271" s="1074">
        <f t="shared" si="86"/>
        <v>0</v>
      </c>
      <c r="O271" s="1074">
        <f t="shared" si="86"/>
        <v>0</v>
      </c>
      <c r="P271" s="1074">
        <f t="shared" si="86"/>
        <v>0</v>
      </c>
      <c r="Q271" s="1074">
        <f t="shared" si="86"/>
        <v>0</v>
      </c>
      <c r="R271" s="1074">
        <f t="shared" si="86"/>
        <v>0</v>
      </c>
      <c r="S271" s="1074">
        <f t="shared" si="86"/>
        <v>0</v>
      </c>
      <c r="T271" s="1074">
        <f t="shared" si="86"/>
        <v>0</v>
      </c>
      <c r="U271" s="1074">
        <f t="shared" si="86"/>
        <v>0</v>
      </c>
      <c r="V271" s="1074">
        <f t="shared" si="86"/>
        <v>0</v>
      </c>
      <c r="W271" s="1074">
        <f t="shared" si="86"/>
        <v>0</v>
      </c>
      <c r="X271" s="1074">
        <f t="shared" si="86"/>
        <v>0</v>
      </c>
      <c r="Y271" s="1074">
        <f t="shared" si="86"/>
        <v>0</v>
      </c>
      <c r="Z271" s="1074">
        <f t="shared" si="86"/>
        <v>0</v>
      </c>
      <c r="AA271" s="1074">
        <f t="shared" si="86"/>
        <v>0</v>
      </c>
      <c r="AB271" s="1074">
        <f t="shared" si="86"/>
        <v>0</v>
      </c>
      <c r="AC271" s="1074">
        <f t="shared" si="86"/>
        <v>0</v>
      </c>
      <c r="AD271" s="1074">
        <f t="shared" si="86"/>
        <v>0</v>
      </c>
      <c r="AE271" s="1074">
        <f t="shared" si="86"/>
        <v>0</v>
      </c>
      <c r="AF271" s="1074">
        <f t="shared" si="86"/>
        <v>0</v>
      </c>
      <c r="AG271" s="1074">
        <f t="shared" si="86"/>
        <v>0</v>
      </c>
      <c r="AH271" s="1074">
        <f t="shared" si="86"/>
        <v>0</v>
      </c>
      <c r="AI271" s="1074">
        <f t="shared" si="86"/>
        <v>0</v>
      </c>
      <c r="AJ271" s="1074">
        <f t="shared" si="86"/>
        <v>0</v>
      </c>
      <c r="AK271" s="1074">
        <f t="shared" si="86"/>
        <v>0</v>
      </c>
      <c r="AL271" s="1074"/>
      <c r="AM271" s="1074"/>
      <c r="AN271" s="1074"/>
      <c r="AO271" s="1074"/>
      <c r="AP271" s="1074"/>
      <c r="AQ271" s="1074"/>
      <c r="AR271" s="1074"/>
      <c r="AS271" s="1074"/>
      <c r="AT271" s="1074"/>
      <c r="AU271" s="1074"/>
      <c r="AV271" s="1074"/>
      <c r="AW271" s="1074"/>
      <c r="AX271" s="1074"/>
      <c r="AY271" s="1074"/>
      <c r="AZ271" s="1074"/>
      <c r="BA271" s="1074"/>
      <c r="BB271" s="1074"/>
      <c r="BC271" s="1074"/>
      <c r="BD271" s="1074"/>
      <c r="BE271" s="1074"/>
      <c r="BF271" s="1074"/>
      <c r="BG271" s="1074"/>
      <c r="BH271" s="1074"/>
      <c r="BI271" s="1074"/>
      <c r="BJ271" s="1074"/>
      <c r="BK271" s="1074"/>
      <c r="BL271" s="1074"/>
      <c r="BM271" s="1074"/>
      <c r="BN271" s="1074"/>
      <c r="BO271" s="1074"/>
      <c r="BP271" s="1074"/>
      <c r="BQ271" s="1074"/>
      <c r="BR271" s="1074"/>
      <c r="BS271" s="1074"/>
      <c r="BT271" s="1074"/>
      <c r="BU271" s="1074"/>
      <c r="BV271" s="1074"/>
      <c r="BW271" s="1074"/>
      <c r="BX271" s="1074"/>
      <c r="BY271" s="1074"/>
      <c r="BZ271" s="1074"/>
      <c r="CA271" s="1074"/>
      <c r="CB271" s="1074"/>
      <c r="CC271" s="1074"/>
      <c r="CD271" s="1074"/>
      <c r="CE271" s="1074"/>
      <c r="CF271" s="1074"/>
      <c r="CG271" s="1074"/>
      <c r="CH271" s="1074"/>
      <c r="CI271" s="1074"/>
    </row>
    <row r="272" spans="1:89" s="1292" customFormat="1" ht="15" thickBot="1" x14ac:dyDescent="0.25">
      <c r="A272" s="1284"/>
      <c r="B272" s="887" t="s">
        <v>602</v>
      </c>
      <c r="C272" s="888" t="s">
        <v>393</v>
      </c>
      <c r="D272" s="889" t="s">
        <v>784</v>
      </c>
      <c r="E272" s="888" t="s">
        <v>236</v>
      </c>
      <c r="F272" s="890">
        <v>2</v>
      </c>
      <c r="G272" s="648">
        <f>G270-G269</f>
        <v>0</v>
      </c>
      <c r="H272" s="648">
        <f t="shared" ref="H272:AK272" si="87">H270-H269</f>
        <v>0</v>
      </c>
      <c r="I272" s="648">
        <f t="shared" si="87"/>
        <v>9.3780607065856216</v>
      </c>
      <c r="J272" s="648">
        <f t="shared" si="87"/>
        <v>9.0502415937278613</v>
      </c>
      <c r="K272" s="648">
        <f t="shared" si="87"/>
        <v>9.0725960837740356</v>
      </c>
      <c r="L272" s="648">
        <f t="shared" si="87"/>
        <v>9.0547419879162749</v>
      </c>
      <c r="M272" s="649">
        <f>M270-M269</f>
        <v>9.0154220242143221</v>
      </c>
      <c r="N272" s="649">
        <f t="shared" si="87"/>
        <v>8.9936634326279936</v>
      </c>
      <c r="O272" s="649">
        <f t="shared" si="87"/>
        <v>8.9671703716965556</v>
      </c>
      <c r="P272" s="649">
        <f t="shared" si="87"/>
        <v>8.9667319273208523</v>
      </c>
      <c r="Q272" s="649">
        <f t="shared" si="87"/>
        <v>8.9779739057591232</v>
      </c>
      <c r="R272" s="649">
        <f t="shared" si="87"/>
        <v>8.9794119603977265</v>
      </c>
      <c r="S272" s="649">
        <f t="shared" si="87"/>
        <v>8.9673550017301142</v>
      </c>
      <c r="T272" s="649">
        <f t="shared" si="87"/>
        <v>6.6326749997494607</v>
      </c>
      <c r="U272" s="649">
        <f t="shared" si="87"/>
        <v>6.622311422509779</v>
      </c>
      <c r="V272" s="649">
        <f t="shared" si="87"/>
        <v>6.6066134613739615</v>
      </c>
      <c r="W272" s="649">
        <f t="shared" si="87"/>
        <v>6.5929179917278722</v>
      </c>
      <c r="X272" s="649">
        <f t="shared" si="87"/>
        <v>6.5736448671470624</v>
      </c>
      <c r="Y272" s="649">
        <f t="shared" si="87"/>
        <v>6.5570661203428902</v>
      </c>
      <c r="Z272" s="649">
        <f t="shared" si="87"/>
        <v>6.5360311210373316</v>
      </c>
      <c r="AA272" s="649">
        <f t="shared" si="87"/>
        <v>6.5167493657990523</v>
      </c>
      <c r="AB272" s="649">
        <f t="shared" si="87"/>
        <v>6.5049881005114987</v>
      </c>
      <c r="AC272" s="649">
        <f t="shared" si="87"/>
        <v>6.4890823326629778</v>
      </c>
      <c r="AD272" s="649">
        <f t="shared" si="87"/>
        <v>6.4672272781755078</v>
      </c>
      <c r="AE272" s="649">
        <f t="shared" si="87"/>
        <v>6.4474590646750505</v>
      </c>
      <c r="AF272" s="649">
        <f t="shared" si="87"/>
        <v>6.4245859460166965</v>
      </c>
      <c r="AG272" s="649">
        <f t="shared" si="87"/>
        <v>6.4023483432885158</v>
      </c>
      <c r="AH272" s="649">
        <f t="shared" si="87"/>
        <v>6.3790364794378513</v>
      </c>
      <c r="AI272" s="649">
        <f t="shared" si="87"/>
        <v>6.3602036092917533</v>
      </c>
      <c r="AJ272" s="649">
        <f t="shared" si="87"/>
        <v>6.3321803506395771</v>
      </c>
      <c r="AK272" s="649">
        <f t="shared" si="87"/>
        <v>6.3054833704912934</v>
      </c>
      <c r="AL272" s="649"/>
      <c r="AM272" s="649"/>
      <c r="AN272" s="649"/>
      <c r="AO272" s="649"/>
      <c r="AP272" s="649"/>
      <c r="AQ272" s="649"/>
      <c r="AR272" s="649"/>
      <c r="AS272" s="649"/>
      <c r="AT272" s="649"/>
      <c r="AU272" s="649"/>
      <c r="AV272" s="649"/>
      <c r="AW272" s="649"/>
      <c r="AX272" s="649"/>
      <c r="AY272" s="649"/>
      <c r="AZ272" s="649"/>
      <c r="BA272" s="649"/>
      <c r="BB272" s="649"/>
      <c r="BC272" s="649"/>
      <c r="BD272" s="649"/>
      <c r="BE272" s="649"/>
      <c r="BF272" s="649"/>
      <c r="BG272" s="649"/>
      <c r="BH272" s="649"/>
      <c r="BI272" s="649"/>
      <c r="BJ272" s="649"/>
      <c r="BK272" s="649"/>
      <c r="BL272" s="649"/>
      <c r="BM272" s="649"/>
      <c r="BN272" s="649"/>
      <c r="BO272" s="649"/>
      <c r="BP272" s="649"/>
      <c r="BQ272" s="649"/>
      <c r="BR272" s="649"/>
      <c r="BS272" s="649"/>
      <c r="BT272" s="649"/>
      <c r="BU272" s="649"/>
      <c r="BV272" s="649"/>
      <c r="BW272" s="649"/>
      <c r="BX272" s="649"/>
      <c r="BY272" s="649"/>
      <c r="BZ272" s="649"/>
      <c r="CA272" s="649"/>
      <c r="CB272" s="649"/>
      <c r="CC272" s="649"/>
      <c r="CD272" s="649"/>
      <c r="CE272" s="649"/>
      <c r="CF272" s="649"/>
      <c r="CG272" s="649"/>
      <c r="CH272" s="649"/>
      <c r="CI272" s="650"/>
    </row>
    <row r="273" spans="2:88" ht="15" thickBot="1" x14ac:dyDescent="0.25">
      <c r="B273" s="651"/>
      <c r="C273" s="652"/>
      <c r="D273" s="53"/>
      <c r="E273" s="652"/>
      <c r="F273" s="653"/>
      <c r="G273" s="654"/>
      <c r="H273" s="654"/>
      <c r="I273" s="654"/>
      <c r="J273" s="654"/>
      <c r="K273" s="654"/>
      <c r="L273" s="654"/>
      <c r="M273" s="654"/>
      <c r="N273" s="654"/>
      <c r="O273" s="654"/>
      <c r="P273" s="654"/>
      <c r="Q273" s="654"/>
      <c r="R273" s="654"/>
      <c r="S273" s="654"/>
      <c r="T273" s="654"/>
      <c r="U273" s="654"/>
      <c r="V273" s="654"/>
      <c r="W273" s="654"/>
      <c r="X273" s="654"/>
      <c r="Y273" s="654"/>
      <c r="Z273" s="654"/>
      <c r="AA273" s="654"/>
      <c r="AB273" s="654"/>
      <c r="AC273" s="654"/>
      <c r="AD273" s="654"/>
      <c r="AE273" s="654"/>
      <c r="AF273" s="654"/>
      <c r="AG273" s="654"/>
      <c r="AH273" s="654"/>
      <c r="AI273" s="654"/>
      <c r="AJ273" s="654"/>
      <c r="AK273" s="654"/>
      <c r="AL273" s="654"/>
      <c r="AM273" s="654"/>
      <c r="AN273" s="654"/>
      <c r="AO273" s="654"/>
      <c r="AP273" s="654"/>
      <c r="AQ273" s="654"/>
      <c r="AR273" s="654"/>
      <c r="AS273" s="654"/>
      <c r="AT273" s="654"/>
      <c r="AU273" s="654"/>
      <c r="AV273" s="654"/>
      <c r="AW273" s="654"/>
      <c r="AX273" s="654"/>
      <c r="AY273" s="654"/>
      <c r="AZ273" s="654"/>
      <c r="BA273" s="654"/>
      <c r="BB273" s="654"/>
      <c r="BC273" s="654"/>
      <c r="BD273" s="654"/>
      <c r="BE273" s="654"/>
      <c r="BF273" s="654"/>
      <c r="BG273" s="654"/>
      <c r="BH273" s="654"/>
      <c r="BI273" s="654"/>
      <c r="BJ273" s="654"/>
      <c r="BK273" s="654"/>
      <c r="BL273" s="654"/>
      <c r="BM273" s="654"/>
      <c r="BN273" s="654"/>
      <c r="BO273" s="654"/>
      <c r="BP273" s="654"/>
      <c r="BQ273" s="654"/>
      <c r="BR273" s="654"/>
      <c r="BS273" s="654"/>
      <c r="BT273" s="654"/>
      <c r="BU273" s="654"/>
      <c r="BV273" s="654"/>
      <c r="BW273" s="654"/>
      <c r="BX273" s="654"/>
      <c r="BY273" s="654"/>
      <c r="BZ273" s="654"/>
      <c r="CA273" s="654"/>
      <c r="CB273" s="654"/>
      <c r="CC273" s="654"/>
      <c r="CD273" s="654"/>
      <c r="CE273" s="654"/>
      <c r="CF273" s="654"/>
      <c r="CG273" s="654"/>
      <c r="CH273" s="654"/>
      <c r="CI273" s="654"/>
    </row>
    <row r="274" spans="2:88" ht="15.75" thickBot="1" x14ac:dyDescent="0.25">
      <c r="B274" s="891" t="s">
        <v>442</v>
      </c>
      <c r="C274" s="1307" t="s">
        <v>204</v>
      </c>
      <c r="D274" s="53"/>
      <c r="E274" s="652"/>
      <c r="F274" s="653"/>
      <c r="G274" s="654"/>
      <c r="H274" s="654"/>
      <c r="I274" s="654"/>
      <c r="J274" s="654"/>
      <c r="K274" s="654"/>
      <c r="L274" s="654"/>
      <c r="M274" s="654"/>
      <c r="N274" s="654"/>
      <c r="O274" s="654"/>
      <c r="P274" s="654"/>
      <c r="Q274" s="654"/>
      <c r="R274" s="654"/>
      <c r="S274" s="654"/>
      <c r="T274" s="654"/>
      <c r="U274" s="654"/>
      <c r="V274" s="654"/>
      <c r="W274" s="654"/>
      <c r="X274" s="654"/>
      <c r="Y274" s="654"/>
      <c r="Z274" s="654"/>
      <c r="AA274" s="654"/>
      <c r="AB274" s="654"/>
      <c r="AC274" s="654"/>
      <c r="AD274" s="654"/>
      <c r="AE274" s="654"/>
      <c r="AF274" s="654"/>
      <c r="AG274" s="654"/>
      <c r="AH274" s="654"/>
      <c r="AI274" s="654"/>
      <c r="AJ274" s="654"/>
      <c r="AK274" s="654"/>
      <c r="AL274" s="654"/>
      <c r="AM274" s="654"/>
      <c r="AN274" s="654"/>
      <c r="AO274" s="654"/>
      <c r="AP274" s="654"/>
      <c r="AQ274" s="654"/>
      <c r="AR274" s="654"/>
      <c r="AS274" s="654"/>
      <c r="AT274" s="654"/>
      <c r="AU274" s="654"/>
      <c r="AV274" s="654"/>
      <c r="AW274" s="654"/>
      <c r="AX274" s="654"/>
      <c r="AY274" s="654"/>
      <c r="AZ274" s="654"/>
      <c r="BA274" s="654"/>
      <c r="BB274" s="654"/>
      <c r="BC274" s="654"/>
      <c r="BD274" s="654"/>
      <c r="BE274" s="654"/>
      <c r="BF274" s="654"/>
      <c r="BG274" s="654"/>
      <c r="BH274" s="654"/>
      <c r="BI274" s="654"/>
      <c r="BJ274" s="654"/>
      <c r="BK274" s="654"/>
      <c r="BL274" s="654"/>
      <c r="BM274" s="654"/>
      <c r="BN274" s="654"/>
      <c r="BO274" s="654"/>
      <c r="BP274" s="654"/>
      <c r="BQ274" s="654"/>
      <c r="BR274" s="654"/>
      <c r="BS274" s="654"/>
      <c r="BT274" s="654"/>
      <c r="BU274" s="654"/>
      <c r="BV274" s="654"/>
      <c r="BW274" s="654"/>
      <c r="BX274" s="654"/>
      <c r="BY274" s="654"/>
      <c r="BZ274" s="654"/>
      <c r="CA274" s="654"/>
      <c r="CB274" s="654"/>
      <c r="CC274" s="654"/>
      <c r="CD274" s="654"/>
      <c r="CE274" s="654"/>
      <c r="CF274" s="654"/>
      <c r="CG274" s="654"/>
      <c r="CH274" s="654"/>
      <c r="CI274" s="654"/>
    </row>
    <row r="275" spans="2:88" ht="15.75" thickBot="1" x14ac:dyDescent="0.25">
      <c r="B275" s="892" t="s">
        <v>446</v>
      </c>
      <c r="C275" s="893" t="s">
        <v>604</v>
      </c>
      <c r="D275" s="893" t="s">
        <v>605</v>
      </c>
      <c r="E275" s="893" t="s">
        <v>206</v>
      </c>
      <c r="F275" s="894" t="s">
        <v>207</v>
      </c>
      <c r="G275" s="895" t="s">
        <v>208</v>
      </c>
      <c r="H275" s="895" t="s">
        <v>209</v>
      </c>
      <c r="I275" s="895" t="s">
        <v>210</v>
      </c>
      <c r="J275" s="895" t="s">
        <v>211</v>
      </c>
      <c r="K275" s="895" t="s">
        <v>212</v>
      </c>
      <c r="L275" s="895" t="s">
        <v>213</v>
      </c>
      <c r="M275" s="893" t="s">
        <v>214</v>
      </c>
      <c r="N275" s="893" t="s">
        <v>215</v>
      </c>
      <c r="O275" s="893" t="s">
        <v>216</v>
      </c>
      <c r="P275" s="893" t="s">
        <v>217</v>
      </c>
      <c r="Q275" s="893" t="s">
        <v>218</v>
      </c>
      <c r="R275" s="893" t="s">
        <v>247</v>
      </c>
      <c r="S275" s="893" t="s">
        <v>248</v>
      </c>
      <c r="T275" s="893" t="s">
        <v>249</v>
      </c>
      <c r="U275" s="893" t="s">
        <v>250</v>
      </c>
      <c r="V275" s="893" t="s">
        <v>219</v>
      </c>
      <c r="W275" s="893" t="s">
        <v>251</v>
      </c>
      <c r="X275" s="893" t="s">
        <v>252</v>
      </c>
      <c r="Y275" s="893" t="s">
        <v>253</v>
      </c>
      <c r="Z275" s="893" t="s">
        <v>254</v>
      </c>
      <c r="AA275" s="893" t="s">
        <v>220</v>
      </c>
      <c r="AB275" s="893" t="s">
        <v>255</v>
      </c>
      <c r="AC275" s="893" t="s">
        <v>256</v>
      </c>
      <c r="AD275" s="893" t="s">
        <v>257</v>
      </c>
      <c r="AE275" s="893" t="s">
        <v>258</v>
      </c>
      <c r="AF275" s="893" t="s">
        <v>221</v>
      </c>
      <c r="AG275" s="893" t="s">
        <v>259</v>
      </c>
      <c r="AH275" s="893" t="s">
        <v>260</v>
      </c>
      <c r="AI275" s="893" t="s">
        <v>261</v>
      </c>
      <c r="AJ275" s="893" t="s">
        <v>262</v>
      </c>
      <c r="AK275" s="893" t="s">
        <v>222</v>
      </c>
      <c r="AL275" s="893" t="s">
        <v>263</v>
      </c>
      <c r="AM275" s="893" t="s">
        <v>264</v>
      </c>
      <c r="AN275" s="893" t="s">
        <v>265</v>
      </c>
      <c r="AO275" s="893" t="s">
        <v>266</v>
      </c>
      <c r="AP275" s="893" t="s">
        <v>223</v>
      </c>
      <c r="AQ275" s="893" t="s">
        <v>267</v>
      </c>
      <c r="AR275" s="893" t="s">
        <v>268</v>
      </c>
      <c r="AS275" s="893" t="s">
        <v>269</v>
      </c>
      <c r="AT275" s="893" t="s">
        <v>270</v>
      </c>
      <c r="AU275" s="893" t="s">
        <v>224</v>
      </c>
      <c r="AV275" s="893" t="s">
        <v>271</v>
      </c>
      <c r="AW275" s="893" t="s">
        <v>272</v>
      </c>
      <c r="AX275" s="893" t="s">
        <v>273</v>
      </c>
      <c r="AY275" s="893" t="s">
        <v>274</v>
      </c>
      <c r="AZ275" s="893" t="s">
        <v>225</v>
      </c>
      <c r="BA275" s="893" t="s">
        <v>275</v>
      </c>
      <c r="BB275" s="893" t="s">
        <v>276</v>
      </c>
      <c r="BC275" s="893" t="s">
        <v>277</v>
      </c>
      <c r="BD275" s="893" t="s">
        <v>278</v>
      </c>
      <c r="BE275" s="893" t="s">
        <v>226</v>
      </c>
      <c r="BF275" s="893" t="s">
        <v>279</v>
      </c>
      <c r="BG275" s="893" t="s">
        <v>280</v>
      </c>
      <c r="BH275" s="893" t="s">
        <v>281</v>
      </c>
      <c r="BI275" s="893" t="s">
        <v>282</v>
      </c>
      <c r="BJ275" s="893" t="s">
        <v>227</v>
      </c>
      <c r="BK275" s="893" t="s">
        <v>283</v>
      </c>
      <c r="BL275" s="893" t="s">
        <v>284</v>
      </c>
      <c r="BM275" s="893" t="s">
        <v>285</v>
      </c>
      <c r="BN275" s="893" t="s">
        <v>286</v>
      </c>
      <c r="BO275" s="893" t="s">
        <v>228</v>
      </c>
      <c r="BP275" s="893" t="s">
        <v>287</v>
      </c>
      <c r="BQ275" s="893" t="s">
        <v>288</v>
      </c>
      <c r="BR275" s="893" t="s">
        <v>289</v>
      </c>
      <c r="BS275" s="893" t="s">
        <v>290</v>
      </c>
      <c r="BT275" s="893" t="s">
        <v>229</v>
      </c>
      <c r="BU275" s="893" t="s">
        <v>291</v>
      </c>
      <c r="BV275" s="893" t="s">
        <v>292</v>
      </c>
      <c r="BW275" s="893" t="s">
        <v>293</v>
      </c>
      <c r="BX275" s="893" t="s">
        <v>294</v>
      </c>
      <c r="BY275" s="893" t="s">
        <v>230</v>
      </c>
      <c r="BZ275" s="893" t="s">
        <v>295</v>
      </c>
      <c r="CA275" s="893" t="s">
        <v>296</v>
      </c>
      <c r="CB275" s="893" t="s">
        <v>297</v>
      </c>
      <c r="CC275" s="893" t="s">
        <v>298</v>
      </c>
      <c r="CD275" s="893" t="s">
        <v>231</v>
      </c>
      <c r="CE275" s="893" t="s">
        <v>299</v>
      </c>
      <c r="CF275" s="893" t="s">
        <v>300</v>
      </c>
      <c r="CG275" s="893" t="s">
        <v>301</v>
      </c>
      <c r="CH275" s="893" t="s">
        <v>302</v>
      </c>
      <c r="CI275" s="896" t="s">
        <v>232</v>
      </c>
      <c r="CJ275" s="893" t="s">
        <v>606</v>
      </c>
    </row>
    <row r="276" spans="2:88" ht="28.5" x14ac:dyDescent="0.2">
      <c r="B276" s="900" t="s">
        <v>607</v>
      </c>
      <c r="C276" s="901" t="s">
        <v>608</v>
      </c>
      <c r="D276" s="901" t="s">
        <v>609</v>
      </c>
      <c r="E276" s="901" t="s">
        <v>236</v>
      </c>
      <c r="F276" s="902">
        <v>2</v>
      </c>
      <c r="G276" s="670"/>
      <c r="H276" s="671"/>
      <c r="I276" s="671">
        <v>0</v>
      </c>
      <c r="J276" s="671">
        <v>0</v>
      </c>
      <c r="K276" s="671">
        <v>0</v>
      </c>
      <c r="L276" s="671">
        <v>0</v>
      </c>
      <c r="M276" s="666">
        <v>0</v>
      </c>
      <c r="N276" s="666">
        <v>0</v>
      </c>
      <c r="O276" s="666">
        <v>0</v>
      </c>
      <c r="P276" s="666">
        <v>0</v>
      </c>
      <c r="Q276" s="666">
        <v>0</v>
      </c>
      <c r="R276" s="666">
        <v>0</v>
      </c>
      <c r="S276" s="666">
        <v>0</v>
      </c>
      <c r="T276" s="666">
        <v>0</v>
      </c>
      <c r="U276" s="666">
        <v>0</v>
      </c>
      <c r="V276" s="666">
        <v>0</v>
      </c>
      <c r="W276" s="666">
        <v>0</v>
      </c>
      <c r="X276" s="666">
        <v>0</v>
      </c>
      <c r="Y276" s="666">
        <v>0</v>
      </c>
      <c r="Z276" s="666">
        <v>0</v>
      </c>
      <c r="AA276" s="666">
        <v>0</v>
      </c>
      <c r="AB276" s="666">
        <v>0</v>
      </c>
      <c r="AC276" s="666">
        <v>0</v>
      </c>
      <c r="AD276" s="666">
        <v>0</v>
      </c>
      <c r="AE276" s="666">
        <v>0</v>
      </c>
      <c r="AF276" s="666">
        <v>0</v>
      </c>
      <c r="AG276" s="666">
        <v>0</v>
      </c>
      <c r="AH276" s="666">
        <v>0</v>
      </c>
      <c r="AI276" s="666">
        <v>0</v>
      </c>
      <c r="AJ276" s="666">
        <v>0</v>
      </c>
      <c r="AK276" s="666">
        <v>0</v>
      </c>
      <c r="AL276" s="666"/>
      <c r="AM276" s="666"/>
      <c r="AN276" s="666"/>
      <c r="AO276" s="666"/>
      <c r="AP276" s="666"/>
      <c r="AQ276" s="666"/>
      <c r="AR276" s="666"/>
      <c r="AS276" s="666"/>
      <c r="AT276" s="666"/>
      <c r="AU276" s="666"/>
      <c r="AV276" s="666"/>
      <c r="AW276" s="666"/>
      <c r="AX276" s="666"/>
      <c r="AY276" s="666"/>
      <c r="AZ276" s="666"/>
      <c r="BA276" s="666"/>
      <c r="BB276" s="666"/>
      <c r="BC276" s="666"/>
      <c r="BD276" s="666"/>
      <c r="BE276" s="666"/>
      <c r="BF276" s="666"/>
      <c r="BG276" s="666"/>
      <c r="BH276" s="666"/>
      <c r="BI276" s="666"/>
      <c r="BJ276" s="666"/>
      <c r="BK276" s="666"/>
      <c r="BL276" s="666"/>
      <c r="BM276" s="666"/>
      <c r="BN276" s="666"/>
      <c r="BO276" s="666"/>
      <c r="BP276" s="666"/>
      <c r="BQ276" s="666"/>
      <c r="BR276" s="666"/>
      <c r="BS276" s="666"/>
      <c r="BT276" s="666"/>
      <c r="BU276" s="666"/>
      <c r="BV276" s="666"/>
      <c r="BW276" s="666"/>
      <c r="BX276" s="666"/>
      <c r="BY276" s="666"/>
      <c r="BZ276" s="666"/>
      <c r="CA276" s="666"/>
      <c r="CB276" s="666"/>
      <c r="CC276" s="666"/>
      <c r="CD276" s="666"/>
      <c r="CE276" s="666"/>
      <c r="CF276" s="666"/>
      <c r="CG276" s="666"/>
      <c r="CH276" s="666"/>
      <c r="CI276" s="666"/>
      <c r="CJ276" s="1438"/>
    </row>
    <row r="277" spans="2:88" x14ac:dyDescent="0.2">
      <c r="B277" s="897" t="s">
        <v>610</v>
      </c>
      <c r="C277" s="898" t="s">
        <v>785</v>
      </c>
      <c r="D277" s="898" t="s">
        <v>612</v>
      </c>
      <c r="E277" s="898" t="s">
        <v>236</v>
      </c>
      <c r="F277" s="899">
        <v>2</v>
      </c>
      <c r="G277" s="670"/>
      <c r="H277" s="671"/>
      <c r="I277" s="671">
        <v>0</v>
      </c>
      <c r="J277" s="671">
        <v>0</v>
      </c>
      <c r="K277" s="671">
        <v>0</v>
      </c>
      <c r="L277" s="671">
        <v>0</v>
      </c>
      <c r="M277" s="666">
        <v>0</v>
      </c>
      <c r="N277" s="666">
        <v>0</v>
      </c>
      <c r="O277" s="666">
        <v>0</v>
      </c>
      <c r="P277" s="666">
        <v>0</v>
      </c>
      <c r="Q277" s="666">
        <v>0</v>
      </c>
      <c r="R277" s="666">
        <v>0</v>
      </c>
      <c r="S277" s="666">
        <v>0</v>
      </c>
      <c r="T277" s="666">
        <v>0</v>
      </c>
      <c r="U277" s="666">
        <v>0</v>
      </c>
      <c r="V277" s="666">
        <v>0</v>
      </c>
      <c r="W277" s="666">
        <v>0</v>
      </c>
      <c r="X277" s="666">
        <v>0</v>
      </c>
      <c r="Y277" s="666">
        <v>0</v>
      </c>
      <c r="Z277" s="666">
        <v>0</v>
      </c>
      <c r="AA277" s="666">
        <v>0</v>
      </c>
      <c r="AB277" s="666">
        <v>0</v>
      </c>
      <c r="AC277" s="666">
        <v>0</v>
      </c>
      <c r="AD277" s="666">
        <v>0</v>
      </c>
      <c r="AE277" s="666">
        <v>0</v>
      </c>
      <c r="AF277" s="666">
        <v>0</v>
      </c>
      <c r="AG277" s="666">
        <v>0</v>
      </c>
      <c r="AH277" s="666">
        <v>0</v>
      </c>
      <c r="AI277" s="666">
        <v>0</v>
      </c>
      <c r="AJ277" s="666">
        <v>0</v>
      </c>
      <c r="AK277" s="666">
        <v>0</v>
      </c>
      <c r="AL277" s="666"/>
      <c r="AM277" s="666"/>
      <c r="AN277" s="666"/>
      <c r="AO277" s="666"/>
      <c r="AP277" s="666"/>
      <c r="AQ277" s="666"/>
      <c r="AR277" s="666"/>
      <c r="AS277" s="666"/>
      <c r="AT277" s="666"/>
      <c r="AU277" s="666"/>
      <c r="AV277" s="666"/>
      <c r="AW277" s="666"/>
      <c r="AX277" s="666"/>
      <c r="AY277" s="666"/>
      <c r="AZ277" s="666"/>
      <c r="BA277" s="666"/>
      <c r="BB277" s="666"/>
      <c r="BC277" s="666"/>
      <c r="BD277" s="666"/>
      <c r="BE277" s="666"/>
      <c r="BF277" s="666"/>
      <c r="BG277" s="666"/>
      <c r="BH277" s="666"/>
      <c r="BI277" s="666"/>
      <c r="BJ277" s="666"/>
      <c r="BK277" s="666"/>
      <c r="BL277" s="666"/>
      <c r="BM277" s="666"/>
      <c r="BN277" s="666"/>
      <c r="BO277" s="666"/>
      <c r="BP277" s="666"/>
      <c r="BQ277" s="666"/>
      <c r="BR277" s="666"/>
      <c r="BS277" s="666"/>
      <c r="BT277" s="666"/>
      <c r="BU277" s="666"/>
      <c r="BV277" s="666"/>
      <c r="BW277" s="666"/>
      <c r="BX277" s="666"/>
      <c r="BY277" s="666"/>
      <c r="BZ277" s="666"/>
      <c r="CA277" s="666"/>
      <c r="CB277" s="666"/>
      <c r="CC277" s="666"/>
      <c r="CD277" s="666"/>
      <c r="CE277" s="666"/>
      <c r="CF277" s="666"/>
      <c r="CG277" s="666"/>
      <c r="CH277" s="666"/>
      <c r="CI277" s="666"/>
      <c r="CJ277" s="1439"/>
    </row>
    <row r="278" spans="2:88" ht="28.5" x14ac:dyDescent="0.2">
      <c r="B278" s="900" t="s">
        <v>613</v>
      </c>
      <c r="C278" s="901" t="s">
        <v>614</v>
      </c>
      <c r="D278" s="901" t="s">
        <v>615</v>
      </c>
      <c r="E278" s="901" t="s">
        <v>236</v>
      </c>
      <c r="F278" s="902">
        <v>2</v>
      </c>
      <c r="G278" s="670"/>
      <c r="H278" s="671"/>
      <c r="I278" s="671">
        <v>0</v>
      </c>
      <c r="J278" s="671">
        <v>0</v>
      </c>
      <c r="K278" s="671">
        <v>0</v>
      </c>
      <c r="L278" s="671">
        <v>0</v>
      </c>
      <c r="M278" s="666">
        <v>0</v>
      </c>
      <c r="N278" s="666">
        <v>0</v>
      </c>
      <c r="O278" s="666">
        <v>0</v>
      </c>
      <c r="P278" s="666">
        <v>0</v>
      </c>
      <c r="Q278" s="666">
        <v>0</v>
      </c>
      <c r="R278" s="666">
        <v>0</v>
      </c>
      <c r="S278" s="666">
        <v>0</v>
      </c>
      <c r="T278" s="666">
        <v>0</v>
      </c>
      <c r="U278" s="666">
        <v>0</v>
      </c>
      <c r="V278" s="666">
        <v>0</v>
      </c>
      <c r="W278" s="666">
        <v>0</v>
      </c>
      <c r="X278" s="666">
        <v>0</v>
      </c>
      <c r="Y278" s="666">
        <v>0</v>
      </c>
      <c r="Z278" s="666">
        <v>0</v>
      </c>
      <c r="AA278" s="666">
        <v>0</v>
      </c>
      <c r="AB278" s="666">
        <v>0</v>
      </c>
      <c r="AC278" s="666">
        <v>0</v>
      </c>
      <c r="AD278" s="666">
        <v>0</v>
      </c>
      <c r="AE278" s="666">
        <v>0</v>
      </c>
      <c r="AF278" s="666">
        <v>0</v>
      </c>
      <c r="AG278" s="666">
        <v>0</v>
      </c>
      <c r="AH278" s="666">
        <v>0</v>
      </c>
      <c r="AI278" s="666">
        <v>0</v>
      </c>
      <c r="AJ278" s="666">
        <v>0</v>
      </c>
      <c r="AK278" s="666">
        <v>0</v>
      </c>
      <c r="AL278" s="666"/>
      <c r="AM278" s="666"/>
      <c r="AN278" s="666"/>
      <c r="AO278" s="666"/>
      <c r="AP278" s="666"/>
      <c r="AQ278" s="666"/>
      <c r="AR278" s="666"/>
      <c r="AS278" s="666"/>
      <c r="AT278" s="666"/>
      <c r="AU278" s="666"/>
      <c r="AV278" s="666"/>
      <c r="AW278" s="666"/>
      <c r="AX278" s="666"/>
      <c r="AY278" s="666"/>
      <c r="AZ278" s="666"/>
      <c r="BA278" s="666"/>
      <c r="BB278" s="666"/>
      <c r="BC278" s="666"/>
      <c r="BD278" s="666"/>
      <c r="BE278" s="666"/>
      <c r="BF278" s="666"/>
      <c r="BG278" s="666"/>
      <c r="BH278" s="666"/>
      <c r="BI278" s="666"/>
      <c r="BJ278" s="666"/>
      <c r="BK278" s="666"/>
      <c r="BL278" s="666"/>
      <c r="BM278" s="666"/>
      <c r="BN278" s="666"/>
      <c r="BO278" s="666"/>
      <c r="BP278" s="666"/>
      <c r="BQ278" s="666"/>
      <c r="BR278" s="666"/>
      <c r="BS278" s="666"/>
      <c r="BT278" s="666"/>
      <c r="BU278" s="666"/>
      <c r="BV278" s="666"/>
      <c r="BW278" s="666"/>
      <c r="BX278" s="666"/>
      <c r="BY278" s="666"/>
      <c r="BZ278" s="666"/>
      <c r="CA278" s="666"/>
      <c r="CB278" s="666"/>
      <c r="CC278" s="666"/>
      <c r="CD278" s="666"/>
      <c r="CE278" s="666"/>
      <c r="CF278" s="666"/>
      <c r="CG278" s="666"/>
      <c r="CH278" s="666"/>
      <c r="CI278" s="666"/>
      <c r="CJ278" s="1439"/>
    </row>
    <row r="279" spans="2:88" ht="28.5" x14ac:dyDescent="0.2">
      <c r="B279" s="900" t="s">
        <v>616</v>
      </c>
      <c r="C279" s="901" t="s">
        <v>617</v>
      </c>
      <c r="D279" s="901" t="s">
        <v>618</v>
      </c>
      <c r="E279" s="901" t="s">
        <v>236</v>
      </c>
      <c r="F279" s="902">
        <v>2</v>
      </c>
      <c r="G279" s="670"/>
      <c r="H279" s="671"/>
      <c r="I279" s="671">
        <v>0</v>
      </c>
      <c r="J279" s="671">
        <v>0</v>
      </c>
      <c r="K279" s="671">
        <v>0</v>
      </c>
      <c r="L279" s="671">
        <v>0</v>
      </c>
      <c r="M279" s="666">
        <v>0</v>
      </c>
      <c r="N279" s="666">
        <v>0</v>
      </c>
      <c r="O279" s="666">
        <v>0</v>
      </c>
      <c r="P279" s="666">
        <v>0</v>
      </c>
      <c r="Q279" s="666">
        <v>0</v>
      </c>
      <c r="R279" s="666">
        <v>0</v>
      </c>
      <c r="S279" s="666">
        <v>0</v>
      </c>
      <c r="T279" s="666">
        <v>0</v>
      </c>
      <c r="U279" s="666">
        <v>0</v>
      </c>
      <c r="V279" s="666">
        <v>0</v>
      </c>
      <c r="W279" s="666">
        <v>0</v>
      </c>
      <c r="X279" s="666">
        <v>0</v>
      </c>
      <c r="Y279" s="666">
        <v>0</v>
      </c>
      <c r="Z279" s="666">
        <v>0</v>
      </c>
      <c r="AA279" s="666">
        <v>0</v>
      </c>
      <c r="AB279" s="666">
        <v>0</v>
      </c>
      <c r="AC279" s="666">
        <v>0</v>
      </c>
      <c r="AD279" s="666">
        <v>0</v>
      </c>
      <c r="AE279" s="666">
        <v>0</v>
      </c>
      <c r="AF279" s="666">
        <v>0</v>
      </c>
      <c r="AG279" s="666">
        <v>0</v>
      </c>
      <c r="AH279" s="666">
        <v>0</v>
      </c>
      <c r="AI279" s="666">
        <v>0</v>
      </c>
      <c r="AJ279" s="666">
        <v>0</v>
      </c>
      <c r="AK279" s="666">
        <v>0</v>
      </c>
      <c r="AL279" s="666"/>
      <c r="AM279" s="666"/>
      <c r="AN279" s="666"/>
      <c r="AO279" s="666"/>
      <c r="AP279" s="666"/>
      <c r="AQ279" s="666"/>
      <c r="AR279" s="666"/>
      <c r="AS279" s="666"/>
      <c r="AT279" s="666"/>
      <c r="AU279" s="666"/>
      <c r="AV279" s="666"/>
      <c r="AW279" s="666"/>
      <c r="AX279" s="666"/>
      <c r="AY279" s="666"/>
      <c r="AZ279" s="666"/>
      <c r="BA279" s="666"/>
      <c r="BB279" s="666"/>
      <c r="BC279" s="666"/>
      <c r="BD279" s="666"/>
      <c r="BE279" s="666"/>
      <c r="BF279" s="666"/>
      <c r="BG279" s="666"/>
      <c r="BH279" s="666"/>
      <c r="BI279" s="666"/>
      <c r="BJ279" s="666"/>
      <c r="BK279" s="666"/>
      <c r="BL279" s="666"/>
      <c r="BM279" s="666"/>
      <c r="BN279" s="666"/>
      <c r="BO279" s="666"/>
      <c r="BP279" s="666"/>
      <c r="BQ279" s="666"/>
      <c r="BR279" s="666"/>
      <c r="BS279" s="666"/>
      <c r="BT279" s="666"/>
      <c r="BU279" s="666"/>
      <c r="BV279" s="666"/>
      <c r="BW279" s="666"/>
      <c r="BX279" s="666"/>
      <c r="BY279" s="666"/>
      <c r="BZ279" s="666"/>
      <c r="CA279" s="666"/>
      <c r="CB279" s="666"/>
      <c r="CC279" s="666"/>
      <c r="CD279" s="666"/>
      <c r="CE279" s="666"/>
      <c r="CF279" s="666"/>
      <c r="CG279" s="666"/>
      <c r="CH279" s="666"/>
      <c r="CI279" s="666"/>
      <c r="CJ279" s="1439"/>
    </row>
    <row r="280" spans="2:88" ht="28.5" x14ac:dyDescent="0.2">
      <c r="B280" s="900" t="s">
        <v>619</v>
      </c>
      <c r="C280" s="901" t="s">
        <v>620</v>
      </c>
      <c r="D280" s="901" t="s">
        <v>621</v>
      </c>
      <c r="E280" s="901" t="s">
        <v>236</v>
      </c>
      <c r="F280" s="902">
        <v>2</v>
      </c>
      <c r="G280" s="670"/>
      <c r="H280" s="671"/>
      <c r="I280" s="671">
        <v>0</v>
      </c>
      <c r="J280" s="671">
        <v>0</v>
      </c>
      <c r="K280" s="671">
        <v>0</v>
      </c>
      <c r="L280" s="671">
        <v>0</v>
      </c>
      <c r="M280" s="666">
        <v>0</v>
      </c>
      <c r="N280" s="666">
        <v>0</v>
      </c>
      <c r="O280" s="666">
        <v>0</v>
      </c>
      <c r="P280" s="666">
        <v>0</v>
      </c>
      <c r="Q280" s="666">
        <v>0</v>
      </c>
      <c r="R280" s="666">
        <v>0</v>
      </c>
      <c r="S280" s="666">
        <v>0</v>
      </c>
      <c r="T280" s="666">
        <v>0</v>
      </c>
      <c r="U280" s="666">
        <v>0</v>
      </c>
      <c r="V280" s="666">
        <v>0</v>
      </c>
      <c r="W280" s="666">
        <v>0</v>
      </c>
      <c r="X280" s="666">
        <v>0</v>
      </c>
      <c r="Y280" s="666">
        <v>0</v>
      </c>
      <c r="Z280" s="666">
        <v>0</v>
      </c>
      <c r="AA280" s="666">
        <v>0</v>
      </c>
      <c r="AB280" s="666">
        <v>0</v>
      </c>
      <c r="AC280" s="666">
        <v>0</v>
      </c>
      <c r="AD280" s="666">
        <v>0</v>
      </c>
      <c r="AE280" s="666">
        <v>0</v>
      </c>
      <c r="AF280" s="666">
        <v>0</v>
      </c>
      <c r="AG280" s="666">
        <v>0</v>
      </c>
      <c r="AH280" s="666">
        <v>0</v>
      </c>
      <c r="AI280" s="666">
        <v>0</v>
      </c>
      <c r="AJ280" s="666">
        <v>0</v>
      </c>
      <c r="AK280" s="666">
        <v>0</v>
      </c>
      <c r="AL280" s="666"/>
      <c r="AM280" s="666"/>
      <c r="AN280" s="666"/>
      <c r="AO280" s="666"/>
      <c r="AP280" s="666"/>
      <c r="AQ280" s="666"/>
      <c r="AR280" s="666"/>
      <c r="AS280" s="666"/>
      <c r="AT280" s="666"/>
      <c r="AU280" s="666"/>
      <c r="AV280" s="666"/>
      <c r="AW280" s="666"/>
      <c r="AX280" s="666"/>
      <c r="AY280" s="666"/>
      <c r="AZ280" s="666"/>
      <c r="BA280" s="666"/>
      <c r="BB280" s="666"/>
      <c r="BC280" s="666"/>
      <c r="BD280" s="666"/>
      <c r="BE280" s="666"/>
      <c r="BF280" s="666"/>
      <c r="BG280" s="666"/>
      <c r="BH280" s="666"/>
      <c r="BI280" s="666"/>
      <c r="BJ280" s="666"/>
      <c r="BK280" s="666"/>
      <c r="BL280" s="666"/>
      <c r="BM280" s="666"/>
      <c r="BN280" s="666"/>
      <c r="BO280" s="666"/>
      <c r="BP280" s="666"/>
      <c r="BQ280" s="666"/>
      <c r="BR280" s="666"/>
      <c r="BS280" s="666"/>
      <c r="BT280" s="666"/>
      <c r="BU280" s="666"/>
      <c r="BV280" s="666"/>
      <c r="BW280" s="666"/>
      <c r="BX280" s="666"/>
      <c r="BY280" s="666"/>
      <c r="BZ280" s="666"/>
      <c r="CA280" s="666"/>
      <c r="CB280" s="666"/>
      <c r="CC280" s="666"/>
      <c r="CD280" s="666"/>
      <c r="CE280" s="666"/>
      <c r="CF280" s="666"/>
      <c r="CG280" s="666"/>
      <c r="CH280" s="666"/>
      <c r="CI280" s="666"/>
      <c r="CJ280" s="1439"/>
    </row>
    <row r="281" spans="2:88" ht="28.5" x14ac:dyDescent="0.2">
      <c r="B281" s="903" t="s">
        <v>622</v>
      </c>
      <c r="C281" s="904" t="s">
        <v>623</v>
      </c>
      <c r="D281" s="904" t="s">
        <v>624</v>
      </c>
      <c r="E281" s="904" t="s">
        <v>236</v>
      </c>
      <c r="F281" s="902">
        <v>2</v>
      </c>
      <c r="G281" s="670"/>
      <c r="H281" s="671"/>
      <c r="I281" s="671">
        <v>0</v>
      </c>
      <c r="J281" s="671">
        <v>0</v>
      </c>
      <c r="K281" s="671">
        <v>0</v>
      </c>
      <c r="L281" s="671">
        <v>0</v>
      </c>
      <c r="M281" s="666">
        <v>0</v>
      </c>
      <c r="N281" s="666">
        <v>0</v>
      </c>
      <c r="O281" s="666">
        <v>0</v>
      </c>
      <c r="P281" s="666">
        <v>0</v>
      </c>
      <c r="Q281" s="666">
        <v>0</v>
      </c>
      <c r="R281" s="666">
        <v>0</v>
      </c>
      <c r="S281" s="666">
        <v>0</v>
      </c>
      <c r="T281" s="666">
        <v>0</v>
      </c>
      <c r="U281" s="666">
        <v>0</v>
      </c>
      <c r="V281" s="666">
        <v>0</v>
      </c>
      <c r="W281" s="666">
        <v>0</v>
      </c>
      <c r="X281" s="666">
        <v>0</v>
      </c>
      <c r="Y281" s="666">
        <v>0</v>
      </c>
      <c r="Z281" s="666">
        <v>0</v>
      </c>
      <c r="AA281" s="666">
        <v>0</v>
      </c>
      <c r="AB281" s="666">
        <v>0</v>
      </c>
      <c r="AC281" s="666">
        <v>0</v>
      </c>
      <c r="AD281" s="666">
        <v>0</v>
      </c>
      <c r="AE281" s="666">
        <v>0</v>
      </c>
      <c r="AF281" s="666">
        <v>0</v>
      </c>
      <c r="AG281" s="666">
        <v>0</v>
      </c>
      <c r="AH281" s="666">
        <v>0</v>
      </c>
      <c r="AI281" s="666">
        <v>0</v>
      </c>
      <c r="AJ281" s="666">
        <v>0</v>
      </c>
      <c r="AK281" s="666">
        <v>0</v>
      </c>
      <c r="AL281" s="666"/>
      <c r="AM281" s="666"/>
      <c r="AN281" s="666"/>
      <c r="AO281" s="666"/>
      <c r="AP281" s="666"/>
      <c r="AQ281" s="666"/>
      <c r="AR281" s="666"/>
      <c r="AS281" s="666"/>
      <c r="AT281" s="666"/>
      <c r="AU281" s="666"/>
      <c r="AV281" s="666"/>
      <c r="AW281" s="666"/>
      <c r="AX281" s="666"/>
      <c r="AY281" s="666"/>
      <c r="AZ281" s="666"/>
      <c r="BA281" s="666"/>
      <c r="BB281" s="666"/>
      <c r="BC281" s="666"/>
      <c r="BD281" s="666"/>
      <c r="BE281" s="666"/>
      <c r="BF281" s="666"/>
      <c r="BG281" s="666"/>
      <c r="BH281" s="666"/>
      <c r="BI281" s="666"/>
      <c r="BJ281" s="666"/>
      <c r="BK281" s="666"/>
      <c r="BL281" s="666"/>
      <c r="BM281" s="666"/>
      <c r="BN281" s="666"/>
      <c r="BO281" s="666"/>
      <c r="BP281" s="666"/>
      <c r="BQ281" s="666"/>
      <c r="BR281" s="666"/>
      <c r="BS281" s="666"/>
      <c r="BT281" s="666"/>
      <c r="BU281" s="666"/>
      <c r="BV281" s="666"/>
      <c r="BW281" s="666"/>
      <c r="BX281" s="666"/>
      <c r="BY281" s="666"/>
      <c r="BZ281" s="666"/>
      <c r="CA281" s="666"/>
      <c r="CB281" s="666"/>
      <c r="CC281" s="666"/>
      <c r="CD281" s="666"/>
      <c r="CE281" s="666"/>
      <c r="CF281" s="666"/>
      <c r="CG281" s="666"/>
      <c r="CH281" s="666"/>
      <c r="CI281" s="666"/>
      <c r="CJ281" s="1439"/>
    </row>
    <row r="282" spans="2:88" x14ac:dyDescent="0.2">
      <c r="B282" s="900" t="s">
        <v>625</v>
      </c>
      <c r="C282" s="901" t="s">
        <v>626</v>
      </c>
      <c r="D282" s="901" t="s">
        <v>627</v>
      </c>
      <c r="E282" s="901" t="s">
        <v>236</v>
      </c>
      <c r="F282" s="902">
        <v>2</v>
      </c>
      <c r="G282" s="670"/>
      <c r="H282" s="671"/>
      <c r="I282" s="671">
        <v>0</v>
      </c>
      <c r="J282" s="671">
        <v>0</v>
      </c>
      <c r="K282" s="671">
        <v>0</v>
      </c>
      <c r="L282" s="671">
        <v>0</v>
      </c>
      <c r="M282" s="666">
        <v>0</v>
      </c>
      <c r="N282" s="666">
        <v>0</v>
      </c>
      <c r="O282" s="666">
        <v>0</v>
      </c>
      <c r="P282" s="666">
        <v>0</v>
      </c>
      <c r="Q282" s="666">
        <v>0</v>
      </c>
      <c r="R282" s="666">
        <v>0</v>
      </c>
      <c r="S282" s="666">
        <v>0</v>
      </c>
      <c r="T282" s="666">
        <v>0</v>
      </c>
      <c r="U282" s="666">
        <v>0</v>
      </c>
      <c r="V282" s="666">
        <v>0</v>
      </c>
      <c r="W282" s="666">
        <v>0</v>
      </c>
      <c r="X282" s="666">
        <v>0</v>
      </c>
      <c r="Y282" s="666">
        <v>0</v>
      </c>
      <c r="Z282" s="666">
        <v>0</v>
      </c>
      <c r="AA282" s="666">
        <v>0</v>
      </c>
      <c r="AB282" s="666">
        <v>0</v>
      </c>
      <c r="AC282" s="666">
        <v>0</v>
      </c>
      <c r="AD282" s="666">
        <v>0</v>
      </c>
      <c r="AE282" s="666">
        <v>0</v>
      </c>
      <c r="AF282" s="666">
        <v>0</v>
      </c>
      <c r="AG282" s="666">
        <v>0</v>
      </c>
      <c r="AH282" s="666">
        <v>0</v>
      </c>
      <c r="AI282" s="666">
        <v>0</v>
      </c>
      <c r="AJ282" s="666">
        <v>0</v>
      </c>
      <c r="AK282" s="666">
        <v>0</v>
      </c>
      <c r="AL282" s="666"/>
      <c r="AM282" s="666"/>
      <c r="AN282" s="666"/>
      <c r="AO282" s="666"/>
      <c r="AP282" s="666"/>
      <c r="AQ282" s="666"/>
      <c r="AR282" s="666"/>
      <c r="AS282" s="666"/>
      <c r="AT282" s="666"/>
      <c r="AU282" s="666"/>
      <c r="AV282" s="666"/>
      <c r="AW282" s="666"/>
      <c r="AX282" s="666"/>
      <c r="AY282" s="666"/>
      <c r="AZ282" s="666"/>
      <c r="BA282" s="666"/>
      <c r="BB282" s="666"/>
      <c r="BC282" s="666"/>
      <c r="BD282" s="666"/>
      <c r="BE282" s="666"/>
      <c r="BF282" s="666"/>
      <c r="BG282" s="666"/>
      <c r="BH282" s="666"/>
      <c r="BI282" s="666"/>
      <c r="BJ282" s="666"/>
      <c r="BK282" s="666"/>
      <c r="BL282" s="666"/>
      <c r="BM282" s="666"/>
      <c r="BN282" s="666"/>
      <c r="BO282" s="666"/>
      <c r="BP282" s="666"/>
      <c r="BQ282" s="666"/>
      <c r="BR282" s="666"/>
      <c r="BS282" s="666"/>
      <c r="BT282" s="666"/>
      <c r="BU282" s="666"/>
      <c r="BV282" s="666"/>
      <c r="BW282" s="666"/>
      <c r="BX282" s="666"/>
      <c r="BY282" s="666"/>
      <c r="BZ282" s="666"/>
      <c r="CA282" s="666"/>
      <c r="CB282" s="666"/>
      <c r="CC282" s="666"/>
      <c r="CD282" s="666"/>
      <c r="CE282" s="666"/>
      <c r="CF282" s="666"/>
      <c r="CG282" s="666"/>
      <c r="CH282" s="666"/>
      <c r="CI282" s="666"/>
      <c r="CJ282" s="1439"/>
    </row>
    <row r="283" spans="2:88" ht="38.25" customHeight="1" x14ac:dyDescent="0.2">
      <c r="B283" s="905" t="s">
        <v>628</v>
      </c>
      <c r="C283" s="906" t="s">
        <v>629</v>
      </c>
      <c r="D283" s="907" t="s">
        <v>630</v>
      </c>
      <c r="E283" s="906" t="s">
        <v>236</v>
      </c>
      <c r="F283" s="908">
        <v>2</v>
      </c>
      <c r="G283" s="670"/>
      <c r="H283" s="671"/>
      <c r="I283" s="671">
        <v>0</v>
      </c>
      <c r="J283" s="671">
        <v>0</v>
      </c>
      <c r="K283" s="671">
        <v>0</v>
      </c>
      <c r="L283" s="671">
        <v>0</v>
      </c>
      <c r="M283" s="666">
        <v>0</v>
      </c>
      <c r="N283" s="666">
        <v>0</v>
      </c>
      <c r="O283" s="666">
        <v>0</v>
      </c>
      <c r="P283" s="666">
        <v>0</v>
      </c>
      <c r="Q283" s="666">
        <v>0</v>
      </c>
      <c r="R283" s="666">
        <v>0</v>
      </c>
      <c r="S283" s="666">
        <v>0</v>
      </c>
      <c r="T283" s="666">
        <v>0</v>
      </c>
      <c r="U283" s="666">
        <v>0</v>
      </c>
      <c r="V283" s="666">
        <v>0</v>
      </c>
      <c r="W283" s="666">
        <v>0</v>
      </c>
      <c r="X283" s="666">
        <v>0</v>
      </c>
      <c r="Y283" s="666">
        <v>0</v>
      </c>
      <c r="Z283" s="666">
        <v>0</v>
      </c>
      <c r="AA283" s="666">
        <v>0</v>
      </c>
      <c r="AB283" s="666">
        <v>0</v>
      </c>
      <c r="AC283" s="666">
        <v>0</v>
      </c>
      <c r="AD283" s="666">
        <v>0</v>
      </c>
      <c r="AE283" s="666">
        <v>0</v>
      </c>
      <c r="AF283" s="666">
        <v>0</v>
      </c>
      <c r="AG283" s="666">
        <v>0</v>
      </c>
      <c r="AH283" s="666">
        <v>0</v>
      </c>
      <c r="AI283" s="666">
        <v>0</v>
      </c>
      <c r="AJ283" s="666">
        <v>0</v>
      </c>
      <c r="AK283" s="666">
        <v>0</v>
      </c>
      <c r="AL283" s="666"/>
      <c r="AM283" s="666"/>
      <c r="AN283" s="666"/>
      <c r="AO283" s="666"/>
      <c r="AP283" s="666"/>
      <c r="AQ283" s="666"/>
      <c r="AR283" s="666"/>
      <c r="AS283" s="666"/>
      <c r="AT283" s="666"/>
      <c r="AU283" s="666"/>
      <c r="AV283" s="666"/>
      <c r="AW283" s="666"/>
      <c r="AX283" s="666"/>
      <c r="AY283" s="666"/>
      <c r="AZ283" s="666"/>
      <c r="BA283" s="666"/>
      <c r="BB283" s="666"/>
      <c r="BC283" s="666"/>
      <c r="BD283" s="666"/>
      <c r="BE283" s="666"/>
      <c r="BF283" s="666"/>
      <c r="BG283" s="666"/>
      <c r="BH283" s="666"/>
      <c r="BI283" s="666"/>
      <c r="BJ283" s="666"/>
      <c r="BK283" s="666"/>
      <c r="BL283" s="666"/>
      <c r="BM283" s="666"/>
      <c r="BN283" s="666"/>
      <c r="BO283" s="666"/>
      <c r="BP283" s="666"/>
      <c r="BQ283" s="666"/>
      <c r="BR283" s="666"/>
      <c r="BS283" s="666"/>
      <c r="BT283" s="666"/>
      <c r="BU283" s="666"/>
      <c r="BV283" s="666"/>
      <c r="BW283" s="666"/>
      <c r="BX283" s="666"/>
      <c r="BY283" s="666"/>
      <c r="BZ283" s="666"/>
      <c r="CA283" s="666"/>
      <c r="CB283" s="666"/>
      <c r="CC283" s="666"/>
      <c r="CD283" s="666"/>
      <c r="CE283" s="666"/>
      <c r="CF283" s="666"/>
      <c r="CG283" s="666"/>
      <c r="CH283" s="666"/>
      <c r="CI283" s="666"/>
      <c r="CJ283" s="1439"/>
    </row>
    <row r="284" spans="2:88" ht="38.25" customHeight="1" x14ac:dyDescent="0.2">
      <c r="B284" s="1508" t="s">
        <v>631</v>
      </c>
      <c r="C284" s="1509" t="s">
        <v>786</v>
      </c>
      <c r="D284" s="907" t="s">
        <v>633</v>
      </c>
      <c r="E284" s="906" t="s">
        <v>236</v>
      </c>
      <c r="F284" s="908">
        <v>2</v>
      </c>
      <c r="G284" s="670"/>
      <c r="H284" s="671"/>
      <c r="I284" s="671">
        <v>0.57720403670028597</v>
      </c>
      <c r="J284" s="671">
        <v>0.57570487083744704</v>
      </c>
      <c r="K284" s="671">
        <v>0.55501289095453876</v>
      </c>
      <c r="L284" s="671">
        <v>0.54558184007945942</v>
      </c>
      <c r="M284" s="666">
        <v>0.53305424018716518</v>
      </c>
      <c r="N284" s="666">
        <v>0.52968093620338152</v>
      </c>
      <c r="O284" s="666">
        <v>0.52663046289707693</v>
      </c>
      <c r="P284" s="666">
        <v>0.51741019865680404</v>
      </c>
      <c r="Q284" s="666">
        <v>0.49433250264925765</v>
      </c>
      <c r="R284" s="666">
        <v>0.46785689304863076</v>
      </c>
      <c r="S284" s="666">
        <v>0.45444750716627735</v>
      </c>
      <c r="T284" s="666">
        <v>0.44834527803884361</v>
      </c>
      <c r="U284" s="666">
        <v>0.44092622900784972</v>
      </c>
      <c r="V284" s="666">
        <v>0.4336671400646257</v>
      </c>
      <c r="W284" s="666">
        <v>0.43167493605989909</v>
      </c>
      <c r="X284" s="666">
        <v>0.42979591814252294</v>
      </c>
      <c r="Y284" s="666">
        <v>0.42806107818335626</v>
      </c>
      <c r="Z284" s="666">
        <v>0.4264905801425542</v>
      </c>
      <c r="AA284" s="666">
        <v>0.42468210955986918</v>
      </c>
      <c r="AB284" s="666">
        <v>0.422186089209586</v>
      </c>
      <c r="AC284" s="666">
        <v>0.42033005858050854</v>
      </c>
      <c r="AD284" s="666">
        <v>0.41867586799706447</v>
      </c>
      <c r="AE284" s="666">
        <v>0.41876635472698676</v>
      </c>
      <c r="AF284" s="666">
        <v>0.41891341855435643</v>
      </c>
      <c r="AG284" s="666">
        <v>0.41905975802223194</v>
      </c>
      <c r="AH284" s="666">
        <v>0.41933557828751078</v>
      </c>
      <c r="AI284" s="666">
        <v>0.41962978994876299</v>
      </c>
      <c r="AJ284" s="666">
        <v>0.42000763055728113</v>
      </c>
      <c r="AK284" s="666">
        <v>0.4203595861863052</v>
      </c>
      <c r="AL284" s="666"/>
      <c r="AM284" s="666"/>
      <c r="AN284" s="666"/>
      <c r="AO284" s="666"/>
      <c r="AP284" s="666"/>
      <c r="AQ284" s="666"/>
      <c r="AR284" s="666"/>
      <c r="AS284" s="666"/>
      <c r="AT284" s="666"/>
      <c r="AU284" s="666"/>
      <c r="AV284" s="666"/>
      <c r="AW284" s="666"/>
      <c r="AX284" s="666"/>
      <c r="AY284" s="666"/>
      <c r="AZ284" s="666"/>
      <c r="BA284" s="666"/>
      <c r="BB284" s="666"/>
      <c r="BC284" s="666"/>
      <c r="BD284" s="666"/>
      <c r="BE284" s="666"/>
      <c r="BF284" s="666"/>
      <c r="BG284" s="666"/>
      <c r="BH284" s="666"/>
      <c r="BI284" s="666"/>
      <c r="BJ284" s="666"/>
      <c r="BK284" s="666"/>
      <c r="BL284" s="666"/>
      <c r="BM284" s="666"/>
      <c r="BN284" s="666"/>
      <c r="BO284" s="666"/>
      <c r="BP284" s="666"/>
      <c r="BQ284" s="666"/>
      <c r="BR284" s="666"/>
      <c r="BS284" s="666"/>
      <c r="BT284" s="666"/>
      <c r="BU284" s="666"/>
      <c r="BV284" s="666"/>
      <c r="BW284" s="666"/>
      <c r="BX284" s="666"/>
      <c r="BY284" s="666"/>
      <c r="BZ284" s="666"/>
      <c r="CA284" s="666"/>
      <c r="CB284" s="666"/>
      <c r="CC284" s="666"/>
      <c r="CD284" s="666"/>
      <c r="CE284" s="666"/>
      <c r="CF284" s="666"/>
      <c r="CG284" s="666"/>
      <c r="CH284" s="666"/>
      <c r="CI284" s="666"/>
      <c r="CJ284" s="1439"/>
    </row>
    <row r="285" spans="2:88" ht="42.75" x14ac:dyDescent="0.2">
      <c r="B285" s="900" t="s">
        <v>634</v>
      </c>
      <c r="C285" s="901" t="s">
        <v>635</v>
      </c>
      <c r="D285" s="901" t="s">
        <v>636</v>
      </c>
      <c r="E285" s="901" t="s">
        <v>236</v>
      </c>
      <c r="F285" s="902">
        <v>2</v>
      </c>
      <c r="G285" s="670"/>
      <c r="H285" s="671"/>
      <c r="I285" s="671">
        <v>0</v>
      </c>
      <c r="J285" s="671">
        <v>0</v>
      </c>
      <c r="K285" s="671">
        <v>0</v>
      </c>
      <c r="L285" s="671">
        <v>0</v>
      </c>
      <c r="M285" s="666">
        <v>0</v>
      </c>
      <c r="N285" s="666">
        <v>0</v>
      </c>
      <c r="O285" s="666">
        <v>0</v>
      </c>
      <c r="P285" s="666">
        <v>0</v>
      </c>
      <c r="Q285" s="666">
        <v>0</v>
      </c>
      <c r="R285" s="666">
        <v>0</v>
      </c>
      <c r="S285" s="666">
        <v>0</v>
      </c>
      <c r="T285" s="666">
        <v>0</v>
      </c>
      <c r="U285" s="666">
        <v>0</v>
      </c>
      <c r="V285" s="666">
        <v>0</v>
      </c>
      <c r="W285" s="666">
        <v>0</v>
      </c>
      <c r="X285" s="666">
        <v>0</v>
      </c>
      <c r="Y285" s="666">
        <v>0</v>
      </c>
      <c r="Z285" s="666">
        <v>0</v>
      </c>
      <c r="AA285" s="666">
        <v>0</v>
      </c>
      <c r="AB285" s="666">
        <v>0</v>
      </c>
      <c r="AC285" s="666">
        <v>0</v>
      </c>
      <c r="AD285" s="666">
        <v>0</v>
      </c>
      <c r="AE285" s="666">
        <v>0</v>
      </c>
      <c r="AF285" s="666">
        <v>0</v>
      </c>
      <c r="AG285" s="666">
        <v>0</v>
      </c>
      <c r="AH285" s="666">
        <v>0</v>
      </c>
      <c r="AI285" s="666">
        <v>0</v>
      </c>
      <c r="AJ285" s="666">
        <v>0</v>
      </c>
      <c r="AK285" s="666">
        <v>0</v>
      </c>
      <c r="AL285" s="666"/>
      <c r="AM285" s="666"/>
      <c r="AN285" s="666"/>
      <c r="AO285" s="666"/>
      <c r="AP285" s="666"/>
      <c r="AQ285" s="666"/>
      <c r="AR285" s="666"/>
      <c r="AS285" s="666"/>
      <c r="AT285" s="666"/>
      <c r="AU285" s="666"/>
      <c r="AV285" s="666"/>
      <c r="AW285" s="666"/>
      <c r="AX285" s="666"/>
      <c r="AY285" s="666"/>
      <c r="AZ285" s="666"/>
      <c r="BA285" s="666"/>
      <c r="BB285" s="666"/>
      <c r="BC285" s="666"/>
      <c r="BD285" s="666"/>
      <c r="BE285" s="666"/>
      <c r="BF285" s="666"/>
      <c r="BG285" s="666"/>
      <c r="BH285" s="666"/>
      <c r="BI285" s="666"/>
      <c r="BJ285" s="666"/>
      <c r="BK285" s="666"/>
      <c r="BL285" s="666"/>
      <c r="BM285" s="666"/>
      <c r="BN285" s="666"/>
      <c r="BO285" s="666"/>
      <c r="BP285" s="666"/>
      <c r="BQ285" s="666"/>
      <c r="BR285" s="666"/>
      <c r="BS285" s="666"/>
      <c r="BT285" s="666"/>
      <c r="BU285" s="666"/>
      <c r="BV285" s="666"/>
      <c r="BW285" s="666"/>
      <c r="BX285" s="666"/>
      <c r="BY285" s="666"/>
      <c r="BZ285" s="666"/>
      <c r="CA285" s="666"/>
      <c r="CB285" s="666"/>
      <c r="CC285" s="666"/>
      <c r="CD285" s="666"/>
      <c r="CE285" s="666"/>
      <c r="CF285" s="666"/>
      <c r="CG285" s="666"/>
      <c r="CH285" s="666"/>
      <c r="CI285" s="666"/>
      <c r="CJ285" s="1439"/>
    </row>
    <row r="286" spans="2:88" x14ac:dyDescent="0.2">
      <c r="B286" s="900" t="s">
        <v>637</v>
      </c>
      <c r="C286" s="901" t="s">
        <v>638</v>
      </c>
      <c r="D286" s="901" t="s">
        <v>639</v>
      </c>
      <c r="E286" s="901" t="s">
        <v>236</v>
      </c>
      <c r="F286" s="902">
        <v>2</v>
      </c>
      <c r="G286" s="670"/>
      <c r="H286" s="671"/>
      <c r="I286" s="671">
        <v>0</v>
      </c>
      <c r="J286" s="671">
        <v>0</v>
      </c>
      <c r="K286" s="671">
        <v>0</v>
      </c>
      <c r="L286" s="671">
        <v>0</v>
      </c>
      <c r="M286" s="666">
        <v>0</v>
      </c>
      <c r="N286" s="666">
        <v>0</v>
      </c>
      <c r="O286" s="666">
        <v>0</v>
      </c>
      <c r="P286" s="666">
        <v>0</v>
      </c>
      <c r="Q286" s="666">
        <v>0</v>
      </c>
      <c r="R286" s="666">
        <v>0</v>
      </c>
      <c r="S286" s="666">
        <v>0</v>
      </c>
      <c r="T286" s="666">
        <v>0</v>
      </c>
      <c r="U286" s="666">
        <v>0</v>
      </c>
      <c r="V286" s="666">
        <v>0</v>
      </c>
      <c r="W286" s="666">
        <v>0</v>
      </c>
      <c r="X286" s="666">
        <v>0</v>
      </c>
      <c r="Y286" s="666">
        <v>0</v>
      </c>
      <c r="Z286" s="666">
        <v>0</v>
      </c>
      <c r="AA286" s="666">
        <v>0</v>
      </c>
      <c r="AB286" s="666">
        <v>0</v>
      </c>
      <c r="AC286" s="666">
        <v>0</v>
      </c>
      <c r="AD286" s="666">
        <v>0</v>
      </c>
      <c r="AE286" s="666">
        <v>0</v>
      </c>
      <c r="AF286" s="666">
        <v>0</v>
      </c>
      <c r="AG286" s="666">
        <v>0</v>
      </c>
      <c r="AH286" s="666">
        <v>0</v>
      </c>
      <c r="AI286" s="666">
        <v>0</v>
      </c>
      <c r="AJ286" s="666">
        <v>0</v>
      </c>
      <c r="AK286" s="666">
        <v>0</v>
      </c>
      <c r="AL286" s="666"/>
      <c r="AM286" s="666"/>
      <c r="AN286" s="666"/>
      <c r="AO286" s="666"/>
      <c r="AP286" s="666"/>
      <c r="AQ286" s="666"/>
      <c r="AR286" s="666"/>
      <c r="AS286" s="666"/>
      <c r="AT286" s="666"/>
      <c r="AU286" s="666"/>
      <c r="AV286" s="666"/>
      <c r="AW286" s="666"/>
      <c r="AX286" s="666"/>
      <c r="AY286" s="666"/>
      <c r="AZ286" s="666"/>
      <c r="BA286" s="666"/>
      <c r="BB286" s="666"/>
      <c r="BC286" s="666"/>
      <c r="BD286" s="666"/>
      <c r="BE286" s="666"/>
      <c r="BF286" s="666"/>
      <c r="BG286" s="666"/>
      <c r="BH286" s="666"/>
      <c r="BI286" s="666"/>
      <c r="BJ286" s="666"/>
      <c r="BK286" s="666"/>
      <c r="BL286" s="666"/>
      <c r="BM286" s="666"/>
      <c r="BN286" s="666"/>
      <c r="BO286" s="666"/>
      <c r="BP286" s="666"/>
      <c r="BQ286" s="666"/>
      <c r="BR286" s="666"/>
      <c r="BS286" s="666"/>
      <c r="BT286" s="666"/>
      <c r="BU286" s="666"/>
      <c r="BV286" s="666"/>
      <c r="BW286" s="666"/>
      <c r="BX286" s="666"/>
      <c r="BY286" s="666"/>
      <c r="BZ286" s="666"/>
      <c r="CA286" s="666"/>
      <c r="CB286" s="666"/>
      <c r="CC286" s="666"/>
      <c r="CD286" s="666"/>
      <c r="CE286" s="666"/>
      <c r="CF286" s="666"/>
      <c r="CG286" s="666"/>
      <c r="CH286" s="666"/>
      <c r="CI286" s="666"/>
      <c r="CJ286" s="1439"/>
    </row>
    <row r="287" spans="2:88" ht="15" thickBot="1" x14ac:dyDescent="0.25">
      <c r="B287" s="909" t="s">
        <v>640</v>
      </c>
      <c r="C287" s="910" t="s">
        <v>641</v>
      </c>
      <c r="D287" s="910" t="s">
        <v>642</v>
      </c>
      <c r="E287" s="910" t="s">
        <v>236</v>
      </c>
      <c r="F287" s="911">
        <v>2</v>
      </c>
      <c r="G287" s="681"/>
      <c r="H287" s="682"/>
      <c r="I287" s="682">
        <v>0</v>
      </c>
      <c r="J287" s="682">
        <v>0</v>
      </c>
      <c r="K287" s="682">
        <v>0</v>
      </c>
      <c r="L287" s="682">
        <v>0</v>
      </c>
      <c r="M287" s="683">
        <v>0</v>
      </c>
      <c r="N287" s="683">
        <v>0</v>
      </c>
      <c r="O287" s="683">
        <v>0</v>
      </c>
      <c r="P287" s="683">
        <v>0</v>
      </c>
      <c r="Q287" s="683">
        <v>0</v>
      </c>
      <c r="R287" s="683">
        <v>0</v>
      </c>
      <c r="S287" s="683">
        <v>0</v>
      </c>
      <c r="T287" s="683">
        <v>0</v>
      </c>
      <c r="U287" s="683">
        <v>0</v>
      </c>
      <c r="V287" s="683">
        <v>0</v>
      </c>
      <c r="W287" s="683">
        <v>0</v>
      </c>
      <c r="X287" s="683">
        <v>0</v>
      </c>
      <c r="Y287" s="683">
        <v>0</v>
      </c>
      <c r="Z287" s="683">
        <v>0</v>
      </c>
      <c r="AA287" s="683">
        <v>0</v>
      </c>
      <c r="AB287" s="683">
        <v>0</v>
      </c>
      <c r="AC287" s="683">
        <v>0</v>
      </c>
      <c r="AD287" s="683">
        <v>0</v>
      </c>
      <c r="AE287" s="683">
        <v>0</v>
      </c>
      <c r="AF287" s="683">
        <v>0</v>
      </c>
      <c r="AG287" s="683">
        <v>0</v>
      </c>
      <c r="AH287" s="683">
        <v>0</v>
      </c>
      <c r="AI287" s="683">
        <v>0</v>
      </c>
      <c r="AJ287" s="683">
        <v>0</v>
      </c>
      <c r="AK287" s="683">
        <v>0</v>
      </c>
      <c r="AL287" s="666"/>
      <c r="AM287" s="666"/>
      <c r="AN287" s="666"/>
      <c r="AO287" s="666"/>
      <c r="AP287" s="666"/>
      <c r="AQ287" s="666"/>
      <c r="AR287" s="666"/>
      <c r="AS287" s="666"/>
      <c r="AT287" s="666"/>
      <c r="AU287" s="666"/>
      <c r="AV287" s="666"/>
      <c r="AW287" s="666"/>
      <c r="AX287" s="666"/>
      <c r="AY287" s="666"/>
      <c r="AZ287" s="666"/>
      <c r="BA287" s="666"/>
      <c r="BB287" s="666"/>
      <c r="BC287" s="666"/>
      <c r="BD287" s="666"/>
      <c r="BE287" s="666"/>
      <c r="BF287" s="666"/>
      <c r="BG287" s="666"/>
      <c r="BH287" s="666"/>
      <c r="BI287" s="666"/>
      <c r="BJ287" s="666"/>
      <c r="BK287" s="666"/>
      <c r="BL287" s="666"/>
      <c r="BM287" s="666"/>
      <c r="BN287" s="666"/>
      <c r="BO287" s="666"/>
      <c r="BP287" s="666"/>
      <c r="BQ287" s="666"/>
      <c r="BR287" s="666"/>
      <c r="BS287" s="666"/>
      <c r="BT287" s="666"/>
      <c r="BU287" s="666"/>
      <c r="BV287" s="666"/>
      <c r="BW287" s="666"/>
      <c r="BX287" s="666"/>
      <c r="BY287" s="666"/>
      <c r="BZ287" s="666"/>
      <c r="CA287" s="666"/>
      <c r="CB287" s="666"/>
      <c r="CC287" s="666"/>
      <c r="CD287" s="666"/>
      <c r="CE287" s="666"/>
      <c r="CF287" s="666"/>
      <c r="CG287" s="666"/>
      <c r="CH287" s="666"/>
      <c r="CI287" s="666"/>
      <c r="CJ287" s="1439"/>
    </row>
    <row r="288" spans="2:88" ht="57" x14ac:dyDescent="0.2">
      <c r="B288" s="912" t="s">
        <v>643</v>
      </c>
      <c r="C288" s="913" t="s">
        <v>644</v>
      </c>
      <c r="D288" s="914" t="s">
        <v>645</v>
      </c>
      <c r="E288" s="913" t="s">
        <v>236</v>
      </c>
      <c r="F288" s="915">
        <v>2</v>
      </c>
      <c r="G288" s="664"/>
      <c r="H288" s="1513"/>
      <c r="I288" s="1513">
        <v>0</v>
      </c>
      <c r="J288" s="1513">
        <v>0</v>
      </c>
      <c r="K288" s="1513">
        <v>0</v>
      </c>
      <c r="L288" s="1513">
        <v>0</v>
      </c>
      <c r="M288" s="1520">
        <v>-1.0253513260771285E-2</v>
      </c>
      <c r="N288" s="1520">
        <v>-2.0508070261439748E-2</v>
      </c>
      <c r="O288" s="1520">
        <v>-3.07636710020045E-2</v>
      </c>
      <c r="P288" s="1520">
        <v>-4.1020315482465541E-2</v>
      </c>
      <c r="Q288" s="1520">
        <v>-5.1278003702824648E-2</v>
      </c>
      <c r="R288" s="1520">
        <v>-7.3137059427126339E-2</v>
      </c>
      <c r="S288" s="1520">
        <v>-9.4997158891326094E-2</v>
      </c>
      <c r="T288" s="1520">
        <v>-0.11685830209542303</v>
      </c>
      <c r="U288" s="1520">
        <v>-0.13872048903941625</v>
      </c>
      <c r="V288" s="1520">
        <v>-0.16058371972330576</v>
      </c>
      <c r="W288" s="1520">
        <v>-0.18090170194899713</v>
      </c>
      <c r="X288" s="1520">
        <v>-0.20122072791458745</v>
      </c>
      <c r="Y288" s="1520">
        <v>-0.22154079762007317</v>
      </c>
      <c r="Z288" s="1520">
        <v>-0.2216633158242427</v>
      </c>
      <c r="AA288" s="1520">
        <v>-0.22178687776830497</v>
      </c>
      <c r="AB288" s="1520">
        <v>-0.2219114834522653</v>
      </c>
      <c r="AC288" s="1520">
        <v>-0.22203713287612459</v>
      </c>
      <c r="AD288" s="1520">
        <v>-0.22216382603987839</v>
      </c>
      <c r="AE288" s="1520">
        <v>-0.22229156294353025</v>
      </c>
      <c r="AF288" s="1520">
        <v>-0.22242034358707841</v>
      </c>
      <c r="AG288" s="1520">
        <v>-0.22255016797052374</v>
      </c>
      <c r="AH288" s="1520">
        <v>-0.22268103609386447</v>
      </c>
      <c r="AI288" s="1520">
        <v>-0.22281294795710416</v>
      </c>
      <c r="AJ288" s="1520">
        <v>-0.22294590356024013</v>
      </c>
      <c r="AK288" s="1520">
        <v>-0.22307990290327151</v>
      </c>
      <c r="AL288" s="1433"/>
      <c r="AM288" s="1433"/>
      <c r="AN288" s="1433"/>
      <c r="AO288" s="1433"/>
      <c r="AP288" s="1433"/>
      <c r="AQ288" s="1433"/>
      <c r="AR288" s="1433"/>
      <c r="AS288" s="1433"/>
      <c r="AT288" s="1433"/>
      <c r="AU288" s="1433"/>
      <c r="AV288" s="1433"/>
      <c r="AW288" s="1433"/>
      <c r="AX288" s="1433"/>
      <c r="AY288" s="1433"/>
      <c r="AZ288" s="1433"/>
      <c r="BA288" s="1433"/>
      <c r="BB288" s="1433"/>
      <c r="BC288" s="1433"/>
      <c r="BD288" s="1433"/>
      <c r="BE288" s="1433"/>
      <c r="BF288" s="1433"/>
      <c r="BG288" s="1433"/>
      <c r="BH288" s="1433"/>
      <c r="BI288" s="1433"/>
      <c r="BJ288" s="1433"/>
      <c r="BK288" s="1433"/>
      <c r="BL288" s="1433"/>
      <c r="BM288" s="1433"/>
      <c r="BN288" s="1433"/>
      <c r="BO288" s="1433"/>
      <c r="BP288" s="1433"/>
      <c r="BQ288" s="1433"/>
      <c r="BR288" s="1433"/>
      <c r="BS288" s="1433"/>
      <c r="BT288" s="1433"/>
      <c r="BU288" s="1433"/>
      <c r="BV288" s="1433"/>
      <c r="BW288" s="1433"/>
      <c r="BX288" s="1433"/>
      <c r="BY288" s="1433"/>
      <c r="BZ288" s="1433"/>
      <c r="CA288" s="1433"/>
      <c r="CB288" s="1433"/>
      <c r="CC288" s="1433"/>
      <c r="CD288" s="1433"/>
      <c r="CE288" s="1433"/>
      <c r="CF288" s="1433"/>
      <c r="CG288" s="1433"/>
      <c r="CH288" s="1433"/>
      <c r="CI288" s="1433"/>
      <c r="CJ288" s="1439"/>
    </row>
    <row r="289" spans="2:89" ht="57" x14ac:dyDescent="0.2">
      <c r="B289" s="916" t="s">
        <v>646</v>
      </c>
      <c r="C289" s="917" t="s">
        <v>647</v>
      </c>
      <c r="D289" s="918" t="s">
        <v>648</v>
      </c>
      <c r="E289" s="917" t="s">
        <v>236</v>
      </c>
      <c r="F289" s="919">
        <v>2</v>
      </c>
      <c r="G289" s="670"/>
      <c r="H289" s="671"/>
      <c r="I289" s="671">
        <v>0</v>
      </c>
      <c r="J289" s="671">
        <v>0</v>
      </c>
      <c r="K289" s="671">
        <v>0</v>
      </c>
      <c r="L289" s="671">
        <v>0</v>
      </c>
      <c r="M289" s="1433">
        <v>-3.2348925058395955E-6</v>
      </c>
      <c r="N289" s="1433">
        <v>-6.4016757140815395E-6</v>
      </c>
      <c r="O289" s="1433">
        <v>-9.5003496247275665E-6</v>
      </c>
      <c r="P289" s="1433">
        <v>-1.2530914237774207E-5</v>
      </c>
      <c r="Q289" s="1433">
        <v>-1.5493369553224931E-5</v>
      </c>
      <c r="R289" s="1433">
        <v>-1.8387715571079738E-5</v>
      </c>
      <c r="S289" s="1433">
        <v>-2.1213952291336893E-5</v>
      </c>
      <c r="T289" s="1433">
        <v>-2.3972079713994662E-5</v>
      </c>
      <c r="U289" s="1433">
        <v>-2.6662097839056514E-5</v>
      </c>
      <c r="V289" s="1433">
        <v>-2.9624553154507238E-5</v>
      </c>
      <c r="W289" s="1433">
        <v>-3.2587008469957962E-5</v>
      </c>
      <c r="X289" s="1433">
        <v>-3.5549463785408686E-5</v>
      </c>
      <c r="Y289" s="1433">
        <v>-3.851191910085941E-5</v>
      </c>
      <c r="Z289" s="1433">
        <v>-4.1474374416310134E-5</v>
      </c>
      <c r="AA289" s="1433">
        <v>-4.4436829731760857E-5</v>
      </c>
      <c r="AB289" s="1433">
        <v>-4.7399285047211581E-5</v>
      </c>
      <c r="AC289" s="1433">
        <v>-5.0361740362662305E-5</v>
      </c>
      <c r="AD289" s="1433">
        <v>-5.3324195678113029E-5</v>
      </c>
      <c r="AE289" s="1433">
        <v>-5.6286650993563753E-5</v>
      </c>
      <c r="AF289" s="1433">
        <v>-5.9249106309014477E-5</v>
      </c>
      <c r="AG289" s="1433">
        <v>-6.22115616244652E-5</v>
      </c>
      <c r="AH289" s="1433">
        <v>-6.5174016939915924E-5</v>
      </c>
      <c r="AI289" s="1433">
        <v>-6.8136472255366648E-5</v>
      </c>
      <c r="AJ289" s="1433">
        <v>-7.1098927570817372E-5</v>
      </c>
      <c r="AK289" s="1433">
        <v>-7.4061382886268096E-5</v>
      </c>
      <c r="AL289" s="1433"/>
      <c r="AM289" s="1433"/>
      <c r="AN289" s="1433"/>
      <c r="AO289" s="1433"/>
      <c r="AP289" s="1433"/>
      <c r="AQ289" s="1433"/>
      <c r="AR289" s="1433"/>
      <c r="AS289" s="1433"/>
      <c r="AT289" s="1433"/>
      <c r="AU289" s="1433"/>
      <c r="AV289" s="1433"/>
      <c r="AW289" s="1433"/>
      <c r="AX289" s="1433"/>
      <c r="AY289" s="1433"/>
      <c r="AZ289" s="1433"/>
      <c r="BA289" s="1433"/>
      <c r="BB289" s="1433"/>
      <c r="BC289" s="1433"/>
      <c r="BD289" s="1433"/>
      <c r="BE289" s="1433"/>
      <c r="BF289" s="1433"/>
      <c r="BG289" s="1433"/>
      <c r="BH289" s="1433"/>
      <c r="BI289" s="1433"/>
      <c r="BJ289" s="1433"/>
      <c r="BK289" s="1433"/>
      <c r="BL289" s="1433"/>
      <c r="BM289" s="1433"/>
      <c r="BN289" s="1433"/>
      <c r="BO289" s="1433"/>
      <c r="BP289" s="1433"/>
      <c r="BQ289" s="1433"/>
      <c r="BR289" s="1433"/>
      <c r="BS289" s="1433"/>
      <c r="BT289" s="1433"/>
      <c r="BU289" s="1433"/>
      <c r="BV289" s="1433"/>
      <c r="BW289" s="1433"/>
      <c r="BX289" s="1433"/>
      <c r="BY289" s="1433"/>
      <c r="BZ289" s="1433"/>
      <c r="CA289" s="1433"/>
      <c r="CB289" s="1433"/>
      <c r="CC289" s="1433"/>
      <c r="CD289" s="1433"/>
      <c r="CE289" s="1433"/>
      <c r="CF289" s="1433"/>
      <c r="CG289" s="1433"/>
      <c r="CH289" s="1433"/>
      <c r="CI289" s="1433"/>
      <c r="CJ289" s="1439"/>
    </row>
    <row r="290" spans="2:89" ht="57" x14ac:dyDescent="0.2">
      <c r="B290" s="916" t="s">
        <v>649</v>
      </c>
      <c r="C290" s="917" t="s">
        <v>650</v>
      </c>
      <c r="D290" s="918" t="s">
        <v>651</v>
      </c>
      <c r="E290" s="917" t="s">
        <v>236</v>
      </c>
      <c r="F290" s="919">
        <v>2</v>
      </c>
      <c r="G290" s="670"/>
      <c r="H290" s="671"/>
      <c r="I290" s="671">
        <v>0</v>
      </c>
      <c r="J290" s="671">
        <v>0</v>
      </c>
      <c r="K290" s="671">
        <v>0</v>
      </c>
      <c r="L290" s="671">
        <v>0</v>
      </c>
      <c r="M290" s="1433">
        <v>-0.11810339857988117</v>
      </c>
      <c r="N290" s="1433">
        <v>-0.26048576229241682</v>
      </c>
      <c r="O290" s="1433">
        <v>-0.31412361937233335</v>
      </c>
      <c r="P290" s="1433">
        <v>-0.39791661693214087</v>
      </c>
      <c r="Q290" s="1433">
        <v>-0.19306262159074095</v>
      </c>
      <c r="R290" s="1433">
        <v>0.22453705749650199</v>
      </c>
      <c r="S290" s="1433">
        <v>0.35016561661778667</v>
      </c>
      <c r="T290" s="1433">
        <v>0.27520894056167844</v>
      </c>
      <c r="U290" s="1433">
        <v>0.1895207663032954</v>
      </c>
      <c r="V290" s="1433">
        <v>0.10495694635564856</v>
      </c>
      <c r="W290" s="1433">
        <v>7.0980199051786208E-2</v>
      </c>
      <c r="X290" s="1433">
        <v>3.7174456463858974E-2</v>
      </c>
      <c r="Y290" s="1433">
        <v>3.0638388280150863E-3</v>
      </c>
      <c r="Z290" s="1433">
        <v>-3.101937322747883E-2</v>
      </c>
      <c r="AA290" s="1433">
        <v>-6.4589244984093241E-2</v>
      </c>
      <c r="AB290" s="1433">
        <v>-9.7435782730031839E-2</v>
      </c>
      <c r="AC290" s="1433">
        <v>-0.13053542386945161</v>
      </c>
      <c r="AD290" s="1433">
        <v>-0.16335468203611914</v>
      </c>
      <c r="AE290" s="1433">
        <v>-0.18072514442839793</v>
      </c>
      <c r="AF290" s="1433">
        <v>-0.19823403347497237</v>
      </c>
      <c r="AG290" s="1433">
        <v>-0.21551349730403579</v>
      </c>
      <c r="AH290" s="1433">
        <v>-0.23274008866586726</v>
      </c>
      <c r="AI290" s="1433">
        <v>-0.25035098230231512</v>
      </c>
      <c r="AJ290" s="1433">
        <v>-0.26821925962044713</v>
      </c>
      <c r="AK290" s="1433">
        <v>-0.28645044914728857</v>
      </c>
      <c r="AL290" s="1433"/>
      <c r="AM290" s="1433"/>
      <c r="AN290" s="1433"/>
      <c r="AO290" s="1433"/>
      <c r="AP290" s="1433"/>
      <c r="AQ290" s="1433"/>
      <c r="AR290" s="1433"/>
      <c r="AS290" s="1433"/>
      <c r="AT290" s="1433"/>
      <c r="AU290" s="1433"/>
      <c r="AV290" s="1433"/>
      <c r="AW290" s="1433"/>
      <c r="AX290" s="1433"/>
      <c r="AY290" s="1433"/>
      <c r="AZ290" s="1433"/>
      <c r="BA290" s="1433"/>
      <c r="BB290" s="1433"/>
      <c r="BC290" s="1433"/>
      <c r="BD290" s="1433"/>
      <c r="BE290" s="1433"/>
      <c r="BF290" s="1433"/>
      <c r="BG290" s="1433"/>
      <c r="BH290" s="1433"/>
      <c r="BI290" s="1433"/>
      <c r="BJ290" s="1433"/>
      <c r="BK290" s="1433"/>
      <c r="BL290" s="1433"/>
      <c r="BM290" s="1433"/>
      <c r="BN290" s="1433"/>
      <c r="BO290" s="1433"/>
      <c r="BP290" s="1433"/>
      <c r="BQ290" s="1433"/>
      <c r="BR290" s="1433"/>
      <c r="BS290" s="1433"/>
      <c r="BT290" s="1433"/>
      <c r="BU290" s="1433"/>
      <c r="BV290" s="1433"/>
      <c r="BW290" s="1433"/>
      <c r="BX290" s="1433"/>
      <c r="BY290" s="1433"/>
      <c r="BZ290" s="1433"/>
      <c r="CA290" s="1433"/>
      <c r="CB290" s="1433"/>
      <c r="CC290" s="1433"/>
      <c r="CD290" s="1433"/>
      <c r="CE290" s="1433"/>
      <c r="CF290" s="1433"/>
      <c r="CG290" s="1433"/>
      <c r="CH290" s="1433"/>
      <c r="CI290" s="1433"/>
      <c r="CJ290" s="1439"/>
    </row>
    <row r="291" spans="2:89" ht="57" x14ac:dyDescent="0.2">
      <c r="B291" s="916" t="s">
        <v>652</v>
      </c>
      <c r="C291" s="917" t="s">
        <v>653</v>
      </c>
      <c r="D291" s="918" t="s">
        <v>654</v>
      </c>
      <c r="E291" s="917" t="s">
        <v>236</v>
      </c>
      <c r="F291" s="919">
        <v>2</v>
      </c>
      <c r="G291" s="670"/>
      <c r="H291" s="671"/>
      <c r="I291" s="671">
        <v>0</v>
      </c>
      <c r="J291" s="671">
        <v>0</v>
      </c>
      <c r="K291" s="671">
        <v>0</v>
      </c>
      <c r="L291" s="671">
        <v>0</v>
      </c>
      <c r="M291" s="1433">
        <v>0.10675748096656812</v>
      </c>
      <c r="N291" s="1433">
        <v>0.23097821288621967</v>
      </c>
      <c r="O291" s="1433">
        <v>0.23549596923973448</v>
      </c>
      <c r="P291" s="1433">
        <v>0.23278116279180661</v>
      </c>
      <c r="Q291" s="1433">
        <v>-0.20008441952508349</v>
      </c>
      <c r="R291" s="1433">
        <v>-0.91478886838734663</v>
      </c>
      <c r="S291" s="1433">
        <v>-1.1990289962890617</v>
      </c>
      <c r="T291" s="1433">
        <v>-1.1976156272817677</v>
      </c>
      <c r="U291" s="1433">
        <v>-1.1969391287756284</v>
      </c>
      <c r="V291" s="1433">
        <v>-1.1962460106983734</v>
      </c>
      <c r="W291" s="1433">
        <v>-1.1951129071618793</v>
      </c>
      <c r="X291" s="1433">
        <v>-1.1939837797262398</v>
      </c>
      <c r="Y291" s="1433">
        <v>-1.1927415994944204</v>
      </c>
      <c r="Z291" s="1433">
        <v>-1.1917094341036658</v>
      </c>
      <c r="AA291" s="1433">
        <v>-1.1905820808419534</v>
      </c>
      <c r="AB291" s="1433">
        <v>-1.1895566115796523</v>
      </c>
      <c r="AC291" s="1433">
        <v>-1.1888361735866917</v>
      </c>
      <c r="AD291" s="1433">
        <v>-1.1885846551366874</v>
      </c>
      <c r="AE291" s="1433">
        <v>-1.1876994886257306</v>
      </c>
      <c r="AF291" s="1433">
        <v>-1.1868384699696346</v>
      </c>
      <c r="AG291" s="1433">
        <v>-1.185825115177312</v>
      </c>
      <c r="AH291" s="1433">
        <v>-1.1850497002907618</v>
      </c>
      <c r="AI291" s="1433">
        <v>-1.184191864699272</v>
      </c>
      <c r="AJ291" s="1433">
        <v>-1.1833639962462017</v>
      </c>
      <c r="AK291" s="1433">
        <v>-1.1822501485560164</v>
      </c>
      <c r="AL291" s="1433"/>
      <c r="AM291" s="1433"/>
      <c r="AN291" s="1433"/>
      <c r="AO291" s="1433"/>
      <c r="AP291" s="1433"/>
      <c r="AQ291" s="1433"/>
      <c r="AR291" s="1433"/>
      <c r="AS291" s="1433"/>
      <c r="AT291" s="1433"/>
      <c r="AU291" s="1433"/>
      <c r="AV291" s="1433"/>
      <c r="AW291" s="1433"/>
      <c r="AX291" s="1433"/>
      <c r="AY291" s="1433"/>
      <c r="AZ291" s="1433"/>
      <c r="BA291" s="1433"/>
      <c r="BB291" s="1433"/>
      <c r="BC291" s="1433"/>
      <c r="BD291" s="1433"/>
      <c r="BE291" s="1433"/>
      <c r="BF291" s="1433"/>
      <c r="BG291" s="1433"/>
      <c r="BH291" s="1433"/>
      <c r="BI291" s="1433"/>
      <c r="BJ291" s="1433"/>
      <c r="BK291" s="1433"/>
      <c r="BL291" s="1433"/>
      <c r="BM291" s="1433"/>
      <c r="BN291" s="1433"/>
      <c r="BO291" s="1433"/>
      <c r="BP291" s="1433"/>
      <c r="BQ291" s="1433"/>
      <c r="BR291" s="1433"/>
      <c r="BS291" s="1433"/>
      <c r="BT291" s="1433"/>
      <c r="BU291" s="1433"/>
      <c r="BV291" s="1433"/>
      <c r="BW291" s="1433"/>
      <c r="BX291" s="1433"/>
      <c r="BY291" s="1433"/>
      <c r="BZ291" s="1433"/>
      <c r="CA291" s="1433"/>
      <c r="CB291" s="1433"/>
      <c r="CC291" s="1433"/>
      <c r="CD291" s="1433"/>
      <c r="CE291" s="1433"/>
      <c r="CF291" s="1433"/>
      <c r="CG291" s="1433"/>
      <c r="CH291" s="1433"/>
      <c r="CI291" s="1433"/>
      <c r="CJ291" s="1439"/>
    </row>
    <row r="292" spans="2:89" ht="28.5" x14ac:dyDescent="0.2">
      <c r="B292" s="916" t="s">
        <v>655</v>
      </c>
      <c r="C292" s="917" t="s">
        <v>656</v>
      </c>
      <c r="D292" s="918" t="s">
        <v>657</v>
      </c>
      <c r="E292" s="917" t="s">
        <v>236</v>
      </c>
      <c r="F292" s="919">
        <v>2</v>
      </c>
      <c r="G292" s="670"/>
      <c r="H292" s="671"/>
      <c r="I292" s="671">
        <v>0</v>
      </c>
      <c r="J292" s="671">
        <v>0</v>
      </c>
      <c r="K292" s="671">
        <v>0</v>
      </c>
      <c r="L292" s="671">
        <v>0</v>
      </c>
      <c r="M292" s="1433">
        <v>-7.6732596285267185E-7</v>
      </c>
      <c r="N292" s="1433">
        <v>-1.6527534288102164E-6</v>
      </c>
      <c r="O292" s="1433">
        <v>-1.888956435130984E-6</v>
      </c>
      <c r="P292" s="1433">
        <v>-2.1251594414517516E-6</v>
      </c>
      <c r="Q292" s="1433">
        <v>1.6768343233386496E-7</v>
      </c>
      <c r="R292" s="1433">
        <v>4.286500495886969E-6</v>
      </c>
      <c r="S292" s="1433">
        <v>5.9861075933087537E-6</v>
      </c>
      <c r="T292" s="1433">
        <v>5.9695764149381159E-6</v>
      </c>
      <c r="U292" s="1433">
        <v>5.953045236567478E-6</v>
      </c>
      <c r="V292" s="1433">
        <v>5.9365140581968401E-6</v>
      </c>
      <c r="W292" s="1433">
        <v>5.9199828797984466E-6</v>
      </c>
      <c r="X292" s="1433">
        <v>5.9034517014555643E-6</v>
      </c>
      <c r="Y292" s="1433">
        <v>5.8869205230571708E-6</v>
      </c>
      <c r="Z292" s="1433">
        <v>5.8703893447142885E-6</v>
      </c>
      <c r="AA292" s="1433">
        <v>5.8538581663158951E-6</v>
      </c>
      <c r="AB292" s="1433">
        <v>5.8394522366167489E-6</v>
      </c>
      <c r="AC292" s="1433">
        <v>5.8271715555058279E-6</v>
      </c>
      <c r="AD292" s="1433">
        <v>5.8148908744226624E-6</v>
      </c>
      <c r="AE292" s="1433">
        <v>5.8026101933117413E-6</v>
      </c>
      <c r="AF292" s="1433">
        <v>5.7903295122285758E-6</v>
      </c>
      <c r="AG292" s="1433">
        <v>5.7780488311176548E-6</v>
      </c>
      <c r="AH292" s="1433">
        <v>5.7657681500344893E-6</v>
      </c>
      <c r="AI292" s="1433">
        <v>5.7534874689513238E-6</v>
      </c>
      <c r="AJ292" s="1433">
        <v>5.7412067878404027E-6</v>
      </c>
      <c r="AK292" s="1433">
        <v>5.7289261067294817E-6</v>
      </c>
      <c r="AL292" s="1433"/>
      <c r="AM292" s="1433"/>
      <c r="AN292" s="1433"/>
      <c r="AO292" s="1433"/>
      <c r="AP292" s="1433"/>
      <c r="AQ292" s="1433"/>
      <c r="AR292" s="1433"/>
      <c r="AS292" s="1433"/>
      <c r="AT292" s="1433"/>
      <c r="AU292" s="1433"/>
      <c r="AV292" s="1433"/>
      <c r="AW292" s="1433"/>
      <c r="AX292" s="1433"/>
      <c r="AY292" s="1433"/>
      <c r="AZ292" s="1433"/>
      <c r="BA292" s="1433"/>
      <c r="BB292" s="1433"/>
      <c r="BC292" s="1433"/>
      <c r="BD292" s="1433"/>
      <c r="BE292" s="1433"/>
      <c r="BF292" s="1433"/>
      <c r="BG292" s="1433"/>
      <c r="BH292" s="1433"/>
      <c r="BI292" s="1433"/>
      <c r="BJ292" s="1433"/>
      <c r="BK292" s="1433"/>
      <c r="BL292" s="1433"/>
      <c r="BM292" s="1433"/>
      <c r="BN292" s="1433"/>
      <c r="BO292" s="1433"/>
      <c r="BP292" s="1433"/>
      <c r="BQ292" s="1433"/>
      <c r="BR292" s="1433"/>
      <c r="BS292" s="1433"/>
      <c r="BT292" s="1433"/>
      <c r="BU292" s="1433"/>
      <c r="BV292" s="1433"/>
      <c r="BW292" s="1433"/>
      <c r="BX292" s="1433"/>
      <c r="BY292" s="1433"/>
      <c r="BZ292" s="1433"/>
      <c r="CA292" s="1433"/>
      <c r="CB292" s="1433"/>
      <c r="CC292" s="1433"/>
      <c r="CD292" s="1433"/>
      <c r="CE292" s="1433"/>
      <c r="CF292" s="1433"/>
      <c r="CG292" s="1433"/>
      <c r="CH292" s="1433"/>
      <c r="CI292" s="1433"/>
      <c r="CJ292" s="1439"/>
    </row>
    <row r="293" spans="2:89" ht="29.25" thickBot="1" x14ac:dyDescent="0.25">
      <c r="B293" s="920" t="s">
        <v>658</v>
      </c>
      <c r="C293" s="921" t="s">
        <v>659</v>
      </c>
      <c r="D293" s="921" t="s">
        <v>660</v>
      </c>
      <c r="E293" s="921" t="s">
        <v>236</v>
      </c>
      <c r="F293" s="922">
        <v>2</v>
      </c>
      <c r="G293" s="695"/>
      <c r="H293" s="671"/>
      <c r="I293" s="671">
        <v>0</v>
      </c>
      <c r="J293" s="671">
        <v>0</v>
      </c>
      <c r="K293" s="671">
        <v>0</v>
      </c>
      <c r="L293" s="671">
        <v>0</v>
      </c>
      <c r="M293" s="1433">
        <v>0</v>
      </c>
      <c r="N293" s="1433">
        <v>0</v>
      </c>
      <c r="O293" s="1433">
        <v>0</v>
      </c>
      <c r="P293" s="1433">
        <v>0</v>
      </c>
      <c r="Q293" s="1433">
        <v>0</v>
      </c>
      <c r="R293" s="1433">
        <v>0</v>
      </c>
      <c r="S293" s="1433">
        <v>0</v>
      </c>
      <c r="T293" s="1433">
        <v>0</v>
      </c>
      <c r="U293" s="1433">
        <v>0</v>
      </c>
      <c r="V293" s="1433">
        <v>0</v>
      </c>
      <c r="W293" s="1433">
        <v>0</v>
      </c>
      <c r="X293" s="1433">
        <v>0</v>
      </c>
      <c r="Y293" s="1433">
        <v>0</v>
      </c>
      <c r="Z293" s="1433">
        <v>0</v>
      </c>
      <c r="AA293" s="1433">
        <v>0</v>
      </c>
      <c r="AB293" s="1433">
        <v>0</v>
      </c>
      <c r="AC293" s="1433">
        <v>0</v>
      </c>
      <c r="AD293" s="1433">
        <v>0</v>
      </c>
      <c r="AE293" s="1433">
        <v>0</v>
      </c>
      <c r="AF293" s="1433">
        <v>0</v>
      </c>
      <c r="AG293" s="1433">
        <v>0</v>
      </c>
      <c r="AH293" s="1433">
        <v>0</v>
      </c>
      <c r="AI293" s="1433">
        <v>0</v>
      </c>
      <c r="AJ293" s="1433">
        <v>0</v>
      </c>
      <c r="AK293" s="1433">
        <v>0</v>
      </c>
      <c r="AL293" s="1433"/>
      <c r="AM293" s="1433"/>
      <c r="AN293" s="1433"/>
      <c r="AO293" s="1433"/>
      <c r="AP293" s="1433"/>
      <c r="AQ293" s="1433"/>
      <c r="AR293" s="1433"/>
      <c r="AS293" s="1433"/>
      <c r="AT293" s="1433"/>
      <c r="AU293" s="1433"/>
      <c r="AV293" s="1433"/>
      <c r="AW293" s="1433"/>
      <c r="AX293" s="1433"/>
      <c r="AY293" s="1433"/>
      <c r="AZ293" s="1433"/>
      <c r="BA293" s="1433"/>
      <c r="BB293" s="1433"/>
      <c r="BC293" s="1433"/>
      <c r="BD293" s="1433"/>
      <c r="BE293" s="1433"/>
      <c r="BF293" s="1433"/>
      <c r="BG293" s="1433"/>
      <c r="BH293" s="1433"/>
      <c r="BI293" s="1433"/>
      <c r="BJ293" s="1433"/>
      <c r="BK293" s="1433"/>
      <c r="BL293" s="1433"/>
      <c r="BM293" s="1433"/>
      <c r="BN293" s="1433"/>
      <c r="BO293" s="1433"/>
      <c r="BP293" s="1433"/>
      <c r="BQ293" s="1433"/>
      <c r="BR293" s="1433"/>
      <c r="BS293" s="1433"/>
      <c r="BT293" s="1433"/>
      <c r="BU293" s="1433"/>
      <c r="BV293" s="1433"/>
      <c r="BW293" s="1433"/>
      <c r="BX293" s="1433"/>
      <c r="BY293" s="1433"/>
      <c r="BZ293" s="1433"/>
      <c r="CA293" s="1433"/>
      <c r="CB293" s="1433"/>
      <c r="CC293" s="1433"/>
      <c r="CD293" s="1433"/>
      <c r="CE293" s="1433"/>
      <c r="CF293" s="1433"/>
      <c r="CG293" s="1433"/>
      <c r="CH293" s="1433"/>
      <c r="CI293" s="1433"/>
      <c r="CJ293" s="1439"/>
    </row>
    <row r="294" spans="2:89" ht="28.5" x14ac:dyDescent="0.2">
      <c r="B294" s="923" t="s">
        <v>661</v>
      </c>
      <c r="C294" s="924" t="s">
        <v>662</v>
      </c>
      <c r="D294" s="925" t="s">
        <v>663</v>
      </c>
      <c r="E294" s="924" t="s">
        <v>236</v>
      </c>
      <c r="F294" s="926">
        <v>2</v>
      </c>
      <c r="G294" s="664"/>
      <c r="H294" s="671"/>
      <c r="I294" s="671">
        <v>0</v>
      </c>
      <c r="J294" s="671">
        <v>0</v>
      </c>
      <c r="K294" s="671">
        <v>0</v>
      </c>
      <c r="L294" s="671">
        <v>0</v>
      </c>
      <c r="M294" s="1433">
        <v>-9.9126262224719097E-5</v>
      </c>
      <c r="N294" s="1433">
        <v>-1.9920215665066715E-4</v>
      </c>
      <c r="O294" s="1433">
        <v>-3.0022768327784416E-4</v>
      </c>
      <c r="P294" s="1433">
        <v>-4.0220284210624666E-4</v>
      </c>
      <c r="Q294" s="1433">
        <v>-5.0512763313587811E-4</v>
      </c>
      <c r="R294" s="1433">
        <v>-6.0900205636673505E-4</v>
      </c>
      <c r="S294" s="1433">
        <v>-7.1382611179882267E-4</v>
      </c>
      <c r="T294" s="1433">
        <v>-8.1959979943213232E-4</v>
      </c>
      <c r="U294" s="1433">
        <v>-9.2632311926667439E-4</v>
      </c>
      <c r="V294" s="1433">
        <v>-1.0339960713024437E-3</v>
      </c>
      <c r="W294" s="1433">
        <v>-1.1426186555394367E-3</v>
      </c>
      <c r="X294" s="1433">
        <v>-1.2521908719776622E-3</v>
      </c>
      <c r="Y294" s="1433">
        <v>-1.3627127206171132E-3</v>
      </c>
      <c r="Z294" s="1433">
        <v>-1.4741842014577896E-3</v>
      </c>
      <c r="AA294" s="1433">
        <v>-1.5866053144996967E-3</v>
      </c>
      <c r="AB294" s="1433">
        <v>-1.6999760597428294E-3</v>
      </c>
      <c r="AC294" s="1433">
        <v>-1.8142964371871927E-3</v>
      </c>
      <c r="AD294" s="1433">
        <v>-1.9295664468327797E-3</v>
      </c>
      <c r="AE294" s="1433">
        <v>-2.0457860886795975E-3</v>
      </c>
      <c r="AF294" s="1433">
        <v>-2.1629553627276407E-3</v>
      </c>
      <c r="AG294" s="1433">
        <v>-2.2810742689769146E-3</v>
      </c>
      <c r="AH294" s="1433">
        <v>-2.4001428074274123E-3</v>
      </c>
      <c r="AI294" s="1433">
        <v>-2.5201609780791372E-3</v>
      </c>
      <c r="AJ294" s="1433">
        <v>-2.6411287809320911E-3</v>
      </c>
      <c r="AK294" s="1433">
        <v>-2.7630462159862739E-3</v>
      </c>
      <c r="AL294" s="1433"/>
      <c r="AM294" s="1433"/>
      <c r="AN294" s="1433"/>
      <c r="AO294" s="1433"/>
      <c r="AP294" s="1433"/>
      <c r="AQ294" s="1433"/>
      <c r="AR294" s="1433"/>
      <c r="AS294" s="1433"/>
      <c r="AT294" s="1433"/>
      <c r="AU294" s="1433"/>
      <c r="AV294" s="1433"/>
      <c r="AW294" s="1433"/>
      <c r="AX294" s="1433"/>
      <c r="AY294" s="1433"/>
      <c r="AZ294" s="1433"/>
      <c r="BA294" s="1433"/>
      <c r="BB294" s="1433"/>
      <c r="BC294" s="1433"/>
      <c r="BD294" s="1433"/>
      <c r="BE294" s="1433"/>
      <c r="BF294" s="1433"/>
      <c r="BG294" s="1433"/>
      <c r="BH294" s="1433"/>
      <c r="BI294" s="1433"/>
      <c r="BJ294" s="1433"/>
      <c r="BK294" s="1433"/>
      <c r="BL294" s="1433"/>
      <c r="BM294" s="1433"/>
      <c r="BN294" s="1433"/>
      <c r="BO294" s="1433"/>
      <c r="BP294" s="1433"/>
      <c r="BQ294" s="1433"/>
      <c r="BR294" s="1433"/>
      <c r="BS294" s="1433"/>
      <c r="BT294" s="1433"/>
      <c r="BU294" s="1433"/>
      <c r="BV294" s="1433"/>
      <c r="BW294" s="1433"/>
      <c r="BX294" s="1433"/>
      <c r="BY294" s="1433"/>
      <c r="BZ294" s="1433"/>
      <c r="CA294" s="1433"/>
      <c r="CB294" s="1433"/>
      <c r="CC294" s="1433"/>
      <c r="CD294" s="1433"/>
      <c r="CE294" s="1433"/>
      <c r="CF294" s="1433"/>
      <c r="CG294" s="1433"/>
      <c r="CH294" s="1433"/>
      <c r="CI294" s="1433"/>
      <c r="CJ294" s="1439"/>
    </row>
    <row r="295" spans="2:89" ht="28.5" x14ac:dyDescent="0.2">
      <c r="B295" s="905" t="s">
        <v>664</v>
      </c>
      <c r="C295" s="906" t="s">
        <v>665</v>
      </c>
      <c r="D295" s="907" t="s">
        <v>666</v>
      </c>
      <c r="E295" s="906" t="s">
        <v>236</v>
      </c>
      <c r="F295" s="908">
        <v>2</v>
      </c>
      <c r="G295" s="670"/>
      <c r="H295" s="671"/>
      <c r="I295" s="671">
        <v>0</v>
      </c>
      <c r="J295" s="671">
        <v>0</v>
      </c>
      <c r="K295" s="671">
        <v>0</v>
      </c>
      <c r="L295" s="671">
        <v>0</v>
      </c>
      <c r="M295" s="1433">
        <v>-3.2348925058395955E-6</v>
      </c>
      <c r="N295" s="1433">
        <v>-6.4016757140819731E-6</v>
      </c>
      <c r="O295" s="1433">
        <v>-9.500349624727187E-6</v>
      </c>
      <c r="P295" s="1433">
        <v>-1.2530914237775183E-5</v>
      </c>
      <c r="Q295" s="1433">
        <v>-1.5493369553225907E-5</v>
      </c>
      <c r="R295" s="1433">
        <v>-1.8387715571079467E-5</v>
      </c>
      <c r="S295" s="1433">
        <v>-2.1213952291335755E-5</v>
      </c>
      <c r="T295" s="1433">
        <v>-2.3972079713994825E-5</v>
      </c>
      <c r="U295" s="1433">
        <v>-2.6662097839056677E-5</v>
      </c>
      <c r="V295" s="1433">
        <v>-2.9624553154507401E-5</v>
      </c>
      <c r="W295" s="1433">
        <v>-3.258700846995807E-5</v>
      </c>
      <c r="X295" s="1433">
        <v>-3.5549463785408849E-5</v>
      </c>
      <c r="Y295" s="1433">
        <v>-3.8511919100859681E-5</v>
      </c>
      <c r="Z295" s="1433">
        <v>-4.1474374416310296E-5</v>
      </c>
      <c r="AA295" s="1433">
        <v>-4.4436829731761074E-5</v>
      </c>
      <c r="AB295" s="1433">
        <v>-4.7399285047211798E-5</v>
      </c>
      <c r="AC295" s="1433">
        <v>-5.0361740362662603E-5</v>
      </c>
      <c r="AD295" s="1433">
        <v>-5.3324195678113327E-5</v>
      </c>
      <c r="AE295" s="1433">
        <v>-5.6286650993564078E-5</v>
      </c>
      <c r="AF295" s="1433">
        <v>-5.9249106309014693E-5</v>
      </c>
      <c r="AG295" s="1433">
        <v>-6.2211561624465553E-5</v>
      </c>
      <c r="AH295" s="1433">
        <v>-6.5174016939916249E-5</v>
      </c>
      <c r="AI295" s="1433">
        <v>-6.8136472255366973E-5</v>
      </c>
      <c r="AJ295" s="1433">
        <v>-7.1098927570817751E-5</v>
      </c>
      <c r="AK295" s="1433">
        <v>-7.4061382886268475E-5</v>
      </c>
      <c r="AL295" s="1433"/>
      <c r="AM295" s="1433"/>
      <c r="AN295" s="1433"/>
      <c r="AO295" s="1433"/>
      <c r="AP295" s="1433"/>
      <c r="AQ295" s="1433"/>
      <c r="AR295" s="1433"/>
      <c r="AS295" s="1433"/>
      <c r="AT295" s="1433"/>
      <c r="AU295" s="1433"/>
      <c r="AV295" s="1433"/>
      <c r="AW295" s="1433"/>
      <c r="AX295" s="1433"/>
      <c r="AY295" s="1433"/>
      <c r="AZ295" s="1433"/>
      <c r="BA295" s="1433"/>
      <c r="BB295" s="1433"/>
      <c r="BC295" s="1433"/>
      <c r="BD295" s="1433"/>
      <c r="BE295" s="1433"/>
      <c r="BF295" s="1433"/>
      <c r="BG295" s="1433"/>
      <c r="BH295" s="1433"/>
      <c r="BI295" s="1433"/>
      <c r="BJ295" s="1433"/>
      <c r="BK295" s="1433"/>
      <c r="BL295" s="1433"/>
      <c r="BM295" s="1433"/>
      <c r="BN295" s="1433"/>
      <c r="BO295" s="1433"/>
      <c r="BP295" s="1433"/>
      <c r="BQ295" s="1433"/>
      <c r="BR295" s="1433"/>
      <c r="BS295" s="1433"/>
      <c r="BT295" s="1433"/>
      <c r="BU295" s="1433"/>
      <c r="BV295" s="1433"/>
      <c r="BW295" s="1433"/>
      <c r="BX295" s="1433"/>
      <c r="BY295" s="1433"/>
      <c r="BZ295" s="1433"/>
      <c r="CA295" s="1433"/>
      <c r="CB295" s="1433"/>
      <c r="CC295" s="1433"/>
      <c r="CD295" s="1433"/>
      <c r="CE295" s="1433"/>
      <c r="CF295" s="1433"/>
      <c r="CG295" s="1433"/>
      <c r="CH295" s="1433"/>
      <c r="CI295" s="1433"/>
      <c r="CJ295" s="1439"/>
    </row>
    <row r="296" spans="2:89" ht="28.5" x14ac:dyDescent="0.2">
      <c r="B296" s="905" t="s">
        <v>667</v>
      </c>
      <c r="C296" s="906" t="s">
        <v>668</v>
      </c>
      <c r="D296" s="907" t="s">
        <v>669</v>
      </c>
      <c r="E296" s="906" t="s">
        <v>236</v>
      </c>
      <c r="F296" s="908">
        <v>2</v>
      </c>
      <c r="G296" s="670"/>
      <c r="H296" s="671"/>
      <c r="I296" s="671">
        <v>0</v>
      </c>
      <c r="J296" s="671">
        <v>0</v>
      </c>
      <c r="K296" s="671">
        <v>0</v>
      </c>
      <c r="L296" s="671">
        <v>0</v>
      </c>
      <c r="M296" s="1433">
        <v>-3.5272361024471233E-3</v>
      </c>
      <c r="N296" s="1433">
        <v>-7.4914646937160878E-3</v>
      </c>
      <c r="O296" s="1433">
        <v>-9.250002850632294E-3</v>
      </c>
      <c r="P296" s="1433">
        <v>-1.1017502745044178E-2</v>
      </c>
      <c r="Q296" s="1433">
        <v>-6.7297992988097077E-3</v>
      </c>
      <c r="R296" s="1433">
        <v>1.8709760222032495E-3</v>
      </c>
      <c r="S296" s="1433">
        <v>4.6804085172419962E-3</v>
      </c>
      <c r="T296" s="1433">
        <v>3.4002591431668561E-3</v>
      </c>
      <c r="U296" s="1433">
        <v>2.1061857913343973E-3</v>
      </c>
      <c r="V296" s="1433">
        <v>7.9812591525919852E-4</v>
      </c>
      <c r="W296" s="1433">
        <v>-5.2357762849884748E-4</v>
      </c>
      <c r="X296" s="1433">
        <v>-1.8593244160907962E-3</v>
      </c>
      <c r="Y296" s="1433">
        <v>-3.2080375863810934E-3</v>
      </c>
      <c r="Z296" s="1433">
        <v>-4.5677790562662079E-3</v>
      </c>
      <c r="AA296" s="1433">
        <v>-5.9390116082510686E-3</v>
      </c>
      <c r="AB296" s="1433">
        <v>-7.3174025150823663E-3</v>
      </c>
      <c r="AC296" s="1433">
        <v>-8.7008732237352782E-3</v>
      </c>
      <c r="AD296" s="1433">
        <v>-1.0094615881336297E-2</v>
      </c>
      <c r="AE296" s="1433">
        <v>-1.1500707358291951E-2</v>
      </c>
      <c r="AF296" s="1433">
        <v>-1.2917897922025787E-2</v>
      </c>
      <c r="AG296" s="1433">
        <v>-1.4345833582610074E-2</v>
      </c>
      <c r="AH296" s="1433">
        <v>-1.5783294152556832E-2</v>
      </c>
      <c r="AI296" s="1433">
        <v>-1.7228707845534125E-2</v>
      </c>
      <c r="AJ296" s="1433">
        <v>-1.8681809235809296E-2</v>
      </c>
      <c r="AK296" s="1433">
        <v>-2.014309812527941E-2</v>
      </c>
      <c r="AL296" s="1433"/>
      <c r="AM296" s="1433"/>
      <c r="AN296" s="1433"/>
      <c r="AO296" s="1433"/>
      <c r="AP296" s="1433"/>
      <c r="AQ296" s="1433"/>
      <c r="AR296" s="1433"/>
      <c r="AS296" s="1433"/>
      <c r="AT296" s="1433"/>
      <c r="AU296" s="1433"/>
      <c r="AV296" s="1433"/>
      <c r="AW296" s="1433"/>
      <c r="AX296" s="1433"/>
      <c r="AY296" s="1433"/>
      <c r="AZ296" s="1433"/>
      <c r="BA296" s="1433"/>
      <c r="BB296" s="1433"/>
      <c r="BC296" s="1433"/>
      <c r="BD296" s="1433"/>
      <c r="BE296" s="1433"/>
      <c r="BF296" s="1433"/>
      <c r="BG296" s="1433"/>
      <c r="BH296" s="1433"/>
      <c r="BI296" s="1433"/>
      <c r="BJ296" s="1433"/>
      <c r="BK296" s="1433"/>
      <c r="BL296" s="1433"/>
      <c r="BM296" s="1433"/>
      <c r="BN296" s="1433"/>
      <c r="BO296" s="1433"/>
      <c r="BP296" s="1433"/>
      <c r="BQ296" s="1433"/>
      <c r="BR296" s="1433"/>
      <c r="BS296" s="1433"/>
      <c r="BT296" s="1433"/>
      <c r="BU296" s="1433"/>
      <c r="BV296" s="1433"/>
      <c r="BW296" s="1433"/>
      <c r="BX296" s="1433"/>
      <c r="BY296" s="1433"/>
      <c r="BZ296" s="1433"/>
      <c r="CA296" s="1433"/>
      <c r="CB296" s="1433"/>
      <c r="CC296" s="1433"/>
      <c r="CD296" s="1433"/>
      <c r="CE296" s="1433"/>
      <c r="CF296" s="1433"/>
      <c r="CG296" s="1433"/>
      <c r="CH296" s="1433"/>
      <c r="CI296" s="1433"/>
      <c r="CJ296" s="1439"/>
    </row>
    <row r="297" spans="2:89" ht="28.5" x14ac:dyDescent="0.2">
      <c r="B297" s="905" t="s">
        <v>670</v>
      </c>
      <c r="C297" s="906" t="s">
        <v>671</v>
      </c>
      <c r="D297" s="907" t="s">
        <v>672</v>
      </c>
      <c r="E297" s="906" t="s">
        <v>236</v>
      </c>
      <c r="F297" s="908">
        <v>2</v>
      </c>
      <c r="G297" s="670"/>
      <c r="H297" s="671"/>
      <c r="I297" s="671">
        <v>0</v>
      </c>
      <c r="J297" s="671">
        <v>0</v>
      </c>
      <c r="K297" s="671">
        <v>0</v>
      </c>
      <c r="L297" s="671">
        <v>0</v>
      </c>
      <c r="M297" s="1433">
        <v>3.9714632335044672E-3</v>
      </c>
      <c r="N297" s="1433">
        <v>8.6528000407573857E-3</v>
      </c>
      <c r="O297" s="1433">
        <v>9.4385684832591979E-3</v>
      </c>
      <c r="P297" s="1433">
        <v>1.022537274089131E-2</v>
      </c>
      <c r="Q297" s="1433">
        <v>-3.395573234823146E-3</v>
      </c>
      <c r="R297" s="1433">
        <v>-2.7040171413322375E-2</v>
      </c>
      <c r="S297" s="1433">
        <v>-3.6726236055462852E-2</v>
      </c>
      <c r="T297" s="1433">
        <v>-3.6738944846860321E-2</v>
      </c>
      <c r="U297" s="1433">
        <v>-3.6751135730692629E-2</v>
      </c>
      <c r="V297" s="1433">
        <v>-3.6762808706959756E-2</v>
      </c>
      <c r="W297" s="1433">
        <v>-3.6773963775661736E-2</v>
      </c>
      <c r="X297" s="1433">
        <v>-3.6784600936798556E-2</v>
      </c>
      <c r="Y297" s="1433">
        <v>-3.6794720190370216E-2</v>
      </c>
      <c r="Z297" s="1433">
        <v>-3.6804321536376708E-2</v>
      </c>
      <c r="AA297" s="1433">
        <v>-3.6813404974818047E-2</v>
      </c>
      <c r="AB297" s="1433">
        <v>-3.6832654483460167E-2</v>
      </c>
      <c r="AC297" s="1433">
        <v>-3.6863882738781148E-2</v>
      </c>
      <c r="AD297" s="1433">
        <v>-3.6894334132754392E-2</v>
      </c>
      <c r="AE297" s="1433">
        <v>-3.6924008665379877E-2</v>
      </c>
      <c r="AF297" s="1433">
        <v>-3.6952906336657626E-2</v>
      </c>
      <c r="AG297" s="1433">
        <v>-3.6981027146587631E-2</v>
      </c>
      <c r="AH297" s="1433">
        <v>-3.7008371095169898E-2</v>
      </c>
      <c r="AI297" s="1433">
        <v>-3.7034938182404407E-2</v>
      </c>
      <c r="AJ297" s="1433">
        <v>-3.706072840829118E-2</v>
      </c>
      <c r="AK297" s="1433">
        <v>-3.7085741772830208E-2</v>
      </c>
      <c r="AL297" s="1433"/>
      <c r="AM297" s="1433"/>
      <c r="AN297" s="1433"/>
      <c r="AO297" s="1433"/>
      <c r="AP297" s="1433"/>
      <c r="AQ297" s="1433"/>
      <c r="AR297" s="1433"/>
      <c r="AS297" s="1433"/>
      <c r="AT297" s="1433"/>
      <c r="AU297" s="1433"/>
      <c r="AV297" s="1433"/>
      <c r="AW297" s="1433"/>
      <c r="AX297" s="1433"/>
      <c r="AY297" s="1433"/>
      <c r="AZ297" s="1433"/>
      <c r="BA297" s="1433"/>
      <c r="BB297" s="1433"/>
      <c r="BC297" s="1433"/>
      <c r="BD297" s="1433"/>
      <c r="BE297" s="1433"/>
      <c r="BF297" s="1433"/>
      <c r="BG297" s="1433"/>
      <c r="BH297" s="1433"/>
      <c r="BI297" s="1433"/>
      <c r="BJ297" s="1433"/>
      <c r="BK297" s="1433"/>
      <c r="BL297" s="1433"/>
      <c r="BM297" s="1433"/>
      <c r="BN297" s="1433"/>
      <c r="BO297" s="1433"/>
      <c r="BP297" s="1433"/>
      <c r="BQ297" s="1433"/>
      <c r="BR297" s="1433"/>
      <c r="BS297" s="1433"/>
      <c r="BT297" s="1433"/>
      <c r="BU297" s="1433"/>
      <c r="BV297" s="1433"/>
      <c r="BW297" s="1433"/>
      <c r="BX297" s="1433"/>
      <c r="BY297" s="1433"/>
      <c r="BZ297" s="1433"/>
      <c r="CA297" s="1433"/>
      <c r="CB297" s="1433"/>
      <c r="CC297" s="1433"/>
      <c r="CD297" s="1433"/>
      <c r="CE297" s="1433"/>
      <c r="CF297" s="1433"/>
      <c r="CG297" s="1433"/>
      <c r="CH297" s="1433"/>
      <c r="CI297" s="1433"/>
      <c r="CJ297" s="1439"/>
    </row>
    <row r="298" spans="2:89" ht="28.5" x14ac:dyDescent="0.2">
      <c r="B298" s="905" t="s">
        <v>673</v>
      </c>
      <c r="C298" s="906" t="s">
        <v>674</v>
      </c>
      <c r="D298" s="907" t="s">
        <v>675</v>
      </c>
      <c r="E298" s="906" t="s">
        <v>236</v>
      </c>
      <c r="F298" s="908">
        <v>2</v>
      </c>
      <c r="G298" s="670"/>
      <c r="H298" s="671"/>
      <c r="I298" s="671">
        <v>0</v>
      </c>
      <c r="J298" s="671">
        <v>0</v>
      </c>
      <c r="K298" s="671">
        <v>0</v>
      </c>
      <c r="L298" s="671">
        <v>0</v>
      </c>
      <c r="M298" s="1433">
        <v>7.6732596283879406E-7</v>
      </c>
      <c r="N298" s="1433">
        <v>1.6527534288292983E-6</v>
      </c>
      <c r="O298" s="1433">
        <v>1.8889564351379229E-6</v>
      </c>
      <c r="P298" s="1433">
        <v>2.1251594414517516E-6</v>
      </c>
      <c r="Q298" s="1433">
        <v>-1.6768343234253857E-7</v>
      </c>
      <c r="R298" s="1433">
        <v>-4.2865004958904385E-6</v>
      </c>
      <c r="S298" s="1433">
        <v>-5.9861075933035496E-6</v>
      </c>
      <c r="T298" s="1433">
        <v>-5.969576414931177E-6</v>
      </c>
      <c r="U298" s="1433">
        <v>-5.9530452365605391E-6</v>
      </c>
      <c r="V298" s="1433">
        <v>-5.9365140581881665E-6</v>
      </c>
      <c r="W298" s="1433">
        <v>-5.9199828798192633E-6</v>
      </c>
      <c r="X298" s="1433">
        <v>-5.903451701445156E-6</v>
      </c>
      <c r="Y298" s="1433">
        <v>-5.8869205230745181E-6</v>
      </c>
      <c r="Z298" s="1433">
        <v>-5.8703893447004107E-6</v>
      </c>
      <c r="AA298" s="1433">
        <v>-5.8538581663280381E-6</v>
      </c>
      <c r="AB298" s="1433">
        <v>-5.8394522365994017E-6</v>
      </c>
      <c r="AC298" s="1433">
        <v>-5.8271715555058279E-6</v>
      </c>
      <c r="AD298" s="1433">
        <v>-5.8148908744105193E-6</v>
      </c>
      <c r="AE298" s="1433">
        <v>-5.8026101933152108E-6</v>
      </c>
      <c r="AF298" s="1433">
        <v>-5.7903295122233717E-6</v>
      </c>
      <c r="AG298" s="1433">
        <v>-5.7780488311263284E-6</v>
      </c>
      <c r="AH298" s="1433">
        <v>-5.7657681500344893E-6</v>
      </c>
      <c r="AI298" s="1433">
        <v>-5.7534874689409155E-6</v>
      </c>
      <c r="AJ298" s="1433">
        <v>-5.7412067878456069E-6</v>
      </c>
      <c r="AK298" s="1433">
        <v>-5.7289261067502983E-6</v>
      </c>
      <c r="AL298" s="1433"/>
      <c r="AM298" s="1433"/>
      <c r="AN298" s="1433"/>
      <c r="AO298" s="1433"/>
      <c r="AP298" s="1433"/>
      <c r="AQ298" s="1433"/>
      <c r="AR298" s="1433"/>
      <c r="AS298" s="1433"/>
      <c r="AT298" s="1433"/>
      <c r="AU298" s="1433"/>
      <c r="AV298" s="1433"/>
      <c r="AW298" s="1433"/>
      <c r="AX298" s="1433"/>
      <c r="AY298" s="1433"/>
      <c r="AZ298" s="1433"/>
      <c r="BA298" s="1433"/>
      <c r="BB298" s="1433"/>
      <c r="BC298" s="1433"/>
      <c r="BD298" s="1433"/>
      <c r="BE298" s="1433"/>
      <c r="BF298" s="1433"/>
      <c r="BG298" s="1433"/>
      <c r="BH298" s="1433"/>
      <c r="BI298" s="1433"/>
      <c r="BJ298" s="1433"/>
      <c r="BK298" s="1433"/>
      <c r="BL298" s="1433"/>
      <c r="BM298" s="1433"/>
      <c r="BN298" s="1433"/>
      <c r="BO298" s="1433"/>
      <c r="BP298" s="1433"/>
      <c r="BQ298" s="1433"/>
      <c r="BR298" s="1433"/>
      <c r="BS298" s="1433"/>
      <c r="BT298" s="1433"/>
      <c r="BU298" s="1433"/>
      <c r="BV298" s="1433"/>
      <c r="BW298" s="1433"/>
      <c r="BX298" s="1433"/>
      <c r="BY298" s="1433"/>
      <c r="BZ298" s="1433"/>
      <c r="CA298" s="1433"/>
      <c r="CB298" s="1433"/>
      <c r="CC298" s="1433"/>
      <c r="CD298" s="1433"/>
      <c r="CE298" s="1433"/>
      <c r="CF298" s="1433"/>
      <c r="CG298" s="1433"/>
      <c r="CH298" s="1433"/>
      <c r="CI298" s="1433"/>
      <c r="CJ298" s="1439"/>
    </row>
    <row r="299" spans="2:89" x14ac:dyDescent="0.2">
      <c r="B299" s="927" t="s">
        <v>676</v>
      </c>
      <c r="C299" s="928" t="s">
        <v>677</v>
      </c>
      <c r="D299" s="928" t="s">
        <v>678</v>
      </c>
      <c r="E299" s="928" t="s">
        <v>236</v>
      </c>
      <c r="F299" s="929">
        <v>2</v>
      </c>
      <c r="G299" s="695"/>
      <c r="H299" s="671"/>
      <c r="I299" s="671">
        <v>0</v>
      </c>
      <c r="J299" s="671">
        <v>0</v>
      </c>
      <c r="K299" s="671">
        <v>0</v>
      </c>
      <c r="L299" s="671">
        <v>0</v>
      </c>
      <c r="M299" s="1433">
        <v>-1.6012833302289531E-2</v>
      </c>
      <c r="N299" s="1433">
        <v>-3.2297784268105145E-2</v>
      </c>
      <c r="O299" s="1433">
        <v>-4.6891326556159241E-2</v>
      </c>
      <c r="P299" s="1433">
        <v>-6.1476061398944459E-2</v>
      </c>
      <c r="Q299" s="1433">
        <v>-6.7704838780245469E-2</v>
      </c>
      <c r="R299" s="1433">
        <v>-6.8220328336446867E-2</v>
      </c>
      <c r="S299" s="1433">
        <v>-7.6904546290095466E-2</v>
      </c>
      <c r="T299" s="1433">
        <v>-9.1173372840745115E-2</v>
      </c>
      <c r="U299" s="1433">
        <v>-0.10542791179829925</v>
      </c>
      <c r="V299" s="1433">
        <v>-0.11966776006978419</v>
      </c>
      <c r="W299" s="1433">
        <v>-0.1338935329489499</v>
      </c>
      <c r="X299" s="1433">
        <v>-0.14810483085964576</v>
      </c>
      <c r="Y299" s="1433">
        <v>-0.16230273066300716</v>
      </c>
      <c r="Z299" s="1433">
        <v>-0.17648917044213785</v>
      </c>
      <c r="AA299" s="1433">
        <v>-0.19066368741453266</v>
      </c>
      <c r="AB299" s="1433">
        <v>-0.20481992820443029</v>
      </c>
      <c r="AC299" s="1433">
        <v>-0.21895815868837754</v>
      </c>
      <c r="AD299" s="1433">
        <v>-0.23308594445252351</v>
      </c>
      <c r="AE299" s="1433">
        <v>-0.24720120862646122</v>
      </c>
      <c r="AF299" s="1433">
        <v>-0.26130520094276699</v>
      </c>
      <c r="AG299" s="1433">
        <v>-0.27539827539136907</v>
      </c>
      <c r="AH299" s="1433">
        <v>-0.28948165215975519</v>
      </c>
      <c r="AI299" s="1433">
        <v>-0.30355690303425731</v>
      </c>
      <c r="AJ299" s="1433">
        <v>-0.31762429344060794</v>
      </c>
      <c r="AK299" s="1433">
        <v>-0.33168332357691122</v>
      </c>
      <c r="AL299" s="1433"/>
      <c r="AM299" s="1433"/>
      <c r="AN299" s="1433"/>
      <c r="AO299" s="1433"/>
      <c r="AP299" s="1433"/>
      <c r="AQ299" s="1433"/>
      <c r="AR299" s="1433"/>
      <c r="AS299" s="1433"/>
      <c r="AT299" s="1433"/>
      <c r="AU299" s="1433"/>
      <c r="AV299" s="1433"/>
      <c r="AW299" s="1433"/>
      <c r="AX299" s="1433"/>
      <c r="AY299" s="1433"/>
      <c r="AZ299" s="1433"/>
      <c r="BA299" s="1433"/>
      <c r="BB299" s="1433"/>
      <c r="BC299" s="1433"/>
      <c r="BD299" s="1433"/>
      <c r="BE299" s="1433"/>
      <c r="BF299" s="1433"/>
      <c r="BG299" s="1433"/>
      <c r="BH299" s="1433"/>
      <c r="BI299" s="1433"/>
      <c r="BJ299" s="1433"/>
      <c r="BK299" s="1433"/>
      <c r="BL299" s="1433"/>
      <c r="BM299" s="1433"/>
      <c r="BN299" s="1433"/>
      <c r="BO299" s="1433"/>
      <c r="BP299" s="1433"/>
      <c r="BQ299" s="1433"/>
      <c r="BR299" s="1433"/>
      <c r="BS299" s="1433"/>
      <c r="BT299" s="1433"/>
      <c r="BU299" s="1433"/>
      <c r="BV299" s="1433"/>
      <c r="BW299" s="1433"/>
      <c r="BX299" s="1433"/>
      <c r="BY299" s="1433"/>
      <c r="BZ299" s="1433"/>
      <c r="CA299" s="1433"/>
      <c r="CB299" s="1433"/>
      <c r="CC299" s="1433"/>
      <c r="CD299" s="1433"/>
      <c r="CE299" s="1433"/>
      <c r="CF299" s="1433"/>
      <c r="CG299" s="1433"/>
      <c r="CH299" s="1433"/>
      <c r="CI299" s="1433"/>
      <c r="CJ299" s="1440"/>
    </row>
    <row r="300" spans="2:89" ht="15" thickBot="1" x14ac:dyDescent="0.25">
      <c r="B300" s="1425"/>
      <c r="C300" s="1426"/>
      <c r="D300" s="1427"/>
      <c r="E300" s="1426"/>
      <c r="F300" s="1428"/>
      <c r="G300" s="1429"/>
      <c r="H300" s="1430"/>
      <c r="I300" s="1430"/>
      <c r="J300" s="1430"/>
      <c r="K300" s="1430"/>
      <c r="L300" s="1430"/>
      <c r="M300" s="1431"/>
      <c r="N300" s="1431"/>
      <c r="O300" s="1431"/>
      <c r="P300" s="1431"/>
      <c r="Q300" s="1431"/>
      <c r="R300" s="1431"/>
      <c r="S300" s="1431"/>
      <c r="T300" s="1431"/>
      <c r="U300" s="1431"/>
      <c r="V300" s="1431"/>
      <c r="W300" s="1431"/>
      <c r="X300" s="1431"/>
      <c r="Y300" s="1431"/>
      <c r="Z300" s="1431"/>
      <c r="AA300" s="1431"/>
      <c r="AB300" s="1431"/>
      <c r="AC300" s="1431"/>
      <c r="AD300" s="1431"/>
      <c r="AE300" s="1431"/>
      <c r="AF300" s="1431"/>
      <c r="AG300" s="1431"/>
      <c r="AH300" s="1431"/>
      <c r="AI300" s="1431"/>
      <c r="AJ300" s="1431"/>
      <c r="AK300" s="1431"/>
      <c r="AL300" s="1431"/>
      <c r="AM300" s="1431"/>
      <c r="AN300" s="1431"/>
      <c r="AO300" s="1431"/>
      <c r="AP300" s="1431"/>
      <c r="AQ300" s="1431"/>
      <c r="AR300" s="1431"/>
      <c r="AS300" s="1431"/>
      <c r="AT300" s="1431"/>
      <c r="AU300" s="1431"/>
      <c r="AV300" s="1431"/>
      <c r="AW300" s="1431"/>
      <c r="AX300" s="1431"/>
      <c r="AY300" s="1431"/>
      <c r="AZ300" s="1431"/>
      <c r="BA300" s="1431"/>
      <c r="BB300" s="1431"/>
      <c r="BC300" s="1431"/>
      <c r="BD300" s="1431"/>
      <c r="BE300" s="1431"/>
      <c r="BF300" s="1431"/>
      <c r="BG300" s="1431"/>
      <c r="BH300" s="1431"/>
      <c r="BI300" s="1431"/>
      <c r="BJ300" s="1431"/>
      <c r="BK300" s="1431"/>
      <c r="BL300" s="1431"/>
      <c r="BM300" s="1431"/>
      <c r="BN300" s="1431"/>
      <c r="BO300" s="1431"/>
      <c r="BP300" s="1431"/>
      <c r="BQ300" s="1431"/>
      <c r="BR300" s="1431"/>
      <c r="BS300" s="1431"/>
      <c r="BT300" s="1431"/>
      <c r="BU300" s="1431"/>
      <c r="BV300" s="1431"/>
      <c r="BW300" s="1431"/>
      <c r="BX300" s="1431"/>
      <c r="BY300" s="1431"/>
      <c r="BZ300" s="1431"/>
      <c r="CA300" s="1431"/>
      <c r="CB300" s="1431"/>
      <c r="CC300" s="1431"/>
      <c r="CD300" s="1431"/>
      <c r="CE300" s="1431"/>
      <c r="CF300" s="1431"/>
      <c r="CG300" s="1431"/>
      <c r="CH300" s="1431"/>
      <c r="CI300" s="1432"/>
      <c r="CJ300" s="1435"/>
    </row>
    <row r="301" spans="2:89" ht="15.75" thickBot="1" x14ac:dyDescent="0.25">
      <c r="B301" s="891" t="s">
        <v>443</v>
      </c>
      <c r="C301" s="1306" t="s">
        <v>204</v>
      </c>
      <c r="D301" s="523"/>
      <c r="E301" s="523"/>
      <c r="F301" s="523"/>
      <c r="G301" s="523"/>
      <c r="H301" s="523"/>
      <c r="I301" s="523"/>
      <c r="J301" s="523"/>
      <c r="K301" s="523"/>
      <c r="L301" s="523"/>
      <c r="M301" s="523"/>
      <c r="N301" s="523"/>
      <c r="O301" s="523"/>
      <c r="P301" s="523"/>
      <c r="Q301" s="523"/>
      <c r="R301" s="523"/>
      <c r="S301" s="523"/>
      <c r="T301" s="523"/>
      <c r="U301" s="523"/>
      <c r="V301" s="523"/>
      <c r="W301" s="523"/>
      <c r="X301" s="523"/>
      <c r="Y301" s="523"/>
      <c r="Z301" s="523"/>
      <c r="AA301" s="523"/>
      <c r="AB301" s="523"/>
      <c r="AC301" s="523"/>
      <c r="AD301" s="523"/>
      <c r="AE301" s="523"/>
      <c r="AF301" s="523"/>
      <c r="AG301" s="523"/>
      <c r="AH301" s="523"/>
      <c r="AI301" s="523"/>
      <c r="AJ301" s="523"/>
      <c r="AK301" s="523"/>
      <c r="AL301" s="523"/>
      <c r="AM301" s="523"/>
      <c r="AN301" s="523"/>
      <c r="AO301" s="523"/>
      <c r="AP301" s="523"/>
      <c r="AQ301" s="523"/>
      <c r="AR301" s="523"/>
      <c r="AS301" s="523"/>
      <c r="AT301" s="523"/>
      <c r="AU301" s="523"/>
      <c r="AV301" s="523"/>
      <c r="AW301" s="523"/>
      <c r="AX301" s="523"/>
      <c r="AY301" s="523"/>
      <c r="AZ301" s="523"/>
      <c r="BA301" s="523"/>
      <c r="BB301" s="523"/>
      <c r="BC301" s="523"/>
      <c r="BD301" s="523"/>
      <c r="BE301" s="523"/>
      <c r="BF301" s="523"/>
      <c r="BG301" s="523"/>
      <c r="BH301" s="523"/>
      <c r="BI301" s="523"/>
      <c r="BJ301" s="523"/>
      <c r="BK301" s="523"/>
      <c r="BL301" s="523"/>
      <c r="BM301" s="523"/>
      <c r="BN301" s="523"/>
      <c r="BO301" s="523"/>
      <c r="BP301" s="523"/>
      <c r="BQ301" s="523"/>
      <c r="BR301" s="523"/>
      <c r="BS301" s="523"/>
      <c r="BT301" s="523"/>
      <c r="BU301" s="523"/>
      <c r="BV301" s="523"/>
      <c r="BW301" s="523"/>
      <c r="BX301" s="523"/>
      <c r="BY301" s="523"/>
      <c r="BZ301" s="523"/>
      <c r="CA301" s="523"/>
      <c r="CB301" s="523"/>
      <c r="CC301" s="523"/>
      <c r="CD301" s="523"/>
      <c r="CE301" s="523"/>
      <c r="CF301" s="523"/>
      <c r="CG301" s="523"/>
      <c r="CH301" s="523"/>
      <c r="CI301" s="523"/>
    </row>
    <row r="302" spans="2:89" ht="15.75" thickBot="1" x14ac:dyDescent="0.25">
      <c r="B302" s="930" t="s">
        <v>446</v>
      </c>
      <c r="C302" s="931" t="s">
        <v>205</v>
      </c>
      <c r="D302" s="931" t="s">
        <v>71</v>
      </c>
      <c r="E302" s="931" t="s">
        <v>206</v>
      </c>
      <c r="F302" s="932" t="s">
        <v>207</v>
      </c>
      <c r="G302" s="930" t="s">
        <v>208</v>
      </c>
      <c r="H302" s="930" t="s">
        <v>209</v>
      </c>
      <c r="I302" s="930" t="s">
        <v>210</v>
      </c>
      <c r="J302" s="930" t="s">
        <v>211</v>
      </c>
      <c r="K302" s="930" t="s">
        <v>212</v>
      </c>
      <c r="L302" s="930" t="s">
        <v>213</v>
      </c>
      <c r="M302" s="931" t="s">
        <v>214</v>
      </c>
      <c r="N302" s="931" t="s">
        <v>215</v>
      </c>
      <c r="O302" s="931" t="s">
        <v>216</v>
      </c>
      <c r="P302" s="931" t="s">
        <v>217</v>
      </c>
      <c r="Q302" s="931" t="s">
        <v>218</v>
      </c>
      <c r="R302" s="931" t="s">
        <v>247</v>
      </c>
      <c r="S302" s="931" t="s">
        <v>248</v>
      </c>
      <c r="T302" s="931" t="s">
        <v>249</v>
      </c>
      <c r="U302" s="931" t="s">
        <v>250</v>
      </c>
      <c r="V302" s="931" t="s">
        <v>219</v>
      </c>
      <c r="W302" s="931" t="s">
        <v>251</v>
      </c>
      <c r="X302" s="931" t="s">
        <v>252</v>
      </c>
      <c r="Y302" s="931" t="s">
        <v>253</v>
      </c>
      <c r="Z302" s="931" t="s">
        <v>254</v>
      </c>
      <c r="AA302" s="931" t="s">
        <v>220</v>
      </c>
      <c r="AB302" s="931" t="s">
        <v>255</v>
      </c>
      <c r="AC302" s="931" t="s">
        <v>256</v>
      </c>
      <c r="AD302" s="931" t="s">
        <v>257</v>
      </c>
      <c r="AE302" s="931" t="s">
        <v>258</v>
      </c>
      <c r="AF302" s="931" t="s">
        <v>221</v>
      </c>
      <c r="AG302" s="931" t="s">
        <v>259</v>
      </c>
      <c r="AH302" s="931" t="s">
        <v>260</v>
      </c>
      <c r="AI302" s="931" t="s">
        <v>261</v>
      </c>
      <c r="AJ302" s="931" t="s">
        <v>262</v>
      </c>
      <c r="AK302" s="931" t="s">
        <v>222</v>
      </c>
      <c r="AL302" s="931" t="s">
        <v>263</v>
      </c>
      <c r="AM302" s="931" t="s">
        <v>264</v>
      </c>
      <c r="AN302" s="931" t="s">
        <v>265</v>
      </c>
      <c r="AO302" s="931" t="s">
        <v>266</v>
      </c>
      <c r="AP302" s="931" t="s">
        <v>223</v>
      </c>
      <c r="AQ302" s="931" t="s">
        <v>267</v>
      </c>
      <c r="AR302" s="931" t="s">
        <v>268</v>
      </c>
      <c r="AS302" s="931" t="s">
        <v>269</v>
      </c>
      <c r="AT302" s="931" t="s">
        <v>270</v>
      </c>
      <c r="AU302" s="931" t="s">
        <v>224</v>
      </c>
      <c r="AV302" s="931" t="s">
        <v>271</v>
      </c>
      <c r="AW302" s="931" t="s">
        <v>272</v>
      </c>
      <c r="AX302" s="931" t="s">
        <v>273</v>
      </c>
      <c r="AY302" s="931" t="s">
        <v>274</v>
      </c>
      <c r="AZ302" s="931" t="s">
        <v>225</v>
      </c>
      <c r="BA302" s="931" t="s">
        <v>275</v>
      </c>
      <c r="BB302" s="931" t="s">
        <v>276</v>
      </c>
      <c r="BC302" s="931" t="s">
        <v>277</v>
      </c>
      <c r="BD302" s="931" t="s">
        <v>278</v>
      </c>
      <c r="BE302" s="931" t="s">
        <v>226</v>
      </c>
      <c r="BF302" s="931" t="s">
        <v>279</v>
      </c>
      <c r="BG302" s="931" t="s">
        <v>280</v>
      </c>
      <c r="BH302" s="931" t="s">
        <v>281</v>
      </c>
      <c r="BI302" s="931" t="s">
        <v>282</v>
      </c>
      <c r="BJ302" s="931" t="s">
        <v>227</v>
      </c>
      <c r="BK302" s="931" t="s">
        <v>283</v>
      </c>
      <c r="BL302" s="931" t="s">
        <v>284</v>
      </c>
      <c r="BM302" s="931" t="s">
        <v>285</v>
      </c>
      <c r="BN302" s="931" t="s">
        <v>286</v>
      </c>
      <c r="BO302" s="931" t="s">
        <v>228</v>
      </c>
      <c r="BP302" s="931" t="s">
        <v>287</v>
      </c>
      <c r="BQ302" s="931" t="s">
        <v>288</v>
      </c>
      <c r="BR302" s="931" t="s">
        <v>289</v>
      </c>
      <c r="BS302" s="931" t="s">
        <v>290</v>
      </c>
      <c r="BT302" s="931" t="s">
        <v>229</v>
      </c>
      <c r="BU302" s="931" t="s">
        <v>291</v>
      </c>
      <c r="BV302" s="931" t="s">
        <v>292</v>
      </c>
      <c r="BW302" s="931" t="s">
        <v>293</v>
      </c>
      <c r="BX302" s="931" t="s">
        <v>294</v>
      </c>
      <c r="BY302" s="931" t="s">
        <v>230</v>
      </c>
      <c r="BZ302" s="931" t="s">
        <v>295</v>
      </c>
      <c r="CA302" s="931" t="s">
        <v>296</v>
      </c>
      <c r="CB302" s="931" t="s">
        <v>297</v>
      </c>
      <c r="CC302" s="931" t="s">
        <v>298</v>
      </c>
      <c r="CD302" s="931" t="s">
        <v>231</v>
      </c>
      <c r="CE302" s="931" t="s">
        <v>299</v>
      </c>
      <c r="CF302" s="931" t="s">
        <v>300</v>
      </c>
      <c r="CG302" s="931" t="s">
        <v>301</v>
      </c>
      <c r="CH302" s="931" t="s">
        <v>302</v>
      </c>
      <c r="CI302" s="932" t="s">
        <v>232</v>
      </c>
      <c r="CK302" s="1296"/>
    </row>
    <row r="303" spans="2:89" x14ac:dyDescent="0.2">
      <c r="B303" s="933" t="s">
        <v>679</v>
      </c>
      <c r="C303" s="934" t="s">
        <v>448</v>
      </c>
      <c r="D303" s="925" t="s">
        <v>86</v>
      </c>
      <c r="E303" s="935" t="s">
        <v>236</v>
      </c>
      <c r="F303" s="936">
        <v>2</v>
      </c>
      <c r="G303" s="532"/>
      <c r="H303" s="593"/>
      <c r="I303" s="593">
        <v>11.77088642169371</v>
      </c>
      <c r="J303" s="593">
        <v>11.672544082622471</v>
      </c>
      <c r="K303" s="593">
        <v>11.584013796161981</v>
      </c>
      <c r="L303" s="593">
        <v>11.513199355172976</v>
      </c>
      <c r="M303" s="594">
        <v>11.543875109018376</v>
      </c>
      <c r="N303" s="594">
        <v>11.552687439831654</v>
      </c>
      <c r="O303" s="594">
        <v>11.515277094341194</v>
      </c>
      <c r="P303" s="594">
        <v>11.443571670448424</v>
      </c>
      <c r="Q303" s="594">
        <v>11.350412791366644</v>
      </c>
      <c r="R303" s="594">
        <v>11.246455207934327</v>
      </c>
      <c r="S303" s="594">
        <v>11.14385063241439</v>
      </c>
      <c r="T303" s="594">
        <v>13.365174295369529</v>
      </c>
      <c r="U303" s="594">
        <v>13.25849837702245</v>
      </c>
      <c r="V303" s="594">
        <v>13.155256180444596</v>
      </c>
      <c r="W303" s="594">
        <v>13.079429994726096</v>
      </c>
      <c r="X303" s="594">
        <v>13.019538606288377</v>
      </c>
      <c r="Y303" s="594">
        <v>12.993922903494258</v>
      </c>
      <c r="Z303" s="594">
        <v>12.971510265374485</v>
      </c>
      <c r="AA303" s="594">
        <v>12.94964830024993</v>
      </c>
      <c r="AB303" s="594">
        <v>12.922764115587821</v>
      </c>
      <c r="AC303" s="594">
        <v>12.900465366555714</v>
      </c>
      <c r="AD303" s="594">
        <v>12.880054809316226</v>
      </c>
      <c r="AE303" s="594">
        <v>12.87502911509026</v>
      </c>
      <c r="AF303" s="594">
        <v>12.870947597493608</v>
      </c>
      <c r="AG303" s="594">
        <v>12.866931326273582</v>
      </c>
      <c r="AH303" s="594">
        <v>12.864343020914131</v>
      </c>
      <c r="AI303" s="594">
        <v>12.862577975357834</v>
      </c>
      <c r="AJ303" s="594">
        <v>12.862262151893294</v>
      </c>
      <c r="AK303" s="594">
        <v>12.86328696175643</v>
      </c>
      <c r="AL303" s="594"/>
      <c r="AM303" s="594"/>
      <c r="AN303" s="594"/>
      <c r="AO303" s="594"/>
      <c r="AP303" s="594"/>
      <c r="AQ303" s="594"/>
      <c r="AR303" s="594"/>
      <c r="AS303" s="594"/>
      <c r="AT303" s="594"/>
      <c r="AU303" s="594"/>
      <c r="AV303" s="594"/>
      <c r="AW303" s="594"/>
      <c r="AX303" s="594"/>
      <c r="AY303" s="594"/>
      <c r="AZ303" s="594"/>
      <c r="BA303" s="594"/>
      <c r="BB303" s="594"/>
      <c r="BC303" s="594"/>
      <c r="BD303" s="594"/>
      <c r="BE303" s="594"/>
      <c r="BF303" s="594"/>
      <c r="BG303" s="594"/>
      <c r="BH303" s="594"/>
      <c r="BI303" s="594"/>
      <c r="BJ303" s="594"/>
      <c r="BK303" s="594"/>
      <c r="BL303" s="594"/>
      <c r="BM303" s="594"/>
      <c r="BN303" s="594"/>
      <c r="BO303" s="594"/>
      <c r="BP303" s="594"/>
      <c r="BQ303" s="594"/>
      <c r="BR303" s="594"/>
      <c r="BS303" s="594"/>
      <c r="BT303" s="594"/>
      <c r="BU303" s="594"/>
      <c r="BV303" s="594"/>
      <c r="BW303" s="594"/>
      <c r="BX303" s="594"/>
      <c r="BY303" s="594"/>
      <c r="BZ303" s="594"/>
      <c r="CA303" s="594"/>
      <c r="CB303" s="594"/>
      <c r="CC303" s="594"/>
      <c r="CD303" s="594"/>
      <c r="CE303" s="594"/>
      <c r="CF303" s="594"/>
      <c r="CG303" s="594"/>
      <c r="CH303" s="594"/>
      <c r="CI303" s="594"/>
      <c r="CK303" s="1296"/>
    </row>
    <row r="304" spans="2:89" x14ac:dyDescent="0.2">
      <c r="B304" s="937" t="s">
        <v>680</v>
      </c>
      <c r="C304" s="904" t="s">
        <v>681</v>
      </c>
      <c r="D304" s="907" t="s">
        <v>682</v>
      </c>
      <c r="E304" s="938" t="s">
        <v>236</v>
      </c>
      <c r="F304" s="939">
        <v>2</v>
      </c>
      <c r="G304" s="798">
        <f t="shared" ref="G304:AK307" si="88">G206+G276</f>
        <v>0</v>
      </c>
      <c r="H304" s="798">
        <f t="shared" si="88"/>
        <v>0</v>
      </c>
      <c r="I304" s="798">
        <f t="shared" si="88"/>
        <v>0</v>
      </c>
      <c r="J304" s="798">
        <f t="shared" si="88"/>
        <v>0</v>
      </c>
      <c r="K304" s="798">
        <f t="shared" si="88"/>
        <v>0</v>
      </c>
      <c r="L304" s="798">
        <f t="shared" si="88"/>
        <v>0</v>
      </c>
      <c r="M304" s="798">
        <f t="shared" si="88"/>
        <v>0</v>
      </c>
      <c r="N304" s="798">
        <f t="shared" si="88"/>
        <v>0</v>
      </c>
      <c r="O304" s="798">
        <f t="shared" si="88"/>
        <v>0</v>
      </c>
      <c r="P304" s="798">
        <f t="shared" si="88"/>
        <v>0</v>
      </c>
      <c r="Q304" s="798">
        <f t="shared" si="88"/>
        <v>0</v>
      </c>
      <c r="R304" s="798">
        <f t="shared" si="88"/>
        <v>0</v>
      </c>
      <c r="S304" s="798">
        <f t="shared" si="88"/>
        <v>0</v>
      </c>
      <c r="T304" s="798">
        <f t="shared" si="88"/>
        <v>0</v>
      </c>
      <c r="U304" s="798">
        <f t="shared" si="88"/>
        <v>0</v>
      </c>
      <c r="V304" s="798">
        <f t="shared" si="88"/>
        <v>0</v>
      </c>
      <c r="W304" s="798">
        <f t="shared" si="88"/>
        <v>0</v>
      </c>
      <c r="X304" s="798">
        <f t="shared" si="88"/>
        <v>0</v>
      </c>
      <c r="Y304" s="798">
        <f t="shared" si="88"/>
        <v>0</v>
      </c>
      <c r="Z304" s="798">
        <f t="shared" si="88"/>
        <v>0</v>
      </c>
      <c r="AA304" s="798">
        <f t="shared" si="88"/>
        <v>0</v>
      </c>
      <c r="AB304" s="798">
        <f t="shared" si="88"/>
        <v>0</v>
      </c>
      <c r="AC304" s="798">
        <f t="shared" si="88"/>
        <v>0</v>
      </c>
      <c r="AD304" s="798">
        <f t="shared" si="88"/>
        <v>0</v>
      </c>
      <c r="AE304" s="798">
        <f t="shared" si="88"/>
        <v>0</v>
      </c>
      <c r="AF304" s="798">
        <f t="shared" si="88"/>
        <v>0</v>
      </c>
      <c r="AG304" s="798">
        <f t="shared" si="88"/>
        <v>0</v>
      </c>
      <c r="AH304" s="798">
        <f t="shared" si="88"/>
        <v>0</v>
      </c>
      <c r="AI304" s="798">
        <f t="shared" si="88"/>
        <v>0</v>
      </c>
      <c r="AJ304" s="798">
        <f t="shared" si="88"/>
        <v>0</v>
      </c>
      <c r="AK304" s="798">
        <f t="shared" si="88"/>
        <v>0</v>
      </c>
      <c r="AL304" s="798"/>
      <c r="AM304" s="798"/>
      <c r="AN304" s="798"/>
      <c r="AO304" s="798"/>
      <c r="AP304" s="798"/>
      <c r="AQ304" s="798"/>
      <c r="AR304" s="798"/>
      <c r="AS304" s="798"/>
      <c r="AT304" s="798"/>
      <c r="AU304" s="798"/>
      <c r="AV304" s="798"/>
      <c r="AW304" s="798"/>
      <c r="AX304" s="798"/>
      <c r="AY304" s="798"/>
      <c r="AZ304" s="798"/>
      <c r="BA304" s="798"/>
      <c r="BB304" s="798"/>
      <c r="BC304" s="798"/>
      <c r="BD304" s="798"/>
      <c r="BE304" s="798"/>
      <c r="BF304" s="798"/>
      <c r="BG304" s="798"/>
      <c r="BH304" s="798"/>
      <c r="BI304" s="798"/>
      <c r="BJ304" s="798"/>
      <c r="BK304" s="798"/>
      <c r="BL304" s="798"/>
      <c r="BM304" s="798"/>
      <c r="BN304" s="798"/>
      <c r="BO304" s="798"/>
      <c r="BP304" s="798"/>
      <c r="BQ304" s="798"/>
      <c r="BR304" s="798"/>
      <c r="BS304" s="798"/>
      <c r="BT304" s="798"/>
      <c r="BU304" s="798"/>
      <c r="BV304" s="798"/>
      <c r="BW304" s="798"/>
      <c r="BX304" s="798"/>
      <c r="BY304" s="798"/>
      <c r="BZ304" s="798"/>
      <c r="CA304" s="798"/>
      <c r="CB304" s="798"/>
      <c r="CC304" s="798"/>
      <c r="CD304" s="798"/>
      <c r="CE304" s="798"/>
      <c r="CF304" s="798"/>
      <c r="CG304" s="798"/>
      <c r="CH304" s="798"/>
      <c r="CI304" s="719"/>
      <c r="CK304" s="1296"/>
    </row>
    <row r="305" spans="2:89" x14ac:dyDescent="0.2">
      <c r="B305" s="937" t="s">
        <v>683</v>
      </c>
      <c r="C305" s="904" t="s">
        <v>452</v>
      </c>
      <c r="D305" s="907" t="s">
        <v>684</v>
      </c>
      <c r="E305" s="938" t="s">
        <v>236</v>
      </c>
      <c r="F305" s="939">
        <v>2</v>
      </c>
      <c r="G305" s="569">
        <f t="shared" si="88"/>
        <v>0</v>
      </c>
      <c r="H305" s="569">
        <f t="shared" si="88"/>
        <v>0</v>
      </c>
      <c r="I305" s="569">
        <f t="shared" si="88"/>
        <v>2.27</v>
      </c>
      <c r="J305" s="569">
        <f t="shared" si="88"/>
        <v>2.27</v>
      </c>
      <c r="K305" s="569">
        <f t="shared" si="88"/>
        <v>2.27</v>
      </c>
      <c r="L305" s="569">
        <f t="shared" si="88"/>
        <v>2.27</v>
      </c>
      <c r="M305" s="718">
        <f t="shared" si="88"/>
        <v>2.27</v>
      </c>
      <c r="N305" s="718">
        <f t="shared" si="88"/>
        <v>2.27</v>
      </c>
      <c r="O305" s="718">
        <f t="shared" si="88"/>
        <v>2.27</v>
      </c>
      <c r="P305" s="718">
        <f t="shared" si="88"/>
        <v>2.27</v>
      </c>
      <c r="Q305" s="718">
        <f t="shared" si="88"/>
        <v>2.27</v>
      </c>
      <c r="R305" s="718">
        <f t="shared" si="88"/>
        <v>2.27</v>
      </c>
      <c r="S305" s="718">
        <f t="shared" si="88"/>
        <v>2.27</v>
      </c>
      <c r="T305" s="718">
        <f t="shared" si="88"/>
        <v>2.27</v>
      </c>
      <c r="U305" s="718">
        <f t="shared" si="88"/>
        <v>2.27</v>
      </c>
      <c r="V305" s="718">
        <f t="shared" si="88"/>
        <v>2.27</v>
      </c>
      <c r="W305" s="718">
        <f t="shared" si="88"/>
        <v>2.27</v>
      </c>
      <c r="X305" s="718">
        <f t="shared" si="88"/>
        <v>2.27</v>
      </c>
      <c r="Y305" s="718">
        <f t="shared" si="88"/>
        <v>2.27</v>
      </c>
      <c r="Z305" s="718">
        <f t="shared" si="88"/>
        <v>2.27</v>
      </c>
      <c r="AA305" s="718">
        <f t="shared" si="88"/>
        <v>2.27</v>
      </c>
      <c r="AB305" s="718">
        <f t="shared" si="88"/>
        <v>2.27</v>
      </c>
      <c r="AC305" s="718">
        <f t="shared" si="88"/>
        <v>2.27</v>
      </c>
      <c r="AD305" s="718">
        <f t="shared" si="88"/>
        <v>2.27</v>
      </c>
      <c r="AE305" s="718">
        <f t="shared" si="88"/>
        <v>2.27</v>
      </c>
      <c r="AF305" s="718">
        <f t="shared" si="88"/>
        <v>2.27</v>
      </c>
      <c r="AG305" s="718">
        <f t="shared" si="88"/>
        <v>2.27</v>
      </c>
      <c r="AH305" s="718">
        <f t="shared" si="88"/>
        <v>2.27</v>
      </c>
      <c r="AI305" s="718">
        <f t="shared" si="88"/>
        <v>2.27</v>
      </c>
      <c r="AJ305" s="718">
        <f t="shared" si="88"/>
        <v>2.27</v>
      </c>
      <c r="AK305" s="718">
        <f t="shared" si="88"/>
        <v>2.27</v>
      </c>
      <c r="AL305" s="718"/>
      <c r="AM305" s="718"/>
      <c r="AN305" s="718"/>
      <c r="AO305" s="718"/>
      <c r="AP305" s="718"/>
      <c r="AQ305" s="718"/>
      <c r="AR305" s="718"/>
      <c r="AS305" s="718"/>
      <c r="AT305" s="718"/>
      <c r="AU305" s="718"/>
      <c r="AV305" s="718"/>
      <c r="AW305" s="718"/>
      <c r="AX305" s="718"/>
      <c r="AY305" s="718"/>
      <c r="AZ305" s="718"/>
      <c r="BA305" s="718"/>
      <c r="BB305" s="718"/>
      <c r="BC305" s="718"/>
      <c r="BD305" s="718"/>
      <c r="BE305" s="718"/>
      <c r="BF305" s="718"/>
      <c r="BG305" s="718"/>
      <c r="BH305" s="718"/>
      <c r="BI305" s="718"/>
      <c r="BJ305" s="718"/>
      <c r="BK305" s="718"/>
      <c r="BL305" s="718"/>
      <c r="BM305" s="718"/>
      <c r="BN305" s="718"/>
      <c r="BO305" s="718"/>
      <c r="BP305" s="718"/>
      <c r="BQ305" s="718"/>
      <c r="BR305" s="718"/>
      <c r="BS305" s="718"/>
      <c r="BT305" s="718"/>
      <c r="BU305" s="718"/>
      <c r="BV305" s="718"/>
      <c r="BW305" s="718"/>
      <c r="BX305" s="718"/>
      <c r="BY305" s="718"/>
      <c r="BZ305" s="718"/>
      <c r="CA305" s="718"/>
      <c r="CB305" s="718"/>
      <c r="CC305" s="718"/>
      <c r="CD305" s="718"/>
      <c r="CE305" s="718"/>
      <c r="CF305" s="718"/>
      <c r="CG305" s="718"/>
      <c r="CH305" s="718"/>
      <c r="CI305" s="719"/>
      <c r="CK305" s="1296"/>
    </row>
    <row r="306" spans="2:89" x14ac:dyDescent="0.2">
      <c r="B306" s="937" t="s">
        <v>685</v>
      </c>
      <c r="C306" s="904" t="s">
        <v>454</v>
      </c>
      <c r="D306" s="907" t="s">
        <v>686</v>
      </c>
      <c r="E306" s="938" t="s">
        <v>236</v>
      </c>
      <c r="F306" s="939">
        <v>2</v>
      </c>
      <c r="G306" s="569">
        <f t="shared" si="88"/>
        <v>0</v>
      </c>
      <c r="H306" s="569">
        <f t="shared" si="88"/>
        <v>0</v>
      </c>
      <c r="I306" s="569">
        <f t="shared" si="88"/>
        <v>0</v>
      </c>
      <c r="J306" s="569">
        <f t="shared" si="88"/>
        <v>0</v>
      </c>
      <c r="K306" s="569">
        <f t="shared" si="88"/>
        <v>0</v>
      </c>
      <c r="L306" s="569">
        <f t="shared" si="88"/>
        <v>0</v>
      </c>
      <c r="M306" s="718">
        <f t="shared" si="88"/>
        <v>0</v>
      </c>
      <c r="N306" s="718">
        <f t="shared" si="88"/>
        <v>0</v>
      </c>
      <c r="O306" s="718">
        <f t="shared" si="88"/>
        <v>0</v>
      </c>
      <c r="P306" s="718">
        <f t="shared" si="88"/>
        <v>0</v>
      </c>
      <c r="Q306" s="718">
        <f t="shared" si="88"/>
        <v>0</v>
      </c>
      <c r="R306" s="718">
        <f t="shared" si="88"/>
        <v>0</v>
      </c>
      <c r="S306" s="718">
        <f t="shared" si="88"/>
        <v>0</v>
      </c>
      <c r="T306" s="718">
        <f t="shared" si="88"/>
        <v>0</v>
      </c>
      <c r="U306" s="718">
        <f t="shared" si="88"/>
        <v>0</v>
      </c>
      <c r="V306" s="718">
        <f t="shared" si="88"/>
        <v>0</v>
      </c>
      <c r="W306" s="718">
        <f t="shared" si="88"/>
        <v>0</v>
      </c>
      <c r="X306" s="718">
        <f t="shared" si="88"/>
        <v>0</v>
      </c>
      <c r="Y306" s="718">
        <f t="shared" si="88"/>
        <v>0</v>
      </c>
      <c r="Z306" s="718">
        <f t="shared" si="88"/>
        <v>0</v>
      </c>
      <c r="AA306" s="718">
        <f t="shared" si="88"/>
        <v>0</v>
      </c>
      <c r="AB306" s="718">
        <f t="shared" si="88"/>
        <v>0</v>
      </c>
      <c r="AC306" s="718">
        <f t="shared" si="88"/>
        <v>0</v>
      </c>
      <c r="AD306" s="718">
        <f t="shared" si="88"/>
        <v>0</v>
      </c>
      <c r="AE306" s="718">
        <f t="shared" si="88"/>
        <v>0</v>
      </c>
      <c r="AF306" s="718">
        <f t="shared" si="88"/>
        <v>0</v>
      </c>
      <c r="AG306" s="718">
        <f t="shared" si="88"/>
        <v>0</v>
      </c>
      <c r="AH306" s="718">
        <f t="shared" si="88"/>
        <v>0</v>
      </c>
      <c r="AI306" s="718">
        <f t="shared" si="88"/>
        <v>0</v>
      </c>
      <c r="AJ306" s="718">
        <f t="shared" si="88"/>
        <v>0</v>
      </c>
      <c r="AK306" s="718">
        <f t="shared" si="88"/>
        <v>0</v>
      </c>
      <c r="AL306" s="718"/>
      <c r="AM306" s="718"/>
      <c r="AN306" s="718"/>
      <c r="AO306" s="718"/>
      <c r="AP306" s="718"/>
      <c r="AQ306" s="718"/>
      <c r="AR306" s="718"/>
      <c r="AS306" s="718"/>
      <c r="AT306" s="718"/>
      <c r="AU306" s="718"/>
      <c r="AV306" s="718"/>
      <c r="AW306" s="718"/>
      <c r="AX306" s="718"/>
      <c r="AY306" s="718"/>
      <c r="AZ306" s="718"/>
      <c r="BA306" s="718"/>
      <c r="BB306" s="718"/>
      <c r="BC306" s="718"/>
      <c r="BD306" s="718"/>
      <c r="BE306" s="718"/>
      <c r="BF306" s="718"/>
      <c r="BG306" s="718"/>
      <c r="BH306" s="718"/>
      <c r="BI306" s="718"/>
      <c r="BJ306" s="718"/>
      <c r="BK306" s="718"/>
      <c r="BL306" s="718"/>
      <c r="BM306" s="718"/>
      <c r="BN306" s="718"/>
      <c r="BO306" s="718"/>
      <c r="BP306" s="718"/>
      <c r="BQ306" s="718"/>
      <c r="BR306" s="718"/>
      <c r="BS306" s="718"/>
      <c r="BT306" s="718"/>
      <c r="BU306" s="718"/>
      <c r="BV306" s="718"/>
      <c r="BW306" s="718"/>
      <c r="BX306" s="718"/>
      <c r="BY306" s="718"/>
      <c r="BZ306" s="718"/>
      <c r="CA306" s="718"/>
      <c r="CB306" s="718"/>
      <c r="CC306" s="718"/>
      <c r="CD306" s="718"/>
      <c r="CE306" s="718"/>
      <c r="CF306" s="718"/>
      <c r="CG306" s="718"/>
      <c r="CH306" s="718"/>
      <c r="CI306" s="719"/>
      <c r="CK306" s="1296"/>
    </row>
    <row r="307" spans="2:89" x14ac:dyDescent="0.2">
      <c r="B307" s="940" t="s">
        <v>687</v>
      </c>
      <c r="C307" s="904" t="s">
        <v>456</v>
      </c>
      <c r="D307" s="907" t="s">
        <v>688</v>
      </c>
      <c r="E307" s="938" t="s">
        <v>236</v>
      </c>
      <c r="F307" s="939">
        <v>2</v>
      </c>
      <c r="G307" s="569">
        <f>G209+G279</f>
        <v>0</v>
      </c>
      <c r="H307" s="569">
        <f t="shared" si="88"/>
        <v>0</v>
      </c>
      <c r="I307" s="569">
        <f t="shared" si="88"/>
        <v>0</v>
      </c>
      <c r="J307" s="569">
        <f t="shared" si="88"/>
        <v>0</v>
      </c>
      <c r="K307" s="569">
        <f t="shared" si="88"/>
        <v>0</v>
      </c>
      <c r="L307" s="569">
        <f t="shared" si="88"/>
        <v>0</v>
      </c>
      <c r="M307" s="569">
        <f t="shared" si="88"/>
        <v>0</v>
      </c>
      <c r="N307" s="569">
        <f t="shared" si="88"/>
        <v>0</v>
      </c>
      <c r="O307" s="569">
        <f t="shared" si="88"/>
        <v>0</v>
      </c>
      <c r="P307" s="569">
        <f t="shared" si="88"/>
        <v>0</v>
      </c>
      <c r="Q307" s="569">
        <f t="shared" si="88"/>
        <v>0</v>
      </c>
      <c r="R307" s="569">
        <f t="shared" si="88"/>
        <v>0</v>
      </c>
      <c r="S307" s="569">
        <f t="shared" si="88"/>
        <v>0</v>
      </c>
      <c r="T307" s="569">
        <f t="shared" si="88"/>
        <v>0</v>
      </c>
      <c r="U307" s="569">
        <f t="shared" si="88"/>
        <v>0</v>
      </c>
      <c r="V307" s="569">
        <f t="shared" si="88"/>
        <v>0</v>
      </c>
      <c r="W307" s="569">
        <f t="shared" si="88"/>
        <v>0</v>
      </c>
      <c r="X307" s="569">
        <f t="shared" si="88"/>
        <v>0</v>
      </c>
      <c r="Y307" s="569">
        <f t="shared" si="88"/>
        <v>0</v>
      </c>
      <c r="Z307" s="569">
        <f t="shared" si="88"/>
        <v>0</v>
      </c>
      <c r="AA307" s="569">
        <f t="shared" si="88"/>
        <v>0</v>
      </c>
      <c r="AB307" s="569">
        <f t="shared" si="88"/>
        <v>0</v>
      </c>
      <c r="AC307" s="569">
        <f t="shared" si="88"/>
        <v>0</v>
      </c>
      <c r="AD307" s="569">
        <f t="shared" si="88"/>
        <v>0</v>
      </c>
      <c r="AE307" s="569">
        <f t="shared" si="88"/>
        <v>0</v>
      </c>
      <c r="AF307" s="569">
        <f t="shared" si="88"/>
        <v>0</v>
      </c>
      <c r="AG307" s="569">
        <f t="shared" si="88"/>
        <v>0</v>
      </c>
      <c r="AH307" s="569">
        <f t="shared" si="88"/>
        <v>0</v>
      </c>
      <c r="AI307" s="569">
        <f t="shared" si="88"/>
        <v>0</v>
      </c>
      <c r="AJ307" s="569">
        <f t="shared" si="88"/>
        <v>0</v>
      </c>
      <c r="AK307" s="569">
        <f t="shared" si="88"/>
        <v>0</v>
      </c>
      <c r="AL307" s="569"/>
      <c r="AM307" s="569"/>
      <c r="AN307" s="569"/>
      <c r="AO307" s="569"/>
      <c r="AP307" s="569"/>
      <c r="AQ307" s="569"/>
      <c r="AR307" s="569"/>
      <c r="AS307" s="569"/>
      <c r="AT307" s="569"/>
      <c r="AU307" s="569"/>
      <c r="AV307" s="569"/>
      <c r="AW307" s="569"/>
      <c r="AX307" s="569"/>
      <c r="AY307" s="569"/>
      <c r="AZ307" s="569"/>
      <c r="BA307" s="569"/>
      <c r="BB307" s="569"/>
      <c r="BC307" s="569"/>
      <c r="BD307" s="569"/>
      <c r="BE307" s="569"/>
      <c r="BF307" s="569"/>
      <c r="BG307" s="569"/>
      <c r="BH307" s="569"/>
      <c r="BI307" s="569"/>
      <c r="BJ307" s="569"/>
      <c r="BK307" s="569"/>
      <c r="BL307" s="569"/>
      <c r="BM307" s="569"/>
      <c r="BN307" s="569"/>
      <c r="BO307" s="569"/>
      <c r="BP307" s="569"/>
      <c r="BQ307" s="569"/>
      <c r="BR307" s="569"/>
      <c r="BS307" s="569"/>
      <c r="BT307" s="569"/>
      <c r="BU307" s="569"/>
      <c r="BV307" s="569"/>
      <c r="BW307" s="569"/>
      <c r="BX307" s="569"/>
      <c r="BY307" s="569"/>
      <c r="BZ307" s="569"/>
      <c r="CA307" s="569"/>
      <c r="CB307" s="569"/>
      <c r="CC307" s="569"/>
      <c r="CD307" s="569"/>
      <c r="CE307" s="569"/>
      <c r="CF307" s="569"/>
      <c r="CG307" s="569"/>
      <c r="CH307" s="569"/>
      <c r="CI307" s="719"/>
      <c r="CK307" s="1296"/>
    </row>
    <row r="308" spans="2:89" x14ac:dyDescent="0.2">
      <c r="B308" s="940" t="s">
        <v>689</v>
      </c>
      <c r="C308" s="904" t="s">
        <v>458</v>
      </c>
      <c r="D308" s="907" t="s">
        <v>690</v>
      </c>
      <c r="E308" s="938" t="s">
        <v>236</v>
      </c>
      <c r="F308" s="939">
        <v>2</v>
      </c>
      <c r="G308" s="569">
        <f>G210+G280</f>
        <v>0</v>
      </c>
      <c r="H308" s="569">
        <f t="shared" ref="H308:AK308" si="89">H210+H280</f>
        <v>0</v>
      </c>
      <c r="I308" s="569">
        <f t="shared" si="89"/>
        <v>-1.3800000000000001</v>
      </c>
      <c r="J308" s="569">
        <f t="shared" si="89"/>
        <v>-1.3800000000000001</v>
      </c>
      <c r="K308" s="569">
        <f t="shared" si="89"/>
        <v>-1.3800000000000001</v>
      </c>
      <c r="L308" s="569">
        <f t="shared" si="89"/>
        <v>-1.3800000000000001</v>
      </c>
      <c r="M308" s="718">
        <f t="shared" si="89"/>
        <v>-1.3800000000000001</v>
      </c>
      <c r="N308" s="718">
        <f t="shared" si="89"/>
        <v>-1.3800000000000001</v>
      </c>
      <c r="O308" s="718">
        <f t="shared" si="89"/>
        <v>-1.3800000000000001</v>
      </c>
      <c r="P308" s="718">
        <f t="shared" si="89"/>
        <v>-1.3800000000000001</v>
      </c>
      <c r="Q308" s="718">
        <f t="shared" si="89"/>
        <v>-1.3800000000000001</v>
      </c>
      <c r="R308" s="718">
        <f t="shared" si="89"/>
        <v>-1.3800000000000001</v>
      </c>
      <c r="S308" s="718">
        <f t="shared" si="89"/>
        <v>-1.3800000000000001</v>
      </c>
      <c r="T308" s="718">
        <f t="shared" si="89"/>
        <v>-1.3800000000000001</v>
      </c>
      <c r="U308" s="718">
        <f t="shared" si="89"/>
        <v>-1.3800000000000001</v>
      </c>
      <c r="V308" s="718">
        <f t="shared" si="89"/>
        <v>-1.3800000000000001</v>
      </c>
      <c r="W308" s="718">
        <f t="shared" si="89"/>
        <v>-1.3800000000000001</v>
      </c>
      <c r="X308" s="718">
        <f t="shared" si="89"/>
        <v>-1.3800000000000001</v>
      </c>
      <c r="Y308" s="718">
        <f t="shared" si="89"/>
        <v>-1.3800000000000001</v>
      </c>
      <c r="Z308" s="718">
        <f t="shared" si="89"/>
        <v>-1.3800000000000001</v>
      </c>
      <c r="AA308" s="718">
        <f t="shared" si="89"/>
        <v>-1.3800000000000001</v>
      </c>
      <c r="AB308" s="718">
        <f t="shared" si="89"/>
        <v>-1.3800000000000001</v>
      </c>
      <c r="AC308" s="718">
        <f t="shared" si="89"/>
        <v>-1.3800000000000001</v>
      </c>
      <c r="AD308" s="718">
        <f t="shared" si="89"/>
        <v>-1.3800000000000001</v>
      </c>
      <c r="AE308" s="718">
        <f t="shared" si="89"/>
        <v>-1.3800000000000001</v>
      </c>
      <c r="AF308" s="718">
        <f t="shared" si="89"/>
        <v>-1.3800000000000001</v>
      </c>
      <c r="AG308" s="718">
        <f t="shared" si="89"/>
        <v>-1.3800000000000001</v>
      </c>
      <c r="AH308" s="718">
        <f t="shared" si="89"/>
        <v>-1.3800000000000001</v>
      </c>
      <c r="AI308" s="718">
        <f t="shared" si="89"/>
        <v>-1.3800000000000001</v>
      </c>
      <c r="AJ308" s="718">
        <f t="shared" si="89"/>
        <v>-1.3800000000000001</v>
      </c>
      <c r="AK308" s="718">
        <f t="shared" si="89"/>
        <v>-1.3800000000000001</v>
      </c>
      <c r="AL308" s="718"/>
      <c r="AM308" s="718"/>
      <c r="AN308" s="718"/>
      <c r="AO308" s="718"/>
      <c r="AP308" s="718"/>
      <c r="AQ308" s="718"/>
      <c r="AR308" s="718"/>
      <c r="AS308" s="718"/>
      <c r="AT308" s="718"/>
      <c r="AU308" s="718"/>
      <c r="AV308" s="718"/>
      <c r="AW308" s="718"/>
      <c r="AX308" s="718"/>
      <c r="AY308" s="718"/>
      <c r="AZ308" s="718"/>
      <c r="BA308" s="718"/>
      <c r="BB308" s="718"/>
      <c r="BC308" s="718"/>
      <c r="BD308" s="718"/>
      <c r="BE308" s="718"/>
      <c r="BF308" s="718"/>
      <c r="BG308" s="718"/>
      <c r="BH308" s="718"/>
      <c r="BI308" s="718"/>
      <c r="BJ308" s="718"/>
      <c r="BK308" s="718"/>
      <c r="BL308" s="718"/>
      <c r="BM308" s="718"/>
      <c r="BN308" s="718"/>
      <c r="BO308" s="718"/>
      <c r="BP308" s="718"/>
      <c r="BQ308" s="718"/>
      <c r="BR308" s="718"/>
      <c r="BS308" s="718"/>
      <c r="BT308" s="718"/>
      <c r="BU308" s="718"/>
      <c r="BV308" s="718"/>
      <c r="BW308" s="718"/>
      <c r="BX308" s="718"/>
      <c r="BY308" s="718"/>
      <c r="BZ308" s="718"/>
      <c r="CA308" s="718"/>
      <c r="CB308" s="718"/>
      <c r="CC308" s="718"/>
      <c r="CD308" s="718"/>
      <c r="CE308" s="718"/>
      <c r="CF308" s="718"/>
      <c r="CG308" s="718"/>
      <c r="CH308" s="718"/>
      <c r="CI308" s="719"/>
      <c r="CK308" s="1296"/>
    </row>
    <row r="309" spans="2:89" x14ac:dyDescent="0.2">
      <c r="B309" s="940" t="s">
        <v>691</v>
      </c>
      <c r="C309" s="901" t="s">
        <v>462</v>
      </c>
      <c r="D309" s="907" t="s">
        <v>692</v>
      </c>
      <c r="E309" s="938" t="s">
        <v>236</v>
      </c>
      <c r="F309" s="939">
        <v>2</v>
      </c>
      <c r="G309" s="569">
        <f>G212+G281+G282+G283+G284</f>
        <v>0</v>
      </c>
      <c r="H309" s="569">
        <f t="shared" ref="H309:AK309" si="90">H212+H281+H282+H283+H284</f>
        <v>0</v>
      </c>
      <c r="I309" s="569">
        <f t="shared" si="90"/>
        <v>21.927204036700289</v>
      </c>
      <c r="J309" s="569">
        <f t="shared" si="90"/>
        <v>21.92570487083745</v>
      </c>
      <c r="K309" s="569">
        <f t="shared" si="90"/>
        <v>21.905012890954541</v>
      </c>
      <c r="L309" s="569">
        <f t="shared" si="90"/>
        <v>21.895581840079462</v>
      </c>
      <c r="M309" s="569">
        <f t="shared" si="90"/>
        <v>21.883054240187167</v>
      </c>
      <c r="N309" s="569">
        <f t="shared" si="90"/>
        <v>21.879680936203382</v>
      </c>
      <c r="O309" s="569">
        <f t="shared" si="90"/>
        <v>21.876630462897079</v>
      </c>
      <c r="P309" s="569">
        <f t="shared" si="90"/>
        <v>21.867410198656806</v>
      </c>
      <c r="Q309" s="569">
        <f t="shared" si="90"/>
        <v>21.844332502649259</v>
      </c>
      <c r="R309" s="569">
        <f t="shared" si="90"/>
        <v>21.817856893048631</v>
      </c>
      <c r="S309" s="569">
        <f t="shared" si="90"/>
        <v>21.80444750716628</v>
      </c>
      <c r="T309" s="569">
        <f t="shared" si="90"/>
        <v>21.798345278038845</v>
      </c>
      <c r="U309" s="569">
        <f t="shared" si="90"/>
        <v>21.790926229007852</v>
      </c>
      <c r="V309" s="569">
        <f t="shared" si="90"/>
        <v>21.783667140064626</v>
      </c>
      <c r="W309" s="569">
        <f t="shared" si="90"/>
        <v>21.7816749360599</v>
      </c>
      <c r="X309" s="569">
        <f t="shared" si="90"/>
        <v>21.779795918142526</v>
      </c>
      <c r="Y309" s="569">
        <f t="shared" si="90"/>
        <v>21.778061078183356</v>
      </c>
      <c r="Z309" s="569">
        <f t="shared" si="90"/>
        <v>21.776490580142557</v>
      </c>
      <c r="AA309" s="569">
        <f t="shared" si="90"/>
        <v>21.774682109559869</v>
      </c>
      <c r="AB309" s="569">
        <f t="shared" si="90"/>
        <v>21.772186089209587</v>
      </c>
      <c r="AC309" s="569">
        <f t="shared" si="90"/>
        <v>21.770330058580509</v>
      </c>
      <c r="AD309" s="569">
        <f t="shared" si="90"/>
        <v>21.768675867997064</v>
      </c>
      <c r="AE309" s="569">
        <f t="shared" si="90"/>
        <v>21.768766354726989</v>
      </c>
      <c r="AF309" s="569">
        <f t="shared" si="90"/>
        <v>21.768913418554359</v>
      </c>
      <c r="AG309" s="569">
        <f t="shared" si="90"/>
        <v>21.769059758022234</v>
      </c>
      <c r="AH309" s="569">
        <f t="shared" si="90"/>
        <v>21.769335578287514</v>
      </c>
      <c r="AI309" s="569">
        <f t="shared" si="90"/>
        <v>21.769629789948766</v>
      </c>
      <c r="AJ309" s="569">
        <f t="shared" si="90"/>
        <v>21.770007630557284</v>
      </c>
      <c r="AK309" s="569">
        <f t="shared" si="90"/>
        <v>21.770359586186306</v>
      </c>
      <c r="AL309" s="569"/>
      <c r="AM309" s="569"/>
      <c r="AN309" s="569"/>
      <c r="AO309" s="569"/>
      <c r="AP309" s="569"/>
      <c r="AQ309" s="569"/>
      <c r="AR309" s="569"/>
      <c r="AS309" s="569"/>
      <c r="AT309" s="569"/>
      <c r="AU309" s="569"/>
      <c r="AV309" s="569"/>
      <c r="AW309" s="569"/>
      <c r="AX309" s="569"/>
      <c r="AY309" s="569"/>
      <c r="AZ309" s="569"/>
      <c r="BA309" s="569"/>
      <c r="BB309" s="569"/>
      <c r="BC309" s="569"/>
      <c r="BD309" s="569"/>
      <c r="BE309" s="569"/>
      <c r="BF309" s="569"/>
      <c r="BG309" s="569"/>
      <c r="BH309" s="569"/>
      <c r="BI309" s="569"/>
      <c r="BJ309" s="569"/>
      <c r="BK309" s="569"/>
      <c r="BL309" s="569"/>
      <c r="BM309" s="569"/>
      <c r="BN309" s="569"/>
      <c r="BO309" s="569"/>
      <c r="BP309" s="569"/>
      <c r="BQ309" s="569"/>
      <c r="BR309" s="569"/>
      <c r="BS309" s="569"/>
      <c r="BT309" s="569"/>
      <c r="BU309" s="569"/>
      <c r="BV309" s="569"/>
      <c r="BW309" s="569"/>
      <c r="BX309" s="569"/>
      <c r="BY309" s="569"/>
      <c r="BZ309" s="569"/>
      <c r="CA309" s="569"/>
      <c r="CB309" s="569"/>
      <c r="CC309" s="569"/>
      <c r="CD309" s="569"/>
      <c r="CE309" s="569"/>
      <c r="CF309" s="569"/>
      <c r="CG309" s="569"/>
      <c r="CH309" s="569"/>
      <c r="CI309" s="719"/>
      <c r="CK309" s="1296"/>
    </row>
    <row r="310" spans="2:89" ht="28.5" x14ac:dyDescent="0.2">
      <c r="B310" s="940" t="s">
        <v>693</v>
      </c>
      <c r="C310" s="901" t="s">
        <v>694</v>
      </c>
      <c r="D310" s="907" t="s">
        <v>695</v>
      </c>
      <c r="E310" s="938" t="s">
        <v>236</v>
      </c>
      <c r="F310" s="939">
        <v>2</v>
      </c>
      <c r="G310" s="569">
        <f t="shared" ref="G310:AK310" si="91">G220+G285+G286</f>
        <v>0</v>
      </c>
      <c r="H310" s="569">
        <f t="shared" si="91"/>
        <v>0</v>
      </c>
      <c r="I310" s="569">
        <f t="shared" si="91"/>
        <v>0.72864999999999991</v>
      </c>
      <c r="J310" s="569">
        <f t="shared" si="91"/>
        <v>0.72864999999999991</v>
      </c>
      <c r="K310" s="569">
        <f t="shared" si="91"/>
        <v>0.72864999999999991</v>
      </c>
      <c r="L310" s="569">
        <f t="shared" si="91"/>
        <v>0.72864999999999991</v>
      </c>
      <c r="M310" s="718">
        <f t="shared" si="91"/>
        <v>0.72864999999999991</v>
      </c>
      <c r="N310" s="718">
        <f t="shared" si="91"/>
        <v>0.72864999999999991</v>
      </c>
      <c r="O310" s="718">
        <f t="shared" si="91"/>
        <v>0.72864999999999991</v>
      </c>
      <c r="P310" s="718">
        <f t="shared" si="91"/>
        <v>0.72864999999999991</v>
      </c>
      <c r="Q310" s="718">
        <f t="shared" si="91"/>
        <v>0.72864999999999991</v>
      </c>
      <c r="R310" s="718">
        <f t="shared" si="91"/>
        <v>0.72864999999999991</v>
      </c>
      <c r="S310" s="718">
        <f t="shared" si="91"/>
        <v>0.72864999999999991</v>
      </c>
      <c r="T310" s="718">
        <f t="shared" si="91"/>
        <v>0.72864999999999991</v>
      </c>
      <c r="U310" s="718">
        <f t="shared" si="91"/>
        <v>0.72864999999999991</v>
      </c>
      <c r="V310" s="718">
        <f t="shared" si="91"/>
        <v>0.72864999999999991</v>
      </c>
      <c r="W310" s="718">
        <f t="shared" si="91"/>
        <v>0.72864999999999991</v>
      </c>
      <c r="X310" s="718">
        <f t="shared" si="91"/>
        <v>0.72864999999999991</v>
      </c>
      <c r="Y310" s="718">
        <f t="shared" si="91"/>
        <v>0.72864999999999991</v>
      </c>
      <c r="Z310" s="718">
        <f t="shared" si="91"/>
        <v>0.72864999999999991</v>
      </c>
      <c r="AA310" s="718">
        <f t="shared" si="91"/>
        <v>0.72864999999999991</v>
      </c>
      <c r="AB310" s="718">
        <f t="shared" si="91"/>
        <v>0.72864999999999991</v>
      </c>
      <c r="AC310" s="718">
        <f t="shared" si="91"/>
        <v>0.72864999999999991</v>
      </c>
      <c r="AD310" s="718">
        <f t="shared" si="91"/>
        <v>0.72864999999999991</v>
      </c>
      <c r="AE310" s="718">
        <f t="shared" si="91"/>
        <v>0.72864999999999991</v>
      </c>
      <c r="AF310" s="718">
        <f t="shared" si="91"/>
        <v>0.72864999999999991</v>
      </c>
      <c r="AG310" s="718">
        <f t="shared" si="91"/>
        <v>0.72864999999999991</v>
      </c>
      <c r="AH310" s="718">
        <f t="shared" si="91"/>
        <v>0.72864999999999991</v>
      </c>
      <c r="AI310" s="718">
        <f t="shared" si="91"/>
        <v>0.72864999999999991</v>
      </c>
      <c r="AJ310" s="718">
        <f t="shared" si="91"/>
        <v>0.72864999999999991</v>
      </c>
      <c r="AK310" s="718">
        <f t="shared" si="91"/>
        <v>0.72864999999999991</v>
      </c>
      <c r="AL310" s="718"/>
      <c r="AM310" s="718"/>
      <c r="AN310" s="718"/>
      <c r="AO310" s="718"/>
      <c r="AP310" s="718"/>
      <c r="AQ310" s="718"/>
      <c r="AR310" s="718"/>
      <c r="AS310" s="718"/>
      <c r="AT310" s="718"/>
      <c r="AU310" s="718"/>
      <c r="AV310" s="718"/>
      <c r="AW310" s="718"/>
      <c r="AX310" s="718"/>
      <c r="AY310" s="718"/>
      <c r="AZ310" s="718"/>
      <c r="BA310" s="718"/>
      <c r="BB310" s="718"/>
      <c r="BC310" s="718"/>
      <c r="BD310" s="718"/>
      <c r="BE310" s="718"/>
      <c r="BF310" s="718"/>
      <c r="BG310" s="718"/>
      <c r="BH310" s="718"/>
      <c r="BI310" s="718"/>
      <c r="BJ310" s="718"/>
      <c r="BK310" s="718"/>
      <c r="BL310" s="718"/>
      <c r="BM310" s="718"/>
      <c r="BN310" s="718"/>
      <c r="BO310" s="718"/>
      <c r="BP310" s="718"/>
      <c r="BQ310" s="718"/>
      <c r="BR310" s="718"/>
      <c r="BS310" s="718"/>
      <c r="BT310" s="718"/>
      <c r="BU310" s="718"/>
      <c r="BV310" s="718"/>
      <c r="BW310" s="718"/>
      <c r="BX310" s="718"/>
      <c r="BY310" s="718"/>
      <c r="BZ310" s="718"/>
      <c r="CA310" s="718"/>
      <c r="CB310" s="718"/>
      <c r="CC310" s="718"/>
      <c r="CD310" s="718"/>
      <c r="CE310" s="718"/>
      <c r="CF310" s="718"/>
      <c r="CG310" s="718"/>
      <c r="CH310" s="718"/>
      <c r="CI310" s="719"/>
      <c r="CK310" s="1296"/>
    </row>
    <row r="311" spans="2:89" x14ac:dyDescent="0.2">
      <c r="B311" s="940" t="s">
        <v>696</v>
      </c>
      <c r="C311" s="901" t="s">
        <v>483</v>
      </c>
      <c r="D311" s="907" t="s">
        <v>697</v>
      </c>
      <c r="E311" s="938" t="s">
        <v>236</v>
      </c>
      <c r="F311" s="939">
        <v>2</v>
      </c>
      <c r="G311" s="569">
        <f t="shared" ref="G311:AK311" si="92">G221+G287</f>
        <v>0</v>
      </c>
      <c r="H311" s="569">
        <f t="shared" si="92"/>
        <v>0</v>
      </c>
      <c r="I311" s="569">
        <f t="shared" si="92"/>
        <v>0.5</v>
      </c>
      <c r="J311" s="569">
        <f t="shared" si="92"/>
        <v>0.5</v>
      </c>
      <c r="K311" s="569">
        <f t="shared" si="92"/>
        <v>0.5</v>
      </c>
      <c r="L311" s="569">
        <f t="shared" si="92"/>
        <v>0.5</v>
      </c>
      <c r="M311" s="718">
        <f t="shared" si="92"/>
        <v>0.5</v>
      </c>
      <c r="N311" s="718">
        <f t="shared" si="92"/>
        <v>0.5</v>
      </c>
      <c r="O311" s="718">
        <f t="shared" si="92"/>
        <v>0.5</v>
      </c>
      <c r="P311" s="718">
        <f t="shared" si="92"/>
        <v>0.5</v>
      </c>
      <c r="Q311" s="718">
        <f t="shared" si="92"/>
        <v>0.5</v>
      </c>
      <c r="R311" s="718">
        <f t="shared" si="92"/>
        <v>0.5</v>
      </c>
      <c r="S311" s="718">
        <f t="shared" si="92"/>
        <v>0.5</v>
      </c>
      <c r="T311" s="718">
        <f t="shared" si="92"/>
        <v>0.5</v>
      </c>
      <c r="U311" s="718">
        <f t="shared" si="92"/>
        <v>0.5</v>
      </c>
      <c r="V311" s="718">
        <f t="shared" si="92"/>
        <v>0.5</v>
      </c>
      <c r="W311" s="718">
        <f t="shared" si="92"/>
        <v>0.5</v>
      </c>
      <c r="X311" s="718">
        <f t="shared" si="92"/>
        <v>0.5</v>
      </c>
      <c r="Y311" s="718">
        <f t="shared" si="92"/>
        <v>0.5</v>
      </c>
      <c r="Z311" s="718">
        <f t="shared" si="92"/>
        <v>0.5</v>
      </c>
      <c r="AA311" s="718">
        <f t="shared" si="92"/>
        <v>0.5</v>
      </c>
      <c r="AB311" s="718">
        <f t="shared" si="92"/>
        <v>0.5</v>
      </c>
      <c r="AC311" s="718">
        <f t="shared" si="92"/>
        <v>0.5</v>
      </c>
      <c r="AD311" s="718">
        <f t="shared" si="92"/>
        <v>0.5</v>
      </c>
      <c r="AE311" s="718">
        <f t="shared" si="92"/>
        <v>0.5</v>
      </c>
      <c r="AF311" s="718">
        <f t="shared" si="92"/>
        <v>0.5</v>
      </c>
      <c r="AG311" s="718">
        <f t="shared" si="92"/>
        <v>0.5</v>
      </c>
      <c r="AH311" s="718">
        <f t="shared" si="92"/>
        <v>0.5</v>
      </c>
      <c r="AI311" s="718">
        <f t="shared" si="92"/>
        <v>0.5</v>
      </c>
      <c r="AJ311" s="718">
        <f t="shared" si="92"/>
        <v>0.5</v>
      </c>
      <c r="AK311" s="718">
        <f t="shared" si="92"/>
        <v>0.5</v>
      </c>
      <c r="AL311" s="718"/>
      <c r="AM311" s="718"/>
      <c r="AN311" s="718"/>
      <c r="AO311" s="718"/>
      <c r="AP311" s="718"/>
      <c r="AQ311" s="718"/>
      <c r="AR311" s="718"/>
      <c r="AS311" s="718"/>
      <c r="AT311" s="718"/>
      <c r="AU311" s="718"/>
      <c r="AV311" s="718"/>
      <c r="AW311" s="718"/>
      <c r="AX311" s="718"/>
      <c r="AY311" s="718"/>
      <c r="AZ311" s="718"/>
      <c r="BA311" s="718"/>
      <c r="BB311" s="718"/>
      <c r="BC311" s="718"/>
      <c r="BD311" s="718"/>
      <c r="BE311" s="718"/>
      <c r="BF311" s="718"/>
      <c r="BG311" s="718"/>
      <c r="BH311" s="718"/>
      <c r="BI311" s="718"/>
      <c r="BJ311" s="718"/>
      <c r="BK311" s="718"/>
      <c r="BL311" s="718"/>
      <c r="BM311" s="718"/>
      <c r="BN311" s="718"/>
      <c r="BO311" s="718"/>
      <c r="BP311" s="718"/>
      <c r="BQ311" s="718"/>
      <c r="BR311" s="718"/>
      <c r="BS311" s="718"/>
      <c r="BT311" s="718"/>
      <c r="BU311" s="718"/>
      <c r="BV311" s="718"/>
      <c r="BW311" s="718"/>
      <c r="BX311" s="718"/>
      <c r="BY311" s="718"/>
      <c r="BZ311" s="718"/>
      <c r="CA311" s="718"/>
      <c r="CB311" s="718"/>
      <c r="CC311" s="718"/>
      <c r="CD311" s="718"/>
      <c r="CE311" s="718"/>
      <c r="CF311" s="718"/>
      <c r="CG311" s="718"/>
      <c r="CH311" s="718"/>
      <c r="CI311" s="719"/>
      <c r="CK311" s="1296"/>
    </row>
    <row r="312" spans="2:89" x14ac:dyDescent="0.2">
      <c r="B312" s="941" t="s">
        <v>698</v>
      </c>
      <c r="C312" s="942" t="s">
        <v>387</v>
      </c>
      <c r="D312" s="942" t="s">
        <v>699</v>
      </c>
      <c r="E312" s="943" t="s">
        <v>236</v>
      </c>
      <c r="F312" s="939">
        <v>2</v>
      </c>
      <c r="G312" s="569">
        <f>(G309)-(G310+G311)</f>
        <v>0</v>
      </c>
      <c r="H312" s="569">
        <f t="shared" ref="H312:AK312" si="93">(H309)-(H310+H311)</f>
        <v>0</v>
      </c>
      <c r="I312" s="569">
        <f t="shared" si="93"/>
        <v>20.698554036700287</v>
      </c>
      <c r="J312" s="569">
        <f t="shared" si="93"/>
        <v>20.697054870837448</v>
      </c>
      <c r="K312" s="569">
        <f t="shared" si="93"/>
        <v>20.676362890954543</v>
      </c>
      <c r="L312" s="569">
        <f t="shared" si="93"/>
        <v>20.666931840079464</v>
      </c>
      <c r="M312" s="569">
        <f t="shared" si="93"/>
        <v>20.654404240187169</v>
      </c>
      <c r="N312" s="569">
        <f t="shared" si="93"/>
        <v>20.651030936203384</v>
      </c>
      <c r="O312" s="569">
        <f t="shared" si="93"/>
        <v>20.647980462897081</v>
      </c>
      <c r="P312" s="569">
        <f t="shared" si="93"/>
        <v>20.638760198656804</v>
      </c>
      <c r="Q312" s="569">
        <f t="shared" si="93"/>
        <v>20.615682502649257</v>
      </c>
      <c r="R312" s="569">
        <f t="shared" si="93"/>
        <v>20.589206893048633</v>
      </c>
      <c r="S312" s="569">
        <f t="shared" si="93"/>
        <v>20.575797507166278</v>
      </c>
      <c r="T312" s="569">
        <f t="shared" si="93"/>
        <v>20.569695278038843</v>
      </c>
      <c r="U312" s="569">
        <f t="shared" si="93"/>
        <v>20.56227622900785</v>
      </c>
      <c r="V312" s="569">
        <f t="shared" si="93"/>
        <v>20.555017140064628</v>
      </c>
      <c r="W312" s="569">
        <f t="shared" si="93"/>
        <v>20.553024936059899</v>
      </c>
      <c r="X312" s="569">
        <f t="shared" si="93"/>
        <v>20.551145918142524</v>
      </c>
      <c r="Y312" s="569">
        <f t="shared" si="93"/>
        <v>20.549411078183354</v>
      </c>
      <c r="Z312" s="569">
        <f t="shared" si="93"/>
        <v>20.547840580142555</v>
      </c>
      <c r="AA312" s="569">
        <f t="shared" si="93"/>
        <v>20.546032109559867</v>
      </c>
      <c r="AB312" s="569">
        <f t="shared" si="93"/>
        <v>20.543536089209589</v>
      </c>
      <c r="AC312" s="569">
        <f t="shared" si="93"/>
        <v>20.541680058580511</v>
      </c>
      <c r="AD312" s="569">
        <f t="shared" si="93"/>
        <v>20.540025867997066</v>
      </c>
      <c r="AE312" s="569">
        <f t="shared" si="93"/>
        <v>20.54011635472699</v>
      </c>
      <c r="AF312" s="569">
        <f t="shared" si="93"/>
        <v>20.54026341855436</v>
      </c>
      <c r="AG312" s="569">
        <f t="shared" si="93"/>
        <v>20.540409758022236</v>
      </c>
      <c r="AH312" s="569">
        <f t="shared" si="93"/>
        <v>20.540685578287516</v>
      </c>
      <c r="AI312" s="569">
        <f t="shared" si="93"/>
        <v>20.540979789948764</v>
      </c>
      <c r="AJ312" s="569">
        <f t="shared" si="93"/>
        <v>20.541357630557286</v>
      </c>
      <c r="AK312" s="569">
        <f t="shared" si="93"/>
        <v>20.541709586186307</v>
      </c>
      <c r="AL312" s="569"/>
      <c r="AM312" s="569"/>
      <c r="AN312" s="569"/>
      <c r="AO312" s="569"/>
      <c r="AP312" s="569"/>
      <c r="AQ312" s="569"/>
      <c r="AR312" s="569"/>
      <c r="AS312" s="569"/>
      <c r="AT312" s="569"/>
      <c r="AU312" s="569"/>
      <c r="AV312" s="569"/>
      <c r="AW312" s="569"/>
      <c r="AX312" s="569"/>
      <c r="AY312" s="569"/>
      <c r="AZ312" s="569"/>
      <c r="BA312" s="569"/>
      <c r="BB312" s="569"/>
      <c r="BC312" s="569"/>
      <c r="BD312" s="569"/>
      <c r="BE312" s="569"/>
      <c r="BF312" s="569"/>
      <c r="BG312" s="569"/>
      <c r="BH312" s="569"/>
      <c r="BI312" s="569"/>
      <c r="BJ312" s="569"/>
      <c r="BK312" s="569"/>
      <c r="BL312" s="569"/>
      <c r="BM312" s="569"/>
      <c r="BN312" s="569"/>
      <c r="BO312" s="569"/>
      <c r="BP312" s="569"/>
      <c r="BQ312" s="569"/>
      <c r="BR312" s="569"/>
      <c r="BS312" s="569"/>
      <c r="BT312" s="569"/>
      <c r="BU312" s="569"/>
      <c r="BV312" s="569"/>
      <c r="BW312" s="569"/>
      <c r="BX312" s="569"/>
      <c r="BY312" s="569"/>
      <c r="BZ312" s="569"/>
      <c r="CA312" s="569"/>
      <c r="CB312" s="569"/>
      <c r="CC312" s="569"/>
      <c r="CD312" s="569"/>
      <c r="CE312" s="569"/>
      <c r="CF312" s="569"/>
      <c r="CG312" s="569"/>
      <c r="CH312" s="569"/>
      <c r="CI312" s="719"/>
      <c r="CK312" s="1296"/>
    </row>
    <row r="313" spans="2:89" ht="32.85" customHeight="1" thickBot="1" x14ac:dyDescent="0.25">
      <c r="B313" s="944" t="s">
        <v>700</v>
      </c>
      <c r="C313" s="945" t="s">
        <v>390</v>
      </c>
      <c r="D313" s="945" t="s">
        <v>701</v>
      </c>
      <c r="E313" s="946" t="s">
        <v>236</v>
      </c>
      <c r="F313" s="947">
        <v>2</v>
      </c>
      <c r="G313" s="729">
        <f t="shared" ref="G313:AK313" si="94">G312+SUM(G305:G308)</f>
        <v>0</v>
      </c>
      <c r="H313" s="729">
        <f t="shared" si="94"/>
        <v>0</v>
      </c>
      <c r="I313" s="729">
        <f t="shared" si="94"/>
        <v>21.588554036700287</v>
      </c>
      <c r="J313" s="729">
        <f t="shared" si="94"/>
        <v>21.587054870837449</v>
      </c>
      <c r="K313" s="729">
        <f t="shared" si="94"/>
        <v>21.566362890954544</v>
      </c>
      <c r="L313" s="729">
        <f t="shared" si="94"/>
        <v>21.556931840079464</v>
      </c>
      <c r="M313" s="729">
        <f t="shared" si="94"/>
        <v>21.54440424018717</v>
      </c>
      <c r="N313" s="729">
        <f t="shared" si="94"/>
        <v>21.541030936203384</v>
      </c>
      <c r="O313" s="729">
        <f t="shared" si="94"/>
        <v>21.537980462897082</v>
      </c>
      <c r="P313" s="729">
        <f t="shared" si="94"/>
        <v>21.528760198656805</v>
      </c>
      <c r="Q313" s="729">
        <f t="shared" si="94"/>
        <v>21.505682502649258</v>
      </c>
      <c r="R313" s="729">
        <f t="shared" si="94"/>
        <v>21.479206893048634</v>
      </c>
      <c r="S313" s="729">
        <f t="shared" si="94"/>
        <v>21.465797507166279</v>
      </c>
      <c r="T313" s="729">
        <f t="shared" si="94"/>
        <v>21.459695278038843</v>
      </c>
      <c r="U313" s="729">
        <f t="shared" si="94"/>
        <v>21.45227622900785</v>
      </c>
      <c r="V313" s="729">
        <f t="shared" si="94"/>
        <v>21.445017140064628</v>
      </c>
      <c r="W313" s="729">
        <f t="shared" si="94"/>
        <v>21.443024936059899</v>
      </c>
      <c r="X313" s="729">
        <f t="shared" si="94"/>
        <v>21.441145918142524</v>
      </c>
      <c r="Y313" s="729">
        <f t="shared" si="94"/>
        <v>21.439411078183355</v>
      </c>
      <c r="Z313" s="729">
        <f t="shared" si="94"/>
        <v>21.437840580142556</v>
      </c>
      <c r="AA313" s="729">
        <f t="shared" si="94"/>
        <v>21.436032109559868</v>
      </c>
      <c r="AB313" s="729">
        <f t="shared" si="94"/>
        <v>21.433536089209589</v>
      </c>
      <c r="AC313" s="729">
        <f t="shared" si="94"/>
        <v>21.431680058580511</v>
      </c>
      <c r="AD313" s="729">
        <f t="shared" si="94"/>
        <v>21.430025867997067</v>
      </c>
      <c r="AE313" s="729">
        <f t="shared" si="94"/>
        <v>21.430116354726991</v>
      </c>
      <c r="AF313" s="729">
        <f t="shared" si="94"/>
        <v>21.430263418554361</v>
      </c>
      <c r="AG313" s="729">
        <f t="shared" si="94"/>
        <v>21.430409758022236</v>
      </c>
      <c r="AH313" s="729">
        <f t="shared" si="94"/>
        <v>21.430685578287516</v>
      </c>
      <c r="AI313" s="729">
        <f t="shared" si="94"/>
        <v>21.430979789948765</v>
      </c>
      <c r="AJ313" s="729">
        <f t="shared" si="94"/>
        <v>21.431357630557287</v>
      </c>
      <c r="AK313" s="729">
        <f t="shared" si="94"/>
        <v>21.431709586186308</v>
      </c>
      <c r="AL313" s="729"/>
      <c r="AM313" s="729"/>
      <c r="AN313" s="729"/>
      <c r="AO313" s="729"/>
      <c r="AP313" s="729"/>
      <c r="AQ313" s="729"/>
      <c r="AR313" s="729"/>
      <c r="AS313" s="729"/>
      <c r="AT313" s="729"/>
      <c r="AU313" s="729"/>
      <c r="AV313" s="729"/>
      <c r="AW313" s="729"/>
      <c r="AX313" s="729"/>
      <c r="AY313" s="729"/>
      <c r="AZ313" s="729"/>
      <c r="BA313" s="729"/>
      <c r="BB313" s="729"/>
      <c r="BC313" s="729"/>
      <c r="BD313" s="729"/>
      <c r="BE313" s="729"/>
      <c r="BF313" s="729"/>
      <c r="BG313" s="729"/>
      <c r="BH313" s="729"/>
      <c r="BI313" s="729"/>
      <c r="BJ313" s="729"/>
      <c r="BK313" s="729"/>
      <c r="BL313" s="729"/>
      <c r="BM313" s="729"/>
      <c r="BN313" s="729"/>
      <c r="BO313" s="729"/>
      <c r="BP313" s="729"/>
      <c r="BQ313" s="729"/>
      <c r="BR313" s="729"/>
      <c r="BS313" s="729"/>
      <c r="BT313" s="729"/>
      <c r="BU313" s="729"/>
      <c r="BV313" s="729"/>
      <c r="BW313" s="729"/>
      <c r="BX313" s="729"/>
      <c r="BY313" s="729"/>
      <c r="BZ313" s="729"/>
      <c r="CA313" s="729"/>
      <c r="CB313" s="729"/>
      <c r="CC313" s="729"/>
      <c r="CD313" s="729"/>
      <c r="CE313" s="729"/>
      <c r="CF313" s="729"/>
      <c r="CG313" s="729"/>
      <c r="CH313" s="729"/>
      <c r="CI313" s="729"/>
      <c r="CK313" s="1296"/>
    </row>
    <row r="314" spans="2:89" x14ac:dyDescent="0.2">
      <c r="B314" s="948" t="s">
        <v>702</v>
      </c>
      <c r="C314" s="949" t="s">
        <v>489</v>
      </c>
      <c r="D314" s="950" t="s">
        <v>703</v>
      </c>
      <c r="E314" s="951" t="s">
        <v>236</v>
      </c>
      <c r="F314" s="952">
        <v>2</v>
      </c>
      <c r="G314" s="735">
        <f t="shared" ref="G314:AK314" si="95">G224+G288</f>
        <v>0</v>
      </c>
      <c r="H314" s="735">
        <f t="shared" si="95"/>
        <v>0</v>
      </c>
      <c r="I314" s="735">
        <f t="shared" si="95"/>
        <v>3.4019433058412964</v>
      </c>
      <c r="J314" s="735">
        <f t="shared" si="95"/>
        <v>3.9533718044534298</v>
      </c>
      <c r="K314" s="735">
        <f t="shared" si="95"/>
        <v>4.1171729395338756</v>
      </c>
      <c r="L314" s="735">
        <f t="shared" si="95"/>
        <v>4.3065958611964366</v>
      </c>
      <c r="M314" s="736">
        <f t="shared" si="95"/>
        <v>4.4616578019886797</v>
      </c>
      <c r="N314" s="736">
        <f>N224+N288</f>
        <v>4.5020886759246581</v>
      </c>
      <c r="O314" s="736">
        <f t="shared" si="95"/>
        <v>4.5070824814708548</v>
      </c>
      <c r="P314" s="736">
        <f t="shared" si="95"/>
        <v>4.5113861623569482</v>
      </c>
      <c r="Q314" s="736">
        <f t="shared" si="95"/>
        <v>4.5127908733623157</v>
      </c>
      <c r="R314" s="736">
        <f t="shared" si="95"/>
        <v>4.4987443946613226</v>
      </c>
      <c r="S314" s="736">
        <f t="shared" si="95"/>
        <v>4.4839413758139868</v>
      </c>
      <c r="T314" s="736">
        <f t="shared" si="95"/>
        <v>6.7589275531443125</v>
      </c>
      <c r="U314" s="736">
        <f t="shared" si="95"/>
        <v>6.7441085149164488</v>
      </c>
      <c r="V314" s="736">
        <f t="shared" si="95"/>
        <v>6.729342426349163</v>
      </c>
      <c r="W314" s="736">
        <f t="shared" si="95"/>
        <v>6.7162465940241702</v>
      </c>
      <c r="X314" s="736">
        <f t="shared" si="95"/>
        <v>6.7031224960768689</v>
      </c>
      <c r="Y314" s="736">
        <f t="shared" si="95"/>
        <v>6.6901753729233837</v>
      </c>
      <c r="Z314" s="736">
        <f t="shared" si="95"/>
        <v>6.6974207714002461</v>
      </c>
      <c r="AA314" s="736">
        <f t="shared" si="95"/>
        <v>6.7046888110151155</v>
      </c>
      <c r="AB314" s="736">
        <f t="shared" si="95"/>
        <v>6.7119650778552433</v>
      </c>
      <c r="AC314" s="736">
        <f t="shared" si="95"/>
        <v>6.7192183024680814</v>
      </c>
      <c r="AD314" s="736">
        <f t="shared" si="95"/>
        <v>6.7263387550037077</v>
      </c>
      <c r="AE314" s="736">
        <f t="shared" si="95"/>
        <v>6.7332824202517791</v>
      </c>
      <c r="AF314" s="736">
        <f t="shared" si="95"/>
        <v>6.7401655498811186</v>
      </c>
      <c r="AG314" s="736">
        <f t="shared" si="95"/>
        <v>6.746920338902342</v>
      </c>
      <c r="AH314" s="736">
        <f t="shared" si="95"/>
        <v>6.7536444768971062</v>
      </c>
      <c r="AI314" s="736">
        <f t="shared" si="95"/>
        <v>6.7603175941591811</v>
      </c>
      <c r="AJ314" s="736">
        <f t="shared" si="95"/>
        <v>6.7669051409772578</v>
      </c>
      <c r="AK314" s="736">
        <f t="shared" si="95"/>
        <v>6.7734746258068883</v>
      </c>
      <c r="AL314" s="736"/>
      <c r="AM314" s="736"/>
      <c r="AN314" s="736"/>
      <c r="AO314" s="736"/>
      <c r="AP314" s="736"/>
      <c r="AQ314" s="736"/>
      <c r="AR314" s="736"/>
      <c r="AS314" s="736"/>
      <c r="AT314" s="736"/>
      <c r="AU314" s="736"/>
      <c r="AV314" s="736"/>
      <c r="AW314" s="736"/>
      <c r="AX314" s="736"/>
      <c r="AY314" s="736"/>
      <c r="AZ314" s="736"/>
      <c r="BA314" s="736"/>
      <c r="BB314" s="736"/>
      <c r="BC314" s="736"/>
      <c r="BD314" s="736"/>
      <c r="BE314" s="736"/>
      <c r="BF314" s="736"/>
      <c r="BG314" s="736"/>
      <c r="BH314" s="736"/>
      <c r="BI314" s="736"/>
      <c r="BJ314" s="736"/>
      <c r="BK314" s="736"/>
      <c r="BL314" s="736"/>
      <c r="BM314" s="736"/>
      <c r="BN314" s="736"/>
      <c r="BO314" s="736"/>
      <c r="BP314" s="736"/>
      <c r="BQ314" s="736"/>
      <c r="BR314" s="736"/>
      <c r="BS314" s="736"/>
      <c r="BT314" s="736"/>
      <c r="BU314" s="736"/>
      <c r="BV314" s="736"/>
      <c r="BW314" s="736"/>
      <c r="BX314" s="736"/>
      <c r="BY314" s="736"/>
      <c r="BZ314" s="736"/>
      <c r="CA314" s="736"/>
      <c r="CB314" s="736"/>
      <c r="CC314" s="736"/>
      <c r="CD314" s="736"/>
      <c r="CE314" s="736"/>
      <c r="CF314" s="736"/>
      <c r="CG314" s="736"/>
      <c r="CH314" s="736"/>
      <c r="CI314" s="737"/>
      <c r="CK314" s="1296"/>
    </row>
    <row r="315" spans="2:89" x14ac:dyDescent="0.2">
      <c r="B315" s="953" t="s">
        <v>704</v>
      </c>
      <c r="C315" s="954" t="s">
        <v>705</v>
      </c>
      <c r="D315" s="955" t="s">
        <v>86</v>
      </c>
      <c r="E315" s="956" t="s">
        <v>236</v>
      </c>
      <c r="F315" s="957">
        <v>2</v>
      </c>
      <c r="G315" s="540"/>
      <c r="H315" s="1008"/>
      <c r="I315" s="1008">
        <v>0</v>
      </c>
      <c r="J315" s="1008">
        <v>0</v>
      </c>
      <c r="K315" s="1008">
        <v>0</v>
      </c>
      <c r="L315" s="1008">
        <v>0</v>
      </c>
      <c r="M315" s="1344">
        <v>0</v>
      </c>
      <c r="N315" s="1344">
        <v>0</v>
      </c>
      <c r="O315" s="1344">
        <v>0</v>
      </c>
      <c r="P315" s="1344">
        <v>0</v>
      </c>
      <c r="Q315" s="1344">
        <v>0</v>
      </c>
      <c r="R315" s="1344">
        <v>0</v>
      </c>
      <c r="S315" s="1344">
        <v>0</v>
      </c>
      <c r="T315" s="1344">
        <v>0</v>
      </c>
      <c r="U315" s="1344">
        <v>0</v>
      </c>
      <c r="V315" s="1344">
        <v>0</v>
      </c>
      <c r="W315" s="1344">
        <v>0</v>
      </c>
      <c r="X315" s="1344">
        <v>0</v>
      </c>
      <c r="Y315" s="1344">
        <v>0</v>
      </c>
      <c r="Z315" s="1344">
        <v>0</v>
      </c>
      <c r="AA315" s="1344">
        <v>0</v>
      </c>
      <c r="AB315" s="1344">
        <v>0</v>
      </c>
      <c r="AC315" s="1344">
        <v>0</v>
      </c>
      <c r="AD315" s="1344">
        <v>0</v>
      </c>
      <c r="AE315" s="1344">
        <v>0</v>
      </c>
      <c r="AF315" s="1344">
        <v>0</v>
      </c>
      <c r="AG315" s="1344">
        <v>0</v>
      </c>
      <c r="AH315" s="1344">
        <v>0</v>
      </c>
      <c r="AI315" s="1344">
        <v>0</v>
      </c>
      <c r="AJ315" s="1344">
        <v>0</v>
      </c>
      <c r="AK315" s="1344">
        <v>0</v>
      </c>
      <c r="AL315" s="1344"/>
      <c r="AM315" s="1344"/>
      <c r="AN315" s="1344"/>
      <c r="AO315" s="1344"/>
      <c r="AP315" s="1344"/>
      <c r="AQ315" s="1344"/>
      <c r="AR315" s="1344"/>
      <c r="AS315" s="1344"/>
      <c r="AT315" s="1344"/>
      <c r="AU315" s="1344"/>
      <c r="AV315" s="1344"/>
      <c r="AW315" s="1344"/>
      <c r="AX315" s="1344"/>
      <c r="AY315" s="1344"/>
      <c r="AZ315" s="1344"/>
      <c r="BA315" s="1344"/>
      <c r="BB315" s="1344"/>
      <c r="BC315" s="1344"/>
      <c r="BD315" s="1344"/>
      <c r="BE315" s="1344"/>
      <c r="BF315" s="1344"/>
      <c r="BG315" s="1344"/>
      <c r="BH315" s="1344"/>
      <c r="BI315" s="1344"/>
      <c r="BJ315" s="1344"/>
      <c r="BK315" s="1344"/>
      <c r="BL315" s="1344"/>
      <c r="BM315" s="1344"/>
      <c r="BN315" s="1344"/>
      <c r="BO315" s="1344"/>
      <c r="BP315" s="1344"/>
      <c r="BQ315" s="1344"/>
      <c r="BR315" s="1344"/>
      <c r="BS315" s="1344"/>
      <c r="BT315" s="1344"/>
      <c r="BU315" s="1344"/>
      <c r="BV315" s="1344"/>
      <c r="BW315" s="1344"/>
      <c r="BX315" s="1344"/>
      <c r="BY315" s="1344"/>
      <c r="BZ315" s="1344"/>
      <c r="CA315" s="1344"/>
      <c r="CB315" s="1344"/>
      <c r="CC315" s="1344"/>
      <c r="CD315" s="1344"/>
      <c r="CE315" s="1344"/>
      <c r="CF315" s="1344"/>
      <c r="CG315" s="1344"/>
      <c r="CH315" s="1344"/>
      <c r="CI315" s="1344"/>
      <c r="CK315" s="1296"/>
    </row>
    <row r="316" spans="2:89" x14ac:dyDescent="0.2">
      <c r="B316" s="953" t="s">
        <v>706</v>
      </c>
      <c r="C316" s="954" t="s">
        <v>493</v>
      </c>
      <c r="D316" s="955" t="s">
        <v>707</v>
      </c>
      <c r="E316" s="956" t="s">
        <v>236</v>
      </c>
      <c r="F316" s="957">
        <v>2</v>
      </c>
      <c r="G316" s="569">
        <f t="shared" ref="G316:AK318" si="96">G226+G289</f>
        <v>0</v>
      </c>
      <c r="H316" s="569">
        <f t="shared" si="96"/>
        <v>0</v>
      </c>
      <c r="I316" s="569">
        <f t="shared" si="96"/>
        <v>3.0406118885365267E-2</v>
      </c>
      <c r="J316" s="569">
        <f t="shared" si="96"/>
        <v>2.7041654066919437E-2</v>
      </c>
      <c r="K316" s="569">
        <f t="shared" si="96"/>
        <v>2.6668890448681058E-2</v>
      </c>
      <c r="L316" s="569">
        <f t="shared" si="96"/>
        <v>1.67252599362211E-2</v>
      </c>
      <c r="M316" s="718">
        <f>M226+M289</f>
        <v>9.0208773623666055E-3</v>
      </c>
      <c r="N316" s="718">
        <f t="shared" si="96"/>
        <v>8.9227111400721586E-3</v>
      </c>
      <c r="O316" s="718">
        <f t="shared" si="96"/>
        <v>8.8246130270753093E-3</v>
      </c>
      <c r="P316" s="718">
        <f t="shared" si="96"/>
        <v>8.7265830233760593E-3</v>
      </c>
      <c r="Q316" s="718">
        <f t="shared" si="96"/>
        <v>8.6286211289744053E-3</v>
      </c>
      <c r="R316" s="718">
        <f t="shared" si="96"/>
        <v>8.530727343870349E-3</v>
      </c>
      <c r="S316" s="718">
        <f t="shared" si="96"/>
        <v>8.4329016680638868E-3</v>
      </c>
      <c r="T316" s="718">
        <f t="shared" si="96"/>
        <v>8.3351441015550257E-3</v>
      </c>
      <c r="U316" s="718">
        <f t="shared" si="96"/>
        <v>8.2374546443437606E-3</v>
      </c>
      <c r="V316" s="718">
        <f t="shared" si="96"/>
        <v>8.2344921890283099E-3</v>
      </c>
      <c r="W316" s="718">
        <f t="shared" si="96"/>
        <v>8.2315297337128591E-3</v>
      </c>
      <c r="X316" s="718">
        <f t="shared" si="96"/>
        <v>8.2285672783974084E-3</v>
      </c>
      <c r="Y316" s="718">
        <f t="shared" si="96"/>
        <v>8.2256048230819577E-3</v>
      </c>
      <c r="Z316" s="718">
        <f t="shared" si="96"/>
        <v>8.222642367766507E-3</v>
      </c>
      <c r="AA316" s="718">
        <f t="shared" si="96"/>
        <v>8.2196799124510563E-3</v>
      </c>
      <c r="AB316" s="718">
        <f t="shared" si="96"/>
        <v>8.2167174571356055E-3</v>
      </c>
      <c r="AC316" s="718">
        <f t="shared" si="96"/>
        <v>8.2137550018201548E-3</v>
      </c>
      <c r="AD316" s="718">
        <f t="shared" si="96"/>
        <v>8.2107925465047041E-3</v>
      </c>
      <c r="AE316" s="718">
        <f t="shared" si="96"/>
        <v>8.2078300911892534E-3</v>
      </c>
      <c r="AF316" s="718">
        <f t="shared" si="96"/>
        <v>8.2048676358738026E-3</v>
      </c>
      <c r="AG316" s="718">
        <f t="shared" si="96"/>
        <v>8.2019051805583519E-3</v>
      </c>
      <c r="AH316" s="718">
        <f t="shared" si="96"/>
        <v>8.1989427252429012E-3</v>
      </c>
      <c r="AI316" s="718">
        <f t="shared" si="96"/>
        <v>8.1959802699274505E-3</v>
      </c>
      <c r="AJ316" s="718">
        <f t="shared" si="96"/>
        <v>8.1930178146119997E-3</v>
      </c>
      <c r="AK316" s="718">
        <f t="shared" si="96"/>
        <v>8.190055359296549E-3</v>
      </c>
      <c r="AL316" s="718"/>
      <c r="AM316" s="718"/>
      <c r="AN316" s="718"/>
      <c r="AO316" s="718"/>
      <c r="AP316" s="718"/>
      <c r="AQ316" s="718"/>
      <c r="AR316" s="718"/>
      <c r="AS316" s="718"/>
      <c r="AT316" s="718"/>
      <c r="AU316" s="718"/>
      <c r="AV316" s="718"/>
      <c r="AW316" s="718"/>
      <c r="AX316" s="718"/>
      <c r="AY316" s="718"/>
      <c r="AZ316" s="718"/>
      <c r="BA316" s="718"/>
      <c r="BB316" s="718"/>
      <c r="BC316" s="718"/>
      <c r="BD316" s="718"/>
      <c r="BE316" s="718"/>
      <c r="BF316" s="718"/>
      <c r="BG316" s="718"/>
      <c r="BH316" s="718"/>
      <c r="BI316" s="718"/>
      <c r="BJ316" s="718"/>
      <c r="BK316" s="718"/>
      <c r="BL316" s="718"/>
      <c r="BM316" s="718"/>
      <c r="BN316" s="718"/>
      <c r="BO316" s="718"/>
      <c r="BP316" s="718"/>
      <c r="BQ316" s="718"/>
      <c r="BR316" s="718"/>
      <c r="BS316" s="718"/>
      <c r="BT316" s="718"/>
      <c r="BU316" s="718"/>
      <c r="BV316" s="718"/>
      <c r="BW316" s="718"/>
      <c r="BX316" s="718"/>
      <c r="BY316" s="718"/>
      <c r="BZ316" s="718"/>
      <c r="CA316" s="718"/>
      <c r="CB316" s="718"/>
      <c r="CC316" s="718"/>
      <c r="CD316" s="718"/>
      <c r="CE316" s="718"/>
      <c r="CF316" s="718"/>
      <c r="CG316" s="718"/>
      <c r="CH316" s="718"/>
      <c r="CI316" s="719"/>
      <c r="CK316" s="1296"/>
    </row>
    <row r="317" spans="2:89" x14ac:dyDescent="0.2">
      <c r="B317" s="953" t="s">
        <v>708</v>
      </c>
      <c r="C317" s="954" t="s">
        <v>495</v>
      </c>
      <c r="D317" s="955" t="s">
        <v>709</v>
      </c>
      <c r="E317" s="956" t="s">
        <v>236</v>
      </c>
      <c r="F317" s="957">
        <v>2</v>
      </c>
      <c r="G317" s="569">
        <f t="shared" si="96"/>
        <v>0</v>
      </c>
      <c r="H317" s="569">
        <f t="shared" si="96"/>
        <v>0</v>
      </c>
      <c r="I317" s="569">
        <f t="shared" si="96"/>
        <v>3.781437291488337</v>
      </c>
      <c r="J317" s="569">
        <f t="shared" si="96"/>
        <v>3.6518465756035563</v>
      </c>
      <c r="K317" s="569">
        <f t="shared" si="96"/>
        <v>3.6190111029618537</v>
      </c>
      <c r="L317" s="569">
        <f t="shared" si="96"/>
        <v>3.60117549317214</v>
      </c>
      <c r="M317" s="718">
        <f t="shared" si="96"/>
        <v>3.5593362446233194</v>
      </c>
      <c r="N317" s="718">
        <f t="shared" si="96"/>
        <v>3.5641275135072674</v>
      </c>
      <c r="O317" s="718">
        <f t="shared" si="96"/>
        <v>3.5761669174585289</v>
      </c>
      <c r="P317" s="718">
        <f t="shared" si="96"/>
        <v>3.5334303028270853</v>
      </c>
      <c r="Q317" s="718">
        <f t="shared" si="96"/>
        <v>3.7614935800948328</v>
      </c>
      <c r="R317" s="718">
        <f t="shared" si="96"/>
        <v>4.202859314731751</v>
      </c>
      <c r="S317" s="718">
        <f t="shared" si="96"/>
        <v>4.3443522983950835</v>
      </c>
      <c r="T317" s="718">
        <f t="shared" si="96"/>
        <v>4.2872112432456948</v>
      </c>
      <c r="U317" s="718">
        <f t="shared" si="96"/>
        <v>4.2178345946263169</v>
      </c>
      <c r="V317" s="718">
        <f t="shared" si="96"/>
        <v>4.1500597849144398</v>
      </c>
      <c r="W317" s="718">
        <f t="shared" si="96"/>
        <v>4.1331877038389502</v>
      </c>
      <c r="X317" s="718">
        <f t="shared" si="96"/>
        <v>4.1174490098100209</v>
      </c>
      <c r="Y317" s="718">
        <f t="shared" si="96"/>
        <v>4.1031698587447121</v>
      </c>
      <c r="Z317" s="718">
        <f t="shared" si="96"/>
        <v>4.0904502263359523</v>
      </c>
      <c r="AA317" s="718">
        <f t="shared" si="96"/>
        <v>4.0753860482133604</v>
      </c>
      <c r="AB317" s="718">
        <f t="shared" si="96"/>
        <v>4.0537533828504042</v>
      </c>
      <c r="AC317" s="718">
        <f t="shared" si="96"/>
        <v>4.0387293139002658</v>
      </c>
      <c r="AD317" s="718">
        <f t="shared" si="96"/>
        <v>4.0255378224685483</v>
      </c>
      <c r="AE317" s="718">
        <f t="shared" si="96"/>
        <v>4.0285218808517813</v>
      </c>
      <c r="AF317" s="718">
        <f t="shared" si="96"/>
        <v>4.0320371847863816</v>
      </c>
      <c r="AG317" s="718">
        <f t="shared" si="96"/>
        <v>4.0354751015607899</v>
      </c>
      <c r="AH317" s="718">
        <f t="shared" si="96"/>
        <v>4.0401005128960064</v>
      </c>
      <c r="AI317" s="718">
        <f t="shared" si="96"/>
        <v>4.0448983337463122</v>
      </c>
      <c r="AJ317" s="718">
        <f t="shared" si="96"/>
        <v>4.0504854312926941</v>
      </c>
      <c r="AK317" s="718">
        <f t="shared" si="96"/>
        <v>4.0558687544855934</v>
      </c>
      <c r="AL317" s="718"/>
      <c r="AM317" s="718"/>
      <c r="AN317" s="718"/>
      <c r="AO317" s="718"/>
      <c r="AP317" s="718"/>
      <c r="AQ317" s="718"/>
      <c r="AR317" s="718"/>
      <c r="AS317" s="718"/>
      <c r="AT317" s="718"/>
      <c r="AU317" s="718"/>
      <c r="AV317" s="718"/>
      <c r="AW317" s="718"/>
      <c r="AX317" s="718"/>
      <c r="AY317" s="718"/>
      <c r="AZ317" s="718"/>
      <c r="BA317" s="718"/>
      <c r="BB317" s="718"/>
      <c r="BC317" s="718"/>
      <c r="BD317" s="718"/>
      <c r="BE317" s="718"/>
      <c r="BF317" s="718"/>
      <c r="BG317" s="718"/>
      <c r="BH317" s="718"/>
      <c r="BI317" s="718"/>
      <c r="BJ317" s="718"/>
      <c r="BK317" s="718"/>
      <c r="BL317" s="718"/>
      <c r="BM317" s="718"/>
      <c r="BN317" s="718"/>
      <c r="BO317" s="718"/>
      <c r="BP317" s="718"/>
      <c r="BQ317" s="718"/>
      <c r="BR317" s="718"/>
      <c r="BS317" s="718"/>
      <c r="BT317" s="718"/>
      <c r="BU317" s="718"/>
      <c r="BV317" s="718"/>
      <c r="BW317" s="718"/>
      <c r="BX317" s="718"/>
      <c r="BY317" s="718"/>
      <c r="BZ317" s="718"/>
      <c r="CA317" s="718"/>
      <c r="CB317" s="718"/>
      <c r="CC317" s="718"/>
      <c r="CD317" s="718"/>
      <c r="CE317" s="718"/>
      <c r="CF317" s="718"/>
      <c r="CG317" s="718"/>
      <c r="CH317" s="718"/>
      <c r="CI317" s="719"/>
      <c r="CK317" s="1296"/>
    </row>
    <row r="318" spans="2:89" x14ac:dyDescent="0.2">
      <c r="B318" s="953" t="s">
        <v>710</v>
      </c>
      <c r="C318" s="954" t="s">
        <v>497</v>
      </c>
      <c r="D318" s="955" t="s">
        <v>711</v>
      </c>
      <c r="E318" s="956" t="s">
        <v>236</v>
      </c>
      <c r="F318" s="957">
        <v>2</v>
      </c>
      <c r="G318" s="569">
        <f t="shared" si="96"/>
        <v>0</v>
      </c>
      <c r="H318" s="569">
        <f t="shared" si="96"/>
        <v>0</v>
      </c>
      <c r="I318" s="569">
        <f t="shared" si="96"/>
        <v>2.3333379588936718</v>
      </c>
      <c r="J318" s="569">
        <f t="shared" si="96"/>
        <v>2.2941994997667416</v>
      </c>
      <c r="K318" s="569">
        <f t="shared" si="96"/>
        <v>2.1103573067204597</v>
      </c>
      <c r="L318" s="569">
        <f t="shared" si="96"/>
        <v>2.0262077653139143</v>
      </c>
      <c r="M318" s="718">
        <f t="shared" si="96"/>
        <v>1.9399121443327583</v>
      </c>
      <c r="N318" s="718">
        <f t="shared" si="96"/>
        <v>1.9002645785343169</v>
      </c>
      <c r="O318" s="718">
        <f t="shared" si="96"/>
        <v>1.8562943070082589</v>
      </c>
      <c r="P318" s="718">
        <f t="shared" si="96"/>
        <v>1.8051357316745935</v>
      </c>
      <c r="Q318" s="718">
        <f t="shared" si="96"/>
        <v>1.3237293935336969</v>
      </c>
      <c r="R318" s="718">
        <f t="shared" si="96"/>
        <v>0.58177477184289761</v>
      </c>
      <c r="S318" s="718">
        <f t="shared" si="96"/>
        <v>0.29190788112363397</v>
      </c>
      <c r="T318" s="718">
        <f t="shared" si="96"/>
        <v>0.28767179676473553</v>
      </c>
      <c r="U318" s="718">
        <f t="shared" si="96"/>
        <v>0.28254984008443351</v>
      </c>
      <c r="V318" s="718">
        <f t="shared" si="96"/>
        <v>0.27739813375621902</v>
      </c>
      <c r="W318" s="718">
        <f t="shared" si="96"/>
        <v>0.27367192115467409</v>
      </c>
      <c r="X318" s="718">
        <f t="shared" si="96"/>
        <v>0.26992215827312993</v>
      </c>
      <c r="Y318" s="718">
        <f t="shared" si="96"/>
        <v>0.26612277104890913</v>
      </c>
      <c r="Z318" s="718">
        <f t="shared" si="96"/>
        <v>0.26236735877264383</v>
      </c>
      <c r="AA318" s="718">
        <f t="shared" si="96"/>
        <v>0.25856848372803309</v>
      </c>
      <c r="AB318" s="718">
        <f t="shared" si="96"/>
        <v>0.25447537850783464</v>
      </c>
      <c r="AC318" s="718">
        <f t="shared" si="96"/>
        <v>0.25009530669225044</v>
      </c>
      <c r="AD318" s="718">
        <f t="shared" si="96"/>
        <v>0.24586919162216225</v>
      </c>
      <c r="AE318" s="718">
        <f t="shared" si="96"/>
        <v>0.24281753333003153</v>
      </c>
      <c r="AF318" s="718">
        <f t="shared" si="96"/>
        <v>0.23978022913215291</v>
      </c>
      <c r="AG318" s="718">
        <f t="shared" si="96"/>
        <v>0.23679790072582629</v>
      </c>
      <c r="AH318" s="718">
        <f t="shared" si="96"/>
        <v>0.23389631661203869</v>
      </c>
      <c r="AI318" s="718">
        <f t="shared" si="96"/>
        <v>0.23098095565875187</v>
      </c>
      <c r="AJ318" s="718">
        <f t="shared" si="96"/>
        <v>0.22808511621320182</v>
      </c>
      <c r="AK318" s="718">
        <f t="shared" si="96"/>
        <v>0.2251146922837497</v>
      </c>
      <c r="AL318" s="718"/>
      <c r="AM318" s="718"/>
      <c r="AN318" s="718"/>
      <c r="AO318" s="718"/>
      <c r="AP318" s="718"/>
      <c r="AQ318" s="718"/>
      <c r="AR318" s="718"/>
      <c r="AS318" s="718"/>
      <c r="AT318" s="718"/>
      <c r="AU318" s="718"/>
      <c r="AV318" s="718"/>
      <c r="AW318" s="718"/>
      <c r="AX318" s="718"/>
      <c r="AY318" s="718"/>
      <c r="AZ318" s="718"/>
      <c r="BA318" s="718"/>
      <c r="BB318" s="718"/>
      <c r="BC318" s="718"/>
      <c r="BD318" s="718"/>
      <c r="BE318" s="718"/>
      <c r="BF318" s="718"/>
      <c r="BG318" s="718"/>
      <c r="BH318" s="718"/>
      <c r="BI318" s="718"/>
      <c r="BJ318" s="718"/>
      <c r="BK318" s="718"/>
      <c r="BL318" s="718"/>
      <c r="BM318" s="718"/>
      <c r="BN318" s="718"/>
      <c r="BO318" s="718"/>
      <c r="BP318" s="718"/>
      <c r="BQ318" s="718"/>
      <c r="BR318" s="718"/>
      <c r="BS318" s="718"/>
      <c r="BT318" s="718"/>
      <c r="BU318" s="718"/>
      <c r="BV318" s="718"/>
      <c r="BW318" s="718"/>
      <c r="BX318" s="718"/>
      <c r="BY318" s="718"/>
      <c r="BZ318" s="718"/>
      <c r="CA318" s="718"/>
      <c r="CB318" s="718"/>
      <c r="CC318" s="718"/>
      <c r="CD318" s="718"/>
      <c r="CE318" s="718"/>
      <c r="CF318" s="718"/>
      <c r="CG318" s="718"/>
      <c r="CH318" s="718"/>
      <c r="CI318" s="719"/>
      <c r="CK318" s="1296"/>
    </row>
    <row r="319" spans="2:89" ht="28.5" x14ac:dyDescent="0.2">
      <c r="B319" s="953" t="s">
        <v>712</v>
      </c>
      <c r="C319" s="954" t="s">
        <v>499</v>
      </c>
      <c r="D319" s="955" t="s">
        <v>498</v>
      </c>
      <c r="E319" s="956" t="s">
        <v>375</v>
      </c>
      <c r="F319" s="957">
        <v>1</v>
      </c>
      <c r="G319" s="743">
        <f t="shared" ref="G319:AK319" si="97">G229</f>
        <v>0</v>
      </c>
      <c r="H319" s="743">
        <f t="shared" si="97"/>
        <v>0</v>
      </c>
      <c r="I319" s="1325">
        <f t="shared" si="97"/>
        <v>0</v>
      </c>
      <c r="J319" s="1325">
        <f t="shared" si="97"/>
        <v>4.1987773791381522E-3</v>
      </c>
      <c r="K319" s="1325">
        <f t="shared" si="97"/>
        <v>1.6340180895311206E-2</v>
      </c>
      <c r="L319" s="1325">
        <f t="shared" si="97"/>
        <v>1.6240489621790689E-2</v>
      </c>
      <c r="M319" s="1324">
        <f t="shared" si="97"/>
        <v>1.5614379862200781E-2</v>
      </c>
      <c r="N319" s="744">
        <f t="shared" si="97"/>
        <v>1.5222055634268575E-2</v>
      </c>
      <c r="O319" s="744">
        <f t="shared" si="97"/>
        <v>1.5390353204622113E-2</v>
      </c>
      <c r="P319" s="744">
        <f t="shared" si="97"/>
        <v>1.5521011059417576E-2</v>
      </c>
      <c r="Q319" s="744">
        <f t="shared" si="97"/>
        <v>1.6823279961505639E-2</v>
      </c>
      <c r="R319" s="744">
        <f t="shared" si="97"/>
        <v>1.7096429126431768E-2</v>
      </c>
      <c r="S319" s="744">
        <f t="shared" si="97"/>
        <v>1.746752378572396E-2</v>
      </c>
      <c r="T319" s="744">
        <f t="shared" si="97"/>
        <v>1.4490752069996685E-2</v>
      </c>
      <c r="U319" s="744">
        <f t="shared" si="97"/>
        <v>1.4750122982496575E-2</v>
      </c>
      <c r="V319" s="744">
        <f t="shared" si="97"/>
        <v>1.5056027982500313E-2</v>
      </c>
      <c r="W319" s="744">
        <f t="shared" si="97"/>
        <v>1.5316754741492897E-2</v>
      </c>
      <c r="X319" s="744">
        <f t="shared" si="97"/>
        <v>1.5573682813916672E-2</v>
      </c>
      <c r="Y319" s="744">
        <f t="shared" si="97"/>
        <v>1.5877884397117705E-2</v>
      </c>
      <c r="Z319" s="744">
        <f t="shared" si="97"/>
        <v>1.6136471146544235E-2</v>
      </c>
      <c r="AA319" s="744">
        <f t="shared" si="97"/>
        <v>1.6393459405791389E-2</v>
      </c>
      <c r="AB319" s="744">
        <f t="shared" si="97"/>
        <v>1.6695236646523375E-2</v>
      </c>
      <c r="AC319" s="744">
        <f t="shared" si="97"/>
        <v>1.6942964177915135E-2</v>
      </c>
      <c r="AD319" s="744">
        <f t="shared" si="97"/>
        <v>1.7218031181751203E-2</v>
      </c>
      <c r="AE319" s="744">
        <f t="shared" si="97"/>
        <v>1.7496816393418119E-2</v>
      </c>
      <c r="AF319" s="744">
        <f t="shared" si="97"/>
        <v>1.777663322390521E-2</v>
      </c>
      <c r="AG319" s="744">
        <f t="shared" si="97"/>
        <v>1.8056171557533127E-2</v>
      </c>
      <c r="AH319" s="744">
        <f t="shared" si="97"/>
        <v>1.8338582483127506E-2</v>
      </c>
      <c r="AI319" s="744">
        <f t="shared" si="97"/>
        <v>1.8621583792084982E-2</v>
      </c>
      <c r="AJ319" s="744">
        <f t="shared" si="97"/>
        <v>1.8906811344444826E-2</v>
      </c>
      <c r="AK319" s="744">
        <f t="shared" si="97"/>
        <v>1.9190788449094991E-2</v>
      </c>
      <c r="AL319" s="744"/>
      <c r="AM319" s="744"/>
      <c r="AN319" s="744"/>
      <c r="AO319" s="744"/>
      <c r="AP319" s="744"/>
      <c r="AQ319" s="744"/>
      <c r="AR319" s="744"/>
      <c r="AS319" s="744"/>
      <c r="AT319" s="744"/>
      <c r="AU319" s="744"/>
      <c r="AV319" s="744"/>
      <c r="AW319" s="744"/>
      <c r="AX319" s="744"/>
      <c r="AY319" s="744"/>
      <c r="AZ319" s="744"/>
      <c r="BA319" s="744"/>
      <c r="BB319" s="744"/>
      <c r="BC319" s="744"/>
      <c r="BD319" s="744"/>
      <c r="BE319" s="744"/>
      <c r="BF319" s="744"/>
      <c r="BG319" s="744"/>
      <c r="BH319" s="744"/>
      <c r="BI319" s="744"/>
      <c r="BJ319" s="744"/>
      <c r="BK319" s="744"/>
      <c r="BL319" s="744"/>
      <c r="BM319" s="744"/>
      <c r="BN319" s="744"/>
      <c r="BO319" s="744"/>
      <c r="BP319" s="744"/>
      <c r="BQ319" s="744"/>
      <c r="BR319" s="744"/>
      <c r="BS319" s="744"/>
      <c r="BT319" s="744"/>
      <c r="BU319" s="744"/>
      <c r="BV319" s="744"/>
      <c r="BW319" s="744"/>
      <c r="BX319" s="744"/>
      <c r="BY319" s="744"/>
      <c r="BZ319" s="744"/>
      <c r="CA319" s="744"/>
      <c r="CB319" s="744"/>
      <c r="CC319" s="744"/>
      <c r="CD319" s="744"/>
      <c r="CE319" s="744"/>
      <c r="CF319" s="744"/>
      <c r="CG319" s="744"/>
      <c r="CH319" s="744"/>
      <c r="CI319" s="745"/>
      <c r="CK319" s="1296"/>
    </row>
    <row r="320" spans="2:89" ht="28.5" x14ac:dyDescent="0.2">
      <c r="B320" s="953" t="s">
        <v>713</v>
      </c>
      <c r="C320" s="954" t="s">
        <v>501</v>
      </c>
      <c r="D320" s="955" t="s">
        <v>714</v>
      </c>
      <c r="E320" s="956" t="s">
        <v>236</v>
      </c>
      <c r="F320" s="957">
        <v>2</v>
      </c>
      <c r="G320" s="569">
        <f>G319*(G314+SUM(G316:G318)-SUM(G326:G329))</f>
        <v>0</v>
      </c>
      <c r="H320" s="569">
        <f t="shared" ref="H320" si="98">H319*(SUM(H314:H318)-SUM(H326:H329))</f>
        <v>0</v>
      </c>
      <c r="I320" s="569">
        <f t="shared" ref="I320" si="99">I319*(SUM(I314:I318)-SUM(I326:I329))</f>
        <v>0</v>
      </c>
      <c r="J320" s="569">
        <f t="shared" ref="J320:AK320" si="100">J319*(SUM(J314:J318)-SUM(J326:J329))</f>
        <v>4.0957554494059009E-2</v>
      </c>
      <c r="K320" s="569">
        <f t="shared" si="100"/>
        <v>0.15861904132982382</v>
      </c>
      <c r="L320" s="569">
        <f t="shared" si="100"/>
        <v>0.1590134025040616</v>
      </c>
      <c r="M320" s="569">
        <f t="shared" si="100"/>
        <v>0.15320086914091646</v>
      </c>
      <c r="N320" s="569">
        <f t="shared" si="100"/>
        <v>0.14943720574016395</v>
      </c>
      <c r="O320" s="569">
        <f t="shared" si="100"/>
        <v>0.15067791571366809</v>
      </c>
      <c r="P320" s="569">
        <f t="shared" si="100"/>
        <v>0.15057722902368284</v>
      </c>
      <c r="Q320" s="569">
        <f t="shared" si="100"/>
        <v>0.15912735881945578</v>
      </c>
      <c r="R320" s="569">
        <f t="shared" si="100"/>
        <v>0.15658192708823318</v>
      </c>
      <c r="S320" s="569">
        <f t="shared" si="100"/>
        <v>0.15723868904580354</v>
      </c>
      <c r="T320" s="569">
        <f t="shared" si="100"/>
        <v>0.16252837019113719</v>
      </c>
      <c r="U320" s="569">
        <f t="shared" si="100"/>
        <v>0.1641295149551292</v>
      </c>
      <c r="V320" s="569">
        <f t="shared" si="100"/>
        <v>0.16622443512140025</v>
      </c>
      <c r="W320" s="569">
        <f t="shared" si="100"/>
        <v>0.16859867827571437</v>
      </c>
      <c r="X320" s="569">
        <f t="shared" si="100"/>
        <v>0.1709311390512509</v>
      </c>
      <c r="Y320" s="569">
        <f t="shared" si="100"/>
        <v>0.17379014174135998</v>
      </c>
      <c r="Z320" s="569">
        <f t="shared" si="100"/>
        <v>0.17648508928869061</v>
      </c>
      <c r="AA320" s="569">
        <f t="shared" si="100"/>
        <v>0.17911986290122486</v>
      </c>
      <c r="AB320" s="569">
        <f t="shared" si="100"/>
        <v>0.18212404734167131</v>
      </c>
      <c r="AC320" s="569">
        <f t="shared" si="100"/>
        <v>0.18463613136551627</v>
      </c>
      <c r="AD320" s="569">
        <f t="shared" si="100"/>
        <v>0.1874726140330108</v>
      </c>
      <c r="AE320" s="569">
        <f t="shared" si="100"/>
        <v>0.19064511205854592</v>
      </c>
      <c r="AF320" s="569">
        <f t="shared" si="100"/>
        <v>0.19384217283198174</v>
      </c>
      <c r="AG320" s="569">
        <f t="shared" si="100"/>
        <v>0.19703847234571223</v>
      </c>
      <c r="AH320" s="569">
        <f t="shared" si="100"/>
        <v>0.20029382390877637</v>
      </c>
      <c r="AI320" s="569">
        <f t="shared" si="100"/>
        <v>0.20356345049642532</v>
      </c>
      <c r="AJ320" s="569">
        <f t="shared" si="100"/>
        <v>0.20687699440946988</v>
      </c>
      <c r="AK320" s="569">
        <f t="shared" si="100"/>
        <v>0.21017745015161668</v>
      </c>
      <c r="AL320" s="569"/>
      <c r="AM320" s="569"/>
      <c r="AN320" s="569"/>
      <c r="AO320" s="569"/>
      <c r="AP320" s="569"/>
      <c r="AQ320" s="569"/>
      <c r="AR320" s="569"/>
      <c r="AS320" s="569"/>
      <c r="AT320" s="569"/>
      <c r="AU320" s="569"/>
      <c r="AV320" s="569"/>
      <c r="AW320" s="569"/>
      <c r="AX320" s="569"/>
      <c r="AY320" s="569"/>
      <c r="AZ320" s="569"/>
      <c r="BA320" s="569"/>
      <c r="BB320" s="569"/>
      <c r="BC320" s="569"/>
      <c r="BD320" s="569"/>
      <c r="BE320" s="569"/>
      <c r="BF320" s="569"/>
      <c r="BG320" s="569"/>
      <c r="BH320" s="569"/>
      <c r="BI320" s="569"/>
      <c r="BJ320" s="569"/>
      <c r="BK320" s="569"/>
      <c r="BL320" s="569"/>
      <c r="BM320" s="569"/>
      <c r="BN320" s="569"/>
      <c r="BO320" s="569"/>
      <c r="BP320" s="569"/>
      <c r="BQ320" s="569"/>
      <c r="BR320" s="569"/>
      <c r="BS320" s="569"/>
      <c r="BT320" s="569"/>
      <c r="BU320" s="569"/>
      <c r="BV320" s="569"/>
      <c r="BW320" s="569"/>
      <c r="BX320" s="569"/>
      <c r="BY320" s="569"/>
      <c r="BZ320" s="569"/>
      <c r="CA320" s="569"/>
      <c r="CB320" s="569"/>
      <c r="CC320" s="569"/>
      <c r="CD320" s="569"/>
      <c r="CE320" s="569"/>
      <c r="CF320" s="569"/>
      <c r="CG320" s="569"/>
      <c r="CH320" s="569"/>
      <c r="CI320" s="569"/>
      <c r="CK320" s="1296"/>
    </row>
    <row r="321" spans="2:89" x14ac:dyDescent="0.2">
      <c r="B321" s="953" t="s">
        <v>715</v>
      </c>
      <c r="C321" s="958" t="s">
        <v>305</v>
      </c>
      <c r="D321" s="959" t="s">
        <v>716</v>
      </c>
      <c r="E321" s="960" t="s">
        <v>239</v>
      </c>
      <c r="F321" s="961">
        <v>1</v>
      </c>
      <c r="G321" s="750" t="e">
        <f>(((G317-G328))*1000000)/((G350)*1000)</f>
        <v>#DIV/0!</v>
      </c>
      <c r="H321" s="750" t="e">
        <f t="shared" ref="H321:AK322" si="101">(((H317-H328))*1000000)/((H350)*1000)</f>
        <v>#DIV/0!</v>
      </c>
      <c r="I321" s="750">
        <f t="shared" si="101"/>
        <v>143.98405270700505</v>
      </c>
      <c r="J321" s="750">
        <f t="shared" si="101"/>
        <v>139.80826852362765</v>
      </c>
      <c r="K321" s="750">
        <f t="shared" si="101"/>
        <v>136.22105237529101</v>
      </c>
      <c r="L321" s="750">
        <f t="shared" si="101"/>
        <v>133.98112978737947</v>
      </c>
      <c r="M321" s="751">
        <f t="shared" si="101"/>
        <v>131.35150395458155</v>
      </c>
      <c r="N321" s="751">
        <f t="shared" si="101"/>
        <v>129.46649621277459</v>
      </c>
      <c r="O321" s="751">
        <f t="shared" si="101"/>
        <v>128.1332046562095</v>
      </c>
      <c r="P321" s="751">
        <f t="shared" si="101"/>
        <v>125.74590014578241</v>
      </c>
      <c r="Q321" s="751">
        <f t="shared" si="101"/>
        <v>122.29866096445043</v>
      </c>
      <c r="R321" s="751">
        <f t="shared" si="101"/>
        <v>119.77793036397857</v>
      </c>
      <c r="S321" s="751">
        <f t="shared" si="101"/>
        <v>117.75654564508187</v>
      </c>
      <c r="T321" s="751">
        <f t="shared" si="101"/>
        <v>115.73991088431413</v>
      </c>
      <c r="U321" s="751">
        <f t="shared" si="101"/>
        <v>113.42957827701512</v>
      </c>
      <c r="V321" s="751">
        <f t="shared" si="101"/>
        <v>111.18223494193573</v>
      </c>
      <c r="W321" s="751">
        <f t="shared" si="101"/>
        <v>110.31694240056595</v>
      </c>
      <c r="X321" s="751">
        <f t="shared" si="101"/>
        <v>109.50386363557143</v>
      </c>
      <c r="Y321" s="751">
        <f t="shared" si="101"/>
        <v>108.70374364358159</v>
      </c>
      <c r="Z321" s="751">
        <f t="shared" si="101"/>
        <v>107.93416771608854</v>
      </c>
      <c r="AA321" s="751">
        <f t="shared" si="101"/>
        <v>107.15211875447682</v>
      </c>
      <c r="AB321" s="751">
        <f t="shared" si="101"/>
        <v>106.22465631263276</v>
      </c>
      <c r="AC321" s="751">
        <f t="shared" si="101"/>
        <v>105.44979917580943</v>
      </c>
      <c r="AD321" s="751">
        <f t="shared" si="101"/>
        <v>104.71908911416494</v>
      </c>
      <c r="AE321" s="751">
        <f t="shared" si="101"/>
        <v>104.40300545470974</v>
      </c>
      <c r="AF321" s="751">
        <f t="shared" si="101"/>
        <v>104.09157645014773</v>
      </c>
      <c r="AG321" s="751">
        <f t="shared" si="101"/>
        <v>103.78409783725108</v>
      </c>
      <c r="AH321" s="751">
        <f t="shared" si="101"/>
        <v>103.50979195629922</v>
      </c>
      <c r="AI321" s="751">
        <f t="shared" si="101"/>
        <v>103.21991069608575</v>
      </c>
      <c r="AJ321" s="751">
        <f t="shared" si="101"/>
        <v>102.92908841628255</v>
      </c>
      <c r="AK321" s="751">
        <f t="shared" si="101"/>
        <v>102.62255843364451</v>
      </c>
      <c r="AL321" s="751"/>
      <c r="AM321" s="751"/>
      <c r="AN321" s="751"/>
      <c r="AO321" s="751"/>
      <c r="AP321" s="751"/>
      <c r="AQ321" s="751"/>
      <c r="AR321" s="751"/>
      <c r="AS321" s="751"/>
      <c r="AT321" s="751"/>
      <c r="AU321" s="751"/>
      <c r="AV321" s="751"/>
      <c r="AW321" s="751"/>
      <c r="AX321" s="751"/>
      <c r="AY321" s="751"/>
      <c r="AZ321" s="751"/>
      <c r="BA321" s="751"/>
      <c r="BB321" s="751"/>
      <c r="BC321" s="751"/>
      <c r="BD321" s="751"/>
      <c r="BE321" s="751"/>
      <c r="BF321" s="751"/>
      <c r="BG321" s="751"/>
      <c r="BH321" s="751"/>
      <c r="BI321" s="751"/>
      <c r="BJ321" s="751"/>
      <c r="BK321" s="751"/>
      <c r="BL321" s="751"/>
      <c r="BM321" s="751"/>
      <c r="BN321" s="751"/>
      <c r="BO321" s="751"/>
      <c r="BP321" s="751"/>
      <c r="BQ321" s="751"/>
      <c r="BR321" s="751"/>
      <c r="BS321" s="751"/>
      <c r="BT321" s="751"/>
      <c r="BU321" s="751"/>
      <c r="BV321" s="751"/>
      <c r="BW321" s="751"/>
      <c r="BX321" s="751"/>
      <c r="BY321" s="751"/>
      <c r="BZ321" s="751"/>
      <c r="CA321" s="751"/>
      <c r="CB321" s="751"/>
      <c r="CC321" s="751"/>
      <c r="CD321" s="751"/>
      <c r="CE321" s="751"/>
      <c r="CF321" s="751"/>
      <c r="CG321" s="751"/>
      <c r="CH321" s="751"/>
      <c r="CI321" s="752"/>
      <c r="CK321" s="1296"/>
    </row>
    <row r="322" spans="2:89" x14ac:dyDescent="0.2">
      <c r="B322" s="953" t="s">
        <v>717</v>
      </c>
      <c r="C322" s="958" t="s">
        <v>324</v>
      </c>
      <c r="D322" s="959" t="s">
        <v>718</v>
      </c>
      <c r="E322" s="960" t="s">
        <v>239</v>
      </c>
      <c r="F322" s="961">
        <v>1</v>
      </c>
      <c r="G322" s="750" t="e">
        <f>(((G318-G329))*1000000)/((G351)*1000)</f>
        <v>#DIV/0!</v>
      </c>
      <c r="H322" s="750" t="e">
        <f t="shared" si="101"/>
        <v>#DIV/0!</v>
      </c>
      <c r="I322" s="750">
        <f t="shared" si="101"/>
        <v>204.25505357797545</v>
      </c>
      <c r="J322" s="750">
        <f t="shared" si="101"/>
        <v>210.66357165236482</v>
      </c>
      <c r="K322" s="750">
        <f t="shared" si="101"/>
        <v>196.87600896820533</v>
      </c>
      <c r="L322" s="750">
        <f t="shared" si="101"/>
        <v>193.82108150165337</v>
      </c>
      <c r="M322" s="751">
        <f t="shared" si="101"/>
        <v>188.58404133193577</v>
      </c>
      <c r="N322" s="751">
        <f t="shared" si="101"/>
        <v>184.93169627103387</v>
      </c>
      <c r="O322" s="751">
        <f t="shared" si="101"/>
        <v>180.8481469233374</v>
      </c>
      <c r="P322" s="751">
        <f t="shared" si="101"/>
        <v>176.04098928500616</v>
      </c>
      <c r="Q322" s="751">
        <f t="shared" si="101"/>
        <v>171.99808602851212</v>
      </c>
      <c r="R322" s="751">
        <f t="shared" si="101"/>
        <v>169.33157344271183</v>
      </c>
      <c r="S322" s="751">
        <f t="shared" si="101"/>
        <v>166.91941146102306</v>
      </c>
      <c r="T322" s="751">
        <f t="shared" si="101"/>
        <v>164.51266024290365</v>
      </c>
      <c r="U322" s="751">
        <f t="shared" si="101"/>
        <v>161.6000790808456</v>
      </c>
      <c r="V322" s="751">
        <f t="shared" si="101"/>
        <v>158.68830273282148</v>
      </c>
      <c r="W322" s="751">
        <f t="shared" si="101"/>
        <v>156.63964143215145</v>
      </c>
      <c r="X322" s="751">
        <f t="shared" si="101"/>
        <v>154.59190283246502</v>
      </c>
      <c r="Y322" s="751">
        <f t="shared" si="101"/>
        <v>152.52875203985425</v>
      </c>
      <c r="Z322" s="751">
        <f t="shared" si="101"/>
        <v>150.50323587503112</v>
      </c>
      <c r="AA322" s="751">
        <f t="shared" si="101"/>
        <v>148.46099540514459</v>
      </c>
      <c r="AB322" s="751">
        <f t="shared" si="101"/>
        <v>146.43266894395822</v>
      </c>
      <c r="AC322" s="751">
        <f t="shared" si="101"/>
        <v>144.40840345140919</v>
      </c>
      <c r="AD322" s="751">
        <f t="shared" si="101"/>
        <v>142.46889285508806</v>
      </c>
      <c r="AE322" s="751">
        <f t="shared" si="101"/>
        <v>141.22951809550972</v>
      </c>
      <c r="AF322" s="751">
        <f t="shared" si="101"/>
        <v>139.99421181893186</v>
      </c>
      <c r="AG322" s="751">
        <f t="shared" si="101"/>
        <v>138.78678592423782</v>
      </c>
      <c r="AH322" s="751">
        <f t="shared" si="101"/>
        <v>137.62284722336383</v>
      </c>
      <c r="AI322" s="751">
        <f t="shared" si="101"/>
        <v>136.44435095764297</v>
      </c>
      <c r="AJ322" s="751">
        <f t="shared" si="101"/>
        <v>135.27022404620516</v>
      </c>
      <c r="AK322" s="751">
        <f t="shared" si="101"/>
        <v>134.04113586707868</v>
      </c>
      <c r="AL322" s="751"/>
      <c r="AM322" s="751"/>
      <c r="AN322" s="751"/>
      <c r="AO322" s="751"/>
      <c r="AP322" s="751"/>
      <c r="AQ322" s="751"/>
      <c r="AR322" s="751"/>
      <c r="AS322" s="751"/>
      <c r="AT322" s="751"/>
      <c r="AU322" s="751"/>
      <c r="AV322" s="751"/>
      <c r="AW322" s="751"/>
      <c r="AX322" s="751"/>
      <c r="AY322" s="751"/>
      <c r="AZ322" s="751"/>
      <c r="BA322" s="751"/>
      <c r="BB322" s="751"/>
      <c r="BC322" s="751"/>
      <c r="BD322" s="751"/>
      <c r="BE322" s="751"/>
      <c r="BF322" s="751"/>
      <c r="BG322" s="751"/>
      <c r="BH322" s="751"/>
      <c r="BI322" s="751"/>
      <c r="BJ322" s="751"/>
      <c r="BK322" s="751"/>
      <c r="BL322" s="751"/>
      <c r="BM322" s="751"/>
      <c r="BN322" s="751"/>
      <c r="BO322" s="751"/>
      <c r="BP322" s="751"/>
      <c r="BQ322" s="751"/>
      <c r="BR322" s="751"/>
      <c r="BS322" s="751"/>
      <c r="BT322" s="751"/>
      <c r="BU322" s="751"/>
      <c r="BV322" s="751"/>
      <c r="BW322" s="751"/>
      <c r="BX322" s="751"/>
      <c r="BY322" s="751"/>
      <c r="BZ322" s="751"/>
      <c r="CA322" s="751"/>
      <c r="CB322" s="751"/>
      <c r="CC322" s="751"/>
      <c r="CD322" s="751"/>
      <c r="CE322" s="751"/>
      <c r="CF322" s="751"/>
      <c r="CG322" s="751"/>
      <c r="CH322" s="751"/>
      <c r="CI322" s="752"/>
      <c r="CK322" s="1296"/>
    </row>
    <row r="323" spans="2:89" ht="28.5" x14ac:dyDescent="0.2">
      <c r="B323" s="953" t="s">
        <v>719</v>
      </c>
      <c r="C323" s="958" t="s">
        <v>238</v>
      </c>
      <c r="D323" s="959" t="s">
        <v>720</v>
      </c>
      <c r="E323" s="960" t="s">
        <v>239</v>
      </c>
      <c r="F323" s="961">
        <v>1</v>
      </c>
      <c r="G323" s="750" t="e">
        <f>(((G317-G328)+(G318-G329))*1000000)/((G350+G351)*1000)</f>
        <v>#DIV/0!</v>
      </c>
      <c r="H323" s="750" t="e">
        <f t="shared" ref="H323:AK323" si="102">(((H317-H328)+(H318-H329))*1000000)/((H350+H351)*1000)</f>
        <v>#DIV/0!</v>
      </c>
      <c r="I323" s="750">
        <f t="shared" si="102"/>
        <v>162.01816098518304</v>
      </c>
      <c r="J323" s="750">
        <f t="shared" si="102"/>
        <v>160.5503513047789</v>
      </c>
      <c r="K323" s="750">
        <f t="shared" si="102"/>
        <v>153.55517756984287</v>
      </c>
      <c r="L323" s="750">
        <f t="shared" si="102"/>
        <v>150.64488660176534</v>
      </c>
      <c r="M323" s="751">
        <f t="shared" si="102"/>
        <v>147.01121257866487</v>
      </c>
      <c r="N323" s="751">
        <f t="shared" si="102"/>
        <v>144.45518763348551</v>
      </c>
      <c r="O323" s="751">
        <f t="shared" si="102"/>
        <v>142.22152128284284</v>
      </c>
      <c r="P323" s="751">
        <f t="shared" si="102"/>
        <v>139.10823982046102</v>
      </c>
      <c r="Q323" s="751">
        <f t="shared" si="102"/>
        <v>132.17298535459562</v>
      </c>
      <c r="R323" s="751">
        <f t="shared" si="102"/>
        <v>124.15499205981655</v>
      </c>
      <c r="S323" s="751">
        <f t="shared" si="102"/>
        <v>119.95720798542497</v>
      </c>
      <c r="T323" s="751">
        <f t="shared" si="102"/>
        <v>117.91485332894395</v>
      </c>
      <c r="U323" s="751">
        <f t="shared" si="102"/>
        <v>115.56980979795189</v>
      </c>
      <c r="V323" s="751">
        <f t="shared" si="102"/>
        <v>113.28503232315379</v>
      </c>
      <c r="W323" s="751">
        <f t="shared" si="102"/>
        <v>112.35894885823176</v>
      </c>
      <c r="X323" s="751">
        <f t="shared" si="102"/>
        <v>111.48335182440823</v>
      </c>
      <c r="Y323" s="751">
        <f t="shared" si="102"/>
        <v>110.6192066983034</v>
      </c>
      <c r="Z323" s="751">
        <f t="shared" si="102"/>
        <v>109.78598697713745</v>
      </c>
      <c r="AA323" s="751">
        <f t="shared" si="102"/>
        <v>108.94124292168124</v>
      </c>
      <c r="AB323" s="751">
        <f t="shared" si="102"/>
        <v>107.95675788420208</v>
      </c>
      <c r="AC323" s="751">
        <f t="shared" si="102"/>
        <v>107.11655744406853</v>
      </c>
      <c r="AD323" s="751">
        <f t="shared" si="102"/>
        <v>106.32280634117289</v>
      </c>
      <c r="AE323" s="751">
        <f t="shared" si="102"/>
        <v>105.95616466414127</v>
      </c>
      <c r="AF323" s="751">
        <f t="shared" si="102"/>
        <v>105.59458032389264</v>
      </c>
      <c r="AG323" s="751">
        <f t="shared" si="102"/>
        <v>105.23859745471042</v>
      </c>
      <c r="AH323" s="751">
        <f t="shared" si="102"/>
        <v>104.9167977036881</v>
      </c>
      <c r="AI323" s="751">
        <f t="shared" si="102"/>
        <v>104.57976894773745</v>
      </c>
      <c r="AJ323" s="751">
        <f t="shared" si="102"/>
        <v>104.24233812914095</v>
      </c>
      <c r="AK323" s="751">
        <f t="shared" si="102"/>
        <v>103.88810729011389</v>
      </c>
      <c r="AL323" s="751"/>
      <c r="AM323" s="751"/>
      <c r="AN323" s="751"/>
      <c r="AO323" s="751"/>
      <c r="AP323" s="751"/>
      <c r="AQ323" s="751"/>
      <c r="AR323" s="751"/>
      <c r="AS323" s="751"/>
      <c r="AT323" s="751"/>
      <c r="AU323" s="751"/>
      <c r="AV323" s="751"/>
      <c r="AW323" s="751"/>
      <c r="AX323" s="751"/>
      <c r="AY323" s="751"/>
      <c r="AZ323" s="751"/>
      <c r="BA323" s="751"/>
      <c r="BB323" s="751"/>
      <c r="BC323" s="751"/>
      <c r="BD323" s="751"/>
      <c r="BE323" s="751"/>
      <c r="BF323" s="751"/>
      <c r="BG323" s="751"/>
      <c r="BH323" s="751"/>
      <c r="BI323" s="751"/>
      <c r="BJ323" s="751"/>
      <c r="BK323" s="751"/>
      <c r="BL323" s="751"/>
      <c r="BM323" s="751"/>
      <c r="BN323" s="751"/>
      <c r="BO323" s="751"/>
      <c r="BP323" s="751"/>
      <c r="BQ323" s="751"/>
      <c r="BR323" s="751"/>
      <c r="BS323" s="751"/>
      <c r="BT323" s="751"/>
      <c r="BU323" s="751"/>
      <c r="BV323" s="751"/>
      <c r="BW323" s="751"/>
      <c r="BX323" s="751"/>
      <c r="BY323" s="751"/>
      <c r="BZ323" s="751"/>
      <c r="CA323" s="751"/>
      <c r="CB323" s="751"/>
      <c r="CC323" s="751"/>
      <c r="CD323" s="751"/>
      <c r="CE323" s="751"/>
      <c r="CF323" s="751"/>
      <c r="CG323" s="751"/>
      <c r="CH323" s="751"/>
      <c r="CI323" s="752"/>
      <c r="CK323" s="1296"/>
    </row>
    <row r="324" spans="2:89" x14ac:dyDescent="0.2">
      <c r="B324" s="953" t="s">
        <v>721</v>
      </c>
      <c r="C324" s="958" t="s">
        <v>510</v>
      </c>
      <c r="D324" s="959" t="s">
        <v>722</v>
      </c>
      <c r="E324" s="960" t="s">
        <v>236</v>
      </c>
      <c r="F324" s="961">
        <v>2</v>
      </c>
      <c r="G324" s="569">
        <f t="shared" ref="G324:AK327" si="103">G234+G292</f>
        <v>0</v>
      </c>
      <c r="H324" s="569">
        <f t="shared" si="103"/>
        <v>0</v>
      </c>
      <c r="I324" s="569">
        <f t="shared" si="103"/>
        <v>0.1776710352873897</v>
      </c>
      <c r="J324" s="569">
        <f t="shared" si="103"/>
        <v>0.18666659916750739</v>
      </c>
      <c r="K324" s="569">
        <f t="shared" si="103"/>
        <v>0.18655380045941841</v>
      </c>
      <c r="L324" s="569">
        <f t="shared" si="103"/>
        <v>0.18654185704689694</v>
      </c>
      <c r="M324" s="718">
        <f t="shared" si="103"/>
        <v>0.18669397507169064</v>
      </c>
      <c r="N324" s="718">
        <f t="shared" si="103"/>
        <v>0.1865420189570432</v>
      </c>
      <c r="O324" s="718">
        <f t="shared" si="103"/>
        <v>0.18640097562631008</v>
      </c>
      <c r="P324" s="718">
        <f t="shared" si="103"/>
        <v>0.1863027171681029</v>
      </c>
      <c r="Q324" s="718">
        <f t="shared" si="103"/>
        <v>0.18622011135810515</v>
      </c>
      <c r="R324" s="718">
        <f t="shared" si="103"/>
        <v>0.18614037350769361</v>
      </c>
      <c r="S324" s="718">
        <f t="shared" si="103"/>
        <v>0.18606049202787842</v>
      </c>
      <c r="T324" s="718">
        <f t="shared" si="103"/>
        <v>0.18597954480969861</v>
      </c>
      <c r="U324" s="718">
        <f t="shared" si="103"/>
        <v>0.18589900087665889</v>
      </c>
      <c r="V324" s="718">
        <f t="shared" si="103"/>
        <v>0.18581826137998822</v>
      </c>
      <c r="W324" s="718">
        <f t="shared" si="103"/>
        <v>0.18573796245103633</v>
      </c>
      <c r="X324" s="718">
        <f t="shared" si="103"/>
        <v>0.18565769616171157</v>
      </c>
      <c r="Y324" s="718">
        <f t="shared" si="103"/>
        <v>0.18557819175433615</v>
      </c>
      <c r="Z324" s="718">
        <f t="shared" si="103"/>
        <v>0.18550051395114303</v>
      </c>
      <c r="AA324" s="718">
        <f t="shared" si="103"/>
        <v>0.18542353190251995</v>
      </c>
      <c r="AB324" s="718">
        <f t="shared" si="103"/>
        <v>0.18534741756717188</v>
      </c>
      <c r="AC324" s="718">
        <f t="shared" si="103"/>
        <v>0.18527270850221572</v>
      </c>
      <c r="AD324" s="718">
        <f t="shared" si="103"/>
        <v>0.1851992512415451</v>
      </c>
      <c r="AE324" s="718">
        <f t="shared" si="103"/>
        <v>0.18512587856969392</v>
      </c>
      <c r="AF324" s="718">
        <f t="shared" si="103"/>
        <v>0.18505313087887013</v>
      </c>
      <c r="AG324" s="718">
        <f t="shared" si="103"/>
        <v>0.18498106740098946</v>
      </c>
      <c r="AH324" s="718">
        <f t="shared" si="103"/>
        <v>0.1849100846923839</v>
      </c>
      <c r="AI324" s="718">
        <f t="shared" si="103"/>
        <v>0.18484064494616503</v>
      </c>
      <c r="AJ324" s="718">
        <f t="shared" si="103"/>
        <v>0.18477265171218543</v>
      </c>
      <c r="AK324" s="718">
        <f t="shared" si="103"/>
        <v>0.18470575365099215</v>
      </c>
      <c r="AL324" s="718"/>
      <c r="AM324" s="718"/>
      <c r="AN324" s="718"/>
      <c r="AO324" s="718"/>
      <c r="AP324" s="718"/>
      <c r="AQ324" s="718"/>
      <c r="AR324" s="718"/>
      <c r="AS324" s="718"/>
      <c r="AT324" s="718"/>
      <c r="AU324" s="718"/>
      <c r="AV324" s="718"/>
      <c r="AW324" s="718"/>
      <c r="AX324" s="718"/>
      <c r="AY324" s="718"/>
      <c r="AZ324" s="718"/>
      <c r="BA324" s="718"/>
      <c r="BB324" s="718"/>
      <c r="BC324" s="718"/>
      <c r="BD324" s="718"/>
      <c r="BE324" s="718"/>
      <c r="BF324" s="718"/>
      <c r="BG324" s="718"/>
      <c r="BH324" s="718"/>
      <c r="BI324" s="718"/>
      <c r="BJ324" s="718"/>
      <c r="BK324" s="718"/>
      <c r="BL324" s="718"/>
      <c r="BM324" s="718"/>
      <c r="BN324" s="718"/>
      <c r="BO324" s="718"/>
      <c r="BP324" s="718"/>
      <c r="BQ324" s="718"/>
      <c r="BR324" s="718"/>
      <c r="BS324" s="718"/>
      <c r="BT324" s="718"/>
      <c r="BU324" s="718"/>
      <c r="BV324" s="718"/>
      <c r="BW324" s="718"/>
      <c r="BX324" s="718"/>
      <c r="BY324" s="718"/>
      <c r="BZ324" s="718"/>
      <c r="CA324" s="718"/>
      <c r="CB324" s="718"/>
      <c r="CC324" s="718"/>
      <c r="CD324" s="718"/>
      <c r="CE324" s="718"/>
      <c r="CF324" s="718"/>
      <c r="CG324" s="718"/>
      <c r="CH324" s="718"/>
      <c r="CI324" s="719"/>
      <c r="CK324" s="1296"/>
    </row>
    <row r="325" spans="2:89" ht="15" thickBot="1" x14ac:dyDescent="0.25">
      <c r="B325" s="962" t="s">
        <v>723</v>
      </c>
      <c r="C325" s="963" t="s">
        <v>512</v>
      </c>
      <c r="D325" s="964" t="s">
        <v>724</v>
      </c>
      <c r="E325" s="965" t="s">
        <v>236</v>
      </c>
      <c r="F325" s="966">
        <v>2</v>
      </c>
      <c r="G325" s="729">
        <f t="shared" si="103"/>
        <v>0</v>
      </c>
      <c r="H325" s="729">
        <f t="shared" si="103"/>
        <v>0</v>
      </c>
      <c r="I325" s="729">
        <f t="shared" si="103"/>
        <v>0.10012450177836422</v>
      </c>
      <c r="J325" s="729">
        <f t="shared" si="103"/>
        <v>0.10012450177836422</v>
      </c>
      <c r="K325" s="729">
        <f t="shared" si="103"/>
        <v>0.10012450177836422</v>
      </c>
      <c r="L325" s="729">
        <f t="shared" si="103"/>
        <v>0.10012450177836422</v>
      </c>
      <c r="M325" s="758">
        <f t="shared" si="103"/>
        <v>0.10012450177836422</v>
      </c>
      <c r="N325" s="758">
        <f t="shared" si="103"/>
        <v>0.10012450177836422</v>
      </c>
      <c r="O325" s="758">
        <f t="shared" si="103"/>
        <v>0.10012450177836422</v>
      </c>
      <c r="P325" s="758">
        <f t="shared" si="103"/>
        <v>0.10012450177836422</v>
      </c>
      <c r="Q325" s="758">
        <f t="shared" si="103"/>
        <v>0.10012450177836422</v>
      </c>
      <c r="R325" s="758">
        <f t="shared" si="103"/>
        <v>0.10012450177836422</v>
      </c>
      <c r="S325" s="758">
        <f t="shared" si="103"/>
        <v>0.10012450177836422</v>
      </c>
      <c r="T325" s="758">
        <f t="shared" si="103"/>
        <v>0.10012450177836422</v>
      </c>
      <c r="U325" s="758">
        <f t="shared" si="103"/>
        <v>0.10012450177836422</v>
      </c>
      <c r="V325" s="758">
        <f t="shared" si="103"/>
        <v>0.10012450177836422</v>
      </c>
      <c r="W325" s="758">
        <f t="shared" si="103"/>
        <v>0.10012450177836422</v>
      </c>
      <c r="X325" s="758">
        <f t="shared" si="103"/>
        <v>0.10012450177836422</v>
      </c>
      <c r="Y325" s="758">
        <f t="shared" si="103"/>
        <v>0.10012450177836422</v>
      </c>
      <c r="Z325" s="758">
        <f t="shared" si="103"/>
        <v>0.10012450177836422</v>
      </c>
      <c r="AA325" s="758">
        <f t="shared" si="103"/>
        <v>0.10012450177836422</v>
      </c>
      <c r="AB325" s="758">
        <f t="shared" si="103"/>
        <v>0.10012450177836422</v>
      </c>
      <c r="AC325" s="758">
        <f t="shared" si="103"/>
        <v>0.10012450177836422</v>
      </c>
      <c r="AD325" s="758">
        <f t="shared" si="103"/>
        <v>0.10012450177836422</v>
      </c>
      <c r="AE325" s="758">
        <f t="shared" si="103"/>
        <v>0.10012450177836422</v>
      </c>
      <c r="AF325" s="758">
        <f t="shared" si="103"/>
        <v>0.10012450177836422</v>
      </c>
      <c r="AG325" s="758">
        <f t="shared" si="103"/>
        <v>0.10012450177836422</v>
      </c>
      <c r="AH325" s="758">
        <f t="shared" si="103"/>
        <v>0.10012450177836422</v>
      </c>
      <c r="AI325" s="758">
        <f t="shared" si="103"/>
        <v>0.10012450177836422</v>
      </c>
      <c r="AJ325" s="758">
        <f t="shared" si="103"/>
        <v>0.10012450177836422</v>
      </c>
      <c r="AK325" s="758">
        <f t="shared" si="103"/>
        <v>0.10012450177836422</v>
      </c>
      <c r="AL325" s="758"/>
      <c r="AM325" s="758"/>
      <c r="AN325" s="758"/>
      <c r="AO325" s="758"/>
      <c r="AP325" s="758"/>
      <c r="AQ325" s="758"/>
      <c r="AR325" s="758"/>
      <c r="AS325" s="758"/>
      <c r="AT325" s="758"/>
      <c r="AU325" s="758"/>
      <c r="AV325" s="758"/>
      <c r="AW325" s="758"/>
      <c r="AX325" s="758"/>
      <c r="AY325" s="758"/>
      <c r="AZ325" s="758"/>
      <c r="BA325" s="758"/>
      <c r="BB325" s="758"/>
      <c r="BC325" s="758"/>
      <c r="BD325" s="758"/>
      <c r="BE325" s="758"/>
      <c r="BF325" s="758"/>
      <c r="BG325" s="758"/>
      <c r="BH325" s="758"/>
      <c r="BI325" s="758"/>
      <c r="BJ325" s="758"/>
      <c r="BK325" s="758"/>
      <c r="BL325" s="758"/>
      <c r="BM325" s="758"/>
      <c r="BN325" s="758"/>
      <c r="BO325" s="758"/>
      <c r="BP325" s="758"/>
      <c r="BQ325" s="758"/>
      <c r="BR325" s="758"/>
      <c r="BS325" s="758"/>
      <c r="BT325" s="758"/>
      <c r="BU325" s="758"/>
      <c r="BV325" s="758"/>
      <c r="BW325" s="758"/>
      <c r="BX325" s="758"/>
      <c r="BY325" s="758"/>
      <c r="BZ325" s="758"/>
      <c r="CA325" s="758"/>
      <c r="CB325" s="758"/>
      <c r="CC325" s="758"/>
      <c r="CD325" s="758"/>
      <c r="CE325" s="758"/>
      <c r="CF325" s="758"/>
      <c r="CG325" s="758"/>
      <c r="CH325" s="758"/>
      <c r="CI325" s="759"/>
      <c r="CK325" s="1296"/>
    </row>
    <row r="326" spans="2:89" x14ac:dyDescent="0.2">
      <c r="B326" s="933" t="s">
        <v>725</v>
      </c>
      <c r="C326" s="934" t="s">
        <v>514</v>
      </c>
      <c r="D326" s="925" t="s">
        <v>726</v>
      </c>
      <c r="E326" s="935" t="s">
        <v>236</v>
      </c>
      <c r="F326" s="936">
        <v>2</v>
      </c>
      <c r="G326" s="735">
        <f t="shared" si="103"/>
        <v>0</v>
      </c>
      <c r="H326" s="735">
        <f t="shared" si="103"/>
        <v>0</v>
      </c>
      <c r="I326" s="735">
        <f t="shared" si="103"/>
        <v>1.4511846045543333E-2</v>
      </c>
      <c r="J326" s="735">
        <f t="shared" si="103"/>
        <v>9.974894350640022E-3</v>
      </c>
      <c r="K326" s="735">
        <f t="shared" si="103"/>
        <v>9.6389157311885E-3</v>
      </c>
      <c r="L326" s="735">
        <f t="shared" si="103"/>
        <v>9.493117905589956E-3</v>
      </c>
      <c r="M326" s="736">
        <f t="shared" si="103"/>
        <v>9.6664445162875697E-3</v>
      </c>
      <c r="N326" s="736">
        <f t="shared" si="103"/>
        <v>9.6131458344110993E-3</v>
      </c>
      <c r="O326" s="736">
        <f t="shared" si="103"/>
        <v>9.5588975203334016E-3</v>
      </c>
      <c r="P326" s="736">
        <f t="shared" si="103"/>
        <v>9.5036995740544767E-3</v>
      </c>
      <c r="Q326" s="736">
        <f t="shared" si="103"/>
        <v>9.4475519955743228E-3</v>
      </c>
      <c r="R326" s="736">
        <f t="shared" si="103"/>
        <v>9.3904547848929452E-3</v>
      </c>
      <c r="S326" s="736">
        <f t="shared" si="103"/>
        <v>9.3324079420103352E-3</v>
      </c>
      <c r="T326" s="736">
        <f t="shared" si="103"/>
        <v>9.2734114669265032E-3</v>
      </c>
      <c r="U326" s="736">
        <f t="shared" si="103"/>
        <v>9.213465359641437E-3</v>
      </c>
      <c r="V326" s="736">
        <f t="shared" si="103"/>
        <v>9.1525696201551487E-3</v>
      </c>
      <c r="W326" s="736">
        <f t="shared" si="103"/>
        <v>9.0907242484676316E-3</v>
      </c>
      <c r="X326" s="736">
        <f t="shared" si="103"/>
        <v>9.0279292445788854E-3</v>
      </c>
      <c r="Y326" s="736">
        <f t="shared" si="103"/>
        <v>8.9641846084889103E-3</v>
      </c>
      <c r="Z326" s="736">
        <f t="shared" si="103"/>
        <v>8.8994903401977132E-3</v>
      </c>
      <c r="AA326" s="736">
        <f t="shared" si="103"/>
        <v>8.8338464397052837E-3</v>
      </c>
      <c r="AB326" s="736">
        <f t="shared" si="103"/>
        <v>8.7672529070116287E-3</v>
      </c>
      <c r="AC326" s="736">
        <f t="shared" si="103"/>
        <v>8.699709742116743E-3</v>
      </c>
      <c r="AD326" s="736">
        <f t="shared" si="103"/>
        <v>8.6312169450206335E-3</v>
      </c>
      <c r="AE326" s="736">
        <f t="shared" si="103"/>
        <v>8.5617745157232934E-3</v>
      </c>
      <c r="AF326" s="736">
        <f t="shared" si="103"/>
        <v>8.4913824542247295E-3</v>
      </c>
      <c r="AG326" s="736">
        <f t="shared" si="103"/>
        <v>8.4200407605249331E-3</v>
      </c>
      <c r="AH326" s="736">
        <f t="shared" si="103"/>
        <v>8.3477494346239148E-3</v>
      </c>
      <c r="AI326" s="736">
        <f t="shared" si="103"/>
        <v>8.2745084765216657E-3</v>
      </c>
      <c r="AJ326" s="736">
        <f t="shared" si="103"/>
        <v>8.2003178862181895E-3</v>
      </c>
      <c r="AK326" s="736">
        <f t="shared" si="103"/>
        <v>8.125177663713486E-3</v>
      </c>
      <c r="AL326" s="736"/>
      <c r="AM326" s="736"/>
      <c r="AN326" s="736"/>
      <c r="AO326" s="736"/>
      <c r="AP326" s="736"/>
      <c r="AQ326" s="736"/>
      <c r="AR326" s="736"/>
      <c r="AS326" s="736"/>
      <c r="AT326" s="736"/>
      <c r="AU326" s="736"/>
      <c r="AV326" s="736"/>
      <c r="AW326" s="736"/>
      <c r="AX326" s="736"/>
      <c r="AY326" s="736"/>
      <c r="AZ326" s="736"/>
      <c r="BA326" s="736"/>
      <c r="BB326" s="736"/>
      <c r="BC326" s="736"/>
      <c r="BD326" s="736"/>
      <c r="BE326" s="736"/>
      <c r="BF326" s="736"/>
      <c r="BG326" s="736"/>
      <c r="BH326" s="736"/>
      <c r="BI326" s="736"/>
      <c r="BJ326" s="736"/>
      <c r="BK326" s="736"/>
      <c r="BL326" s="736"/>
      <c r="BM326" s="736"/>
      <c r="BN326" s="736"/>
      <c r="BO326" s="736"/>
      <c r="BP326" s="736"/>
      <c r="BQ326" s="736"/>
      <c r="BR326" s="736"/>
      <c r="BS326" s="736"/>
      <c r="BT326" s="736"/>
      <c r="BU326" s="736"/>
      <c r="BV326" s="736"/>
      <c r="BW326" s="736"/>
      <c r="BX326" s="736"/>
      <c r="BY326" s="736"/>
      <c r="BZ326" s="736"/>
      <c r="CA326" s="736"/>
      <c r="CB326" s="736"/>
      <c r="CC326" s="736"/>
      <c r="CD326" s="736"/>
      <c r="CE326" s="736"/>
      <c r="CF326" s="736"/>
      <c r="CG326" s="736"/>
      <c r="CH326" s="736"/>
      <c r="CI326" s="737"/>
      <c r="CK326" s="1296"/>
    </row>
    <row r="327" spans="2:89" x14ac:dyDescent="0.2">
      <c r="B327" s="940" t="s">
        <v>727</v>
      </c>
      <c r="C327" s="901" t="s">
        <v>516</v>
      </c>
      <c r="D327" s="907" t="s">
        <v>728</v>
      </c>
      <c r="E327" s="938" t="s">
        <v>236</v>
      </c>
      <c r="F327" s="939">
        <v>2</v>
      </c>
      <c r="G327" s="569">
        <f t="shared" si="103"/>
        <v>0</v>
      </c>
      <c r="H327" s="569">
        <f t="shared" si="103"/>
        <v>0</v>
      </c>
      <c r="I327" s="569">
        <f t="shared" si="103"/>
        <v>1.2461188853652668E-3</v>
      </c>
      <c r="J327" s="569">
        <f t="shared" si="103"/>
        <v>1.0329212354244757E-3</v>
      </c>
      <c r="K327" s="569">
        <f t="shared" si="103"/>
        <v>9.8031022049270512E-4</v>
      </c>
      <c r="L327" s="569">
        <f t="shared" si="103"/>
        <v>5.9065943065365802E-4</v>
      </c>
      <c r="M327" s="718">
        <f t="shared" si="103"/>
        <v>3.1545534172330647E-4</v>
      </c>
      <c r="N327" s="718">
        <f t="shared" si="103"/>
        <v>3.0893361426803602E-4</v>
      </c>
      <c r="O327" s="718">
        <f t="shared" si="103"/>
        <v>3.0247999611036279E-4</v>
      </c>
      <c r="P327" s="718">
        <f t="shared" si="103"/>
        <v>2.9609448725028672E-4</v>
      </c>
      <c r="Q327" s="718">
        <f t="shared" si="103"/>
        <v>2.8977708768780793E-4</v>
      </c>
      <c r="R327" s="718">
        <f t="shared" si="103"/>
        <v>2.8352779742292635E-4</v>
      </c>
      <c r="S327" s="718">
        <f t="shared" si="103"/>
        <v>2.77346616455642E-4</v>
      </c>
      <c r="T327" s="718">
        <f t="shared" si="103"/>
        <v>2.7123354478595491E-4</v>
      </c>
      <c r="U327" s="718">
        <f t="shared" si="103"/>
        <v>2.6518858241386499E-4</v>
      </c>
      <c r="V327" s="718">
        <f t="shared" si="103"/>
        <v>2.6222612709841426E-4</v>
      </c>
      <c r="W327" s="718">
        <f t="shared" si="103"/>
        <v>2.592636717829636E-4</v>
      </c>
      <c r="X327" s="718">
        <f t="shared" si="103"/>
        <v>2.5630121646751282E-4</v>
      </c>
      <c r="Y327" s="718">
        <f t="shared" si="103"/>
        <v>2.5333876115206198E-4</v>
      </c>
      <c r="Z327" s="718">
        <f t="shared" si="103"/>
        <v>2.5037630583661137E-4</v>
      </c>
      <c r="AA327" s="718">
        <f t="shared" si="103"/>
        <v>2.4741385052116059E-4</v>
      </c>
      <c r="AB327" s="718">
        <f t="shared" si="103"/>
        <v>2.4445139520570987E-4</v>
      </c>
      <c r="AC327" s="718">
        <f t="shared" si="103"/>
        <v>2.4148893989025906E-4</v>
      </c>
      <c r="AD327" s="718">
        <f t="shared" si="103"/>
        <v>2.3852648457480834E-4</v>
      </c>
      <c r="AE327" s="718">
        <f t="shared" si="103"/>
        <v>2.3556402925935759E-4</v>
      </c>
      <c r="AF327" s="718">
        <f t="shared" si="103"/>
        <v>2.3260157394390697E-4</v>
      </c>
      <c r="AG327" s="718">
        <f t="shared" si="103"/>
        <v>2.2963911862845611E-4</v>
      </c>
      <c r="AH327" s="718">
        <f t="shared" si="103"/>
        <v>2.2667666331300542E-4</v>
      </c>
      <c r="AI327" s="718">
        <f t="shared" si="103"/>
        <v>2.2371420799755469E-4</v>
      </c>
      <c r="AJ327" s="718">
        <f t="shared" si="103"/>
        <v>2.2075175268210391E-4</v>
      </c>
      <c r="AK327" s="718">
        <f t="shared" si="103"/>
        <v>2.1778929736665319E-4</v>
      </c>
      <c r="AL327" s="718"/>
      <c r="AM327" s="718"/>
      <c r="AN327" s="718"/>
      <c r="AO327" s="718"/>
      <c r="AP327" s="718"/>
      <c r="AQ327" s="718"/>
      <c r="AR327" s="718"/>
      <c r="AS327" s="718"/>
      <c r="AT327" s="718"/>
      <c r="AU327" s="718"/>
      <c r="AV327" s="718"/>
      <c r="AW327" s="718"/>
      <c r="AX327" s="718"/>
      <c r="AY327" s="718"/>
      <c r="AZ327" s="718"/>
      <c r="BA327" s="718"/>
      <c r="BB327" s="718"/>
      <c r="BC327" s="718"/>
      <c r="BD327" s="718"/>
      <c r="BE327" s="718"/>
      <c r="BF327" s="718"/>
      <c r="BG327" s="718"/>
      <c r="BH327" s="718"/>
      <c r="BI327" s="718"/>
      <c r="BJ327" s="718"/>
      <c r="BK327" s="718"/>
      <c r="BL327" s="718"/>
      <c r="BM327" s="718"/>
      <c r="BN327" s="718"/>
      <c r="BO327" s="718"/>
      <c r="BP327" s="718"/>
      <c r="BQ327" s="718"/>
      <c r="BR327" s="718"/>
      <c r="BS327" s="718"/>
      <c r="BT327" s="718"/>
      <c r="BU327" s="718"/>
      <c r="BV327" s="718"/>
      <c r="BW327" s="718"/>
      <c r="BX327" s="718"/>
      <c r="BY327" s="718"/>
      <c r="BZ327" s="718"/>
      <c r="CA327" s="718"/>
      <c r="CB327" s="718"/>
      <c r="CC327" s="718"/>
      <c r="CD327" s="718"/>
      <c r="CE327" s="718"/>
      <c r="CF327" s="718"/>
      <c r="CG327" s="718"/>
      <c r="CH327" s="718"/>
      <c r="CI327" s="719"/>
      <c r="CK327" s="1296"/>
    </row>
    <row r="328" spans="2:89" x14ac:dyDescent="0.2">
      <c r="B328" s="940" t="s">
        <v>729</v>
      </c>
      <c r="C328" s="901" t="s">
        <v>518</v>
      </c>
      <c r="D328" s="907" t="s">
        <v>730</v>
      </c>
      <c r="E328" s="938" t="s">
        <v>236</v>
      </c>
      <c r="F328" s="939">
        <v>2</v>
      </c>
      <c r="G328" s="569">
        <f t="shared" ref="G328:AK331" si="104">G238+G296</f>
        <v>0</v>
      </c>
      <c r="H328" s="569">
        <f t="shared" si="104"/>
        <v>0</v>
      </c>
      <c r="I328" s="569">
        <f t="shared" si="104"/>
        <v>0.1713238219184729</v>
      </c>
      <c r="J328" s="569">
        <f t="shared" si="104"/>
        <v>8.8792814906410542E-2</v>
      </c>
      <c r="K328" s="569">
        <f t="shared" si="104"/>
        <v>8.7315508702803454E-2</v>
      </c>
      <c r="L328" s="569">
        <f t="shared" si="104"/>
        <v>8.5902168946379601E-2</v>
      </c>
      <c r="M328" s="718">
        <f t="shared" si="104"/>
        <v>8.659738605575884E-2</v>
      </c>
      <c r="N328" s="718">
        <f t="shared" si="104"/>
        <v>8.7191841905019524E-2</v>
      </c>
      <c r="O328" s="718">
        <f t="shared" si="104"/>
        <v>8.7637356785634987E-2</v>
      </c>
      <c r="P328" s="718">
        <f t="shared" si="104"/>
        <v>8.75953655083197E-2</v>
      </c>
      <c r="Q328" s="718">
        <f t="shared" si="104"/>
        <v>9.3460717613835634E-2</v>
      </c>
      <c r="R328" s="718">
        <f t="shared" si="104"/>
        <v>0.10324119751736396</v>
      </c>
      <c r="S328" s="718">
        <f t="shared" si="104"/>
        <v>0.10681857883148896</v>
      </c>
      <c r="T328" s="718">
        <f t="shared" si="104"/>
        <v>0.10629914298641435</v>
      </c>
      <c r="U328" s="718">
        <f t="shared" si="104"/>
        <v>0.10576131108157202</v>
      </c>
      <c r="V328" s="718">
        <f t="shared" si="104"/>
        <v>0.10520701809928375</v>
      </c>
      <c r="W328" s="718">
        <f t="shared" si="104"/>
        <v>0.10463418956981389</v>
      </c>
      <c r="X328" s="718">
        <f t="shared" si="104"/>
        <v>0.10404698976790563</v>
      </c>
      <c r="Y328" s="718">
        <f t="shared" si="104"/>
        <v>0.10343833331931274</v>
      </c>
      <c r="Z328" s="718">
        <f t="shared" si="104"/>
        <v>0.10279823976213096</v>
      </c>
      <c r="AA328" s="718">
        <f t="shared" si="104"/>
        <v>0.10213348855236612</v>
      </c>
      <c r="AB328" s="718">
        <f t="shared" si="104"/>
        <v>0.10145192300744157</v>
      </c>
      <c r="AC328" s="718">
        <f t="shared" si="104"/>
        <v>0.10074426042980694</v>
      </c>
      <c r="AD328" s="718">
        <f t="shared" si="104"/>
        <v>0.10001234205474306</v>
      </c>
      <c r="AE328" s="718">
        <f t="shared" si="104"/>
        <v>9.9267155483936109E-2</v>
      </c>
      <c r="AF328" s="718">
        <f t="shared" si="104"/>
        <v>9.8503900176792905E-2</v>
      </c>
      <c r="AG328" s="718">
        <f t="shared" si="104"/>
        <v>9.7722265782291901E-2</v>
      </c>
      <c r="AH328" s="718">
        <f t="shared" si="104"/>
        <v>9.6919031407369821E-2</v>
      </c>
      <c r="AI328" s="718">
        <f t="shared" si="104"/>
        <v>9.6090592263554375E-2</v>
      </c>
      <c r="AJ328" s="718">
        <f t="shared" si="104"/>
        <v>9.5238291551659415E-2</v>
      </c>
      <c r="AK328" s="718">
        <f t="shared" si="104"/>
        <v>9.4365561517166394E-2</v>
      </c>
      <c r="AL328" s="718"/>
      <c r="AM328" s="718"/>
      <c r="AN328" s="718"/>
      <c r="AO328" s="718"/>
      <c r="AP328" s="718"/>
      <c r="AQ328" s="718"/>
      <c r="AR328" s="718"/>
      <c r="AS328" s="718"/>
      <c r="AT328" s="718"/>
      <c r="AU328" s="718"/>
      <c r="AV328" s="718"/>
      <c r="AW328" s="718"/>
      <c r="AX328" s="718"/>
      <c r="AY328" s="718"/>
      <c r="AZ328" s="718"/>
      <c r="BA328" s="718"/>
      <c r="BB328" s="718"/>
      <c r="BC328" s="718"/>
      <c r="BD328" s="718"/>
      <c r="BE328" s="718"/>
      <c r="BF328" s="718"/>
      <c r="BG328" s="718"/>
      <c r="BH328" s="718"/>
      <c r="BI328" s="718"/>
      <c r="BJ328" s="718"/>
      <c r="BK328" s="718"/>
      <c r="BL328" s="718"/>
      <c r="BM328" s="718"/>
      <c r="BN328" s="718"/>
      <c r="BO328" s="718"/>
      <c r="BP328" s="718"/>
      <c r="BQ328" s="718"/>
      <c r="BR328" s="718"/>
      <c r="BS328" s="718"/>
      <c r="BT328" s="718"/>
      <c r="BU328" s="718"/>
      <c r="BV328" s="718"/>
      <c r="BW328" s="718"/>
      <c r="BX328" s="718"/>
      <c r="BY328" s="718"/>
      <c r="BZ328" s="718"/>
      <c r="CA328" s="718"/>
      <c r="CB328" s="718"/>
      <c r="CC328" s="718"/>
      <c r="CD328" s="718"/>
      <c r="CE328" s="718"/>
      <c r="CF328" s="718"/>
      <c r="CG328" s="718"/>
      <c r="CH328" s="718"/>
      <c r="CI328" s="719"/>
      <c r="CK328" s="1296"/>
    </row>
    <row r="329" spans="2:89" x14ac:dyDescent="0.2">
      <c r="B329" s="940" t="s">
        <v>731</v>
      </c>
      <c r="C329" s="901" t="s">
        <v>520</v>
      </c>
      <c r="D329" s="907" t="s">
        <v>732</v>
      </c>
      <c r="E329" s="938" t="s">
        <v>236</v>
      </c>
      <c r="F329" s="939">
        <v>2</v>
      </c>
      <c r="G329" s="569">
        <f t="shared" si="104"/>
        <v>0</v>
      </c>
      <c r="H329" s="569">
        <f t="shared" si="104"/>
        <v>0</v>
      </c>
      <c r="I329" s="569">
        <f t="shared" si="104"/>
        <v>0.14667432126102647</v>
      </c>
      <c r="J329" s="569">
        <f t="shared" si="104"/>
        <v>7.202063713552441E-2</v>
      </c>
      <c r="K329" s="569">
        <f t="shared" si="104"/>
        <v>6.7975301538381508E-2</v>
      </c>
      <c r="L329" s="569">
        <f t="shared" si="104"/>
        <v>6.354795712672219E-2</v>
      </c>
      <c r="M329" s="718">
        <f t="shared" si="104"/>
        <v>6.1823373935452619E-2</v>
      </c>
      <c r="N329" s="718">
        <f t="shared" si="104"/>
        <v>6.1139408613481466E-2</v>
      </c>
      <c r="O329" s="718">
        <f t="shared" si="104"/>
        <v>6.0456479106640627E-2</v>
      </c>
      <c r="P329" s="718">
        <f t="shared" si="104"/>
        <v>5.9774585414930088E-2</v>
      </c>
      <c r="Q329" s="718">
        <f t="shared" si="104"/>
        <v>4.4684941489873009E-2</v>
      </c>
      <c r="R329" s="718">
        <f t="shared" si="104"/>
        <v>2.0243629184719041E-2</v>
      </c>
      <c r="S329" s="718">
        <f t="shared" si="104"/>
        <v>1.0432834238611716E-2</v>
      </c>
      <c r="T329" s="718">
        <f t="shared" si="104"/>
        <v>1.0295395143247399E-2</v>
      </c>
      <c r="U329" s="718">
        <f t="shared" si="104"/>
        <v>1.0158473955448243E-2</v>
      </c>
      <c r="V329" s="718">
        <f t="shared" si="104"/>
        <v>1.0022070675214247E-2</v>
      </c>
      <c r="W329" s="718">
        <f t="shared" si="104"/>
        <v>9.886185302545418E-3</v>
      </c>
      <c r="X329" s="718">
        <f t="shared" si="104"/>
        <v>9.7508178374417498E-3</v>
      </c>
      <c r="Y329" s="718">
        <f t="shared" si="104"/>
        <v>9.615968279903242E-3</v>
      </c>
      <c r="Z329" s="718">
        <f t="shared" si="104"/>
        <v>9.4816366299299015E-3</v>
      </c>
      <c r="AA329" s="718">
        <f t="shared" si="104"/>
        <v>9.3478228875217215E-3</v>
      </c>
      <c r="AB329" s="718">
        <f t="shared" si="104"/>
        <v>9.2038430749127528E-3</v>
      </c>
      <c r="AC329" s="718">
        <f t="shared" si="104"/>
        <v>9.0606401236515213E-3</v>
      </c>
      <c r="AD329" s="718">
        <f t="shared" si="104"/>
        <v>8.9182140337380408E-3</v>
      </c>
      <c r="AE329" s="718">
        <f t="shared" si="104"/>
        <v>8.7765648051723044E-3</v>
      </c>
      <c r="AF329" s="718">
        <f t="shared" si="104"/>
        <v>8.6356924379543121E-3</v>
      </c>
      <c r="AG329" s="718">
        <f t="shared" si="104"/>
        <v>8.4955969320840638E-3</v>
      </c>
      <c r="AH329" s="718">
        <f t="shared" si="104"/>
        <v>8.3562782875615527E-3</v>
      </c>
      <c r="AI329" s="718">
        <f t="shared" si="104"/>
        <v>8.2177365043867925E-3</v>
      </c>
      <c r="AJ329" s="718">
        <f t="shared" si="104"/>
        <v>8.0799715825597765E-3</v>
      </c>
      <c r="AK329" s="718">
        <f t="shared" si="104"/>
        <v>7.9429835220804976E-3</v>
      </c>
      <c r="AL329" s="718"/>
      <c r="AM329" s="718"/>
      <c r="AN329" s="718"/>
      <c r="AO329" s="718"/>
      <c r="AP329" s="718"/>
      <c r="AQ329" s="718"/>
      <c r="AR329" s="718"/>
      <c r="AS329" s="718"/>
      <c r="AT329" s="718"/>
      <c r="AU329" s="718"/>
      <c r="AV329" s="718"/>
      <c r="AW329" s="718"/>
      <c r="AX329" s="718"/>
      <c r="AY329" s="718"/>
      <c r="AZ329" s="718"/>
      <c r="BA329" s="718"/>
      <c r="BB329" s="718"/>
      <c r="BC329" s="718"/>
      <c r="BD329" s="718"/>
      <c r="BE329" s="718"/>
      <c r="BF329" s="718"/>
      <c r="BG329" s="718"/>
      <c r="BH329" s="718"/>
      <c r="BI329" s="718"/>
      <c r="BJ329" s="718"/>
      <c r="BK329" s="718"/>
      <c r="BL329" s="718"/>
      <c r="BM329" s="718"/>
      <c r="BN329" s="718"/>
      <c r="BO329" s="718"/>
      <c r="BP329" s="718"/>
      <c r="BQ329" s="718"/>
      <c r="BR329" s="718"/>
      <c r="BS329" s="718"/>
      <c r="BT329" s="718"/>
      <c r="BU329" s="718"/>
      <c r="BV329" s="718"/>
      <c r="BW329" s="718"/>
      <c r="BX329" s="718"/>
      <c r="BY329" s="718"/>
      <c r="BZ329" s="718"/>
      <c r="CA329" s="718"/>
      <c r="CB329" s="718"/>
      <c r="CC329" s="718"/>
      <c r="CD329" s="718"/>
      <c r="CE329" s="718"/>
      <c r="CF329" s="718"/>
      <c r="CG329" s="718"/>
      <c r="CH329" s="718"/>
      <c r="CI329" s="719"/>
      <c r="CK329" s="1296"/>
    </row>
    <row r="330" spans="2:89" x14ac:dyDescent="0.2">
      <c r="B330" s="940" t="s">
        <v>733</v>
      </c>
      <c r="C330" s="901" t="s">
        <v>522</v>
      </c>
      <c r="D330" s="907" t="s">
        <v>734</v>
      </c>
      <c r="E330" s="938" t="s">
        <v>236</v>
      </c>
      <c r="F330" s="939">
        <v>2</v>
      </c>
      <c r="G330" s="569">
        <f t="shared" si="104"/>
        <v>0</v>
      </c>
      <c r="H330" s="569">
        <f t="shared" si="104"/>
        <v>0</v>
      </c>
      <c r="I330" s="569">
        <f t="shared" si="104"/>
        <v>2.1788695133288419E-2</v>
      </c>
      <c r="J330" s="569">
        <f t="shared" si="104"/>
        <v>1.2793131253170708E-2</v>
      </c>
      <c r="K330" s="569">
        <f t="shared" si="104"/>
        <v>1.2905929961259683E-2</v>
      </c>
      <c r="L330" s="569">
        <f t="shared" si="104"/>
        <v>1.2917873373781164E-2</v>
      </c>
      <c r="M330" s="718">
        <f t="shared" si="104"/>
        <v>1.2765755348987459E-2</v>
      </c>
      <c r="N330" s="718">
        <f t="shared" si="104"/>
        <v>1.2917711463634914E-2</v>
      </c>
      <c r="O330" s="718">
        <f t="shared" si="104"/>
        <v>1.3058754794368027E-2</v>
      </c>
      <c r="P330" s="718">
        <f t="shared" si="104"/>
        <v>1.3157013252575199E-2</v>
      </c>
      <c r="Q330" s="718">
        <f t="shared" si="104"/>
        <v>1.3239619062572948E-2</v>
      </c>
      <c r="R330" s="718">
        <f t="shared" si="104"/>
        <v>1.3319356912984486E-2</v>
      </c>
      <c r="S330" s="718">
        <f t="shared" si="104"/>
        <v>1.3399238392799695E-2</v>
      </c>
      <c r="T330" s="718">
        <f t="shared" si="104"/>
        <v>1.3480185610979493E-2</v>
      </c>
      <c r="U330" s="718">
        <f t="shared" si="104"/>
        <v>1.3560729544019214E-2</v>
      </c>
      <c r="V330" s="718">
        <f t="shared" si="104"/>
        <v>1.364146904068988E-2</v>
      </c>
      <c r="W330" s="718">
        <f t="shared" si="104"/>
        <v>1.3721767969641767E-2</v>
      </c>
      <c r="X330" s="718">
        <f t="shared" si="104"/>
        <v>1.3802034258966542E-2</v>
      </c>
      <c r="Y330" s="718">
        <f t="shared" si="104"/>
        <v>1.3881538666341942E-2</v>
      </c>
      <c r="Z330" s="718">
        <f t="shared" si="104"/>
        <v>1.3959216469535077E-2</v>
      </c>
      <c r="AA330" s="718">
        <f t="shared" si="104"/>
        <v>1.4036198518158152E-2</v>
      </c>
      <c r="AB330" s="718">
        <f t="shared" si="104"/>
        <v>1.4112312853506233E-2</v>
      </c>
      <c r="AC330" s="718">
        <f t="shared" si="104"/>
        <v>1.4187021918462387E-2</v>
      </c>
      <c r="AD330" s="718">
        <f t="shared" si="104"/>
        <v>1.4260479179133019E-2</v>
      </c>
      <c r="AE330" s="718">
        <f t="shared" si="104"/>
        <v>1.4333851850984186E-2</v>
      </c>
      <c r="AF330" s="718">
        <f t="shared" si="104"/>
        <v>1.4406599541807985E-2</v>
      </c>
      <c r="AG330" s="718">
        <f t="shared" si="104"/>
        <v>1.4478663019688646E-2</v>
      </c>
      <c r="AH330" s="718">
        <f t="shared" si="104"/>
        <v>1.4549645728294217E-2</v>
      </c>
      <c r="AI330" s="718">
        <f t="shared" si="104"/>
        <v>1.4619085474513084E-2</v>
      </c>
      <c r="AJ330" s="718">
        <f t="shared" si="104"/>
        <v>1.4687078708492663E-2</v>
      </c>
      <c r="AK330" s="718">
        <f t="shared" si="104"/>
        <v>1.4753976769685945E-2</v>
      </c>
      <c r="AL330" s="718"/>
      <c r="AM330" s="718"/>
      <c r="AN330" s="718"/>
      <c r="AO330" s="718"/>
      <c r="AP330" s="718"/>
      <c r="AQ330" s="718"/>
      <c r="AR330" s="718"/>
      <c r="AS330" s="718"/>
      <c r="AT330" s="718"/>
      <c r="AU330" s="718"/>
      <c r="AV330" s="718"/>
      <c r="AW330" s="718"/>
      <c r="AX330" s="718"/>
      <c r="AY330" s="718"/>
      <c r="AZ330" s="718"/>
      <c r="BA330" s="718"/>
      <c r="BB330" s="718"/>
      <c r="BC330" s="718"/>
      <c r="BD330" s="718"/>
      <c r="BE330" s="718"/>
      <c r="BF330" s="718"/>
      <c r="BG330" s="718"/>
      <c r="BH330" s="718"/>
      <c r="BI330" s="718"/>
      <c r="BJ330" s="718"/>
      <c r="BK330" s="718"/>
      <c r="BL330" s="718"/>
      <c r="BM330" s="718"/>
      <c r="BN330" s="718"/>
      <c r="BO330" s="718"/>
      <c r="BP330" s="718"/>
      <c r="BQ330" s="718"/>
      <c r="BR330" s="718"/>
      <c r="BS330" s="718"/>
      <c r="BT330" s="718"/>
      <c r="BU330" s="718"/>
      <c r="BV330" s="718"/>
      <c r="BW330" s="718"/>
      <c r="BX330" s="718"/>
      <c r="BY330" s="718"/>
      <c r="BZ330" s="718"/>
      <c r="CA330" s="718"/>
      <c r="CB330" s="718"/>
      <c r="CC330" s="718"/>
      <c r="CD330" s="718"/>
      <c r="CE330" s="718"/>
      <c r="CF330" s="718"/>
      <c r="CG330" s="718"/>
      <c r="CH330" s="718"/>
      <c r="CI330" s="719"/>
      <c r="CK330" s="1296"/>
    </row>
    <row r="331" spans="2:89" x14ac:dyDescent="0.2">
      <c r="B331" s="940" t="s">
        <v>735</v>
      </c>
      <c r="C331" s="904" t="s">
        <v>524</v>
      </c>
      <c r="D331" s="907" t="s">
        <v>736</v>
      </c>
      <c r="E331" s="938" t="s">
        <v>236</v>
      </c>
      <c r="F331" s="939">
        <v>2</v>
      </c>
      <c r="G331" s="569">
        <f t="shared" si="104"/>
        <v>0</v>
      </c>
      <c r="H331" s="569">
        <f t="shared" si="104"/>
        <v>0</v>
      </c>
      <c r="I331" s="569">
        <f t="shared" si="104"/>
        <v>1.5749683943563038</v>
      </c>
      <c r="J331" s="569">
        <f t="shared" si="104"/>
        <v>1.4901454011188295</v>
      </c>
      <c r="K331" s="569">
        <f t="shared" si="104"/>
        <v>1.4304504338458739</v>
      </c>
      <c r="L331" s="569">
        <f t="shared" si="104"/>
        <v>1.3713212232168734</v>
      </c>
      <c r="M331" s="718">
        <f t="shared" si="104"/>
        <v>1.3569343848017903</v>
      </c>
      <c r="N331" s="718">
        <f t="shared" si="104"/>
        <v>1.3412615585691852</v>
      </c>
      <c r="O331" s="718">
        <f t="shared" si="104"/>
        <v>1.3257484317969128</v>
      </c>
      <c r="P331" s="718">
        <f t="shared" si="104"/>
        <v>1.3107654417628705</v>
      </c>
      <c r="Q331" s="718">
        <f t="shared" si="104"/>
        <v>1.3042993927504565</v>
      </c>
      <c r="R331" s="718">
        <f t="shared" si="104"/>
        <v>1.303273633802617</v>
      </c>
      <c r="S331" s="718">
        <f t="shared" si="104"/>
        <v>1.2938211939786339</v>
      </c>
      <c r="T331" s="718">
        <f t="shared" si="104"/>
        <v>1.2787920312476466</v>
      </c>
      <c r="U331" s="718">
        <f t="shared" si="104"/>
        <v>1.2637820314769055</v>
      </c>
      <c r="V331" s="718">
        <f t="shared" si="104"/>
        <v>1.2487856464375588</v>
      </c>
      <c r="W331" s="718">
        <f t="shared" si="104"/>
        <v>1.2338086692377488</v>
      </c>
      <c r="X331" s="718">
        <f t="shared" si="104"/>
        <v>1.2188465276746401</v>
      </c>
      <c r="Y331" s="718">
        <f t="shared" si="104"/>
        <v>1.2039070363648017</v>
      </c>
      <c r="Z331" s="718">
        <f t="shared" si="104"/>
        <v>1.1890012404923702</v>
      </c>
      <c r="AA331" s="718">
        <f t="shared" si="104"/>
        <v>1.1741212297517281</v>
      </c>
      <c r="AB331" s="718">
        <f t="shared" si="104"/>
        <v>1.1592700167619228</v>
      </c>
      <c r="AC331" s="718">
        <f t="shared" si="104"/>
        <v>1.1444464788460729</v>
      </c>
      <c r="AD331" s="718">
        <f t="shared" si="104"/>
        <v>1.129648621302791</v>
      </c>
      <c r="AE331" s="718">
        <f t="shared" si="104"/>
        <v>1.1148642893149254</v>
      </c>
      <c r="AF331" s="718">
        <f t="shared" si="104"/>
        <v>1.1000988238152769</v>
      </c>
      <c r="AG331" s="718">
        <f t="shared" si="104"/>
        <v>1.0853525943867828</v>
      </c>
      <c r="AH331" s="718">
        <f t="shared" si="104"/>
        <v>1.0706292184788382</v>
      </c>
      <c r="AI331" s="718">
        <f t="shared" si="104"/>
        <v>1.0559327630730273</v>
      </c>
      <c r="AJ331" s="718">
        <f t="shared" si="104"/>
        <v>1.0412617885183888</v>
      </c>
      <c r="AK331" s="718">
        <f t="shared" si="104"/>
        <v>1.0266125112299871</v>
      </c>
      <c r="AL331" s="718"/>
      <c r="AM331" s="718"/>
      <c r="AN331" s="718"/>
      <c r="AO331" s="718"/>
      <c r="AP331" s="718"/>
      <c r="AQ331" s="718"/>
      <c r="AR331" s="718"/>
      <c r="AS331" s="718"/>
      <c r="AT331" s="718"/>
      <c r="AU331" s="718"/>
      <c r="AV331" s="718"/>
      <c r="AW331" s="718"/>
      <c r="AX331" s="718"/>
      <c r="AY331" s="718"/>
      <c r="AZ331" s="718"/>
      <c r="BA331" s="718"/>
      <c r="BB331" s="718"/>
      <c r="BC331" s="718"/>
      <c r="BD331" s="718"/>
      <c r="BE331" s="718"/>
      <c r="BF331" s="718"/>
      <c r="BG331" s="718"/>
      <c r="BH331" s="718"/>
      <c r="BI331" s="718"/>
      <c r="BJ331" s="718"/>
      <c r="BK331" s="718"/>
      <c r="BL331" s="718"/>
      <c r="BM331" s="718"/>
      <c r="BN331" s="718"/>
      <c r="BO331" s="718"/>
      <c r="BP331" s="718"/>
      <c r="BQ331" s="718"/>
      <c r="BR331" s="718"/>
      <c r="BS331" s="718"/>
      <c r="BT331" s="718"/>
      <c r="BU331" s="718"/>
      <c r="BV331" s="718"/>
      <c r="BW331" s="718"/>
      <c r="BX331" s="718"/>
      <c r="BY331" s="718"/>
      <c r="BZ331" s="718"/>
      <c r="CA331" s="718"/>
      <c r="CB331" s="718"/>
      <c r="CC331" s="718"/>
      <c r="CD331" s="718"/>
      <c r="CE331" s="718"/>
      <c r="CF331" s="718"/>
      <c r="CG331" s="718"/>
      <c r="CH331" s="718"/>
      <c r="CI331" s="719"/>
      <c r="CK331" s="1296"/>
    </row>
    <row r="332" spans="2:89" x14ac:dyDescent="0.2">
      <c r="B332" s="940" t="s">
        <v>737</v>
      </c>
      <c r="C332" s="904" t="s">
        <v>243</v>
      </c>
      <c r="D332" s="907" t="s">
        <v>738</v>
      </c>
      <c r="E332" s="938" t="s">
        <v>236</v>
      </c>
      <c r="F332" s="939">
        <v>2</v>
      </c>
      <c r="G332" s="569">
        <f>SUM(G326:G331)</f>
        <v>0</v>
      </c>
      <c r="H332" s="569">
        <f t="shared" ref="H332:AK332" si="105">SUM(H326:H331)</f>
        <v>0</v>
      </c>
      <c r="I332" s="569">
        <f t="shared" si="105"/>
        <v>1.9305131976000001</v>
      </c>
      <c r="J332" s="569">
        <f t="shared" si="105"/>
        <v>1.6747597999999997</v>
      </c>
      <c r="K332" s="569">
        <f t="shared" si="105"/>
        <v>1.6092663999999997</v>
      </c>
      <c r="L332" s="569">
        <f t="shared" si="105"/>
        <v>1.5437730000000001</v>
      </c>
      <c r="M332" s="718">
        <f t="shared" si="105"/>
        <v>1.5281028000000001</v>
      </c>
      <c r="N332" s="718">
        <f t="shared" si="105"/>
        <v>1.5124326000000001</v>
      </c>
      <c r="O332" s="718">
        <f t="shared" si="105"/>
        <v>1.4967624000000002</v>
      </c>
      <c r="P332" s="718">
        <f t="shared" si="105"/>
        <v>1.4810922000000002</v>
      </c>
      <c r="Q332" s="718">
        <f t="shared" si="105"/>
        <v>1.4654220000000002</v>
      </c>
      <c r="R332" s="718">
        <f t="shared" si="105"/>
        <v>1.4497518000000003</v>
      </c>
      <c r="S332" s="718">
        <f t="shared" si="105"/>
        <v>1.4340816000000003</v>
      </c>
      <c r="T332" s="718">
        <f t="shared" si="105"/>
        <v>1.4184114000000003</v>
      </c>
      <c r="U332" s="718">
        <f t="shared" si="105"/>
        <v>1.4027412000000004</v>
      </c>
      <c r="V332" s="718">
        <f t="shared" si="105"/>
        <v>1.3870710000000004</v>
      </c>
      <c r="W332" s="718">
        <f t="shared" si="105"/>
        <v>1.3714008000000004</v>
      </c>
      <c r="X332" s="718">
        <f t="shared" si="105"/>
        <v>1.3557306000000005</v>
      </c>
      <c r="Y332" s="718">
        <f t="shared" si="105"/>
        <v>1.3400604000000005</v>
      </c>
      <c r="Z332" s="718">
        <f t="shared" si="105"/>
        <v>1.3243902000000005</v>
      </c>
      <c r="AA332" s="718">
        <f t="shared" si="105"/>
        <v>1.3087200000000005</v>
      </c>
      <c r="AB332" s="718">
        <f t="shared" si="105"/>
        <v>1.2930498000000006</v>
      </c>
      <c r="AC332" s="718">
        <f t="shared" si="105"/>
        <v>1.2773796000000006</v>
      </c>
      <c r="AD332" s="718">
        <f t="shared" si="105"/>
        <v>1.2617094000000004</v>
      </c>
      <c r="AE332" s="718">
        <f t="shared" si="105"/>
        <v>1.2460392000000007</v>
      </c>
      <c r="AF332" s="718">
        <f t="shared" si="105"/>
        <v>1.2303690000000007</v>
      </c>
      <c r="AG332" s="718">
        <f t="shared" si="105"/>
        <v>1.2146988000000007</v>
      </c>
      <c r="AH332" s="718">
        <f t="shared" si="105"/>
        <v>1.1990286000000008</v>
      </c>
      <c r="AI332" s="718">
        <f t="shared" si="105"/>
        <v>1.1833584000000008</v>
      </c>
      <c r="AJ332" s="718">
        <f t="shared" si="105"/>
        <v>1.1676882000000011</v>
      </c>
      <c r="AK332" s="718">
        <f t="shared" si="105"/>
        <v>1.152018</v>
      </c>
      <c r="AL332" s="718"/>
      <c r="AM332" s="718"/>
      <c r="AN332" s="718"/>
      <c r="AO332" s="718"/>
      <c r="AP332" s="718"/>
      <c r="AQ332" s="718"/>
      <c r="AR332" s="718"/>
      <c r="AS332" s="718"/>
      <c r="AT332" s="718"/>
      <c r="AU332" s="718"/>
      <c r="AV332" s="718"/>
      <c r="AW332" s="718"/>
      <c r="AX332" s="718"/>
      <c r="AY332" s="718"/>
      <c r="AZ332" s="718"/>
      <c r="BA332" s="718"/>
      <c r="BB332" s="718"/>
      <c r="BC332" s="718"/>
      <c r="BD332" s="718"/>
      <c r="BE332" s="718"/>
      <c r="BF332" s="718"/>
      <c r="BG332" s="718"/>
      <c r="BH332" s="718"/>
      <c r="BI332" s="718"/>
      <c r="BJ332" s="718"/>
      <c r="BK332" s="718"/>
      <c r="BL332" s="718"/>
      <c r="BM332" s="718"/>
      <c r="BN332" s="718"/>
      <c r="BO332" s="718"/>
      <c r="BP332" s="718"/>
      <c r="BQ332" s="718"/>
      <c r="BR332" s="718"/>
      <c r="BS332" s="718"/>
      <c r="BT332" s="718"/>
      <c r="BU332" s="718"/>
      <c r="BV332" s="718"/>
      <c r="BW332" s="718"/>
      <c r="BX332" s="718"/>
      <c r="BY332" s="718"/>
      <c r="BZ332" s="718"/>
      <c r="CA332" s="718"/>
      <c r="CB332" s="718"/>
      <c r="CC332" s="718"/>
      <c r="CD332" s="718"/>
      <c r="CE332" s="718"/>
      <c r="CF332" s="718"/>
      <c r="CG332" s="718"/>
      <c r="CH332" s="718"/>
      <c r="CI332" s="719"/>
      <c r="CK332" s="1296"/>
    </row>
    <row r="333" spans="2:89" ht="15" thickBot="1" x14ac:dyDescent="0.25">
      <c r="B333" s="967" t="s">
        <v>739</v>
      </c>
      <c r="C333" s="968" t="s">
        <v>528</v>
      </c>
      <c r="D333" s="969" t="s">
        <v>740</v>
      </c>
      <c r="E333" s="970" t="s">
        <v>530</v>
      </c>
      <c r="F333" s="947">
        <v>2</v>
      </c>
      <c r="G333" s="729" t="e">
        <f>(G332*1000000)/(G347*1000)</f>
        <v>#DIV/0!</v>
      </c>
      <c r="H333" s="729" t="e">
        <f t="shared" ref="H333:AK333" si="106">(H332*1000000)/(H347*1000)</f>
        <v>#DIV/0!</v>
      </c>
      <c r="I333" s="729">
        <f t="shared" si="106"/>
        <v>97.911101972916782</v>
      </c>
      <c r="J333" s="729">
        <f t="shared" si="106"/>
        <v>83.8869048691015</v>
      </c>
      <c r="K333" s="729">
        <f t="shared" si="106"/>
        <v>79.748632550563755</v>
      </c>
      <c r="L333" s="729">
        <f t="shared" si="106"/>
        <v>75.779539607707235</v>
      </c>
      <c r="M333" s="758">
        <f t="shared" si="106"/>
        <v>74.410901576904706</v>
      </c>
      <c r="N333" s="758">
        <f t="shared" si="106"/>
        <v>72.620583431702215</v>
      </c>
      <c r="O333" s="758">
        <f t="shared" si="106"/>
        <v>70.956700232933017</v>
      </c>
      <c r="P333" s="758">
        <f t="shared" si="106"/>
        <v>69.62801458116202</v>
      </c>
      <c r="Q333" s="758">
        <f t="shared" si="106"/>
        <v>68.409413629994887</v>
      </c>
      <c r="R333" s="758">
        <f t="shared" si="106"/>
        <v>67.215311485915336</v>
      </c>
      <c r="S333" s="758">
        <f t="shared" si="106"/>
        <v>66.052706638346692</v>
      </c>
      <c r="T333" s="758">
        <f t="shared" si="106"/>
        <v>64.909318819484355</v>
      </c>
      <c r="U333" s="758">
        <f t="shared" si="106"/>
        <v>63.783056324396718</v>
      </c>
      <c r="V333" s="758">
        <f t="shared" si="106"/>
        <v>62.671598509216835</v>
      </c>
      <c r="W333" s="758">
        <f t="shared" si="106"/>
        <v>61.576676213623166</v>
      </c>
      <c r="X333" s="758">
        <f t="shared" si="106"/>
        <v>60.495527903961083</v>
      </c>
      <c r="Y333" s="758">
        <f t="shared" si="106"/>
        <v>59.43193434383565</v>
      </c>
      <c r="Z333" s="758">
        <f t="shared" si="106"/>
        <v>58.391119582962915</v>
      </c>
      <c r="AA333" s="758">
        <f t="shared" si="106"/>
        <v>57.366171613256327</v>
      </c>
      <c r="AB333" s="758">
        <f t="shared" si="106"/>
        <v>56.357498183552707</v>
      </c>
      <c r="AC333" s="758">
        <f t="shared" si="106"/>
        <v>55.367310558179874</v>
      </c>
      <c r="AD333" s="758">
        <f t="shared" si="106"/>
        <v>54.394168119180158</v>
      </c>
      <c r="AE333" s="758">
        <f t="shared" si="106"/>
        <v>53.43183817284708</v>
      </c>
      <c r="AF333" s="758">
        <f t="shared" si="106"/>
        <v>52.482672699594623</v>
      </c>
      <c r="AG333" s="758">
        <f t="shared" si="106"/>
        <v>51.546579019582424</v>
      </c>
      <c r="AH333" s="758">
        <f t="shared" si="106"/>
        <v>50.624968808050049</v>
      </c>
      <c r="AI333" s="758">
        <f t="shared" si="106"/>
        <v>49.719391830049503</v>
      </c>
      <c r="AJ333" s="758">
        <f t="shared" si="106"/>
        <v>48.828830894624922</v>
      </c>
      <c r="AK333" s="758">
        <f t="shared" si="106"/>
        <v>47.951259242423241</v>
      </c>
      <c r="AL333" s="758"/>
      <c r="AM333" s="758"/>
      <c r="AN333" s="758"/>
      <c r="AO333" s="758"/>
      <c r="AP333" s="758"/>
      <c r="AQ333" s="758"/>
      <c r="AR333" s="758"/>
      <c r="AS333" s="758"/>
      <c r="AT333" s="758"/>
      <c r="AU333" s="758"/>
      <c r="AV333" s="758"/>
      <c r="AW333" s="758"/>
      <c r="AX333" s="758"/>
      <c r="AY333" s="758"/>
      <c r="AZ333" s="758"/>
      <c r="BA333" s="758"/>
      <c r="BB333" s="758"/>
      <c r="BC333" s="758"/>
      <c r="BD333" s="758"/>
      <c r="BE333" s="758"/>
      <c r="BF333" s="758"/>
      <c r="BG333" s="758"/>
      <c r="BH333" s="758"/>
      <c r="BI333" s="758"/>
      <c r="BJ333" s="758"/>
      <c r="BK333" s="758"/>
      <c r="BL333" s="758"/>
      <c r="BM333" s="758"/>
      <c r="BN333" s="758"/>
      <c r="BO333" s="758"/>
      <c r="BP333" s="758"/>
      <c r="BQ333" s="758"/>
      <c r="BR333" s="758"/>
      <c r="BS333" s="758"/>
      <c r="BT333" s="758"/>
      <c r="BU333" s="758"/>
      <c r="BV333" s="758"/>
      <c r="BW333" s="758"/>
      <c r="BX333" s="758"/>
      <c r="BY333" s="758"/>
      <c r="BZ333" s="758"/>
      <c r="CA333" s="758"/>
      <c r="CB333" s="758"/>
      <c r="CC333" s="758"/>
      <c r="CD333" s="758"/>
      <c r="CE333" s="758"/>
      <c r="CF333" s="758"/>
      <c r="CG333" s="758"/>
      <c r="CH333" s="758"/>
      <c r="CI333" s="759"/>
      <c r="CK333" s="1296"/>
    </row>
    <row r="334" spans="2:89" x14ac:dyDescent="0.2">
      <c r="B334" s="948" t="s">
        <v>741</v>
      </c>
      <c r="C334" s="949" t="s">
        <v>532</v>
      </c>
      <c r="D334" s="914" t="s">
        <v>86</v>
      </c>
      <c r="E334" s="971" t="s">
        <v>344</v>
      </c>
      <c r="F334" s="972">
        <v>2</v>
      </c>
      <c r="G334" s="593"/>
      <c r="H334" s="593"/>
      <c r="I334" s="593">
        <v>1.5489999999999999</v>
      </c>
      <c r="J334" s="593">
        <v>1.4991936561407804</v>
      </c>
      <c r="K334" s="593">
        <v>1.5076557861318296</v>
      </c>
      <c r="L334" s="593">
        <v>1.5478447303118581</v>
      </c>
      <c r="M334" s="594">
        <v>1.5922679375031263</v>
      </c>
      <c r="N334" s="594">
        <v>1.599894921878908</v>
      </c>
      <c r="O334" s="594">
        <v>1.6075219062546897</v>
      </c>
      <c r="P334" s="594">
        <v>1.6151488906304712</v>
      </c>
      <c r="Q334" s="594">
        <v>1.6227758750062526</v>
      </c>
      <c r="R334" s="594">
        <v>1.6304028593820343</v>
      </c>
      <c r="S334" s="594">
        <v>1.6380298437578158</v>
      </c>
      <c r="T334" s="594">
        <v>1.6456568281335977</v>
      </c>
      <c r="U334" s="594">
        <v>1.6532838125093789</v>
      </c>
      <c r="V334" s="594">
        <v>1.6609107968851609</v>
      </c>
      <c r="W334" s="594">
        <v>1.6685377812609423</v>
      </c>
      <c r="X334" s="594">
        <v>1.6761647656367238</v>
      </c>
      <c r="Y334" s="594">
        <v>1.6837917500125055</v>
      </c>
      <c r="Z334" s="594">
        <v>1.6914187343882869</v>
      </c>
      <c r="AA334" s="594">
        <v>1.6990457187640686</v>
      </c>
      <c r="AB334" s="594">
        <v>1.7066727031398503</v>
      </c>
      <c r="AC334" s="594">
        <v>1.7142996875156318</v>
      </c>
      <c r="AD334" s="594">
        <v>1.7219266718914135</v>
      </c>
      <c r="AE334" s="594">
        <v>1.7295536562671949</v>
      </c>
      <c r="AF334" s="594">
        <v>1.7371806406429766</v>
      </c>
      <c r="AG334" s="594">
        <v>1.7448076250187583</v>
      </c>
      <c r="AH334" s="594">
        <v>1.7524346093945398</v>
      </c>
      <c r="AI334" s="594">
        <v>1.7600615937703215</v>
      </c>
      <c r="AJ334" s="594">
        <v>1.7676885781461031</v>
      </c>
      <c r="AK334" s="594">
        <v>1.7753155625218846</v>
      </c>
      <c r="AL334" s="594"/>
      <c r="AM334" s="594"/>
      <c r="AN334" s="594"/>
      <c r="AO334" s="594"/>
      <c r="AP334" s="594"/>
      <c r="AQ334" s="594"/>
      <c r="AR334" s="594"/>
      <c r="AS334" s="594"/>
      <c r="AT334" s="594"/>
      <c r="AU334" s="594"/>
      <c r="AV334" s="594"/>
      <c r="AW334" s="594"/>
      <c r="AX334" s="594"/>
      <c r="AY334" s="594"/>
      <c r="AZ334" s="594"/>
      <c r="BA334" s="594"/>
      <c r="BB334" s="594"/>
      <c r="BC334" s="594"/>
      <c r="BD334" s="594"/>
      <c r="BE334" s="594"/>
      <c r="BF334" s="594"/>
      <c r="BG334" s="594"/>
      <c r="BH334" s="594"/>
      <c r="BI334" s="594"/>
      <c r="BJ334" s="594"/>
      <c r="BK334" s="594"/>
      <c r="BL334" s="594"/>
      <c r="BM334" s="594"/>
      <c r="BN334" s="594"/>
      <c r="BO334" s="594"/>
      <c r="BP334" s="594"/>
      <c r="BQ334" s="594"/>
      <c r="BR334" s="594"/>
      <c r="BS334" s="594"/>
      <c r="BT334" s="594"/>
      <c r="BU334" s="594"/>
      <c r="BV334" s="594"/>
      <c r="BW334" s="594"/>
      <c r="BX334" s="594"/>
      <c r="BY334" s="594"/>
      <c r="BZ334" s="594"/>
      <c r="CA334" s="594"/>
      <c r="CB334" s="594"/>
      <c r="CC334" s="594"/>
      <c r="CD334" s="594"/>
      <c r="CE334" s="594"/>
      <c r="CF334" s="594"/>
      <c r="CG334" s="594"/>
      <c r="CH334" s="594"/>
      <c r="CI334" s="595"/>
      <c r="CK334" s="1296"/>
    </row>
    <row r="335" spans="2:89" x14ac:dyDescent="0.2">
      <c r="B335" s="953" t="s">
        <v>742</v>
      </c>
      <c r="C335" s="954" t="s">
        <v>534</v>
      </c>
      <c r="D335" s="918" t="s">
        <v>86</v>
      </c>
      <c r="E335" s="960" t="s">
        <v>344</v>
      </c>
      <c r="F335" s="961">
        <v>2</v>
      </c>
      <c r="G335" s="597"/>
      <c r="H335" s="597"/>
      <c r="I335" s="597">
        <v>8.1000000000000003E-2</v>
      </c>
      <c r="J335" s="597">
        <v>7.2246480087486006E-2</v>
      </c>
      <c r="K335" s="597">
        <v>7.1357167300523203E-2</v>
      </c>
      <c r="L335" s="597">
        <v>4.4818334737687336E-2</v>
      </c>
      <c r="M335" s="598">
        <v>2.4181727835120275E-2</v>
      </c>
      <c r="N335" s="598">
        <v>2.3927159793900341E-2</v>
      </c>
      <c r="O335" s="598">
        <v>2.3672591752680411E-2</v>
      </c>
      <c r="P335" s="598">
        <v>2.3418023711460477E-2</v>
      </c>
      <c r="Q335" s="598">
        <v>2.3163455670240543E-2</v>
      </c>
      <c r="R335" s="598">
        <v>2.2908887629020616E-2</v>
      </c>
      <c r="S335" s="598">
        <v>2.2654319587800682E-2</v>
      </c>
      <c r="T335" s="598">
        <v>2.2399751546580752E-2</v>
      </c>
      <c r="U335" s="598">
        <v>2.2145183505360818E-2</v>
      </c>
      <c r="V335" s="598">
        <v>2.2145183505360818E-2</v>
      </c>
      <c r="W335" s="598">
        <v>2.2145183505360818E-2</v>
      </c>
      <c r="X335" s="598">
        <v>2.2145183505360818E-2</v>
      </c>
      <c r="Y335" s="598">
        <v>2.2145183505360818E-2</v>
      </c>
      <c r="Z335" s="598">
        <v>2.2145183505360818E-2</v>
      </c>
      <c r="AA335" s="598">
        <v>2.2145183505360818E-2</v>
      </c>
      <c r="AB335" s="598">
        <v>2.2145183505360818E-2</v>
      </c>
      <c r="AC335" s="598">
        <v>2.2145183505360818E-2</v>
      </c>
      <c r="AD335" s="598">
        <v>2.2145183505360818E-2</v>
      </c>
      <c r="AE335" s="598">
        <v>2.2145183505360818E-2</v>
      </c>
      <c r="AF335" s="598">
        <v>2.2145183505360818E-2</v>
      </c>
      <c r="AG335" s="598">
        <v>2.2145183505360818E-2</v>
      </c>
      <c r="AH335" s="598">
        <v>2.2145183505360818E-2</v>
      </c>
      <c r="AI335" s="598">
        <v>2.2145183505360818E-2</v>
      </c>
      <c r="AJ335" s="598">
        <v>2.2145183505360818E-2</v>
      </c>
      <c r="AK335" s="598">
        <v>2.2145183505360818E-2</v>
      </c>
      <c r="AL335" s="598"/>
      <c r="AM335" s="598"/>
      <c r="AN335" s="598"/>
      <c r="AO335" s="598"/>
      <c r="AP335" s="598"/>
      <c r="AQ335" s="598"/>
      <c r="AR335" s="598"/>
      <c r="AS335" s="598"/>
      <c r="AT335" s="598"/>
      <c r="AU335" s="598"/>
      <c r="AV335" s="598"/>
      <c r="AW335" s="598"/>
      <c r="AX335" s="598"/>
      <c r="AY335" s="598"/>
      <c r="AZ335" s="598"/>
      <c r="BA335" s="598"/>
      <c r="BB335" s="598"/>
      <c r="BC335" s="598"/>
      <c r="BD335" s="598"/>
      <c r="BE335" s="598"/>
      <c r="BF335" s="598"/>
      <c r="BG335" s="598"/>
      <c r="BH335" s="598"/>
      <c r="BI335" s="598"/>
      <c r="BJ335" s="598"/>
      <c r="BK335" s="598"/>
      <c r="BL335" s="598"/>
      <c r="BM335" s="598"/>
      <c r="BN335" s="598"/>
      <c r="BO335" s="598"/>
      <c r="BP335" s="598"/>
      <c r="BQ335" s="598"/>
      <c r="BR335" s="598"/>
      <c r="BS335" s="598"/>
      <c r="BT335" s="598"/>
      <c r="BU335" s="598"/>
      <c r="BV335" s="598"/>
      <c r="BW335" s="598"/>
      <c r="BX335" s="598"/>
      <c r="BY335" s="598"/>
      <c r="BZ335" s="598"/>
      <c r="CA335" s="598"/>
      <c r="CB335" s="598"/>
      <c r="CC335" s="598"/>
      <c r="CD335" s="598"/>
      <c r="CE335" s="598"/>
      <c r="CF335" s="598"/>
      <c r="CG335" s="598"/>
      <c r="CH335" s="598"/>
      <c r="CI335" s="599"/>
      <c r="CK335" s="1296"/>
    </row>
    <row r="336" spans="2:89" x14ac:dyDescent="0.2">
      <c r="B336" s="973" t="s">
        <v>743</v>
      </c>
      <c r="C336" s="974" t="s">
        <v>536</v>
      </c>
      <c r="D336" s="918" t="s">
        <v>86</v>
      </c>
      <c r="E336" s="960" t="s">
        <v>344</v>
      </c>
      <c r="F336" s="961">
        <v>2</v>
      </c>
      <c r="G336" s="597"/>
      <c r="H336" s="597"/>
      <c r="I336" s="597">
        <v>0.215</v>
      </c>
      <c r="J336" s="597">
        <v>0.28114559687606738</v>
      </c>
      <c r="K336" s="597">
        <v>0.2821585127763146</v>
      </c>
      <c r="L336" s="597">
        <v>0.27709413426345569</v>
      </c>
      <c r="M336" s="598">
        <v>0.26189326707908822</v>
      </c>
      <c r="N336" s="598">
        <v>0.26310658384886026</v>
      </c>
      <c r="O336" s="598">
        <v>0.26431990061863231</v>
      </c>
      <c r="P336" s="598">
        <v>0.26553321738840435</v>
      </c>
      <c r="Q336" s="598">
        <v>0.26674653415817645</v>
      </c>
      <c r="R336" s="598">
        <v>0.2679598509279485</v>
      </c>
      <c r="S336" s="598">
        <v>0.26917316769772054</v>
      </c>
      <c r="T336" s="598">
        <v>0.27038648446749253</v>
      </c>
      <c r="U336" s="598">
        <v>0.27159980123726463</v>
      </c>
      <c r="V336" s="598">
        <v>0.27284140334495</v>
      </c>
      <c r="W336" s="598">
        <v>0.27408300545263542</v>
      </c>
      <c r="X336" s="598">
        <v>0.27532460756032079</v>
      </c>
      <c r="Y336" s="598">
        <v>0.27656620966800616</v>
      </c>
      <c r="Z336" s="598">
        <v>0.27780781177569153</v>
      </c>
      <c r="AA336" s="598">
        <v>0.2790494138833769</v>
      </c>
      <c r="AB336" s="598">
        <v>0.28029101599106226</v>
      </c>
      <c r="AC336" s="598">
        <v>0.28153261809874769</v>
      </c>
      <c r="AD336" s="598">
        <v>0.282774220206433</v>
      </c>
      <c r="AE336" s="598">
        <v>0.28401582231411837</v>
      </c>
      <c r="AF336" s="598">
        <v>0.28525742442180374</v>
      </c>
      <c r="AG336" s="598">
        <v>0.28649902652948911</v>
      </c>
      <c r="AH336" s="598">
        <v>0.28774062863717448</v>
      </c>
      <c r="AI336" s="598">
        <v>0.28898223074485985</v>
      </c>
      <c r="AJ336" s="598">
        <v>0.29022383285254527</v>
      </c>
      <c r="AK336" s="598">
        <v>0.29146543496023064</v>
      </c>
      <c r="AL336" s="598"/>
      <c r="AM336" s="598"/>
      <c r="AN336" s="598"/>
      <c r="AO336" s="598"/>
      <c r="AP336" s="598"/>
      <c r="AQ336" s="598"/>
      <c r="AR336" s="598"/>
      <c r="AS336" s="598"/>
      <c r="AT336" s="598"/>
      <c r="AU336" s="598"/>
      <c r="AV336" s="598"/>
      <c r="AW336" s="598"/>
      <c r="AX336" s="598"/>
      <c r="AY336" s="598"/>
      <c r="AZ336" s="598"/>
      <c r="BA336" s="598"/>
      <c r="BB336" s="598"/>
      <c r="BC336" s="598"/>
      <c r="BD336" s="598"/>
      <c r="BE336" s="598"/>
      <c r="BF336" s="598"/>
      <c r="BG336" s="598"/>
      <c r="BH336" s="598"/>
      <c r="BI336" s="598"/>
      <c r="BJ336" s="598"/>
      <c r="BK336" s="598"/>
      <c r="BL336" s="598"/>
      <c r="BM336" s="598"/>
      <c r="BN336" s="598"/>
      <c r="BO336" s="598"/>
      <c r="BP336" s="598"/>
      <c r="BQ336" s="598"/>
      <c r="BR336" s="598"/>
      <c r="BS336" s="598"/>
      <c r="BT336" s="598"/>
      <c r="BU336" s="598"/>
      <c r="BV336" s="598"/>
      <c r="BW336" s="598"/>
      <c r="BX336" s="598"/>
      <c r="BY336" s="598"/>
      <c r="BZ336" s="598"/>
      <c r="CA336" s="598"/>
      <c r="CB336" s="598"/>
      <c r="CC336" s="598"/>
      <c r="CD336" s="598"/>
      <c r="CE336" s="598"/>
      <c r="CF336" s="598"/>
      <c r="CG336" s="598"/>
      <c r="CH336" s="598"/>
      <c r="CI336" s="599"/>
      <c r="CK336" s="1296"/>
    </row>
    <row r="337" spans="2:89" ht="28.5" x14ac:dyDescent="0.2">
      <c r="B337" s="973" t="s">
        <v>744</v>
      </c>
      <c r="C337" s="974" t="s">
        <v>538</v>
      </c>
      <c r="D337" s="602" t="s">
        <v>539</v>
      </c>
      <c r="E337" s="603" t="s">
        <v>344</v>
      </c>
      <c r="F337" s="604">
        <v>2</v>
      </c>
      <c r="G337" s="597"/>
      <c r="H337" s="597"/>
      <c r="I337" s="597">
        <v>12.180999999999999</v>
      </c>
      <c r="J337" s="552">
        <f t="shared" ref="J337:L337" si="107">I337+SUM(J338:J343)</f>
        <v>12.4945305903319</v>
      </c>
      <c r="K337" s="552">
        <f t="shared" si="107"/>
        <v>12.783554979025508</v>
      </c>
      <c r="L337" s="552">
        <f t="shared" si="107"/>
        <v>13.087790363423581</v>
      </c>
      <c r="M337" s="552">
        <f t="shared" ref="M337:AK337" si="108">L337+SUM(M338:M343)</f>
        <v>13.321106200393258</v>
      </c>
      <c r="N337" s="552">
        <f t="shared" si="108"/>
        <v>13.597870092528535</v>
      </c>
      <c r="O337" s="552">
        <f t="shared" si="108"/>
        <v>13.852399950061582</v>
      </c>
      <c r="P337" s="552">
        <f t="shared" si="108"/>
        <v>14.019758619778505</v>
      </c>
      <c r="Q337" s="552">
        <f t="shared" si="108"/>
        <v>15.312321587636076</v>
      </c>
      <c r="R337" s="552">
        <f t="shared" si="108"/>
        <v>17.383240868589361</v>
      </c>
      <c r="S337" s="552">
        <f t="shared" si="108"/>
        <v>18.296384960270725</v>
      </c>
      <c r="T337" s="552">
        <f t="shared" si="108"/>
        <v>18.426528489924131</v>
      </c>
      <c r="U337" s="552">
        <f t="shared" si="108"/>
        <v>18.5558503542876</v>
      </c>
      <c r="V337" s="552">
        <f t="shared" si="108"/>
        <v>18.684714506699045</v>
      </c>
      <c r="W337" s="552">
        <f t="shared" si="108"/>
        <v>18.812681033171881</v>
      </c>
      <c r="X337" s="552">
        <f t="shared" si="108"/>
        <v>18.940581058685449</v>
      </c>
      <c r="Y337" s="552">
        <f t="shared" si="108"/>
        <v>19.066928802970121</v>
      </c>
      <c r="Z337" s="552">
        <f t="shared" si="108"/>
        <v>19.189554968882874</v>
      </c>
      <c r="AA337" s="552">
        <f t="shared" si="108"/>
        <v>19.310763583480867</v>
      </c>
      <c r="AB337" s="552">
        <f t="shared" si="108"/>
        <v>19.431176642058553</v>
      </c>
      <c r="AC337" s="552">
        <f t="shared" si="108"/>
        <v>19.548726560417851</v>
      </c>
      <c r="AD337" s="552">
        <f t="shared" si="108"/>
        <v>19.663726015025834</v>
      </c>
      <c r="AE337" s="552">
        <f t="shared" si="108"/>
        <v>19.778553125825514</v>
      </c>
      <c r="AF337" s="552">
        <f t="shared" si="108"/>
        <v>19.892106881457785</v>
      </c>
      <c r="AG337" s="552">
        <f t="shared" si="108"/>
        <v>20.004266601033578</v>
      </c>
      <c r="AH337" s="552">
        <f t="shared" si="108"/>
        <v>20.11422432873929</v>
      </c>
      <c r="AI337" s="552">
        <f t="shared" si="108"/>
        <v>20.221038378409663</v>
      </c>
      <c r="AJ337" s="552">
        <f t="shared" si="108"/>
        <v>20.324905260479788</v>
      </c>
      <c r="AK337" s="552">
        <f t="shared" si="108"/>
        <v>20.426540804532312</v>
      </c>
      <c r="AL337" s="552"/>
      <c r="AM337" s="552"/>
      <c r="AN337" s="552"/>
      <c r="AO337" s="552"/>
      <c r="AP337" s="552"/>
      <c r="AQ337" s="552"/>
      <c r="AR337" s="552"/>
      <c r="AS337" s="552"/>
      <c r="AT337" s="552"/>
      <c r="AU337" s="552"/>
      <c r="AV337" s="552"/>
      <c r="AW337" s="552"/>
      <c r="AX337" s="552"/>
      <c r="AY337" s="552"/>
      <c r="AZ337" s="552"/>
      <c r="BA337" s="552"/>
      <c r="BB337" s="552"/>
      <c r="BC337" s="552"/>
      <c r="BD337" s="552"/>
      <c r="BE337" s="552"/>
      <c r="BF337" s="552"/>
      <c r="BG337" s="552"/>
      <c r="BH337" s="552"/>
      <c r="BI337" s="552"/>
      <c r="BJ337" s="552"/>
      <c r="BK337" s="552"/>
      <c r="BL337" s="552"/>
      <c r="BM337" s="552"/>
      <c r="BN337" s="552"/>
      <c r="BO337" s="552"/>
      <c r="BP337" s="552"/>
      <c r="BQ337" s="552"/>
      <c r="BR337" s="552"/>
      <c r="BS337" s="552"/>
      <c r="BT337" s="552"/>
      <c r="BU337" s="552"/>
      <c r="BV337" s="552"/>
      <c r="BW337" s="552"/>
      <c r="BX337" s="552"/>
      <c r="BY337" s="552"/>
      <c r="BZ337" s="552"/>
      <c r="CA337" s="552"/>
      <c r="CB337" s="552"/>
      <c r="CC337" s="552"/>
      <c r="CD337" s="552"/>
      <c r="CE337" s="552"/>
      <c r="CF337" s="552"/>
      <c r="CG337" s="552"/>
      <c r="CH337" s="552"/>
      <c r="CI337" s="552"/>
      <c r="CK337" s="1296"/>
    </row>
    <row r="338" spans="2:89" x14ac:dyDescent="0.2">
      <c r="B338" s="973" t="s">
        <v>745</v>
      </c>
      <c r="C338" s="974" t="s">
        <v>541</v>
      </c>
      <c r="D338" s="602" t="s">
        <v>542</v>
      </c>
      <c r="E338" s="603" t="s">
        <v>344</v>
      </c>
      <c r="F338" s="604">
        <v>2</v>
      </c>
      <c r="G338" s="597"/>
      <c r="H338" s="597"/>
      <c r="I338" s="597">
        <v>0.25</v>
      </c>
      <c r="J338" s="597">
        <v>0.24503194485629864</v>
      </c>
      <c r="K338" s="597">
        <v>0.2112744251527256</v>
      </c>
      <c r="L338" s="597">
        <v>0.18919795375275134</v>
      </c>
      <c r="M338" s="598">
        <v>0.16006968359339954</v>
      </c>
      <c r="N338" s="598">
        <v>0.28645315281032524</v>
      </c>
      <c r="O338" s="598">
        <v>0.26348456183810415</v>
      </c>
      <c r="P338" s="598">
        <v>0.17343345805369609</v>
      </c>
      <c r="Q338" s="598">
        <v>0.14609451883157454</v>
      </c>
      <c r="R338" s="598">
        <v>0.14366575943094723</v>
      </c>
      <c r="S338" s="598">
        <v>0.13864060088820407</v>
      </c>
      <c r="T338" s="598">
        <v>0.13727167709700006</v>
      </c>
      <c r="U338" s="598">
        <v>0.1364228660603003</v>
      </c>
      <c r="V338" s="598">
        <v>0.13595003246094711</v>
      </c>
      <c r="W338" s="598">
        <v>0.13502275122752325</v>
      </c>
      <c r="X338" s="598">
        <v>0.13495405324445164</v>
      </c>
      <c r="Y338" s="598">
        <v>0.13335048856272624</v>
      </c>
      <c r="Z338" s="598">
        <v>0.12950595863709896</v>
      </c>
      <c r="AA338" s="598">
        <v>0.12945584190139925</v>
      </c>
      <c r="AB338" s="598">
        <v>0.12763400271867795</v>
      </c>
      <c r="AC338" s="598">
        <v>0.12367627157592141</v>
      </c>
      <c r="AD338" s="598">
        <v>0.12104154694130193</v>
      </c>
      <c r="AE338" s="598">
        <v>0.12086350932867936</v>
      </c>
      <c r="AF338" s="598">
        <v>0.11954808572132242</v>
      </c>
      <c r="AG338" s="598">
        <v>0.11810799423299977</v>
      </c>
      <c r="AH338" s="598">
        <v>0.11583325411079931</v>
      </c>
      <c r="AI338" s="598">
        <v>0.11258571688987649</v>
      </c>
      <c r="AJ338" s="598">
        <v>0.10954118231269604</v>
      </c>
      <c r="AK338" s="598">
        <v>0.10723612652035081</v>
      </c>
      <c r="AL338" s="598"/>
      <c r="AM338" s="598"/>
      <c r="AN338" s="598"/>
      <c r="AO338" s="598"/>
      <c r="AP338" s="598"/>
      <c r="AQ338" s="598"/>
      <c r="AR338" s="598"/>
      <c r="AS338" s="598"/>
      <c r="AT338" s="598"/>
      <c r="AU338" s="598"/>
      <c r="AV338" s="598"/>
      <c r="AW338" s="598"/>
      <c r="AX338" s="598"/>
      <c r="AY338" s="598"/>
      <c r="AZ338" s="598"/>
      <c r="BA338" s="598"/>
      <c r="BB338" s="598"/>
      <c r="BC338" s="598"/>
      <c r="BD338" s="598"/>
      <c r="BE338" s="598"/>
      <c r="BF338" s="598"/>
      <c r="BG338" s="598"/>
      <c r="BH338" s="598"/>
      <c r="BI338" s="598"/>
      <c r="BJ338" s="598"/>
      <c r="BK338" s="598"/>
      <c r="BL338" s="598"/>
      <c r="BM338" s="598"/>
      <c r="BN338" s="598"/>
      <c r="BO338" s="598"/>
      <c r="BP338" s="598"/>
      <c r="BQ338" s="598"/>
      <c r="BR338" s="598"/>
      <c r="BS338" s="598"/>
      <c r="BT338" s="598"/>
      <c r="BU338" s="598"/>
      <c r="BV338" s="598"/>
      <c r="BW338" s="598"/>
      <c r="BX338" s="598"/>
      <c r="BY338" s="598"/>
      <c r="BZ338" s="598"/>
      <c r="CA338" s="598"/>
      <c r="CB338" s="598"/>
      <c r="CC338" s="598"/>
      <c r="CD338" s="598"/>
      <c r="CE338" s="598"/>
      <c r="CF338" s="598"/>
      <c r="CG338" s="598"/>
      <c r="CH338" s="598"/>
      <c r="CI338" s="599"/>
      <c r="CK338" s="1296"/>
    </row>
    <row r="339" spans="2:89" x14ac:dyDescent="0.2">
      <c r="B339" s="973" t="s">
        <v>746</v>
      </c>
      <c r="C339" s="974" t="s">
        <v>544</v>
      </c>
      <c r="D339" s="602" t="s">
        <v>545</v>
      </c>
      <c r="E339" s="603" t="s">
        <v>344</v>
      </c>
      <c r="F339" s="604">
        <v>2</v>
      </c>
      <c r="G339" s="597"/>
      <c r="H339" s="597"/>
      <c r="I339" s="597">
        <v>0</v>
      </c>
      <c r="J339" s="597">
        <v>8.1197792146634779E-2</v>
      </c>
      <c r="K339" s="597">
        <v>8.8999999999999996E-2</v>
      </c>
      <c r="L339" s="597">
        <v>0.127</v>
      </c>
      <c r="M339" s="598">
        <v>8.3500000000000005E-2</v>
      </c>
      <c r="N339" s="598">
        <v>2E-3</v>
      </c>
      <c r="O339" s="598">
        <v>2E-3</v>
      </c>
      <c r="P339" s="598">
        <v>2E-3</v>
      </c>
      <c r="Q339" s="598">
        <v>2E-3</v>
      </c>
      <c r="R339" s="598">
        <v>1E-3</v>
      </c>
      <c r="S339" s="598">
        <v>0</v>
      </c>
      <c r="T339" s="598">
        <v>0</v>
      </c>
      <c r="U339" s="598">
        <v>0</v>
      </c>
      <c r="V339" s="598">
        <v>0</v>
      </c>
      <c r="W339" s="598">
        <v>0</v>
      </c>
      <c r="X339" s="598">
        <v>0</v>
      </c>
      <c r="Y339" s="598">
        <v>0</v>
      </c>
      <c r="Z339" s="598">
        <v>0</v>
      </c>
      <c r="AA339" s="598">
        <v>0</v>
      </c>
      <c r="AB339" s="598">
        <v>0</v>
      </c>
      <c r="AC339" s="598">
        <v>0</v>
      </c>
      <c r="AD339" s="598">
        <v>0</v>
      </c>
      <c r="AE339" s="598">
        <v>0</v>
      </c>
      <c r="AF339" s="598">
        <v>0</v>
      </c>
      <c r="AG339" s="598">
        <v>0</v>
      </c>
      <c r="AH339" s="598">
        <v>0</v>
      </c>
      <c r="AI339" s="598">
        <v>0</v>
      </c>
      <c r="AJ339" s="598">
        <v>0</v>
      </c>
      <c r="AK339" s="598">
        <v>0</v>
      </c>
      <c r="AL339" s="598"/>
      <c r="AM339" s="598"/>
      <c r="AN339" s="598"/>
      <c r="AO339" s="598"/>
      <c r="AP339" s="598"/>
      <c r="AQ339" s="598"/>
      <c r="AR339" s="598"/>
      <c r="AS339" s="598"/>
      <c r="AT339" s="598"/>
      <c r="AU339" s="598"/>
      <c r="AV339" s="598"/>
      <c r="AW339" s="598"/>
      <c r="AX339" s="598"/>
      <c r="AY339" s="598"/>
      <c r="AZ339" s="598"/>
      <c r="BA339" s="598"/>
      <c r="BB339" s="598"/>
      <c r="BC339" s="598"/>
      <c r="BD339" s="598"/>
      <c r="BE339" s="598"/>
      <c r="BF339" s="598"/>
      <c r="BG339" s="598"/>
      <c r="BH339" s="598"/>
      <c r="BI339" s="598"/>
      <c r="BJ339" s="598"/>
      <c r="BK339" s="598"/>
      <c r="BL339" s="598"/>
      <c r="BM339" s="598"/>
      <c r="BN339" s="598"/>
      <c r="BO339" s="598"/>
      <c r="BP339" s="598"/>
      <c r="BQ339" s="598"/>
      <c r="BR339" s="598"/>
      <c r="BS339" s="598"/>
      <c r="BT339" s="598"/>
      <c r="BU339" s="598"/>
      <c r="BV339" s="598"/>
      <c r="BW339" s="598"/>
      <c r="BX339" s="598"/>
      <c r="BY339" s="598"/>
      <c r="BZ339" s="598"/>
      <c r="CA339" s="598"/>
      <c r="CB339" s="598"/>
      <c r="CC339" s="598"/>
      <c r="CD339" s="598"/>
      <c r="CE339" s="598"/>
      <c r="CF339" s="598"/>
      <c r="CG339" s="598"/>
      <c r="CH339" s="598"/>
      <c r="CI339" s="599"/>
      <c r="CK339" s="1296"/>
    </row>
    <row r="340" spans="2:89" x14ac:dyDescent="0.2">
      <c r="B340" s="973" t="s">
        <v>747</v>
      </c>
      <c r="C340" s="974" t="s">
        <v>547</v>
      </c>
      <c r="D340" s="602" t="s">
        <v>548</v>
      </c>
      <c r="E340" s="603" t="s">
        <v>344</v>
      </c>
      <c r="F340" s="604">
        <v>2</v>
      </c>
      <c r="G340" s="597"/>
      <c r="H340" s="597"/>
      <c r="I340" s="597">
        <v>0</v>
      </c>
      <c r="J340" s="597">
        <v>0</v>
      </c>
      <c r="K340" s="597">
        <v>0</v>
      </c>
      <c r="L340" s="597">
        <v>0</v>
      </c>
      <c r="M340" s="598">
        <v>0</v>
      </c>
      <c r="N340" s="598">
        <v>0</v>
      </c>
      <c r="O340" s="598">
        <v>0</v>
      </c>
      <c r="P340" s="598">
        <v>0</v>
      </c>
      <c r="Q340" s="598">
        <v>1.19</v>
      </c>
      <c r="R340" s="598">
        <v>1.9975000000000001</v>
      </c>
      <c r="S340" s="598">
        <v>0.8075</v>
      </c>
      <c r="T340" s="598">
        <v>0</v>
      </c>
      <c r="U340" s="598">
        <v>0</v>
      </c>
      <c r="V340" s="598">
        <v>0</v>
      </c>
      <c r="W340" s="598">
        <v>0</v>
      </c>
      <c r="X340" s="598">
        <v>0</v>
      </c>
      <c r="Y340" s="598">
        <v>0</v>
      </c>
      <c r="Z340" s="598">
        <v>0</v>
      </c>
      <c r="AA340" s="598">
        <v>0</v>
      </c>
      <c r="AB340" s="598">
        <v>1E-3</v>
      </c>
      <c r="AC340" s="598">
        <v>2E-3</v>
      </c>
      <c r="AD340" s="598">
        <v>2E-3</v>
      </c>
      <c r="AE340" s="598">
        <v>2E-3</v>
      </c>
      <c r="AF340" s="598">
        <v>2E-3</v>
      </c>
      <c r="AG340" s="598">
        <v>2E-3</v>
      </c>
      <c r="AH340" s="598">
        <v>2E-3</v>
      </c>
      <c r="AI340" s="598">
        <v>2E-3</v>
      </c>
      <c r="AJ340" s="598">
        <v>2E-3</v>
      </c>
      <c r="AK340" s="598">
        <v>2E-3</v>
      </c>
      <c r="AL340" s="598"/>
      <c r="AM340" s="598"/>
      <c r="AN340" s="598"/>
      <c r="AO340" s="598"/>
      <c r="AP340" s="598"/>
      <c r="AQ340" s="598"/>
      <c r="AR340" s="598"/>
      <c r="AS340" s="598"/>
      <c r="AT340" s="598"/>
      <c r="AU340" s="598"/>
      <c r="AV340" s="598"/>
      <c r="AW340" s="598"/>
      <c r="AX340" s="598"/>
      <c r="AY340" s="598"/>
      <c r="AZ340" s="598"/>
      <c r="BA340" s="598"/>
      <c r="BB340" s="598"/>
      <c r="BC340" s="598"/>
      <c r="BD340" s="598"/>
      <c r="BE340" s="598"/>
      <c r="BF340" s="598"/>
      <c r="BG340" s="598"/>
      <c r="BH340" s="598"/>
      <c r="BI340" s="598"/>
      <c r="BJ340" s="598"/>
      <c r="BK340" s="598"/>
      <c r="BL340" s="598"/>
      <c r="BM340" s="598"/>
      <c r="BN340" s="598"/>
      <c r="BO340" s="598"/>
      <c r="BP340" s="598"/>
      <c r="BQ340" s="598"/>
      <c r="BR340" s="598"/>
      <c r="BS340" s="598"/>
      <c r="BT340" s="598"/>
      <c r="BU340" s="598"/>
      <c r="BV340" s="598"/>
      <c r="BW340" s="598"/>
      <c r="BX340" s="598"/>
      <c r="BY340" s="598"/>
      <c r="BZ340" s="598"/>
      <c r="CA340" s="598"/>
      <c r="CB340" s="598"/>
      <c r="CC340" s="598"/>
      <c r="CD340" s="598"/>
      <c r="CE340" s="598"/>
      <c r="CF340" s="598"/>
      <c r="CG340" s="598"/>
      <c r="CH340" s="598"/>
      <c r="CI340" s="599"/>
      <c r="CK340" s="1296"/>
    </row>
    <row r="341" spans="2:89" ht="28.5" x14ac:dyDescent="0.2">
      <c r="B341" s="973" t="s">
        <v>748</v>
      </c>
      <c r="C341" s="974" t="s">
        <v>550</v>
      </c>
      <c r="D341" s="602" t="s">
        <v>551</v>
      </c>
      <c r="E341" s="603" t="s">
        <v>344</v>
      </c>
      <c r="F341" s="604">
        <v>2</v>
      </c>
      <c r="G341" s="597"/>
      <c r="H341" s="597"/>
      <c r="I341" s="597">
        <v>0</v>
      </c>
      <c r="J341" s="597">
        <v>0</v>
      </c>
      <c r="K341" s="597">
        <v>0</v>
      </c>
      <c r="L341" s="597">
        <v>0</v>
      </c>
      <c r="M341" s="598">
        <v>0</v>
      </c>
      <c r="N341" s="598">
        <v>0</v>
      </c>
      <c r="O341" s="598">
        <v>0</v>
      </c>
      <c r="P341" s="598">
        <v>0</v>
      </c>
      <c r="Q341" s="598">
        <v>0</v>
      </c>
      <c r="R341" s="598">
        <v>0</v>
      </c>
      <c r="S341" s="598">
        <v>0</v>
      </c>
      <c r="T341" s="598">
        <v>0</v>
      </c>
      <c r="U341" s="598">
        <v>0</v>
      </c>
      <c r="V341" s="598">
        <v>0</v>
      </c>
      <c r="W341" s="598">
        <v>0</v>
      </c>
      <c r="X341" s="598">
        <v>0</v>
      </c>
      <c r="Y341" s="598">
        <v>0</v>
      </c>
      <c r="Z341" s="598">
        <v>0</v>
      </c>
      <c r="AA341" s="598">
        <v>0</v>
      </c>
      <c r="AB341" s="598">
        <v>0</v>
      </c>
      <c r="AC341" s="598">
        <v>0</v>
      </c>
      <c r="AD341" s="598">
        <v>0</v>
      </c>
      <c r="AE341" s="598">
        <v>0</v>
      </c>
      <c r="AF341" s="598">
        <v>0</v>
      </c>
      <c r="AG341" s="598">
        <v>0</v>
      </c>
      <c r="AH341" s="598">
        <v>0</v>
      </c>
      <c r="AI341" s="598">
        <v>0</v>
      </c>
      <c r="AJ341" s="598">
        <v>0</v>
      </c>
      <c r="AK341" s="598">
        <v>0</v>
      </c>
      <c r="AL341" s="598"/>
      <c r="AM341" s="598"/>
      <c r="AN341" s="598"/>
      <c r="AO341" s="598"/>
      <c r="AP341" s="598"/>
      <c r="AQ341" s="598"/>
      <c r="AR341" s="598"/>
      <c r="AS341" s="598"/>
      <c r="AT341" s="598"/>
      <c r="AU341" s="598"/>
      <c r="AV341" s="598"/>
      <c r="AW341" s="598"/>
      <c r="AX341" s="598"/>
      <c r="AY341" s="598"/>
      <c r="AZ341" s="598"/>
      <c r="BA341" s="598"/>
      <c r="BB341" s="598"/>
      <c r="BC341" s="598"/>
      <c r="BD341" s="598"/>
      <c r="BE341" s="598"/>
      <c r="BF341" s="598"/>
      <c r="BG341" s="598"/>
      <c r="BH341" s="598"/>
      <c r="BI341" s="598"/>
      <c r="BJ341" s="598"/>
      <c r="BK341" s="598"/>
      <c r="BL341" s="598"/>
      <c r="BM341" s="598"/>
      <c r="BN341" s="598"/>
      <c r="BO341" s="598"/>
      <c r="BP341" s="598"/>
      <c r="BQ341" s="598"/>
      <c r="BR341" s="598"/>
      <c r="BS341" s="598"/>
      <c r="BT341" s="598"/>
      <c r="BU341" s="598"/>
      <c r="BV341" s="598"/>
      <c r="BW341" s="598"/>
      <c r="BX341" s="598"/>
      <c r="BY341" s="598"/>
      <c r="BZ341" s="598"/>
      <c r="CA341" s="598"/>
      <c r="CB341" s="598"/>
      <c r="CC341" s="598"/>
      <c r="CD341" s="598"/>
      <c r="CE341" s="598"/>
      <c r="CF341" s="598"/>
      <c r="CG341" s="598"/>
      <c r="CH341" s="598"/>
      <c r="CI341" s="599"/>
      <c r="CK341" s="1296"/>
    </row>
    <row r="342" spans="2:89" x14ac:dyDescent="0.2">
      <c r="B342" s="973" t="s">
        <v>749</v>
      </c>
      <c r="C342" s="974" t="s">
        <v>553</v>
      </c>
      <c r="D342" s="602" t="s">
        <v>554</v>
      </c>
      <c r="E342" s="603" t="s">
        <v>344</v>
      </c>
      <c r="F342" s="604">
        <v>2</v>
      </c>
      <c r="G342" s="597"/>
      <c r="H342" s="597"/>
      <c r="I342" s="597">
        <v>0</v>
      </c>
      <c r="J342" s="597">
        <v>2.1000000000000001E-4</v>
      </c>
      <c r="K342" s="597">
        <v>4.2000000000000002E-4</v>
      </c>
      <c r="L342" s="597">
        <v>2.1000000000000001E-4</v>
      </c>
      <c r="M342" s="598">
        <v>0</v>
      </c>
      <c r="N342" s="598">
        <v>0</v>
      </c>
      <c r="O342" s="598">
        <v>0</v>
      </c>
      <c r="P342" s="598">
        <v>0</v>
      </c>
      <c r="Q342" s="598">
        <v>1.19</v>
      </c>
      <c r="R342" s="598">
        <v>1.9975000000000001</v>
      </c>
      <c r="S342" s="598">
        <v>0.8075</v>
      </c>
      <c r="T342" s="598">
        <v>0</v>
      </c>
      <c r="U342" s="598">
        <v>0</v>
      </c>
      <c r="V342" s="598">
        <v>0</v>
      </c>
      <c r="W342" s="598">
        <v>0</v>
      </c>
      <c r="X342" s="598">
        <v>0</v>
      </c>
      <c r="Y342" s="598">
        <v>0</v>
      </c>
      <c r="Z342" s="598">
        <v>0</v>
      </c>
      <c r="AA342" s="598">
        <v>0</v>
      </c>
      <c r="AB342" s="598">
        <v>1E-3</v>
      </c>
      <c r="AC342" s="598">
        <v>2E-3</v>
      </c>
      <c r="AD342" s="598">
        <v>2E-3</v>
      </c>
      <c r="AE342" s="598">
        <v>2E-3</v>
      </c>
      <c r="AF342" s="598">
        <v>2E-3</v>
      </c>
      <c r="AG342" s="598">
        <v>2E-3</v>
      </c>
      <c r="AH342" s="598">
        <v>2E-3</v>
      </c>
      <c r="AI342" s="598">
        <v>2E-3</v>
      </c>
      <c r="AJ342" s="598">
        <v>2E-3</v>
      </c>
      <c r="AK342" s="598">
        <v>2E-3</v>
      </c>
      <c r="AL342" s="598"/>
      <c r="AM342" s="598"/>
      <c r="AN342" s="598"/>
      <c r="AO342" s="598"/>
      <c r="AP342" s="598"/>
      <c r="AQ342" s="598"/>
      <c r="AR342" s="598"/>
      <c r="AS342" s="598"/>
      <c r="AT342" s="598"/>
      <c r="AU342" s="598"/>
      <c r="AV342" s="598"/>
      <c r="AW342" s="598"/>
      <c r="AX342" s="598"/>
      <c r="AY342" s="598"/>
      <c r="AZ342" s="598"/>
      <c r="BA342" s="598"/>
      <c r="BB342" s="598"/>
      <c r="BC342" s="598"/>
      <c r="BD342" s="598"/>
      <c r="BE342" s="598"/>
      <c r="BF342" s="598"/>
      <c r="BG342" s="598"/>
      <c r="BH342" s="598"/>
      <c r="BI342" s="598"/>
      <c r="BJ342" s="598"/>
      <c r="BK342" s="598"/>
      <c r="BL342" s="598"/>
      <c r="BM342" s="598"/>
      <c r="BN342" s="598"/>
      <c r="BO342" s="598"/>
      <c r="BP342" s="598"/>
      <c r="BQ342" s="598"/>
      <c r="BR342" s="598"/>
      <c r="BS342" s="598"/>
      <c r="BT342" s="598"/>
      <c r="BU342" s="598"/>
      <c r="BV342" s="598"/>
      <c r="BW342" s="598"/>
      <c r="BX342" s="598"/>
      <c r="BY342" s="598"/>
      <c r="BZ342" s="598"/>
      <c r="CA342" s="598"/>
      <c r="CB342" s="598"/>
      <c r="CC342" s="598"/>
      <c r="CD342" s="598"/>
      <c r="CE342" s="598"/>
      <c r="CF342" s="598"/>
      <c r="CG342" s="598"/>
      <c r="CH342" s="598"/>
      <c r="CI342" s="599"/>
      <c r="CK342" s="1296"/>
    </row>
    <row r="343" spans="2:89" ht="28.5" x14ac:dyDescent="0.2">
      <c r="B343" s="973" t="s">
        <v>750</v>
      </c>
      <c r="C343" s="974" t="s">
        <v>556</v>
      </c>
      <c r="D343" s="602" t="s">
        <v>557</v>
      </c>
      <c r="E343" s="603" t="s">
        <v>344</v>
      </c>
      <c r="F343" s="604">
        <v>2</v>
      </c>
      <c r="G343" s="597"/>
      <c r="H343" s="597"/>
      <c r="I343" s="597">
        <v>0</v>
      </c>
      <c r="J343" s="597">
        <v>-1.2909146671033156E-2</v>
      </c>
      <c r="K343" s="597">
        <v>-1.1670036459117128E-2</v>
      </c>
      <c r="L343" s="597">
        <v>-1.2172569354678586E-2</v>
      </c>
      <c r="M343" s="598">
        <v>-1.0253846623722751E-2</v>
      </c>
      <c r="N343" s="598">
        <v>-1.1689260675048274E-2</v>
      </c>
      <c r="O343" s="598">
        <v>-1.095470430505685E-2</v>
      </c>
      <c r="P343" s="598">
        <v>-8.0747883367724427E-3</v>
      </c>
      <c r="Q343" s="598">
        <v>-1.2355315509740041</v>
      </c>
      <c r="R343" s="598">
        <v>-2.0687464784776601</v>
      </c>
      <c r="S343" s="598">
        <v>-0.84049650920684016</v>
      </c>
      <c r="T343" s="598">
        <v>-7.1281474435949121E-3</v>
      </c>
      <c r="U343" s="598">
        <v>-7.1010016968315881E-3</v>
      </c>
      <c r="V343" s="598">
        <v>-7.0858800495017249E-3</v>
      </c>
      <c r="W343" s="598">
        <v>-7.0562247546881451E-3</v>
      </c>
      <c r="X343" s="598">
        <v>-7.0540277308843713E-3</v>
      </c>
      <c r="Y343" s="598">
        <v>-7.0027442780542515E-3</v>
      </c>
      <c r="Z343" s="598">
        <v>-6.8797927243480217E-3</v>
      </c>
      <c r="AA343" s="598">
        <v>-8.2472273034071009E-3</v>
      </c>
      <c r="AB343" s="598">
        <v>-9.2209441409920601E-3</v>
      </c>
      <c r="AC343" s="598">
        <v>-1.0126353216623585E-2</v>
      </c>
      <c r="AD343" s="598">
        <v>-1.0042092333318209E-2</v>
      </c>
      <c r="AE343" s="598">
        <v>-1.0036398528999513E-2</v>
      </c>
      <c r="AF343" s="598">
        <v>-9.9943300890501519E-3</v>
      </c>
      <c r="AG343" s="598">
        <v>-9.9482746572086E-3</v>
      </c>
      <c r="AH343" s="598">
        <v>-9.8755264050858216E-3</v>
      </c>
      <c r="AI343" s="598">
        <v>-9.7716672195033993E-3</v>
      </c>
      <c r="AJ343" s="598">
        <v>-9.6743002425689895E-3</v>
      </c>
      <c r="AK343" s="598">
        <v>-9.6005824678258023E-3</v>
      </c>
      <c r="AL343" s="598"/>
      <c r="AM343" s="598"/>
      <c r="AN343" s="598"/>
      <c r="AO343" s="598"/>
      <c r="AP343" s="598"/>
      <c r="AQ343" s="598"/>
      <c r="AR343" s="598"/>
      <c r="AS343" s="598"/>
      <c r="AT343" s="598"/>
      <c r="AU343" s="598"/>
      <c r="AV343" s="598"/>
      <c r="AW343" s="598"/>
      <c r="AX343" s="598"/>
      <c r="AY343" s="598"/>
      <c r="AZ343" s="598"/>
      <c r="BA343" s="598"/>
      <c r="BB343" s="598"/>
      <c r="BC343" s="598"/>
      <c r="BD343" s="598"/>
      <c r="BE343" s="598"/>
      <c r="BF343" s="598"/>
      <c r="BG343" s="598"/>
      <c r="BH343" s="598"/>
      <c r="BI343" s="598"/>
      <c r="BJ343" s="598"/>
      <c r="BK343" s="598"/>
      <c r="BL343" s="598"/>
      <c r="BM343" s="598"/>
      <c r="BN343" s="598"/>
      <c r="BO343" s="598"/>
      <c r="BP343" s="598"/>
      <c r="BQ343" s="598"/>
      <c r="BR343" s="598"/>
      <c r="BS343" s="598"/>
      <c r="BT343" s="598"/>
      <c r="BU343" s="598"/>
      <c r="BV343" s="598"/>
      <c r="BW343" s="598"/>
      <c r="BX343" s="598"/>
      <c r="BY343" s="598"/>
      <c r="BZ343" s="598"/>
      <c r="CA343" s="598"/>
      <c r="CB343" s="598"/>
      <c r="CC343" s="598"/>
      <c r="CD343" s="598"/>
      <c r="CE343" s="598"/>
      <c r="CF343" s="598"/>
      <c r="CG343" s="598"/>
      <c r="CH343" s="598"/>
      <c r="CI343" s="599"/>
      <c r="CK343" s="1296"/>
    </row>
    <row r="344" spans="2:89" x14ac:dyDescent="0.2">
      <c r="B344" s="973" t="s">
        <v>751</v>
      </c>
      <c r="C344" s="974" t="s">
        <v>559</v>
      </c>
      <c r="D344" s="918" t="s">
        <v>86</v>
      </c>
      <c r="E344" s="960" t="s">
        <v>344</v>
      </c>
      <c r="F344" s="961">
        <v>2</v>
      </c>
      <c r="G344" s="597"/>
      <c r="H344" s="597"/>
      <c r="I344" s="597">
        <v>0.40200000000000002</v>
      </c>
      <c r="J344" s="597">
        <v>0.41278774632753323</v>
      </c>
      <c r="K344" s="597">
        <v>0.42233638244315047</v>
      </c>
      <c r="L344" s="597">
        <v>0.43238755145432933</v>
      </c>
      <c r="M344" s="598">
        <v>0.44009571766585226</v>
      </c>
      <c r="N344" s="598">
        <v>0.44923929792870404</v>
      </c>
      <c r="O344" s="598">
        <v>0.45764832182156112</v>
      </c>
      <c r="P344" s="598">
        <v>0.46317742974613413</v>
      </c>
      <c r="Q344" s="598">
        <v>0.50588044692880529</v>
      </c>
      <c r="R344" s="598">
        <v>0.57429839161513185</v>
      </c>
      <c r="S344" s="598">
        <v>0.60446636703064038</v>
      </c>
      <c r="T344" s="598">
        <v>0.608765980682898</v>
      </c>
      <c r="U344" s="598">
        <v>0.61303844858839718</v>
      </c>
      <c r="V344" s="598">
        <v>0.61729579484656627</v>
      </c>
      <c r="W344" s="598">
        <v>0.62152348580991945</v>
      </c>
      <c r="X344" s="598">
        <v>0.62574897974947019</v>
      </c>
      <c r="Y344" s="598">
        <v>0.62992319023619259</v>
      </c>
      <c r="Z344" s="598">
        <v>0.63397444916920742</v>
      </c>
      <c r="AA344" s="598">
        <v>0.63797887578561074</v>
      </c>
      <c r="AB344" s="598">
        <v>0.64195701923960713</v>
      </c>
      <c r="AC344" s="598">
        <v>0.64584057176922893</v>
      </c>
      <c r="AD344" s="598">
        <v>0.64963986341554791</v>
      </c>
      <c r="AE344" s="598">
        <v>0.6534334612575492</v>
      </c>
      <c r="AF344" s="598">
        <v>0.65718499065960145</v>
      </c>
      <c r="AG344" s="598">
        <v>0.66089046462980761</v>
      </c>
      <c r="AH344" s="598">
        <v>0.66452319034789586</v>
      </c>
      <c r="AI344" s="598">
        <v>0.66805205688039826</v>
      </c>
      <c r="AJ344" s="598">
        <v>0.67148355643596946</v>
      </c>
      <c r="AK344" s="598">
        <v>0.67484133821679748</v>
      </c>
      <c r="AL344" s="598"/>
      <c r="AM344" s="598"/>
      <c r="AN344" s="598"/>
      <c r="AO344" s="598"/>
      <c r="AP344" s="598"/>
      <c r="AQ344" s="598"/>
      <c r="AR344" s="598"/>
      <c r="AS344" s="598"/>
      <c r="AT344" s="598"/>
      <c r="AU344" s="598"/>
      <c r="AV344" s="598"/>
      <c r="AW344" s="598"/>
      <c r="AX344" s="598"/>
      <c r="AY344" s="598"/>
      <c r="AZ344" s="598"/>
      <c r="BA344" s="598"/>
      <c r="BB344" s="598"/>
      <c r="BC344" s="598"/>
      <c r="BD344" s="598"/>
      <c r="BE344" s="598"/>
      <c r="BF344" s="598"/>
      <c r="BG344" s="598"/>
      <c r="BH344" s="598"/>
      <c r="BI344" s="598"/>
      <c r="BJ344" s="598"/>
      <c r="BK344" s="598"/>
      <c r="BL344" s="598"/>
      <c r="BM344" s="598"/>
      <c r="BN344" s="598"/>
      <c r="BO344" s="598"/>
      <c r="BP344" s="598"/>
      <c r="BQ344" s="598"/>
      <c r="BR344" s="598"/>
      <c r="BS344" s="598"/>
      <c r="BT344" s="598"/>
      <c r="BU344" s="598"/>
      <c r="BV344" s="598"/>
      <c r="BW344" s="598"/>
      <c r="BX344" s="598"/>
      <c r="BY344" s="598"/>
      <c r="BZ344" s="598"/>
      <c r="CA344" s="598"/>
      <c r="CB344" s="598"/>
      <c r="CC344" s="598"/>
      <c r="CD344" s="598"/>
      <c r="CE344" s="598"/>
      <c r="CF344" s="598"/>
      <c r="CG344" s="598"/>
      <c r="CH344" s="598"/>
      <c r="CI344" s="599"/>
      <c r="CK344" s="1296"/>
    </row>
    <row r="345" spans="2:89" ht="28.5" x14ac:dyDescent="0.2">
      <c r="B345" s="973" t="s">
        <v>752</v>
      </c>
      <c r="C345" s="974" t="s">
        <v>561</v>
      </c>
      <c r="D345" s="918" t="s">
        <v>86</v>
      </c>
      <c r="E345" s="960" t="s">
        <v>344</v>
      </c>
      <c r="F345" s="961">
        <v>2</v>
      </c>
      <c r="G345" s="597"/>
      <c r="H345" s="597"/>
      <c r="I345" s="597">
        <v>5.1189999999999998</v>
      </c>
      <c r="J345" s="597">
        <v>5.0374000923327564</v>
      </c>
      <c r="K345" s="597">
        <v>4.9479489887802268</v>
      </c>
      <c r="L345" s="597">
        <v>4.8219218497023757</v>
      </c>
      <c r="M345" s="598">
        <v>4.7391684483418297</v>
      </c>
      <c r="N345" s="598">
        <v>4.7352969441846096</v>
      </c>
      <c r="O345" s="598">
        <v>4.7314254400273894</v>
      </c>
      <c r="P345" s="598">
        <v>4.7275539358701693</v>
      </c>
      <c r="Q345" s="598">
        <v>3.5719099449404639</v>
      </c>
      <c r="R345" s="598">
        <v>1.6356739283115902</v>
      </c>
      <c r="S345" s="598">
        <v>0.85217827449450767</v>
      </c>
      <c r="T345" s="598">
        <v>0.85024252241589837</v>
      </c>
      <c r="U345" s="598">
        <v>0.84830677033728918</v>
      </c>
      <c r="V345" s="598">
        <v>0.84637101825868</v>
      </c>
      <c r="W345" s="598">
        <v>0.84443526618007081</v>
      </c>
      <c r="X345" s="598">
        <v>0.84249951410146162</v>
      </c>
      <c r="Y345" s="598">
        <v>0.84056376202285232</v>
      </c>
      <c r="Z345" s="598">
        <v>0.83862800994424314</v>
      </c>
      <c r="AA345" s="598">
        <v>0.83669225786563395</v>
      </c>
      <c r="AB345" s="598">
        <v>0.83378862974772006</v>
      </c>
      <c r="AC345" s="598">
        <v>0.83088500162980616</v>
      </c>
      <c r="AD345" s="598">
        <v>0.82798137351189238</v>
      </c>
      <c r="AE345" s="598">
        <v>0.8250777453939786</v>
      </c>
      <c r="AF345" s="598">
        <v>0.82217411727606471</v>
      </c>
      <c r="AG345" s="598">
        <v>0.81927048915815093</v>
      </c>
      <c r="AH345" s="598">
        <v>0.81636686104023704</v>
      </c>
      <c r="AI345" s="598">
        <v>0.81346323292232314</v>
      </c>
      <c r="AJ345" s="598">
        <v>0.81055960480440947</v>
      </c>
      <c r="AK345" s="598">
        <v>0.80765597668649558</v>
      </c>
      <c r="AL345" s="598"/>
      <c r="AM345" s="598"/>
      <c r="AN345" s="598"/>
      <c r="AO345" s="598"/>
      <c r="AP345" s="598"/>
      <c r="AQ345" s="598"/>
      <c r="AR345" s="598"/>
      <c r="AS345" s="598"/>
      <c r="AT345" s="598"/>
      <c r="AU345" s="598"/>
      <c r="AV345" s="598"/>
      <c r="AW345" s="598"/>
      <c r="AX345" s="598"/>
      <c r="AY345" s="598"/>
      <c r="AZ345" s="598"/>
      <c r="BA345" s="598"/>
      <c r="BB345" s="598"/>
      <c r="BC345" s="598"/>
      <c r="BD345" s="598"/>
      <c r="BE345" s="598"/>
      <c r="BF345" s="598"/>
      <c r="BG345" s="598"/>
      <c r="BH345" s="598"/>
      <c r="BI345" s="598"/>
      <c r="BJ345" s="598"/>
      <c r="BK345" s="598"/>
      <c r="BL345" s="598"/>
      <c r="BM345" s="598"/>
      <c r="BN345" s="598"/>
      <c r="BO345" s="598"/>
      <c r="BP345" s="598"/>
      <c r="BQ345" s="598"/>
      <c r="BR345" s="598"/>
      <c r="BS345" s="598"/>
      <c r="BT345" s="598"/>
      <c r="BU345" s="598"/>
      <c r="BV345" s="598"/>
      <c r="BW345" s="598"/>
      <c r="BX345" s="598"/>
      <c r="BY345" s="598"/>
      <c r="BZ345" s="598"/>
      <c r="CA345" s="598"/>
      <c r="CB345" s="598"/>
      <c r="CC345" s="598"/>
      <c r="CD345" s="598"/>
      <c r="CE345" s="598"/>
      <c r="CF345" s="598"/>
      <c r="CG345" s="598"/>
      <c r="CH345" s="598"/>
      <c r="CI345" s="599"/>
      <c r="CK345" s="1296"/>
    </row>
    <row r="346" spans="2:89" x14ac:dyDescent="0.2">
      <c r="B346" s="973" t="s">
        <v>753</v>
      </c>
      <c r="C346" s="974" t="s">
        <v>563</v>
      </c>
      <c r="D346" s="918" t="s">
        <v>86</v>
      </c>
      <c r="E346" s="960" t="s">
        <v>344</v>
      </c>
      <c r="F346" s="961">
        <v>2</v>
      </c>
      <c r="G346" s="597"/>
      <c r="H346" s="597"/>
      <c r="I346" s="597">
        <v>0.17</v>
      </c>
      <c r="J346" s="597">
        <v>0.16719211552061083</v>
      </c>
      <c r="K346" s="597">
        <v>0.16422321907314302</v>
      </c>
      <c r="L346" s="597">
        <v>0.16004035815099646</v>
      </c>
      <c r="M346" s="598">
        <v>0.15729375951154062</v>
      </c>
      <c r="N346" s="598">
        <v>0.15716526366875899</v>
      </c>
      <c r="O346" s="598">
        <v>0.15703676782597739</v>
      </c>
      <c r="P346" s="598">
        <v>0.15690827198319576</v>
      </c>
      <c r="Q346" s="598">
        <v>0.11855226291290098</v>
      </c>
      <c r="R346" s="598">
        <v>5.4288279541774759E-2</v>
      </c>
      <c r="S346" s="598">
        <v>2.8283933358857146E-2</v>
      </c>
      <c r="T346" s="598">
        <v>2.8219685437466367E-2</v>
      </c>
      <c r="U346" s="598">
        <v>2.815543751607559E-2</v>
      </c>
      <c r="V346" s="598">
        <v>2.8091189594684811E-2</v>
      </c>
      <c r="W346" s="598">
        <v>2.8026941673294031E-2</v>
      </c>
      <c r="X346" s="598">
        <v>2.7962693751903252E-2</v>
      </c>
      <c r="Y346" s="598">
        <v>2.7898445830512476E-2</v>
      </c>
      <c r="Z346" s="598">
        <v>2.78341979091217E-2</v>
      </c>
      <c r="AA346" s="598">
        <v>2.7769949987730917E-2</v>
      </c>
      <c r="AB346" s="598">
        <v>2.7673578105644751E-2</v>
      </c>
      <c r="AC346" s="598">
        <v>2.7577206223558585E-2</v>
      </c>
      <c r="AD346" s="598">
        <v>2.7480834341472415E-2</v>
      </c>
      <c r="AE346" s="598">
        <v>2.7384462459386246E-2</v>
      </c>
      <c r="AF346" s="598">
        <v>2.7288090577300077E-2</v>
      </c>
      <c r="AG346" s="598">
        <v>2.7191718695213911E-2</v>
      </c>
      <c r="AH346" s="598">
        <v>2.7095346813127745E-2</v>
      </c>
      <c r="AI346" s="598">
        <v>2.6998974931041576E-2</v>
      </c>
      <c r="AJ346" s="598">
        <v>2.690260304895541E-2</v>
      </c>
      <c r="AK346" s="598">
        <v>2.680623116686924E-2</v>
      </c>
      <c r="AL346" s="598"/>
      <c r="AM346" s="598"/>
      <c r="AN346" s="598"/>
      <c r="AO346" s="598"/>
      <c r="AP346" s="598"/>
      <c r="AQ346" s="598"/>
      <c r="AR346" s="598"/>
      <c r="AS346" s="598"/>
      <c r="AT346" s="598"/>
      <c r="AU346" s="598"/>
      <c r="AV346" s="598"/>
      <c r="AW346" s="598"/>
      <c r="AX346" s="598"/>
      <c r="AY346" s="598"/>
      <c r="AZ346" s="598"/>
      <c r="BA346" s="598"/>
      <c r="BB346" s="598"/>
      <c r="BC346" s="598"/>
      <c r="BD346" s="598"/>
      <c r="BE346" s="598"/>
      <c r="BF346" s="598"/>
      <c r="BG346" s="598"/>
      <c r="BH346" s="598"/>
      <c r="BI346" s="598"/>
      <c r="BJ346" s="598"/>
      <c r="BK346" s="598"/>
      <c r="BL346" s="598"/>
      <c r="BM346" s="598"/>
      <c r="BN346" s="598"/>
      <c r="BO346" s="598"/>
      <c r="BP346" s="598"/>
      <c r="BQ346" s="598"/>
      <c r="BR346" s="598"/>
      <c r="BS346" s="598"/>
      <c r="BT346" s="598"/>
      <c r="BU346" s="598"/>
      <c r="BV346" s="598"/>
      <c r="BW346" s="598"/>
      <c r="BX346" s="598"/>
      <c r="BY346" s="598"/>
      <c r="BZ346" s="598"/>
      <c r="CA346" s="598"/>
      <c r="CB346" s="598"/>
      <c r="CC346" s="598"/>
      <c r="CD346" s="598"/>
      <c r="CE346" s="598"/>
      <c r="CF346" s="598"/>
      <c r="CG346" s="598"/>
      <c r="CH346" s="598"/>
      <c r="CI346" s="599"/>
      <c r="CK346" s="1296"/>
    </row>
    <row r="347" spans="2:89" ht="29.25" thickBot="1" x14ac:dyDescent="0.25">
      <c r="B347" s="975" t="s">
        <v>754</v>
      </c>
      <c r="C347" s="976" t="s">
        <v>565</v>
      </c>
      <c r="D347" s="977" t="s">
        <v>755</v>
      </c>
      <c r="E347" s="978" t="s">
        <v>344</v>
      </c>
      <c r="F347" s="979">
        <v>2</v>
      </c>
      <c r="G347" s="729">
        <f>SUM(G334:G337)+G344+G345+G346</f>
        <v>0</v>
      </c>
      <c r="H347" s="729">
        <f t="shared" ref="H347:L347" si="109">SUM(H334:H337)+H344+H345+H346</f>
        <v>0</v>
      </c>
      <c r="I347" s="729">
        <f t="shared" si="109"/>
        <v>19.716999999999999</v>
      </c>
      <c r="J347" s="729">
        <f t="shared" si="109"/>
        <v>19.964496277617133</v>
      </c>
      <c r="K347" s="729">
        <f t="shared" si="109"/>
        <v>20.179235035530695</v>
      </c>
      <c r="L347" s="729">
        <f t="shared" si="109"/>
        <v>20.371897322044287</v>
      </c>
      <c r="M347" s="729">
        <f t="shared" ref="M347:AK347" si="110">SUM(M334:M337)+M344+M345+M346</f>
        <v>20.536007058329812</v>
      </c>
      <c r="N347" s="729">
        <f t="shared" si="110"/>
        <v>20.826500263832276</v>
      </c>
      <c r="O347" s="729">
        <f t="shared" si="110"/>
        <v>21.094024878362514</v>
      </c>
      <c r="P347" s="729">
        <f t="shared" si="110"/>
        <v>21.271498389108341</v>
      </c>
      <c r="Q347" s="729">
        <f t="shared" si="110"/>
        <v>21.421350107252916</v>
      </c>
      <c r="R347" s="729">
        <f t="shared" si="110"/>
        <v>21.568773065996862</v>
      </c>
      <c r="S347" s="729">
        <f t="shared" si="110"/>
        <v>21.711170866198067</v>
      </c>
      <c r="T347" s="729">
        <f t="shared" si="110"/>
        <v>21.852199742608061</v>
      </c>
      <c r="U347" s="729">
        <f t="shared" si="110"/>
        <v>21.992379807981365</v>
      </c>
      <c r="V347" s="729">
        <f t="shared" si="110"/>
        <v>22.132369893134449</v>
      </c>
      <c r="W347" s="729">
        <f t="shared" si="110"/>
        <v>22.271432697054102</v>
      </c>
      <c r="X347" s="729">
        <f t="shared" si="110"/>
        <v>22.410426802990688</v>
      </c>
      <c r="Y347" s="729">
        <f t="shared" si="110"/>
        <v>22.547817344245551</v>
      </c>
      <c r="Z347" s="729">
        <f t="shared" si="110"/>
        <v>22.681363355574788</v>
      </c>
      <c r="AA347" s="729">
        <f t="shared" si="110"/>
        <v>22.81344498327265</v>
      </c>
      <c r="AB347" s="729">
        <f t="shared" si="110"/>
        <v>22.9437047717878</v>
      </c>
      <c r="AC347" s="729">
        <f t="shared" si="110"/>
        <v>23.071006829160183</v>
      </c>
      <c r="AD347" s="729">
        <f t="shared" si="110"/>
        <v>23.195674161897951</v>
      </c>
      <c r="AE347" s="729">
        <f t="shared" si="110"/>
        <v>23.320163457023103</v>
      </c>
      <c r="AF347" s="729">
        <f t="shared" si="110"/>
        <v>23.443337328540892</v>
      </c>
      <c r="AG347" s="729">
        <f t="shared" si="110"/>
        <v>23.565071108570358</v>
      </c>
      <c r="AH347" s="729">
        <f t="shared" si="110"/>
        <v>23.684530148477624</v>
      </c>
      <c r="AI347" s="729">
        <f t="shared" si="110"/>
        <v>23.800741651163971</v>
      </c>
      <c r="AJ347" s="729">
        <f t="shared" si="110"/>
        <v>23.913908619273133</v>
      </c>
      <c r="AK347" s="729">
        <f t="shared" si="110"/>
        <v>24.024770531589947</v>
      </c>
      <c r="AL347" s="729"/>
      <c r="AM347" s="729"/>
      <c r="AN347" s="729"/>
      <c r="AO347" s="729"/>
      <c r="AP347" s="729"/>
      <c r="AQ347" s="729"/>
      <c r="AR347" s="729"/>
      <c r="AS347" s="729"/>
      <c r="AT347" s="729"/>
      <c r="AU347" s="729"/>
      <c r="AV347" s="729"/>
      <c r="AW347" s="729"/>
      <c r="AX347" s="729"/>
      <c r="AY347" s="729"/>
      <c r="AZ347" s="729"/>
      <c r="BA347" s="729"/>
      <c r="BB347" s="729"/>
      <c r="BC347" s="729"/>
      <c r="BD347" s="729"/>
      <c r="BE347" s="729"/>
      <c r="BF347" s="729"/>
      <c r="BG347" s="729"/>
      <c r="BH347" s="729"/>
      <c r="BI347" s="729"/>
      <c r="BJ347" s="729"/>
      <c r="BK347" s="729"/>
      <c r="BL347" s="729"/>
      <c r="BM347" s="729"/>
      <c r="BN347" s="729"/>
      <c r="BO347" s="729"/>
      <c r="BP347" s="729"/>
      <c r="BQ347" s="729"/>
      <c r="BR347" s="729"/>
      <c r="BS347" s="729"/>
      <c r="BT347" s="729"/>
      <c r="BU347" s="729"/>
      <c r="BV347" s="729"/>
      <c r="BW347" s="729"/>
      <c r="BX347" s="729"/>
      <c r="BY347" s="729"/>
      <c r="BZ347" s="729"/>
      <c r="CA347" s="729"/>
      <c r="CB347" s="729"/>
      <c r="CC347" s="729"/>
      <c r="CD347" s="729"/>
      <c r="CE347" s="729"/>
      <c r="CF347" s="729"/>
      <c r="CG347" s="729"/>
      <c r="CH347" s="729"/>
      <c r="CI347" s="729"/>
      <c r="CK347" s="1296"/>
    </row>
    <row r="348" spans="2:89" x14ac:dyDescent="0.2">
      <c r="B348" s="933" t="s">
        <v>756</v>
      </c>
      <c r="C348" s="934" t="s">
        <v>568</v>
      </c>
      <c r="D348" s="925" t="s">
        <v>86</v>
      </c>
      <c r="E348" s="980" t="s">
        <v>344</v>
      </c>
      <c r="F348" s="981">
        <v>2</v>
      </c>
      <c r="G348" s="593"/>
      <c r="H348" s="593"/>
      <c r="I348" s="593">
        <v>0.75004709999999997</v>
      </c>
      <c r="J348" s="593">
        <v>0.76485304518235242</v>
      </c>
      <c r="K348" s="593">
        <v>0.77913346278161477</v>
      </c>
      <c r="L348" s="593">
        <v>0.7940257761684264</v>
      </c>
      <c r="M348" s="594">
        <v>0.80531354873848082</v>
      </c>
      <c r="N348" s="594">
        <v>0.81993279335439173</v>
      </c>
      <c r="O348" s="594">
        <v>0.83736629273190133</v>
      </c>
      <c r="P348" s="594">
        <v>0.85358580067965872</v>
      </c>
      <c r="Q348" s="594">
        <v>0.86979782546943285</v>
      </c>
      <c r="R348" s="594">
        <v>0.88422575835994177</v>
      </c>
      <c r="S348" s="594">
        <v>0.906588282207624</v>
      </c>
      <c r="T348" s="594">
        <v>0.92847044918435573</v>
      </c>
      <c r="U348" s="594">
        <v>0.94528501550694866</v>
      </c>
      <c r="V348" s="594">
        <v>0.95962999171763996</v>
      </c>
      <c r="W348" s="594">
        <v>0.97167350171046751</v>
      </c>
      <c r="X348" s="594">
        <v>0.98360087011589992</v>
      </c>
      <c r="Y348" s="594">
        <v>0.99493297024685745</v>
      </c>
      <c r="Z348" s="594">
        <v>1.0067830944613747</v>
      </c>
      <c r="AA348" s="594">
        <v>1.0178145842173048</v>
      </c>
      <c r="AB348" s="594">
        <v>1.0297527493130523</v>
      </c>
      <c r="AC348" s="594">
        <v>1.0425971916955596</v>
      </c>
      <c r="AD348" s="594">
        <v>1.0571088667671023</v>
      </c>
      <c r="AE348" s="594">
        <v>1.0728758466281196</v>
      </c>
      <c r="AF348" s="594">
        <v>1.0897311503751796</v>
      </c>
      <c r="AG348" s="594">
        <v>1.1080745316056322</v>
      </c>
      <c r="AH348" s="594">
        <v>1.1267743770670622</v>
      </c>
      <c r="AI348" s="594">
        <v>1.1450898468211947</v>
      </c>
      <c r="AJ348" s="594">
        <v>1.1635207993134922</v>
      </c>
      <c r="AK348" s="594">
        <v>1.1818889861553523</v>
      </c>
      <c r="AL348" s="594"/>
      <c r="AM348" s="594"/>
      <c r="AN348" s="594"/>
      <c r="AO348" s="594"/>
      <c r="AP348" s="594"/>
      <c r="AQ348" s="594"/>
      <c r="AR348" s="594"/>
      <c r="AS348" s="594"/>
      <c r="AT348" s="594"/>
      <c r="AU348" s="594"/>
      <c r="AV348" s="594"/>
      <c r="AW348" s="594"/>
      <c r="AX348" s="594"/>
      <c r="AY348" s="594"/>
      <c r="AZ348" s="594"/>
      <c r="BA348" s="594"/>
      <c r="BB348" s="594"/>
      <c r="BC348" s="594"/>
      <c r="BD348" s="594"/>
      <c r="BE348" s="594"/>
      <c r="BF348" s="594"/>
      <c r="BG348" s="594"/>
      <c r="BH348" s="594"/>
      <c r="BI348" s="594"/>
      <c r="BJ348" s="594"/>
      <c r="BK348" s="594"/>
      <c r="BL348" s="594"/>
      <c r="BM348" s="594"/>
      <c r="BN348" s="594"/>
      <c r="BO348" s="594"/>
      <c r="BP348" s="594"/>
      <c r="BQ348" s="594"/>
      <c r="BR348" s="594"/>
      <c r="BS348" s="594"/>
      <c r="BT348" s="594"/>
      <c r="BU348" s="594"/>
      <c r="BV348" s="594"/>
      <c r="BW348" s="594"/>
      <c r="BX348" s="594"/>
      <c r="BY348" s="594"/>
      <c r="BZ348" s="594"/>
      <c r="CA348" s="594"/>
      <c r="CB348" s="594"/>
      <c r="CC348" s="594"/>
      <c r="CD348" s="594"/>
      <c r="CE348" s="594"/>
      <c r="CF348" s="594"/>
      <c r="CG348" s="594"/>
      <c r="CH348" s="594"/>
      <c r="CI348" s="595"/>
      <c r="CK348" s="1296"/>
    </row>
    <row r="349" spans="2:89" x14ac:dyDescent="0.2">
      <c r="B349" s="940" t="s">
        <v>757</v>
      </c>
      <c r="C349" s="901" t="s">
        <v>570</v>
      </c>
      <c r="D349" s="907" t="s">
        <v>86</v>
      </c>
      <c r="E349" s="982" t="s">
        <v>344</v>
      </c>
      <c r="F349" s="983">
        <v>2</v>
      </c>
      <c r="G349" s="597"/>
      <c r="H349" s="597"/>
      <c r="I349" s="597">
        <v>0</v>
      </c>
      <c r="J349" s="597">
        <v>0</v>
      </c>
      <c r="K349" s="597">
        <v>0</v>
      </c>
      <c r="L349" s="597">
        <v>0</v>
      </c>
      <c r="M349" s="598">
        <v>0</v>
      </c>
      <c r="N349" s="598">
        <v>0</v>
      </c>
      <c r="O349" s="598">
        <v>0</v>
      </c>
      <c r="P349" s="598">
        <v>0</v>
      </c>
      <c r="Q349" s="598">
        <v>0</v>
      </c>
      <c r="R349" s="598">
        <v>0</v>
      </c>
      <c r="S349" s="598">
        <v>0</v>
      </c>
      <c r="T349" s="598">
        <v>0</v>
      </c>
      <c r="U349" s="598">
        <v>0</v>
      </c>
      <c r="V349" s="598">
        <v>0</v>
      </c>
      <c r="W349" s="598">
        <v>0</v>
      </c>
      <c r="X349" s="598">
        <v>0</v>
      </c>
      <c r="Y349" s="598">
        <v>0</v>
      </c>
      <c r="Z349" s="598">
        <v>0</v>
      </c>
      <c r="AA349" s="598">
        <v>0</v>
      </c>
      <c r="AB349" s="598">
        <v>0</v>
      </c>
      <c r="AC349" s="598">
        <v>0</v>
      </c>
      <c r="AD349" s="598">
        <v>0</v>
      </c>
      <c r="AE349" s="598">
        <v>0</v>
      </c>
      <c r="AF349" s="598">
        <v>0</v>
      </c>
      <c r="AG349" s="598">
        <v>0</v>
      </c>
      <c r="AH349" s="598">
        <v>0</v>
      </c>
      <c r="AI349" s="598">
        <v>0</v>
      </c>
      <c r="AJ349" s="598">
        <v>0</v>
      </c>
      <c r="AK349" s="598">
        <v>0</v>
      </c>
      <c r="AL349" s="598"/>
      <c r="AM349" s="598"/>
      <c r="AN349" s="598"/>
      <c r="AO349" s="598"/>
      <c r="AP349" s="598"/>
      <c r="AQ349" s="598"/>
      <c r="AR349" s="598"/>
      <c r="AS349" s="598"/>
      <c r="AT349" s="598"/>
      <c r="AU349" s="598"/>
      <c r="AV349" s="598"/>
      <c r="AW349" s="598"/>
      <c r="AX349" s="598"/>
      <c r="AY349" s="598"/>
      <c r="AZ349" s="598"/>
      <c r="BA349" s="598"/>
      <c r="BB349" s="598"/>
      <c r="BC349" s="598"/>
      <c r="BD349" s="598"/>
      <c r="BE349" s="598"/>
      <c r="BF349" s="598"/>
      <c r="BG349" s="598"/>
      <c r="BH349" s="598"/>
      <c r="BI349" s="598"/>
      <c r="BJ349" s="598"/>
      <c r="BK349" s="598"/>
      <c r="BL349" s="598"/>
      <c r="BM349" s="598"/>
      <c r="BN349" s="598"/>
      <c r="BO349" s="598"/>
      <c r="BP349" s="598"/>
      <c r="BQ349" s="598"/>
      <c r="BR349" s="598"/>
      <c r="BS349" s="598"/>
      <c r="BT349" s="598"/>
      <c r="BU349" s="598"/>
      <c r="BV349" s="598"/>
      <c r="BW349" s="598"/>
      <c r="BX349" s="598"/>
      <c r="BY349" s="598"/>
      <c r="BZ349" s="598"/>
      <c r="CA349" s="598"/>
      <c r="CB349" s="598"/>
      <c r="CC349" s="598"/>
      <c r="CD349" s="598"/>
      <c r="CE349" s="598"/>
      <c r="CF349" s="598"/>
      <c r="CG349" s="598"/>
      <c r="CH349" s="598"/>
      <c r="CI349" s="599"/>
      <c r="CK349" s="1296"/>
    </row>
    <row r="350" spans="2:89" x14ac:dyDescent="0.2">
      <c r="B350" s="937" t="s">
        <v>758</v>
      </c>
      <c r="C350" s="984" t="s">
        <v>572</v>
      </c>
      <c r="D350" s="907" t="s">
        <v>86</v>
      </c>
      <c r="E350" s="982" t="s">
        <v>344</v>
      </c>
      <c r="F350" s="983">
        <v>2</v>
      </c>
      <c r="G350" s="597"/>
      <c r="H350" s="597"/>
      <c r="I350" s="597">
        <v>25.073009140228393</v>
      </c>
      <c r="J350" s="597">
        <v>25.485286373423534</v>
      </c>
      <c r="K350" s="597">
        <v>25.926209882222736</v>
      </c>
      <c r="L350" s="597">
        <v>26.23707778703092</v>
      </c>
      <c r="M350" s="598">
        <v>26.438516149524695</v>
      </c>
      <c r="N350" s="598">
        <v>26.855872162385552</v>
      </c>
      <c r="O350" s="598">
        <v>27.225804349722363</v>
      </c>
      <c r="P350" s="598">
        <v>27.403159334211825</v>
      </c>
      <c r="Q350" s="598">
        <v>29.992420469323164</v>
      </c>
      <c r="R350" s="598">
        <v>34.226823795974404</v>
      </c>
      <c r="S350" s="598">
        <v>35.985547099313841</v>
      </c>
      <c r="T350" s="598">
        <v>36.12333954912269</v>
      </c>
      <c r="U350" s="598">
        <v>36.25221345267046</v>
      </c>
      <c r="V350" s="598">
        <v>36.380387288738675</v>
      </c>
      <c r="W350" s="598">
        <v>36.517994667050061</v>
      </c>
      <c r="X350" s="598">
        <v>36.650780043695143</v>
      </c>
      <c r="Y350" s="598">
        <v>36.794790973710526</v>
      </c>
      <c r="Z350" s="598">
        <v>36.945223842953922</v>
      </c>
      <c r="AA350" s="598">
        <v>37.080485256340225</v>
      </c>
      <c r="AB350" s="598">
        <v>37.207006330157789</v>
      </c>
      <c r="AC350" s="598">
        <v>37.344642514727965</v>
      </c>
      <c r="AD350" s="598">
        <v>37.486245474635382</v>
      </c>
      <c r="AE350" s="598">
        <v>37.635456070010981</v>
      </c>
      <c r="AF350" s="598">
        <v>37.789160456162982</v>
      </c>
      <c r="AG350" s="598">
        <v>37.941774489898066</v>
      </c>
      <c r="AH350" s="598">
        <v>38.094767721622006</v>
      </c>
      <c r="AI350" s="598">
        <v>38.256260006941687</v>
      </c>
      <c r="AJ350" s="598">
        <v>38.426913136008558</v>
      </c>
      <c r="AK350" s="598">
        <v>38.602654751878219</v>
      </c>
      <c r="AL350" s="598"/>
      <c r="AM350" s="598"/>
      <c r="AN350" s="598"/>
      <c r="AO350" s="598"/>
      <c r="AP350" s="598"/>
      <c r="AQ350" s="598"/>
      <c r="AR350" s="598"/>
      <c r="AS350" s="598"/>
      <c r="AT350" s="598"/>
      <c r="AU350" s="598"/>
      <c r="AV350" s="598"/>
      <c r="AW350" s="598"/>
      <c r="AX350" s="598"/>
      <c r="AY350" s="598"/>
      <c r="AZ350" s="598"/>
      <c r="BA350" s="598"/>
      <c r="BB350" s="598"/>
      <c r="BC350" s="598"/>
      <c r="BD350" s="598"/>
      <c r="BE350" s="598"/>
      <c r="BF350" s="598"/>
      <c r="BG350" s="598"/>
      <c r="BH350" s="598"/>
      <c r="BI350" s="598"/>
      <c r="BJ350" s="598"/>
      <c r="BK350" s="598"/>
      <c r="BL350" s="598"/>
      <c r="BM350" s="598"/>
      <c r="BN350" s="598"/>
      <c r="BO350" s="598"/>
      <c r="BP350" s="598"/>
      <c r="BQ350" s="598"/>
      <c r="BR350" s="598"/>
      <c r="BS350" s="598"/>
      <c r="BT350" s="598"/>
      <c r="BU350" s="598"/>
      <c r="BV350" s="598"/>
      <c r="BW350" s="598"/>
      <c r="BX350" s="598"/>
      <c r="BY350" s="598"/>
      <c r="BZ350" s="598"/>
      <c r="CA350" s="598"/>
      <c r="CB350" s="598"/>
      <c r="CC350" s="598"/>
      <c r="CD350" s="598"/>
      <c r="CE350" s="598"/>
      <c r="CF350" s="598"/>
      <c r="CG350" s="598"/>
      <c r="CH350" s="598"/>
      <c r="CI350" s="599"/>
      <c r="CK350" s="1296"/>
    </row>
    <row r="351" spans="2:89" x14ac:dyDescent="0.2">
      <c r="B351" s="937" t="s">
        <v>759</v>
      </c>
      <c r="C351" s="984" t="s">
        <v>574</v>
      </c>
      <c r="D351" s="907" t="s">
        <v>86</v>
      </c>
      <c r="E351" s="982" t="s">
        <v>344</v>
      </c>
      <c r="F351" s="983">
        <v>2</v>
      </c>
      <c r="G351" s="597"/>
      <c r="H351" s="597"/>
      <c r="I351" s="597">
        <v>10.705554645177358</v>
      </c>
      <c r="J351" s="597">
        <v>10.548472359038122</v>
      </c>
      <c r="K351" s="597">
        <v>10.373950670200323</v>
      </c>
      <c r="L351" s="597">
        <v>10.126142073820025</v>
      </c>
      <c r="M351" s="598">
        <v>9.9588955519920805</v>
      </c>
      <c r="N351" s="598">
        <v>9.9448888806245179</v>
      </c>
      <c r="O351" s="598">
        <v>9.9300869732598613</v>
      </c>
      <c r="P351" s="598">
        <v>9.914515666768752</v>
      </c>
      <c r="Q351" s="598">
        <v>7.4363877039410582</v>
      </c>
      <c r="R351" s="598">
        <v>3.3161632602921247</v>
      </c>
      <c r="S351" s="598">
        <v>1.686293070538107</v>
      </c>
      <c r="T351" s="598">
        <v>1.6860489716228568</v>
      </c>
      <c r="U351" s="598">
        <v>1.6855893120739924</v>
      </c>
      <c r="V351" s="598">
        <v>1.6849134969398309</v>
      </c>
      <c r="W351" s="598">
        <v>1.6840292370458956</v>
      </c>
      <c r="X351" s="598">
        <v>1.6829558060207213</v>
      </c>
      <c r="Y351" s="598">
        <v>1.6816947581265413</v>
      </c>
      <c r="Z351" s="598">
        <v>1.6802676744617977</v>
      </c>
      <c r="AA351" s="598">
        <v>1.6786945295658118</v>
      </c>
      <c r="AB351" s="598">
        <v>1.6749782490599185</v>
      </c>
      <c r="AC351" s="598">
        <v>1.6691180070396854</v>
      </c>
      <c r="AD351" s="598">
        <v>1.6631769422777671</v>
      </c>
      <c r="AE351" s="598">
        <v>1.6571675077626735</v>
      </c>
      <c r="AF351" s="598">
        <v>1.6511006683130607</v>
      </c>
      <c r="AG351" s="598">
        <v>1.6449858844513481</v>
      </c>
      <c r="AH351" s="598">
        <v>1.6388270034729224</v>
      </c>
      <c r="AI351" s="598">
        <v>1.6326305749625245</v>
      </c>
      <c r="AJ351" s="598">
        <v>1.6264122143798136</v>
      </c>
      <c r="AK351" s="598">
        <v>1.6201870221170507</v>
      </c>
      <c r="AL351" s="598"/>
      <c r="AM351" s="598"/>
      <c r="AN351" s="598"/>
      <c r="AO351" s="598"/>
      <c r="AP351" s="598"/>
      <c r="AQ351" s="598"/>
      <c r="AR351" s="598"/>
      <c r="AS351" s="598"/>
      <c r="AT351" s="598"/>
      <c r="AU351" s="598"/>
      <c r="AV351" s="598"/>
      <c r="AW351" s="598"/>
      <c r="AX351" s="598"/>
      <c r="AY351" s="598"/>
      <c r="AZ351" s="598"/>
      <c r="BA351" s="598"/>
      <c r="BB351" s="598"/>
      <c r="BC351" s="598"/>
      <c r="BD351" s="598"/>
      <c r="BE351" s="598"/>
      <c r="BF351" s="598"/>
      <c r="BG351" s="598"/>
      <c r="BH351" s="598"/>
      <c r="BI351" s="598"/>
      <c r="BJ351" s="598"/>
      <c r="BK351" s="598"/>
      <c r="BL351" s="598"/>
      <c r="BM351" s="598"/>
      <c r="BN351" s="598"/>
      <c r="BO351" s="598"/>
      <c r="BP351" s="598"/>
      <c r="BQ351" s="598"/>
      <c r="BR351" s="598"/>
      <c r="BS351" s="598"/>
      <c r="BT351" s="598"/>
      <c r="BU351" s="598"/>
      <c r="BV351" s="598"/>
      <c r="BW351" s="598"/>
      <c r="BX351" s="598"/>
      <c r="BY351" s="598"/>
      <c r="BZ351" s="598"/>
      <c r="CA351" s="598"/>
      <c r="CB351" s="598"/>
      <c r="CC351" s="598"/>
      <c r="CD351" s="598"/>
      <c r="CE351" s="598"/>
      <c r="CF351" s="598"/>
      <c r="CG351" s="598"/>
      <c r="CH351" s="598"/>
      <c r="CI351" s="599"/>
      <c r="CK351" s="1296"/>
    </row>
    <row r="352" spans="2:89" x14ac:dyDescent="0.2">
      <c r="B352" s="985" t="s">
        <v>760</v>
      </c>
      <c r="C352" s="984" t="s">
        <v>576</v>
      </c>
      <c r="D352" s="986" t="s">
        <v>761</v>
      </c>
      <c r="E352" s="982" t="s">
        <v>344</v>
      </c>
      <c r="F352" s="983">
        <v>2</v>
      </c>
      <c r="G352" s="569">
        <f>SUM(G348:G351)</f>
        <v>0</v>
      </c>
      <c r="H352" s="569">
        <f t="shared" ref="H352:AK352" si="111">SUM(H348:H351)</f>
        <v>0</v>
      </c>
      <c r="I352" s="569">
        <f t="shared" si="111"/>
        <v>36.528610885405755</v>
      </c>
      <c r="J352" s="569">
        <f t="shared" si="111"/>
        <v>36.798611777644012</v>
      </c>
      <c r="K352" s="569">
        <f t="shared" si="111"/>
        <v>37.079294015204674</v>
      </c>
      <c r="L352" s="569">
        <f t="shared" si="111"/>
        <v>37.157245637019372</v>
      </c>
      <c r="M352" s="718">
        <f t="shared" si="111"/>
        <v>37.202725250255256</v>
      </c>
      <c r="N352" s="718">
        <f t="shared" si="111"/>
        <v>37.620693836364467</v>
      </c>
      <c r="O352" s="718">
        <f t="shared" si="111"/>
        <v>37.993257615714128</v>
      </c>
      <c r="P352" s="718">
        <f t="shared" si="111"/>
        <v>38.171260801660239</v>
      </c>
      <c r="Q352" s="718">
        <f t="shared" si="111"/>
        <v>38.298605998733656</v>
      </c>
      <c r="R352" s="718">
        <f t="shared" si="111"/>
        <v>38.427212814626465</v>
      </c>
      <c r="S352" s="718">
        <f t="shared" si="111"/>
        <v>38.578428452059569</v>
      </c>
      <c r="T352" s="718">
        <f t="shared" si="111"/>
        <v>38.737858969929903</v>
      </c>
      <c r="U352" s="718">
        <f t="shared" si="111"/>
        <v>38.883087780251401</v>
      </c>
      <c r="V352" s="718">
        <f t="shared" si="111"/>
        <v>39.024930777396143</v>
      </c>
      <c r="W352" s="718">
        <f t="shared" si="111"/>
        <v>39.173697405806429</v>
      </c>
      <c r="X352" s="718">
        <f t="shared" si="111"/>
        <v>39.317336719831765</v>
      </c>
      <c r="Y352" s="718">
        <f t="shared" si="111"/>
        <v>39.471418702083923</v>
      </c>
      <c r="Z352" s="718">
        <f t="shared" si="111"/>
        <v>39.632274611877094</v>
      </c>
      <c r="AA352" s="718">
        <f t="shared" si="111"/>
        <v>39.77699437012334</v>
      </c>
      <c r="AB352" s="718">
        <f t="shared" si="111"/>
        <v>39.911737328530762</v>
      </c>
      <c r="AC352" s="718">
        <f t="shared" si="111"/>
        <v>40.056357713463214</v>
      </c>
      <c r="AD352" s="718">
        <f t="shared" si="111"/>
        <v>40.206531283680249</v>
      </c>
      <c r="AE352" s="718">
        <f t="shared" si="111"/>
        <v>40.365499424401776</v>
      </c>
      <c r="AF352" s="718">
        <f t="shared" si="111"/>
        <v>40.529992274851224</v>
      </c>
      <c r="AG352" s="718">
        <f t="shared" si="111"/>
        <v>40.694834905955048</v>
      </c>
      <c r="AH352" s="718">
        <f t="shared" si="111"/>
        <v>40.860369102161997</v>
      </c>
      <c r="AI352" s="718">
        <f t="shared" si="111"/>
        <v>41.033980428725407</v>
      </c>
      <c r="AJ352" s="718">
        <f t="shared" si="111"/>
        <v>41.216846149701865</v>
      </c>
      <c r="AK352" s="718">
        <f t="shared" si="111"/>
        <v>41.40473076015062</v>
      </c>
      <c r="AL352" s="718"/>
      <c r="AM352" s="718"/>
      <c r="AN352" s="718"/>
      <c r="AO352" s="718"/>
      <c r="AP352" s="718"/>
      <c r="AQ352" s="718"/>
      <c r="AR352" s="718"/>
      <c r="AS352" s="718"/>
      <c r="AT352" s="718"/>
      <c r="AU352" s="718"/>
      <c r="AV352" s="718"/>
      <c r="AW352" s="718"/>
      <c r="AX352" s="718"/>
      <c r="AY352" s="718"/>
      <c r="AZ352" s="718"/>
      <c r="BA352" s="718"/>
      <c r="BB352" s="718"/>
      <c r="BC352" s="718"/>
      <c r="BD352" s="718"/>
      <c r="BE352" s="718"/>
      <c r="BF352" s="718"/>
      <c r="BG352" s="718"/>
      <c r="BH352" s="718"/>
      <c r="BI352" s="718"/>
      <c r="BJ352" s="718"/>
      <c r="BK352" s="718"/>
      <c r="BL352" s="718"/>
      <c r="BM352" s="718"/>
      <c r="BN352" s="718"/>
      <c r="BO352" s="718"/>
      <c r="BP352" s="718"/>
      <c r="BQ352" s="718"/>
      <c r="BR352" s="718"/>
      <c r="BS352" s="718"/>
      <c r="BT352" s="718"/>
      <c r="BU352" s="718"/>
      <c r="BV352" s="718"/>
      <c r="BW352" s="718"/>
      <c r="BX352" s="718"/>
      <c r="BY352" s="718"/>
      <c r="BZ352" s="718"/>
      <c r="CA352" s="718"/>
      <c r="CB352" s="718"/>
      <c r="CC352" s="718"/>
      <c r="CD352" s="718"/>
      <c r="CE352" s="718"/>
      <c r="CF352" s="718"/>
      <c r="CG352" s="718"/>
      <c r="CH352" s="718"/>
      <c r="CI352" s="719"/>
      <c r="CK352" s="1296"/>
    </row>
    <row r="353" spans="2:89" ht="28.5" x14ac:dyDescent="0.2">
      <c r="B353" s="985" t="s">
        <v>762</v>
      </c>
      <c r="C353" s="984" t="s">
        <v>579</v>
      </c>
      <c r="D353" s="986" t="s">
        <v>763</v>
      </c>
      <c r="E353" s="982" t="s">
        <v>581</v>
      </c>
      <c r="F353" s="983">
        <v>1</v>
      </c>
      <c r="G353" s="750" t="e">
        <f>(G351+G350)/(G337+G345)</f>
        <v>#DIV/0!</v>
      </c>
      <c r="H353" s="750" t="e">
        <f t="shared" ref="H353:AK353" si="112">(H351+H350)/(H337+H345)</f>
        <v>#DIV/0!</v>
      </c>
      <c r="I353" s="750">
        <f t="shared" si="112"/>
        <v>2.068125074300911</v>
      </c>
      <c r="J353" s="750">
        <f t="shared" si="112"/>
        <v>2.0553217660215464</v>
      </c>
      <c r="K353" s="750">
        <f t="shared" si="112"/>
        <v>2.0472127247824869</v>
      </c>
      <c r="L353" s="750">
        <f t="shared" si="112"/>
        <v>2.0303631587223658</v>
      </c>
      <c r="M353" s="750">
        <f t="shared" si="112"/>
        <v>2.0153299110579135</v>
      </c>
      <c r="N353" s="750">
        <f t="shared" si="112"/>
        <v>2.0073324466697211</v>
      </c>
      <c r="O353" s="750">
        <f t="shared" si="112"/>
        <v>1.999367220852065</v>
      </c>
      <c r="P353" s="750">
        <f t="shared" si="112"/>
        <v>1.9905613079319224</v>
      </c>
      <c r="Q353" s="750">
        <f t="shared" si="112"/>
        <v>1.9820138356542107</v>
      </c>
      <c r="R353" s="750">
        <f t="shared" si="112"/>
        <v>1.973981557685089</v>
      </c>
      <c r="S353" s="750">
        <f t="shared" si="112"/>
        <v>1.967345523942847</v>
      </c>
      <c r="T353" s="750">
        <f t="shared" si="112"/>
        <v>1.9613963612755405</v>
      </c>
      <c r="U353" s="750">
        <f t="shared" si="112"/>
        <v>1.9551378872622818</v>
      </c>
      <c r="V353" s="750">
        <f t="shared" si="112"/>
        <v>1.9489598126554155</v>
      </c>
      <c r="W353" s="750">
        <f t="shared" si="112"/>
        <v>1.9434195393835763</v>
      </c>
      <c r="X353" s="750">
        <f t="shared" si="112"/>
        <v>1.937703064428032</v>
      </c>
      <c r="Y353" s="750">
        <f t="shared" si="112"/>
        <v>1.9327640387769067</v>
      </c>
      <c r="Z353" s="750">
        <f t="shared" si="112"/>
        <v>1.9285569518836945</v>
      </c>
      <c r="AA353" s="750">
        <f t="shared" si="112"/>
        <v>1.9237753933359991</v>
      </c>
      <c r="AB353" s="750">
        <f t="shared" si="112"/>
        <v>1.9186800499141468</v>
      </c>
      <c r="AC353" s="750">
        <f t="shared" si="112"/>
        <v>1.9143525087799913</v>
      </c>
      <c r="AD353" s="750">
        <f t="shared" si="112"/>
        <v>1.9105007540177852</v>
      </c>
      <c r="AE353" s="750">
        <f t="shared" si="112"/>
        <v>1.9070727787430988</v>
      </c>
      <c r="AF353" s="750">
        <f t="shared" si="112"/>
        <v>1.904013039452676</v>
      </c>
      <c r="AG353" s="750">
        <f t="shared" si="112"/>
        <v>1.9010584130299129</v>
      </c>
      <c r="AH353" s="750">
        <f t="shared" si="112"/>
        <v>1.898350331570996</v>
      </c>
      <c r="AI353" s="750">
        <f t="shared" si="112"/>
        <v>1.8963553935794104</v>
      </c>
      <c r="AJ353" s="750">
        <f t="shared" si="112"/>
        <v>1.8950766214836123</v>
      </c>
      <c r="AK353" s="750">
        <f t="shared" si="112"/>
        <v>1.8942483291655052</v>
      </c>
      <c r="AL353" s="750"/>
      <c r="AM353" s="750"/>
      <c r="AN353" s="750"/>
      <c r="AO353" s="750"/>
      <c r="AP353" s="750"/>
      <c r="AQ353" s="750"/>
      <c r="AR353" s="750"/>
      <c r="AS353" s="750"/>
      <c r="AT353" s="750"/>
      <c r="AU353" s="750"/>
      <c r="AV353" s="750"/>
      <c r="AW353" s="750"/>
      <c r="AX353" s="750"/>
      <c r="AY353" s="750"/>
      <c r="AZ353" s="750"/>
      <c r="BA353" s="750"/>
      <c r="BB353" s="750"/>
      <c r="BC353" s="750"/>
      <c r="BD353" s="750"/>
      <c r="BE353" s="750"/>
      <c r="BF353" s="750"/>
      <c r="BG353" s="750"/>
      <c r="BH353" s="750"/>
      <c r="BI353" s="750"/>
      <c r="BJ353" s="750"/>
      <c r="BK353" s="750"/>
      <c r="BL353" s="750"/>
      <c r="BM353" s="750"/>
      <c r="BN353" s="750"/>
      <c r="BO353" s="750"/>
      <c r="BP353" s="750"/>
      <c r="BQ353" s="750"/>
      <c r="BR353" s="750"/>
      <c r="BS353" s="750"/>
      <c r="BT353" s="750"/>
      <c r="BU353" s="750"/>
      <c r="BV353" s="750"/>
      <c r="BW353" s="750"/>
      <c r="BX353" s="750"/>
      <c r="BY353" s="750"/>
      <c r="BZ353" s="750"/>
      <c r="CA353" s="750"/>
      <c r="CB353" s="750"/>
      <c r="CC353" s="750"/>
      <c r="CD353" s="750"/>
      <c r="CE353" s="750"/>
      <c r="CF353" s="750"/>
      <c r="CG353" s="750"/>
      <c r="CH353" s="750"/>
      <c r="CI353" s="750"/>
      <c r="CK353" s="1296"/>
    </row>
    <row r="354" spans="2:89" ht="28.5" x14ac:dyDescent="0.2">
      <c r="B354" s="985" t="s">
        <v>764</v>
      </c>
      <c r="C354" s="984" t="s">
        <v>583</v>
      </c>
      <c r="D354" s="986" t="s">
        <v>765</v>
      </c>
      <c r="E354" s="982" t="s">
        <v>375</v>
      </c>
      <c r="F354" s="983">
        <v>1</v>
      </c>
      <c r="G354" s="743" t="e">
        <f>G337/(G337+G345)</f>
        <v>#DIV/0!</v>
      </c>
      <c r="H354" s="743" t="e">
        <f t="shared" ref="H354:AK354" si="113">H337/(H337+H345)</f>
        <v>#DIV/0!</v>
      </c>
      <c r="I354" s="743">
        <f t="shared" si="113"/>
        <v>0.70410404624277467</v>
      </c>
      <c r="J354" s="743">
        <f t="shared" si="113"/>
        <v>0.71267282631263917</v>
      </c>
      <c r="K354" s="743">
        <f t="shared" si="113"/>
        <v>0.72095153362264208</v>
      </c>
      <c r="L354" s="743">
        <f t="shared" si="113"/>
        <v>0.73076497308714938</v>
      </c>
      <c r="M354" s="744">
        <f t="shared" si="113"/>
        <v>0.73759156266907855</v>
      </c>
      <c r="N354" s="744">
        <f t="shared" si="113"/>
        <v>0.74170873288276251</v>
      </c>
      <c r="O354" s="744">
        <f t="shared" si="113"/>
        <v>0.74540088809967353</v>
      </c>
      <c r="P354" s="744">
        <f t="shared" si="113"/>
        <v>0.74782764613129948</v>
      </c>
      <c r="Q354" s="744">
        <f t="shared" si="113"/>
        <v>0.81085224787788246</v>
      </c>
      <c r="R354" s="744">
        <f t="shared" si="113"/>
        <v>0.91399751532731421</v>
      </c>
      <c r="S354" s="744">
        <f t="shared" si="113"/>
        <v>0.95549649004749693</v>
      </c>
      <c r="T354" s="744">
        <f t="shared" si="113"/>
        <v>0.95589289711064085</v>
      </c>
      <c r="U354" s="744">
        <f t="shared" si="113"/>
        <v>0.95628221494554166</v>
      </c>
      <c r="V354" s="744">
        <f t="shared" si="113"/>
        <v>0.95666543893952294</v>
      </c>
      <c r="W354" s="744">
        <f t="shared" si="113"/>
        <v>0.95704175254801183</v>
      </c>
      <c r="X354" s="744">
        <f t="shared" si="113"/>
        <v>0.95741312830417413</v>
      </c>
      <c r="Y354" s="744">
        <f t="shared" si="113"/>
        <v>0.95777651257291074</v>
      </c>
      <c r="Z354" s="744">
        <f t="shared" si="113"/>
        <v>0.95812760394536023</v>
      </c>
      <c r="AA354" s="744">
        <f t="shared" si="113"/>
        <v>0.95847156760365859</v>
      </c>
      <c r="AB354" s="744">
        <f t="shared" si="113"/>
        <v>0.95885565957975105</v>
      </c>
      <c r="AC354" s="744">
        <f t="shared" si="113"/>
        <v>0.95922959576044431</v>
      </c>
      <c r="AD354" s="744">
        <f t="shared" si="113"/>
        <v>0.95959431989668986</v>
      </c>
      <c r="AE354" s="744">
        <f t="shared" si="113"/>
        <v>0.95995474047506346</v>
      </c>
      <c r="AF354" s="744">
        <f t="shared" si="113"/>
        <v>0.96030882668211759</v>
      </c>
      <c r="AG354" s="744">
        <f t="shared" si="113"/>
        <v>0.96065651644052141</v>
      </c>
      <c r="AH354" s="744">
        <f t="shared" si="113"/>
        <v>0.96099647383878617</v>
      </c>
      <c r="AI354" s="744">
        <f t="shared" si="113"/>
        <v>0.96132719244062892</v>
      </c>
      <c r="AJ354" s="744">
        <f t="shared" si="113"/>
        <v>0.9616493126614033</v>
      </c>
      <c r="AK354" s="744">
        <f t="shared" si="113"/>
        <v>0.96196437355234232</v>
      </c>
      <c r="AL354" s="744"/>
      <c r="AM354" s="744"/>
      <c r="AN354" s="744"/>
      <c r="AO354" s="744"/>
      <c r="AP354" s="744"/>
      <c r="AQ354" s="744"/>
      <c r="AR354" s="744"/>
      <c r="AS354" s="744"/>
      <c r="AT354" s="744"/>
      <c r="AU354" s="744"/>
      <c r="AV354" s="744"/>
      <c r="AW354" s="744"/>
      <c r="AX354" s="744"/>
      <c r="AY354" s="744"/>
      <c r="AZ354" s="744"/>
      <c r="BA354" s="744"/>
      <c r="BB354" s="744"/>
      <c r="BC354" s="744"/>
      <c r="BD354" s="744"/>
      <c r="BE354" s="744"/>
      <c r="BF354" s="744"/>
      <c r="BG354" s="744"/>
      <c r="BH354" s="744"/>
      <c r="BI354" s="744"/>
      <c r="BJ354" s="744"/>
      <c r="BK354" s="744"/>
      <c r="BL354" s="744"/>
      <c r="BM354" s="744"/>
      <c r="BN354" s="744"/>
      <c r="BO354" s="744"/>
      <c r="BP354" s="744"/>
      <c r="BQ354" s="744"/>
      <c r="BR354" s="744"/>
      <c r="BS354" s="744"/>
      <c r="BT354" s="744"/>
      <c r="BU354" s="744"/>
      <c r="BV354" s="744"/>
      <c r="BW354" s="744"/>
      <c r="BX354" s="744"/>
      <c r="BY354" s="744"/>
      <c r="BZ354" s="744"/>
      <c r="CA354" s="744"/>
      <c r="CB354" s="744"/>
      <c r="CC354" s="744"/>
      <c r="CD354" s="744"/>
      <c r="CE354" s="744"/>
      <c r="CF354" s="744"/>
      <c r="CG354" s="744"/>
      <c r="CH354" s="744"/>
      <c r="CI354" s="745"/>
      <c r="CK354" s="1296"/>
    </row>
    <row r="355" spans="2:89" ht="29.25" thickBot="1" x14ac:dyDescent="0.25">
      <c r="B355" s="987" t="s">
        <v>766</v>
      </c>
      <c r="C355" s="988" t="s">
        <v>586</v>
      </c>
      <c r="D355" s="989" t="s">
        <v>767</v>
      </c>
      <c r="E355" s="990" t="s">
        <v>375</v>
      </c>
      <c r="F355" s="991">
        <v>1</v>
      </c>
      <c r="G355" s="785" t="e">
        <f>(G337)/(G337+G346+G345+G344)</f>
        <v>#DIV/0!</v>
      </c>
      <c r="H355" s="785" t="e">
        <f t="shared" ref="H355:AK355" si="114">(H337)/(H337+H346+H345+H344)</f>
        <v>#DIV/0!</v>
      </c>
      <c r="I355" s="785">
        <f t="shared" si="114"/>
        <v>0.68156893464637414</v>
      </c>
      <c r="J355" s="785">
        <f t="shared" si="114"/>
        <v>0.68985160674378743</v>
      </c>
      <c r="K355" s="785">
        <f t="shared" si="114"/>
        <v>0.69786606704622556</v>
      </c>
      <c r="L355" s="785">
        <f t="shared" si="114"/>
        <v>0.70736629798540096</v>
      </c>
      <c r="M355" s="785">
        <f t="shared" si="114"/>
        <v>0.71397502444544469</v>
      </c>
      <c r="N355" s="785">
        <f t="shared" si="114"/>
        <v>0.71796080613256608</v>
      </c>
      <c r="O355" s="785">
        <f t="shared" si="114"/>
        <v>0.72153514017050446</v>
      </c>
      <c r="P355" s="785">
        <f t="shared" si="114"/>
        <v>0.723884459516274</v>
      </c>
      <c r="Q355" s="785">
        <f t="shared" si="114"/>
        <v>0.78489851469902561</v>
      </c>
      <c r="R355" s="785">
        <f t="shared" si="114"/>
        <v>0.88475579945115956</v>
      </c>
      <c r="S355" s="785">
        <f t="shared" si="114"/>
        <v>0.92493276180851003</v>
      </c>
      <c r="T355" s="785">
        <f t="shared" si="114"/>
        <v>0.92531654310384781</v>
      </c>
      <c r="U355" s="785">
        <f t="shared" si="114"/>
        <v>0.92569346101026118</v>
      </c>
      <c r="V355" s="785">
        <f t="shared" si="114"/>
        <v>0.92606447920938539</v>
      </c>
      <c r="W355" s="785">
        <f t="shared" si="114"/>
        <v>0.92642880716168996</v>
      </c>
      <c r="X355" s="785">
        <f t="shared" si="114"/>
        <v>0.92678835457288677</v>
      </c>
      <c r="Y355" s="785">
        <f t="shared" si="114"/>
        <v>0.92714016506432229</v>
      </c>
      <c r="Z355" s="785">
        <f t="shared" si="114"/>
        <v>0.92748007422371725</v>
      </c>
      <c r="AA355" s="785">
        <f t="shared" si="114"/>
        <v>0.92781308271990937</v>
      </c>
      <c r="AB355" s="785">
        <f t="shared" si="114"/>
        <v>0.92818494149636976</v>
      </c>
      <c r="AC355" s="785">
        <f t="shared" si="114"/>
        <v>0.92854696797664271</v>
      </c>
      <c r="AD355" s="785">
        <f t="shared" si="114"/>
        <v>0.92890007585052126</v>
      </c>
      <c r="AE355" s="785">
        <f t="shared" si="114"/>
        <v>0.92924901726986842</v>
      </c>
      <c r="AF355" s="785">
        <f t="shared" si="114"/>
        <v>0.9295918260996705</v>
      </c>
      <c r="AG355" s="785">
        <f t="shared" si="114"/>
        <v>0.92992844223777726</v>
      </c>
      <c r="AH355" s="785">
        <f t="shared" si="114"/>
        <v>0.93025757231822792</v>
      </c>
      <c r="AI355" s="785">
        <f t="shared" si="114"/>
        <v>0.9305777578808202</v>
      </c>
      <c r="AJ355" s="785">
        <f t="shared" si="114"/>
        <v>0.93088961894181965</v>
      </c>
      <c r="AK355" s="785">
        <f t="shared" si="114"/>
        <v>0.93119464553327269</v>
      </c>
      <c r="AL355" s="785"/>
      <c r="AM355" s="785"/>
      <c r="AN355" s="785"/>
      <c r="AO355" s="785"/>
      <c r="AP355" s="785"/>
      <c r="AQ355" s="785"/>
      <c r="AR355" s="785"/>
      <c r="AS355" s="785"/>
      <c r="AT355" s="785"/>
      <c r="AU355" s="785"/>
      <c r="AV355" s="785"/>
      <c r="AW355" s="785"/>
      <c r="AX355" s="785"/>
      <c r="AY355" s="785"/>
      <c r="AZ355" s="785"/>
      <c r="BA355" s="785"/>
      <c r="BB355" s="785"/>
      <c r="BC355" s="785"/>
      <c r="BD355" s="785"/>
      <c r="BE355" s="785"/>
      <c r="BF355" s="785"/>
      <c r="BG355" s="785"/>
      <c r="BH355" s="785"/>
      <c r="BI355" s="785"/>
      <c r="BJ355" s="785"/>
      <c r="BK355" s="785"/>
      <c r="BL355" s="785"/>
      <c r="BM355" s="785"/>
      <c r="BN355" s="785"/>
      <c r="BO355" s="785"/>
      <c r="BP355" s="785"/>
      <c r="BQ355" s="785"/>
      <c r="BR355" s="785"/>
      <c r="BS355" s="785"/>
      <c r="BT355" s="785"/>
      <c r="BU355" s="785"/>
      <c r="BV355" s="785"/>
      <c r="BW355" s="785"/>
      <c r="BX355" s="785"/>
      <c r="BY355" s="785"/>
      <c r="BZ355" s="785"/>
      <c r="CA355" s="785"/>
      <c r="CB355" s="785"/>
      <c r="CC355" s="785"/>
      <c r="CD355" s="785"/>
      <c r="CE355" s="785"/>
      <c r="CF355" s="785"/>
      <c r="CG355" s="785"/>
      <c r="CH355" s="785"/>
      <c r="CI355" s="785"/>
      <c r="CK355" s="1296"/>
    </row>
    <row r="356" spans="2:89" ht="29.25" thickBot="1" x14ac:dyDescent="0.25">
      <c r="B356" s="992" t="s">
        <v>768</v>
      </c>
      <c r="C356" s="993" t="s">
        <v>245</v>
      </c>
      <c r="D356" s="993" t="s">
        <v>769</v>
      </c>
      <c r="E356" s="993" t="s">
        <v>236</v>
      </c>
      <c r="F356" s="994">
        <v>2</v>
      </c>
      <c r="G356" s="629">
        <f>SUM(G316:G318)+G314+G325+G330+G331+G324</f>
        <v>0</v>
      </c>
      <c r="H356" s="629">
        <f t="shared" ref="H356:AK356" si="115">SUM(H316:H318)+H314+H325+H330+H331+H324</f>
        <v>0</v>
      </c>
      <c r="I356" s="629">
        <f t="shared" si="115"/>
        <v>11.421677301664015</v>
      </c>
      <c r="J356" s="629">
        <f t="shared" si="115"/>
        <v>11.716189167208517</v>
      </c>
      <c r="K356" s="629">
        <f t="shared" si="115"/>
        <v>11.603244905709786</v>
      </c>
      <c r="L356" s="629">
        <f t="shared" si="115"/>
        <v>11.621609835034629</v>
      </c>
      <c r="M356" s="629">
        <f>SUM(M316:M318)+M314+M325+M330+M331+M324</f>
        <v>11.626445685307957</v>
      </c>
      <c r="N356" s="629">
        <f t="shared" si="115"/>
        <v>11.616249269874542</v>
      </c>
      <c r="O356" s="629">
        <f t="shared" si="115"/>
        <v>11.573700982960673</v>
      </c>
      <c r="P356" s="629">
        <f t="shared" si="115"/>
        <v>11.469028453843913</v>
      </c>
      <c r="Q356" s="629">
        <f t="shared" si="115"/>
        <v>11.210526093069317</v>
      </c>
      <c r="R356" s="629">
        <f t="shared" si="115"/>
        <v>10.8947670745815</v>
      </c>
      <c r="S356" s="629">
        <f t="shared" si="115"/>
        <v>10.722039883178445</v>
      </c>
      <c r="T356" s="629">
        <f t="shared" si="115"/>
        <v>12.92052200070299</v>
      </c>
      <c r="U356" s="629">
        <f t="shared" si="115"/>
        <v>12.816096667947491</v>
      </c>
      <c r="V356" s="629">
        <f t="shared" si="115"/>
        <v>12.713404715845453</v>
      </c>
      <c r="W356" s="629">
        <f t="shared" si="115"/>
        <v>12.664730650188298</v>
      </c>
      <c r="X356" s="629">
        <f t="shared" si="115"/>
        <v>12.6171529913121</v>
      </c>
      <c r="Y356" s="629">
        <f t="shared" si="115"/>
        <v>12.57118487610393</v>
      </c>
      <c r="Z356" s="629">
        <f t="shared" si="115"/>
        <v>12.54704647156802</v>
      </c>
      <c r="AA356" s="629">
        <f t="shared" si="115"/>
        <v>12.52056848481973</v>
      </c>
      <c r="AB356" s="629">
        <f t="shared" si="115"/>
        <v>12.487264805631582</v>
      </c>
      <c r="AC356" s="629">
        <f t="shared" si="115"/>
        <v>12.460287389107533</v>
      </c>
      <c r="AD356" s="629">
        <f t="shared" si="115"/>
        <v>12.435189415142759</v>
      </c>
      <c r="AE356" s="629">
        <f t="shared" si="115"/>
        <v>12.427278186038748</v>
      </c>
      <c r="AF356" s="629">
        <f t="shared" si="115"/>
        <v>12.419870887449845</v>
      </c>
      <c r="AG356" s="629">
        <f t="shared" si="115"/>
        <v>12.412332072955344</v>
      </c>
      <c r="AH356" s="629">
        <f t="shared" si="115"/>
        <v>12.406053699808275</v>
      </c>
      <c r="AI356" s="629">
        <f t="shared" si="115"/>
        <v>12.399909859106241</v>
      </c>
      <c r="AJ356" s="629">
        <f t="shared" si="115"/>
        <v>12.394514727015197</v>
      </c>
      <c r="AK356" s="629">
        <f t="shared" si="115"/>
        <v>12.388844871364556</v>
      </c>
      <c r="AL356" s="629"/>
      <c r="AM356" s="629"/>
      <c r="AN356" s="629"/>
      <c r="AO356" s="629"/>
      <c r="AP356" s="629"/>
      <c r="AQ356" s="629"/>
      <c r="AR356" s="629"/>
      <c r="AS356" s="629"/>
      <c r="AT356" s="629"/>
      <c r="AU356" s="629"/>
      <c r="AV356" s="629"/>
      <c r="AW356" s="629"/>
      <c r="AX356" s="629"/>
      <c r="AY356" s="629"/>
      <c r="AZ356" s="629"/>
      <c r="BA356" s="629"/>
      <c r="BB356" s="629"/>
      <c r="BC356" s="629"/>
      <c r="BD356" s="629"/>
      <c r="BE356" s="629"/>
      <c r="BF356" s="629"/>
      <c r="BG356" s="629"/>
      <c r="BH356" s="629"/>
      <c r="BI356" s="629"/>
      <c r="BJ356" s="629"/>
      <c r="BK356" s="629"/>
      <c r="BL356" s="629"/>
      <c r="BM356" s="629"/>
      <c r="BN356" s="629"/>
      <c r="BO356" s="629"/>
      <c r="BP356" s="629"/>
      <c r="BQ356" s="629"/>
      <c r="BR356" s="629"/>
      <c r="BS356" s="629"/>
      <c r="BT356" s="629"/>
      <c r="BU356" s="629"/>
      <c r="BV356" s="629"/>
      <c r="BW356" s="629"/>
      <c r="BX356" s="629"/>
      <c r="BY356" s="629"/>
      <c r="BZ356" s="629"/>
      <c r="CA356" s="629"/>
      <c r="CB356" s="629"/>
      <c r="CC356" s="629"/>
      <c r="CD356" s="629"/>
      <c r="CE356" s="629"/>
      <c r="CF356" s="629"/>
      <c r="CG356" s="629"/>
      <c r="CH356" s="629"/>
      <c r="CI356" s="629"/>
      <c r="CK356" s="1296"/>
    </row>
    <row r="357" spans="2:89" ht="29.25" thickBot="1" x14ac:dyDescent="0.25">
      <c r="B357" s="923" t="s">
        <v>770</v>
      </c>
      <c r="C357" s="924" t="s">
        <v>591</v>
      </c>
      <c r="D357" s="925" t="s">
        <v>86</v>
      </c>
      <c r="E357" s="924" t="s">
        <v>236</v>
      </c>
      <c r="F357" s="995">
        <v>2</v>
      </c>
      <c r="G357" s="633"/>
      <c r="H357" s="593"/>
      <c r="I357" s="593">
        <v>0</v>
      </c>
      <c r="J357" s="593">
        <v>0</v>
      </c>
      <c r="K357" s="593">
        <v>0</v>
      </c>
      <c r="L357" s="593">
        <v>0</v>
      </c>
      <c r="M357" s="1341">
        <v>0</v>
      </c>
      <c r="N357" s="1341">
        <v>0</v>
      </c>
      <c r="O357" s="1341">
        <v>0</v>
      </c>
      <c r="P357" s="1341">
        <v>0</v>
      </c>
      <c r="Q357" s="1341">
        <v>0</v>
      </c>
      <c r="R357" s="1341">
        <v>0</v>
      </c>
      <c r="S357" s="1341">
        <v>0</v>
      </c>
      <c r="T357" s="1341">
        <v>0</v>
      </c>
      <c r="U357" s="1341">
        <v>0</v>
      </c>
      <c r="V357" s="1341">
        <v>0</v>
      </c>
      <c r="W357" s="1341">
        <v>0</v>
      </c>
      <c r="X357" s="1341">
        <v>0</v>
      </c>
      <c r="Y357" s="1341">
        <v>0</v>
      </c>
      <c r="Z357" s="1341">
        <v>0</v>
      </c>
      <c r="AA357" s="1341">
        <v>0</v>
      </c>
      <c r="AB357" s="1341">
        <v>0</v>
      </c>
      <c r="AC357" s="1341">
        <v>0</v>
      </c>
      <c r="AD357" s="1341">
        <v>0</v>
      </c>
      <c r="AE357" s="1341">
        <v>0</v>
      </c>
      <c r="AF357" s="1341">
        <v>0</v>
      </c>
      <c r="AG357" s="1341">
        <v>0</v>
      </c>
      <c r="AH357" s="1341">
        <v>0</v>
      </c>
      <c r="AI357" s="1341">
        <v>0</v>
      </c>
      <c r="AJ357" s="1341">
        <v>0</v>
      </c>
      <c r="AK357" s="1341">
        <v>0</v>
      </c>
      <c r="AL357" s="1341"/>
      <c r="AM357" s="1341"/>
      <c r="AN357" s="1341"/>
      <c r="AO357" s="1341"/>
      <c r="AP357" s="1341"/>
      <c r="AQ357" s="1341"/>
      <c r="AR357" s="1341"/>
      <c r="AS357" s="1341"/>
      <c r="AT357" s="1341"/>
      <c r="AU357" s="1341"/>
      <c r="AV357" s="1341"/>
      <c r="AW357" s="1341"/>
      <c r="AX357" s="1341"/>
      <c r="AY357" s="1341"/>
      <c r="AZ357" s="1341"/>
      <c r="BA357" s="1341"/>
      <c r="BB357" s="1341"/>
      <c r="BC357" s="1341"/>
      <c r="BD357" s="1341"/>
      <c r="BE357" s="1341"/>
      <c r="BF357" s="1341"/>
      <c r="BG357" s="1341"/>
      <c r="BH357" s="1341"/>
      <c r="BI357" s="1341"/>
      <c r="BJ357" s="1341"/>
      <c r="BK357" s="1341"/>
      <c r="BL357" s="1341"/>
      <c r="BM357" s="1341"/>
      <c r="BN357" s="1341"/>
      <c r="BO357" s="1341"/>
      <c r="BP357" s="1341"/>
      <c r="BQ357" s="1341"/>
      <c r="BR357" s="1341"/>
      <c r="BS357" s="1341"/>
      <c r="BT357" s="1341"/>
      <c r="BU357" s="1341"/>
      <c r="BV357" s="1341"/>
      <c r="BW357" s="1341"/>
      <c r="BX357" s="1341"/>
      <c r="BY357" s="1341"/>
      <c r="BZ357" s="1341"/>
      <c r="CA357" s="1341"/>
      <c r="CB357" s="1341"/>
      <c r="CC357" s="1341"/>
      <c r="CD357" s="1341"/>
      <c r="CE357" s="1341"/>
      <c r="CF357" s="1341"/>
      <c r="CG357" s="1341"/>
      <c r="CH357" s="1341"/>
      <c r="CI357" s="1341"/>
    </row>
    <row r="358" spans="2:89" x14ac:dyDescent="0.2">
      <c r="B358" s="905" t="s">
        <v>771</v>
      </c>
      <c r="C358" s="906" t="s">
        <v>593</v>
      </c>
      <c r="D358" s="907" t="s">
        <v>86</v>
      </c>
      <c r="E358" s="906" t="s">
        <v>236</v>
      </c>
      <c r="F358" s="902">
        <v>2</v>
      </c>
      <c r="G358" s="637"/>
      <c r="H358" s="593"/>
      <c r="I358" s="593">
        <v>0.21161199175036299</v>
      </c>
      <c r="J358" s="593">
        <v>0.24491923906362101</v>
      </c>
      <c r="K358" s="593">
        <v>0.33550901051617898</v>
      </c>
      <c r="L358" s="593">
        <v>0.33499817704909601</v>
      </c>
      <c r="M358" s="1341">
        <v>0.33186679140884001</v>
      </c>
      <c r="N358" s="1341">
        <v>0.31911749188600902</v>
      </c>
      <c r="O358" s="1341">
        <v>0.31418649730238302</v>
      </c>
      <c r="P358" s="1341">
        <v>0.30794525689925001</v>
      </c>
      <c r="Q358" s="1341">
        <v>0.31070462420311001</v>
      </c>
      <c r="R358" s="1341">
        <v>0.30554337865078401</v>
      </c>
      <c r="S358" s="1341">
        <v>0.30116881628645198</v>
      </c>
      <c r="T358" s="1341">
        <v>0.32769066581158302</v>
      </c>
      <c r="U358" s="1341">
        <v>0.32134848413484401</v>
      </c>
      <c r="V358" s="1341">
        <v>0.319761654091619</v>
      </c>
      <c r="W358" s="1341">
        <v>0.31474082806731901</v>
      </c>
      <c r="X358" s="1341">
        <v>0.31438171004043902</v>
      </c>
      <c r="Y358" s="1341">
        <v>0.30953920268459401</v>
      </c>
      <c r="Z358" s="1341">
        <v>0.30734963942270599</v>
      </c>
      <c r="AA358" s="1341">
        <v>0.306365821542601</v>
      </c>
      <c r="AB358" s="1341">
        <v>0.30532588860549098</v>
      </c>
      <c r="AC358" s="1341">
        <v>0.30156302746848201</v>
      </c>
      <c r="AD358" s="1341">
        <v>0.30169087482085</v>
      </c>
      <c r="AE358" s="1341">
        <v>0.29863905801108598</v>
      </c>
      <c r="AF358" s="1341">
        <v>0.298035869452693</v>
      </c>
      <c r="AG358" s="1341">
        <v>0.29732031635127898</v>
      </c>
      <c r="AH358" s="1341">
        <v>0.29624216952668803</v>
      </c>
      <c r="AI358" s="1341">
        <v>0.29025569713680199</v>
      </c>
      <c r="AJ358" s="1341">
        <v>0.29243037055015902</v>
      </c>
      <c r="AK358" s="1341">
        <v>0.29348387257777703</v>
      </c>
      <c r="AL358" s="1341"/>
      <c r="AM358" s="1341"/>
      <c r="AN358" s="1341"/>
      <c r="AO358" s="1341"/>
      <c r="AP358" s="1341"/>
      <c r="AQ358" s="1341"/>
      <c r="AR358" s="1341"/>
      <c r="AS358" s="1341"/>
      <c r="AT358" s="1341"/>
      <c r="AU358" s="1341"/>
      <c r="AV358" s="1341"/>
      <c r="AW358" s="1341"/>
      <c r="AX358" s="1341"/>
      <c r="AY358" s="1341"/>
      <c r="AZ358" s="1341"/>
      <c r="BA358" s="1341"/>
      <c r="BB358" s="1341"/>
      <c r="BC358" s="1341"/>
      <c r="BD358" s="1341"/>
      <c r="BE358" s="1341"/>
      <c r="BF358" s="1341"/>
      <c r="BG358" s="1341"/>
      <c r="BH358" s="1341"/>
      <c r="BI358" s="1341"/>
      <c r="BJ358" s="1341"/>
      <c r="BK358" s="1341"/>
      <c r="BL358" s="1341"/>
      <c r="BM358" s="1341"/>
      <c r="BN358" s="1341"/>
      <c r="BO358" s="1341"/>
      <c r="BP358" s="1341"/>
      <c r="BQ358" s="1341"/>
      <c r="BR358" s="1341"/>
      <c r="BS358" s="1341"/>
      <c r="BT358" s="1341"/>
      <c r="BU358" s="1341"/>
      <c r="BV358" s="1341"/>
      <c r="BW358" s="1341"/>
      <c r="BX358" s="1341"/>
      <c r="BY358" s="1341"/>
      <c r="BZ358" s="1341"/>
      <c r="CA358" s="1341"/>
      <c r="CB358" s="1341"/>
      <c r="CC358" s="1341"/>
      <c r="CD358" s="1341"/>
      <c r="CE358" s="1341"/>
      <c r="CF358" s="1341"/>
      <c r="CG358" s="1341"/>
      <c r="CH358" s="1341"/>
      <c r="CI358" s="1341"/>
    </row>
    <row r="359" spans="2:89" x14ac:dyDescent="0.2">
      <c r="B359" s="905" t="s">
        <v>772</v>
      </c>
      <c r="C359" s="906" t="s">
        <v>384</v>
      </c>
      <c r="D359" s="907" t="s">
        <v>773</v>
      </c>
      <c r="E359" s="906" t="s">
        <v>236</v>
      </c>
      <c r="F359" s="902">
        <v>2</v>
      </c>
      <c r="G359" s="795">
        <f t="shared" ref="G359:AK359" si="116">G357+G358</f>
        <v>0</v>
      </c>
      <c r="H359" s="795">
        <f t="shared" si="116"/>
        <v>0</v>
      </c>
      <c r="I359" s="795">
        <f t="shared" si="116"/>
        <v>0.21161199175036299</v>
      </c>
      <c r="J359" s="795">
        <f t="shared" si="116"/>
        <v>0.24491923906362101</v>
      </c>
      <c r="K359" s="795">
        <f t="shared" si="116"/>
        <v>0.33550901051617898</v>
      </c>
      <c r="L359" s="795">
        <f t="shared" si="116"/>
        <v>0.33499817704909601</v>
      </c>
      <c r="M359" s="796">
        <f t="shared" si="116"/>
        <v>0.33186679140884001</v>
      </c>
      <c r="N359" s="796">
        <f t="shared" si="116"/>
        <v>0.31911749188600902</v>
      </c>
      <c r="O359" s="796">
        <f t="shared" si="116"/>
        <v>0.31418649730238302</v>
      </c>
      <c r="P359" s="796">
        <f t="shared" si="116"/>
        <v>0.30794525689925001</v>
      </c>
      <c r="Q359" s="796">
        <f t="shared" si="116"/>
        <v>0.31070462420311001</v>
      </c>
      <c r="R359" s="796">
        <f t="shared" si="116"/>
        <v>0.30554337865078401</v>
      </c>
      <c r="S359" s="796">
        <f t="shared" si="116"/>
        <v>0.30116881628645198</v>
      </c>
      <c r="T359" s="796">
        <f t="shared" si="116"/>
        <v>0.32769066581158302</v>
      </c>
      <c r="U359" s="796">
        <f t="shared" si="116"/>
        <v>0.32134848413484401</v>
      </c>
      <c r="V359" s="796">
        <f t="shared" si="116"/>
        <v>0.319761654091619</v>
      </c>
      <c r="W359" s="796">
        <f t="shared" si="116"/>
        <v>0.31474082806731901</v>
      </c>
      <c r="X359" s="796">
        <f t="shared" si="116"/>
        <v>0.31438171004043902</v>
      </c>
      <c r="Y359" s="796">
        <f t="shared" si="116"/>
        <v>0.30953920268459401</v>
      </c>
      <c r="Z359" s="796">
        <f t="shared" si="116"/>
        <v>0.30734963942270599</v>
      </c>
      <c r="AA359" s="796">
        <f t="shared" si="116"/>
        <v>0.306365821542601</v>
      </c>
      <c r="AB359" s="796">
        <f t="shared" si="116"/>
        <v>0.30532588860549098</v>
      </c>
      <c r="AC359" s="796">
        <f t="shared" si="116"/>
        <v>0.30156302746848201</v>
      </c>
      <c r="AD359" s="796">
        <f t="shared" si="116"/>
        <v>0.30169087482085</v>
      </c>
      <c r="AE359" s="796">
        <f t="shared" si="116"/>
        <v>0.29863905801108598</v>
      </c>
      <c r="AF359" s="796">
        <f t="shared" si="116"/>
        <v>0.298035869452693</v>
      </c>
      <c r="AG359" s="796">
        <f t="shared" si="116"/>
        <v>0.29732031635127898</v>
      </c>
      <c r="AH359" s="796">
        <f t="shared" si="116"/>
        <v>0.29624216952668803</v>
      </c>
      <c r="AI359" s="796">
        <f t="shared" si="116"/>
        <v>0.29025569713680199</v>
      </c>
      <c r="AJ359" s="796">
        <f t="shared" si="116"/>
        <v>0.29243037055015902</v>
      </c>
      <c r="AK359" s="796">
        <f t="shared" si="116"/>
        <v>0.29348387257777703</v>
      </c>
      <c r="AL359" s="796"/>
      <c r="AM359" s="796"/>
      <c r="AN359" s="796"/>
      <c r="AO359" s="796"/>
      <c r="AP359" s="796"/>
      <c r="AQ359" s="796"/>
      <c r="AR359" s="796"/>
      <c r="AS359" s="796"/>
      <c r="AT359" s="796"/>
      <c r="AU359" s="796"/>
      <c r="AV359" s="796"/>
      <c r="AW359" s="796"/>
      <c r="AX359" s="796"/>
      <c r="AY359" s="796"/>
      <c r="AZ359" s="796"/>
      <c r="BA359" s="796"/>
      <c r="BB359" s="796"/>
      <c r="BC359" s="796"/>
      <c r="BD359" s="796"/>
      <c r="BE359" s="796"/>
      <c r="BF359" s="796"/>
      <c r="BG359" s="796"/>
      <c r="BH359" s="796"/>
      <c r="BI359" s="796"/>
      <c r="BJ359" s="796"/>
      <c r="BK359" s="796"/>
      <c r="BL359" s="796"/>
      <c r="BM359" s="796"/>
      <c r="BN359" s="796"/>
      <c r="BO359" s="796"/>
      <c r="BP359" s="796"/>
      <c r="BQ359" s="796"/>
      <c r="BR359" s="796"/>
      <c r="BS359" s="796"/>
      <c r="BT359" s="796"/>
      <c r="BU359" s="796"/>
      <c r="BV359" s="796"/>
      <c r="BW359" s="796"/>
      <c r="BX359" s="796"/>
      <c r="BY359" s="796"/>
      <c r="BZ359" s="796"/>
      <c r="CA359" s="796"/>
      <c r="CB359" s="796"/>
      <c r="CC359" s="796"/>
      <c r="CD359" s="796"/>
      <c r="CE359" s="796"/>
      <c r="CF359" s="796"/>
      <c r="CG359" s="796"/>
      <c r="CH359" s="796"/>
      <c r="CI359" s="797"/>
    </row>
    <row r="360" spans="2:89" x14ac:dyDescent="0.2">
      <c r="B360" s="1067" t="s">
        <v>774</v>
      </c>
      <c r="C360" s="1068" t="s">
        <v>597</v>
      </c>
      <c r="D360" s="1069" t="s">
        <v>775</v>
      </c>
      <c r="E360" s="1068" t="s">
        <v>236</v>
      </c>
      <c r="F360" s="1070">
        <v>2</v>
      </c>
      <c r="G360" s="798">
        <f>G313-G356</f>
        <v>0</v>
      </c>
      <c r="H360" s="798">
        <f t="shared" ref="H360:AK360" si="117">H313-H356</f>
        <v>0</v>
      </c>
      <c r="I360" s="798">
        <f t="shared" si="117"/>
        <v>10.166876735036272</v>
      </c>
      <c r="J360" s="798">
        <f t="shared" si="117"/>
        <v>9.8708657036289313</v>
      </c>
      <c r="K360" s="798">
        <f t="shared" si="117"/>
        <v>9.9631179852447573</v>
      </c>
      <c r="L360" s="798">
        <f t="shared" si="117"/>
        <v>9.935322005044835</v>
      </c>
      <c r="M360" s="799">
        <f t="shared" si="117"/>
        <v>9.9179585548792133</v>
      </c>
      <c r="N360" s="799">
        <f t="shared" si="117"/>
        <v>9.9247816663288422</v>
      </c>
      <c r="O360" s="799">
        <f t="shared" si="117"/>
        <v>9.9642794799364083</v>
      </c>
      <c r="P360" s="799">
        <f t="shared" si="117"/>
        <v>10.059731744812892</v>
      </c>
      <c r="Q360" s="799">
        <f t="shared" si="117"/>
        <v>10.29515640957994</v>
      </c>
      <c r="R360" s="799">
        <f t="shared" si="117"/>
        <v>10.584439818467134</v>
      </c>
      <c r="S360" s="799">
        <f t="shared" si="117"/>
        <v>10.743757623987834</v>
      </c>
      <c r="T360" s="799">
        <f t="shared" si="117"/>
        <v>8.5391732773358537</v>
      </c>
      <c r="U360" s="799">
        <f t="shared" si="117"/>
        <v>8.6361795610603593</v>
      </c>
      <c r="V360" s="799">
        <f t="shared" si="117"/>
        <v>8.7316124242191755</v>
      </c>
      <c r="W360" s="799">
        <f t="shared" si="117"/>
        <v>8.7782942858716009</v>
      </c>
      <c r="X360" s="799">
        <f t="shared" si="117"/>
        <v>8.8239929268304245</v>
      </c>
      <c r="Y360" s="799">
        <f t="shared" si="117"/>
        <v>8.8682262020794251</v>
      </c>
      <c r="Z360" s="799">
        <f t="shared" si="117"/>
        <v>8.8907941085745357</v>
      </c>
      <c r="AA360" s="799">
        <f t="shared" si="117"/>
        <v>8.9154636247401378</v>
      </c>
      <c r="AB360" s="799">
        <f t="shared" si="117"/>
        <v>8.9462712835780067</v>
      </c>
      <c r="AC360" s="799">
        <f t="shared" si="117"/>
        <v>8.9713926694729782</v>
      </c>
      <c r="AD360" s="799">
        <f t="shared" si="117"/>
        <v>8.9948364528543081</v>
      </c>
      <c r="AE360" s="799">
        <f t="shared" si="117"/>
        <v>9.0028381686882426</v>
      </c>
      <c r="AF360" s="799">
        <f t="shared" si="117"/>
        <v>9.0103925311045163</v>
      </c>
      <c r="AG360" s="799">
        <f t="shared" si="117"/>
        <v>9.018077685066892</v>
      </c>
      <c r="AH360" s="799">
        <f t="shared" si="117"/>
        <v>9.0246318784792408</v>
      </c>
      <c r="AI360" s="799">
        <f t="shared" si="117"/>
        <v>9.0310699308425235</v>
      </c>
      <c r="AJ360" s="799">
        <f t="shared" si="117"/>
        <v>9.0368429035420892</v>
      </c>
      <c r="AK360" s="799">
        <f t="shared" si="117"/>
        <v>9.0428647148217518</v>
      </c>
      <c r="AL360" s="799"/>
      <c r="AM360" s="799"/>
      <c r="AN360" s="799"/>
      <c r="AO360" s="799"/>
      <c r="AP360" s="799"/>
      <c r="AQ360" s="799"/>
      <c r="AR360" s="799"/>
      <c r="AS360" s="799"/>
      <c r="AT360" s="799"/>
      <c r="AU360" s="799"/>
      <c r="AV360" s="799"/>
      <c r="AW360" s="799"/>
      <c r="AX360" s="799"/>
      <c r="AY360" s="799"/>
      <c r="AZ360" s="799"/>
      <c r="BA360" s="799"/>
      <c r="BB360" s="799"/>
      <c r="BC360" s="799"/>
      <c r="BD360" s="799"/>
      <c r="BE360" s="799"/>
      <c r="BF360" s="799"/>
      <c r="BG360" s="799"/>
      <c r="BH360" s="799"/>
      <c r="BI360" s="799"/>
      <c r="BJ360" s="799"/>
      <c r="BK360" s="799"/>
      <c r="BL360" s="799"/>
      <c r="BM360" s="799"/>
      <c r="BN360" s="799"/>
      <c r="BO360" s="799"/>
      <c r="BP360" s="799"/>
      <c r="BQ360" s="799"/>
      <c r="BR360" s="799"/>
      <c r="BS360" s="799"/>
      <c r="BT360" s="799"/>
      <c r="BU360" s="799"/>
      <c r="BV360" s="799"/>
      <c r="BW360" s="799"/>
      <c r="BX360" s="799"/>
      <c r="BY360" s="799"/>
      <c r="BZ360" s="799"/>
      <c r="CA360" s="799"/>
      <c r="CB360" s="799"/>
      <c r="CC360" s="799"/>
      <c r="CD360" s="799"/>
      <c r="CE360" s="799"/>
      <c r="CF360" s="799"/>
      <c r="CG360" s="799"/>
      <c r="CH360" s="799"/>
      <c r="CI360" s="800"/>
    </row>
    <row r="361" spans="2:89" ht="15" thickBot="1" x14ac:dyDescent="0.25">
      <c r="B361" s="905" t="s">
        <v>776</v>
      </c>
      <c r="C361" s="906" t="s">
        <v>600</v>
      </c>
      <c r="D361" s="907" t="s">
        <v>777</v>
      </c>
      <c r="E361" s="906" t="s">
        <v>236</v>
      </c>
      <c r="F361" s="902">
        <v>2</v>
      </c>
      <c r="G361" s="798">
        <f t="shared" ref="G361:AK361" si="118">G304-G315</f>
        <v>0</v>
      </c>
      <c r="H361" s="798">
        <f t="shared" si="118"/>
        <v>0</v>
      </c>
      <c r="I361" s="798">
        <f t="shared" si="118"/>
        <v>0</v>
      </c>
      <c r="J361" s="798">
        <f t="shared" si="118"/>
        <v>0</v>
      </c>
      <c r="K361" s="798">
        <f t="shared" si="118"/>
        <v>0</v>
      </c>
      <c r="L361" s="798">
        <f t="shared" si="118"/>
        <v>0</v>
      </c>
      <c r="M361" s="798">
        <f t="shared" si="118"/>
        <v>0</v>
      </c>
      <c r="N361" s="798">
        <f t="shared" si="118"/>
        <v>0</v>
      </c>
      <c r="O361" s="798">
        <f t="shared" si="118"/>
        <v>0</v>
      </c>
      <c r="P361" s="798">
        <f t="shared" si="118"/>
        <v>0</v>
      </c>
      <c r="Q361" s="798">
        <f t="shared" si="118"/>
        <v>0</v>
      </c>
      <c r="R361" s="798">
        <f t="shared" si="118"/>
        <v>0</v>
      </c>
      <c r="S361" s="798">
        <f t="shared" si="118"/>
        <v>0</v>
      </c>
      <c r="T361" s="798">
        <f t="shared" si="118"/>
        <v>0</v>
      </c>
      <c r="U361" s="798">
        <f t="shared" si="118"/>
        <v>0</v>
      </c>
      <c r="V361" s="798">
        <f t="shared" si="118"/>
        <v>0</v>
      </c>
      <c r="W361" s="798">
        <f t="shared" si="118"/>
        <v>0</v>
      </c>
      <c r="X361" s="798">
        <f t="shared" si="118"/>
        <v>0</v>
      </c>
      <c r="Y361" s="798">
        <f t="shared" si="118"/>
        <v>0</v>
      </c>
      <c r="Z361" s="798">
        <f t="shared" si="118"/>
        <v>0</v>
      </c>
      <c r="AA361" s="798">
        <f t="shared" si="118"/>
        <v>0</v>
      </c>
      <c r="AB361" s="798">
        <f t="shared" si="118"/>
        <v>0</v>
      </c>
      <c r="AC361" s="798">
        <f t="shared" si="118"/>
        <v>0</v>
      </c>
      <c r="AD361" s="798">
        <f t="shared" si="118"/>
        <v>0</v>
      </c>
      <c r="AE361" s="798">
        <f t="shared" si="118"/>
        <v>0</v>
      </c>
      <c r="AF361" s="798">
        <f t="shared" si="118"/>
        <v>0</v>
      </c>
      <c r="AG361" s="798">
        <f t="shared" si="118"/>
        <v>0</v>
      </c>
      <c r="AH361" s="798">
        <f t="shared" si="118"/>
        <v>0</v>
      </c>
      <c r="AI361" s="798">
        <f t="shared" si="118"/>
        <v>0</v>
      </c>
      <c r="AJ361" s="798">
        <f t="shared" si="118"/>
        <v>0</v>
      </c>
      <c r="AK361" s="798">
        <f t="shared" si="118"/>
        <v>0</v>
      </c>
      <c r="AL361" s="798"/>
      <c r="AM361" s="798"/>
      <c r="AN361" s="798"/>
      <c r="AO361" s="798"/>
      <c r="AP361" s="798"/>
      <c r="AQ361" s="798"/>
      <c r="AR361" s="798"/>
      <c r="AS361" s="798"/>
      <c r="AT361" s="798"/>
      <c r="AU361" s="798"/>
      <c r="AV361" s="798"/>
      <c r="AW361" s="798"/>
      <c r="AX361" s="798"/>
      <c r="AY361" s="798"/>
      <c r="AZ361" s="798"/>
      <c r="BA361" s="798"/>
      <c r="BB361" s="798"/>
      <c r="BC361" s="798"/>
      <c r="BD361" s="798"/>
      <c r="BE361" s="798"/>
      <c r="BF361" s="798"/>
      <c r="BG361" s="798"/>
      <c r="BH361" s="798"/>
      <c r="BI361" s="798"/>
      <c r="BJ361" s="798"/>
      <c r="BK361" s="798"/>
      <c r="BL361" s="798"/>
      <c r="BM361" s="798"/>
      <c r="BN361" s="798"/>
      <c r="BO361" s="798"/>
      <c r="BP361" s="798"/>
      <c r="BQ361" s="798"/>
      <c r="BR361" s="798"/>
      <c r="BS361" s="798"/>
      <c r="BT361" s="798"/>
      <c r="BU361" s="798"/>
      <c r="BV361" s="798"/>
      <c r="BW361" s="798"/>
      <c r="BX361" s="798"/>
      <c r="BY361" s="798"/>
      <c r="BZ361" s="798"/>
      <c r="CA361" s="798"/>
      <c r="CB361" s="798"/>
      <c r="CC361" s="798"/>
      <c r="CD361" s="798"/>
      <c r="CE361" s="798"/>
      <c r="CF361" s="798"/>
      <c r="CG361" s="798"/>
      <c r="CH361" s="798"/>
      <c r="CI361" s="798"/>
    </row>
    <row r="362" spans="2:89" x14ac:dyDescent="0.2">
      <c r="B362" s="996" t="s">
        <v>778</v>
      </c>
      <c r="C362" s="997" t="s">
        <v>393</v>
      </c>
      <c r="D362" s="998" t="s">
        <v>779</v>
      </c>
      <c r="E362" s="997" t="s">
        <v>236</v>
      </c>
      <c r="F362" s="999">
        <v>2</v>
      </c>
      <c r="G362" s="805">
        <f>G360-G359</f>
        <v>0</v>
      </c>
      <c r="H362" s="805">
        <f t="shared" ref="H362:AK362" si="119">H360-H359</f>
        <v>0</v>
      </c>
      <c r="I362" s="805">
        <f t="shared" si="119"/>
        <v>9.9552647432859089</v>
      </c>
      <c r="J362" s="805">
        <f t="shared" si="119"/>
        <v>9.6259464645653097</v>
      </c>
      <c r="K362" s="805">
        <f t="shared" si="119"/>
        <v>9.6276089747285791</v>
      </c>
      <c r="L362" s="805">
        <f t="shared" si="119"/>
        <v>9.600323827995739</v>
      </c>
      <c r="M362" s="806">
        <f t="shared" si="119"/>
        <v>9.5860917634703728</v>
      </c>
      <c r="N362" s="806">
        <f t="shared" si="119"/>
        <v>9.6056641744428326</v>
      </c>
      <c r="O362" s="806">
        <f t="shared" si="119"/>
        <v>9.6500929826340247</v>
      </c>
      <c r="P362" s="806">
        <f t="shared" si="119"/>
        <v>9.7517864879136411</v>
      </c>
      <c r="Q362" s="806">
        <f t="shared" si="119"/>
        <v>9.9844517853768302</v>
      </c>
      <c r="R362" s="806">
        <f t="shared" si="119"/>
        <v>10.27889643981635</v>
      </c>
      <c r="S362" s="806">
        <f t="shared" si="119"/>
        <v>10.442588807701382</v>
      </c>
      <c r="T362" s="806">
        <f t="shared" si="119"/>
        <v>8.2114826115242714</v>
      </c>
      <c r="U362" s="806">
        <f t="shared" si="119"/>
        <v>8.3148310769255147</v>
      </c>
      <c r="V362" s="806">
        <f t="shared" si="119"/>
        <v>8.4118507701275558</v>
      </c>
      <c r="W362" s="806">
        <f t="shared" si="119"/>
        <v>8.4635534578042826</v>
      </c>
      <c r="X362" s="806">
        <f t="shared" si="119"/>
        <v>8.5096112167899847</v>
      </c>
      <c r="Y362" s="806">
        <f t="shared" si="119"/>
        <v>8.5586869993948316</v>
      </c>
      <c r="Z362" s="806">
        <f t="shared" si="119"/>
        <v>8.5834444691518303</v>
      </c>
      <c r="AA362" s="806">
        <f t="shared" si="119"/>
        <v>8.6090978031975371</v>
      </c>
      <c r="AB362" s="806">
        <f t="shared" si="119"/>
        <v>8.6409453949725155</v>
      </c>
      <c r="AC362" s="806">
        <f t="shared" si="119"/>
        <v>8.6698296420044958</v>
      </c>
      <c r="AD362" s="806">
        <f t="shared" si="119"/>
        <v>8.6931455780334588</v>
      </c>
      <c r="AE362" s="806">
        <f t="shared" si="119"/>
        <v>8.7041991106771572</v>
      </c>
      <c r="AF362" s="806">
        <f t="shared" si="119"/>
        <v>8.7123566616518229</v>
      </c>
      <c r="AG362" s="806">
        <f t="shared" si="119"/>
        <v>8.7207573687156135</v>
      </c>
      <c r="AH362" s="806">
        <f t="shared" si="119"/>
        <v>8.7283897089525535</v>
      </c>
      <c r="AI362" s="806">
        <f t="shared" si="119"/>
        <v>8.7408142337057217</v>
      </c>
      <c r="AJ362" s="806">
        <f t="shared" si="119"/>
        <v>8.7444125329919302</v>
      </c>
      <c r="AK362" s="806">
        <f t="shared" si="119"/>
        <v>8.7493808422439745</v>
      </c>
      <c r="AL362" s="806"/>
      <c r="AM362" s="806"/>
      <c r="AN362" s="806"/>
      <c r="AO362" s="806"/>
      <c r="AP362" s="806"/>
      <c r="AQ362" s="806"/>
      <c r="AR362" s="806"/>
      <c r="AS362" s="806"/>
      <c r="AT362" s="806"/>
      <c r="AU362" s="806"/>
      <c r="AV362" s="806"/>
      <c r="AW362" s="806"/>
      <c r="AX362" s="806"/>
      <c r="AY362" s="806"/>
      <c r="AZ362" s="806"/>
      <c r="BA362" s="806"/>
      <c r="BB362" s="806"/>
      <c r="BC362" s="806"/>
      <c r="BD362" s="806"/>
      <c r="BE362" s="806"/>
      <c r="BF362" s="806"/>
      <c r="BG362" s="806"/>
      <c r="BH362" s="806"/>
      <c r="BI362" s="806"/>
      <c r="BJ362" s="806"/>
      <c r="BK362" s="806"/>
      <c r="BL362" s="806"/>
      <c r="BM362" s="806"/>
      <c r="BN362" s="806"/>
      <c r="BO362" s="806"/>
      <c r="BP362" s="806"/>
      <c r="BQ362" s="806"/>
      <c r="BR362" s="806"/>
      <c r="BS362" s="806"/>
      <c r="BT362" s="806"/>
      <c r="BU362" s="806"/>
      <c r="BV362" s="806"/>
      <c r="BW362" s="806"/>
      <c r="BX362" s="806"/>
      <c r="BY362" s="806"/>
      <c r="BZ362" s="806"/>
      <c r="CA362" s="806"/>
      <c r="CB362" s="806"/>
      <c r="CC362" s="806"/>
      <c r="CD362" s="806"/>
      <c r="CE362" s="806"/>
      <c r="CF362" s="806"/>
      <c r="CG362" s="806"/>
      <c r="CH362" s="806"/>
      <c r="CI362" s="807"/>
    </row>
    <row r="365" spans="2:89" ht="15" x14ac:dyDescent="0.2">
      <c r="B365" s="1297" t="s">
        <v>787</v>
      </c>
      <c r="C365" s="1298"/>
      <c r="D365" s="1298"/>
      <c r="E365" s="1298"/>
      <c r="F365" s="1298"/>
      <c r="G365" s="1298"/>
      <c r="H365" s="1298"/>
      <c r="I365" s="1298"/>
      <c r="J365" s="1298"/>
      <c r="K365" s="1298"/>
      <c r="L365" s="1298"/>
      <c r="M365" s="1298"/>
      <c r="N365" s="1298"/>
      <c r="O365" s="1298"/>
      <c r="P365" s="1298"/>
      <c r="Q365" s="1298"/>
      <c r="R365" s="1298"/>
      <c r="S365" s="1298"/>
      <c r="T365" s="1298"/>
      <c r="U365" s="1298"/>
      <c r="V365" s="1298"/>
      <c r="W365" s="1298"/>
      <c r="X365" s="1298"/>
      <c r="Y365" s="1298"/>
      <c r="Z365" s="1298"/>
      <c r="AA365" s="1298"/>
      <c r="AB365" s="1298"/>
      <c r="AC365" s="1298"/>
      <c r="AD365" s="1298"/>
      <c r="AE365" s="1298"/>
      <c r="AF365" s="1298"/>
      <c r="AG365" s="1298"/>
      <c r="AH365" s="1298"/>
      <c r="AI365" s="1298"/>
      <c r="AJ365" s="1298"/>
      <c r="AK365" s="1298"/>
      <c r="AL365" s="1298"/>
      <c r="AM365" s="1298"/>
      <c r="AN365" s="1298"/>
      <c r="AO365" s="1298"/>
      <c r="AP365" s="1298"/>
      <c r="AQ365" s="1298"/>
      <c r="AR365" s="1298"/>
      <c r="AS365" s="1298"/>
      <c r="AT365" s="1298"/>
      <c r="AU365" s="1298"/>
      <c r="AV365" s="1298"/>
      <c r="AW365" s="1298"/>
      <c r="AX365" s="1298"/>
      <c r="AY365" s="1298"/>
      <c r="AZ365" s="1298"/>
      <c r="BA365" s="1298"/>
      <c r="BB365" s="1298"/>
      <c r="BC365" s="1298"/>
      <c r="BD365" s="1298"/>
      <c r="BE365" s="1298"/>
      <c r="BF365" s="1298"/>
      <c r="BG365" s="1298"/>
      <c r="BH365" s="1298"/>
      <c r="BI365" s="1298"/>
      <c r="BJ365" s="1298"/>
      <c r="BK365" s="1298"/>
      <c r="BL365" s="1298"/>
      <c r="BM365" s="1298"/>
      <c r="BN365" s="1298"/>
      <c r="BO365" s="1298"/>
      <c r="BP365" s="1298"/>
      <c r="BQ365" s="1298"/>
      <c r="BR365" s="1298"/>
      <c r="BS365" s="1298"/>
      <c r="BT365" s="1298"/>
      <c r="BU365" s="1298"/>
      <c r="BV365" s="1298"/>
      <c r="BW365" s="1298"/>
      <c r="BX365" s="1298"/>
      <c r="BY365" s="1298"/>
      <c r="BZ365" s="1298"/>
      <c r="CA365" s="1298"/>
      <c r="CB365" s="1298"/>
      <c r="CC365" s="1298"/>
      <c r="CD365" s="1298"/>
      <c r="CE365" s="1298"/>
      <c r="CF365" s="1298"/>
      <c r="CG365" s="1298"/>
      <c r="CH365" s="1298"/>
      <c r="CI365" s="1299"/>
    </row>
    <row r="366" spans="2:89" x14ac:dyDescent="0.2">
      <c r="B366" s="1300"/>
      <c r="C366" s="1301"/>
      <c r="D366" s="1301"/>
      <c r="E366" s="1301"/>
      <c r="F366" s="1301"/>
      <c r="G366" s="1301"/>
      <c r="H366" s="1301"/>
      <c r="I366" s="1301"/>
      <c r="J366" s="1301"/>
      <c r="K366" s="1301"/>
      <c r="L366" s="1301"/>
      <c r="M366" s="1301"/>
      <c r="N366" s="1301"/>
      <c r="O366" s="1301"/>
      <c r="P366" s="1301"/>
      <c r="Q366" s="1301"/>
      <c r="R366" s="1301"/>
      <c r="S366" s="1301"/>
      <c r="T366" s="1301"/>
      <c r="U366" s="1301"/>
      <c r="V366" s="1301"/>
      <c r="W366" s="1301"/>
      <c r="X366" s="1301"/>
      <c r="Y366" s="1301"/>
      <c r="Z366" s="1301"/>
      <c r="AA366" s="1301"/>
      <c r="AB366" s="1301"/>
      <c r="AC366" s="1301"/>
      <c r="AD366" s="1301"/>
      <c r="AE366" s="1301"/>
      <c r="AF366" s="1301"/>
      <c r="AG366" s="1301"/>
      <c r="AH366" s="1301"/>
      <c r="AI366" s="1301"/>
      <c r="AJ366" s="1301"/>
      <c r="AK366" s="1301"/>
      <c r="AL366" s="1301"/>
      <c r="AM366" s="1301"/>
      <c r="AN366" s="1301"/>
      <c r="AO366" s="1301"/>
      <c r="AP366" s="1301"/>
      <c r="AQ366" s="1301"/>
      <c r="AR366" s="1301"/>
      <c r="AS366" s="1301"/>
      <c r="AT366" s="1301"/>
      <c r="AU366" s="1301"/>
      <c r="AV366" s="1301"/>
      <c r="AW366" s="1301"/>
      <c r="AX366" s="1301"/>
      <c r="AY366" s="1301"/>
      <c r="AZ366" s="1301"/>
      <c r="BA366" s="1301"/>
      <c r="BB366" s="1301"/>
      <c r="BC366" s="1301"/>
      <c r="BD366" s="1301"/>
      <c r="BE366" s="1301"/>
      <c r="BF366" s="1301"/>
      <c r="BG366" s="1301"/>
      <c r="BH366" s="1301"/>
      <c r="BI366" s="1301"/>
      <c r="BJ366" s="1301"/>
      <c r="BK366" s="1301"/>
      <c r="BL366" s="1301"/>
      <c r="BM366" s="1301"/>
      <c r="BN366" s="1301"/>
      <c r="BO366" s="1301"/>
      <c r="BP366" s="1301"/>
      <c r="BQ366" s="1301"/>
      <c r="BR366" s="1301"/>
      <c r="BS366" s="1301"/>
      <c r="BT366" s="1301"/>
      <c r="BU366" s="1301"/>
      <c r="BV366" s="1301"/>
      <c r="BW366" s="1301"/>
      <c r="BX366" s="1301"/>
      <c r="BY366" s="1301"/>
      <c r="BZ366" s="1301"/>
      <c r="CA366" s="1301"/>
      <c r="CB366" s="1301"/>
      <c r="CC366" s="1301"/>
      <c r="CD366" s="1301"/>
      <c r="CE366" s="1301"/>
      <c r="CF366" s="1301"/>
      <c r="CG366" s="1301"/>
      <c r="CH366" s="1301"/>
      <c r="CI366" s="1302"/>
    </row>
    <row r="367" spans="2:89" x14ac:dyDescent="0.2">
      <c r="B367" s="1300" t="s">
        <v>788</v>
      </c>
      <c r="C367" s="1301"/>
      <c r="D367" s="1301"/>
      <c r="E367" s="1301"/>
      <c r="F367" s="1301"/>
      <c r="G367" s="1000" t="s">
        <v>208</v>
      </c>
      <c r="H367" s="1000" t="s">
        <v>209</v>
      </c>
      <c r="I367" s="1000" t="s">
        <v>210</v>
      </c>
      <c r="J367" s="1000" t="s">
        <v>211</v>
      </c>
      <c r="K367" s="1000" t="s">
        <v>212</v>
      </c>
      <c r="L367" s="1000" t="s">
        <v>213</v>
      </c>
      <c r="M367" s="1000" t="s">
        <v>214</v>
      </c>
      <c r="N367" s="1000" t="s">
        <v>215</v>
      </c>
      <c r="O367" s="1000" t="s">
        <v>216</v>
      </c>
      <c r="P367" s="1000" t="s">
        <v>217</v>
      </c>
      <c r="Q367" s="1000" t="s">
        <v>218</v>
      </c>
      <c r="R367" s="1000" t="s">
        <v>247</v>
      </c>
      <c r="S367" s="1000" t="s">
        <v>248</v>
      </c>
      <c r="T367" s="1000" t="s">
        <v>249</v>
      </c>
      <c r="U367" s="1000" t="s">
        <v>250</v>
      </c>
      <c r="V367" s="1000" t="s">
        <v>219</v>
      </c>
      <c r="W367" s="1000" t="s">
        <v>251</v>
      </c>
      <c r="X367" s="1000" t="s">
        <v>252</v>
      </c>
      <c r="Y367" s="1000" t="s">
        <v>253</v>
      </c>
      <c r="Z367" s="1000" t="s">
        <v>254</v>
      </c>
      <c r="AA367" s="1000" t="s">
        <v>220</v>
      </c>
      <c r="AB367" s="1000" t="s">
        <v>255</v>
      </c>
      <c r="AC367" s="1000" t="s">
        <v>256</v>
      </c>
      <c r="AD367" s="1000" t="s">
        <v>257</v>
      </c>
      <c r="AE367" s="1000" t="s">
        <v>258</v>
      </c>
      <c r="AF367" s="1000" t="s">
        <v>221</v>
      </c>
      <c r="AG367" s="1000" t="s">
        <v>259</v>
      </c>
      <c r="AH367" s="1000" t="s">
        <v>260</v>
      </c>
      <c r="AI367" s="1000" t="s">
        <v>261</v>
      </c>
      <c r="AJ367" s="1000" t="s">
        <v>262</v>
      </c>
      <c r="AK367" s="1000" t="s">
        <v>222</v>
      </c>
      <c r="AL367" s="1000"/>
      <c r="AM367" s="1000"/>
      <c r="AN367" s="1000"/>
      <c r="AO367" s="1000"/>
      <c r="AP367" s="1000"/>
      <c r="AQ367" s="1000"/>
      <c r="AR367" s="1000"/>
      <c r="AS367" s="1000"/>
      <c r="AT367" s="1000"/>
      <c r="AU367" s="1000"/>
      <c r="AV367" s="1000"/>
      <c r="AW367" s="1000"/>
      <c r="AX367" s="1000"/>
      <c r="AY367" s="1000"/>
      <c r="AZ367" s="1000"/>
      <c r="BA367" s="1000"/>
      <c r="BB367" s="1000"/>
      <c r="BC367" s="1000"/>
      <c r="BD367" s="1000"/>
      <c r="BE367" s="1000"/>
      <c r="BF367" s="1000"/>
      <c r="BG367" s="1000"/>
      <c r="BH367" s="1000"/>
      <c r="BI367" s="1000"/>
      <c r="BJ367" s="1000"/>
      <c r="BK367" s="1000"/>
      <c r="BL367" s="1000"/>
      <c r="BM367" s="1000"/>
      <c r="BN367" s="1000"/>
      <c r="BO367" s="1000"/>
      <c r="BP367" s="1000"/>
      <c r="BQ367" s="1000"/>
      <c r="BR367" s="1000"/>
      <c r="BS367" s="1000"/>
      <c r="BT367" s="1000"/>
      <c r="BU367" s="1000"/>
      <c r="BV367" s="1000"/>
      <c r="BW367" s="1000"/>
      <c r="BX367" s="1000"/>
      <c r="BY367" s="1000"/>
      <c r="BZ367" s="1000"/>
      <c r="CA367" s="1000"/>
      <c r="CB367" s="1000"/>
      <c r="CC367" s="1000"/>
      <c r="CD367" s="1000"/>
      <c r="CE367" s="1000"/>
      <c r="CF367" s="1000"/>
      <c r="CG367" s="1000"/>
      <c r="CH367" s="1000"/>
      <c r="CI367" s="1001"/>
    </row>
    <row r="368" spans="2:89" x14ac:dyDescent="0.2">
      <c r="B368" s="1300"/>
      <c r="C368" s="1301" t="s">
        <v>789</v>
      </c>
      <c r="D368" s="1301"/>
      <c r="E368" s="1301" t="s">
        <v>236</v>
      </c>
      <c r="F368" s="1301">
        <v>2</v>
      </c>
      <c r="G368" s="1002">
        <f t="shared" ref="G368:AK368" si="120">G46-G57</f>
        <v>0</v>
      </c>
      <c r="H368" s="1002">
        <f t="shared" si="120"/>
        <v>0</v>
      </c>
      <c r="I368" s="1002">
        <f t="shared" si="120"/>
        <v>3.5771081704841108</v>
      </c>
      <c r="J368" s="1002">
        <f t="shared" si="120"/>
        <v>3.5315187334006946</v>
      </c>
      <c r="K368" s="1002">
        <f t="shared" si="120"/>
        <v>3.5004188118572301</v>
      </c>
      <c r="L368" s="1002">
        <f t="shared" si="120"/>
        <v>3.4841080988470394</v>
      </c>
      <c r="M368" s="1002">
        <f t="shared" si="120"/>
        <v>3.5555545046354284</v>
      </c>
      <c r="N368" s="1002">
        <f t="shared" si="120"/>
        <v>3.6969280491792142</v>
      </c>
      <c r="O368" s="1002">
        <f t="shared" si="120"/>
        <v>3.7598644260574021</v>
      </c>
      <c r="P368" s="1002">
        <f t="shared" si="120"/>
        <v>3.7988705566961141</v>
      </c>
      <c r="Q368" s="1002">
        <f t="shared" si="120"/>
        <v>3.8203403254251675</v>
      </c>
      <c r="R368" s="1002">
        <f t="shared" si="120"/>
        <v>3.8427478777724238</v>
      </c>
      <c r="S368" s="1002">
        <f t="shared" si="120"/>
        <v>3.8577283502854205</v>
      </c>
      <c r="T368" s="1002">
        <f t="shared" si="120"/>
        <v>3.874648384900778</v>
      </c>
      <c r="U368" s="1002">
        <f t="shared" si="120"/>
        <v>3.8900828795586531</v>
      </c>
      <c r="V368" s="1002">
        <f t="shared" si="120"/>
        <v>3.9059926818618171</v>
      </c>
      <c r="W368" s="1002">
        <f t="shared" si="120"/>
        <v>3.9222198078880859</v>
      </c>
      <c r="X368" s="1002">
        <f t="shared" si="120"/>
        <v>3.939400483983909</v>
      </c>
      <c r="Y368" s="1002">
        <f t="shared" si="120"/>
        <v>3.9583369165489395</v>
      </c>
      <c r="Z368" s="1002">
        <f t="shared" si="120"/>
        <v>3.9788103833123492</v>
      </c>
      <c r="AA368" s="1002">
        <f t="shared" si="120"/>
        <v>3.996466014529013</v>
      </c>
      <c r="AB368" s="1002">
        <f t="shared" si="120"/>
        <v>4.0069083139786246</v>
      </c>
      <c r="AC368" s="1002">
        <f t="shared" si="120"/>
        <v>4.024167182127889</v>
      </c>
      <c r="AD368" s="1002">
        <f t="shared" si="120"/>
        <v>4.0429768434309841</v>
      </c>
      <c r="AE368" s="1002">
        <f t="shared" si="120"/>
        <v>4.0625072301022271</v>
      </c>
      <c r="AF368" s="1002">
        <f t="shared" si="120"/>
        <v>4.082707577366671</v>
      </c>
      <c r="AG368" s="1002">
        <f t="shared" si="120"/>
        <v>4.10261131181921</v>
      </c>
      <c r="AH368" s="1002">
        <f t="shared" si="120"/>
        <v>4.1236504126121059</v>
      </c>
      <c r="AI368" s="1002">
        <f t="shared" si="120"/>
        <v>4.1452574007930201</v>
      </c>
      <c r="AJ368" s="1002">
        <f t="shared" si="120"/>
        <v>4.1679165416641899</v>
      </c>
      <c r="AK368" s="1002">
        <f t="shared" si="120"/>
        <v>4.1907449916489545</v>
      </c>
      <c r="AL368" s="1002"/>
      <c r="AM368" s="1002"/>
      <c r="AN368" s="1002"/>
      <c r="AO368" s="1002"/>
      <c r="AP368" s="1002"/>
      <c r="AQ368" s="1002"/>
      <c r="AR368" s="1002"/>
      <c r="AS368" s="1002"/>
      <c r="AT368" s="1002"/>
      <c r="AU368" s="1002"/>
      <c r="AV368" s="1002"/>
      <c r="AW368" s="1002"/>
      <c r="AX368" s="1002"/>
      <c r="AY368" s="1002"/>
      <c r="AZ368" s="1002"/>
      <c r="BA368" s="1002"/>
      <c r="BB368" s="1002"/>
      <c r="BC368" s="1002"/>
      <c r="BD368" s="1002"/>
      <c r="BE368" s="1002"/>
      <c r="BF368" s="1002"/>
      <c r="BG368" s="1002"/>
      <c r="BH368" s="1002"/>
      <c r="BI368" s="1002"/>
      <c r="BJ368" s="1002"/>
      <c r="BK368" s="1002"/>
      <c r="BL368" s="1002"/>
      <c r="BM368" s="1002"/>
      <c r="BN368" s="1002"/>
      <c r="BO368" s="1002"/>
      <c r="BP368" s="1002"/>
      <c r="BQ368" s="1002"/>
      <c r="BR368" s="1002"/>
      <c r="BS368" s="1002"/>
      <c r="BT368" s="1002"/>
      <c r="BU368" s="1002"/>
      <c r="BV368" s="1002"/>
      <c r="BW368" s="1002"/>
      <c r="BX368" s="1002"/>
      <c r="BY368" s="1002"/>
      <c r="BZ368" s="1002"/>
      <c r="CA368" s="1002"/>
      <c r="CB368" s="1002"/>
      <c r="CC368" s="1002"/>
      <c r="CD368" s="1002"/>
      <c r="CE368" s="1002"/>
      <c r="CF368" s="1002"/>
      <c r="CG368" s="1002"/>
      <c r="CH368" s="1002"/>
      <c r="CI368" s="1003"/>
    </row>
    <row r="369" spans="2:87" x14ac:dyDescent="0.2">
      <c r="B369" s="1300"/>
      <c r="C369" s="1301" t="s">
        <v>790</v>
      </c>
      <c r="D369" s="1301"/>
      <c r="E369" s="1301" t="s">
        <v>236</v>
      </c>
      <c r="F369" s="1301">
        <v>2</v>
      </c>
      <c r="G369" s="1002">
        <f t="shared" ref="G369:AK369" si="121">G47-G58</f>
        <v>0</v>
      </c>
      <c r="H369" s="1002">
        <f t="shared" si="121"/>
        <v>0</v>
      </c>
      <c r="I369" s="1002">
        <f t="shared" si="121"/>
        <v>1.638080723282082</v>
      </c>
      <c r="J369" s="1002">
        <f t="shared" si="121"/>
        <v>1.6646860065327662</v>
      </c>
      <c r="K369" s="1002">
        <f t="shared" si="121"/>
        <v>1.5299959878095435</v>
      </c>
      <c r="L369" s="1002">
        <f t="shared" si="121"/>
        <v>1.4702742309432693</v>
      </c>
      <c r="M369" s="1002">
        <f t="shared" si="121"/>
        <v>1.3299206915414332</v>
      </c>
      <c r="N369" s="1002">
        <f t="shared" si="121"/>
        <v>1.2111824013041261</v>
      </c>
      <c r="O369" s="1002">
        <f t="shared" si="121"/>
        <v>1.1759591247769066</v>
      </c>
      <c r="P369" s="1002">
        <f t="shared" si="121"/>
        <v>1.1407690036940759</v>
      </c>
      <c r="Q369" s="1002">
        <f t="shared" si="121"/>
        <v>1.1055062274340812</v>
      </c>
      <c r="R369" s="1002">
        <f t="shared" si="121"/>
        <v>1.0856893246338843</v>
      </c>
      <c r="S369" s="1002">
        <f t="shared" si="121"/>
        <v>1.081567623772234</v>
      </c>
      <c r="T369" s="1002">
        <f t="shared" si="121"/>
        <v>1.0774289248914581</v>
      </c>
      <c r="U369" s="1002">
        <f t="shared" si="121"/>
        <v>1.0731786052724566</v>
      </c>
      <c r="V369" s="1002">
        <f t="shared" si="121"/>
        <v>1.0688935493901652</v>
      </c>
      <c r="W369" s="1002">
        <f t="shared" si="121"/>
        <v>1.0653467607327591</v>
      </c>
      <c r="X369" s="1002">
        <f t="shared" si="121"/>
        <v>1.0617853086012914</v>
      </c>
      <c r="Y369" s="1002">
        <f t="shared" si="121"/>
        <v>1.0581019912315253</v>
      </c>
      <c r="Z369" s="1002">
        <f t="shared" si="121"/>
        <v>1.0546089435356789</v>
      </c>
      <c r="AA369" s="1002">
        <f t="shared" si="121"/>
        <v>1.0510120294126397</v>
      </c>
      <c r="AB369" s="1002">
        <f t="shared" si="121"/>
        <v>1.0472710242835721</v>
      </c>
      <c r="AC369" s="1002">
        <f t="shared" si="121"/>
        <v>1.0435339962995973</v>
      </c>
      <c r="AD369" s="1002">
        <f t="shared" si="121"/>
        <v>1.0402635794685879</v>
      </c>
      <c r="AE369" s="1002">
        <f t="shared" si="121"/>
        <v>1.0373982950589817</v>
      </c>
      <c r="AF369" s="1002">
        <f t="shared" si="121"/>
        <v>1.0345618533573102</v>
      </c>
      <c r="AG369" s="1002">
        <f t="shared" si="121"/>
        <v>1.0316524767510291</v>
      </c>
      <c r="AH369" s="1002">
        <f t="shared" si="121"/>
        <v>1.0289818339093213</v>
      </c>
      <c r="AI369" s="1002">
        <f t="shared" si="121"/>
        <v>1.0262391272437774</v>
      </c>
      <c r="AJ369" s="1002">
        <f t="shared" si="121"/>
        <v>1.0235334936771288</v>
      </c>
      <c r="AK369" s="1002">
        <f t="shared" si="121"/>
        <v>1.0205577534188304</v>
      </c>
      <c r="AL369" s="1002"/>
      <c r="AM369" s="1002"/>
      <c r="AN369" s="1002"/>
      <c r="AO369" s="1002"/>
      <c r="AP369" s="1002"/>
      <c r="AQ369" s="1002"/>
      <c r="AR369" s="1002"/>
      <c r="AS369" s="1002"/>
      <c r="AT369" s="1002"/>
      <c r="AU369" s="1002"/>
      <c r="AV369" s="1002"/>
      <c r="AW369" s="1002"/>
      <c r="AX369" s="1002"/>
      <c r="AY369" s="1002"/>
      <c r="AZ369" s="1002"/>
      <c r="BA369" s="1002"/>
      <c r="BB369" s="1002"/>
      <c r="BC369" s="1002"/>
      <c r="BD369" s="1002"/>
      <c r="BE369" s="1002"/>
      <c r="BF369" s="1002"/>
      <c r="BG369" s="1002"/>
      <c r="BH369" s="1002"/>
      <c r="BI369" s="1002"/>
      <c r="BJ369" s="1002"/>
      <c r="BK369" s="1002"/>
      <c r="BL369" s="1002"/>
      <c r="BM369" s="1002"/>
      <c r="BN369" s="1002"/>
      <c r="BO369" s="1002"/>
      <c r="BP369" s="1002"/>
      <c r="BQ369" s="1002"/>
      <c r="BR369" s="1002"/>
      <c r="BS369" s="1002"/>
      <c r="BT369" s="1002"/>
      <c r="BU369" s="1002"/>
      <c r="BV369" s="1002"/>
      <c r="BW369" s="1002"/>
      <c r="BX369" s="1002"/>
      <c r="BY369" s="1002"/>
      <c r="BZ369" s="1002"/>
      <c r="CA369" s="1002"/>
      <c r="CB369" s="1002"/>
      <c r="CC369" s="1002"/>
      <c r="CD369" s="1002"/>
      <c r="CE369" s="1002"/>
      <c r="CF369" s="1002"/>
      <c r="CG369" s="1002"/>
      <c r="CH369" s="1002"/>
      <c r="CI369" s="1003"/>
    </row>
    <row r="370" spans="2:87" x14ac:dyDescent="0.2">
      <c r="B370" s="1300"/>
      <c r="C370" s="1301" t="s">
        <v>791</v>
      </c>
      <c r="D370" s="1301"/>
      <c r="E370" s="1301" t="s">
        <v>236</v>
      </c>
      <c r="F370" s="1301">
        <v>2</v>
      </c>
      <c r="G370" s="1002">
        <f t="shared" ref="G370:AK370" si="122">G43+G45-G55-G56</f>
        <v>0</v>
      </c>
      <c r="H370" s="1002">
        <f t="shared" si="122"/>
        <v>0</v>
      </c>
      <c r="I370" s="1002">
        <f t="shared" si="122"/>
        <v>3.3693909383156622</v>
      </c>
      <c r="J370" s="1002">
        <f t="shared" si="122"/>
        <v>3.1604117352983154</v>
      </c>
      <c r="K370" s="1002">
        <f t="shared" si="122"/>
        <v>3.3245646750143569</v>
      </c>
      <c r="L370" s="1002">
        <f t="shared" si="122"/>
        <v>3.5047252126054942</v>
      </c>
      <c r="M370" s="1002">
        <f t="shared" si="122"/>
        <v>3.6620665824277401</v>
      </c>
      <c r="N370" s="1002">
        <f t="shared" si="122"/>
        <v>3.712566814444449</v>
      </c>
      <c r="O370" s="1002">
        <f t="shared" si="122"/>
        <v>3.727631021811272</v>
      </c>
      <c r="P370" s="1002">
        <f t="shared" si="122"/>
        <v>3.7420061482578895</v>
      </c>
      <c r="Q370" s="1002">
        <f t="shared" si="122"/>
        <v>3.7534833485636758</v>
      </c>
      <c r="R370" s="1002">
        <f t="shared" si="122"/>
        <v>3.7611107266670478</v>
      </c>
      <c r="S370" s="1002">
        <f t="shared" si="122"/>
        <v>3.7679826083639729</v>
      </c>
      <c r="T370" s="1002">
        <f t="shared" si="122"/>
        <v>6.0646447299784567</v>
      </c>
      <c r="U370" s="1002">
        <f t="shared" si="122"/>
        <v>6.0715026797746479</v>
      </c>
      <c r="V370" s="1002">
        <f t="shared" si="122"/>
        <v>6.0785062674661541</v>
      </c>
      <c r="W370" s="1002">
        <f t="shared" si="122"/>
        <v>6.0856348629417534</v>
      </c>
      <c r="X370" s="1002">
        <f t="shared" si="122"/>
        <v>6.0927362365349431</v>
      </c>
      <c r="Y370" s="1002">
        <f t="shared" si="122"/>
        <v>6.1000156286618443</v>
      </c>
      <c r="Z370" s="1002">
        <f t="shared" si="122"/>
        <v>6.1072899909177769</v>
      </c>
      <c r="AA370" s="1002">
        <f t="shared" si="122"/>
        <v>6.1145880380516111</v>
      </c>
      <c r="AB370" s="1002">
        <f t="shared" si="122"/>
        <v>6.1218953561506</v>
      </c>
      <c r="AC370" s="1002">
        <f t="shared" si="122"/>
        <v>6.129180675762198</v>
      </c>
      <c r="AD370" s="1002">
        <f t="shared" si="122"/>
        <v>6.1363342670364789</v>
      </c>
      <c r="AE370" s="1002">
        <f t="shared" si="122"/>
        <v>6.1433121147631029</v>
      </c>
      <c r="AF370" s="1002">
        <f t="shared" si="122"/>
        <v>6.1502304706108912</v>
      </c>
      <c r="AG370" s="1002">
        <f t="shared" si="122"/>
        <v>6.1570215295904624</v>
      </c>
      <c r="AH370" s="1002">
        <f t="shared" si="122"/>
        <v>6.1637829812834681</v>
      </c>
      <c r="AI370" s="1002">
        <f t="shared" si="122"/>
        <v>6.1704944559836834</v>
      </c>
      <c r="AJ370" s="1002">
        <f t="shared" si="122"/>
        <v>6.1771214039797968</v>
      </c>
      <c r="AK370" s="1002">
        <f t="shared" si="122"/>
        <v>6.1837313337273594</v>
      </c>
      <c r="AL370" s="1002"/>
      <c r="AM370" s="1002"/>
      <c r="AN370" s="1002"/>
      <c r="AO370" s="1002"/>
      <c r="AP370" s="1002"/>
      <c r="AQ370" s="1002"/>
      <c r="AR370" s="1002"/>
      <c r="AS370" s="1002"/>
      <c r="AT370" s="1002"/>
      <c r="AU370" s="1002"/>
      <c r="AV370" s="1002"/>
      <c r="AW370" s="1002"/>
      <c r="AX370" s="1002"/>
      <c r="AY370" s="1002"/>
      <c r="AZ370" s="1002"/>
      <c r="BA370" s="1002"/>
      <c r="BB370" s="1002"/>
      <c r="BC370" s="1002"/>
      <c r="BD370" s="1002"/>
      <c r="BE370" s="1002"/>
      <c r="BF370" s="1002"/>
      <c r="BG370" s="1002"/>
      <c r="BH370" s="1002"/>
      <c r="BI370" s="1002"/>
      <c r="BJ370" s="1002"/>
      <c r="BK370" s="1002"/>
      <c r="BL370" s="1002"/>
      <c r="BM370" s="1002"/>
      <c r="BN370" s="1002"/>
      <c r="BO370" s="1002"/>
      <c r="BP370" s="1002"/>
      <c r="BQ370" s="1002"/>
      <c r="BR370" s="1002"/>
      <c r="BS370" s="1002"/>
      <c r="BT370" s="1002"/>
      <c r="BU370" s="1002"/>
      <c r="BV370" s="1002"/>
      <c r="BW370" s="1002"/>
      <c r="BX370" s="1002"/>
      <c r="BY370" s="1002"/>
      <c r="BZ370" s="1002"/>
      <c r="CA370" s="1002"/>
      <c r="CB370" s="1002"/>
      <c r="CC370" s="1002"/>
      <c r="CD370" s="1002"/>
      <c r="CE370" s="1002"/>
      <c r="CF370" s="1002"/>
      <c r="CG370" s="1002"/>
      <c r="CH370" s="1002"/>
      <c r="CI370" s="1003"/>
    </row>
    <row r="371" spans="2:87" x14ac:dyDescent="0.2">
      <c r="B371" s="1300"/>
      <c r="C371" s="1301" t="s">
        <v>243</v>
      </c>
      <c r="D371" s="1301"/>
      <c r="E371" s="1301" t="s">
        <v>236</v>
      </c>
      <c r="F371" s="1301">
        <v>2</v>
      </c>
      <c r="G371" s="1002">
        <f t="shared" ref="G371:AK371" si="123">G61</f>
        <v>0</v>
      </c>
      <c r="H371" s="1002">
        <f t="shared" si="123"/>
        <v>0</v>
      </c>
      <c r="I371" s="1002">
        <f t="shared" si="123"/>
        <v>1.9305131976000001</v>
      </c>
      <c r="J371" s="1002">
        <f t="shared" si="123"/>
        <v>1.6747597999999997</v>
      </c>
      <c r="K371" s="1002">
        <f t="shared" si="123"/>
        <v>1.6092663999999997</v>
      </c>
      <c r="L371" s="1002">
        <f t="shared" si="123"/>
        <v>1.5437730000000001</v>
      </c>
      <c r="M371" s="1002">
        <f t="shared" si="123"/>
        <v>1.5437730000000001</v>
      </c>
      <c r="N371" s="1002">
        <f t="shared" si="123"/>
        <v>1.5437730000000001</v>
      </c>
      <c r="O371" s="1002">
        <f t="shared" si="123"/>
        <v>1.5437730000000001</v>
      </c>
      <c r="P371" s="1002">
        <f t="shared" si="123"/>
        <v>1.5437730000000001</v>
      </c>
      <c r="Q371" s="1002">
        <f t="shared" si="123"/>
        <v>1.5437729999999998</v>
      </c>
      <c r="R371" s="1002">
        <f t="shared" si="123"/>
        <v>1.5437730000000001</v>
      </c>
      <c r="S371" s="1002">
        <f t="shared" si="123"/>
        <v>1.5437730000000001</v>
      </c>
      <c r="T371" s="1002">
        <f t="shared" si="123"/>
        <v>1.5437730000000001</v>
      </c>
      <c r="U371" s="1002">
        <f t="shared" si="123"/>
        <v>1.5437730000000001</v>
      </c>
      <c r="V371" s="1002">
        <f t="shared" si="123"/>
        <v>1.5437730000000003</v>
      </c>
      <c r="W371" s="1002">
        <f t="shared" si="123"/>
        <v>1.5437730000000001</v>
      </c>
      <c r="X371" s="1002">
        <f t="shared" si="123"/>
        <v>1.5437730000000001</v>
      </c>
      <c r="Y371" s="1002">
        <f t="shared" si="123"/>
        <v>1.5437730000000001</v>
      </c>
      <c r="Z371" s="1002">
        <f t="shared" si="123"/>
        <v>1.5437730000000001</v>
      </c>
      <c r="AA371" s="1002">
        <f t="shared" si="123"/>
        <v>1.5437730000000001</v>
      </c>
      <c r="AB371" s="1002">
        <f t="shared" si="123"/>
        <v>1.5437730000000001</v>
      </c>
      <c r="AC371" s="1002">
        <f t="shared" si="123"/>
        <v>1.5437730000000001</v>
      </c>
      <c r="AD371" s="1002">
        <f t="shared" si="123"/>
        <v>1.5437730000000001</v>
      </c>
      <c r="AE371" s="1002">
        <f t="shared" si="123"/>
        <v>1.5437730000000003</v>
      </c>
      <c r="AF371" s="1002">
        <f t="shared" si="123"/>
        <v>1.5437730000000001</v>
      </c>
      <c r="AG371" s="1002">
        <f t="shared" si="123"/>
        <v>1.5437730000000001</v>
      </c>
      <c r="AH371" s="1002">
        <f t="shared" si="123"/>
        <v>1.5437729999999998</v>
      </c>
      <c r="AI371" s="1002">
        <f t="shared" si="123"/>
        <v>1.5437730000000001</v>
      </c>
      <c r="AJ371" s="1002">
        <f t="shared" si="123"/>
        <v>1.5437730000000001</v>
      </c>
      <c r="AK371" s="1002">
        <f t="shared" si="123"/>
        <v>1.5437730000000003</v>
      </c>
      <c r="AL371" s="1002"/>
      <c r="AM371" s="1002"/>
      <c r="AN371" s="1002"/>
      <c r="AO371" s="1002"/>
      <c r="AP371" s="1002"/>
      <c r="AQ371" s="1002"/>
      <c r="AR371" s="1002"/>
      <c r="AS371" s="1002"/>
      <c r="AT371" s="1002"/>
      <c r="AU371" s="1002"/>
      <c r="AV371" s="1002"/>
      <c r="AW371" s="1002"/>
      <c r="AX371" s="1002"/>
      <c r="AY371" s="1002"/>
      <c r="AZ371" s="1002"/>
      <c r="BA371" s="1002"/>
      <c r="BB371" s="1002"/>
      <c r="BC371" s="1002"/>
      <c r="BD371" s="1002"/>
      <c r="BE371" s="1002"/>
      <c r="BF371" s="1002"/>
      <c r="BG371" s="1002"/>
      <c r="BH371" s="1002"/>
      <c r="BI371" s="1002"/>
      <c r="BJ371" s="1002"/>
      <c r="BK371" s="1002"/>
      <c r="BL371" s="1002"/>
      <c r="BM371" s="1002"/>
      <c r="BN371" s="1002"/>
      <c r="BO371" s="1002"/>
      <c r="BP371" s="1002"/>
      <c r="BQ371" s="1002"/>
      <c r="BR371" s="1002"/>
      <c r="BS371" s="1002"/>
      <c r="BT371" s="1002"/>
      <c r="BU371" s="1002"/>
      <c r="BV371" s="1002"/>
      <c r="BW371" s="1002"/>
      <c r="BX371" s="1002"/>
      <c r="BY371" s="1002"/>
      <c r="BZ371" s="1002"/>
      <c r="CA371" s="1002"/>
      <c r="CB371" s="1002"/>
      <c r="CC371" s="1002"/>
      <c r="CD371" s="1002"/>
      <c r="CE371" s="1002"/>
      <c r="CF371" s="1002"/>
      <c r="CG371" s="1002"/>
      <c r="CH371" s="1002"/>
      <c r="CI371" s="1003"/>
    </row>
    <row r="372" spans="2:87" x14ac:dyDescent="0.2">
      <c r="B372" s="1300"/>
      <c r="C372" s="1301" t="s">
        <v>792</v>
      </c>
      <c r="D372" s="1301"/>
      <c r="E372" s="1301" t="s">
        <v>236</v>
      </c>
      <c r="F372" s="1301">
        <v>2</v>
      </c>
      <c r="G372" s="1002">
        <f t="shared" ref="G372:AK372" si="124">G85-SUM(G368:G371)</f>
        <v>0</v>
      </c>
      <c r="H372" s="1002">
        <f t="shared" si="124"/>
        <v>0</v>
      </c>
      <c r="I372" s="1002">
        <f t="shared" si="124"/>
        <v>0.277795537065753</v>
      </c>
      <c r="J372" s="1002">
        <f t="shared" si="124"/>
        <v>0.28679110094586946</v>
      </c>
      <c r="K372" s="1002">
        <f t="shared" si="124"/>
        <v>0.28667830223778168</v>
      </c>
      <c r="L372" s="1002">
        <f t="shared" si="124"/>
        <v>0.28666635882526315</v>
      </c>
      <c r="M372" s="1002">
        <f t="shared" si="124"/>
        <v>0.28681924417601756</v>
      </c>
      <c r="N372" s="1002">
        <f t="shared" si="124"/>
        <v>0.28666817348883455</v>
      </c>
      <c r="O372" s="1002">
        <f t="shared" si="124"/>
        <v>0.28652736636111165</v>
      </c>
      <c r="P372" s="1002">
        <f t="shared" si="124"/>
        <v>0.28642934410590826</v>
      </c>
      <c r="Q372" s="1002">
        <f t="shared" si="124"/>
        <v>0.28634444545303772</v>
      </c>
      <c r="R372" s="1002">
        <f t="shared" si="124"/>
        <v>0.28626058878556115</v>
      </c>
      <c r="S372" s="1002">
        <f t="shared" si="124"/>
        <v>0.28617900769864768</v>
      </c>
      <c r="T372" s="1002">
        <f t="shared" si="124"/>
        <v>0.28609807701164769</v>
      </c>
      <c r="U372" s="1002">
        <f t="shared" si="124"/>
        <v>0.28601754960978631</v>
      </c>
      <c r="V372" s="1002">
        <f t="shared" si="124"/>
        <v>0.28593682664429565</v>
      </c>
      <c r="W372" s="1002">
        <f t="shared" si="124"/>
        <v>0.28585654424652063</v>
      </c>
      <c r="X372" s="1002">
        <f t="shared" si="124"/>
        <v>0.28577629448837172</v>
      </c>
      <c r="Y372" s="1002">
        <f t="shared" si="124"/>
        <v>0.28569680661217944</v>
      </c>
      <c r="Z372" s="1002">
        <f t="shared" si="124"/>
        <v>0.28561914534016353</v>
      </c>
      <c r="AA372" s="1002">
        <f t="shared" si="124"/>
        <v>0.28554217982271801</v>
      </c>
      <c r="AB372" s="1002">
        <f t="shared" si="124"/>
        <v>0.28546607989330042</v>
      </c>
      <c r="AC372" s="1002">
        <f t="shared" si="124"/>
        <v>0.28539138310902601</v>
      </c>
      <c r="AD372" s="1002">
        <f t="shared" si="124"/>
        <v>0.28531793812903317</v>
      </c>
      <c r="AE372" s="1002">
        <f t="shared" si="124"/>
        <v>0.28524457773786871</v>
      </c>
      <c r="AF372" s="1002">
        <f t="shared" si="124"/>
        <v>0.28517184232772408</v>
      </c>
      <c r="AG372" s="1002">
        <f t="shared" si="124"/>
        <v>0.28509979113051998</v>
      </c>
      <c r="AH372" s="1002">
        <f t="shared" si="124"/>
        <v>0.28502882070259794</v>
      </c>
      <c r="AI372" s="1002">
        <f t="shared" si="124"/>
        <v>0.28495939323706132</v>
      </c>
      <c r="AJ372" s="1002">
        <f t="shared" si="124"/>
        <v>0.28489141228376091</v>
      </c>
      <c r="AK372" s="1002">
        <f t="shared" si="124"/>
        <v>0.28482452650324674</v>
      </c>
      <c r="AL372" s="1002"/>
      <c r="AM372" s="1002"/>
      <c r="AN372" s="1002"/>
      <c r="AO372" s="1002"/>
      <c r="AP372" s="1002"/>
      <c r="AQ372" s="1002"/>
      <c r="AR372" s="1002"/>
      <c r="AS372" s="1002"/>
      <c r="AT372" s="1002"/>
      <c r="AU372" s="1002"/>
      <c r="AV372" s="1002"/>
      <c r="AW372" s="1002"/>
      <c r="AX372" s="1002"/>
      <c r="AY372" s="1002"/>
      <c r="AZ372" s="1002"/>
      <c r="BA372" s="1002"/>
      <c r="BB372" s="1002"/>
      <c r="BC372" s="1002"/>
      <c r="BD372" s="1002"/>
      <c r="BE372" s="1002"/>
      <c r="BF372" s="1002"/>
      <c r="BG372" s="1002"/>
      <c r="BH372" s="1002"/>
      <c r="BI372" s="1002"/>
      <c r="BJ372" s="1002"/>
      <c r="BK372" s="1002"/>
      <c r="BL372" s="1002"/>
      <c r="BM372" s="1002"/>
      <c r="BN372" s="1002"/>
      <c r="BO372" s="1002"/>
      <c r="BP372" s="1002"/>
      <c r="BQ372" s="1002"/>
      <c r="BR372" s="1002"/>
      <c r="BS372" s="1002"/>
      <c r="BT372" s="1002"/>
      <c r="BU372" s="1002"/>
      <c r="BV372" s="1002"/>
      <c r="BW372" s="1002"/>
      <c r="BX372" s="1002"/>
      <c r="BY372" s="1002"/>
      <c r="BZ372" s="1002"/>
      <c r="CA372" s="1002"/>
      <c r="CB372" s="1002"/>
      <c r="CC372" s="1002"/>
      <c r="CD372" s="1002"/>
      <c r="CE372" s="1002"/>
      <c r="CF372" s="1002"/>
      <c r="CG372" s="1002"/>
      <c r="CH372" s="1002"/>
      <c r="CI372" s="1003"/>
    </row>
    <row r="373" spans="2:87" x14ac:dyDescent="0.2">
      <c r="B373" s="1300"/>
      <c r="C373" s="1301" t="s">
        <v>793</v>
      </c>
      <c r="D373" s="1301"/>
      <c r="E373" s="1301" t="s">
        <v>236</v>
      </c>
      <c r="F373" s="1301">
        <v>2</v>
      </c>
      <c r="G373" s="1002">
        <f t="shared" ref="G373:AK373" si="125">G42</f>
        <v>0</v>
      </c>
      <c r="H373" s="1002">
        <f t="shared" si="125"/>
        <v>0</v>
      </c>
      <c r="I373" s="1002">
        <f t="shared" si="125"/>
        <v>12.459999999999999</v>
      </c>
      <c r="J373" s="1002">
        <f t="shared" si="125"/>
        <v>12.459999999999999</v>
      </c>
      <c r="K373" s="1002">
        <f t="shared" si="125"/>
        <v>12.459999999999999</v>
      </c>
      <c r="L373" s="1002">
        <f t="shared" si="125"/>
        <v>12.459999999999999</v>
      </c>
      <c r="M373" s="1002">
        <f t="shared" si="125"/>
        <v>12.459999999999999</v>
      </c>
      <c r="N373" s="1002">
        <f t="shared" si="125"/>
        <v>9.4299999999999979</v>
      </c>
      <c r="O373" s="1002">
        <f t="shared" si="125"/>
        <v>9.4299999999999979</v>
      </c>
      <c r="P373" s="1002">
        <f t="shared" si="125"/>
        <v>9.4299999999999979</v>
      </c>
      <c r="Q373" s="1002">
        <f t="shared" si="125"/>
        <v>9.4299999999999979</v>
      </c>
      <c r="R373" s="1002">
        <f t="shared" si="125"/>
        <v>7.72</v>
      </c>
      <c r="S373" s="1002">
        <f t="shared" si="125"/>
        <v>7.72</v>
      </c>
      <c r="T373" s="1002">
        <f t="shared" si="125"/>
        <v>7.72</v>
      </c>
      <c r="U373" s="1002">
        <f t="shared" si="125"/>
        <v>7.72</v>
      </c>
      <c r="V373" s="1002">
        <f t="shared" si="125"/>
        <v>7.72</v>
      </c>
      <c r="W373" s="1002">
        <f t="shared" si="125"/>
        <v>7.72</v>
      </c>
      <c r="X373" s="1002">
        <f t="shared" si="125"/>
        <v>7.72</v>
      </c>
      <c r="Y373" s="1002">
        <f t="shared" si="125"/>
        <v>7.72</v>
      </c>
      <c r="Z373" s="1002">
        <f t="shared" si="125"/>
        <v>7.72</v>
      </c>
      <c r="AA373" s="1002">
        <f t="shared" si="125"/>
        <v>7.72</v>
      </c>
      <c r="AB373" s="1002">
        <f t="shared" si="125"/>
        <v>6.81</v>
      </c>
      <c r="AC373" s="1002">
        <f t="shared" si="125"/>
        <v>6.81</v>
      </c>
      <c r="AD373" s="1002">
        <f t="shared" si="125"/>
        <v>6.81</v>
      </c>
      <c r="AE373" s="1002">
        <f t="shared" si="125"/>
        <v>6.81</v>
      </c>
      <c r="AF373" s="1002">
        <f t="shared" si="125"/>
        <v>6.81</v>
      </c>
      <c r="AG373" s="1002">
        <f t="shared" si="125"/>
        <v>5.9799999999999995</v>
      </c>
      <c r="AH373" s="1002">
        <f t="shared" si="125"/>
        <v>5.9799999999999995</v>
      </c>
      <c r="AI373" s="1002">
        <f t="shared" si="125"/>
        <v>5.9799999999999995</v>
      </c>
      <c r="AJ373" s="1002">
        <f t="shared" si="125"/>
        <v>5.9799999999999995</v>
      </c>
      <c r="AK373" s="1002">
        <f t="shared" si="125"/>
        <v>5.9799999999999995</v>
      </c>
      <c r="AL373" s="1002"/>
      <c r="AM373" s="1002"/>
      <c r="AN373" s="1002"/>
      <c r="AO373" s="1002"/>
      <c r="AP373" s="1002"/>
      <c r="AQ373" s="1002"/>
      <c r="AR373" s="1002"/>
      <c r="AS373" s="1002"/>
      <c r="AT373" s="1002"/>
      <c r="AU373" s="1002"/>
      <c r="AV373" s="1002"/>
      <c r="AW373" s="1002"/>
      <c r="AX373" s="1002"/>
      <c r="AY373" s="1002"/>
      <c r="AZ373" s="1002"/>
      <c r="BA373" s="1002"/>
      <c r="BB373" s="1002"/>
      <c r="BC373" s="1002"/>
      <c r="BD373" s="1002"/>
      <c r="BE373" s="1002"/>
      <c r="BF373" s="1002"/>
      <c r="BG373" s="1002"/>
      <c r="BH373" s="1002"/>
      <c r="BI373" s="1002"/>
      <c r="BJ373" s="1002"/>
      <c r="BK373" s="1002"/>
      <c r="BL373" s="1002"/>
      <c r="BM373" s="1002"/>
      <c r="BN373" s="1002"/>
      <c r="BO373" s="1002"/>
      <c r="BP373" s="1002"/>
      <c r="BQ373" s="1002"/>
      <c r="BR373" s="1002"/>
      <c r="BS373" s="1002"/>
      <c r="BT373" s="1002"/>
      <c r="BU373" s="1002"/>
      <c r="BV373" s="1002"/>
      <c r="BW373" s="1002"/>
      <c r="BX373" s="1002"/>
      <c r="BY373" s="1002"/>
      <c r="BZ373" s="1002"/>
      <c r="CA373" s="1002"/>
      <c r="CB373" s="1002"/>
      <c r="CC373" s="1002"/>
      <c r="CD373" s="1002"/>
      <c r="CE373" s="1002"/>
      <c r="CF373" s="1002"/>
      <c r="CG373" s="1002"/>
      <c r="CH373" s="1002"/>
      <c r="CI373" s="1003"/>
    </row>
    <row r="374" spans="2:87" x14ac:dyDescent="0.2">
      <c r="B374" s="1300"/>
      <c r="C374" s="1301" t="s">
        <v>794</v>
      </c>
      <c r="D374" s="1301"/>
      <c r="E374" s="1301" t="s">
        <v>236</v>
      </c>
      <c r="F374" s="1301">
        <v>2</v>
      </c>
      <c r="G374" s="1002">
        <f t="shared" ref="G374:AK374" si="126">SUM(G368:G372)+G88</f>
        <v>0</v>
      </c>
      <c r="H374" s="1002">
        <f t="shared" si="126"/>
        <v>0</v>
      </c>
      <c r="I374" s="1002">
        <f t="shared" si="126"/>
        <v>10.996004728105293</v>
      </c>
      <c r="J374" s="1002">
        <f t="shared" si="126"/>
        <v>10.526038798015611</v>
      </c>
      <c r="K374" s="1002">
        <f t="shared" si="126"/>
        <v>10.522146777848395</v>
      </c>
      <c r="L374" s="1002">
        <f t="shared" si="126"/>
        <v>10.560886691421937</v>
      </c>
      <c r="M374" s="1002">
        <f t="shared" si="126"/>
        <v>10.645313145774685</v>
      </c>
      <c r="N374" s="1002">
        <f t="shared" si="126"/>
        <v>10.70778580100734</v>
      </c>
      <c r="O374" s="1002">
        <f t="shared" si="126"/>
        <v>10.741279209139089</v>
      </c>
      <c r="P374" s="1002">
        <f t="shared" si="126"/>
        <v>10.752629150363006</v>
      </c>
      <c r="Q374" s="1002">
        <f t="shared" si="126"/>
        <v>10.750094976516161</v>
      </c>
      <c r="R374" s="1002">
        <f t="shared" si="126"/>
        <v>10.748239336500683</v>
      </c>
      <c r="S374" s="1002">
        <f t="shared" si="126"/>
        <v>10.759982155558566</v>
      </c>
      <c r="T374" s="1002">
        <f t="shared" si="126"/>
        <v>13.094399873560272</v>
      </c>
      <c r="U374" s="1002">
        <f t="shared" si="126"/>
        <v>13.105686580838352</v>
      </c>
      <c r="V374" s="1002">
        <f t="shared" si="126"/>
        <v>13.117613990170092</v>
      </c>
      <c r="W374" s="1002">
        <f t="shared" si="126"/>
        <v>13.134169789760088</v>
      </c>
      <c r="X374" s="1002">
        <f t="shared" si="126"/>
        <v>13.148502615118712</v>
      </c>
      <c r="Y374" s="1002">
        <f t="shared" si="126"/>
        <v>13.166481694383307</v>
      </c>
      <c r="Z374" s="1002">
        <f t="shared" si="126"/>
        <v>13.187953375717491</v>
      </c>
      <c r="AA374" s="1002">
        <f t="shared" si="126"/>
        <v>13.202947341807302</v>
      </c>
      <c r="AB374" s="1002">
        <f t="shared" si="126"/>
        <v>13.211530501624356</v>
      </c>
      <c r="AC374" s="1002">
        <f t="shared" si="126"/>
        <v>13.229476365102807</v>
      </c>
      <c r="AD374" s="1002">
        <f t="shared" si="126"/>
        <v>13.247241346179411</v>
      </c>
      <c r="AE374" s="1002">
        <f t="shared" si="126"/>
        <v>13.266720176664599</v>
      </c>
      <c r="AF374" s="1002">
        <f t="shared" si="126"/>
        <v>13.287696167939256</v>
      </c>
      <c r="AG374" s="1002">
        <f t="shared" si="126"/>
        <v>13.307420138301984</v>
      </c>
      <c r="AH374" s="1002">
        <f t="shared" si="126"/>
        <v>13.327531118324131</v>
      </c>
      <c r="AI374" s="1002">
        <f t="shared" si="126"/>
        <v>13.345437154737095</v>
      </c>
      <c r="AJ374" s="1002">
        <f t="shared" si="126"/>
        <v>13.373624527245177</v>
      </c>
      <c r="AK374" s="1002">
        <f t="shared" si="126"/>
        <v>13.396975516488785</v>
      </c>
      <c r="AL374" s="1002"/>
      <c r="AM374" s="1002"/>
      <c r="AN374" s="1002"/>
      <c r="AO374" s="1002"/>
      <c r="AP374" s="1002"/>
      <c r="AQ374" s="1002"/>
      <c r="AR374" s="1002"/>
      <c r="AS374" s="1002"/>
      <c r="AT374" s="1002"/>
      <c r="AU374" s="1002"/>
      <c r="AV374" s="1002"/>
      <c r="AW374" s="1002"/>
      <c r="AX374" s="1002"/>
      <c r="AY374" s="1002"/>
      <c r="AZ374" s="1002"/>
      <c r="BA374" s="1002"/>
      <c r="BB374" s="1002"/>
      <c r="BC374" s="1002"/>
      <c r="BD374" s="1002"/>
      <c r="BE374" s="1002"/>
      <c r="BF374" s="1002"/>
      <c r="BG374" s="1002"/>
      <c r="BH374" s="1002"/>
      <c r="BI374" s="1002"/>
      <c r="BJ374" s="1002"/>
      <c r="BK374" s="1002"/>
      <c r="BL374" s="1002"/>
      <c r="BM374" s="1002"/>
      <c r="BN374" s="1002"/>
      <c r="BO374" s="1002"/>
      <c r="BP374" s="1002"/>
      <c r="BQ374" s="1002"/>
      <c r="BR374" s="1002"/>
      <c r="BS374" s="1002"/>
      <c r="BT374" s="1002"/>
      <c r="BU374" s="1002"/>
      <c r="BV374" s="1002"/>
      <c r="BW374" s="1002"/>
      <c r="BX374" s="1002"/>
      <c r="BY374" s="1002"/>
      <c r="BZ374" s="1002"/>
      <c r="CA374" s="1002"/>
      <c r="CB374" s="1002"/>
      <c r="CC374" s="1002"/>
      <c r="CD374" s="1002"/>
      <c r="CE374" s="1002"/>
      <c r="CF374" s="1002"/>
      <c r="CG374" s="1002"/>
      <c r="CH374" s="1002"/>
      <c r="CI374" s="1003"/>
    </row>
    <row r="375" spans="2:87" x14ac:dyDescent="0.2">
      <c r="B375" s="1300"/>
      <c r="C375" s="1301"/>
      <c r="D375" s="1301"/>
      <c r="E375" s="1301"/>
      <c r="F375" s="1301"/>
      <c r="G375" s="1301"/>
      <c r="H375" s="1301"/>
      <c r="I375" s="1301"/>
      <c r="J375" s="1301"/>
      <c r="K375" s="1301"/>
      <c r="L375" s="1301"/>
      <c r="M375" s="1301"/>
      <c r="N375" s="1301"/>
      <c r="O375" s="1301"/>
      <c r="P375" s="1301"/>
      <c r="Q375" s="1301"/>
      <c r="R375" s="1301"/>
      <c r="S375" s="1301"/>
      <c r="T375" s="1301"/>
      <c r="U375" s="1301"/>
      <c r="V375" s="1301"/>
      <c r="W375" s="1301"/>
      <c r="X375" s="1301"/>
      <c r="Y375" s="1301"/>
      <c r="Z375" s="1301"/>
      <c r="AA375" s="1301"/>
      <c r="AB375" s="1301"/>
      <c r="AC375" s="1301"/>
      <c r="AD375" s="1301"/>
      <c r="AE375" s="1301"/>
      <c r="AF375" s="1301"/>
      <c r="AG375" s="1301"/>
      <c r="AH375" s="1301"/>
      <c r="AI375" s="1301"/>
      <c r="AJ375" s="1301"/>
      <c r="AK375" s="1301"/>
      <c r="AL375" s="1301"/>
      <c r="AM375" s="1301"/>
      <c r="AN375" s="1301"/>
      <c r="AO375" s="1301"/>
      <c r="AP375" s="1301"/>
      <c r="AQ375" s="1301"/>
      <c r="AR375" s="1301"/>
      <c r="AS375" s="1301"/>
      <c r="AT375" s="1301"/>
      <c r="AU375" s="1301"/>
      <c r="AV375" s="1301"/>
      <c r="AW375" s="1301"/>
      <c r="AX375" s="1301"/>
      <c r="AY375" s="1301"/>
      <c r="AZ375" s="1301"/>
      <c r="BA375" s="1301"/>
      <c r="BB375" s="1301"/>
      <c r="BC375" s="1301"/>
      <c r="BD375" s="1301"/>
      <c r="BE375" s="1301"/>
      <c r="BF375" s="1301"/>
      <c r="BG375" s="1301"/>
      <c r="BH375" s="1301"/>
      <c r="BI375" s="1301"/>
      <c r="BJ375" s="1301"/>
      <c r="BK375" s="1301"/>
      <c r="BL375" s="1301"/>
      <c r="BM375" s="1301"/>
      <c r="BN375" s="1301"/>
      <c r="BO375" s="1301"/>
      <c r="BP375" s="1301"/>
      <c r="BQ375" s="1301"/>
      <c r="BR375" s="1301"/>
      <c r="BS375" s="1301"/>
      <c r="BT375" s="1301"/>
      <c r="BU375" s="1301"/>
      <c r="BV375" s="1301"/>
      <c r="BW375" s="1301"/>
      <c r="BX375" s="1301"/>
      <c r="BY375" s="1301"/>
      <c r="BZ375" s="1301"/>
      <c r="CA375" s="1301"/>
      <c r="CB375" s="1301"/>
      <c r="CC375" s="1301"/>
      <c r="CD375" s="1301"/>
      <c r="CE375" s="1301"/>
      <c r="CF375" s="1301"/>
      <c r="CG375" s="1301"/>
      <c r="CH375" s="1301"/>
      <c r="CI375" s="1302"/>
    </row>
    <row r="376" spans="2:87" x14ac:dyDescent="0.2">
      <c r="B376" s="1300" t="s">
        <v>795</v>
      </c>
      <c r="C376" s="1301"/>
      <c r="D376" s="1301"/>
      <c r="E376" s="1301"/>
      <c r="F376" s="1301"/>
      <c r="G376" s="1000" t="s">
        <v>208</v>
      </c>
      <c r="H376" s="1000" t="s">
        <v>209</v>
      </c>
      <c r="I376" s="1000" t="s">
        <v>210</v>
      </c>
      <c r="J376" s="1000" t="s">
        <v>211</v>
      </c>
      <c r="K376" s="1000" t="s">
        <v>212</v>
      </c>
      <c r="L376" s="1000" t="s">
        <v>213</v>
      </c>
      <c r="M376" s="1000" t="s">
        <v>214</v>
      </c>
      <c r="N376" s="1000" t="s">
        <v>215</v>
      </c>
      <c r="O376" s="1000" t="s">
        <v>216</v>
      </c>
      <c r="P376" s="1000" t="s">
        <v>217</v>
      </c>
      <c r="Q376" s="1000" t="s">
        <v>218</v>
      </c>
      <c r="R376" s="1000" t="s">
        <v>247</v>
      </c>
      <c r="S376" s="1000" t="s">
        <v>248</v>
      </c>
      <c r="T376" s="1000" t="s">
        <v>249</v>
      </c>
      <c r="U376" s="1000" t="s">
        <v>250</v>
      </c>
      <c r="V376" s="1000" t="s">
        <v>219</v>
      </c>
      <c r="W376" s="1000" t="s">
        <v>251</v>
      </c>
      <c r="X376" s="1000" t="s">
        <v>252</v>
      </c>
      <c r="Y376" s="1000" t="s">
        <v>253</v>
      </c>
      <c r="Z376" s="1000" t="s">
        <v>254</v>
      </c>
      <c r="AA376" s="1000" t="s">
        <v>220</v>
      </c>
      <c r="AB376" s="1000" t="s">
        <v>255</v>
      </c>
      <c r="AC376" s="1000" t="s">
        <v>256</v>
      </c>
      <c r="AD376" s="1000" t="s">
        <v>257</v>
      </c>
      <c r="AE376" s="1000" t="s">
        <v>258</v>
      </c>
      <c r="AF376" s="1000" t="s">
        <v>221</v>
      </c>
      <c r="AG376" s="1000" t="s">
        <v>259</v>
      </c>
      <c r="AH376" s="1000" t="s">
        <v>260</v>
      </c>
      <c r="AI376" s="1000" t="s">
        <v>261</v>
      </c>
      <c r="AJ376" s="1000" t="s">
        <v>262</v>
      </c>
      <c r="AK376" s="1000" t="s">
        <v>222</v>
      </c>
      <c r="AL376" s="1000"/>
      <c r="AM376" s="1000"/>
      <c r="AN376" s="1000"/>
      <c r="AO376" s="1000"/>
      <c r="AP376" s="1000"/>
      <c r="AQ376" s="1000"/>
      <c r="AR376" s="1000"/>
      <c r="AS376" s="1000"/>
      <c r="AT376" s="1000"/>
      <c r="AU376" s="1000"/>
      <c r="AV376" s="1000"/>
      <c r="AW376" s="1000"/>
      <c r="AX376" s="1000"/>
      <c r="AY376" s="1000"/>
      <c r="AZ376" s="1000"/>
      <c r="BA376" s="1000"/>
      <c r="BB376" s="1000"/>
      <c r="BC376" s="1000"/>
      <c r="BD376" s="1000"/>
      <c r="BE376" s="1000"/>
      <c r="BF376" s="1000"/>
      <c r="BG376" s="1000"/>
      <c r="BH376" s="1000"/>
      <c r="BI376" s="1000"/>
      <c r="BJ376" s="1000"/>
      <c r="BK376" s="1000"/>
      <c r="BL376" s="1000"/>
      <c r="BM376" s="1000"/>
      <c r="BN376" s="1000"/>
      <c r="BO376" s="1000"/>
      <c r="BP376" s="1000"/>
      <c r="BQ376" s="1000"/>
      <c r="BR376" s="1000"/>
      <c r="BS376" s="1000"/>
      <c r="BT376" s="1000"/>
      <c r="BU376" s="1000"/>
      <c r="BV376" s="1000"/>
      <c r="BW376" s="1000"/>
      <c r="BX376" s="1000"/>
      <c r="BY376" s="1000"/>
      <c r="BZ376" s="1000"/>
      <c r="CA376" s="1000"/>
      <c r="CB376" s="1000"/>
      <c r="CC376" s="1000"/>
      <c r="CD376" s="1000"/>
      <c r="CE376" s="1000"/>
      <c r="CF376" s="1000"/>
      <c r="CG376" s="1000"/>
      <c r="CH376" s="1000"/>
      <c r="CI376" s="1001"/>
    </row>
    <row r="377" spans="2:87" x14ac:dyDescent="0.2">
      <c r="B377" s="1300"/>
      <c r="C377" s="1301" t="s">
        <v>789</v>
      </c>
      <c r="D377" s="1301"/>
      <c r="E377" s="1301" t="s">
        <v>236</v>
      </c>
      <c r="F377" s="1301">
        <v>2</v>
      </c>
      <c r="G377" s="1002">
        <f t="shared" ref="G377:AK378" si="127">G136-G147</f>
        <v>0</v>
      </c>
      <c r="H377" s="1002">
        <f t="shared" si="127"/>
        <v>0</v>
      </c>
      <c r="I377" s="1002">
        <f t="shared" si="127"/>
        <v>3.5771081704841108</v>
      </c>
      <c r="J377" s="1002">
        <f t="shared" si="127"/>
        <v>3.5315187334006946</v>
      </c>
      <c r="K377" s="1002">
        <f t="shared" si="127"/>
        <v>3.5004188118572301</v>
      </c>
      <c r="L377" s="1002">
        <f t="shared" si="127"/>
        <v>3.4841080988470394</v>
      </c>
      <c r="M377" s="1002">
        <f t="shared" si="127"/>
        <v>3.441993131747719</v>
      </c>
      <c r="N377" s="1002">
        <f t="shared" si="127"/>
        <v>3.4461809223146092</v>
      </c>
      <c r="O377" s="1002">
        <f t="shared" si="127"/>
        <v>3.4576901217800158</v>
      </c>
      <c r="P377" s="1002">
        <f t="shared" si="127"/>
        <v>3.4154089757691786</v>
      </c>
      <c r="Q377" s="1002">
        <f t="shared" si="127"/>
        <v>3.6356167536518704</v>
      </c>
      <c r="R377" s="1002">
        <f t="shared" si="127"/>
        <v>4.0632989416697152</v>
      </c>
      <c r="S377" s="1002">
        <f t="shared" si="127"/>
        <v>4.1999793456506112</v>
      </c>
      <c r="T377" s="1002">
        <f t="shared" si="127"/>
        <v>4.1438901019174299</v>
      </c>
      <c r="U377" s="1002">
        <f t="shared" si="127"/>
        <v>4.075699049873557</v>
      </c>
      <c r="V377" s="1002">
        <f t="shared" si="127"/>
        <v>4.0091103137736441</v>
      </c>
      <c r="W377" s="1002">
        <f t="shared" si="127"/>
        <v>3.992958384043475</v>
      </c>
      <c r="X377" s="1002">
        <f t="shared" si="127"/>
        <v>3.9779427745550389</v>
      </c>
      <c r="Y377" s="1002">
        <f t="shared" si="127"/>
        <v>3.9643933051713351</v>
      </c>
      <c r="Z377" s="1002">
        <f t="shared" si="127"/>
        <v>3.9524185275714592</v>
      </c>
      <c r="AA377" s="1002">
        <f t="shared" si="127"/>
        <v>3.9381452810393371</v>
      </c>
      <c r="AB377" s="1002">
        <f t="shared" si="127"/>
        <v>3.9173819026348089</v>
      </c>
      <c r="AC377" s="1002">
        <f t="shared" si="127"/>
        <v>3.9031891507099155</v>
      </c>
      <c r="AD377" s="1002">
        <f t="shared" si="127"/>
        <v>3.8908346985839688</v>
      </c>
      <c r="AE377" s="1002">
        <f t="shared" si="127"/>
        <v>3.8945147673516112</v>
      </c>
      <c r="AF377" s="1002">
        <f t="shared" si="127"/>
        <v>3.8987382621839792</v>
      </c>
      <c r="AG377" s="1002">
        <f t="shared" si="127"/>
        <v>3.902902628949223</v>
      </c>
      <c r="AH377" s="1002">
        <f t="shared" si="127"/>
        <v>3.9082638067330828</v>
      </c>
      <c r="AI377" s="1002">
        <f t="shared" si="127"/>
        <v>3.9138197949386426</v>
      </c>
      <c r="AJ377" s="1002">
        <f t="shared" si="127"/>
        <v>3.9201803183577475</v>
      </c>
      <c r="AK377" s="1002">
        <f t="shared" si="127"/>
        <v>3.9263584845414816</v>
      </c>
      <c r="AL377" s="1002"/>
      <c r="AM377" s="1002"/>
      <c r="AN377" s="1002"/>
      <c r="AO377" s="1002"/>
      <c r="AP377" s="1002"/>
      <c r="AQ377" s="1002"/>
      <c r="AR377" s="1002"/>
      <c r="AS377" s="1002"/>
      <c r="AT377" s="1002"/>
      <c r="AU377" s="1002"/>
      <c r="AV377" s="1002"/>
      <c r="AW377" s="1002"/>
      <c r="AX377" s="1002"/>
      <c r="AY377" s="1002"/>
      <c r="AZ377" s="1002"/>
      <c r="BA377" s="1002"/>
      <c r="BB377" s="1002"/>
      <c r="BC377" s="1002"/>
      <c r="BD377" s="1002"/>
      <c r="BE377" s="1002"/>
      <c r="BF377" s="1002"/>
      <c r="BG377" s="1002"/>
      <c r="BH377" s="1002"/>
      <c r="BI377" s="1002"/>
      <c r="BJ377" s="1002"/>
      <c r="BK377" s="1002"/>
      <c r="BL377" s="1002"/>
      <c r="BM377" s="1002"/>
      <c r="BN377" s="1002"/>
      <c r="BO377" s="1002"/>
      <c r="BP377" s="1002"/>
      <c r="BQ377" s="1002"/>
      <c r="BR377" s="1002"/>
      <c r="BS377" s="1002"/>
      <c r="BT377" s="1002"/>
      <c r="BU377" s="1002"/>
      <c r="BV377" s="1002"/>
      <c r="BW377" s="1002"/>
      <c r="BX377" s="1002"/>
      <c r="BY377" s="1002"/>
      <c r="BZ377" s="1002"/>
      <c r="CA377" s="1002"/>
      <c r="CB377" s="1002"/>
      <c r="CC377" s="1002"/>
      <c r="CD377" s="1002"/>
      <c r="CE377" s="1002"/>
      <c r="CF377" s="1002"/>
      <c r="CG377" s="1002"/>
      <c r="CH377" s="1002"/>
      <c r="CI377" s="1003"/>
    </row>
    <row r="378" spans="2:87" x14ac:dyDescent="0.2">
      <c r="B378" s="1300"/>
      <c r="C378" s="1301" t="s">
        <v>790</v>
      </c>
      <c r="D378" s="1301"/>
      <c r="E378" s="1301" t="s">
        <v>236</v>
      </c>
      <c r="F378" s="1301">
        <v>2</v>
      </c>
      <c r="G378" s="1002">
        <f t="shared" si="127"/>
        <v>0</v>
      </c>
      <c r="H378" s="1002">
        <f t="shared" si="127"/>
        <v>0</v>
      </c>
      <c r="I378" s="1002">
        <f t="shared" si="127"/>
        <v>1.638080723282082</v>
      </c>
      <c r="J378" s="1002">
        <f t="shared" si="127"/>
        <v>1.6646860065327662</v>
      </c>
      <c r="K378" s="1002">
        <f t="shared" si="127"/>
        <v>1.5299959878095435</v>
      </c>
      <c r="L378" s="1002">
        <f t="shared" si="127"/>
        <v>1.4702742309432693</v>
      </c>
      <c r="M378" s="1002">
        <f t="shared" si="127"/>
        <v>1.4069200943639664</v>
      </c>
      <c r="N378" s="1002">
        <f t="shared" si="127"/>
        <v>1.377731552627721</v>
      </c>
      <c r="O378" s="1002">
        <f t="shared" si="127"/>
        <v>1.3453039952734656</v>
      </c>
      <c r="P378" s="1002">
        <f t="shared" si="127"/>
        <v>1.3074907359546022</v>
      </c>
      <c r="Q378" s="1002">
        <f t="shared" si="127"/>
        <v>0.95816202595392819</v>
      </c>
      <c r="R378" s="1002">
        <f t="shared" si="127"/>
        <v>0.4206560737008303</v>
      </c>
      <c r="S378" s="1002">
        <f t="shared" si="127"/>
        <v>0.21085952153411883</v>
      </c>
      <c r="T378" s="1002">
        <f t="shared" si="127"/>
        <v>0.20778913078804362</v>
      </c>
      <c r="U378" s="1002">
        <f t="shared" si="127"/>
        <v>0.20405472445109704</v>
      </c>
      <c r="V378" s="1002">
        <f t="shared" si="127"/>
        <v>0.2002976439825119</v>
      </c>
      <c r="W378" s="1002">
        <f t="shared" si="127"/>
        <v>0.19760804613002109</v>
      </c>
      <c r="X378" s="1002">
        <f t="shared" si="127"/>
        <v>0.19490041823696275</v>
      </c>
      <c r="Y378" s="1002">
        <f t="shared" si="127"/>
        <v>0.19215522761494647</v>
      </c>
      <c r="Z378" s="1002">
        <f t="shared" si="127"/>
        <v>0.18944259167529137</v>
      </c>
      <c r="AA378" s="1002">
        <f t="shared" si="127"/>
        <v>0.18669700878569578</v>
      </c>
      <c r="AB378" s="1002">
        <f t="shared" si="127"/>
        <v>0.18373862685046613</v>
      </c>
      <c r="AC378" s="1002">
        <f t="shared" si="127"/>
        <v>0.18056468958170754</v>
      </c>
      <c r="AD378" s="1002">
        <f t="shared" si="127"/>
        <v>0.17750550293627276</v>
      </c>
      <c r="AE378" s="1002">
        <f t="shared" si="127"/>
        <v>0.17532554728622929</v>
      </c>
      <c r="AF378" s="1002">
        <f t="shared" si="127"/>
        <v>0.17315576265797133</v>
      </c>
      <c r="AG378" s="1002">
        <f t="shared" si="127"/>
        <v>0.17102657971223217</v>
      </c>
      <c r="AH378" s="1002">
        <f t="shared" si="127"/>
        <v>0.16895730223401442</v>
      </c>
      <c r="AI378" s="1002">
        <f t="shared" si="127"/>
        <v>0.16687712223910428</v>
      </c>
      <c r="AJ378" s="1002">
        <f t="shared" si="127"/>
        <v>0.1648109842959237</v>
      </c>
      <c r="AK378" s="1002">
        <f t="shared" si="127"/>
        <v>0.16268839141161279</v>
      </c>
      <c r="AL378" s="1002"/>
      <c r="AM378" s="1002"/>
      <c r="AN378" s="1002"/>
      <c r="AO378" s="1002"/>
      <c r="AP378" s="1002"/>
      <c r="AQ378" s="1002"/>
      <c r="AR378" s="1002"/>
      <c r="AS378" s="1002"/>
      <c r="AT378" s="1002"/>
      <c r="AU378" s="1002"/>
      <c r="AV378" s="1002"/>
      <c r="AW378" s="1002"/>
      <c r="AX378" s="1002"/>
      <c r="AY378" s="1002"/>
      <c r="AZ378" s="1002"/>
      <c r="BA378" s="1002"/>
      <c r="BB378" s="1002"/>
      <c r="BC378" s="1002"/>
      <c r="BD378" s="1002"/>
      <c r="BE378" s="1002"/>
      <c r="BF378" s="1002"/>
      <c r="BG378" s="1002"/>
      <c r="BH378" s="1002"/>
      <c r="BI378" s="1002"/>
      <c r="BJ378" s="1002"/>
      <c r="BK378" s="1002"/>
      <c r="BL378" s="1002"/>
      <c r="BM378" s="1002"/>
      <c r="BN378" s="1002"/>
      <c r="BO378" s="1002"/>
      <c r="BP378" s="1002"/>
      <c r="BQ378" s="1002"/>
      <c r="BR378" s="1002"/>
      <c r="BS378" s="1002"/>
      <c r="BT378" s="1002"/>
      <c r="BU378" s="1002"/>
      <c r="BV378" s="1002"/>
      <c r="BW378" s="1002"/>
      <c r="BX378" s="1002"/>
      <c r="BY378" s="1002"/>
      <c r="BZ378" s="1002"/>
      <c r="CA378" s="1002"/>
      <c r="CB378" s="1002"/>
      <c r="CC378" s="1002"/>
      <c r="CD378" s="1002"/>
      <c r="CE378" s="1002"/>
      <c r="CF378" s="1002"/>
      <c r="CG378" s="1002"/>
      <c r="CH378" s="1002"/>
      <c r="CI378" s="1003"/>
    </row>
    <row r="379" spans="2:87" x14ac:dyDescent="0.2">
      <c r="B379" s="1300"/>
      <c r="C379" s="1301" t="s">
        <v>791</v>
      </c>
      <c r="D379" s="1301"/>
      <c r="E379" s="1301" t="s">
        <v>236</v>
      </c>
      <c r="F379" s="1301">
        <v>2</v>
      </c>
      <c r="G379" s="1002">
        <f t="shared" ref="G379:AK379" si="128">G133+G135-G145-G146</f>
        <v>0</v>
      </c>
      <c r="H379" s="1002">
        <f t="shared" si="128"/>
        <v>0</v>
      </c>
      <c r="I379" s="1002">
        <f t="shared" si="128"/>
        <v>3.3693909383156622</v>
      </c>
      <c r="J379" s="1002">
        <f t="shared" si="128"/>
        <v>3.1604117352983154</v>
      </c>
      <c r="K379" s="1002">
        <f t="shared" si="128"/>
        <v>3.3245646750143569</v>
      </c>
      <c r="L379" s="1002">
        <f t="shared" si="128"/>
        <v>3.5047252126054942</v>
      </c>
      <c r="M379" s="1002">
        <f t="shared" si="128"/>
        <v>3.6520113216914183</v>
      </c>
      <c r="N379" s="1002">
        <f t="shared" si="128"/>
        <v>3.6924571484963109</v>
      </c>
      <c r="O379" s="1002">
        <f t="shared" si="128"/>
        <v>3.6974678061758235</v>
      </c>
      <c r="P379" s="1002">
        <f t="shared" si="128"/>
        <v>3.7017902384596364</v>
      </c>
      <c r="Q379" s="1002">
        <f t="shared" si="128"/>
        <v>3.7032156001271237</v>
      </c>
      <c r="R379" s="1002">
        <f t="shared" si="128"/>
        <v>3.6891916713526549</v>
      </c>
      <c r="S379" s="1002">
        <f t="shared" si="128"/>
        <v>3.6744131016962442</v>
      </c>
      <c r="T379" s="1002">
        <f t="shared" si="128"/>
        <v>5.9494256274818991</v>
      </c>
      <c r="U379" s="1002">
        <f t="shared" si="128"/>
        <v>5.9346348369737667</v>
      </c>
      <c r="V379" s="1002">
        <f t="shared" si="128"/>
        <v>5.9199905398854531</v>
      </c>
      <c r="W379" s="1002">
        <f t="shared" si="128"/>
        <v>5.9070183983038351</v>
      </c>
      <c r="X379" s="1002">
        <f t="shared" si="128"/>
        <v>5.8940198903643122</v>
      </c>
      <c r="Y379" s="1002">
        <f t="shared" si="128"/>
        <v>5.8812002564830053</v>
      </c>
      <c r="Z379" s="1002">
        <f t="shared" si="128"/>
        <v>5.8885750434964521</v>
      </c>
      <c r="AA379" s="1002">
        <f t="shared" si="128"/>
        <v>5.895974370912306</v>
      </c>
      <c r="AB379" s="1002">
        <f t="shared" si="128"/>
        <v>5.9033838248178201</v>
      </c>
      <c r="AC379" s="1002">
        <f t="shared" si="128"/>
        <v>5.9107721357604479</v>
      </c>
      <c r="AD379" s="1002">
        <f t="shared" si="128"/>
        <v>5.9180295738902675</v>
      </c>
      <c r="AE379" s="1002">
        <f t="shared" si="128"/>
        <v>5.9251121239969331</v>
      </c>
      <c r="AF379" s="1002">
        <f t="shared" si="128"/>
        <v>5.9321360377492685</v>
      </c>
      <c r="AG379" s="1002">
        <f t="shared" si="128"/>
        <v>5.939033510157893</v>
      </c>
      <c r="AH379" s="1002">
        <f t="shared" si="128"/>
        <v>5.9459022308044576</v>
      </c>
      <c r="AI379" s="1002">
        <f t="shared" si="128"/>
        <v>5.952721829982738</v>
      </c>
      <c r="AJ379" s="1002">
        <f t="shared" si="128"/>
        <v>5.9594577579814221</v>
      </c>
      <c r="AK379" s="1002">
        <f t="shared" si="128"/>
        <v>5.9661775232560617</v>
      </c>
      <c r="AL379" s="1002"/>
      <c r="AM379" s="1002"/>
      <c r="AN379" s="1002"/>
      <c r="AO379" s="1002"/>
      <c r="AP379" s="1002"/>
      <c r="AQ379" s="1002"/>
      <c r="AR379" s="1002"/>
      <c r="AS379" s="1002"/>
      <c r="AT379" s="1002"/>
      <c r="AU379" s="1002"/>
      <c r="AV379" s="1002"/>
      <c r="AW379" s="1002"/>
      <c r="AX379" s="1002"/>
      <c r="AY379" s="1002"/>
      <c r="AZ379" s="1002"/>
      <c r="BA379" s="1002"/>
      <c r="BB379" s="1002"/>
      <c r="BC379" s="1002"/>
      <c r="BD379" s="1002"/>
      <c r="BE379" s="1002"/>
      <c r="BF379" s="1002"/>
      <c r="BG379" s="1002"/>
      <c r="BH379" s="1002"/>
      <c r="BI379" s="1002"/>
      <c r="BJ379" s="1002"/>
      <c r="BK379" s="1002"/>
      <c r="BL379" s="1002"/>
      <c r="BM379" s="1002"/>
      <c r="BN379" s="1002"/>
      <c r="BO379" s="1002"/>
      <c r="BP379" s="1002"/>
      <c r="BQ379" s="1002"/>
      <c r="BR379" s="1002"/>
      <c r="BS379" s="1002"/>
      <c r="BT379" s="1002"/>
      <c r="BU379" s="1002"/>
      <c r="BV379" s="1002"/>
      <c r="BW379" s="1002"/>
      <c r="BX379" s="1002"/>
      <c r="BY379" s="1002"/>
      <c r="BZ379" s="1002"/>
      <c r="CA379" s="1002"/>
      <c r="CB379" s="1002"/>
      <c r="CC379" s="1002"/>
      <c r="CD379" s="1002"/>
      <c r="CE379" s="1002"/>
      <c r="CF379" s="1002"/>
      <c r="CG379" s="1002"/>
      <c r="CH379" s="1002"/>
      <c r="CI379" s="1003"/>
    </row>
    <row r="380" spans="2:87" x14ac:dyDescent="0.2">
      <c r="B380" s="1300"/>
      <c r="C380" s="1301" t="s">
        <v>243</v>
      </c>
      <c r="D380" s="1301"/>
      <c r="E380" s="1301" t="s">
        <v>236</v>
      </c>
      <c r="F380" s="1301">
        <v>2</v>
      </c>
      <c r="G380" s="1002">
        <f t="shared" ref="G380:AK380" si="129">G151</f>
        <v>0</v>
      </c>
      <c r="H380" s="1002">
        <f t="shared" si="129"/>
        <v>0</v>
      </c>
      <c r="I380" s="1002">
        <f t="shared" si="129"/>
        <v>1.9305131976000001</v>
      </c>
      <c r="J380" s="1002">
        <f t="shared" si="129"/>
        <v>1.6747597999999997</v>
      </c>
      <c r="K380" s="1002">
        <f t="shared" si="129"/>
        <v>1.6092663999999997</v>
      </c>
      <c r="L380" s="1002">
        <f t="shared" si="129"/>
        <v>1.5437730000000001</v>
      </c>
      <c r="M380" s="1002">
        <f t="shared" si="129"/>
        <v>1.5281028000000001</v>
      </c>
      <c r="N380" s="1002">
        <f t="shared" si="129"/>
        <v>1.5124326000000001</v>
      </c>
      <c r="O380" s="1002">
        <f t="shared" si="129"/>
        <v>1.4967624000000002</v>
      </c>
      <c r="P380" s="1002">
        <f t="shared" si="129"/>
        <v>1.4810922000000002</v>
      </c>
      <c r="Q380" s="1002">
        <f t="shared" si="129"/>
        <v>1.4654220000000002</v>
      </c>
      <c r="R380" s="1002">
        <f t="shared" si="129"/>
        <v>1.4497518000000003</v>
      </c>
      <c r="S380" s="1002">
        <f t="shared" si="129"/>
        <v>1.4340816000000003</v>
      </c>
      <c r="T380" s="1002">
        <f t="shared" si="129"/>
        <v>1.4184114000000003</v>
      </c>
      <c r="U380" s="1002">
        <f t="shared" si="129"/>
        <v>1.4027412000000004</v>
      </c>
      <c r="V380" s="1002">
        <f t="shared" si="129"/>
        <v>1.3870710000000004</v>
      </c>
      <c r="W380" s="1002">
        <f t="shared" si="129"/>
        <v>1.3714008000000004</v>
      </c>
      <c r="X380" s="1002">
        <f t="shared" si="129"/>
        <v>1.3557306000000005</v>
      </c>
      <c r="Y380" s="1002">
        <f t="shared" si="129"/>
        <v>1.3400604000000005</v>
      </c>
      <c r="Z380" s="1002">
        <f t="shared" si="129"/>
        <v>1.3243902000000005</v>
      </c>
      <c r="AA380" s="1002">
        <f t="shared" si="129"/>
        <v>1.3087200000000005</v>
      </c>
      <c r="AB380" s="1002">
        <f t="shared" si="129"/>
        <v>1.2930498000000006</v>
      </c>
      <c r="AC380" s="1002">
        <f t="shared" si="129"/>
        <v>1.2773796000000006</v>
      </c>
      <c r="AD380" s="1002">
        <f t="shared" si="129"/>
        <v>1.2617094000000004</v>
      </c>
      <c r="AE380" s="1002">
        <f t="shared" si="129"/>
        <v>1.2460392000000007</v>
      </c>
      <c r="AF380" s="1002">
        <f t="shared" si="129"/>
        <v>1.2303690000000007</v>
      </c>
      <c r="AG380" s="1002">
        <f t="shared" si="129"/>
        <v>1.2146988000000007</v>
      </c>
      <c r="AH380" s="1002">
        <f t="shared" si="129"/>
        <v>1.1990286000000008</v>
      </c>
      <c r="AI380" s="1002">
        <f t="shared" si="129"/>
        <v>1.1833584000000008</v>
      </c>
      <c r="AJ380" s="1002">
        <f t="shared" si="129"/>
        <v>1.1676882000000011</v>
      </c>
      <c r="AK380" s="1002">
        <f t="shared" si="129"/>
        <v>1.152018</v>
      </c>
      <c r="AL380" s="1002"/>
      <c r="AM380" s="1002"/>
      <c r="AN380" s="1002"/>
      <c r="AO380" s="1002"/>
      <c r="AP380" s="1002"/>
      <c r="AQ380" s="1002"/>
      <c r="AR380" s="1002"/>
      <c r="AS380" s="1002"/>
      <c r="AT380" s="1002"/>
      <c r="AU380" s="1002"/>
      <c r="AV380" s="1002"/>
      <c r="AW380" s="1002"/>
      <c r="AX380" s="1002"/>
      <c r="AY380" s="1002"/>
      <c r="AZ380" s="1002"/>
      <c r="BA380" s="1002"/>
      <c r="BB380" s="1002"/>
      <c r="BC380" s="1002"/>
      <c r="BD380" s="1002"/>
      <c r="BE380" s="1002"/>
      <c r="BF380" s="1002"/>
      <c r="BG380" s="1002"/>
      <c r="BH380" s="1002"/>
      <c r="BI380" s="1002"/>
      <c r="BJ380" s="1002"/>
      <c r="BK380" s="1002"/>
      <c r="BL380" s="1002"/>
      <c r="BM380" s="1002"/>
      <c r="BN380" s="1002"/>
      <c r="BO380" s="1002"/>
      <c r="BP380" s="1002"/>
      <c r="BQ380" s="1002"/>
      <c r="BR380" s="1002"/>
      <c r="BS380" s="1002"/>
      <c r="BT380" s="1002"/>
      <c r="BU380" s="1002"/>
      <c r="BV380" s="1002"/>
      <c r="BW380" s="1002"/>
      <c r="BX380" s="1002"/>
      <c r="BY380" s="1002"/>
      <c r="BZ380" s="1002"/>
      <c r="CA380" s="1002"/>
      <c r="CB380" s="1002"/>
      <c r="CC380" s="1002"/>
      <c r="CD380" s="1002"/>
      <c r="CE380" s="1002"/>
      <c r="CF380" s="1002"/>
      <c r="CG380" s="1002"/>
      <c r="CH380" s="1002"/>
      <c r="CI380" s="1003"/>
    </row>
    <row r="381" spans="2:87" x14ac:dyDescent="0.2">
      <c r="B381" s="1300"/>
      <c r="C381" s="1301" t="s">
        <v>792</v>
      </c>
      <c r="D381" s="1301"/>
      <c r="E381" s="1301" t="s">
        <v>236</v>
      </c>
      <c r="F381" s="1301">
        <v>2</v>
      </c>
      <c r="G381" s="1002">
        <f t="shared" ref="G381:AK381" si="130">G175-SUM(G377:G380)</f>
        <v>0</v>
      </c>
      <c r="H381" s="1002">
        <f t="shared" si="130"/>
        <v>0</v>
      </c>
      <c r="I381" s="1002">
        <f t="shared" si="130"/>
        <v>0.277795537065753</v>
      </c>
      <c r="J381" s="1002">
        <f t="shared" si="130"/>
        <v>0.28679110094586946</v>
      </c>
      <c r="K381" s="1002">
        <f t="shared" si="130"/>
        <v>0.28667830223778168</v>
      </c>
      <c r="L381" s="1002">
        <f t="shared" si="130"/>
        <v>0.28666635882526315</v>
      </c>
      <c r="M381" s="1002">
        <f t="shared" si="130"/>
        <v>0.28681847685005479</v>
      </c>
      <c r="N381" s="1002">
        <f t="shared" si="130"/>
        <v>0.2866665207354071</v>
      </c>
      <c r="O381" s="1002">
        <f t="shared" si="130"/>
        <v>0.28652547740467149</v>
      </c>
      <c r="P381" s="1002">
        <f t="shared" si="130"/>
        <v>0.28642721894646428</v>
      </c>
      <c r="Q381" s="1002">
        <f t="shared" si="130"/>
        <v>0.28634461313646931</v>
      </c>
      <c r="R381" s="1002">
        <f t="shared" si="130"/>
        <v>0.28626487528605793</v>
      </c>
      <c r="S381" s="1002">
        <f t="shared" si="130"/>
        <v>0.28618499380624129</v>
      </c>
      <c r="T381" s="1002">
        <f t="shared" si="130"/>
        <v>0.28610404658806488</v>
      </c>
      <c r="U381" s="1002">
        <f t="shared" si="130"/>
        <v>0.28602350265502352</v>
      </c>
      <c r="V381" s="1002">
        <f t="shared" si="130"/>
        <v>0.28594276315835288</v>
      </c>
      <c r="W381" s="1002">
        <f t="shared" si="130"/>
        <v>0.28586246422940143</v>
      </c>
      <c r="X381" s="1002">
        <f t="shared" si="130"/>
        <v>0.28578219794007609</v>
      </c>
      <c r="Y381" s="1002">
        <f t="shared" si="130"/>
        <v>0.28570269353270028</v>
      </c>
      <c r="Z381" s="1002">
        <f t="shared" si="130"/>
        <v>0.28562501572950438</v>
      </c>
      <c r="AA381" s="1002">
        <f t="shared" si="130"/>
        <v>0.28554803368088244</v>
      </c>
      <c r="AB381" s="1002">
        <f t="shared" si="130"/>
        <v>0.28547191934553773</v>
      </c>
      <c r="AC381" s="1002">
        <f t="shared" si="130"/>
        <v>0.28539721028058196</v>
      </c>
      <c r="AD381" s="1002">
        <f t="shared" si="130"/>
        <v>0.28532375301990953</v>
      </c>
      <c r="AE381" s="1002">
        <f t="shared" si="130"/>
        <v>0.28525038034806016</v>
      </c>
      <c r="AF381" s="1002">
        <f t="shared" si="130"/>
        <v>0.28517763265723239</v>
      </c>
      <c r="AG381" s="1002">
        <f t="shared" si="130"/>
        <v>0.28510556917935403</v>
      </c>
      <c r="AH381" s="1002">
        <f t="shared" si="130"/>
        <v>0.28503458647074886</v>
      </c>
      <c r="AI381" s="1002">
        <f t="shared" si="130"/>
        <v>0.28496514672452733</v>
      </c>
      <c r="AJ381" s="1002">
        <f t="shared" si="130"/>
        <v>0.28489715349054912</v>
      </c>
      <c r="AK381" s="1002">
        <f t="shared" si="130"/>
        <v>0.28483025542935536</v>
      </c>
      <c r="AL381" s="1002"/>
      <c r="AM381" s="1002"/>
      <c r="AN381" s="1002"/>
      <c r="AO381" s="1002"/>
      <c r="AP381" s="1002"/>
      <c r="AQ381" s="1002"/>
      <c r="AR381" s="1002"/>
      <c r="AS381" s="1002"/>
      <c r="AT381" s="1002"/>
      <c r="AU381" s="1002"/>
      <c r="AV381" s="1002"/>
      <c r="AW381" s="1002"/>
      <c r="AX381" s="1002"/>
      <c r="AY381" s="1002"/>
      <c r="AZ381" s="1002"/>
      <c r="BA381" s="1002"/>
      <c r="BB381" s="1002"/>
      <c r="BC381" s="1002"/>
      <c r="BD381" s="1002"/>
      <c r="BE381" s="1002"/>
      <c r="BF381" s="1002"/>
      <c r="BG381" s="1002"/>
      <c r="BH381" s="1002"/>
      <c r="BI381" s="1002"/>
      <c r="BJ381" s="1002"/>
      <c r="BK381" s="1002"/>
      <c r="BL381" s="1002"/>
      <c r="BM381" s="1002"/>
      <c r="BN381" s="1002"/>
      <c r="BO381" s="1002"/>
      <c r="BP381" s="1002"/>
      <c r="BQ381" s="1002"/>
      <c r="BR381" s="1002"/>
      <c r="BS381" s="1002"/>
      <c r="BT381" s="1002"/>
      <c r="BU381" s="1002"/>
      <c r="BV381" s="1002"/>
      <c r="BW381" s="1002"/>
      <c r="BX381" s="1002"/>
      <c r="BY381" s="1002"/>
      <c r="BZ381" s="1002"/>
      <c r="CA381" s="1002"/>
      <c r="CB381" s="1002"/>
      <c r="CC381" s="1002"/>
      <c r="CD381" s="1002"/>
      <c r="CE381" s="1002"/>
      <c r="CF381" s="1002"/>
      <c r="CG381" s="1002"/>
      <c r="CH381" s="1002"/>
      <c r="CI381" s="1003"/>
    </row>
    <row r="382" spans="2:87" x14ac:dyDescent="0.2">
      <c r="B382" s="1300"/>
      <c r="C382" s="1301" t="s">
        <v>793</v>
      </c>
      <c r="D382" s="1301"/>
      <c r="E382" s="1301" t="s">
        <v>236</v>
      </c>
      <c r="F382" s="1301">
        <v>2</v>
      </c>
      <c r="G382" s="1002">
        <f t="shared" ref="G382:AK382" si="131">G132</f>
        <v>0</v>
      </c>
      <c r="H382" s="1002">
        <f t="shared" si="131"/>
        <v>0</v>
      </c>
      <c r="I382" s="1002">
        <f t="shared" si="131"/>
        <v>13.021967751291383</v>
      </c>
      <c r="J382" s="1002">
        <f t="shared" si="131"/>
        <v>13.020985515613111</v>
      </c>
      <c r="K382" s="1002">
        <f t="shared" si="131"/>
        <v>13.000423079661331</v>
      </c>
      <c r="L382" s="1002">
        <f t="shared" si="131"/>
        <v>12.991059870935837</v>
      </c>
      <c r="M382" s="1002">
        <f t="shared" si="131"/>
        <v>12.978707985459138</v>
      </c>
      <c r="N382" s="1002">
        <f t="shared" si="131"/>
        <v>10.602136106764764</v>
      </c>
      <c r="O382" s="1002">
        <f t="shared" si="131"/>
        <v>10.561274070766373</v>
      </c>
      <c r="P382" s="1002">
        <f t="shared" si="131"/>
        <v>10.462990466738901</v>
      </c>
      <c r="Q382" s="1002">
        <f t="shared" si="131"/>
        <v>10.31940862250959</v>
      </c>
      <c r="R382" s="1002">
        <f t="shared" si="131"/>
        <v>10.167821180651023</v>
      </c>
      <c r="S382" s="1002">
        <f t="shared" si="131"/>
        <v>10.058270128125507</v>
      </c>
      <c r="T382" s="1002">
        <f t="shared" si="131"/>
        <v>12.283427063553368</v>
      </c>
      <c r="U382" s="1002">
        <f t="shared" si="131"/>
        <v>12.174285180576256</v>
      </c>
      <c r="V382" s="1002">
        <f t="shared" si="131"/>
        <v>12.066923925607624</v>
      </c>
      <c r="W382" s="1002">
        <f t="shared" si="131"/>
        <v>12.016186906657701</v>
      </c>
      <c r="X382" s="1002">
        <f t="shared" si="131"/>
        <v>11.963407172606587</v>
      </c>
      <c r="Y382" s="1002">
        <f t="shared" si="131"/>
        <v>11.914069234130809</v>
      </c>
      <c r="Z382" s="1002">
        <f t="shared" si="131"/>
        <v>11.888303291084233</v>
      </c>
      <c r="AA382" s="1002">
        <f t="shared" si="131"/>
        <v>11.856650774409543</v>
      </c>
      <c r="AB382" s="1002">
        <f t="shared" si="131"/>
        <v>11.819242800966892</v>
      </c>
      <c r="AC382" s="1002">
        <f t="shared" si="131"/>
        <v>11.790732914136751</v>
      </c>
      <c r="AD382" s="1002">
        <f t="shared" si="131"/>
        <v>11.761978646544748</v>
      </c>
      <c r="AE382" s="1002">
        <f t="shared" si="131"/>
        <v>11.750726977985254</v>
      </c>
      <c r="AF382" s="1002">
        <f t="shared" si="131"/>
        <v>11.740828119525114</v>
      </c>
      <c r="AG382" s="1002">
        <f t="shared" si="131"/>
        <v>11.730029117009467</v>
      </c>
      <c r="AH382" s="1002">
        <f t="shared" si="131"/>
        <v>11.719500596058939</v>
      </c>
      <c r="AI382" s="1002">
        <f t="shared" si="131"/>
        <v>11.706456071364567</v>
      </c>
      <c r="AJ382" s="1002">
        <f t="shared" si="131"/>
        <v>11.703423089765945</v>
      </c>
      <c r="AK382" s="1002">
        <f t="shared" si="131"/>
        <v>11.695416565828904</v>
      </c>
      <c r="AL382" s="1002"/>
      <c r="AM382" s="1002"/>
      <c r="AN382" s="1002"/>
      <c r="AO382" s="1002"/>
      <c r="AP382" s="1002"/>
      <c r="AQ382" s="1002"/>
      <c r="AR382" s="1002"/>
      <c r="AS382" s="1002"/>
      <c r="AT382" s="1002"/>
      <c r="AU382" s="1002"/>
      <c r="AV382" s="1002"/>
      <c r="AW382" s="1002"/>
      <c r="AX382" s="1002"/>
      <c r="AY382" s="1002"/>
      <c r="AZ382" s="1002"/>
      <c r="BA382" s="1002"/>
      <c r="BB382" s="1002"/>
      <c r="BC382" s="1002"/>
      <c r="BD382" s="1002"/>
      <c r="BE382" s="1002"/>
      <c r="BF382" s="1002"/>
      <c r="BG382" s="1002"/>
      <c r="BH382" s="1002"/>
      <c r="BI382" s="1002"/>
      <c r="BJ382" s="1002"/>
      <c r="BK382" s="1002"/>
      <c r="BL382" s="1002"/>
      <c r="BM382" s="1002"/>
      <c r="BN382" s="1002"/>
      <c r="BO382" s="1002"/>
      <c r="BP382" s="1002"/>
      <c r="BQ382" s="1002"/>
      <c r="BR382" s="1002"/>
      <c r="BS382" s="1002"/>
      <c r="BT382" s="1002"/>
      <c r="BU382" s="1002"/>
      <c r="BV382" s="1002"/>
      <c r="BW382" s="1002"/>
      <c r="BX382" s="1002"/>
      <c r="BY382" s="1002"/>
      <c r="BZ382" s="1002"/>
      <c r="CA382" s="1002"/>
      <c r="CB382" s="1002"/>
      <c r="CC382" s="1002"/>
      <c r="CD382" s="1002"/>
      <c r="CE382" s="1002"/>
      <c r="CF382" s="1002"/>
      <c r="CG382" s="1002"/>
      <c r="CH382" s="1002"/>
      <c r="CI382" s="1003"/>
    </row>
    <row r="383" spans="2:87" x14ac:dyDescent="0.2">
      <c r="B383" s="1300"/>
      <c r="C383" s="1301" t="s">
        <v>794</v>
      </c>
      <c r="D383" s="1301"/>
      <c r="E383" s="1301" t="s">
        <v>236</v>
      </c>
      <c r="F383" s="1301">
        <v>2</v>
      </c>
      <c r="G383" s="1002">
        <f t="shared" ref="G383:AK383" si="132">SUM(G377:G381)+G178</f>
        <v>0</v>
      </c>
      <c r="H383" s="1002">
        <f t="shared" si="132"/>
        <v>0</v>
      </c>
      <c r="I383" s="1002">
        <f t="shared" si="132"/>
        <v>10.996004728105293</v>
      </c>
      <c r="J383" s="1002">
        <f t="shared" si="132"/>
        <v>10.526038798015611</v>
      </c>
      <c r="K383" s="1002">
        <f t="shared" si="132"/>
        <v>10.522146777848395</v>
      </c>
      <c r="L383" s="1002">
        <f t="shared" si="132"/>
        <v>10.560886691421937</v>
      </c>
      <c r="M383" s="1002">
        <f t="shared" si="132"/>
        <v>10.583024947647225</v>
      </c>
      <c r="N383" s="1002">
        <f t="shared" si="132"/>
        <v>10.572136106764765</v>
      </c>
      <c r="O383" s="1002">
        <f t="shared" si="132"/>
        <v>10.531274070766374</v>
      </c>
      <c r="P383" s="1002">
        <f t="shared" si="132"/>
        <v>10.4329904667389</v>
      </c>
      <c r="Q383" s="1002">
        <f t="shared" si="132"/>
        <v>10.28940862250959</v>
      </c>
      <c r="R383" s="1002">
        <f t="shared" si="132"/>
        <v>10.137821180651024</v>
      </c>
      <c r="S383" s="1002">
        <f t="shared" si="132"/>
        <v>10.028270128125508</v>
      </c>
      <c r="T383" s="1002">
        <f t="shared" si="132"/>
        <v>12.253427063553369</v>
      </c>
      <c r="U383" s="1002">
        <f t="shared" si="132"/>
        <v>12.144285180576254</v>
      </c>
      <c r="V383" s="1002">
        <f t="shared" si="132"/>
        <v>12.036923925607624</v>
      </c>
      <c r="W383" s="1002">
        <f t="shared" si="132"/>
        <v>11.986186906657702</v>
      </c>
      <c r="X383" s="1002">
        <f t="shared" si="132"/>
        <v>11.933407172606588</v>
      </c>
      <c r="Y383" s="1002">
        <f t="shared" si="132"/>
        <v>11.884069234130807</v>
      </c>
      <c r="Z383" s="1002">
        <f t="shared" si="132"/>
        <v>11.858303291084232</v>
      </c>
      <c r="AA383" s="1002">
        <f t="shared" si="132"/>
        <v>11.826650774409543</v>
      </c>
      <c r="AB383" s="1002">
        <f t="shared" si="132"/>
        <v>11.789242800966891</v>
      </c>
      <c r="AC383" s="1002">
        <f t="shared" si="132"/>
        <v>11.760732914136749</v>
      </c>
      <c r="AD383" s="1002">
        <f t="shared" si="132"/>
        <v>11.731978646544746</v>
      </c>
      <c r="AE383" s="1002">
        <f t="shared" si="132"/>
        <v>11.720726977985253</v>
      </c>
      <c r="AF383" s="1002">
        <f t="shared" si="132"/>
        <v>11.710828119525113</v>
      </c>
      <c r="AG383" s="1002">
        <f t="shared" si="132"/>
        <v>11.700029117009466</v>
      </c>
      <c r="AH383" s="1002">
        <f t="shared" si="132"/>
        <v>11.689500596058942</v>
      </c>
      <c r="AI383" s="1002">
        <f t="shared" si="132"/>
        <v>11.676456071364568</v>
      </c>
      <c r="AJ383" s="1002">
        <f t="shared" si="132"/>
        <v>11.673423089765944</v>
      </c>
      <c r="AK383" s="1002">
        <f t="shared" si="132"/>
        <v>11.665416565828904</v>
      </c>
      <c r="AL383" s="1002"/>
      <c r="AM383" s="1002"/>
      <c r="AN383" s="1002"/>
      <c r="AO383" s="1002"/>
      <c r="AP383" s="1002"/>
      <c r="AQ383" s="1002"/>
      <c r="AR383" s="1002"/>
      <c r="AS383" s="1002"/>
      <c r="AT383" s="1002"/>
      <c r="AU383" s="1002"/>
      <c r="AV383" s="1002"/>
      <c r="AW383" s="1002"/>
      <c r="AX383" s="1002"/>
      <c r="AY383" s="1002"/>
      <c r="AZ383" s="1002"/>
      <c r="BA383" s="1002"/>
      <c r="BB383" s="1002"/>
      <c r="BC383" s="1002"/>
      <c r="BD383" s="1002"/>
      <c r="BE383" s="1002"/>
      <c r="BF383" s="1002"/>
      <c r="BG383" s="1002"/>
      <c r="BH383" s="1002"/>
      <c r="BI383" s="1002"/>
      <c r="BJ383" s="1002"/>
      <c r="BK383" s="1002"/>
      <c r="BL383" s="1002"/>
      <c r="BM383" s="1002"/>
      <c r="BN383" s="1002"/>
      <c r="BO383" s="1002"/>
      <c r="BP383" s="1002"/>
      <c r="BQ383" s="1002"/>
      <c r="BR383" s="1002"/>
      <c r="BS383" s="1002"/>
      <c r="BT383" s="1002"/>
      <c r="BU383" s="1002"/>
      <c r="BV383" s="1002"/>
      <c r="BW383" s="1002"/>
      <c r="BX383" s="1002"/>
      <c r="BY383" s="1002"/>
      <c r="BZ383" s="1002"/>
      <c r="CA383" s="1002"/>
      <c r="CB383" s="1002"/>
      <c r="CC383" s="1002"/>
      <c r="CD383" s="1002"/>
      <c r="CE383" s="1002"/>
      <c r="CF383" s="1002"/>
      <c r="CG383" s="1002"/>
      <c r="CH383" s="1002"/>
      <c r="CI383" s="1003"/>
    </row>
    <row r="384" spans="2:87" x14ac:dyDescent="0.2">
      <c r="B384" s="1300"/>
      <c r="C384" s="1301"/>
      <c r="D384" s="1301"/>
      <c r="E384" s="1301"/>
      <c r="F384" s="1301"/>
      <c r="G384" s="1301"/>
      <c r="H384" s="1301"/>
      <c r="I384" s="1301"/>
      <c r="J384" s="1301"/>
      <c r="K384" s="1301"/>
      <c r="L384" s="1301"/>
      <c r="M384" s="1301"/>
      <c r="N384" s="1301"/>
      <c r="O384" s="1301"/>
      <c r="P384" s="1301"/>
      <c r="Q384" s="1301"/>
      <c r="R384" s="1301"/>
      <c r="S384" s="1301"/>
      <c r="T384" s="1301"/>
      <c r="U384" s="1301"/>
      <c r="V384" s="1301"/>
      <c r="W384" s="1301"/>
      <c r="X384" s="1301"/>
      <c r="Y384" s="1301"/>
      <c r="Z384" s="1301"/>
      <c r="AA384" s="1301"/>
      <c r="AB384" s="1301"/>
      <c r="AC384" s="1301"/>
      <c r="AD384" s="1301"/>
      <c r="AE384" s="1301"/>
      <c r="AF384" s="1301"/>
      <c r="AG384" s="1301"/>
      <c r="AH384" s="1301"/>
      <c r="AI384" s="1301"/>
      <c r="AJ384" s="1301"/>
      <c r="AK384" s="1301"/>
      <c r="AL384" s="1301"/>
      <c r="AM384" s="1301"/>
      <c r="AN384" s="1301"/>
      <c r="AO384" s="1301"/>
      <c r="AP384" s="1301"/>
      <c r="AQ384" s="1301"/>
      <c r="AR384" s="1301"/>
      <c r="AS384" s="1301"/>
      <c r="AT384" s="1301"/>
      <c r="AU384" s="1301"/>
      <c r="AV384" s="1301"/>
      <c r="AW384" s="1301"/>
      <c r="AX384" s="1301"/>
      <c r="AY384" s="1301"/>
      <c r="AZ384" s="1301"/>
      <c r="BA384" s="1301"/>
      <c r="BB384" s="1301"/>
      <c r="BC384" s="1301"/>
      <c r="BD384" s="1301"/>
      <c r="BE384" s="1301"/>
      <c r="BF384" s="1301"/>
      <c r="BG384" s="1301"/>
      <c r="BH384" s="1301"/>
      <c r="BI384" s="1301"/>
      <c r="BJ384" s="1301"/>
      <c r="BK384" s="1301"/>
      <c r="BL384" s="1301"/>
      <c r="BM384" s="1301"/>
      <c r="BN384" s="1301"/>
      <c r="BO384" s="1301"/>
      <c r="BP384" s="1301"/>
      <c r="BQ384" s="1301"/>
      <c r="BR384" s="1301"/>
      <c r="BS384" s="1301"/>
      <c r="BT384" s="1301"/>
      <c r="BU384" s="1301"/>
      <c r="BV384" s="1301"/>
      <c r="BW384" s="1301"/>
      <c r="BX384" s="1301"/>
      <c r="BY384" s="1301"/>
      <c r="BZ384" s="1301"/>
      <c r="CA384" s="1301"/>
      <c r="CB384" s="1301"/>
      <c r="CC384" s="1301"/>
      <c r="CD384" s="1301"/>
      <c r="CE384" s="1301"/>
      <c r="CF384" s="1301"/>
      <c r="CG384" s="1301"/>
      <c r="CH384" s="1301"/>
      <c r="CI384" s="1302"/>
    </row>
    <row r="385" spans="2:87" x14ac:dyDescent="0.2">
      <c r="B385" s="1300" t="s">
        <v>796</v>
      </c>
      <c r="C385" s="1301"/>
      <c r="D385" s="1301"/>
      <c r="E385" s="1301"/>
      <c r="F385" s="1301"/>
      <c r="G385" s="1000" t="s">
        <v>208</v>
      </c>
      <c r="H385" s="1000" t="s">
        <v>209</v>
      </c>
      <c r="I385" s="1000" t="s">
        <v>210</v>
      </c>
      <c r="J385" s="1000" t="s">
        <v>211</v>
      </c>
      <c r="K385" s="1000" t="s">
        <v>212</v>
      </c>
      <c r="L385" s="1000" t="s">
        <v>213</v>
      </c>
      <c r="M385" s="1000" t="s">
        <v>214</v>
      </c>
      <c r="N385" s="1000" t="s">
        <v>215</v>
      </c>
      <c r="O385" s="1000" t="s">
        <v>216</v>
      </c>
      <c r="P385" s="1000" t="s">
        <v>217</v>
      </c>
      <c r="Q385" s="1000" t="s">
        <v>218</v>
      </c>
      <c r="R385" s="1000" t="s">
        <v>247</v>
      </c>
      <c r="S385" s="1000" t="s">
        <v>248</v>
      </c>
      <c r="T385" s="1000" t="s">
        <v>249</v>
      </c>
      <c r="U385" s="1000" t="s">
        <v>250</v>
      </c>
      <c r="V385" s="1000" t="s">
        <v>219</v>
      </c>
      <c r="W385" s="1000" t="s">
        <v>251</v>
      </c>
      <c r="X385" s="1000" t="s">
        <v>252</v>
      </c>
      <c r="Y385" s="1000" t="s">
        <v>253</v>
      </c>
      <c r="Z385" s="1000" t="s">
        <v>254</v>
      </c>
      <c r="AA385" s="1000" t="s">
        <v>220</v>
      </c>
      <c r="AB385" s="1000" t="s">
        <v>255</v>
      </c>
      <c r="AC385" s="1000" t="s">
        <v>256</v>
      </c>
      <c r="AD385" s="1000" t="s">
        <v>257</v>
      </c>
      <c r="AE385" s="1000" t="s">
        <v>258</v>
      </c>
      <c r="AF385" s="1000" t="s">
        <v>221</v>
      </c>
      <c r="AG385" s="1000" t="s">
        <v>259</v>
      </c>
      <c r="AH385" s="1000" t="s">
        <v>260</v>
      </c>
      <c r="AI385" s="1000" t="s">
        <v>261</v>
      </c>
      <c r="AJ385" s="1000" t="s">
        <v>262</v>
      </c>
      <c r="AK385" s="1000" t="s">
        <v>222</v>
      </c>
      <c r="AL385" s="1000"/>
      <c r="AM385" s="1000"/>
      <c r="AN385" s="1000"/>
      <c r="AO385" s="1000"/>
      <c r="AP385" s="1000"/>
      <c r="AQ385" s="1000"/>
      <c r="AR385" s="1000"/>
      <c r="AS385" s="1000"/>
      <c r="AT385" s="1000"/>
      <c r="AU385" s="1000"/>
      <c r="AV385" s="1000"/>
      <c r="AW385" s="1000"/>
      <c r="AX385" s="1000"/>
      <c r="AY385" s="1000"/>
      <c r="AZ385" s="1000"/>
      <c r="BA385" s="1000"/>
      <c r="BB385" s="1000"/>
      <c r="BC385" s="1000"/>
      <c r="BD385" s="1000"/>
      <c r="BE385" s="1000"/>
      <c r="BF385" s="1000"/>
      <c r="BG385" s="1000"/>
      <c r="BH385" s="1000"/>
      <c r="BI385" s="1000"/>
      <c r="BJ385" s="1000"/>
      <c r="BK385" s="1000"/>
      <c r="BL385" s="1000"/>
      <c r="BM385" s="1000"/>
      <c r="BN385" s="1000"/>
      <c r="BO385" s="1000"/>
      <c r="BP385" s="1000"/>
      <c r="BQ385" s="1000"/>
      <c r="BR385" s="1000"/>
      <c r="BS385" s="1000"/>
      <c r="BT385" s="1000"/>
      <c r="BU385" s="1000"/>
      <c r="BV385" s="1000"/>
      <c r="BW385" s="1000"/>
      <c r="BX385" s="1000"/>
      <c r="BY385" s="1000"/>
      <c r="BZ385" s="1000"/>
      <c r="CA385" s="1000"/>
      <c r="CB385" s="1000"/>
      <c r="CC385" s="1000"/>
      <c r="CD385" s="1000"/>
      <c r="CE385" s="1000"/>
      <c r="CF385" s="1000"/>
      <c r="CG385" s="1000"/>
      <c r="CH385" s="1000"/>
      <c r="CI385" s="1001"/>
    </row>
    <row r="386" spans="2:87" x14ac:dyDescent="0.2">
      <c r="B386" s="1300"/>
      <c r="C386" s="1301" t="s">
        <v>789</v>
      </c>
      <c r="D386" s="1301"/>
      <c r="E386" s="1301" t="s">
        <v>236</v>
      </c>
      <c r="F386" s="1301">
        <v>2</v>
      </c>
      <c r="G386" s="1002">
        <f t="shared" ref="G386:AK387" si="133">G227-G238</f>
        <v>0</v>
      </c>
      <c r="H386" s="1002">
        <f t="shared" si="133"/>
        <v>0</v>
      </c>
      <c r="I386" s="1002">
        <f t="shared" si="133"/>
        <v>3.610113469569864</v>
      </c>
      <c r="J386" s="1002">
        <f t="shared" si="133"/>
        <v>3.5630537606971457</v>
      </c>
      <c r="K386" s="1002">
        <f t="shared" si="133"/>
        <v>3.5316955942590504</v>
      </c>
      <c r="L386" s="1002">
        <f t="shared" si="133"/>
        <v>3.5152733242257606</v>
      </c>
      <c r="M386" s="1002">
        <f t="shared" si="133"/>
        <v>3.5873150210449944</v>
      </c>
      <c r="N386" s="1002">
        <f t="shared" si="133"/>
        <v>3.7299299692009487</v>
      </c>
      <c r="O386" s="1002">
        <f t="shared" si="133"/>
        <v>3.7934031771945951</v>
      </c>
      <c r="P386" s="1002">
        <f t="shared" si="133"/>
        <v>3.8327340515058621</v>
      </c>
      <c r="Q386" s="1002">
        <f t="shared" si="133"/>
        <v>3.8543656847729286</v>
      </c>
      <c r="R386" s="1002">
        <f t="shared" si="133"/>
        <v>3.8769520357400884</v>
      </c>
      <c r="S386" s="1002">
        <f t="shared" si="133"/>
        <v>3.8920485114630501</v>
      </c>
      <c r="T386" s="1002">
        <f t="shared" si="133"/>
        <v>3.9091034188407687</v>
      </c>
      <c r="U386" s="1002">
        <f t="shared" si="133"/>
        <v>3.924658703032784</v>
      </c>
      <c r="V386" s="1002">
        <f t="shared" si="133"/>
        <v>3.9406939463747666</v>
      </c>
      <c r="W386" s="1002">
        <f t="shared" si="133"/>
        <v>3.9570497375888514</v>
      </c>
      <c r="X386" s="1002">
        <f t="shared" si="133"/>
        <v>3.9743682391621658</v>
      </c>
      <c r="Y386" s="1002">
        <f t="shared" si="133"/>
        <v>3.9934596490110033</v>
      </c>
      <c r="Z386" s="1002">
        <f t="shared" si="133"/>
        <v>4.0141035807450338</v>
      </c>
      <c r="AA386" s="1002">
        <f t="shared" si="133"/>
        <v>4.0319027930368367</v>
      </c>
      <c r="AB386" s="1002">
        <f t="shared" si="133"/>
        <v>4.0424198400579119</v>
      </c>
      <c r="AC386" s="1002">
        <f t="shared" si="133"/>
        <v>4.0598196041161749</v>
      </c>
      <c r="AD386" s="1002">
        <f t="shared" si="133"/>
        <v>4.0787855465685885</v>
      </c>
      <c r="AE386" s="1002">
        <f t="shared" si="133"/>
        <v>4.0984791624379513</v>
      </c>
      <c r="AF386" s="1002">
        <f t="shared" si="133"/>
        <v>4.118849420162535</v>
      </c>
      <c r="AG386" s="1002">
        <f t="shared" si="133"/>
        <v>4.1389204994999238</v>
      </c>
      <c r="AH386" s="1002">
        <f t="shared" si="133"/>
        <v>4.1601382760019465</v>
      </c>
      <c r="AI386" s="1002">
        <f t="shared" si="133"/>
        <v>4.1819300159395389</v>
      </c>
      <c r="AJ386" s="1002">
        <f t="shared" si="133"/>
        <v>4.2047845901256728</v>
      </c>
      <c r="AK386" s="1002">
        <f t="shared" si="133"/>
        <v>4.2278105439904365</v>
      </c>
      <c r="AL386" s="1002"/>
      <c r="AM386" s="1002"/>
      <c r="AN386" s="1002"/>
      <c r="AO386" s="1002"/>
      <c r="AP386" s="1002"/>
      <c r="AQ386" s="1002"/>
      <c r="AR386" s="1002"/>
      <c r="AS386" s="1002"/>
      <c r="AT386" s="1002"/>
      <c r="AU386" s="1002"/>
      <c r="AV386" s="1002"/>
      <c r="AW386" s="1002"/>
      <c r="AX386" s="1002"/>
      <c r="AY386" s="1002"/>
      <c r="AZ386" s="1002"/>
      <c r="BA386" s="1002"/>
      <c r="BB386" s="1002"/>
      <c r="BC386" s="1002"/>
      <c r="BD386" s="1002"/>
      <c r="BE386" s="1002"/>
      <c r="BF386" s="1002"/>
      <c r="BG386" s="1002"/>
      <c r="BH386" s="1002"/>
      <c r="BI386" s="1002"/>
      <c r="BJ386" s="1002"/>
      <c r="BK386" s="1002"/>
      <c r="BL386" s="1002"/>
      <c r="BM386" s="1002"/>
      <c r="BN386" s="1002"/>
      <c r="BO386" s="1002"/>
      <c r="BP386" s="1002"/>
      <c r="BQ386" s="1002"/>
      <c r="BR386" s="1002"/>
      <c r="BS386" s="1002"/>
      <c r="BT386" s="1002"/>
      <c r="BU386" s="1002"/>
      <c r="BV386" s="1002"/>
      <c r="BW386" s="1002"/>
      <c r="BX386" s="1002"/>
      <c r="BY386" s="1002"/>
      <c r="BZ386" s="1002"/>
      <c r="CA386" s="1002"/>
      <c r="CB386" s="1002"/>
      <c r="CC386" s="1002"/>
      <c r="CD386" s="1002"/>
      <c r="CE386" s="1002"/>
      <c r="CF386" s="1002"/>
      <c r="CG386" s="1002"/>
      <c r="CH386" s="1002"/>
      <c r="CI386" s="1003"/>
    </row>
    <row r="387" spans="2:87" x14ac:dyDescent="0.2">
      <c r="B387" s="1300"/>
      <c r="C387" s="1301" t="s">
        <v>790</v>
      </c>
      <c r="D387" s="1301"/>
      <c r="E387" s="1301" t="s">
        <v>236</v>
      </c>
      <c r="F387" s="1301">
        <v>2</v>
      </c>
      <c r="G387" s="1002">
        <f t="shared" si="133"/>
        <v>0</v>
      </c>
      <c r="H387" s="1002">
        <f t="shared" si="133"/>
        <v>0</v>
      </c>
      <c r="I387" s="1002">
        <f t="shared" si="133"/>
        <v>2.1866636376326452</v>
      </c>
      <c r="J387" s="1002">
        <f t="shared" si="133"/>
        <v>2.2221788626312171</v>
      </c>
      <c r="K387" s="1002">
        <f t="shared" si="133"/>
        <v>2.0423820051820782</v>
      </c>
      <c r="L387" s="1002">
        <f t="shared" si="133"/>
        <v>1.9626598081871922</v>
      </c>
      <c r="M387" s="1002">
        <f t="shared" si="133"/>
        <v>1.775302752664242</v>
      </c>
      <c r="N387" s="1002">
        <f t="shared" si="133"/>
        <v>1.6167997570753732</v>
      </c>
      <c r="O387" s="1002">
        <f t="shared" si="133"/>
        <v>1.569780427145143</v>
      </c>
      <c r="P387" s="1002">
        <f t="shared" si="133"/>
        <v>1.5228053562087482</v>
      </c>
      <c r="Q387" s="1002">
        <f t="shared" si="133"/>
        <v>1.4757332983340843</v>
      </c>
      <c r="R387" s="1002">
        <f t="shared" si="133"/>
        <v>1.4492798396322029</v>
      </c>
      <c r="S387" s="1002">
        <f t="shared" si="133"/>
        <v>1.4437778071186211</v>
      </c>
      <c r="T387" s="1002">
        <f t="shared" si="133"/>
        <v>1.4382530840563956</v>
      </c>
      <c r="U387" s="1002">
        <f t="shared" si="133"/>
        <v>1.4325793591739211</v>
      </c>
      <c r="V387" s="1002">
        <f t="shared" si="133"/>
        <v>1.4268592650724186</v>
      </c>
      <c r="W387" s="1002">
        <f t="shared" si="133"/>
        <v>1.4221246792383462</v>
      </c>
      <c r="X387" s="1002">
        <f t="shared" si="133"/>
        <v>1.4173705192251294</v>
      </c>
      <c r="Y387" s="1002">
        <f t="shared" si="133"/>
        <v>1.412453682073056</v>
      </c>
      <c r="Z387" s="1002">
        <f t="shared" si="133"/>
        <v>1.407790834710003</v>
      </c>
      <c r="AA387" s="1002">
        <f t="shared" si="133"/>
        <v>1.4029893367076467</v>
      </c>
      <c r="AB387" s="1002">
        <f t="shared" si="133"/>
        <v>1.397995492529114</v>
      </c>
      <c r="AC387" s="1002">
        <f t="shared" si="133"/>
        <v>1.3930069574165094</v>
      </c>
      <c r="AD387" s="1002">
        <f t="shared" si="133"/>
        <v>1.3886412985923573</v>
      </c>
      <c r="AE387" s="1002">
        <f t="shared" si="133"/>
        <v>1.3848164484852099</v>
      </c>
      <c r="AF387" s="1002">
        <f t="shared" si="133"/>
        <v>1.3810301003271757</v>
      </c>
      <c r="AG387" s="1002">
        <f t="shared" si="133"/>
        <v>1.3771463918244666</v>
      </c>
      <c r="AH387" s="1002">
        <f t="shared" si="133"/>
        <v>1.373581367520069</v>
      </c>
      <c r="AI387" s="1002">
        <f t="shared" si="133"/>
        <v>1.3699201456712327</v>
      </c>
      <c r="AJ387" s="1002">
        <f t="shared" si="133"/>
        <v>1.3663084124685525</v>
      </c>
      <c r="AK387" s="1002">
        <f t="shared" si="133"/>
        <v>1.3623361155448555</v>
      </c>
      <c r="AL387" s="1002"/>
      <c r="AM387" s="1002"/>
      <c r="AN387" s="1002"/>
      <c r="AO387" s="1002"/>
      <c r="AP387" s="1002"/>
      <c r="AQ387" s="1002"/>
      <c r="AR387" s="1002"/>
      <c r="AS387" s="1002"/>
      <c r="AT387" s="1002"/>
      <c r="AU387" s="1002"/>
      <c r="AV387" s="1002"/>
      <c r="AW387" s="1002"/>
      <c r="AX387" s="1002"/>
      <c r="AY387" s="1002"/>
      <c r="AZ387" s="1002"/>
      <c r="BA387" s="1002"/>
      <c r="BB387" s="1002"/>
      <c r="BC387" s="1002"/>
      <c r="BD387" s="1002"/>
      <c r="BE387" s="1002"/>
      <c r="BF387" s="1002"/>
      <c r="BG387" s="1002"/>
      <c r="BH387" s="1002"/>
      <c r="BI387" s="1002"/>
      <c r="BJ387" s="1002"/>
      <c r="BK387" s="1002"/>
      <c r="BL387" s="1002"/>
      <c r="BM387" s="1002"/>
      <c r="BN387" s="1002"/>
      <c r="BO387" s="1002"/>
      <c r="BP387" s="1002"/>
      <c r="BQ387" s="1002"/>
      <c r="BR387" s="1002"/>
      <c r="BS387" s="1002"/>
      <c r="BT387" s="1002"/>
      <c r="BU387" s="1002"/>
      <c r="BV387" s="1002"/>
      <c r="BW387" s="1002"/>
      <c r="BX387" s="1002"/>
      <c r="BY387" s="1002"/>
      <c r="BZ387" s="1002"/>
      <c r="CA387" s="1002"/>
      <c r="CB387" s="1002"/>
      <c r="CC387" s="1002"/>
      <c r="CD387" s="1002"/>
      <c r="CE387" s="1002"/>
      <c r="CF387" s="1002"/>
      <c r="CG387" s="1002"/>
      <c r="CH387" s="1002"/>
      <c r="CI387" s="1003"/>
    </row>
    <row r="388" spans="2:87" x14ac:dyDescent="0.2">
      <c r="B388" s="1300"/>
      <c r="C388" s="1301" t="s">
        <v>791</v>
      </c>
      <c r="D388" s="1301"/>
      <c r="E388" s="1301" t="s">
        <v>236</v>
      </c>
      <c r="F388" s="1301">
        <v>2</v>
      </c>
      <c r="G388" s="1002">
        <f t="shared" ref="G388:AK388" si="134">G224+G226-G236-G237</f>
        <v>0</v>
      </c>
      <c r="H388" s="1002">
        <f t="shared" si="134"/>
        <v>0</v>
      </c>
      <c r="I388" s="1002">
        <f t="shared" si="134"/>
        <v>3.4165914597957534</v>
      </c>
      <c r="J388" s="1002">
        <f t="shared" si="134"/>
        <v>3.969405642934285</v>
      </c>
      <c r="K388" s="1002">
        <f t="shared" si="134"/>
        <v>4.133222604030875</v>
      </c>
      <c r="L388" s="1002">
        <f t="shared" si="134"/>
        <v>4.3132373437964135</v>
      </c>
      <c r="M388" s="1002">
        <f t="shared" si="134"/>
        <v>4.470851166491582</v>
      </c>
      <c r="N388" s="1002">
        <f t="shared" si="134"/>
        <v>4.5213981757208401</v>
      </c>
      <c r="O388" s="1002">
        <f t="shared" si="134"/>
        <v>4.5365091603002128</v>
      </c>
      <c r="P388" s="1002">
        <f t="shared" si="134"/>
        <v>4.5509310639593785</v>
      </c>
      <c r="Q388" s="1002">
        <f t="shared" si="134"/>
        <v>4.5624550414777172</v>
      </c>
      <c r="R388" s="1002">
        <f t="shared" si="134"/>
        <v>4.570129196793637</v>
      </c>
      <c r="S388" s="1002">
        <f t="shared" si="134"/>
        <v>4.5770478557031122</v>
      </c>
      <c r="T388" s="1002">
        <f t="shared" si="134"/>
        <v>6.8737567545301452</v>
      </c>
      <c r="U388" s="1002">
        <f t="shared" si="134"/>
        <v>6.880661481538886</v>
      </c>
      <c r="V388" s="1002">
        <f t="shared" si="134"/>
        <v>6.887711846442941</v>
      </c>
      <c r="W388" s="1002">
        <f t="shared" si="134"/>
        <v>6.8948872191310899</v>
      </c>
      <c r="X388" s="1002">
        <f t="shared" si="134"/>
        <v>6.9020353699368293</v>
      </c>
      <c r="Y388" s="1002">
        <f t="shared" si="134"/>
        <v>6.9093615392762802</v>
      </c>
      <c r="Z388" s="1002">
        <f t="shared" si="134"/>
        <v>6.9166826787447624</v>
      </c>
      <c r="AA388" s="1002">
        <f t="shared" si="134"/>
        <v>6.9240275030911453</v>
      </c>
      <c r="AB388" s="1002">
        <f t="shared" si="134"/>
        <v>6.9313815984026839</v>
      </c>
      <c r="AC388" s="1002">
        <f t="shared" si="134"/>
        <v>6.9387136952268316</v>
      </c>
      <c r="AD388" s="1002">
        <f t="shared" si="134"/>
        <v>6.945914063713662</v>
      </c>
      <c r="AE388" s="1002">
        <f t="shared" si="134"/>
        <v>6.9529386886528357</v>
      </c>
      <c r="AF388" s="1002">
        <f t="shared" si="134"/>
        <v>6.9599038217131737</v>
      </c>
      <c r="AG388" s="1002">
        <f t="shared" si="134"/>
        <v>6.9667416579052936</v>
      </c>
      <c r="AH388" s="1002">
        <f t="shared" si="134"/>
        <v>6.973549886810849</v>
      </c>
      <c r="AI388" s="1002">
        <f t="shared" si="134"/>
        <v>6.9803081387236139</v>
      </c>
      <c r="AJ388" s="1002">
        <f t="shared" si="134"/>
        <v>6.9869818639322769</v>
      </c>
      <c r="AK388" s="1002">
        <f t="shared" si="134"/>
        <v>6.9936385708923892</v>
      </c>
      <c r="AL388" s="1002"/>
      <c r="AM388" s="1002"/>
      <c r="AN388" s="1002"/>
      <c r="AO388" s="1002"/>
      <c r="AP388" s="1002"/>
      <c r="AQ388" s="1002"/>
      <c r="AR388" s="1002"/>
      <c r="AS388" s="1002"/>
      <c r="AT388" s="1002"/>
      <c r="AU388" s="1002"/>
      <c r="AV388" s="1002"/>
      <c r="AW388" s="1002"/>
      <c r="AX388" s="1002"/>
      <c r="AY388" s="1002"/>
      <c r="AZ388" s="1002"/>
      <c r="BA388" s="1002"/>
      <c r="BB388" s="1002"/>
      <c r="BC388" s="1002"/>
      <c r="BD388" s="1002"/>
      <c r="BE388" s="1002"/>
      <c r="BF388" s="1002"/>
      <c r="BG388" s="1002"/>
      <c r="BH388" s="1002"/>
      <c r="BI388" s="1002"/>
      <c r="BJ388" s="1002"/>
      <c r="BK388" s="1002"/>
      <c r="BL388" s="1002"/>
      <c r="BM388" s="1002"/>
      <c r="BN388" s="1002"/>
      <c r="BO388" s="1002"/>
      <c r="BP388" s="1002"/>
      <c r="BQ388" s="1002"/>
      <c r="BR388" s="1002"/>
      <c r="BS388" s="1002"/>
      <c r="BT388" s="1002"/>
      <c r="BU388" s="1002"/>
      <c r="BV388" s="1002"/>
      <c r="BW388" s="1002"/>
      <c r="BX388" s="1002"/>
      <c r="BY388" s="1002"/>
      <c r="BZ388" s="1002"/>
      <c r="CA388" s="1002"/>
      <c r="CB388" s="1002"/>
      <c r="CC388" s="1002"/>
      <c r="CD388" s="1002"/>
      <c r="CE388" s="1002"/>
      <c r="CF388" s="1002"/>
      <c r="CG388" s="1002"/>
      <c r="CH388" s="1002"/>
      <c r="CI388" s="1003"/>
    </row>
    <row r="389" spans="2:87" x14ac:dyDescent="0.2">
      <c r="B389" s="1300"/>
      <c r="C389" s="1301" t="s">
        <v>243</v>
      </c>
      <c r="D389" s="1301"/>
      <c r="E389" s="1301" t="s">
        <v>236</v>
      </c>
      <c r="F389" s="1301">
        <v>2</v>
      </c>
      <c r="G389" s="1002">
        <f t="shared" ref="G389:AK389" si="135">G242</f>
        <v>0</v>
      </c>
      <c r="H389" s="1002">
        <f t="shared" si="135"/>
        <v>0</v>
      </c>
      <c r="I389" s="1002">
        <f t="shared" si="135"/>
        <v>1.9305131976000001</v>
      </c>
      <c r="J389" s="1002">
        <f t="shared" si="135"/>
        <v>1.6747597999999997</v>
      </c>
      <c r="K389" s="1002">
        <f t="shared" si="135"/>
        <v>1.6092663999999997</v>
      </c>
      <c r="L389" s="1002">
        <f t="shared" si="135"/>
        <v>1.5437730000000001</v>
      </c>
      <c r="M389" s="1002">
        <f t="shared" si="135"/>
        <v>1.5437730000000001</v>
      </c>
      <c r="N389" s="1002">
        <f t="shared" si="135"/>
        <v>1.5437730000000001</v>
      </c>
      <c r="O389" s="1002">
        <f t="shared" si="135"/>
        <v>1.5437730000000001</v>
      </c>
      <c r="P389" s="1002">
        <f t="shared" si="135"/>
        <v>1.5437730000000001</v>
      </c>
      <c r="Q389" s="1002">
        <f t="shared" si="135"/>
        <v>1.5437729999999998</v>
      </c>
      <c r="R389" s="1002">
        <f t="shared" si="135"/>
        <v>1.5437730000000001</v>
      </c>
      <c r="S389" s="1002">
        <f t="shared" si="135"/>
        <v>1.5437730000000001</v>
      </c>
      <c r="T389" s="1002">
        <f t="shared" si="135"/>
        <v>1.5437730000000001</v>
      </c>
      <c r="U389" s="1002">
        <f t="shared" si="135"/>
        <v>1.5437730000000001</v>
      </c>
      <c r="V389" s="1002">
        <f t="shared" si="135"/>
        <v>1.5437730000000003</v>
      </c>
      <c r="W389" s="1002">
        <f t="shared" si="135"/>
        <v>1.5437730000000001</v>
      </c>
      <c r="X389" s="1002">
        <f t="shared" si="135"/>
        <v>1.5437730000000001</v>
      </c>
      <c r="Y389" s="1002">
        <f t="shared" si="135"/>
        <v>1.5437730000000001</v>
      </c>
      <c r="Z389" s="1002">
        <f t="shared" si="135"/>
        <v>1.5437730000000001</v>
      </c>
      <c r="AA389" s="1002">
        <f t="shared" si="135"/>
        <v>1.5437730000000001</v>
      </c>
      <c r="AB389" s="1002">
        <f t="shared" si="135"/>
        <v>1.5437730000000001</v>
      </c>
      <c r="AC389" s="1002">
        <f t="shared" si="135"/>
        <v>1.5437730000000001</v>
      </c>
      <c r="AD389" s="1002">
        <f t="shared" si="135"/>
        <v>1.5437730000000001</v>
      </c>
      <c r="AE389" s="1002">
        <f t="shared" si="135"/>
        <v>1.5437730000000003</v>
      </c>
      <c r="AF389" s="1002">
        <f t="shared" si="135"/>
        <v>1.5437730000000001</v>
      </c>
      <c r="AG389" s="1002">
        <f t="shared" si="135"/>
        <v>1.5437730000000001</v>
      </c>
      <c r="AH389" s="1002">
        <f t="shared" si="135"/>
        <v>1.5437729999999998</v>
      </c>
      <c r="AI389" s="1002">
        <f t="shared" si="135"/>
        <v>1.5437730000000001</v>
      </c>
      <c r="AJ389" s="1002">
        <f t="shared" si="135"/>
        <v>1.5437730000000001</v>
      </c>
      <c r="AK389" s="1002">
        <f t="shared" si="135"/>
        <v>1.5437730000000003</v>
      </c>
      <c r="AL389" s="1002"/>
      <c r="AM389" s="1002"/>
      <c r="AN389" s="1002"/>
      <c r="AO389" s="1002"/>
      <c r="AP389" s="1002"/>
      <c r="AQ389" s="1002"/>
      <c r="AR389" s="1002"/>
      <c r="AS389" s="1002"/>
      <c r="AT389" s="1002"/>
      <c r="AU389" s="1002"/>
      <c r="AV389" s="1002"/>
      <c r="AW389" s="1002"/>
      <c r="AX389" s="1002"/>
      <c r="AY389" s="1002"/>
      <c r="AZ389" s="1002"/>
      <c r="BA389" s="1002"/>
      <c r="BB389" s="1002"/>
      <c r="BC389" s="1002"/>
      <c r="BD389" s="1002"/>
      <c r="BE389" s="1002"/>
      <c r="BF389" s="1002"/>
      <c r="BG389" s="1002"/>
      <c r="BH389" s="1002"/>
      <c r="BI389" s="1002"/>
      <c r="BJ389" s="1002"/>
      <c r="BK389" s="1002"/>
      <c r="BL389" s="1002"/>
      <c r="BM389" s="1002"/>
      <c r="BN389" s="1002"/>
      <c r="BO389" s="1002"/>
      <c r="BP389" s="1002"/>
      <c r="BQ389" s="1002"/>
      <c r="BR389" s="1002"/>
      <c r="BS389" s="1002"/>
      <c r="BT389" s="1002"/>
      <c r="BU389" s="1002"/>
      <c r="BV389" s="1002"/>
      <c r="BW389" s="1002"/>
      <c r="BX389" s="1002"/>
      <c r="BY389" s="1002"/>
      <c r="BZ389" s="1002"/>
      <c r="CA389" s="1002"/>
      <c r="CB389" s="1002"/>
      <c r="CC389" s="1002"/>
      <c r="CD389" s="1002"/>
      <c r="CE389" s="1002"/>
      <c r="CF389" s="1002"/>
      <c r="CG389" s="1002"/>
      <c r="CH389" s="1002"/>
      <c r="CI389" s="1003"/>
    </row>
    <row r="390" spans="2:87" x14ac:dyDescent="0.2">
      <c r="B390" s="1300"/>
      <c r="C390" s="1301" t="s">
        <v>792</v>
      </c>
      <c r="D390" s="1301"/>
      <c r="E390" s="1301" t="s">
        <v>236</v>
      </c>
      <c r="F390" s="1301">
        <v>2</v>
      </c>
      <c r="G390" s="1002">
        <f t="shared" ref="G390:AK390" si="136">G266-SUM(G386:G389)</f>
        <v>0</v>
      </c>
      <c r="H390" s="1002">
        <f t="shared" si="136"/>
        <v>0</v>
      </c>
      <c r="I390" s="1002">
        <f t="shared" si="136"/>
        <v>0.277795537065753</v>
      </c>
      <c r="J390" s="1002">
        <f t="shared" si="136"/>
        <v>0.28679110094586946</v>
      </c>
      <c r="K390" s="1002">
        <f t="shared" si="136"/>
        <v>0.28667830223778346</v>
      </c>
      <c r="L390" s="1002">
        <f t="shared" si="136"/>
        <v>0.28666635882526315</v>
      </c>
      <c r="M390" s="1002">
        <f t="shared" si="136"/>
        <v>0.28681924417601934</v>
      </c>
      <c r="N390" s="1002">
        <f t="shared" si="136"/>
        <v>0.28666817348883455</v>
      </c>
      <c r="O390" s="1002">
        <f t="shared" si="136"/>
        <v>0.28652736636110987</v>
      </c>
      <c r="P390" s="1002">
        <f t="shared" si="136"/>
        <v>0.28642934410590826</v>
      </c>
      <c r="Q390" s="1002">
        <f t="shared" si="136"/>
        <v>0.28634444545303772</v>
      </c>
      <c r="R390" s="1002">
        <f t="shared" si="136"/>
        <v>0.28626058878556293</v>
      </c>
      <c r="S390" s="1002">
        <f t="shared" si="136"/>
        <v>0.28617900769864946</v>
      </c>
      <c r="T390" s="1002">
        <f t="shared" si="136"/>
        <v>0.28609807701164769</v>
      </c>
      <c r="U390" s="1002">
        <f t="shared" si="136"/>
        <v>0.28601754960978631</v>
      </c>
      <c r="V390" s="1002">
        <f t="shared" si="136"/>
        <v>0.28593682664429387</v>
      </c>
      <c r="W390" s="1002">
        <f t="shared" si="136"/>
        <v>0.2858565442465224</v>
      </c>
      <c r="X390" s="1002">
        <f t="shared" si="136"/>
        <v>0.28577629448837527</v>
      </c>
      <c r="Y390" s="1002">
        <f t="shared" si="136"/>
        <v>0.28569680661217589</v>
      </c>
      <c r="Z390" s="1002">
        <f t="shared" si="136"/>
        <v>0.28561914534016353</v>
      </c>
      <c r="AA390" s="1002">
        <f t="shared" si="136"/>
        <v>0.28554217982271801</v>
      </c>
      <c r="AB390" s="1002">
        <f t="shared" si="136"/>
        <v>0.28546607989330042</v>
      </c>
      <c r="AC390" s="1002">
        <f t="shared" si="136"/>
        <v>0.28539138310902423</v>
      </c>
      <c r="AD390" s="1002">
        <f t="shared" si="136"/>
        <v>0.28531793812903494</v>
      </c>
      <c r="AE390" s="1002">
        <f t="shared" si="136"/>
        <v>0.28524457773786693</v>
      </c>
      <c r="AF390" s="1002">
        <f t="shared" si="136"/>
        <v>0.28517184232772586</v>
      </c>
      <c r="AG390" s="1002">
        <f t="shared" si="136"/>
        <v>0.28509979113052175</v>
      </c>
      <c r="AH390" s="1002">
        <f t="shared" si="136"/>
        <v>0.28502882070259616</v>
      </c>
      <c r="AI390" s="1002">
        <f t="shared" si="136"/>
        <v>0.28495939323705954</v>
      </c>
      <c r="AJ390" s="1002">
        <f t="shared" si="136"/>
        <v>0.28489141228376091</v>
      </c>
      <c r="AK390" s="1002">
        <f t="shared" si="136"/>
        <v>0.28482452650324852</v>
      </c>
      <c r="AL390" s="1002"/>
      <c r="AM390" s="1002"/>
      <c r="AN390" s="1002"/>
      <c r="AO390" s="1002"/>
      <c r="AP390" s="1002"/>
      <c r="AQ390" s="1002"/>
      <c r="AR390" s="1002"/>
      <c r="AS390" s="1002"/>
      <c r="AT390" s="1002"/>
      <c r="AU390" s="1002"/>
      <c r="AV390" s="1002"/>
      <c r="AW390" s="1002"/>
      <c r="AX390" s="1002"/>
      <c r="AY390" s="1002"/>
      <c r="AZ390" s="1002"/>
      <c r="BA390" s="1002"/>
      <c r="BB390" s="1002"/>
      <c r="BC390" s="1002"/>
      <c r="BD390" s="1002"/>
      <c r="BE390" s="1002"/>
      <c r="BF390" s="1002"/>
      <c r="BG390" s="1002"/>
      <c r="BH390" s="1002"/>
      <c r="BI390" s="1002"/>
      <c r="BJ390" s="1002"/>
      <c r="BK390" s="1002"/>
      <c r="BL390" s="1002"/>
      <c r="BM390" s="1002"/>
      <c r="BN390" s="1002"/>
      <c r="BO390" s="1002"/>
      <c r="BP390" s="1002"/>
      <c r="BQ390" s="1002"/>
      <c r="BR390" s="1002"/>
      <c r="BS390" s="1002"/>
      <c r="BT390" s="1002"/>
      <c r="BU390" s="1002"/>
      <c r="BV390" s="1002"/>
      <c r="BW390" s="1002"/>
      <c r="BX390" s="1002"/>
      <c r="BY390" s="1002"/>
      <c r="BZ390" s="1002"/>
      <c r="CA390" s="1002"/>
      <c r="CB390" s="1002"/>
      <c r="CC390" s="1002"/>
      <c r="CD390" s="1002"/>
      <c r="CE390" s="1002"/>
      <c r="CF390" s="1002"/>
      <c r="CG390" s="1002"/>
      <c r="CH390" s="1002"/>
      <c r="CI390" s="1003"/>
    </row>
    <row r="391" spans="2:87" x14ac:dyDescent="0.2">
      <c r="B391" s="1300"/>
      <c r="C391" s="1301" t="s">
        <v>793</v>
      </c>
      <c r="D391" s="1301"/>
      <c r="E391" s="1301" t="s">
        <v>236</v>
      </c>
      <c r="F391" s="1301">
        <v>2</v>
      </c>
      <c r="G391" s="1002">
        <f t="shared" ref="G391:AK391" si="137">G223</f>
        <v>0</v>
      </c>
      <c r="H391" s="1002">
        <f>H223</f>
        <v>0</v>
      </c>
      <c r="I391" s="1002">
        <f t="shared" si="137"/>
        <v>21.01135</v>
      </c>
      <c r="J391" s="1002">
        <f t="shared" si="137"/>
        <v>21.01135</v>
      </c>
      <c r="K391" s="1002">
        <f t="shared" si="137"/>
        <v>21.01135</v>
      </c>
      <c r="L391" s="1002">
        <f t="shared" si="137"/>
        <v>21.01135</v>
      </c>
      <c r="M391" s="1002">
        <f t="shared" si="137"/>
        <v>21.01135</v>
      </c>
      <c r="N391" s="1002">
        <f t="shared" si="137"/>
        <v>21.01135</v>
      </c>
      <c r="O391" s="1002">
        <f t="shared" si="137"/>
        <v>21.01135</v>
      </c>
      <c r="P391" s="1002">
        <f t="shared" si="137"/>
        <v>21.01135</v>
      </c>
      <c r="Q391" s="1002">
        <f t="shared" si="137"/>
        <v>21.01135</v>
      </c>
      <c r="R391" s="1002">
        <f t="shared" si="137"/>
        <v>21.01135</v>
      </c>
      <c r="S391" s="1002">
        <f t="shared" si="137"/>
        <v>21.01135</v>
      </c>
      <c r="T391" s="1002">
        <f t="shared" si="137"/>
        <v>21.01135</v>
      </c>
      <c r="U391" s="1002">
        <f t="shared" si="137"/>
        <v>21.01135</v>
      </c>
      <c r="V391" s="1002">
        <f t="shared" si="137"/>
        <v>21.01135</v>
      </c>
      <c r="W391" s="1002">
        <f t="shared" si="137"/>
        <v>21.01135</v>
      </c>
      <c r="X391" s="1002">
        <f t="shared" si="137"/>
        <v>21.01135</v>
      </c>
      <c r="Y391" s="1002">
        <f t="shared" si="137"/>
        <v>21.01135</v>
      </c>
      <c r="Z391" s="1002">
        <f t="shared" si="137"/>
        <v>21.01135</v>
      </c>
      <c r="AA391" s="1002">
        <f t="shared" si="137"/>
        <v>21.01135</v>
      </c>
      <c r="AB391" s="1002">
        <f t="shared" si="137"/>
        <v>21.01135</v>
      </c>
      <c r="AC391" s="1002">
        <f t="shared" si="137"/>
        <v>21.01135</v>
      </c>
      <c r="AD391" s="1002">
        <f t="shared" si="137"/>
        <v>21.01135</v>
      </c>
      <c r="AE391" s="1002">
        <f t="shared" si="137"/>
        <v>21.01135</v>
      </c>
      <c r="AF391" s="1002">
        <f t="shared" si="137"/>
        <v>21.01135</v>
      </c>
      <c r="AG391" s="1002">
        <f t="shared" si="137"/>
        <v>21.01135</v>
      </c>
      <c r="AH391" s="1002">
        <f t="shared" si="137"/>
        <v>21.01135</v>
      </c>
      <c r="AI391" s="1002">
        <f t="shared" si="137"/>
        <v>21.01135</v>
      </c>
      <c r="AJ391" s="1002">
        <f t="shared" si="137"/>
        <v>21.01135</v>
      </c>
      <c r="AK391" s="1002">
        <f t="shared" si="137"/>
        <v>21.01135</v>
      </c>
      <c r="AL391" s="1002"/>
      <c r="AM391" s="1002"/>
      <c r="AN391" s="1002"/>
      <c r="AO391" s="1002"/>
      <c r="AP391" s="1002"/>
      <c r="AQ391" s="1002"/>
      <c r="AR391" s="1002"/>
      <c r="AS391" s="1002"/>
      <c r="AT391" s="1002"/>
      <c r="AU391" s="1002"/>
      <c r="AV391" s="1002"/>
      <c r="AW391" s="1002"/>
      <c r="AX391" s="1002"/>
      <c r="AY391" s="1002"/>
      <c r="AZ391" s="1002"/>
      <c r="BA391" s="1002"/>
      <c r="BB391" s="1002"/>
      <c r="BC391" s="1002"/>
      <c r="BD391" s="1002"/>
      <c r="BE391" s="1002"/>
      <c r="BF391" s="1002"/>
      <c r="BG391" s="1002"/>
      <c r="BH391" s="1002"/>
      <c r="BI391" s="1002"/>
      <c r="BJ391" s="1002"/>
      <c r="BK391" s="1002"/>
      <c r="BL391" s="1002"/>
      <c r="BM391" s="1002"/>
      <c r="BN391" s="1002"/>
      <c r="BO391" s="1002"/>
      <c r="BP391" s="1002"/>
      <c r="BQ391" s="1002"/>
      <c r="BR391" s="1002"/>
      <c r="BS391" s="1002"/>
      <c r="BT391" s="1002"/>
      <c r="BU391" s="1002"/>
      <c r="BV391" s="1002"/>
      <c r="BW391" s="1002"/>
      <c r="BX391" s="1002"/>
      <c r="BY391" s="1002"/>
      <c r="BZ391" s="1002"/>
      <c r="CA391" s="1002"/>
      <c r="CB391" s="1002"/>
      <c r="CC391" s="1002"/>
      <c r="CD391" s="1002"/>
      <c r="CE391" s="1002"/>
      <c r="CF391" s="1002"/>
      <c r="CG391" s="1002"/>
      <c r="CH391" s="1002"/>
      <c r="CI391" s="1003"/>
    </row>
    <row r="392" spans="2:87" x14ac:dyDescent="0.2">
      <c r="B392" s="1300"/>
      <c r="C392" s="1301" t="s">
        <v>794</v>
      </c>
      <c r="D392" s="1301"/>
      <c r="E392" s="1301" t="s">
        <v>236</v>
      </c>
      <c r="F392" s="1301">
        <v>2</v>
      </c>
      <c r="G392" s="1002">
        <f t="shared" ref="G392:AK392" si="138">SUM(G386:G390)+G269</f>
        <v>0</v>
      </c>
      <c r="H392" s="1002">
        <f t="shared" si="138"/>
        <v>0</v>
      </c>
      <c r="I392" s="1002">
        <f t="shared" si="138"/>
        <v>11.633289293414379</v>
      </c>
      <c r="J392" s="1002">
        <f t="shared" si="138"/>
        <v>11.961108406272139</v>
      </c>
      <c r="K392" s="1002">
        <f t="shared" si="138"/>
        <v>11.938753916225965</v>
      </c>
      <c r="L392" s="1002">
        <f t="shared" si="138"/>
        <v>11.956608012083725</v>
      </c>
      <c r="M392" s="1002">
        <f t="shared" si="138"/>
        <v>11.995927975785678</v>
      </c>
      <c r="N392" s="1002">
        <f t="shared" si="138"/>
        <v>12.017686567372007</v>
      </c>
      <c r="O392" s="1002">
        <f t="shared" si="138"/>
        <v>12.044179628303445</v>
      </c>
      <c r="P392" s="1002">
        <f t="shared" si="138"/>
        <v>12.044618072679148</v>
      </c>
      <c r="Q392" s="1002">
        <f t="shared" si="138"/>
        <v>12.033376094240877</v>
      </c>
      <c r="R392" s="1002">
        <f t="shared" si="138"/>
        <v>12.031938039602274</v>
      </c>
      <c r="S392" s="1002">
        <f t="shared" si="138"/>
        <v>12.043994998269886</v>
      </c>
      <c r="T392" s="1002">
        <f t="shared" si="138"/>
        <v>14.378675000250539</v>
      </c>
      <c r="U392" s="1002">
        <f t="shared" si="138"/>
        <v>14.389038577490222</v>
      </c>
      <c r="V392" s="1002">
        <f t="shared" si="138"/>
        <v>14.40473653862604</v>
      </c>
      <c r="W392" s="1002">
        <f t="shared" si="138"/>
        <v>14.418432008272127</v>
      </c>
      <c r="X392" s="1002">
        <f t="shared" si="138"/>
        <v>14.437705132852939</v>
      </c>
      <c r="Y392" s="1002">
        <f t="shared" si="138"/>
        <v>14.45428387965711</v>
      </c>
      <c r="Z392" s="1002">
        <f t="shared" si="138"/>
        <v>14.475318878962668</v>
      </c>
      <c r="AA392" s="1002">
        <f t="shared" si="138"/>
        <v>14.494600634200948</v>
      </c>
      <c r="AB392" s="1002">
        <f t="shared" si="138"/>
        <v>14.506361899488502</v>
      </c>
      <c r="AC392" s="1002">
        <f t="shared" si="138"/>
        <v>14.522267667337022</v>
      </c>
      <c r="AD392" s="1002">
        <f t="shared" si="138"/>
        <v>14.544122721824492</v>
      </c>
      <c r="AE392" s="1002">
        <f t="shared" si="138"/>
        <v>14.563890935324949</v>
      </c>
      <c r="AF392" s="1002">
        <f t="shared" si="138"/>
        <v>14.586764053983304</v>
      </c>
      <c r="AG392" s="1002">
        <f t="shared" si="138"/>
        <v>14.609001656711484</v>
      </c>
      <c r="AH392" s="1002">
        <f t="shared" si="138"/>
        <v>14.632313520562148</v>
      </c>
      <c r="AI392" s="1002">
        <f t="shared" si="138"/>
        <v>14.651146390708247</v>
      </c>
      <c r="AJ392" s="1002">
        <f t="shared" si="138"/>
        <v>14.679169649360423</v>
      </c>
      <c r="AK392" s="1002">
        <f t="shared" si="138"/>
        <v>14.705866629508707</v>
      </c>
      <c r="AL392" s="1002"/>
      <c r="AM392" s="1002"/>
      <c r="AN392" s="1002"/>
      <c r="AO392" s="1002"/>
      <c r="AP392" s="1002"/>
      <c r="AQ392" s="1002"/>
      <c r="AR392" s="1002"/>
      <c r="AS392" s="1002"/>
      <c r="AT392" s="1002"/>
      <c r="AU392" s="1002"/>
      <c r="AV392" s="1002"/>
      <c r="AW392" s="1002"/>
      <c r="AX392" s="1002"/>
      <c r="AY392" s="1002"/>
      <c r="AZ392" s="1002"/>
      <c r="BA392" s="1002"/>
      <c r="BB392" s="1002"/>
      <c r="BC392" s="1002"/>
      <c r="BD392" s="1002"/>
      <c r="BE392" s="1002"/>
      <c r="BF392" s="1002"/>
      <c r="BG392" s="1002"/>
      <c r="BH392" s="1002"/>
      <c r="BI392" s="1002"/>
      <c r="BJ392" s="1002"/>
      <c r="BK392" s="1002"/>
      <c r="BL392" s="1002"/>
      <c r="BM392" s="1002"/>
      <c r="BN392" s="1002"/>
      <c r="BO392" s="1002"/>
      <c r="BP392" s="1002"/>
      <c r="BQ392" s="1002"/>
      <c r="BR392" s="1002"/>
      <c r="BS392" s="1002"/>
      <c r="BT392" s="1002"/>
      <c r="BU392" s="1002"/>
      <c r="BV392" s="1002"/>
      <c r="BW392" s="1002"/>
      <c r="BX392" s="1002"/>
      <c r="BY392" s="1002"/>
      <c r="BZ392" s="1002"/>
      <c r="CA392" s="1002"/>
      <c r="CB392" s="1002"/>
      <c r="CC392" s="1002"/>
      <c r="CD392" s="1002"/>
      <c r="CE392" s="1002"/>
      <c r="CF392" s="1002"/>
      <c r="CG392" s="1002"/>
      <c r="CH392" s="1002"/>
      <c r="CI392" s="1003"/>
    </row>
    <row r="393" spans="2:87" x14ac:dyDescent="0.2">
      <c r="B393" s="1300"/>
      <c r="C393" s="1301"/>
      <c r="D393" s="1301"/>
      <c r="E393" s="1301"/>
      <c r="F393" s="1301"/>
      <c r="G393" s="1301"/>
      <c r="H393" s="1301"/>
      <c r="I393" s="1301"/>
      <c r="J393" s="1301"/>
      <c r="K393" s="1301"/>
      <c r="L393" s="1301"/>
      <c r="M393" s="1301"/>
      <c r="N393" s="1301"/>
      <c r="O393" s="1301"/>
      <c r="P393" s="1301"/>
      <c r="Q393" s="1301"/>
      <c r="R393" s="1301"/>
      <c r="S393" s="1301"/>
      <c r="T393" s="1301"/>
      <c r="U393" s="1301"/>
      <c r="V393" s="1301"/>
      <c r="W393" s="1301"/>
      <c r="X393" s="1301"/>
      <c r="Y393" s="1301"/>
      <c r="Z393" s="1301"/>
      <c r="AA393" s="1301"/>
      <c r="AB393" s="1301"/>
      <c r="AC393" s="1301"/>
      <c r="AD393" s="1301"/>
      <c r="AE393" s="1301"/>
      <c r="AF393" s="1301"/>
      <c r="AG393" s="1301"/>
      <c r="AH393" s="1301"/>
      <c r="AI393" s="1301"/>
      <c r="AJ393" s="1301"/>
      <c r="AK393" s="1301"/>
      <c r="AL393" s="1301"/>
      <c r="AM393" s="1301"/>
      <c r="AN393" s="1301"/>
      <c r="AO393" s="1301"/>
      <c r="AP393" s="1301"/>
      <c r="AQ393" s="1301"/>
      <c r="AR393" s="1301"/>
      <c r="AS393" s="1301"/>
      <c r="AT393" s="1301"/>
      <c r="AU393" s="1301"/>
      <c r="AV393" s="1301"/>
      <c r="AW393" s="1301"/>
      <c r="AX393" s="1301"/>
      <c r="AY393" s="1301"/>
      <c r="AZ393" s="1301"/>
      <c r="BA393" s="1301"/>
      <c r="BB393" s="1301"/>
      <c r="BC393" s="1301"/>
      <c r="BD393" s="1301"/>
      <c r="BE393" s="1301"/>
      <c r="BF393" s="1301"/>
      <c r="BG393" s="1301"/>
      <c r="BH393" s="1301"/>
      <c r="BI393" s="1301"/>
      <c r="BJ393" s="1301"/>
      <c r="BK393" s="1301"/>
      <c r="BL393" s="1301"/>
      <c r="BM393" s="1301"/>
      <c r="BN393" s="1301"/>
      <c r="BO393" s="1301"/>
      <c r="BP393" s="1301"/>
      <c r="BQ393" s="1301"/>
      <c r="BR393" s="1301"/>
      <c r="BS393" s="1301"/>
      <c r="BT393" s="1301"/>
      <c r="BU393" s="1301"/>
      <c r="BV393" s="1301"/>
      <c r="BW393" s="1301"/>
      <c r="BX393" s="1301"/>
      <c r="BY393" s="1301"/>
      <c r="BZ393" s="1301"/>
      <c r="CA393" s="1301"/>
      <c r="CB393" s="1301"/>
      <c r="CC393" s="1301"/>
      <c r="CD393" s="1301"/>
      <c r="CE393" s="1301"/>
      <c r="CF393" s="1301"/>
      <c r="CG393" s="1301"/>
      <c r="CH393" s="1301"/>
      <c r="CI393" s="1302"/>
    </row>
    <row r="394" spans="2:87" x14ac:dyDescent="0.2">
      <c r="B394" s="1300" t="s">
        <v>797</v>
      </c>
      <c r="C394" s="1301"/>
      <c r="D394" s="1301"/>
      <c r="E394" s="1301"/>
      <c r="F394" s="1301"/>
      <c r="G394" s="1000" t="s">
        <v>208</v>
      </c>
      <c r="H394" s="1000" t="s">
        <v>209</v>
      </c>
      <c r="I394" s="1000" t="s">
        <v>210</v>
      </c>
      <c r="J394" s="1000" t="s">
        <v>211</v>
      </c>
      <c r="K394" s="1000" t="s">
        <v>212</v>
      </c>
      <c r="L394" s="1000" t="s">
        <v>213</v>
      </c>
      <c r="M394" s="1000" t="s">
        <v>214</v>
      </c>
      <c r="N394" s="1000" t="s">
        <v>215</v>
      </c>
      <c r="O394" s="1000" t="s">
        <v>216</v>
      </c>
      <c r="P394" s="1000" t="s">
        <v>217</v>
      </c>
      <c r="Q394" s="1000" t="s">
        <v>218</v>
      </c>
      <c r="R394" s="1000" t="s">
        <v>247</v>
      </c>
      <c r="S394" s="1000" t="s">
        <v>248</v>
      </c>
      <c r="T394" s="1000" t="s">
        <v>249</v>
      </c>
      <c r="U394" s="1000" t="s">
        <v>250</v>
      </c>
      <c r="V394" s="1000" t="s">
        <v>219</v>
      </c>
      <c r="W394" s="1000" t="s">
        <v>251</v>
      </c>
      <c r="X394" s="1000" t="s">
        <v>252</v>
      </c>
      <c r="Y394" s="1000" t="s">
        <v>253</v>
      </c>
      <c r="Z394" s="1000" t="s">
        <v>254</v>
      </c>
      <c r="AA394" s="1000" t="s">
        <v>220</v>
      </c>
      <c r="AB394" s="1000" t="s">
        <v>255</v>
      </c>
      <c r="AC394" s="1000" t="s">
        <v>256</v>
      </c>
      <c r="AD394" s="1000" t="s">
        <v>257</v>
      </c>
      <c r="AE394" s="1000" t="s">
        <v>258</v>
      </c>
      <c r="AF394" s="1000" t="s">
        <v>221</v>
      </c>
      <c r="AG394" s="1000" t="s">
        <v>259</v>
      </c>
      <c r="AH394" s="1000" t="s">
        <v>260</v>
      </c>
      <c r="AI394" s="1000" t="s">
        <v>261</v>
      </c>
      <c r="AJ394" s="1000" t="s">
        <v>262</v>
      </c>
      <c r="AK394" s="1000" t="s">
        <v>222</v>
      </c>
      <c r="AL394" s="1000"/>
      <c r="AM394" s="1000"/>
      <c r="AN394" s="1000"/>
      <c r="AO394" s="1000"/>
      <c r="AP394" s="1000"/>
      <c r="AQ394" s="1000"/>
      <c r="AR394" s="1000"/>
      <c r="AS394" s="1000"/>
      <c r="AT394" s="1000"/>
      <c r="AU394" s="1000"/>
      <c r="AV394" s="1000"/>
      <c r="AW394" s="1000"/>
      <c r="AX394" s="1000"/>
      <c r="AY394" s="1000"/>
      <c r="AZ394" s="1000"/>
      <c r="BA394" s="1000"/>
      <c r="BB394" s="1000"/>
      <c r="BC394" s="1000"/>
      <c r="BD394" s="1000"/>
      <c r="BE394" s="1000"/>
      <c r="BF394" s="1000"/>
      <c r="BG394" s="1000"/>
      <c r="BH394" s="1000"/>
      <c r="BI394" s="1000"/>
      <c r="BJ394" s="1000"/>
      <c r="BK394" s="1000"/>
      <c r="BL394" s="1000"/>
      <c r="BM394" s="1000"/>
      <c r="BN394" s="1000"/>
      <c r="BO394" s="1000"/>
      <c r="BP394" s="1000"/>
      <c r="BQ394" s="1000"/>
      <c r="BR394" s="1000"/>
      <c r="BS394" s="1000"/>
      <c r="BT394" s="1000"/>
      <c r="BU394" s="1000"/>
      <c r="BV394" s="1000"/>
      <c r="BW394" s="1000"/>
      <c r="BX394" s="1000"/>
      <c r="BY394" s="1000"/>
      <c r="BZ394" s="1000"/>
      <c r="CA394" s="1000"/>
      <c r="CB394" s="1000"/>
      <c r="CC394" s="1000"/>
      <c r="CD394" s="1000"/>
      <c r="CE394" s="1000"/>
      <c r="CF394" s="1000"/>
      <c r="CG394" s="1000"/>
      <c r="CH394" s="1000"/>
      <c r="CI394" s="1001"/>
    </row>
    <row r="395" spans="2:87" x14ac:dyDescent="0.2">
      <c r="B395" s="1300"/>
      <c r="C395" s="1301" t="s">
        <v>789</v>
      </c>
      <c r="D395" s="1301"/>
      <c r="E395" s="1301" t="s">
        <v>236</v>
      </c>
      <c r="F395" s="1301">
        <v>2</v>
      </c>
      <c r="G395" s="1002">
        <f t="shared" ref="G395:AK396" si="139">G317-G328</f>
        <v>0</v>
      </c>
      <c r="H395" s="1002">
        <f t="shared" si="139"/>
        <v>0</v>
      </c>
      <c r="I395" s="1002">
        <f t="shared" si="139"/>
        <v>3.610113469569864</v>
      </c>
      <c r="J395" s="1002">
        <f t="shared" si="139"/>
        <v>3.5630537606971457</v>
      </c>
      <c r="K395" s="1002">
        <f t="shared" si="139"/>
        <v>3.5316955942590504</v>
      </c>
      <c r="L395" s="1002">
        <f t="shared" si="139"/>
        <v>3.5152733242257606</v>
      </c>
      <c r="M395" s="1002">
        <f t="shared" si="139"/>
        <v>3.4727388585675607</v>
      </c>
      <c r="N395" s="1002">
        <f t="shared" si="139"/>
        <v>3.4769356716022477</v>
      </c>
      <c r="O395" s="1002">
        <f t="shared" si="139"/>
        <v>3.4885295606728941</v>
      </c>
      <c r="P395" s="1002">
        <f t="shared" si="139"/>
        <v>3.4458349373187653</v>
      </c>
      <c r="Q395" s="1002">
        <f t="shared" si="139"/>
        <v>3.668032862480997</v>
      </c>
      <c r="R395" s="1002">
        <f t="shared" si="139"/>
        <v>4.0996181172143871</v>
      </c>
      <c r="S395" s="1002">
        <f t="shared" si="139"/>
        <v>4.2375337195635945</v>
      </c>
      <c r="T395" s="1002">
        <f t="shared" si="139"/>
        <v>4.1809121002592802</v>
      </c>
      <c r="U395" s="1002">
        <f t="shared" si="139"/>
        <v>4.1120732835447447</v>
      </c>
      <c r="V395" s="1002">
        <f t="shared" si="139"/>
        <v>4.0448527668151559</v>
      </c>
      <c r="W395" s="1002">
        <f t="shared" si="139"/>
        <v>4.0285535142691362</v>
      </c>
      <c r="X395" s="1002">
        <f t="shared" si="139"/>
        <v>4.0134020200421157</v>
      </c>
      <c r="Y395" s="1002">
        <f t="shared" si="139"/>
        <v>3.9997315254253993</v>
      </c>
      <c r="Z395" s="1002">
        <f t="shared" si="139"/>
        <v>3.9876519865738214</v>
      </c>
      <c r="AA395" s="1002">
        <f t="shared" si="139"/>
        <v>3.9732525596609944</v>
      </c>
      <c r="AB395" s="1002">
        <f t="shared" si="139"/>
        <v>3.9523014598429627</v>
      </c>
      <c r="AC395" s="1002">
        <f t="shared" si="139"/>
        <v>3.937985053470459</v>
      </c>
      <c r="AD395" s="1002">
        <f t="shared" si="139"/>
        <v>3.9255254804138051</v>
      </c>
      <c r="AE395" s="1002">
        <f t="shared" si="139"/>
        <v>3.9292547253678451</v>
      </c>
      <c r="AF395" s="1002">
        <f t="shared" si="139"/>
        <v>3.9335332846095885</v>
      </c>
      <c r="AG395" s="1002">
        <f t="shared" si="139"/>
        <v>3.9377528357784981</v>
      </c>
      <c r="AH395" s="1002">
        <f t="shared" si="139"/>
        <v>3.9431814814886366</v>
      </c>
      <c r="AI395" s="1002">
        <f t="shared" si="139"/>
        <v>3.9488077414827578</v>
      </c>
      <c r="AJ395" s="1002">
        <f t="shared" si="139"/>
        <v>3.9552471397410347</v>
      </c>
      <c r="AK395" s="1002">
        <f t="shared" si="139"/>
        <v>3.961503192968427</v>
      </c>
      <c r="AL395" s="1002"/>
      <c r="AM395" s="1002"/>
      <c r="AN395" s="1002"/>
      <c r="AO395" s="1002"/>
      <c r="AP395" s="1002"/>
      <c r="AQ395" s="1002"/>
      <c r="AR395" s="1002"/>
      <c r="AS395" s="1002"/>
      <c r="AT395" s="1002"/>
      <c r="AU395" s="1002"/>
      <c r="AV395" s="1002"/>
      <c r="AW395" s="1002"/>
      <c r="AX395" s="1002"/>
      <c r="AY395" s="1002"/>
      <c r="AZ395" s="1002"/>
      <c r="BA395" s="1002"/>
      <c r="BB395" s="1002"/>
      <c r="BC395" s="1002"/>
      <c r="BD395" s="1002"/>
      <c r="BE395" s="1002"/>
      <c r="BF395" s="1002"/>
      <c r="BG395" s="1002"/>
      <c r="BH395" s="1002"/>
      <c r="BI395" s="1002"/>
      <c r="BJ395" s="1002"/>
      <c r="BK395" s="1002"/>
      <c r="BL395" s="1002"/>
      <c r="BM395" s="1002"/>
      <c r="BN395" s="1002"/>
      <c r="BO395" s="1002"/>
      <c r="BP395" s="1002"/>
      <c r="BQ395" s="1002"/>
      <c r="BR395" s="1002"/>
      <c r="BS395" s="1002"/>
      <c r="BT395" s="1002"/>
      <c r="BU395" s="1002"/>
      <c r="BV395" s="1002"/>
      <c r="BW395" s="1002"/>
      <c r="BX395" s="1002"/>
      <c r="BY395" s="1002"/>
      <c r="BZ395" s="1002"/>
      <c r="CA395" s="1002"/>
      <c r="CB395" s="1002"/>
      <c r="CC395" s="1002"/>
      <c r="CD395" s="1002"/>
      <c r="CE395" s="1002"/>
      <c r="CF395" s="1002"/>
      <c r="CG395" s="1002"/>
      <c r="CH395" s="1002"/>
      <c r="CI395" s="1003"/>
    </row>
    <row r="396" spans="2:87" x14ac:dyDescent="0.2">
      <c r="B396" s="1300"/>
      <c r="C396" s="1301" t="s">
        <v>790</v>
      </c>
      <c r="D396" s="1301"/>
      <c r="E396" s="1301" t="s">
        <v>236</v>
      </c>
      <c r="F396" s="1301">
        <v>2</v>
      </c>
      <c r="G396" s="1002">
        <f t="shared" si="139"/>
        <v>0</v>
      </c>
      <c r="H396" s="1002">
        <f t="shared" si="139"/>
        <v>0</v>
      </c>
      <c r="I396" s="1002">
        <f t="shared" si="139"/>
        <v>2.1866636376326452</v>
      </c>
      <c r="J396" s="1002">
        <f t="shared" si="139"/>
        <v>2.2221788626312171</v>
      </c>
      <c r="K396" s="1002">
        <f t="shared" si="139"/>
        <v>2.0423820051820782</v>
      </c>
      <c r="L396" s="1002">
        <f t="shared" si="139"/>
        <v>1.9626598081871922</v>
      </c>
      <c r="M396" s="1002">
        <f t="shared" si="139"/>
        <v>1.8780887703973057</v>
      </c>
      <c r="N396" s="1002">
        <f t="shared" si="139"/>
        <v>1.8391251699208353</v>
      </c>
      <c r="O396" s="1002">
        <f t="shared" si="139"/>
        <v>1.7958378279016183</v>
      </c>
      <c r="P396" s="1002">
        <f t="shared" si="139"/>
        <v>1.7453611462596634</v>
      </c>
      <c r="Q396" s="1002">
        <f t="shared" si="139"/>
        <v>1.279044452043824</v>
      </c>
      <c r="R396" s="1002">
        <f t="shared" si="139"/>
        <v>0.56153114265817861</v>
      </c>
      <c r="S396" s="1002">
        <f t="shared" si="139"/>
        <v>0.28147504688502223</v>
      </c>
      <c r="T396" s="1002">
        <f t="shared" si="139"/>
        <v>0.27737640162148813</v>
      </c>
      <c r="U396" s="1002">
        <f t="shared" si="139"/>
        <v>0.27239136612898529</v>
      </c>
      <c r="V396" s="1002">
        <f t="shared" si="139"/>
        <v>0.26737606308100476</v>
      </c>
      <c r="W396" s="1002">
        <f t="shared" si="139"/>
        <v>0.26378573585212867</v>
      </c>
      <c r="X396" s="1002">
        <f t="shared" si="139"/>
        <v>0.26017134043568818</v>
      </c>
      <c r="Y396" s="1002">
        <f t="shared" si="139"/>
        <v>0.25650680276900589</v>
      </c>
      <c r="Z396" s="1002">
        <f t="shared" si="139"/>
        <v>0.25288572214271393</v>
      </c>
      <c r="AA396" s="1002">
        <f t="shared" si="139"/>
        <v>0.24922066084051137</v>
      </c>
      <c r="AB396" s="1002">
        <f t="shared" si="139"/>
        <v>0.24527153543292188</v>
      </c>
      <c r="AC396" s="1002">
        <f t="shared" si="139"/>
        <v>0.24103466656859893</v>
      </c>
      <c r="AD396" s="1002">
        <f t="shared" si="139"/>
        <v>0.23695097758842421</v>
      </c>
      <c r="AE396" s="1002">
        <f t="shared" si="139"/>
        <v>0.23404096852485923</v>
      </c>
      <c r="AF396" s="1002">
        <f t="shared" si="139"/>
        <v>0.2311445366941986</v>
      </c>
      <c r="AG396" s="1002">
        <f t="shared" si="139"/>
        <v>0.22830230379374222</v>
      </c>
      <c r="AH396" s="1002">
        <f t="shared" si="139"/>
        <v>0.22554003832447714</v>
      </c>
      <c r="AI396" s="1002">
        <f t="shared" si="139"/>
        <v>0.22276321915436509</v>
      </c>
      <c r="AJ396" s="1002">
        <f t="shared" si="139"/>
        <v>0.22000514463064205</v>
      </c>
      <c r="AK396" s="1002">
        <f t="shared" si="139"/>
        <v>0.21717170876166919</v>
      </c>
      <c r="AL396" s="1002"/>
      <c r="AM396" s="1002"/>
      <c r="AN396" s="1002"/>
      <c r="AO396" s="1002"/>
      <c r="AP396" s="1002"/>
      <c r="AQ396" s="1002"/>
      <c r="AR396" s="1002"/>
      <c r="AS396" s="1002"/>
      <c r="AT396" s="1002"/>
      <c r="AU396" s="1002"/>
      <c r="AV396" s="1002"/>
      <c r="AW396" s="1002"/>
      <c r="AX396" s="1002"/>
      <c r="AY396" s="1002"/>
      <c r="AZ396" s="1002"/>
      <c r="BA396" s="1002"/>
      <c r="BB396" s="1002"/>
      <c r="BC396" s="1002"/>
      <c r="BD396" s="1002"/>
      <c r="BE396" s="1002"/>
      <c r="BF396" s="1002"/>
      <c r="BG396" s="1002"/>
      <c r="BH396" s="1002"/>
      <c r="BI396" s="1002"/>
      <c r="BJ396" s="1002"/>
      <c r="BK396" s="1002"/>
      <c r="BL396" s="1002"/>
      <c r="BM396" s="1002"/>
      <c r="BN396" s="1002"/>
      <c r="BO396" s="1002"/>
      <c r="BP396" s="1002"/>
      <c r="BQ396" s="1002"/>
      <c r="BR396" s="1002"/>
      <c r="BS396" s="1002"/>
      <c r="BT396" s="1002"/>
      <c r="BU396" s="1002"/>
      <c r="BV396" s="1002"/>
      <c r="BW396" s="1002"/>
      <c r="BX396" s="1002"/>
      <c r="BY396" s="1002"/>
      <c r="BZ396" s="1002"/>
      <c r="CA396" s="1002"/>
      <c r="CB396" s="1002"/>
      <c r="CC396" s="1002"/>
      <c r="CD396" s="1002"/>
      <c r="CE396" s="1002"/>
      <c r="CF396" s="1002"/>
      <c r="CG396" s="1002"/>
      <c r="CH396" s="1002"/>
      <c r="CI396" s="1003"/>
    </row>
    <row r="397" spans="2:87" x14ac:dyDescent="0.2">
      <c r="B397" s="1300"/>
      <c r="C397" s="1301" t="s">
        <v>791</v>
      </c>
      <c r="D397" s="1301"/>
      <c r="E397" s="1301" t="s">
        <v>236</v>
      </c>
      <c r="F397" s="1301">
        <v>2</v>
      </c>
      <c r="G397" s="1002">
        <f>G314+G316-G326-G327</f>
        <v>0</v>
      </c>
      <c r="H397" s="1002">
        <f t="shared" ref="H397:AK397" si="140">H314+H316-H326-H327</f>
        <v>0</v>
      </c>
      <c r="I397" s="1002">
        <f t="shared" si="140"/>
        <v>3.4165914597957534</v>
      </c>
      <c r="J397" s="1002">
        <f t="shared" si="140"/>
        <v>3.969405642934285</v>
      </c>
      <c r="K397" s="1002">
        <f t="shared" si="140"/>
        <v>4.133222604030875</v>
      </c>
      <c r="L397" s="1002">
        <f t="shared" si="140"/>
        <v>4.3132373437964135</v>
      </c>
      <c r="M397" s="1002">
        <f t="shared" si="140"/>
        <v>4.460696779493035</v>
      </c>
      <c r="N397" s="1002">
        <f t="shared" si="140"/>
        <v>4.5010893076160512</v>
      </c>
      <c r="O397" s="1002">
        <f t="shared" si="140"/>
        <v>4.506045716981486</v>
      </c>
      <c r="P397" s="1002">
        <f t="shared" si="140"/>
        <v>4.5103129513190199</v>
      </c>
      <c r="Q397" s="1002">
        <f t="shared" si="140"/>
        <v>4.5116821654080281</v>
      </c>
      <c r="R397" s="1002">
        <f t="shared" si="140"/>
        <v>4.4976011394228763</v>
      </c>
      <c r="S397" s="1002">
        <f t="shared" si="140"/>
        <v>4.482764522923584</v>
      </c>
      <c r="T397" s="1002">
        <f t="shared" si="140"/>
        <v>6.7577180522341553</v>
      </c>
      <c r="U397" s="1002">
        <f t="shared" si="140"/>
        <v>6.7428673156187378</v>
      </c>
      <c r="V397" s="1002">
        <f t="shared" si="140"/>
        <v>6.7281621227909376</v>
      </c>
      <c r="W397" s="1002">
        <f t="shared" si="140"/>
        <v>6.7151281358376327</v>
      </c>
      <c r="X397" s="1002">
        <f t="shared" si="140"/>
        <v>6.7020668328942206</v>
      </c>
      <c r="Y397" s="1002">
        <f t="shared" si="140"/>
        <v>6.689183454376824</v>
      </c>
      <c r="Z397" s="1002">
        <f t="shared" si="140"/>
        <v>6.6964935471219791</v>
      </c>
      <c r="AA397" s="1002">
        <f t="shared" si="140"/>
        <v>6.7038272306373408</v>
      </c>
      <c r="AB397" s="1002">
        <f t="shared" si="140"/>
        <v>6.7111700910101613</v>
      </c>
      <c r="AC397" s="1002">
        <f t="shared" si="140"/>
        <v>6.7184908587878942</v>
      </c>
      <c r="AD397" s="1002">
        <f t="shared" si="140"/>
        <v>6.7256798041206176</v>
      </c>
      <c r="AE397" s="1002">
        <f t="shared" si="140"/>
        <v>6.7326929117979857</v>
      </c>
      <c r="AF397" s="1002">
        <f t="shared" si="140"/>
        <v>6.7396464334888231</v>
      </c>
      <c r="AG397" s="1002">
        <f t="shared" si="140"/>
        <v>6.7464725642037475</v>
      </c>
      <c r="AH397" s="1002">
        <f t="shared" si="140"/>
        <v>6.7532689935244115</v>
      </c>
      <c r="AI397" s="1002">
        <f t="shared" si="140"/>
        <v>6.7600153517445891</v>
      </c>
      <c r="AJ397" s="1002">
        <f t="shared" si="140"/>
        <v>6.7666770891529699</v>
      </c>
      <c r="AK397" s="1002">
        <f t="shared" si="140"/>
        <v>6.773321714205105</v>
      </c>
      <c r="AL397" s="1002"/>
      <c r="AM397" s="1002"/>
      <c r="AN397" s="1002"/>
      <c r="AO397" s="1002"/>
      <c r="AP397" s="1002"/>
      <c r="AQ397" s="1002"/>
      <c r="AR397" s="1002"/>
      <c r="AS397" s="1002"/>
      <c r="AT397" s="1002"/>
      <c r="AU397" s="1002"/>
      <c r="AV397" s="1002"/>
      <c r="AW397" s="1002"/>
      <c r="AX397" s="1002"/>
      <c r="AY397" s="1002"/>
      <c r="AZ397" s="1002"/>
      <c r="BA397" s="1002"/>
      <c r="BB397" s="1002"/>
      <c r="BC397" s="1002"/>
      <c r="BD397" s="1002"/>
      <c r="BE397" s="1002"/>
      <c r="BF397" s="1002"/>
      <c r="BG397" s="1002"/>
      <c r="BH397" s="1002"/>
      <c r="BI397" s="1002"/>
      <c r="BJ397" s="1002"/>
      <c r="BK397" s="1002"/>
      <c r="BL397" s="1002"/>
      <c r="BM397" s="1002"/>
      <c r="BN397" s="1002"/>
      <c r="BO397" s="1002"/>
      <c r="BP397" s="1002"/>
      <c r="BQ397" s="1002"/>
      <c r="BR397" s="1002"/>
      <c r="BS397" s="1002"/>
      <c r="BT397" s="1002"/>
      <c r="BU397" s="1002"/>
      <c r="BV397" s="1002"/>
      <c r="BW397" s="1002"/>
      <c r="BX397" s="1002"/>
      <c r="BY397" s="1002"/>
      <c r="BZ397" s="1002"/>
      <c r="CA397" s="1002"/>
      <c r="CB397" s="1002"/>
      <c r="CC397" s="1002"/>
      <c r="CD397" s="1002"/>
      <c r="CE397" s="1002"/>
      <c r="CF397" s="1002"/>
      <c r="CG397" s="1002"/>
      <c r="CH397" s="1002"/>
      <c r="CI397" s="1003"/>
    </row>
    <row r="398" spans="2:87" x14ac:dyDescent="0.2">
      <c r="B398" s="1300"/>
      <c r="C398" s="1301" t="s">
        <v>243</v>
      </c>
      <c r="D398" s="1301"/>
      <c r="E398" s="1301" t="s">
        <v>236</v>
      </c>
      <c r="F398" s="1301">
        <v>2</v>
      </c>
      <c r="G398" s="1002">
        <f>G332</f>
        <v>0</v>
      </c>
      <c r="H398" s="1002">
        <f t="shared" ref="H398:AK398" si="141">H332</f>
        <v>0</v>
      </c>
      <c r="I398" s="1002">
        <f t="shared" si="141"/>
        <v>1.9305131976000001</v>
      </c>
      <c r="J398" s="1002">
        <f t="shared" si="141"/>
        <v>1.6747597999999997</v>
      </c>
      <c r="K398" s="1002">
        <f t="shared" si="141"/>
        <v>1.6092663999999997</v>
      </c>
      <c r="L398" s="1002">
        <f t="shared" si="141"/>
        <v>1.5437730000000001</v>
      </c>
      <c r="M398" s="1002">
        <f t="shared" si="141"/>
        <v>1.5281028000000001</v>
      </c>
      <c r="N398" s="1002">
        <f t="shared" si="141"/>
        <v>1.5124326000000001</v>
      </c>
      <c r="O398" s="1002">
        <f t="shared" si="141"/>
        <v>1.4967624000000002</v>
      </c>
      <c r="P398" s="1002">
        <f t="shared" si="141"/>
        <v>1.4810922000000002</v>
      </c>
      <c r="Q398" s="1002">
        <f t="shared" si="141"/>
        <v>1.4654220000000002</v>
      </c>
      <c r="R398" s="1002">
        <f t="shared" si="141"/>
        <v>1.4497518000000003</v>
      </c>
      <c r="S398" s="1002">
        <f t="shared" si="141"/>
        <v>1.4340816000000003</v>
      </c>
      <c r="T398" s="1002">
        <f t="shared" si="141"/>
        <v>1.4184114000000003</v>
      </c>
      <c r="U398" s="1002">
        <f t="shared" si="141"/>
        <v>1.4027412000000004</v>
      </c>
      <c r="V398" s="1002">
        <f t="shared" si="141"/>
        <v>1.3870710000000004</v>
      </c>
      <c r="W398" s="1002">
        <f t="shared" si="141"/>
        <v>1.3714008000000004</v>
      </c>
      <c r="X398" s="1002">
        <f t="shared" si="141"/>
        <v>1.3557306000000005</v>
      </c>
      <c r="Y398" s="1002">
        <f t="shared" si="141"/>
        <v>1.3400604000000005</v>
      </c>
      <c r="Z398" s="1002">
        <f t="shared" si="141"/>
        <v>1.3243902000000005</v>
      </c>
      <c r="AA398" s="1002">
        <f t="shared" si="141"/>
        <v>1.3087200000000005</v>
      </c>
      <c r="AB398" s="1002">
        <f t="shared" si="141"/>
        <v>1.2930498000000006</v>
      </c>
      <c r="AC398" s="1002">
        <f t="shared" si="141"/>
        <v>1.2773796000000006</v>
      </c>
      <c r="AD398" s="1002">
        <f t="shared" si="141"/>
        <v>1.2617094000000004</v>
      </c>
      <c r="AE398" s="1002">
        <f t="shared" si="141"/>
        <v>1.2460392000000007</v>
      </c>
      <c r="AF398" s="1002">
        <f t="shared" si="141"/>
        <v>1.2303690000000007</v>
      </c>
      <c r="AG398" s="1002">
        <f t="shared" si="141"/>
        <v>1.2146988000000007</v>
      </c>
      <c r="AH398" s="1002">
        <f t="shared" si="141"/>
        <v>1.1990286000000008</v>
      </c>
      <c r="AI398" s="1002">
        <f t="shared" si="141"/>
        <v>1.1833584000000008</v>
      </c>
      <c r="AJ398" s="1002">
        <f t="shared" si="141"/>
        <v>1.1676882000000011</v>
      </c>
      <c r="AK398" s="1002">
        <f t="shared" si="141"/>
        <v>1.152018</v>
      </c>
      <c r="AL398" s="1002"/>
      <c r="AM398" s="1002"/>
      <c r="AN398" s="1002"/>
      <c r="AO398" s="1002"/>
      <c r="AP398" s="1002"/>
      <c r="AQ398" s="1002"/>
      <c r="AR398" s="1002"/>
      <c r="AS398" s="1002"/>
      <c r="AT398" s="1002"/>
      <c r="AU398" s="1002"/>
      <c r="AV398" s="1002"/>
      <c r="AW398" s="1002"/>
      <c r="AX398" s="1002"/>
      <c r="AY398" s="1002"/>
      <c r="AZ398" s="1002"/>
      <c r="BA398" s="1002"/>
      <c r="BB398" s="1002"/>
      <c r="BC398" s="1002"/>
      <c r="BD398" s="1002"/>
      <c r="BE398" s="1002"/>
      <c r="BF398" s="1002"/>
      <c r="BG398" s="1002"/>
      <c r="BH398" s="1002"/>
      <c r="BI398" s="1002"/>
      <c r="BJ398" s="1002"/>
      <c r="BK398" s="1002"/>
      <c r="BL398" s="1002"/>
      <c r="BM398" s="1002"/>
      <c r="BN398" s="1002"/>
      <c r="BO398" s="1002"/>
      <c r="BP398" s="1002"/>
      <c r="BQ398" s="1002"/>
      <c r="BR398" s="1002"/>
      <c r="BS398" s="1002"/>
      <c r="BT398" s="1002"/>
      <c r="BU398" s="1002"/>
      <c r="BV398" s="1002"/>
      <c r="BW398" s="1002"/>
      <c r="BX398" s="1002"/>
      <c r="BY398" s="1002"/>
      <c r="BZ398" s="1002"/>
      <c r="CA398" s="1002"/>
      <c r="CB398" s="1002"/>
      <c r="CC398" s="1002"/>
      <c r="CD398" s="1002"/>
      <c r="CE398" s="1002"/>
      <c r="CF398" s="1002"/>
      <c r="CG398" s="1002"/>
      <c r="CH398" s="1002"/>
      <c r="CI398" s="1003"/>
    </row>
    <row r="399" spans="2:87" x14ac:dyDescent="0.2">
      <c r="B399" s="1300"/>
      <c r="C399" s="1301" t="s">
        <v>792</v>
      </c>
      <c r="D399" s="1301"/>
      <c r="E399" s="1301" t="s">
        <v>236</v>
      </c>
      <c r="F399" s="1301">
        <v>2</v>
      </c>
      <c r="G399" s="1002">
        <f>G356-SUM(G395:G398)</f>
        <v>0</v>
      </c>
      <c r="H399" s="1002">
        <f t="shared" ref="H399:AK399" si="142">H356-SUM(H395:H398)</f>
        <v>0</v>
      </c>
      <c r="I399" s="1002">
        <f t="shared" si="142"/>
        <v>0.277795537065753</v>
      </c>
      <c r="J399" s="1002">
        <f t="shared" si="142"/>
        <v>0.28679110094586946</v>
      </c>
      <c r="K399" s="1002">
        <f t="shared" si="142"/>
        <v>0.28667830223778346</v>
      </c>
      <c r="L399" s="1002">
        <f t="shared" si="142"/>
        <v>0.28666635882526315</v>
      </c>
      <c r="M399" s="1002">
        <f t="shared" si="142"/>
        <v>0.28681847685005479</v>
      </c>
      <c r="N399" s="1002">
        <f t="shared" si="142"/>
        <v>0.2866665207354071</v>
      </c>
      <c r="O399" s="1002">
        <f t="shared" si="142"/>
        <v>0.28652547740467504</v>
      </c>
      <c r="P399" s="1002">
        <f t="shared" si="142"/>
        <v>0.28642721894646428</v>
      </c>
      <c r="Q399" s="1002">
        <f t="shared" si="142"/>
        <v>0.28634461313646931</v>
      </c>
      <c r="R399" s="1002">
        <f t="shared" si="142"/>
        <v>0.28626487528605793</v>
      </c>
      <c r="S399" s="1002">
        <f t="shared" si="142"/>
        <v>0.28618499380624307</v>
      </c>
      <c r="T399" s="1002">
        <f t="shared" si="142"/>
        <v>0.28610404658806665</v>
      </c>
      <c r="U399" s="1002">
        <f t="shared" si="142"/>
        <v>0.28602350265502352</v>
      </c>
      <c r="V399" s="1002">
        <f t="shared" si="142"/>
        <v>0.28594276315835465</v>
      </c>
      <c r="W399" s="1002">
        <f t="shared" si="142"/>
        <v>0.28586246422940143</v>
      </c>
      <c r="X399" s="1002">
        <f t="shared" si="142"/>
        <v>0.28578219794007431</v>
      </c>
      <c r="Y399" s="1002">
        <f t="shared" si="142"/>
        <v>0.2857026935326985</v>
      </c>
      <c r="Z399" s="1002">
        <f t="shared" si="142"/>
        <v>0.28562501572950616</v>
      </c>
      <c r="AA399" s="1002">
        <f t="shared" si="142"/>
        <v>0.28554803368088244</v>
      </c>
      <c r="AB399" s="1002">
        <f t="shared" si="142"/>
        <v>0.28547191934553595</v>
      </c>
      <c r="AC399" s="1002">
        <f t="shared" si="142"/>
        <v>0.28539721028058018</v>
      </c>
      <c r="AD399" s="1002">
        <f t="shared" si="142"/>
        <v>0.28532375301990953</v>
      </c>
      <c r="AE399" s="1002">
        <f t="shared" si="142"/>
        <v>0.28525038034805839</v>
      </c>
      <c r="AF399" s="1002">
        <f t="shared" si="142"/>
        <v>0.28517763265723417</v>
      </c>
      <c r="AG399" s="1002">
        <f t="shared" si="142"/>
        <v>0.28510556917935581</v>
      </c>
      <c r="AH399" s="1002">
        <f t="shared" si="142"/>
        <v>0.28503458647074886</v>
      </c>
      <c r="AI399" s="1002">
        <f t="shared" si="142"/>
        <v>0.28496514672452911</v>
      </c>
      <c r="AJ399" s="1002">
        <f t="shared" si="142"/>
        <v>0.28489715349054912</v>
      </c>
      <c r="AK399" s="1002">
        <f t="shared" si="142"/>
        <v>0.28483025542935536</v>
      </c>
      <c r="AL399" s="1002"/>
      <c r="AM399" s="1002"/>
      <c r="AN399" s="1002"/>
      <c r="AO399" s="1002"/>
      <c r="AP399" s="1002"/>
      <c r="AQ399" s="1002"/>
      <c r="AR399" s="1002"/>
      <c r="AS399" s="1002"/>
      <c r="AT399" s="1002"/>
      <c r="AU399" s="1002"/>
      <c r="AV399" s="1002"/>
      <c r="AW399" s="1002"/>
      <c r="AX399" s="1002"/>
      <c r="AY399" s="1002"/>
      <c r="AZ399" s="1002"/>
      <c r="BA399" s="1002"/>
      <c r="BB399" s="1002"/>
      <c r="BC399" s="1002"/>
      <c r="BD399" s="1002"/>
      <c r="BE399" s="1002"/>
      <c r="BF399" s="1002"/>
      <c r="BG399" s="1002"/>
      <c r="BH399" s="1002"/>
      <c r="BI399" s="1002"/>
      <c r="BJ399" s="1002"/>
      <c r="BK399" s="1002"/>
      <c r="BL399" s="1002"/>
      <c r="BM399" s="1002"/>
      <c r="BN399" s="1002"/>
      <c r="BO399" s="1002"/>
      <c r="BP399" s="1002"/>
      <c r="BQ399" s="1002"/>
      <c r="BR399" s="1002"/>
      <c r="BS399" s="1002"/>
      <c r="BT399" s="1002"/>
      <c r="BU399" s="1002"/>
      <c r="BV399" s="1002"/>
      <c r="BW399" s="1002"/>
      <c r="BX399" s="1002"/>
      <c r="BY399" s="1002"/>
      <c r="BZ399" s="1002"/>
      <c r="CA399" s="1002"/>
      <c r="CB399" s="1002"/>
      <c r="CC399" s="1002"/>
      <c r="CD399" s="1002"/>
      <c r="CE399" s="1002"/>
      <c r="CF399" s="1002"/>
      <c r="CG399" s="1002"/>
      <c r="CH399" s="1002"/>
      <c r="CI399" s="1003"/>
    </row>
    <row r="400" spans="2:87" x14ac:dyDescent="0.2">
      <c r="B400" s="1300"/>
      <c r="C400" s="1301" t="s">
        <v>793</v>
      </c>
      <c r="D400" s="1301"/>
      <c r="E400" s="1301" t="s">
        <v>236</v>
      </c>
      <c r="F400" s="1301">
        <v>2</v>
      </c>
      <c r="G400" s="1002">
        <f>G313</f>
        <v>0</v>
      </c>
      <c r="H400" s="1002">
        <f t="shared" ref="H400:AK400" si="143">H313</f>
        <v>0</v>
      </c>
      <c r="I400" s="1002">
        <f t="shared" si="143"/>
        <v>21.588554036700287</v>
      </c>
      <c r="J400" s="1002">
        <f t="shared" si="143"/>
        <v>21.587054870837449</v>
      </c>
      <c r="K400" s="1002">
        <f t="shared" si="143"/>
        <v>21.566362890954544</v>
      </c>
      <c r="L400" s="1002">
        <f t="shared" si="143"/>
        <v>21.556931840079464</v>
      </c>
      <c r="M400" s="1002">
        <f t="shared" si="143"/>
        <v>21.54440424018717</v>
      </c>
      <c r="N400" s="1002">
        <f t="shared" si="143"/>
        <v>21.541030936203384</v>
      </c>
      <c r="O400" s="1002">
        <f t="shared" si="143"/>
        <v>21.537980462897082</v>
      </c>
      <c r="P400" s="1002">
        <f t="shared" si="143"/>
        <v>21.528760198656805</v>
      </c>
      <c r="Q400" s="1002">
        <f t="shared" si="143"/>
        <v>21.505682502649258</v>
      </c>
      <c r="R400" s="1002">
        <f t="shared" si="143"/>
        <v>21.479206893048634</v>
      </c>
      <c r="S400" s="1002">
        <f t="shared" si="143"/>
        <v>21.465797507166279</v>
      </c>
      <c r="T400" s="1002">
        <f t="shared" si="143"/>
        <v>21.459695278038843</v>
      </c>
      <c r="U400" s="1002">
        <f t="shared" si="143"/>
        <v>21.45227622900785</v>
      </c>
      <c r="V400" s="1002">
        <f t="shared" si="143"/>
        <v>21.445017140064628</v>
      </c>
      <c r="W400" s="1002">
        <f t="shared" si="143"/>
        <v>21.443024936059899</v>
      </c>
      <c r="X400" s="1002">
        <f t="shared" si="143"/>
        <v>21.441145918142524</v>
      </c>
      <c r="Y400" s="1002">
        <f t="shared" si="143"/>
        <v>21.439411078183355</v>
      </c>
      <c r="Z400" s="1002">
        <f t="shared" si="143"/>
        <v>21.437840580142556</v>
      </c>
      <c r="AA400" s="1002">
        <f t="shared" si="143"/>
        <v>21.436032109559868</v>
      </c>
      <c r="AB400" s="1002">
        <f t="shared" si="143"/>
        <v>21.433536089209589</v>
      </c>
      <c r="AC400" s="1002">
        <f t="shared" si="143"/>
        <v>21.431680058580511</v>
      </c>
      <c r="AD400" s="1002">
        <f t="shared" si="143"/>
        <v>21.430025867997067</v>
      </c>
      <c r="AE400" s="1002">
        <f t="shared" si="143"/>
        <v>21.430116354726991</v>
      </c>
      <c r="AF400" s="1002">
        <f t="shared" si="143"/>
        <v>21.430263418554361</v>
      </c>
      <c r="AG400" s="1002">
        <f t="shared" si="143"/>
        <v>21.430409758022236</v>
      </c>
      <c r="AH400" s="1002">
        <f t="shared" si="143"/>
        <v>21.430685578287516</v>
      </c>
      <c r="AI400" s="1002">
        <f t="shared" si="143"/>
        <v>21.430979789948765</v>
      </c>
      <c r="AJ400" s="1002">
        <f t="shared" si="143"/>
        <v>21.431357630557287</v>
      </c>
      <c r="AK400" s="1002">
        <f t="shared" si="143"/>
        <v>21.431709586186308</v>
      </c>
      <c r="AL400" s="1002"/>
      <c r="AM400" s="1002"/>
      <c r="AN400" s="1002"/>
      <c r="AO400" s="1002"/>
      <c r="AP400" s="1002"/>
      <c r="AQ400" s="1002"/>
      <c r="AR400" s="1002"/>
      <c r="AS400" s="1002"/>
      <c r="AT400" s="1002"/>
      <c r="AU400" s="1002"/>
      <c r="AV400" s="1002"/>
      <c r="AW400" s="1002"/>
      <c r="AX400" s="1002"/>
      <c r="AY400" s="1002"/>
      <c r="AZ400" s="1002"/>
      <c r="BA400" s="1002"/>
      <c r="BB400" s="1002"/>
      <c r="BC400" s="1002"/>
      <c r="BD400" s="1002"/>
      <c r="BE400" s="1002"/>
      <c r="BF400" s="1002"/>
      <c r="BG400" s="1002"/>
      <c r="BH400" s="1002"/>
      <c r="BI400" s="1002"/>
      <c r="BJ400" s="1002"/>
      <c r="BK400" s="1002"/>
      <c r="BL400" s="1002"/>
      <c r="BM400" s="1002"/>
      <c r="BN400" s="1002"/>
      <c r="BO400" s="1002"/>
      <c r="BP400" s="1002"/>
      <c r="BQ400" s="1002"/>
      <c r="BR400" s="1002"/>
      <c r="BS400" s="1002"/>
      <c r="BT400" s="1002"/>
      <c r="BU400" s="1002"/>
      <c r="BV400" s="1002"/>
      <c r="BW400" s="1002"/>
      <c r="BX400" s="1002"/>
      <c r="BY400" s="1002"/>
      <c r="BZ400" s="1002"/>
      <c r="CA400" s="1002"/>
      <c r="CB400" s="1002"/>
      <c r="CC400" s="1002"/>
      <c r="CD400" s="1002"/>
      <c r="CE400" s="1002"/>
      <c r="CF400" s="1002"/>
      <c r="CG400" s="1002"/>
      <c r="CH400" s="1002"/>
      <c r="CI400" s="1003"/>
    </row>
    <row r="401" spans="2:87" x14ac:dyDescent="0.2">
      <c r="B401" s="1300"/>
      <c r="C401" s="1301" t="s">
        <v>794</v>
      </c>
      <c r="D401" s="1301"/>
      <c r="E401" s="1301" t="s">
        <v>236</v>
      </c>
      <c r="F401" s="1301">
        <v>2</v>
      </c>
      <c r="G401" s="1002">
        <f>SUM(G395:G399)+G359</f>
        <v>0</v>
      </c>
      <c r="H401" s="1002">
        <f t="shared" ref="H401:AK401" si="144">SUM(H395:H399)+H359</f>
        <v>0</v>
      </c>
      <c r="I401" s="1002">
        <f t="shared" si="144"/>
        <v>11.633289293414379</v>
      </c>
      <c r="J401" s="1002">
        <f t="shared" si="144"/>
        <v>11.961108406272139</v>
      </c>
      <c r="K401" s="1002">
        <f t="shared" si="144"/>
        <v>11.938753916225965</v>
      </c>
      <c r="L401" s="1002">
        <f t="shared" si="144"/>
        <v>11.956608012083725</v>
      </c>
      <c r="M401" s="1002">
        <f t="shared" si="144"/>
        <v>11.958312476716797</v>
      </c>
      <c r="N401" s="1002">
        <f t="shared" si="144"/>
        <v>11.935366761760552</v>
      </c>
      <c r="O401" s="1002">
        <f t="shared" si="144"/>
        <v>11.887887480263057</v>
      </c>
      <c r="P401" s="1002">
        <f t="shared" si="144"/>
        <v>11.776973710743164</v>
      </c>
      <c r="Q401" s="1002">
        <f t="shared" si="144"/>
        <v>11.521230717272427</v>
      </c>
      <c r="R401" s="1002">
        <f t="shared" si="144"/>
        <v>11.200310453232284</v>
      </c>
      <c r="S401" s="1002">
        <f t="shared" si="144"/>
        <v>11.023208699464897</v>
      </c>
      <c r="T401" s="1002">
        <f t="shared" si="144"/>
        <v>13.248212666514572</v>
      </c>
      <c r="U401" s="1002">
        <f t="shared" si="144"/>
        <v>13.137445152082336</v>
      </c>
      <c r="V401" s="1002">
        <f t="shared" si="144"/>
        <v>13.033166369937073</v>
      </c>
      <c r="W401" s="1002">
        <f t="shared" si="144"/>
        <v>12.979471478255617</v>
      </c>
      <c r="X401" s="1002">
        <f t="shared" si="144"/>
        <v>12.93153470135254</v>
      </c>
      <c r="Y401" s="1002">
        <f t="shared" si="144"/>
        <v>12.880724078788523</v>
      </c>
      <c r="Z401" s="1002">
        <f t="shared" si="144"/>
        <v>12.854396110990725</v>
      </c>
      <c r="AA401" s="1002">
        <f t="shared" si="144"/>
        <v>12.826934306362331</v>
      </c>
      <c r="AB401" s="1002">
        <f t="shared" si="144"/>
        <v>12.792590694237074</v>
      </c>
      <c r="AC401" s="1002">
        <f t="shared" si="144"/>
        <v>12.761850416576015</v>
      </c>
      <c r="AD401" s="1002">
        <f t="shared" si="144"/>
        <v>12.736880289963608</v>
      </c>
      <c r="AE401" s="1002">
        <f t="shared" si="144"/>
        <v>12.725917244049834</v>
      </c>
      <c r="AF401" s="1002">
        <f t="shared" si="144"/>
        <v>12.717906756902538</v>
      </c>
      <c r="AG401" s="1002">
        <f t="shared" si="144"/>
        <v>12.709652389306623</v>
      </c>
      <c r="AH401" s="1002">
        <f t="shared" si="144"/>
        <v>12.702295869334963</v>
      </c>
      <c r="AI401" s="1002">
        <f t="shared" si="144"/>
        <v>12.690165556243043</v>
      </c>
      <c r="AJ401" s="1002">
        <f t="shared" si="144"/>
        <v>12.686945097565356</v>
      </c>
      <c r="AK401" s="1002">
        <f t="shared" si="144"/>
        <v>12.682328743942334</v>
      </c>
      <c r="AL401" s="1002"/>
      <c r="AM401" s="1002"/>
      <c r="AN401" s="1002"/>
      <c r="AO401" s="1002"/>
      <c r="AP401" s="1002"/>
      <c r="AQ401" s="1002"/>
      <c r="AR401" s="1002"/>
      <c r="AS401" s="1002"/>
      <c r="AT401" s="1002"/>
      <c r="AU401" s="1002"/>
      <c r="AV401" s="1002"/>
      <c r="AW401" s="1002"/>
      <c r="AX401" s="1002"/>
      <c r="AY401" s="1002"/>
      <c r="AZ401" s="1002"/>
      <c r="BA401" s="1002"/>
      <c r="BB401" s="1002"/>
      <c r="BC401" s="1002"/>
      <c r="BD401" s="1002"/>
      <c r="BE401" s="1002"/>
      <c r="BF401" s="1002"/>
      <c r="BG401" s="1002"/>
      <c r="BH401" s="1002"/>
      <c r="BI401" s="1002"/>
      <c r="BJ401" s="1002"/>
      <c r="BK401" s="1002"/>
      <c r="BL401" s="1002"/>
      <c r="BM401" s="1002"/>
      <c r="BN401" s="1002"/>
      <c r="BO401" s="1002"/>
      <c r="BP401" s="1002"/>
      <c r="BQ401" s="1002"/>
      <c r="BR401" s="1002"/>
      <c r="BS401" s="1002"/>
      <c r="BT401" s="1002"/>
      <c r="BU401" s="1002"/>
      <c r="BV401" s="1002"/>
      <c r="BW401" s="1002"/>
      <c r="BX401" s="1002"/>
      <c r="BY401" s="1002"/>
      <c r="BZ401" s="1002"/>
      <c r="CA401" s="1002"/>
      <c r="CB401" s="1002"/>
      <c r="CC401" s="1002"/>
      <c r="CD401" s="1002"/>
      <c r="CE401" s="1002"/>
      <c r="CF401" s="1002"/>
      <c r="CG401" s="1002"/>
      <c r="CH401" s="1002"/>
      <c r="CI401" s="1003"/>
    </row>
    <row r="402" spans="2:87" ht="15" thickBot="1" x14ac:dyDescent="0.25">
      <c r="B402" s="1303"/>
      <c r="C402" s="1304"/>
      <c r="D402" s="1304"/>
      <c r="E402" s="1304"/>
      <c r="F402" s="1304"/>
      <c r="G402" s="1304"/>
      <c r="H402" s="1304"/>
      <c r="I402" s="1304"/>
      <c r="J402" s="1304"/>
      <c r="K402" s="1304"/>
      <c r="L402" s="1304"/>
      <c r="M402" s="1304"/>
      <c r="N402" s="1304"/>
      <c r="O402" s="1304"/>
      <c r="P402" s="1304"/>
      <c r="Q402" s="1304"/>
      <c r="R402" s="1304"/>
      <c r="S402" s="1304"/>
      <c r="T402" s="1304"/>
      <c r="U402" s="1304"/>
      <c r="V402" s="1304"/>
      <c r="W402" s="1304"/>
      <c r="X402" s="1304"/>
      <c r="Y402" s="1304"/>
      <c r="Z402" s="1304"/>
      <c r="AA402" s="1304"/>
      <c r="AB402" s="1304"/>
      <c r="AC402" s="1304"/>
      <c r="AD402" s="1304"/>
      <c r="AE402" s="1304"/>
      <c r="AF402" s="1304"/>
      <c r="AG402" s="1304"/>
      <c r="AH402" s="1304"/>
      <c r="AI402" s="1304"/>
      <c r="AJ402" s="1304"/>
      <c r="AK402" s="1304"/>
      <c r="AL402" s="1304"/>
      <c r="AM402" s="1304"/>
      <c r="AN402" s="1304"/>
      <c r="AO402" s="1304"/>
      <c r="AP402" s="1304"/>
      <c r="AQ402" s="1304"/>
      <c r="AR402" s="1304"/>
      <c r="AS402" s="1304"/>
      <c r="AT402" s="1304"/>
      <c r="AU402" s="1304"/>
      <c r="AV402" s="1304"/>
      <c r="AW402" s="1304"/>
      <c r="AX402" s="1304"/>
      <c r="AY402" s="1304"/>
      <c r="AZ402" s="1304"/>
      <c r="BA402" s="1304"/>
      <c r="BB402" s="1304"/>
      <c r="BC402" s="1304"/>
      <c r="BD402" s="1304"/>
      <c r="BE402" s="1304"/>
      <c r="BF402" s="1304"/>
      <c r="BG402" s="1304"/>
      <c r="BH402" s="1304"/>
      <c r="BI402" s="1304"/>
      <c r="BJ402" s="1304"/>
      <c r="BK402" s="1304"/>
      <c r="BL402" s="1304"/>
      <c r="BM402" s="1304"/>
      <c r="BN402" s="1304"/>
      <c r="BO402" s="1304"/>
      <c r="BP402" s="1304"/>
      <c r="BQ402" s="1304"/>
      <c r="BR402" s="1304"/>
      <c r="BS402" s="1304"/>
      <c r="BT402" s="1304"/>
      <c r="BU402" s="1304"/>
      <c r="BV402" s="1304"/>
      <c r="BW402" s="1304"/>
      <c r="BX402" s="1304"/>
      <c r="BY402" s="1304"/>
      <c r="BZ402" s="1304"/>
      <c r="CA402" s="1304"/>
      <c r="CB402" s="1304"/>
      <c r="CC402" s="1304"/>
      <c r="CD402" s="1304"/>
      <c r="CE402" s="1304"/>
      <c r="CF402" s="1304"/>
      <c r="CG402" s="1304"/>
      <c r="CH402" s="1304"/>
      <c r="CI402" s="1305"/>
    </row>
  </sheetData>
  <phoneticPr fontId="34" type="noConversion"/>
  <conditionalFormatting sqref="B97:B103">
    <cfRule type="expression" dxfId="4335" priority="9">
      <formula>"error.type(c3)=5"</formula>
    </cfRule>
    <cfRule type="expression" dxfId="4334" priority="10">
      <formula>ERROR.TYPE(B97)=2</formula>
    </cfRule>
    <cfRule type="expression" dxfId="4333" priority="11">
      <formula>ISNA(B97)</formula>
    </cfRule>
  </conditionalFormatting>
  <conditionalFormatting sqref="B277 D277:E277 B280 D280:E280">
    <cfRule type="expression" dxfId="4332" priority="70">
      <formula>"error.type(c3)=5"</formula>
    </cfRule>
    <cfRule type="expression" dxfId="4331" priority="71">
      <formula>ERROR.TYPE(B277)=2</formula>
    </cfRule>
    <cfRule type="expression" dxfId="4330" priority="72">
      <formula>ISNA(B277)</formula>
    </cfRule>
  </conditionalFormatting>
  <conditionalFormatting sqref="B282:B287 D282:E287">
    <cfRule type="expression" dxfId="4329" priority="20">
      <formula>"error.type(c3)=5"</formula>
    </cfRule>
    <cfRule type="expression" dxfId="4328" priority="21">
      <formula>ERROR.TYPE(B282)=2</formula>
    </cfRule>
    <cfRule type="expression" dxfId="4327" priority="22">
      <formula>ISNA(B282)</formula>
    </cfRule>
  </conditionalFormatting>
  <conditionalFormatting sqref="B293 D293:E293 B299 D299:E299 B300:E300">
    <cfRule type="expression" dxfId="4326" priority="115">
      <formula>"error.type(c3)=5"</formula>
    </cfRule>
    <cfRule type="expression" dxfId="4325" priority="116">
      <formula>ERROR.TYPE(B293)=2</formula>
    </cfRule>
    <cfRule type="expression" dxfId="4324" priority="117">
      <formula>ISNA(B293)</formula>
    </cfRule>
  </conditionalFormatting>
  <conditionalFormatting sqref="B95:E96">
    <cfRule type="expression" dxfId="4323" priority="12">
      <formula>"error.type(c3)=5"</formula>
    </cfRule>
    <cfRule type="expression" dxfId="4322" priority="13">
      <formula>ERROR.TYPE(B95)=2</formula>
    </cfRule>
    <cfRule type="expression" dxfId="4321" priority="14">
      <formula>ISNA(B95)</formula>
    </cfRule>
  </conditionalFormatting>
  <conditionalFormatting sqref="B104:E106">
    <cfRule type="expression" dxfId="4320" priority="118">
      <formula>"error.type(c3)=5"</formula>
    </cfRule>
    <cfRule type="expression" dxfId="4319" priority="119">
      <formula>ERROR.TYPE(B104)=2</formula>
    </cfRule>
    <cfRule type="expression" dxfId="4318" priority="120">
      <formula>ISNA(B104)</formula>
    </cfRule>
  </conditionalFormatting>
  <conditionalFormatting sqref="B112:E112 B276:E276 B278:E279">
    <cfRule type="expression" dxfId="4317" priority="169">
      <formula>"error.type(c3)=5"</formula>
    </cfRule>
    <cfRule type="expression" dxfId="4316" priority="170">
      <formula>ERROR.TYPE(B112)=2</formula>
    </cfRule>
    <cfRule type="expression" dxfId="4315" priority="171">
      <formula>ISNA(B112)</formula>
    </cfRule>
  </conditionalFormatting>
  <conditionalFormatting sqref="B118:E119">
    <cfRule type="expression" dxfId="4314" priority="6">
      <formula>"error.type(c3)=5"</formula>
    </cfRule>
    <cfRule type="expression" dxfId="4313" priority="7">
      <formula>ERROR.TYPE(B118)=2</formula>
    </cfRule>
    <cfRule type="expression" dxfId="4312" priority="8">
      <formula>ISNA(B118)</formula>
    </cfRule>
  </conditionalFormatting>
  <conditionalFormatting sqref="C31">
    <cfRule type="expression" dxfId="4311" priority="46">
      <formula>"error.type(c3)=5"</formula>
    </cfRule>
    <cfRule type="expression" dxfId="4310" priority="47">
      <formula>ERROR.TYPE(C31)=2</formula>
    </cfRule>
    <cfRule type="expression" dxfId="4309" priority="48">
      <formula>ISNA(C31)</formula>
    </cfRule>
  </conditionalFormatting>
  <conditionalFormatting sqref="C33:C40">
    <cfRule type="expression" dxfId="4308" priority="148">
      <formula>"error.type(c3)=5"</formula>
    </cfRule>
    <cfRule type="expression" dxfId="4307" priority="149">
      <formula>ERROR.TYPE(C33)=2</formula>
    </cfRule>
    <cfRule type="expression" dxfId="4306" priority="150">
      <formula>ISNA(C33)</formula>
    </cfRule>
  </conditionalFormatting>
  <conditionalFormatting sqref="C45:C49">
    <cfRule type="expression" dxfId="4305" priority="163">
      <formula>"error.type(c3)=5"</formula>
    </cfRule>
    <cfRule type="expression" dxfId="4304" priority="164">
      <formula>ERROR.TYPE(C45)=2</formula>
    </cfRule>
    <cfRule type="expression" dxfId="4303" priority="165">
      <formula>ISNA(C45)</formula>
    </cfRule>
  </conditionalFormatting>
  <conditionalFormatting sqref="C56:C59">
    <cfRule type="expression" dxfId="4302" priority="157">
      <formula>"error.type(c3)=5"</formula>
    </cfRule>
    <cfRule type="expression" dxfId="4301" priority="158">
      <formula>ERROR.TYPE(C56)=2</formula>
    </cfRule>
    <cfRule type="expression" dxfId="4300" priority="159">
      <formula>ISNA(C56)</formula>
    </cfRule>
  </conditionalFormatting>
  <conditionalFormatting sqref="C64">
    <cfRule type="expression" dxfId="4299" priority="154">
      <formula>"error.type(c3)=5"</formula>
    </cfRule>
    <cfRule type="expression" dxfId="4298" priority="155">
      <formula>ERROR.TYPE(C64)=2</formula>
    </cfRule>
    <cfRule type="expression" dxfId="4297" priority="156">
      <formula>ISNA(C64)</formula>
    </cfRule>
  </conditionalFormatting>
  <conditionalFormatting sqref="C78">
    <cfRule type="expression" dxfId="4296" priority="151">
      <formula>"error.type(c3)=5"</formula>
    </cfRule>
    <cfRule type="expression" dxfId="4295" priority="152">
      <formula>ERROR.TYPE(C78)=2</formula>
    </cfRule>
    <cfRule type="expression" dxfId="4294" priority="153">
      <formula>ISNA(C78)</formula>
    </cfRule>
  </conditionalFormatting>
  <conditionalFormatting sqref="C128:C130">
    <cfRule type="expression" dxfId="4293" priority="43">
      <formula>"error.type(c3)=5"</formula>
    </cfRule>
    <cfRule type="expression" dxfId="4292" priority="44">
      <formula>ERROR.TYPE(C128)=2</formula>
    </cfRule>
    <cfRule type="expression" dxfId="4291" priority="45">
      <formula>ISNA(C128)</formula>
    </cfRule>
  </conditionalFormatting>
  <conditionalFormatting sqref="C134:C139">
    <cfRule type="expression" dxfId="4290" priority="34">
      <formula>"error.type(c3)=5"</formula>
    </cfRule>
    <cfRule type="expression" dxfId="4289" priority="35">
      <formula>ERROR.TYPE(C134)=2</formula>
    </cfRule>
    <cfRule type="expression" dxfId="4288" priority="36">
      <formula>ISNA(C134)</formula>
    </cfRule>
  </conditionalFormatting>
  <conditionalFormatting sqref="C146:C149">
    <cfRule type="expression" dxfId="4287" priority="136">
      <formula>"error.type(c3)=5"</formula>
    </cfRule>
    <cfRule type="expression" dxfId="4286" priority="137">
      <formula>ERROR.TYPE(C146)=2</formula>
    </cfRule>
    <cfRule type="expression" dxfId="4285" priority="138">
      <formula>ISNA(C146)</formula>
    </cfRule>
  </conditionalFormatting>
  <conditionalFormatting sqref="C154">
    <cfRule type="expression" dxfId="4284" priority="133">
      <formula>"error.type(c3)=5"</formula>
    </cfRule>
    <cfRule type="expression" dxfId="4283" priority="134">
      <formula>ERROR.TYPE(C154)=2</formula>
    </cfRule>
    <cfRule type="expression" dxfId="4282" priority="135">
      <formula>ISNA(C154)</formula>
    </cfRule>
  </conditionalFormatting>
  <conditionalFormatting sqref="C168">
    <cfRule type="expression" dxfId="4281" priority="130">
      <formula>"error.type(c3)=5"</formula>
    </cfRule>
    <cfRule type="expression" dxfId="4280" priority="131">
      <formula>ERROR.TYPE(C168)=2</formula>
    </cfRule>
    <cfRule type="expression" dxfId="4279" priority="132">
      <formula>ISNA(C168)</formula>
    </cfRule>
  </conditionalFormatting>
  <conditionalFormatting sqref="C212">
    <cfRule type="expression" dxfId="4278" priority="40">
      <formula>"error.type(c3)=5"</formula>
    </cfRule>
    <cfRule type="expression" dxfId="4277" priority="41">
      <formula>ERROR.TYPE(C212)=2</formula>
    </cfRule>
    <cfRule type="expression" dxfId="4276" priority="42">
      <formula>ISNA(C212)</formula>
    </cfRule>
  </conditionalFormatting>
  <conditionalFormatting sqref="C214:C221">
    <cfRule type="expression" dxfId="4275" priority="49">
      <formula>"error.type(c3)=5"</formula>
    </cfRule>
    <cfRule type="expression" dxfId="4274" priority="50">
      <formula>ERROR.TYPE(C214)=2</formula>
    </cfRule>
    <cfRule type="expression" dxfId="4273" priority="51">
      <formula>ISNA(C214)</formula>
    </cfRule>
  </conditionalFormatting>
  <conditionalFormatting sqref="C225:C230">
    <cfRule type="expression" dxfId="4272" priority="31">
      <formula>"error.type(c3)=5"</formula>
    </cfRule>
    <cfRule type="expression" dxfId="4271" priority="32">
      <formula>ERROR.TYPE(C225)=2</formula>
    </cfRule>
    <cfRule type="expression" dxfId="4270" priority="33">
      <formula>ISNA(C225)</formula>
    </cfRule>
  </conditionalFormatting>
  <conditionalFormatting sqref="C237:C240">
    <cfRule type="expression" dxfId="4269" priority="103">
      <formula>"error.type(c3)=5"</formula>
    </cfRule>
    <cfRule type="expression" dxfId="4268" priority="104">
      <formula>ERROR.TYPE(C237)=2</formula>
    </cfRule>
    <cfRule type="expression" dxfId="4267" priority="105">
      <formula>ISNA(C237)</formula>
    </cfRule>
  </conditionalFormatting>
  <conditionalFormatting sqref="C245">
    <cfRule type="expression" dxfId="4266" priority="100">
      <formula>"error.type(c3)=5"</formula>
    </cfRule>
    <cfRule type="expression" dxfId="4265" priority="101">
      <formula>ERROR.TYPE(C245)=2</formula>
    </cfRule>
    <cfRule type="expression" dxfId="4264" priority="102">
      <formula>ISNA(C245)</formula>
    </cfRule>
  </conditionalFormatting>
  <conditionalFormatting sqref="C259">
    <cfRule type="expression" dxfId="4263" priority="97">
      <formula>"error.type(c3)=5"</formula>
    </cfRule>
    <cfRule type="expression" dxfId="4262" priority="98">
      <formula>ERROR.TYPE(C259)=2</formula>
    </cfRule>
    <cfRule type="expression" dxfId="4261" priority="99">
      <formula>ISNA(C259)</formula>
    </cfRule>
  </conditionalFormatting>
  <conditionalFormatting sqref="C277 C280">
    <cfRule type="expression" dxfId="4260" priority="58">
      <formula>"error.type(c3)=5"</formula>
    </cfRule>
    <cfRule type="expression" dxfId="4259" priority="59">
      <formula>ERROR.TYPE(C277)=2</formula>
    </cfRule>
    <cfRule type="expression" dxfId="4258" priority="60">
      <formula>ISNA(C277)</formula>
    </cfRule>
  </conditionalFormatting>
  <conditionalFormatting sqref="C282:C287">
    <cfRule type="expression" dxfId="4257" priority="17">
      <formula>"error.type(c3)=5"</formula>
    </cfRule>
    <cfRule type="expression" dxfId="4256" priority="18">
      <formula>ERROR.TYPE(C282)=2</formula>
    </cfRule>
    <cfRule type="expression" dxfId="4255" priority="19">
      <formula>ISNA(C282)</formula>
    </cfRule>
  </conditionalFormatting>
  <conditionalFormatting sqref="C293 C299">
    <cfRule type="expression" dxfId="4254" priority="61">
      <formula>"error.type(c3)=5"</formula>
    </cfRule>
    <cfRule type="expression" dxfId="4253" priority="62">
      <formula>ERROR.TYPE(C293)=2</formula>
    </cfRule>
    <cfRule type="expression" dxfId="4252" priority="63">
      <formula>ISNA(C293)</formula>
    </cfRule>
  </conditionalFormatting>
  <conditionalFormatting sqref="C309:C311">
    <cfRule type="expression" dxfId="4251" priority="37">
      <formula>"error.type(c3)=5"</formula>
    </cfRule>
    <cfRule type="expression" dxfId="4250" priority="38">
      <formula>ERROR.TYPE(C309)=2</formula>
    </cfRule>
    <cfRule type="expression" dxfId="4249" priority="39">
      <formula>ISNA(C309)</formula>
    </cfRule>
  </conditionalFormatting>
  <conditionalFormatting sqref="C315:C320">
    <cfRule type="expression" dxfId="4248" priority="28">
      <formula>"error.type(c3)=5"</formula>
    </cfRule>
    <cfRule type="expression" dxfId="4247" priority="29">
      <formula>ERROR.TYPE(C315)=2</formula>
    </cfRule>
    <cfRule type="expression" dxfId="4246" priority="30">
      <formula>ISNA(C315)</formula>
    </cfRule>
  </conditionalFormatting>
  <conditionalFormatting sqref="C327:C330">
    <cfRule type="expression" dxfId="4245" priority="82">
      <formula>"error.type(c3)=5"</formula>
    </cfRule>
    <cfRule type="expression" dxfId="4244" priority="83">
      <formula>ERROR.TYPE(C327)=2</formula>
    </cfRule>
    <cfRule type="expression" dxfId="4243" priority="84">
      <formula>ISNA(C327)</formula>
    </cfRule>
  </conditionalFormatting>
  <conditionalFormatting sqref="C335">
    <cfRule type="expression" dxfId="4242" priority="79">
      <formula>"error.type(c3)=5"</formula>
    </cfRule>
    <cfRule type="expression" dxfId="4241" priority="80">
      <formula>ERROR.TYPE(C335)=2</formula>
    </cfRule>
    <cfRule type="expression" dxfId="4240" priority="81">
      <formula>ISNA(C335)</formula>
    </cfRule>
  </conditionalFormatting>
  <conditionalFormatting sqref="C349">
    <cfRule type="expression" dxfId="4239" priority="76">
      <formula>"error.type(c3)=5"</formula>
    </cfRule>
    <cfRule type="expression" dxfId="4238" priority="77">
      <formula>ERROR.TYPE(C349)=2</formula>
    </cfRule>
    <cfRule type="expression" dxfId="4237" priority="78">
      <formula>ISNA(C349)</formula>
    </cfRule>
  </conditionalFormatting>
  <conditionalFormatting sqref="C97:E99">
    <cfRule type="expression" dxfId="4236" priority="124">
      <formula>"error.type(c3)=5"</formula>
    </cfRule>
    <cfRule type="expression" dxfId="4235" priority="125">
      <formula>ERROR.TYPE(C97)=2</formula>
    </cfRule>
    <cfRule type="expression" dxfId="4234" priority="126">
      <formula>ISNA(C97)</formula>
    </cfRule>
  </conditionalFormatting>
  <conditionalFormatting sqref="C101:E103">
    <cfRule type="expression" dxfId="4233" priority="23">
      <formula>"error.type(c3)=5"</formula>
    </cfRule>
    <cfRule type="expression" dxfId="4232" priority="24">
      <formula>ERROR.TYPE(C101)=2</formula>
    </cfRule>
    <cfRule type="expression" dxfId="4231" priority="25">
      <formula>ISNA(C101)</formula>
    </cfRule>
  </conditionalFormatting>
  <conditionalFormatting sqref="G28">
    <cfRule type="cellIs" dxfId="4230" priority="26" operator="greaterThan">
      <formula>0</formula>
    </cfRule>
  </conditionalFormatting>
  <conditionalFormatting sqref="G29:L29">
    <cfRule type="cellIs" dxfId="4229" priority="27" operator="greaterThan">
      <formula>0</formula>
    </cfRule>
  </conditionalFormatting>
  <conditionalFormatting sqref="G91:AK91">
    <cfRule type="cellIs" dxfId="4228" priority="3" operator="lessThan">
      <formula>0</formula>
    </cfRule>
  </conditionalFormatting>
  <conditionalFormatting sqref="G272:AK272">
    <cfRule type="cellIs" dxfId="4227" priority="1" operator="lessThan">
      <formula>0</formula>
    </cfRule>
  </conditionalFormatting>
  <conditionalFormatting sqref="G362:AK362">
    <cfRule type="cellIs" dxfId="4226" priority="2" operator="lessThan">
      <formula>0</formula>
    </cfRule>
  </conditionalFormatting>
  <conditionalFormatting sqref="I181:AK181">
    <cfRule type="cellIs" dxfId="4225" priority="5" operator="lessThan">
      <formula>0</formula>
    </cfRule>
  </conditionalFormatting>
  <conditionalFormatting sqref="I362:AK362">
    <cfRule type="cellIs" dxfId="4224" priority="4" operator="lessThan">
      <formula>0</formula>
    </cfRule>
  </conditionalFormatting>
  <hyperlinks>
    <hyperlink ref="B3" location="ESWBLY!B22" display="Table 3a: DYAA - Baseline" xr:uid="{88652905-F626-4C2B-A108-126641C0CFD0}"/>
    <hyperlink ref="C22" location="ESWBLY!$A$1" display="Back to top of sheet" xr:uid="{F0AC5F1F-662E-41C7-A33E-A31AFD2A6906}"/>
    <hyperlink ref="B4" location="ESWBLY!B93" display="Table 3b: DYAA - Final plan Options" xr:uid="{42197AB1-608A-4AB1-B83C-C79B9F87254A}"/>
    <hyperlink ref="C93" location="ESWBLY!$A$1" display="Back to top of sheet" xr:uid="{AE50DE82-4E69-469A-82C5-79768C1FE4F0}"/>
    <hyperlink ref="B5" location="ESWBLY!B120" display="Table 3c: DYAA - Final plan" xr:uid="{06983EE6-F11E-4188-81E6-7A00C70EBBCC}"/>
    <hyperlink ref="C120" location="ESWBLY!$A$1" display="Back to top of sheet" xr:uid="{037D77E6-434F-41AF-868D-9E8FE5A9F885}"/>
    <hyperlink ref="B6" location="ESWBLY!B203" display="Table 3d: DYCP - Baseline" xr:uid="{B7E2A1A5-F3A1-4416-9C5F-7C8D668EBF8D}"/>
    <hyperlink ref="C203" location="ESWBLY!$A$1" display="Back to top of sheet" xr:uid="{5F60F289-E74D-4DD6-8633-F48FDB15BD94}"/>
    <hyperlink ref="B7" location="ESWBLY!B274" display="Table 3e: DYCP - Final plan Options" xr:uid="{8FBB4E80-60F7-43D4-B0E8-F7BE19A229D0}"/>
    <hyperlink ref="C274" location="ESWBLY!$A$1" display="Back to top of sheet" xr:uid="{B2C09245-3409-4955-995A-2396AD85BCCA}"/>
    <hyperlink ref="B8" location="ESWBLY!B301" display="Table 3f: DYCP - Final plan" xr:uid="{B0CCF6E8-ECCC-4A04-B22C-B6F8F1B329EF}"/>
    <hyperlink ref="C301" location="ESWBLY!$A$1" display="Back to top of sheet" xr:uid="{D61720CA-FA86-4358-9263-F2C112F6BF7F}"/>
  </hyperlinks>
  <pageMargins left="0.7" right="0.7" top="0.75" bottom="0.75" header="0.3" footer="0.3"/>
  <pageSetup paperSize="9" orientation="portrait" r:id="rId1"/>
  <drawing r:id="rId2"/>
  <legacyDrawing r:id="rId3"/>
  <tableParts count="6">
    <tablePart r:id="rId4"/>
    <tablePart r:id="rId5"/>
    <tablePart r:id="rId6"/>
    <tablePart r:id="rId7"/>
    <tablePart r:id="rId8"/>
    <tablePart r:id="rId9"/>
  </tableParts>
  <extLst>
    <ext xmlns:x14="http://schemas.microsoft.com/office/spreadsheetml/2009/9/main" uri="{05C60535-1F16-4fd2-B633-F4F36F0B64E0}">
      <x14:sparklineGroups xmlns:xm="http://schemas.microsoft.com/office/excel/2006/main">
        <x14:sparklineGroup displayEmptyCellsAs="gap" high="1" low="1" negative="1" xr2:uid="{B62FCD66-1158-472A-9E2E-581045773BAE}">
          <x14:colorSeries rgb="FF376092"/>
          <x14:colorNegative rgb="FFD00000"/>
          <x14:colorAxis rgb="FF000000"/>
          <x14:colorMarkers rgb="FFD00000"/>
          <x14:colorFirst rgb="FFD00000"/>
          <x14:colorLast rgb="FFD00000"/>
          <x14:colorHigh rgb="FFD00000"/>
          <x14:colorLow rgb="FFD00000"/>
          <x14:sparklines>
            <x14:sparkline>
              <xm:f>ESWBLY!G66:CI66</xm:f>
              <xm:sqref>F66</xm:sqref>
            </x14:sparkline>
            <x14:sparkline>
              <xm:f>ESWBLY!G67:CI67</xm:f>
              <xm:sqref>F67</xm:sqref>
            </x14:sparkline>
            <x14:sparkline>
              <xm:f>ESWBLY!G68:CI68</xm:f>
              <xm:sqref>F68</xm:sqref>
            </x14:sparkline>
            <x14:sparkline>
              <xm:f>ESWBLY!G69:CI69</xm:f>
              <xm:sqref>F69</xm:sqref>
            </x14:sparkline>
            <x14:sparkline>
              <xm:f>ESWBLY!G70:CI70</xm:f>
              <xm:sqref>F70</xm:sqref>
            </x14:sparkline>
            <x14:sparkline>
              <xm:f>ESWBLY!G71:CI71</xm:f>
              <xm:sqref>F71</xm:sqref>
            </x14:sparkline>
            <x14:sparkline>
              <xm:f>ESWBLY!G72:CI72</xm:f>
              <xm:sqref>F72</xm:sqref>
            </x14:sparkline>
          </x14:sparklines>
        </x14:sparklineGroup>
        <x14:sparklineGroup displayEmptyCellsAs="gap" high="1" low="1" negative="1" xr2:uid="{3462D539-E6C6-4EC2-A186-C5D07E1B157F}">
          <x14:colorSeries rgb="FF376092"/>
          <x14:colorNegative rgb="FFD00000"/>
          <x14:colorAxis rgb="FF000000"/>
          <x14:colorMarkers rgb="FFD00000"/>
          <x14:colorFirst rgb="FFD00000"/>
          <x14:colorLast rgb="FFD00000"/>
          <x14:colorHigh rgb="FFD00000"/>
          <x14:colorLow rgb="FFD00000"/>
          <x14:sparklines>
            <x14:sparkline>
              <xm:f>ESWBLY!G337:CI337</xm:f>
              <xm:sqref>F337</xm:sqref>
            </x14:sparkline>
            <x14:sparkline>
              <xm:f>ESWBLY!G338:CI338</xm:f>
              <xm:sqref>F338</xm:sqref>
            </x14:sparkline>
            <x14:sparkline>
              <xm:f>ESWBLY!G339:CI339</xm:f>
              <xm:sqref>F339</xm:sqref>
            </x14:sparkline>
            <x14:sparkline>
              <xm:f>ESWBLY!G340:CI340</xm:f>
              <xm:sqref>F340</xm:sqref>
            </x14:sparkline>
            <x14:sparkline>
              <xm:f>ESWBLY!G341:CI341</xm:f>
              <xm:sqref>F341</xm:sqref>
            </x14:sparkline>
            <x14:sparkline>
              <xm:f>ESWBLY!G342:CI342</xm:f>
              <xm:sqref>F342</xm:sqref>
            </x14:sparkline>
            <x14:sparkline>
              <xm:f>ESWBLY!G343:CI343</xm:f>
              <xm:sqref>F343</xm:sqref>
            </x14:sparkline>
          </x14:sparklines>
        </x14:sparklineGroup>
        <x14:sparklineGroup displayEmptyCellsAs="gap" high="1" low="1" negative="1" xr2:uid="{7047DBF8-1747-46AF-830C-29EBFC384296}">
          <x14:colorSeries rgb="FF376092"/>
          <x14:colorNegative rgb="FFD00000"/>
          <x14:colorAxis rgb="FF000000"/>
          <x14:colorMarkers rgb="FFD00000"/>
          <x14:colorFirst rgb="FFD00000"/>
          <x14:colorLast rgb="FFD00000"/>
          <x14:colorHigh rgb="FFD00000"/>
          <x14:colorLow rgb="FFD00000"/>
          <x14:sparklines>
            <x14:sparkline>
              <xm:f>ESWBLY!G156:CI156</xm:f>
              <xm:sqref>F156</xm:sqref>
            </x14:sparkline>
            <x14:sparkline>
              <xm:f>ESWBLY!G157:CI157</xm:f>
              <xm:sqref>F157</xm:sqref>
            </x14:sparkline>
            <x14:sparkline>
              <xm:f>ESWBLY!G158:CI158</xm:f>
              <xm:sqref>F158</xm:sqref>
            </x14:sparkline>
            <x14:sparkline>
              <xm:f>ESWBLY!G159:CI159</xm:f>
              <xm:sqref>F159</xm:sqref>
            </x14:sparkline>
            <x14:sparkline>
              <xm:f>ESWBLY!G160:CI160</xm:f>
              <xm:sqref>F160</xm:sqref>
            </x14:sparkline>
            <x14:sparkline>
              <xm:f>ESWBLY!G161:CI161</xm:f>
              <xm:sqref>F161</xm:sqref>
            </x14:sparkline>
            <x14:sparkline>
              <xm:f>ESWBLY!G162:CI162</xm:f>
              <xm:sqref>F162</xm:sqref>
            </x14:sparkline>
          </x14:sparklines>
        </x14:sparklineGroup>
      </x14:sparklineGroup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BAE252-75C2-46D8-8782-973639E14F83}">
  <sheetPr codeName="Sheet2"/>
  <dimension ref="A1:CK402"/>
  <sheetViews>
    <sheetView showOutlineSymbols="0" showWhiteSpace="0" topLeftCell="A9" workbookViewId="0">
      <selection activeCell="R36" sqref="R36"/>
    </sheetView>
  </sheetViews>
  <sheetFormatPr defaultColWidth="9" defaultRowHeight="14.25" x14ac:dyDescent="0.2"/>
  <cols>
    <col min="1" max="1" width="8.109375" style="1284" customWidth="1"/>
    <col min="2" max="2" width="8.6640625" style="1284" customWidth="1"/>
    <col min="3" max="3" width="33.6640625" style="1284" customWidth="1"/>
    <col min="4" max="4" width="33.109375" style="1284" customWidth="1"/>
    <col min="5" max="5" width="7.44140625" style="1284" customWidth="1"/>
    <col min="6" max="6" width="14" style="1284" customWidth="1"/>
    <col min="7" max="13" width="8" style="1284" customWidth="1"/>
    <col min="14" max="14" width="8.44140625" style="1284" customWidth="1"/>
    <col min="15" max="86" width="8" style="1284" customWidth="1"/>
    <col min="87" max="87" width="8.6640625" style="1284" customWidth="1"/>
    <col min="88" max="88" width="8" style="1284" bestFit="1" customWidth="1"/>
    <col min="89" max="89" width="10.109375" style="1284" customWidth="1"/>
    <col min="90" max="90" width="42.6640625" style="1284" customWidth="1"/>
    <col min="91" max="91" width="4.109375" style="1284" customWidth="1"/>
    <col min="92" max="92" width="9" style="1284" customWidth="1"/>
    <col min="93" max="93" width="6.6640625" style="1284" customWidth="1"/>
    <col min="94" max="94" width="4.109375" style="1284" customWidth="1"/>
    <col min="95" max="96" width="4.5546875" style="1284" customWidth="1"/>
    <col min="97" max="97" width="4.6640625" style="1284" customWidth="1"/>
    <col min="98" max="98" width="7.5546875" style="1284" customWidth="1"/>
    <col min="99" max="99" width="6.6640625" style="1284" customWidth="1"/>
    <col min="100" max="100" width="4.5546875" style="1284" customWidth="1"/>
    <col min="101" max="103" width="5.109375" style="1284" customWidth="1"/>
    <col min="104" max="104" width="4.6640625" style="1284" customWidth="1"/>
    <col min="105" max="105" width="3.5546875" style="1284" customWidth="1"/>
    <col min="106" max="107" width="5.109375" style="1284" customWidth="1"/>
    <col min="108" max="235" width="9" style="1284"/>
    <col min="236" max="236" width="1.109375" style="1284" customWidth="1"/>
    <col min="237" max="237" width="8" style="1284" customWidth="1"/>
    <col min="238" max="238" width="8.44140625" style="1284" customWidth="1"/>
    <col min="239" max="239" width="23.6640625" style="1284" customWidth="1"/>
    <col min="240" max="240" width="21.6640625" style="1284" customWidth="1"/>
    <col min="241" max="241" width="9.44140625" style="1284" customWidth="1"/>
    <col min="242" max="242" width="8.109375" style="1284" bestFit="1" customWidth="1"/>
    <col min="243" max="243" width="16.109375" style="1284" customWidth="1"/>
    <col min="244" max="271" width="11.6640625" style="1284" customWidth="1"/>
    <col min="272" max="491" width="9" style="1284"/>
    <col min="492" max="492" width="1.109375" style="1284" customWidth="1"/>
    <col min="493" max="493" width="8" style="1284" customWidth="1"/>
    <col min="494" max="494" width="8.44140625" style="1284" customWidth="1"/>
    <col min="495" max="495" width="23.6640625" style="1284" customWidth="1"/>
    <col min="496" max="496" width="21.6640625" style="1284" customWidth="1"/>
    <col min="497" max="497" width="9.44140625" style="1284" customWidth="1"/>
    <col min="498" max="498" width="8.109375" style="1284" bestFit="1" customWidth="1"/>
    <col min="499" max="499" width="16.109375" style="1284" customWidth="1"/>
    <col min="500" max="527" width="11.6640625" style="1284" customWidth="1"/>
    <col min="528" max="747" width="9" style="1284"/>
    <col min="748" max="748" width="1.109375" style="1284" customWidth="1"/>
    <col min="749" max="749" width="8" style="1284" customWidth="1"/>
    <col min="750" max="750" width="8.44140625" style="1284" customWidth="1"/>
    <col min="751" max="751" width="23.6640625" style="1284" customWidth="1"/>
    <col min="752" max="752" width="21.6640625" style="1284" customWidth="1"/>
    <col min="753" max="753" width="9.44140625" style="1284" customWidth="1"/>
    <col min="754" max="754" width="8.109375" style="1284" bestFit="1" customWidth="1"/>
    <col min="755" max="755" width="16.109375" style="1284" customWidth="1"/>
    <col min="756" max="783" width="11.6640625" style="1284" customWidth="1"/>
    <col min="784" max="1003" width="9" style="1284"/>
    <col min="1004" max="1004" width="1.109375" style="1284" customWidth="1"/>
    <col min="1005" max="1005" width="8" style="1284" customWidth="1"/>
    <col min="1006" max="1006" width="8.44140625" style="1284" customWidth="1"/>
    <col min="1007" max="1007" width="23.6640625" style="1284" customWidth="1"/>
    <col min="1008" max="1008" width="21.6640625" style="1284" customWidth="1"/>
    <col min="1009" max="1009" width="9.44140625" style="1284" customWidth="1"/>
    <col min="1010" max="1010" width="8.109375" style="1284" bestFit="1" customWidth="1"/>
    <col min="1011" max="1011" width="16.109375" style="1284" customWidth="1"/>
    <col min="1012" max="1039" width="11.6640625" style="1284" customWidth="1"/>
    <col min="1040" max="1259" width="9" style="1284"/>
    <col min="1260" max="1260" width="1.109375" style="1284" customWidth="1"/>
    <col min="1261" max="1261" width="8" style="1284" customWidth="1"/>
    <col min="1262" max="1262" width="8.44140625" style="1284" customWidth="1"/>
    <col min="1263" max="1263" width="23.6640625" style="1284" customWidth="1"/>
    <col min="1264" max="1264" width="21.6640625" style="1284" customWidth="1"/>
    <col min="1265" max="1265" width="9.44140625" style="1284" customWidth="1"/>
    <col min="1266" max="1266" width="8.109375" style="1284" bestFit="1" customWidth="1"/>
    <col min="1267" max="1267" width="16.109375" style="1284" customWidth="1"/>
    <col min="1268" max="1295" width="11.6640625" style="1284" customWidth="1"/>
    <col min="1296" max="1515" width="9" style="1284"/>
    <col min="1516" max="1516" width="1.109375" style="1284" customWidth="1"/>
    <col min="1517" max="1517" width="8" style="1284" customWidth="1"/>
    <col min="1518" max="1518" width="8.44140625" style="1284" customWidth="1"/>
    <col min="1519" max="1519" width="23.6640625" style="1284" customWidth="1"/>
    <col min="1520" max="1520" width="21.6640625" style="1284" customWidth="1"/>
    <col min="1521" max="1521" width="9.44140625" style="1284" customWidth="1"/>
    <col min="1522" max="1522" width="8.109375" style="1284" bestFit="1" customWidth="1"/>
    <col min="1523" max="1523" width="16.109375" style="1284" customWidth="1"/>
    <col min="1524" max="1551" width="11.6640625" style="1284" customWidth="1"/>
    <col min="1552" max="1771" width="9" style="1284"/>
    <col min="1772" max="1772" width="1.109375" style="1284" customWidth="1"/>
    <col min="1773" max="1773" width="8" style="1284" customWidth="1"/>
    <col min="1774" max="1774" width="8.44140625" style="1284" customWidth="1"/>
    <col min="1775" max="1775" width="23.6640625" style="1284" customWidth="1"/>
    <col min="1776" max="1776" width="21.6640625" style="1284" customWidth="1"/>
    <col min="1777" max="1777" width="9.44140625" style="1284" customWidth="1"/>
    <col min="1778" max="1778" width="8.109375" style="1284" bestFit="1" customWidth="1"/>
    <col min="1779" max="1779" width="16.109375" style="1284" customWidth="1"/>
    <col min="1780" max="1807" width="11.6640625" style="1284" customWidth="1"/>
    <col min="1808" max="2027" width="9" style="1284"/>
    <col min="2028" max="2028" width="1.109375" style="1284" customWidth="1"/>
    <col min="2029" max="2029" width="8" style="1284" customWidth="1"/>
    <col min="2030" max="2030" width="8.44140625" style="1284" customWidth="1"/>
    <col min="2031" max="2031" width="23.6640625" style="1284" customWidth="1"/>
    <col min="2032" max="2032" width="21.6640625" style="1284" customWidth="1"/>
    <col min="2033" max="2033" width="9.44140625" style="1284" customWidth="1"/>
    <col min="2034" max="2034" width="8.109375" style="1284" bestFit="1" customWidth="1"/>
    <col min="2035" max="2035" width="16.109375" style="1284" customWidth="1"/>
    <col min="2036" max="2063" width="11.6640625" style="1284" customWidth="1"/>
    <col min="2064" max="2283" width="9" style="1284"/>
    <col min="2284" max="2284" width="1.109375" style="1284" customWidth="1"/>
    <col min="2285" max="2285" width="8" style="1284" customWidth="1"/>
    <col min="2286" max="2286" width="8.44140625" style="1284" customWidth="1"/>
    <col min="2287" max="2287" width="23.6640625" style="1284" customWidth="1"/>
    <col min="2288" max="2288" width="21.6640625" style="1284" customWidth="1"/>
    <col min="2289" max="2289" width="9.44140625" style="1284" customWidth="1"/>
    <col min="2290" max="2290" width="8.109375" style="1284" bestFit="1" customWidth="1"/>
    <col min="2291" max="2291" width="16.109375" style="1284" customWidth="1"/>
    <col min="2292" max="2319" width="11.6640625" style="1284" customWidth="1"/>
    <col min="2320" max="2539" width="9" style="1284"/>
    <col min="2540" max="2540" width="1.109375" style="1284" customWidth="1"/>
    <col min="2541" max="2541" width="8" style="1284" customWidth="1"/>
    <col min="2542" max="2542" width="8.44140625" style="1284" customWidth="1"/>
    <col min="2543" max="2543" width="23.6640625" style="1284" customWidth="1"/>
    <col min="2544" max="2544" width="21.6640625" style="1284" customWidth="1"/>
    <col min="2545" max="2545" width="9.44140625" style="1284" customWidth="1"/>
    <col min="2546" max="2546" width="8.109375" style="1284" bestFit="1" customWidth="1"/>
    <col min="2547" max="2547" width="16.109375" style="1284" customWidth="1"/>
    <col min="2548" max="2575" width="11.6640625" style="1284" customWidth="1"/>
    <col min="2576" max="2795" width="9" style="1284"/>
    <col min="2796" max="2796" width="1.109375" style="1284" customWidth="1"/>
    <col min="2797" max="2797" width="8" style="1284" customWidth="1"/>
    <col min="2798" max="2798" width="8.44140625" style="1284" customWidth="1"/>
    <col min="2799" max="2799" width="23.6640625" style="1284" customWidth="1"/>
    <col min="2800" max="2800" width="21.6640625" style="1284" customWidth="1"/>
    <col min="2801" max="2801" width="9.44140625" style="1284" customWidth="1"/>
    <col min="2802" max="2802" width="8.109375" style="1284" bestFit="1" customWidth="1"/>
    <col min="2803" max="2803" width="16.109375" style="1284" customWidth="1"/>
    <col min="2804" max="2831" width="11.6640625" style="1284" customWidth="1"/>
    <col min="2832" max="3051" width="9" style="1284"/>
    <col min="3052" max="3052" width="1.109375" style="1284" customWidth="1"/>
    <col min="3053" max="3053" width="8" style="1284" customWidth="1"/>
    <col min="3054" max="3054" width="8.44140625" style="1284" customWidth="1"/>
    <col min="3055" max="3055" width="23.6640625" style="1284" customWidth="1"/>
    <col min="3056" max="3056" width="21.6640625" style="1284" customWidth="1"/>
    <col min="3057" max="3057" width="9.44140625" style="1284" customWidth="1"/>
    <col min="3058" max="3058" width="8.109375" style="1284" bestFit="1" customWidth="1"/>
    <col min="3059" max="3059" width="16.109375" style="1284" customWidth="1"/>
    <col min="3060" max="3087" width="11.6640625" style="1284" customWidth="1"/>
    <col min="3088" max="3307" width="9" style="1284"/>
    <col min="3308" max="3308" width="1.109375" style="1284" customWidth="1"/>
    <col min="3309" max="3309" width="8" style="1284" customWidth="1"/>
    <col min="3310" max="3310" width="8.44140625" style="1284" customWidth="1"/>
    <col min="3311" max="3311" width="23.6640625" style="1284" customWidth="1"/>
    <col min="3312" max="3312" width="21.6640625" style="1284" customWidth="1"/>
    <col min="3313" max="3313" width="9.44140625" style="1284" customWidth="1"/>
    <col min="3314" max="3314" width="8.109375" style="1284" bestFit="1" customWidth="1"/>
    <col min="3315" max="3315" width="16.109375" style="1284" customWidth="1"/>
    <col min="3316" max="3343" width="11.6640625" style="1284" customWidth="1"/>
    <col min="3344" max="3563" width="9" style="1284"/>
    <col min="3564" max="3564" width="1.109375" style="1284" customWidth="1"/>
    <col min="3565" max="3565" width="8" style="1284" customWidth="1"/>
    <col min="3566" max="3566" width="8.44140625" style="1284" customWidth="1"/>
    <col min="3567" max="3567" width="23.6640625" style="1284" customWidth="1"/>
    <col min="3568" max="3568" width="21.6640625" style="1284" customWidth="1"/>
    <col min="3569" max="3569" width="9.44140625" style="1284" customWidth="1"/>
    <col min="3570" max="3570" width="8.109375" style="1284" bestFit="1" customWidth="1"/>
    <col min="3571" max="3571" width="16.109375" style="1284" customWidth="1"/>
    <col min="3572" max="3599" width="11.6640625" style="1284" customWidth="1"/>
    <col min="3600" max="3819" width="9" style="1284"/>
    <col min="3820" max="3820" width="1.109375" style="1284" customWidth="1"/>
    <col min="3821" max="3821" width="8" style="1284" customWidth="1"/>
    <col min="3822" max="3822" width="8.44140625" style="1284" customWidth="1"/>
    <col min="3823" max="3823" width="23.6640625" style="1284" customWidth="1"/>
    <col min="3824" max="3824" width="21.6640625" style="1284" customWidth="1"/>
    <col min="3825" max="3825" width="9.44140625" style="1284" customWidth="1"/>
    <col min="3826" max="3826" width="8.109375" style="1284" bestFit="1" customWidth="1"/>
    <col min="3827" max="3827" width="16.109375" style="1284" customWidth="1"/>
    <col min="3828" max="3855" width="11.6640625" style="1284" customWidth="1"/>
    <col min="3856" max="4075" width="9" style="1284"/>
    <col min="4076" max="4076" width="1.109375" style="1284" customWidth="1"/>
    <col min="4077" max="4077" width="8" style="1284" customWidth="1"/>
    <col min="4078" max="4078" width="8.44140625" style="1284" customWidth="1"/>
    <col min="4079" max="4079" width="23.6640625" style="1284" customWidth="1"/>
    <col min="4080" max="4080" width="21.6640625" style="1284" customWidth="1"/>
    <col min="4081" max="4081" width="9.44140625" style="1284" customWidth="1"/>
    <col min="4082" max="4082" width="8.109375" style="1284" bestFit="1" customWidth="1"/>
    <col min="4083" max="4083" width="16.109375" style="1284" customWidth="1"/>
    <col min="4084" max="4111" width="11.6640625" style="1284" customWidth="1"/>
    <col min="4112" max="4331" width="9" style="1284"/>
    <col min="4332" max="4332" width="1.109375" style="1284" customWidth="1"/>
    <col min="4333" max="4333" width="8" style="1284" customWidth="1"/>
    <col min="4334" max="4334" width="8.44140625" style="1284" customWidth="1"/>
    <col min="4335" max="4335" width="23.6640625" style="1284" customWidth="1"/>
    <col min="4336" max="4336" width="21.6640625" style="1284" customWidth="1"/>
    <col min="4337" max="4337" width="9.44140625" style="1284" customWidth="1"/>
    <col min="4338" max="4338" width="8.109375" style="1284" bestFit="1" customWidth="1"/>
    <col min="4339" max="4339" width="16.109375" style="1284" customWidth="1"/>
    <col min="4340" max="4367" width="11.6640625" style="1284" customWidth="1"/>
    <col min="4368" max="4587" width="9" style="1284"/>
    <col min="4588" max="4588" width="1.109375" style="1284" customWidth="1"/>
    <col min="4589" max="4589" width="8" style="1284" customWidth="1"/>
    <col min="4590" max="4590" width="8.44140625" style="1284" customWidth="1"/>
    <col min="4591" max="4591" width="23.6640625" style="1284" customWidth="1"/>
    <col min="4592" max="4592" width="21.6640625" style="1284" customWidth="1"/>
    <col min="4593" max="4593" width="9.44140625" style="1284" customWidth="1"/>
    <col min="4594" max="4594" width="8.109375" style="1284" bestFit="1" customWidth="1"/>
    <col min="4595" max="4595" width="16.109375" style="1284" customWidth="1"/>
    <col min="4596" max="4623" width="11.6640625" style="1284" customWidth="1"/>
    <col min="4624" max="4843" width="9" style="1284"/>
    <col min="4844" max="4844" width="1.109375" style="1284" customWidth="1"/>
    <col min="4845" max="4845" width="8" style="1284" customWidth="1"/>
    <col min="4846" max="4846" width="8.44140625" style="1284" customWidth="1"/>
    <col min="4847" max="4847" width="23.6640625" style="1284" customWidth="1"/>
    <col min="4848" max="4848" width="21.6640625" style="1284" customWidth="1"/>
    <col min="4849" max="4849" width="9.44140625" style="1284" customWidth="1"/>
    <col min="4850" max="4850" width="8.109375" style="1284" bestFit="1" customWidth="1"/>
    <col min="4851" max="4851" width="16.109375" style="1284" customWidth="1"/>
    <col min="4852" max="4879" width="11.6640625" style="1284" customWidth="1"/>
    <col min="4880" max="5099" width="9" style="1284"/>
    <col min="5100" max="5100" width="1.109375" style="1284" customWidth="1"/>
    <col min="5101" max="5101" width="8" style="1284" customWidth="1"/>
    <col min="5102" max="5102" width="8.44140625" style="1284" customWidth="1"/>
    <col min="5103" max="5103" width="23.6640625" style="1284" customWidth="1"/>
    <col min="5104" max="5104" width="21.6640625" style="1284" customWidth="1"/>
    <col min="5105" max="5105" width="9.44140625" style="1284" customWidth="1"/>
    <col min="5106" max="5106" width="8.109375" style="1284" bestFit="1" customWidth="1"/>
    <col min="5107" max="5107" width="16.109375" style="1284" customWidth="1"/>
    <col min="5108" max="5135" width="11.6640625" style="1284" customWidth="1"/>
    <col min="5136" max="5355" width="9" style="1284"/>
    <col min="5356" max="5356" width="1.109375" style="1284" customWidth="1"/>
    <col min="5357" max="5357" width="8" style="1284" customWidth="1"/>
    <col min="5358" max="5358" width="8.44140625" style="1284" customWidth="1"/>
    <col min="5359" max="5359" width="23.6640625" style="1284" customWidth="1"/>
    <col min="5360" max="5360" width="21.6640625" style="1284" customWidth="1"/>
    <col min="5361" max="5361" width="9.44140625" style="1284" customWidth="1"/>
    <col min="5362" max="5362" width="8.109375" style="1284" bestFit="1" customWidth="1"/>
    <col min="5363" max="5363" width="16.109375" style="1284" customWidth="1"/>
    <col min="5364" max="5391" width="11.6640625" style="1284" customWidth="1"/>
    <col min="5392" max="5611" width="9" style="1284"/>
    <col min="5612" max="5612" width="1.109375" style="1284" customWidth="1"/>
    <col min="5613" max="5613" width="8" style="1284" customWidth="1"/>
    <col min="5614" max="5614" width="8.44140625" style="1284" customWidth="1"/>
    <col min="5615" max="5615" width="23.6640625" style="1284" customWidth="1"/>
    <col min="5616" max="5616" width="21.6640625" style="1284" customWidth="1"/>
    <col min="5617" max="5617" width="9.44140625" style="1284" customWidth="1"/>
    <col min="5618" max="5618" width="8.109375" style="1284" bestFit="1" customWidth="1"/>
    <col min="5619" max="5619" width="16.109375" style="1284" customWidth="1"/>
    <col min="5620" max="5647" width="11.6640625" style="1284" customWidth="1"/>
    <col min="5648" max="5867" width="9" style="1284"/>
    <col min="5868" max="5868" width="1.109375" style="1284" customWidth="1"/>
    <col min="5869" max="5869" width="8" style="1284" customWidth="1"/>
    <col min="5870" max="5870" width="8.44140625" style="1284" customWidth="1"/>
    <col min="5871" max="5871" width="23.6640625" style="1284" customWidth="1"/>
    <col min="5872" max="5872" width="21.6640625" style="1284" customWidth="1"/>
    <col min="5873" max="5873" width="9.44140625" style="1284" customWidth="1"/>
    <col min="5874" max="5874" width="8.109375" style="1284" bestFit="1" customWidth="1"/>
    <col min="5875" max="5875" width="16.109375" style="1284" customWidth="1"/>
    <col min="5876" max="5903" width="11.6640625" style="1284" customWidth="1"/>
    <col min="5904" max="6123" width="9" style="1284"/>
    <col min="6124" max="6124" width="1.109375" style="1284" customWidth="1"/>
    <col min="6125" max="6125" width="8" style="1284" customWidth="1"/>
    <col min="6126" max="6126" width="8.44140625" style="1284" customWidth="1"/>
    <col min="6127" max="6127" width="23.6640625" style="1284" customWidth="1"/>
    <col min="6128" max="6128" width="21.6640625" style="1284" customWidth="1"/>
    <col min="6129" max="6129" width="9.44140625" style="1284" customWidth="1"/>
    <col min="6130" max="6130" width="8.109375" style="1284" bestFit="1" customWidth="1"/>
    <col min="6131" max="6131" width="16.109375" style="1284" customWidth="1"/>
    <col min="6132" max="6159" width="11.6640625" style="1284" customWidth="1"/>
    <col min="6160" max="6379" width="9" style="1284"/>
    <col min="6380" max="6380" width="1.109375" style="1284" customWidth="1"/>
    <col min="6381" max="6381" width="8" style="1284" customWidth="1"/>
    <col min="6382" max="6382" width="8.44140625" style="1284" customWidth="1"/>
    <col min="6383" max="6383" width="23.6640625" style="1284" customWidth="1"/>
    <col min="6384" max="6384" width="21.6640625" style="1284" customWidth="1"/>
    <col min="6385" max="6385" width="9.44140625" style="1284" customWidth="1"/>
    <col min="6386" max="6386" width="8.109375" style="1284" bestFit="1" customWidth="1"/>
    <col min="6387" max="6387" width="16.109375" style="1284" customWidth="1"/>
    <col min="6388" max="6415" width="11.6640625" style="1284" customWidth="1"/>
    <col min="6416" max="6635" width="9" style="1284"/>
    <col min="6636" max="6636" width="1.109375" style="1284" customWidth="1"/>
    <col min="6637" max="6637" width="8" style="1284" customWidth="1"/>
    <col min="6638" max="6638" width="8.44140625" style="1284" customWidth="1"/>
    <col min="6639" max="6639" width="23.6640625" style="1284" customWidth="1"/>
    <col min="6640" max="6640" width="21.6640625" style="1284" customWidth="1"/>
    <col min="6641" max="6641" width="9.44140625" style="1284" customWidth="1"/>
    <col min="6642" max="6642" width="8.109375" style="1284" bestFit="1" customWidth="1"/>
    <col min="6643" max="6643" width="16.109375" style="1284" customWidth="1"/>
    <col min="6644" max="6671" width="11.6640625" style="1284" customWidth="1"/>
    <col min="6672" max="6891" width="9" style="1284"/>
    <col min="6892" max="6892" width="1.109375" style="1284" customWidth="1"/>
    <col min="6893" max="6893" width="8" style="1284" customWidth="1"/>
    <col min="6894" max="6894" width="8.44140625" style="1284" customWidth="1"/>
    <col min="6895" max="6895" width="23.6640625" style="1284" customWidth="1"/>
    <col min="6896" max="6896" width="21.6640625" style="1284" customWidth="1"/>
    <col min="6897" max="6897" width="9.44140625" style="1284" customWidth="1"/>
    <col min="6898" max="6898" width="8.109375" style="1284" bestFit="1" customWidth="1"/>
    <col min="6899" max="6899" width="16.109375" style="1284" customWidth="1"/>
    <col min="6900" max="6927" width="11.6640625" style="1284" customWidth="1"/>
    <col min="6928" max="7147" width="9" style="1284"/>
    <col min="7148" max="7148" width="1.109375" style="1284" customWidth="1"/>
    <col min="7149" max="7149" width="8" style="1284" customWidth="1"/>
    <col min="7150" max="7150" width="8.44140625" style="1284" customWidth="1"/>
    <col min="7151" max="7151" width="23.6640625" style="1284" customWidth="1"/>
    <col min="7152" max="7152" width="21.6640625" style="1284" customWidth="1"/>
    <col min="7153" max="7153" width="9.44140625" style="1284" customWidth="1"/>
    <col min="7154" max="7154" width="8.109375" style="1284" bestFit="1" customWidth="1"/>
    <col min="7155" max="7155" width="16.109375" style="1284" customWidth="1"/>
    <col min="7156" max="7183" width="11.6640625" style="1284" customWidth="1"/>
    <col min="7184" max="7403" width="9" style="1284"/>
    <col min="7404" max="7404" width="1.109375" style="1284" customWidth="1"/>
    <col min="7405" max="7405" width="8" style="1284" customWidth="1"/>
    <col min="7406" max="7406" width="8.44140625" style="1284" customWidth="1"/>
    <col min="7407" max="7407" width="23.6640625" style="1284" customWidth="1"/>
    <col min="7408" max="7408" width="21.6640625" style="1284" customWidth="1"/>
    <col min="7409" max="7409" width="9.44140625" style="1284" customWidth="1"/>
    <col min="7410" max="7410" width="8.109375" style="1284" bestFit="1" customWidth="1"/>
    <col min="7411" max="7411" width="16.109375" style="1284" customWidth="1"/>
    <col min="7412" max="7439" width="11.6640625" style="1284" customWidth="1"/>
    <col min="7440" max="7659" width="9" style="1284"/>
    <col min="7660" max="7660" width="1.109375" style="1284" customWidth="1"/>
    <col min="7661" max="7661" width="8" style="1284" customWidth="1"/>
    <col min="7662" max="7662" width="8.44140625" style="1284" customWidth="1"/>
    <col min="7663" max="7663" width="23.6640625" style="1284" customWidth="1"/>
    <col min="7664" max="7664" width="21.6640625" style="1284" customWidth="1"/>
    <col min="7665" max="7665" width="9.44140625" style="1284" customWidth="1"/>
    <col min="7666" max="7666" width="8.109375" style="1284" bestFit="1" customWidth="1"/>
    <col min="7667" max="7667" width="16.109375" style="1284" customWidth="1"/>
    <col min="7668" max="7695" width="11.6640625" style="1284" customWidth="1"/>
    <col min="7696" max="7915" width="9" style="1284"/>
    <col min="7916" max="7916" width="1.109375" style="1284" customWidth="1"/>
    <col min="7917" max="7917" width="8" style="1284" customWidth="1"/>
    <col min="7918" max="7918" width="8.44140625" style="1284" customWidth="1"/>
    <col min="7919" max="7919" width="23.6640625" style="1284" customWidth="1"/>
    <col min="7920" max="7920" width="21.6640625" style="1284" customWidth="1"/>
    <col min="7921" max="7921" width="9.44140625" style="1284" customWidth="1"/>
    <col min="7922" max="7922" width="8.109375" style="1284" bestFit="1" customWidth="1"/>
    <col min="7923" max="7923" width="16.109375" style="1284" customWidth="1"/>
    <col min="7924" max="7951" width="11.6640625" style="1284" customWidth="1"/>
    <col min="7952" max="8171" width="9" style="1284"/>
    <col min="8172" max="8172" width="1.109375" style="1284" customWidth="1"/>
    <col min="8173" max="8173" width="8" style="1284" customWidth="1"/>
    <col min="8174" max="8174" width="8.44140625" style="1284" customWidth="1"/>
    <col min="8175" max="8175" width="23.6640625" style="1284" customWidth="1"/>
    <col min="8176" max="8176" width="21.6640625" style="1284" customWidth="1"/>
    <col min="8177" max="8177" width="9.44140625" style="1284" customWidth="1"/>
    <col min="8178" max="8178" width="8.109375" style="1284" bestFit="1" customWidth="1"/>
    <col min="8179" max="8179" width="16.109375" style="1284" customWidth="1"/>
    <col min="8180" max="8207" width="11.6640625" style="1284" customWidth="1"/>
    <col min="8208" max="8427" width="9" style="1284"/>
    <col min="8428" max="8428" width="1.109375" style="1284" customWidth="1"/>
    <col min="8429" max="8429" width="8" style="1284" customWidth="1"/>
    <col min="8430" max="8430" width="8.44140625" style="1284" customWidth="1"/>
    <col min="8431" max="8431" width="23.6640625" style="1284" customWidth="1"/>
    <col min="8432" max="8432" width="21.6640625" style="1284" customWidth="1"/>
    <col min="8433" max="8433" width="9.44140625" style="1284" customWidth="1"/>
    <col min="8434" max="8434" width="8.109375" style="1284" bestFit="1" customWidth="1"/>
    <col min="8435" max="8435" width="16.109375" style="1284" customWidth="1"/>
    <col min="8436" max="8463" width="11.6640625" style="1284" customWidth="1"/>
    <col min="8464" max="8683" width="9" style="1284"/>
    <col min="8684" max="8684" width="1.109375" style="1284" customWidth="1"/>
    <col min="8685" max="8685" width="8" style="1284" customWidth="1"/>
    <col min="8686" max="8686" width="8.44140625" style="1284" customWidth="1"/>
    <col min="8687" max="8687" width="23.6640625" style="1284" customWidth="1"/>
    <col min="8688" max="8688" width="21.6640625" style="1284" customWidth="1"/>
    <col min="8689" max="8689" width="9.44140625" style="1284" customWidth="1"/>
    <col min="8690" max="8690" width="8.109375" style="1284" bestFit="1" customWidth="1"/>
    <col min="8691" max="8691" width="16.109375" style="1284" customWidth="1"/>
    <col min="8692" max="8719" width="11.6640625" style="1284" customWidth="1"/>
    <col min="8720" max="8939" width="9" style="1284"/>
    <col min="8940" max="8940" width="1.109375" style="1284" customWidth="1"/>
    <col min="8941" max="8941" width="8" style="1284" customWidth="1"/>
    <col min="8942" max="8942" width="8.44140625" style="1284" customWidth="1"/>
    <col min="8943" max="8943" width="23.6640625" style="1284" customWidth="1"/>
    <col min="8944" max="8944" width="21.6640625" style="1284" customWidth="1"/>
    <col min="8945" max="8945" width="9.44140625" style="1284" customWidth="1"/>
    <col min="8946" max="8946" width="8.109375" style="1284" bestFit="1" customWidth="1"/>
    <col min="8947" max="8947" width="16.109375" style="1284" customWidth="1"/>
    <col min="8948" max="8975" width="11.6640625" style="1284" customWidth="1"/>
    <col min="8976" max="9195" width="9" style="1284"/>
    <col min="9196" max="9196" width="1.109375" style="1284" customWidth="1"/>
    <col min="9197" max="9197" width="8" style="1284" customWidth="1"/>
    <col min="9198" max="9198" width="8.44140625" style="1284" customWidth="1"/>
    <col min="9199" max="9199" width="23.6640625" style="1284" customWidth="1"/>
    <col min="9200" max="9200" width="21.6640625" style="1284" customWidth="1"/>
    <col min="9201" max="9201" width="9.44140625" style="1284" customWidth="1"/>
    <col min="9202" max="9202" width="8.109375" style="1284" bestFit="1" customWidth="1"/>
    <col min="9203" max="9203" width="16.109375" style="1284" customWidth="1"/>
    <col min="9204" max="9231" width="11.6640625" style="1284" customWidth="1"/>
    <col min="9232" max="9451" width="9" style="1284"/>
    <col min="9452" max="9452" width="1.109375" style="1284" customWidth="1"/>
    <col min="9453" max="9453" width="8" style="1284" customWidth="1"/>
    <col min="9454" max="9454" width="8.44140625" style="1284" customWidth="1"/>
    <col min="9455" max="9455" width="23.6640625" style="1284" customWidth="1"/>
    <col min="9456" max="9456" width="21.6640625" style="1284" customWidth="1"/>
    <col min="9457" max="9457" width="9.44140625" style="1284" customWidth="1"/>
    <col min="9458" max="9458" width="8.109375" style="1284" bestFit="1" customWidth="1"/>
    <col min="9459" max="9459" width="16.109375" style="1284" customWidth="1"/>
    <col min="9460" max="9487" width="11.6640625" style="1284" customWidth="1"/>
    <col min="9488" max="9707" width="9" style="1284"/>
    <col min="9708" max="9708" width="1.109375" style="1284" customWidth="1"/>
    <col min="9709" max="9709" width="8" style="1284" customWidth="1"/>
    <col min="9710" max="9710" width="8.44140625" style="1284" customWidth="1"/>
    <col min="9711" max="9711" width="23.6640625" style="1284" customWidth="1"/>
    <col min="9712" max="9712" width="21.6640625" style="1284" customWidth="1"/>
    <col min="9713" max="9713" width="9.44140625" style="1284" customWidth="1"/>
    <col min="9714" max="9714" width="8.109375" style="1284" bestFit="1" customWidth="1"/>
    <col min="9715" max="9715" width="16.109375" style="1284" customWidth="1"/>
    <col min="9716" max="9743" width="11.6640625" style="1284" customWidth="1"/>
    <col min="9744" max="9963" width="9" style="1284"/>
    <col min="9964" max="9964" width="1.109375" style="1284" customWidth="1"/>
    <col min="9965" max="9965" width="8" style="1284" customWidth="1"/>
    <col min="9966" max="9966" width="8.44140625" style="1284" customWidth="1"/>
    <col min="9967" max="9967" width="23.6640625" style="1284" customWidth="1"/>
    <col min="9968" max="9968" width="21.6640625" style="1284" customWidth="1"/>
    <col min="9969" max="9969" width="9.44140625" style="1284" customWidth="1"/>
    <col min="9970" max="9970" width="8.109375" style="1284" bestFit="1" customWidth="1"/>
    <col min="9971" max="9971" width="16.109375" style="1284" customWidth="1"/>
    <col min="9972" max="9999" width="11.6640625" style="1284" customWidth="1"/>
    <col min="10000" max="10219" width="9" style="1284"/>
    <col min="10220" max="10220" width="1.109375" style="1284" customWidth="1"/>
    <col min="10221" max="10221" width="8" style="1284" customWidth="1"/>
    <col min="10222" max="10222" width="8.44140625" style="1284" customWidth="1"/>
    <col min="10223" max="10223" width="23.6640625" style="1284" customWidth="1"/>
    <col min="10224" max="10224" width="21.6640625" style="1284" customWidth="1"/>
    <col min="10225" max="10225" width="9.44140625" style="1284" customWidth="1"/>
    <col min="10226" max="10226" width="8.109375" style="1284" bestFit="1" customWidth="1"/>
    <col min="10227" max="10227" width="16.109375" style="1284" customWidth="1"/>
    <col min="10228" max="10255" width="11.6640625" style="1284" customWidth="1"/>
    <col min="10256" max="10475" width="9" style="1284"/>
    <col min="10476" max="10476" width="1.109375" style="1284" customWidth="1"/>
    <col min="10477" max="10477" width="8" style="1284" customWidth="1"/>
    <col min="10478" max="10478" width="8.44140625" style="1284" customWidth="1"/>
    <col min="10479" max="10479" width="23.6640625" style="1284" customWidth="1"/>
    <col min="10480" max="10480" width="21.6640625" style="1284" customWidth="1"/>
    <col min="10481" max="10481" width="9.44140625" style="1284" customWidth="1"/>
    <col min="10482" max="10482" width="8.109375" style="1284" bestFit="1" customWidth="1"/>
    <col min="10483" max="10483" width="16.109375" style="1284" customWidth="1"/>
    <col min="10484" max="10511" width="11.6640625" style="1284" customWidth="1"/>
    <col min="10512" max="10731" width="9" style="1284"/>
    <col min="10732" max="10732" width="1.109375" style="1284" customWidth="1"/>
    <col min="10733" max="10733" width="8" style="1284" customWidth="1"/>
    <col min="10734" max="10734" width="8.44140625" style="1284" customWidth="1"/>
    <col min="10735" max="10735" width="23.6640625" style="1284" customWidth="1"/>
    <col min="10736" max="10736" width="21.6640625" style="1284" customWidth="1"/>
    <col min="10737" max="10737" width="9.44140625" style="1284" customWidth="1"/>
    <col min="10738" max="10738" width="8.109375" style="1284" bestFit="1" customWidth="1"/>
    <col min="10739" max="10739" width="16.109375" style="1284" customWidth="1"/>
    <col min="10740" max="10767" width="11.6640625" style="1284" customWidth="1"/>
    <col min="10768" max="10987" width="9" style="1284"/>
    <col min="10988" max="10988" width="1.109375" style="1284" customWidth="1"/>
    <col min="10989" max="10989" width="8" style="1284" customWidth="1"/>
    <col min="10990" max="10990" width="8.44140625" style="1284" customWidth="1"/>
    <col min="10991" max="10991" width="23.6640625" style="1284" customWidth="1"/>
    <col min="10992" max="10992" width="21.6640625" style="1284" customWidth="1"/>
    <col min="10993" max="10993" width="9.44140625" style="1284" customWidth="1"/>
    <col min="10994" max="10994" width="8.109375" style="1284" bestFit="1" customWidth="1"/>
    <col min="10995" max="10995" width="16.109375" style="1284" customWidth="1"/>
    <col min="10996" max="11023" width="11.6640625" style="1284" customWidth="1"/>
    <col min="11024" max="11243" width="9" style="1284"/>
    <col min="11244" max="11244" width="1.109375" style="1284" customWidth="1"/>
    <col min="11245" max="11245" width="8" style="1284" customWidth="1"/>
    <col min="11246" max="11246" width="8.44140625" style="1284" customWidth="1"/>
    <col min="11247" max="11247" width="23.6640625" style="1284" customWidth="1"/>
    <col min="11248" max="11248" width="21.6640625" style="1284" customWidth="1"/>
    <col min="11249" max="11249" width="9.44140625" style="1284" customWidth="1"/>
    <col min="11250" max="11250" width="8.109375" style="1284" bestFit="1" customWidth="1"/>
    <col min="11251" max="11251" width="16.109375" style="1284" customWidth="1"/>
    <col min="11252" max="11279" width="11.6640625" style="1284" customWidth="1"/>
    <col min="11280" max="11499" width="9" style="1284"/>
    <col min="11500" max="11500" width="1.109375" style="1284" customWidth="1"/>
    <col min="11501" max="11501" width="8" style="1284" customWidth="1"/>
    <col min="11502" max="11502" width="8.44140625" style="1284" customWidth="1"/>
    <col min="11503" max="11503" width="23.6640625" style="1284" customWidth="1"/>
    <col min="11504" max="11504" width="21.6640625" style="1284" customWidth="1"/>
    <col min="11505" max="11505" width="9.44140625" style="1284" customWidth="1"/>
    <col min="11506" max="11506" width="8.109375" style="1284" bestFit="1" customWidth="1"/>
    <col min="11507" max="11507" width="16.109375" style="1284" customWidth="1"/>
    <col min="11508" max="11535" width="11.6640625" style="1284" customWidth="1"/>
    <col min="11536" max="11755" width="9" style="1284"/>
    <col min="11756" max="11756" width="1.109375" style="1284" customWidth="1"/>
    <col min="11757" max="11757" width="8" style="1284" customWidth="1"/>
    <col min="11758" max="11758" width="8.44140625" style="1284" customWidth="1"/>
    <col min="11759" max="11759" width="23.6640625" style="1284" customWidth="1"/>
    <col min="11760" max="11760" width="21.6640625" style="1284" customWidth="1"/>
    <col min="11761" max="11761" width="9.44140625" style="1284" customWidth="1"/>
    <col min="11762" max="11762" width="8.109375" style="1284" bestFit="1" customWidth="1"/>
    <col min="11763" max="11763" width="16.109375" style="1284" customWidth="1"/>
    <col min="11764" max="11791" width="11.6640625" style="1284" customWidth="1"/>
    <col min="11792" max="12011" width="9" style="1284"/>
    <col min="12012" max="12012" width="1.109375" style="1284" customWidth="1"/>
    <col min="12013" max="12013" width="8" style="1284" customWidth="1"/>
    <col min="12014" max="12014" width="8.44140625" style="1284" customWidth="1"/>
    <col min="12015" max="12015" width="23.6640625" style="1284" customWidth="1"/>
    <col min="12016" max="12016" width="21.6640625" style="1284" customWidth="1"/>
    <col min="12017" max="12017" width="9.44140625" style="1284" customWidth="1"/>
    <col min="12018" max="12018" width="8.109375" style="1284" bestFit="1" customWidth="1"/>
    <col min="12019" max="12019" width="16.109375" style="1284" customWidth="1"/>
    <col min="12020" max="12047" width="11.6640625" style="1284" customWidth="1"/>
    <col min="12048" max="12267" width="9" style="1284"/>
    <col min="12268" max="12268" width="1.109375" style="1284" customWidth="1"/>
    <col min="12269" max="12269" width="8" style="1284" customWidth="1"/>
    <col min="12270" max="12270" width="8.44140625" style="1284" customWidth="1"/>
    <col min="12271" max="12271" width="23.6640625" style="1284" customWidth="1"/>
    <col min="12272" max="12272" width="21.6640625" style="1284" customWidth="1"/>
    <col min="12273" max="12273" width="9.44140625" style="1284" customWidth="1"/>
    <col min="12274" max="12274" width="8.109375" style="1284" bestFit="1" customWidth="1"/>
    <col min="12275" max="12275" width="16.109375" style="1284" customWidth="1"/>
    <col min="12276" max="12303" width="11.6640625" style="1284" customWidth="1"/>
    <col min="12304" max="12523" width="9" style="1284"/>
    <col min="12524" max="12524" width="1.109375" style="1284" customWidth="1"/>
    <col min="12525" max="12525" width="8" style="1284" customWidth="1"/>
    <col min="12526" max="12526" width="8.44140625" style="1284" customWidth="1"/>
    <col min="12527" max="12527" width="23.6640625" style="1284" customWidth="1"/>
    <col min="12528" max="12528" width="21.6640625" style="1284" customWidth="1"/>
    <col min="12529" max="12529" width="9.44140625" style="1284" customWidth="1"/>
    <col min="12530" max="12530" width="8.109375" style="1284" bestFit="1" customWidth="1"/>
    <col min="12531" max="12531" width="16.109375" style="1284" customWidth="1"/>
    <col min="12532" max="12559" width="11.6640625" style="1284" customWidth="1"/>
    <col min="12560" max="12779" width="9" style="1284"/>
    <col min="12780" max="12780" width="1.109375" style="1284" customWidth="1"/>
    <col min="12781" max="12781" width="8" style="1284" customWidth="1"/>
    <col min="12782" max="12782" width="8.44140625" style="1284" customWidth="1"/>
    <col min="12783" max="12783" width="23.6640625" style="1284" customWidth="1"/>
    <col min="12784" max="12784" width="21.6640625" style="1284" customWidth="1"/>
    <col min="12785" max="12785" width="9.44140625" style="1284" customWidth="1"/>
    <col min="12786" max="12786" width="8.109375" style="1284" bestFit="1" customWidth="1"/>
    <col min="12787" max="12787" width="16.109375" style="1284" customWidth="1"/>
    <col min="12788" max="12815" width="11.6640625" style="1284" customWidth="1"/>
    <col min="12816" max="13035" width="9" style="1284"/>
    <col min="13036" max="13036" width="1.109375" style="1284" customWidth="1"/>
    <col min="13037" max="13037" width="8" style="1284" customWidth="1"/>
    <col min="13038" max="13038" width="8.44140625" style="1284" customWidth="1"/>
    <col min="13039" max="13039" width="23.6640625" style="1284" customWidth="1"/>
    <col min="13040" max="13040" width="21.6640625" style="1284" customWidth="1"/>
    <col min="13041" max="13041" width="9.44140625" style="1284" customWidth="1"/>
    <col min="13042" max="13042" width="8.109375" style="1284" bestFit="1" customWidth="1"/>
    <col min="13043" max="13043" width="16.109375" style="1284" customWidth="1"/>
    <col min="13044" max="13071" width="11.6640625" style="1284" customWidth="1"/>
    <col min="13072" max="13291" width="9" style="1284"/>
    <col min="13292" max="13292" width="1.109375" style="1284" customWidth="1"/>
    <col min="13293" max="13293" width="8" style="1284" customWidth="1"/>
    <col min="13294" max="13294" width="8.44140625" style="1284" customWidth="1"/>
    <col min="13295" max="13295" width="23.6640625" style="1284" customWidth="1"/>
    <col min="13296" max="13296" width="21.6640625" style="1284" customWidth="1"/>
    <col min="13297" max="13297" width="9.44140625" style="1284" customWidth="1"/>
    <col min="13298" max="13298" width="8.109375" style="1284" bestFit="1" customWidth="1"/>
    <col min="13299" max="13299" width="16.109375" style="1284" customWidth="1"/>
    <col min="13300" max="13327" width="11.6640625" style="1284" customWidth="1"/>
    <col min="13328" max="13547" width="9" style="1284"/>
    <col min="13548" max="13548" width="1.109375" style="1284" customWidth="1"/>
    <col min="13549" max="13549" width="8" style="1284" customWidth="1"/>
    <col min="13550" max="13550" width="8.44140625" style="1284" customWidth="1"/>
    <col min="13551" max="13551" width="23.6640625" style="1284" customWidth="1"/>
    <col min="13552" max="13552" width="21.6640625" style="1284" customWidth="1"/>
    <col min="13553" max="13553" width="9.44140625" style="1284" customWidth="1"/>
    <col min="13554" max="13554" width="8.109375" style="1284" bestFit="1" customWidth="1"/>
    <col min="13555" max="13555" width="16.109375" style="1284" customWidth="1"/>
    <col min="13556" max="13583" width="11.6640625" style="1284" customWidth="1"/>
    <col min="13584" max="13803" width="9" style="1284"/>
    <col min="13804" max="13804" width="1.109375" style="1284" customWidth="1"/>
    <col min="13805" max="13805" width="8" style="1284" customWidth="1"/>
    <col min="13806" max="13806" width="8.44140625" style="1284" customWidth="1"/>
    <col min="13807" max="13807" width="23.6640625" style="1284" customWidth="1"/>
    <col min="13808" max="13808" width="21.6640625" style="1284" customWidth="1"/>
    <col min="13809" max="13809" width="9.44140625" style="1284" customWidth="1"/>
    <col min="13810" max="13810" width="8.109375" style="1284" bestFit="1" customWidth="1"/>
    <col min="13811" max="13811" width="16.109375" style="1284" customWidth="1"/>
    <col min="13812" max="13839" width="11.6640625" style="1284" customWidth="1"/>
    <col min="13840" max="14059" width="9" style="1284"/>
    <col min="14060" max="14060" width="1.109375" style="1284" customWidth="1"/>
    <col min="14061" max="14061" width="8" style="1284" customWidth="1"/>
    <col min="14062" max="14062" width="8.44140625" style="1284" customWidth="1"/>
    <col min="14063" max="14063" width="23.6640625" style="1284" customWidth="1"/>
    <col min="14064" max="14064" width="21.6640625" style="1284" customWidth="1"/>
    <col min="14065" max="14065" width="9.44140625" style="1284" customWidth="1"/>
    <col min="14066" max="14066" width="8.109375" style="1284" bestFit="1" customWidth="1"/>
    <col min="14067" max="14067" width="16.109375" style="1284" customWidth="1"/>
    <col min="14068" max="14095" width="11.6640625" style="1284" customWidth="1"/>
    <col min="14096" max="14315" width="9" style="1284"/>
    <col min="14316" max="14316" width="1.109375" style="1284" customWidth="1"/>
    <col min="14317" max="14317" width="8" style="1284" customWidth="1"/>
    <col min="14318" max="14318" width="8.44140625" style="1284" customWidth="1"/>
    <col min="14319" max="14319" width="23.6640625" style="1284" customWidth="1"/>
    <col min="14320" max="14320" width="21.6640625" style="1284" customWidth="1"/>
    <col min="14321" max="14321" width="9.44140625" style="1284" customWidth="1"/>
    <col min="14322" max="14322" width="8.109375" style="1284" bestFit="1" customWidth="1"/>
    <col min="14323" max="14323" width="16.109375" style="1284" customWidth="1"/>
    <col min="14324" max="14351" width="11.6640625" style="1284" customWidth="1"/>
    <col min="14352" max="14571" width="9" style="1284"/>
    <col min="14572" max="14572" width="1.109375" style="1284" customWidth="1"/>
    <col min="14573" max="14573" width="8" style="1284" customWidth="1"/>
    <col min="14574" max="14574" width="8.44140625" style="1284" customWidth="1"/>
    <col min="14575" max="14575" width="23.6640625" style="1284" customWidth="1"/>
    <col min="14576" max="14576" width="21.6640625" style="1284" customWidth="1"/>
    <col min="14577" max="14577" width="9.44140625" style="1284" customWidth="1"/>
    <col min="14578" max="14578" width="8.109375" style="1284" bestFit="1" customWidth="1"/>
    <col min="14579" max="14579" width="16.109375" style="1284" customWidth="1"/>
    <col min="14580" max="14607" width="11.6640625" style="1284" customWidth="1"/>
    <col min="14608" max="14827" width="9" style="1284"/>
    <col min="14828" max="14828" width="1.109375" style="1284" customWidth="1"/>
    <col min="14829" max="14829" width="8" style="1284" customWidth="1"/>
    <col min="14830" max="14830" width="8.44140625" style="1284" customWidth="1"/>
    <col min="14831" max="14831" width="23.6640625" style="1284" customWidth="1"/>
    <col min="14832" max="14832" width="21.6640625" style="1284" customWidth="1"/>
    <col min="14833" max="14833" width="9.44140625" style="1284" customWidth="1"/>
    <col min="14834" max="14834" width="8.109375" style="1284" bestFit="1" customWidth="1"/>
    <col min="14835" max="14835" width="16.109375" style="1284" customWidth="1"/>
    <col min="14836" max="14863" width="11.6640625" style="1284" customWidth="1"/>
    <col min="14864" max="15083" width="9" style="1284"/>
    <col min="15084" max="15084" width="1.109375" style="1284" customWidth="1"/>
    <col min="15085" max="15085" width="8" style="1284" customWidth="1"/>
    <col min="15086" max="15086" width="8.44140625" style="1284" customWidth="1"/>
    <col min="15087" max="15087" width="23.6640625" style="1284" customWidth="1"/>
    <col min="15088" max="15088" width="21.6640625" style="1284" customWidth="1"/>
    <col min="15089" max="15089" width="9.44140625" style="1284" customWidth="1"/>
    <col min="15090" max="15090" width="8.109375" style="1284" bestFit="1" customWidth="1"/>
    <col min="15091" max="15091" width="16.109375" style="1284" customWidth="1"/>
    <col min="15092" max="15119" width="11.6640625" style="1284" customWidth="1"/>
    <col min="15120" max="15339" width="9" style="1284"/>
    <col min="15340" max="15340" width="1.109375" style="1284" customWidth="1"/>
    <col min="15341" max="15341" width="8" style="1284" customWidth="1"/>
    <col min="15342" max="15342" width="8.44140625" style="1284" customWidth="1"/>
    <col min="15343" max="15343" width="23.6640625" style="1284" customWidth="1"/>
    <col min="15344" max="15344" width="21.6640625" style="1284" customWidth="1"/>
    <col min="15345" max="15345" width="9.44140625" style="1284" customWidth="1"/>
    <col min="15346" max="15346" width="8.109375" style="1284" bestFit="1" customWidth="1"/>
    <col min="15347" max="15347" width="16.109375" style="1284" customWidth="1"/>
    <col min="15348" max="15375" width="11.6640625" style="1284" customWidth="1"/>
    <col min="15376" max="15595" width="9" style="1284"/>
    <col min="15596" max="15596" width="1.109375" style="1284" customWidth="1"/>
    <col min="15597" max="15597" width="8" style="1284" customWidth="1"/>
    <col min="15598" max="15598" width="8.44140625" style="1284" customWidth="1"/>
    <col min="15599" max="15599" width="23.6640625" style="1284" customWidth="1"/>
    <col min="15600" max="15600" width="21.6640625" style="1284" customWidth="1"/>
    <col min="15601" max="15601" width="9.44140625" style="1284" customWidth="1"/>
    <col min="15602" max="15602" width="8.109375" style="1284" bestFit="1" customWidth="1"/>
    <col min="15603" max="15603" width="16.109375" style="1284" customWidth="1"/>
    <col min="15604" max="15631" width="11.6640625" style="1284" customWidth="1"/>
    <col min="15632" max="15851" width="9" style="1284"/>
    <col min="15852" max="15852" width="1.109375" style="1284" customWidth="1"/>
    <col min="15853" max="15853" width="8" style="1284" customWidth="1"/>
    <col min="15854" max="15854" width="8.44140625" style="1284" customWidth="1"/>
    <col min="15855" max="15855" width="23.6640625" style="1284" customWidth="1"/>
    <col min="15856" max="15856" width="21.6640625" style="1284" customWidth="1"/>
    <col min="15857" max="15857" width="9.44140625" style="1284" customWidth="1"/>
    <col min="15858" max="15858" width="8.109375" style="1284" bestFit="1" customWidth="1"/>
    <col min="15859" max="15859" width="16.109375" style="1284" customWidth="1"/>
    <col min="15860" max="15887" width="11.6640625" style="1284" customWidth="1"/>
    <col min="15888" max="16107" width="9" style="1284"/>
    <col min="16108" max="16108" width="1.109375" style="1284" customWidth="1"/>
    <col min="16109" max="16109" width="8" style="1284" customWidth="1"/>
    <col min="16110" max="16110" width="8.44140625" style="1284" customWidth="1"/>
    <col min="16111" max="16111" width="23.6640625" style="1284" customWidth="1"/>
    <col min="16112" max="16112" width="21.6640625" style="1284" customWidth="1"/>
    <col min="16113" max="16113" width="9.44140625" style="1284" customWidth="1"/>
    <col min="16114" max="16114" width="8.109375" style="1284" bestFit="1" customWidth="1"/>
    <col min="16115" max="16115" width="16.109375" style="1284" customWidth="1"/>
    <col min="16116" max="16143" width="11.6640625" style="1284" customWidth="1"/>
    <col min="16144" max="16384" width="9" style="1284"/>
  </cols>
  <sheetData>
    <row r="1" spans="2:5" ht="15" thickBot="1" x14ac:dyDescent="0.25"/>
    <row r="2" spans="2:5" ht="30.75" thickBot="1" x14ac:dyDescent="0.25">
      <c r="B2" s="1151" t="s">
        <v>63</v>
      </c>
    </row>
    <row r="3" spans="2:5" ht="44.1" customHeight="1" x14ac:dyDescent="0.25">
      <c r="B3" s="521" t="s">
        <v>438</v>
      </c>
      <c r="C3" s="1285"/>
      <c r="D3" s="1285"/>
      <c r="E3" s="1285"/>
    </row>
    <row r="4" spans="2:5" ht="15" x14ac:dyDescent="0.25">
      <c r="B4" s="521" t="s">
        <v>439</v>
      </c>
      <c r="C4" s="1285"/>
      <c r="D4" s="1285"/>
      <c r="E4" s="1285"/>
    </row>
    <row r="5" spans="2:5" s="1285" customFormat="1" ht="15" x14ac:dyDescent="0.25">
      <c r="B5" s="1308" t="s">
        <v>440</v>
      </c>
    </row>
    <row r="6" spans="2:5" s="1285" customFormat="1" ht="15" x14ac:dyDescent="0.25">
      <c r="B6" s="521" t="s">
        <v>441</v>
      </c>
    </row>
    <row r="7" spans="2:5" s="1285" customFormat="1" ht="15" x14ac:dyDescent="0.25">
      <c r="B7" s="521" t="s">
        <v>442</v>
      </c>
    </row>
    <row r="8" spans="2:5" s="1285" customFormat="1" ht="15" x14ac:dyDescent="0.25">
      <c r="B8" s="521" t="s">
        <v>443</v>
      </c>
    </row>
    <row r="9" spans="2:5" s="1285" customFormat="1" ht="15" x14ac:dyDescent="0.25">
      <c r="B9" s="1286"/>
    </row>
    <row r="10" spans="2:5" s="1285" customFormat="1" ht="15" x14ac:dyDescent="0.25">
      <c r="B10" s="1286"/>
    </row>
    <row r="11" spans="2:5" s="1285" customFormat="1" ht="15" x14ac:dyDescent="0.25">
      <c r="B11" s="1286"/>
    </row>
    <row r="12" spans="2:5" s="1285" customFormat="1" ht="15.75" thickBot="1" x14ac:dyDescent="0.3">
      <c r="B12" s="1286"/>
    </row>
    <row r="13" spans="2:5" s="1285" customFormat="1" ht="28.5" x14ac:dyDescent="0.25">
      <c r="B13" s="1287" t="s">
        <v>64</v>
      </c>
      <c r="C13" s="1288" t="s">
        <v>444</v>
      </c>
      <c r="D13" s="1287" t="s">
        <v>2</v>
      </c>
      <c r="E13" s="1288">
        <f>'TITLE PAGE'!D21</f>
        <v>16</v>
      </c>
    </row>
    <row r="14" spans="2:5" s="1285" customFormat="1" ht="15.75" thickBot="1" x14ac:dyDescent="0.3">
      <c r="B14" s="1289" t="s">
        <v>445</v>
      </c>
      <c r="C14" s="1290" t="s">
        <v>88</v>
      </c>
      <c r="D14" s="1291" t="s">
        <v>200</v>
      </c>
      <c r="E14" s="1290" t="s">
        <v>246</v>
      </c>
    </row>
    <row r="15" spans="2:5" s="1285" customFormat="1" ht="15" x14ac:dyDescent="0.25">
      <c r="B15" s="1286"/>
    </row>
    <row r="16" spans="2:5" s="1285" customFormat="1" ht="15" x14ac:dyDescent="0.25">
      <c r="B16" s="1286"/>
    </row>
    <row r="17" spans="1:89" s="1285" customFormat="1" ht="15" x14ac:dyDescent="0.25">
      <c r="B17" s="1286"/>
    </row>
    <row r="18" spans="1:89" s="1285" customFormat="1" ht="15" x14ac:dyDescent="0.25">
      <c r="B18" s="1286"/>
    </row>
    <row r="19" spans="1:89" s="1285" customFormat="1" ht="15" x14ac:dyDescent="0.25">
      <c r="B19" s="1286"/>
    </row>
    <row r="20" spans="1:89" s="1285" customFormat="1" ht="15" x14ac:dyDescent="0.25">
      <c r="B20" s="1286"/>
    </row>
    <row r="21" spans="1:89" ht="15" thickBot="1" x14ac:dyDescent="0.25"/>
    <row r="22" spans="1:89" ht="45.75" thickBot="1" x14ac:dyDescent="0.25">
      <c r="B22" s="522" t="s">
        <v>438</v>
      </c>
      <c r="C22" s="1306" t="s">
        <v>204</v>
      </c>
      <c r="D22" s="523"/>
      <c r="E22" s="523"/>
      <c r="F22" s="523"/>
      <c r="G22" s="1420" t="e">
        <f>G26+G30</f>
        <v>#REF!</v>
      </c>
      <c r="H22" s="1420">
        <f>8.75+3.16+2.82</f>
        <v>14.73</v>
      </c>
      <c r="I22" s="523"/>
      <c r="J22" s="523"/>
      <c r="K22" s="523"/>
      <c r="L22" s="523"/>
      <c r="M22" s="523"/>
      <c r="N22" s="523"/>
      <c r="O22" s="1420"/>
      <c r="P22" s="523"/>
      <c r="Q22" s="523">
        <f>91-88+3</f>
        <v>6</v>
      </c>
      <c r="R22" s="523"/>
      <c r="S22" s="1582"/>
      <c r="T22" s="523"/>
      <c r="U22" s="523"/>
      <c r="V22" s="523"/>
      <c r="W22" s="523"/>
      <c r="X22" s="523"/>
      <c r="Y22" s="523"/>
      <c r="Z22" s="523"/>
      <c r="AA22" s="523"/>
      <c r="AB22" s="523"/>
      <c r="AC22" s="523"/>
      <c r="AD22" s="523"/>
      <c r="AE22" s="523"/>
      <c r="AF22" s="523"/>
      <c r="AG22" s="523"/>
      <c r="AH22" s="523"/>
      <c r="AI22" s="523"/>
      <c r="AJ22" s="523"/>
      <c r="AK22" s="523"/>
      <c r="AL22" s="523"/>
      <c r="AM22" s="523"/>
      <c r="AN22" s="523"/>
      <c r="AO22" s="523"/>
      <c r="AP22" s="523"/>
      <c r="AQ22" s="523"/>
      <c r="AR22" s="523"/>
      <c r="AS22" s="523"/>
      <c r="AT22" s="523"/>
      <c r="AU22" s="523"/>
      <c r="AV22" s="523"/>
      <c r="AW22" s="523"/>
      <c r="AX22" s="523"/>
      <c r="AY22" s="523"/>
      <c r="AZ22" s="523"/>
      <c r="BA22" s="523"/>
      <c r="BB22" s="523"/>
      <c r="BC22" s="523"/>
      <c r="BD22" s="523"/>
      <c r="BE22" s="523"/>
      <c r="BF22" s="523"/>
      <c r="BG22" s="523"/>
      <c r="BH22" s="523"/>
      <c r="BI22" s="523"/>
      <c r="BJ22" s="523"/>
      <c r="BK22" s="523"/>
      <c r="BL22" s="523"/>
      <c r="BM22" s="523"/>
      <c r="BN22" s="523"/>
      <c r="BO22" s="523"/>
      <c r="BP22" s="523"/>
      <c r="BQ22" s="523"/>
      <c r="BR22" s="523"/>
      <c r="BS22" s="523"/>
      <c r="BT22" s="523"/>
      <c r="BU22" s="523"/>
      <c r="BV22" s="523"/>
      <c r="BW22" s="523"/>
      <c r="BX22" s="523"/>
      <c r="BY22" s="523"/>
      <c r="BZ22" s="523"/>
      <c r="CA22" s="523"/>
      <c r="CB22" s="523"/>
      <c r="CC22" s="523"/>
      <c r="CD22" s="523"/>
      <c r="CE22" s="523"/>
      <c r="CF22" s="523"/>
      <c r="CG22" s="523"/>
      <c r="CH22" s="523"/>
      <c r="CI22" s="523"/>
      <c r="CJ22" s="523"/>
    </row>
    <row r="23" spans="1:89" ht="30.75" thickBot="1" x14ac:dyDescent="0.25">
      <c r="B23" s="524" t="s">
        <v>446</v>
      </c>
      <c r="C23" s="525" t="s">
        <v>205</v>
      </c>
      <c r="D23" s="525" t="s">
        <v>71</v>
      </c>
      <c r="E23" s="525" t="s">
        <v>206</v>
      </c>
      <c r="F23" s="526" t="s">
        <v>207</v>
      </c>
      <c r="G23" s="524" t="s">
        <v>208</v>
      </c>
      <c r="H23" s="524" t="s">
        <v>209</v>
      </c>
      <c r="I23" s="524" t="s">
        <v>210</v>
      </c>
      <c r="J23" s="524" t="s">
        <v>211</v>
      </c>
      <c r="K23" s="524" t="s">
        <v>212</v>
      </c>
      <c r="L23" s="524" t="s">
        <v>213</v>
      </c>
      <c r="M23" s="525" t="s">
        <v>214</v>
      </c>
      <c r="N23" s="525" t="s">
        <v>215</v>
      </c>
      <c r="O23" s="525" t="s">
        <v>216</v>
      </c>
      <c r="P23" s="525" t="s">
        <v>217</v>
      </c>
      <c r="Q23" s="525" t="s">
        <v>218</v>
      </c>
      <c r="R23" s="525" t="s">
        <v>247</v>
      </c>
      <c r="S23" s="525" t="s">
        <v>248</v>
      </c>
      <c r="T23" s="525" t="s">
        <v>249</v>
      </c>
      <c r="U23" s="525" t="s">
        <v>250</v>
      </c>
      <c r="V23" s="525" t="s">
        <v>219</v>
      </c>
      <c r="W23" s="525" t="s">
        <v>251</v>
      </c>
      <c r="X23" s="525" t="s">
        <v>252</v>
      </c>
      <c r="Y23" s="525" t="s">
        <v>253</v>
      </c>
      <c r="Z23" s="525" t="s">
        <v>254</v>
      </c>
      <c r="AA23" s="525" t="s">
        <v>220</v>
      </c>
      <c r="AB23" s="525" t="s">
        <v>255</v>
      </c>
      <c r="AC23" s="525" t="s">
        <v>256</v>
      </c>
      <c r="AD23" s="525" t="s">
        <v>257</v>
      </c>
      <c r="AE23" s="525" t="s">
        <v>258</v>
      </c>
      <c r="AF23" s="525" t="s">
        <v>221</v>
      </c>
      <c r="AG23" s="525" t="s">
        <v>259</v>
      </c>
      <c r="AH23" s="525" t="s">
        <v>260</v>
      </c>
      <c r="AI23" s="525" t="s">
        <v>261</v>
      </c>
      <c r="AJ23" s="525" t="s">
        <v>262</v>
      </c>
      <c r="AK23" s="525" t="s">
        <v>222</v>
      </c>
      <c r="AL23" s="525" t="s">
        <v>263</v>
      </c>
      <c r="AM23" s="525" t="s">
        <v>264</v>
      </c>
      <c r="AN23" s="525" t="s">
        <v>265</v>
      </c>
      <c r="AO23" s="525" t="s">
        <v>266</v>
      </c>
      <c r="AP23" s="525" t="s">
        <v>223</v>
      </c>
      <c r="AQ23" s="525" t="s">
        <v>267</v>
      </c>
      <c r="AR23" s="525" t="s">
        <v>268</v>
      </c>
      <c r="AS23" s="525" t="s">
        <v>269</v>
      </c>
      <c r="AT23" s="525" t="s">
        <v>270</v>
      </c>
      <c r="AU23" s="525" t="s">
        <v>224</v>
      </c>
      <c r="AV23" s="525" t="s">
        <v>271</v>
      </c>
      <c r="AW23" s="525" t="s">
        <v>272</v>
      </c>
      <c r="AX23" s="525" t="s">
        <v>273</v>
      </c>
      <c r="AY23" s="525" t="s">
        <v>274</v>
      </c>
      <c r="AZ23" s="525" t="s">
        <v>225</v>
      </c>
      <c r="BA23" s="525" t="s">
        <v>275</v>
      </c>
      <c r="BB23" s="525" t="s">
        <v>276</v>
      </c>
      <c r="BC23" s="525" t="s">
        <v>277</v>
      </c>
      <c r="BD23" s="525" t="s">
        <v>278</v>
      </c>
      <c r="BE23" s="525" t="s">
        <v>226</v>
      </c>
      <c r="BF23" s="525" t="s">
        <v>279</v>
      </c>
      <c r="BG23" s="525" t="s">
        <v>280</v>
      </c>
      <c r="BH23" s="525" t="s">
        <v>281</v>
      </c>
      <c r="BI23" s="525" t="s">
        <v>282</v>
      </c>
      <c r="BJ23" s="525" t="s">
        <v>227</v>
      </c>
      <c r="BK23" s="525" t="s">
        <v>283</v>
      </c>
      <c r="BL23" s="525" t="s">
        <v>284</v>
      </c>
      <c r="BM23" s="525" t="s">
        <v>285</v>
      </c>
      <c r="BN23" s="525" t="s">
        <v>286</v>
      </c>
      <c r="BO23" s="525" t="s">
        <v>228</v>
      </c>
      <c r="BP23" s="525" t="s">
        <v>287</v>
      </c>
      <c r="BQ23" s="525" t="s">
        <v>288</v>
      </c>
      <c r="BR23" s="525" t="s">
        <v>289</v>
      </c>
      <c r="BS23" s="525" t="s">
        <v>290</v>
      </c>
      <c r="BT23" s="525" t="s">
        <v>229</v>
      </c>
      <c r="BU23" s="525" t="s">
        <v>291</v>
      </c>
      <c r="BV23" s="525" t="s">
        <v>292</v>
      </c>
      <c r="BW23" s="525" t="s">
        <v>293</v>
      </c>
      <c r="BX23" s="525" t="s">
        <v>294</v>
      </c>
      <c r="BY23" s="525" t="s">
        <v>230</v>
      </c>
      <c r="BZ23" s="525" t="s">
        <v>295</v>
      </c>
      <c r="CA23" s="525" t="s">
        <v>296</v>
      </c>
      <c r="CB23" s="525" t="s">
        <v>297</v>
      </c>
      <c r="CC23" s="525" t="s">
        <v>298</v>
      </c>
      <c r="CD23" s="525" t="s">
        <v>231</v>
      </c>
      <c r="CE23" s="525" t="s">
        <v>299</v>
      </c>
      <c r="CF23" s="525" t="s">
        <v>300</v>
      </c>
      <c r="CG23" s="525" t="s">
        <v>301</v>
      </c>
      <c r="CH23" s="525" t="s">
        <v>302</v>
      </c>
      <c r="CI23" s="526" t="s">
        <v>232</v>
      </c>
    </row>
    <row r="24" spans="1:89" s="1292" customFormat="1" ht="15" thickBot="1" x14ac:dyDescent="0.25">
      <c r="A24" s="1284"/>
      <c r="B24" s="1018" t="s">
        <v>447</v>
      </c>
      <c r="C24" s="1019" t="s">
        <v>448</v>
      </c>
      <c r="D24" s="1020" t="s">
        <v>86</v>
      </c>
      <c r="E24" s="1021" t="s">
        <v>236</v>
      </c>
      <c r="F24" s="1022">
        <v>2</v>
      </c>
      <c r="G24" s="532" t="e">
        <f>TBL3a_DYAABL_10_ESWESX[[#This Row],[2029-30]]-[1]!TBL3a_DYAABL_10_ESWESX[[#This Row],[2029-30]]</f>
        <v>#REF!</v>
      </c>
      <c r="H24" s="540"/>
      <c r="I24" s="540">
        <v>414.66725177377185</v>
      </c>
      <c r="J24" s="540">
        <v>407.77180902962004</v>
      </c>
      <c r="K24" s="540">
        <v>408.33645821017438</v>
      </c>
      <c r="L24" s="540">
        <v>403.95366772509095</v>
      </c>
      <c r="M24" s="1342">
        <v>418.87617524713517</v>
      </c>
      <c r="N24" s="1342">
        <v>419.78837358878621</v>
      </c>
      <c r="O24" s="1342">
        <v>419.79662025231011</v>
      </c>
      <c r="P24" s="1342">
        <v>420.91292140331899</v>
      </c>
      <c r="Q24" s="1342">
        <v>421.73302831948234</v>
      </c>
      <c r="R24" s="1342">
        <v>422.3652937008539</v>
      </c>
      <c r="S24" s="1342">
        <v>422.4862204851114</v>
      </c>
      <c r="T24" s="1342">
        <v>423.03067935408376</v>
      </c>
      <c r="U24" s="1342">
        <v>422.78036154281546</v>
      </c>
      <c r="V24" s="1342">
        <v>422.43029237309764</v>
      </c>
      <c r="W24" s="1342">
        <v>422.07641672540473</v>
      </c>
      <c r="X24" s="1342">
        <v>421.39982185411094</v>
      </c>
      <c r="Y24" s="1342">
        <v>420.80665576299253</v>
      </c>
      <c r="Z24" s="1342">
        <v>420.39093202226547</v>
      </c>
      <c r="AA24" s="1342">
        <v>420.49473979018984</v>
      </c>
      <c r="AB24" s="1342">
        <v>420.48238184053133</v>
      </c>
      <c r="AC24" s="1342">
        <v>420.57024015460797</v>
      </c>
      <c r="AD24" s="1342">
        <v>420.73537386870595</v>
      </c>
      <c r="AE24" s="1342">
        <v>421.72624597673644</v>
      </c>
      <c r="AF24" s="1342">
        <v>422.81523874619694</v>
      </c>
      <c r="AG24" s="1342">
        <v>423.90952140729576</v>
      </c>
      <c r="AH24" s="1342">
        <v>425.02093106900179</v>
      </c>
      <c r="AI24" s="1342">
        <v>426.12061443983862</v>
      </c>
      <c r="AJ24" s="1342">
        <v>427.29982994237901</v>
      </c>
      <c r="AK24" s="1342">
        <v>428.48584446656918</v>
      </c>
      <c r="AL24" s="1342"/>
      <c r="AM24" s="1342"/>
      <c r="AN24" s="1342"/>
      <c r="AO24" s="1342"/>
      <c r="AP24" s="1342"/>
      <c r="AQ24" s="1342"/>
      <c r="AR24" s="1342"/>
      <c r="AS24" s="1342"/>
      <c r="AT24" s="1342"/>
      <c r="AU24" s="1342"/>
      <c r="AV24" s="1342"/>
      <c r="AW24" s="1342"/>
      <c r="AX24" s="1342"/>
      <c r="AY24" s="1342"/>
      <c r="AZ24" s="1342"/>
      <c r="BA24" s="1342"/>
      <c r="BB24" s="1342"/>
      <c r="BC24" s="1342"/>
      <c r="BD24" s="1342"/>
      <c r="BE24" s="1342"/>
      <c r="BF24" s="1342"/>
      <c r="BG24" s="1342"/>
      <c r="BH24" s="1342"/>
      <c r="BI24" s="1342"/>
      <c r="BJ24" s="1342"/>
      <c r="BK24" s="1342"/>
      <c r="BL24" s="1342"/>
      <c r="BM24" s="1342"/>
      <c r="BN24" s="1342"/>
      <c r="BO24" s="1342"/>
      <c r="BP24" s="1342"/>
      <c r="BQ24" s="1342"/>
      <c r="BR24" s="1342"/>
      <c r="BS24" s="1342"/>
      <c r="BT24" s="1342"/>
      <c r="BU24" s="1342"/>
      <c r="BV24" s="1342"/>
      <c r="BW24" s="1342"/>
      <c r="BX24" s="1342"/>
      <c r="BY24" s="1342"/>
      <c r="BZ24" s="1342"/>
      <c r="CA24" s="1342"/>
      <c r="CB24" s="1342"/>
      <c r="CC24" s="1342"/>
      <c r="CD24" s="1342"/>
      <c r="CE24" s="1342"/>
      <c r="CF24" s="1342"/>
      <c r="CG24" s="1342"/>
      <c r="CH24" s="1342"/>
      <c r="CI24" s="1342"/>
      <c r="CK24" s="1293"/>
    </row>
    <row r="25" spans="1:89" s="1292" customFormat="1" ht="15" thickBot="1" x14ac:dyDescent="0.25">
      <c r="A25" s="1284"/>
      <c r="B25" s="1013" t="s">
        <v>449</v>
      </c>
      <c r="C25" s="1014" t="s">
        <v>450</v>
      </c>
      <c r="D25" s="1015" t="s">
        <v>86</v>
      </c>
      <c r="E25" s="1016" t="s">
        <v>236</v>
      </c>
      <c r="F25" s="1017">
        <v>2</v>
      </c>
      <c r="G25" s="532" t="e">
        <f>TBL3a_DYAABL_10_ESWESX[[#This Row],[2029-30]]-[1]!TBL3a_DYAABL_10_ESWESX[[#This Row],[2029-30]]</f>
        <v>#REF!</v>
      </c>
      <c r="H25" s="540"/>
      <c r="I25" s="540">
        <v>0</v>
      </c>
      <c r="J25" s="540">
        <v>0</v>
      </c>
      <c r="K25" s="540">
        <v>0</v>
      </c>
      <c r="L25" s="540">
        <v>0</v>
      </c>
      <c r="M25" s="1342">
        <v>0</v>
      </c>
      <c r="N25" s="1342">
        <v>0</v>
      </c>
      <c r="O25" s="1342">
        <v>0</v>
      </c>
      <c r="P25" s="1342">
        <v>0</v>
      </c>
      <c r="Q25" s="1342">
        <v>0</v>
      </c>
      <c r="R25" s="1342">
        <v>0</v>
      </c>
      <c r="S25" s="1342">
        <v>0</v>
      </c>
      <c r="T25" s="1342">
        <v>0</v>
      </c>
      <c r="U25" s="1342">
        <v>0</v>
      </c>
      <c r="V25" s="1342">
        <v>0</v>
      </c>
      <c r="W25" s="1342">
        <v>0</v>
      </c>
      <c r="X25" s="1342">
        <v>0</v>
      </c>
      <c r="Y25" s="1342">
        <v>0</v>
      </c>
      <c r="Z25" s="1342">
        <v>0</v>
      </c>
      <c r="AA25" s="1342">
        <v>0</v>
      </c>
      <c r="AB25" s="1342">
        <v>0</v>
      </c>
      <c r="AC25" s="1342">
        <v>0</v>
      </c>
      <c r="AD25" s="1342">
        <v>0</v>
      </c>
      <c r="AE25" s="1342">
        <v>0</v>
      </c>
      <c r="AF25" s="1342">
        <v>0</v>
      </c>
      <c r="AG25" s="1342">
        <v>0</v>
      </c>
      <c r="AH25" s="1342">
        <v>0</v>
      </c>
      <c r="AI25" s="1342">
        <v>0</v>
      </c>
      <c r="AJ25" s="1342">
        <v>0</v>
      </c>
      <c r="AK25" s="1342">
        <v>0</v>
      </c>
      <c r="AL25" s="1342"/>
      <c r="AM25" s="1342"/>
      <c r="AN25" s="1342"/>
      <c r="AO25" s="1342"/>
      <c r="AP25" s="1342"/>
      <c r="AQ25" s="1342"/>
      <c r="AR25" s="1342"/>
      <c r="AS25" s="1342"/>
      <c r="AT25" s="1342"/>
      <c r="AU25" s="1342"/>
      <c r="AV25" s="1342"/>
      <c r="AW25" s="1342"/>
      <c r="AX25" s="1342"/>
      <c r="AY25" s="1342"/>
      <c r="AZ25" s="1342"/>
      <c r="BA25" s="1342"/>
      <c r="BB25" s="1342"/>
      <c r="BC25" s="1342"/>
      <c r="BD25" s="1342"/>
      <c r="BE25" s="1342"/>
      <c r="BF25" s="1342"/>
      <c r="BG25" s="1342"/>
      <c r="BH25" s="1342"/>
      <c r="BI25" s="1342"/>
      <c r="BJ25" s="1342"/>
      <c r="BK25" s="1342"/>
      <c r="BL25" s="1342"/>
      <c r="BM25" s="1342"/>
      <c r="BN25" s="1342"/>
      <c r="BO25" s="1342"/>
      <c r="BP25" s="1342"/>
      <c r="BQ25" s="1342"/>
      <c r="BR25" s="1342"/>
      <c r="BS25" s="1342"/>
      <c r="BT25" s="1342"/>
      <c r="BU25" s="1342"/>
      <c r="BV25" s="1342"/>
      <c r="BW25" s="1342"/>
      <c r="BX25" s="1342"/>
      <c r="BY25" s="1342"/>
      <c r="BZ25" s="1342"/>
      <c r="CA25" s="1342"/>
      <c r="CB25" s="1342"/>
      <c r="CC25" s="1342"/>
      <c r="CD25" s="1342"/>
      <c r="CE25" s="1342"/>
      <c r="CF25" s="1342"/>
      <c r="CG25" s="1342"/>
      <c r="CH25" s="1342"/>
      <c r="CI25" s="1342"/>
      <c r="CK25" s="1293"/>
    </row>
    <row r="26" spans="1:89" s="1292" customFormat="1" ht="15" thickBot="1" x14ac:dyDescent="0.25">
      <c r="A26" s="1284"/>
      <c r="B26" s="1012" t="s">
        <v>451</v>
      </c>
      <c r="C26" s="1004" t="s">
        <v>452</v>
      </c>
      <c r="D26" s="1005" t="s">
        <v>86</v>
      </c>
      <c r="E26" s="1006" t="s">
        <v>236</v>
      </c>
      <c r="F26" s="1007">
        <v>2</v>
      </c>
      <c r="G26" s="532" t="e">
        <f>TBL3a_DYAABL_10_ESWESX[[#This Row],[2029-30]]-[1]!TBL3a_DYAABL_10_ESWESX[[#This Row],[2029-30]]</f>
        <v>#REF!</v>
      </c>
      <c r="H26" s="540"/>
      <c r="I26" s="540">
        <v>0</v>
      </c>
      <c r="J26" s="540">
        <v>0</v>
      </c>
      <c r="K26" s="540">
        <v>0</v>
      </c>
      <c r="L26" s="540">
        <v>0</v>
      </c>
      <c r="M26" s="1342">
        <v>0</v>
      </c>
      <c r="N26" s="1342">
        <v>0</v>
      </c>
      <c r="O26" s="1342">
        <v>0</v>
      </c>
      <c r="P26" s="1342">
        <v>0</v>
      </c>
      <c r="Q26" s="1342">
        <v>0</v>
      </c>
      <c r="R26" s="1342">
        <v>0</v>
      </c>
      <c r="S26" s="1342">
        <v>0</v>
      </c>
      <c r="T26" s="1342">
        <v>0</v>
      </c>
      <c r="U26" s="1342">
        <v>0</v>
      </c>
      <c r="V26" s="1342">
        <v>0</v>
      </c>
      <c r="W26" s="1342">
        <v>0</v>
      </c>
      <c r="X26" s="1342">
        <v>0</v>
      </c>
      <c r="Y26" s="1342">
        <v>0</v>
      </c>
      <c r="Z26" s="1342">
        <v>0</v>
      </c>
      <c r="AA26" s="1342">
        <v>0</v>
      </c>
      <c r="AB26" s="1342">
        <v>0</v>
      </c>
      <c r="AC26" s="1342">
        <v>0</v>
      </c>
      <c r="AD26" s="1342">
        <v>0</v>
      </c>
      <c r="AE26" s="1342">
        <v>0</v>
      </c>
      <c r="AF26" s="1342">
        <v>0</v>
      </c>
      <c r="AG26" s="1342">
        <v>0</v>
      </c>
      <c r="AH26" s="1342">
        <v>0</v>
      </c>
      <c r="AI26" s="1342">
        <v>0</v>
      </c>
      <c r="AJ26" s="1342">
        <v>0</v>
      </c>
      <c r="AK26" s="1342">
        <v>0</v>
      </c>
      <c r="AL26" s="1342"/>
      <c r="AM26" s="1342"/>
      <c r="AN26" s="1342"/>
      <c r="AO26" s="1342"/>
      <c r="AP26" s="1342"/>
      <c r="AQ26" s="1342"/>
      <c r="AR26" s="1342"/>
      <c r="AS26" s="1342"/>
      <c r="AT26" s="1342"/>
      <c r="AU26" s="1342"/>
      <c r="AV26" s="1342"/>
      <c r="AW26" s="1342"/>
      <c r="AX26" s="1342"/>
      <c r="AY26" s="1342"/>
      <c r="AZ26" s="1342"/>
      <c r="BA26" s="1342"/>
      <c r="BB26" s="1342"/>
      <c r="BC26" s="1342"/>
      <c r="BD26" s="1342"/>
      <c r="BE26" s="1342"/>
      <c r="BF26" s="1342"/>
      <c r="BG26" s="1342"/>
      <c r="BH26" s="1342"/>
      <c r="BI26" s="1342"/>
      <c r="BJ26" s="1342"/>
      <c r="BK26" s="1342"/>
      <c r="BL26" s="1342"/>
      <c r="BM26" s="1342"/>
      <c r="BN26" s="1342"/>
      <c r="BO26" s="1342"/>
      <c r="BP26" s="1342"/>
      <c r="BQ26" s="1342"/>
      <c r="BR26" s="1342"/>
      <c r="BS26" s="1342"/>
      <c r="BT26" s="1342"/>
      <c r="BU26" s="1342"/>
      <c r="BV26" s="1342"/>
      <c r="BW26" s="1342"/>
      <c r="BX26" s="1342"/>
      <c r="BY26" s="1342"/>
      <c r="BZ26" s="1342"/>
      <c r="CA26" s="1342"/>
      <c r="CB26" s="1342"/>
      <c r="CC26" s="1342"/>
      <c r="CD26" s="1342"/>
      <c r="CE26" s="1342"/>
      <c r="CF26" s="1342"/>
      <c r="CG26" s="1342"/>
      <c r="CH26" s="1342"/>
      <c r="CI26" s="1342"/>
      <c r="CK26" s="1293"/>
    </row>
    <row r="27" spans="1:89" s="1292" customFormat="1" ht="15" thickBot="1" x14ac:dyDescent="0.25">
      <c r="A27" s="1284"/>
      <c r="B27" s="535" t="s">
        <v>453</v>
      </c>
      <c r="C27" s="536" t="s">
        <v>454</v>
      </c>
      <c r="D27" s="537" t="s">
        <v>86</v>
      </c>
      <c r="E27" s="538" t="s">
        <v>236</v>
      </c>
      <c r="F27" s="539">
        <v>2</v>
      </c>
      <c r="G27" s="532" t="e">
        <f>TBL3a_DYAABL_10_ESWESX[[#This Row],[2029-30]]-[1]!TBL3a_DYAABL_10_ESWESX[[#This Row],[2029-30]]</f>
        <v>#REF!</v>
      </c>
      <c r="H27" s="540"/>
      <c r="I27" s="540">
        <v>1</v>
      </c>
      <c r="J27" s="540">
        <v>1</v>
      </c>
      <c r="K27" s="540">
        <v>1</v>
      </c>
      <c r="L27" s="540">
        <v>1</v>
      </c>
      <c r="M27" s="1342">
        <v>1</v>
      </c>
      <c r="N27" s="1342">
        <v>1</v>
      </c>
      <c r="O27" s="1342">
        <v>1</v>
      </c>
      <c r="P27" s="1342">
        <v>1</v>
      </c>
      <c r="Q27" s="1342">
        <v>1</v>
      </c>
      <c r="R27" s="1342">
        <v>1</v>
      </c>
      <c r="S27" s="1342">
        <v>1</v>
      </c>
      <c r="T27" s="1342">
        <v>1</v>
      </c>
      <c r="U27" s="1342">
        <v>1</v>
      </c>
      <c r="V27" s="1342">
        <v>1</v>
      </c>
      <c r="W27" s="1342">
        <v>1</v>
      </c>
      <c r="X27" s="1342">
        <v>1</v>
      </c>
      <c r="Y27" s="1342">
        <v>1</v>
      </c>
      <c r="Z27" s="1342">
        <v>1</v>
      </c>
      <c r="AA27" s="1342">
        <v>1</v>
      </c>
      <c r="AB27" s="1342">
        <v>1</v>
      </c>
      <c r="AC27" s="1342">
        <v>1</v>
      </c>
      <c r="AD27" s="1342">
        <v>1</v>
      </c>
      <c r="AE27" s="1342">
        <v>1</v>
      </c>
      <c r="AF27" s="1342">
        <v>1</v>
      </c>
      <c r="AG27" s="1342">
        <v>1</v>
      </c>
      <c r="AH27" s="1342">
        <v>1</v>
      </c>
      <c r="AI27" s="1342">
        <v>1</v>
      </c>
      <c r="AJ27" s="1342">
        <v>1</v>
      </c>
      <c r="AK27" s="1342">
        <v>1</v>
      </c>
      <c r="AL27" s="1342"/>
      <c r="AM27" s="1342"/>
      <c r="AN27" s="1342"/>
      <c r="AO27" s="1342"/>
      <c r="AP27" s="1342"/>
      <c r="AQ27" s="1342"/>
      <c r="AR27" s="1342"/>
      <c r="AS27" s="1342"/>
      <c r="AT27" s="1342"/>
      <c r="AU27" s="1342"/>
      <c r="AV27" s="1342"/>
      <c r="AW27" s="1342"/>
      <c r="AX27" s="1342"/>
      <c r="AY27" s="1342"/>
      <c r="AZ27" s="1342"/>
      <c r="BA27" s="1342"/>
      <c r="BB27" s="1342"/>
      <c r="BC27" s="1342"/>
      <c r="BD27" s="1342"/>
      <c r="BE27" s="1342"/>
      <c r="BF27" s="1342"/>
      <c r="BG27" s="1342"/>
      <c r="BH27" s="1342"/>
      <c r="BI27" s="1342"/>
      <c r="BJ27" s="1342"/>
      <c r="BK27" s="1342"/>
      <c r="BL27" s="1342"/>
      <c r="BM27" s="1342"/>
      <c r="BN27" s="1342"/>
      <c r="BO27" s="1342"/>
      <c r="BP27" s="1342"/>
      <c r="BQ27" s="1342"/>
      <c r="BR27" s="1342"/>
      <c r="BS27" s="1342"/>
      <c r="BT27" s="1342"/>
      <c r="BU27" s="1342"/>
      <c r="BV27" s="1342"/>
      <c r="BW27" s="1342"/>
      <c r="BX27" s="1342"/>
      <c r="BY27" s="1342"/>
      <c r="BZ27" s="1342"/>
      <c r="CA27" s="1342"/>
      <c r="CB27" s="1342"/>
      <c r="CC27" s="1342"/>
      <c r="CD27" s="1342"/>
      <c r="CE27" s="1342"/>
      <c r="CF27" s="1342"/>
      <c r="CG27" s="1342"/>
      <c r="CH27" s="1342"/>
      <c r="CI27" s="1342"/>
      <c r="CK27" s="1293"/>
    </row>
    <row r="28" spans="1:89" s="1292" customFormat="1" ht="15" thickBot="1" x14ac:dyDescent="0.25">
      <c r="A28" s="1284"/>
      <c r="B28" s="543" t="s">
        <v>455</v>
      </c>
      <c r="C28" s="536" t="s">
        <v>456</v>
      </c>
      <c r="D28" s="537" t="s">
        <v>86</v>
      </c>
      <c r="E28" s="538" t="s">
        <v>236</v>
      </c>
      <c r="F28" s="539">
        <v>2</v>
      </c>
      <c r="G28" s="532" t="e">
        <f>TBL3a_DYAABL_10_ESWESX[[#This Row],[2029-30]]-[1]!TBL3a_DYAABL_10_ESWESX[[#This Row],[2029-30]]</f>
        <v>#REF!</v>
      </c>
      <c r="H28" s="540"/>
      <c r="I28" s="540">
        <v>-20</v>
      </c>
      <c r="J28" s="540">
        <v>-20</v>
      </c>
      <c r="K28" s="540">
        <v>-20</v>
      </c>
      <c r="L28" s="540">
        <v>-20</v>
      </c>
      <c r="M28" s="1516">
        <v>-20</v>
      </c>
      <c r="N28" s="1516">
        <v>-20</v>
      </c>
      <c r="O28" s="1516">
        <v>-20</v>
      </c>
      <c r="P28" s="1516">
        <v>-20</v>
      </c>
      <c r="Q28" s="1516">
        <v>-20</v>
      </c>
      <c r="R28" s="1516">
        <v>-20</v>
      </c>
      <c r="S28" s="1516">
        <v>-20</v>
      </c>
      <c r="T28" s="1516">
        <v>-20</v>
      </c>
      <c r="U28" s="1516">
        <v>-20</v>
      </c>
      <c r="V28" s="1516">
        <v>-20</v>
      </c>
      <c r="W28" s="1342">
        <v>0</v>
      </c>
      <c r="X28" s="1342">
        <v>0</v>
      </c>
      <c r="Y28" s="1342">
        <v>0</v>
      </c>
      <c r="Z28" s="1342">
        <v>0</v>
      </c>
      <c r="AA28" s="1342">
        <v>0</v>
      </c>
      <c r="AB28" s="1342">
        <v>0</v>
      </c>
      <c r="AC28" s="1342">
        <v>0</v>
      </c>
      <c r="AD28" s="1342">
        <v>0</v>
      </c>
      <c r="AE28" s="1342">
        <v>0</v>
      </c>
      <c r="AF28" s="1342">
        <v>0</v>
      </c>
      <c r="AG28" s="1342">
        <v>0</v>
      </c>
      <c r="AH28" s="1342">
        <v>0</v>
      </c>
      <c r="AI28" s="1342">
        <v>0</v>
      </c>
      <c r="AJ28" s="1342">
        <v>0</v>
      </c>
      <c r="AK28" s="1342">
        <v>0</v>
      </c>
      <c r="AL28" s="1342"/>
      <c r="AM28" s="1342"/>
      <c r="AN28" s="1342"/>
      <c r="AO28" s="1342"/>
      <c r="AP28" s="1342"/>
      <c r="AQ28" s="1342"/>
      <c r="AR28" s="1342"/>
      <c r="AS28" s="1342"/>
      <c r="AT28" s="1342"/>
      <c r="AU28" s="1342"/>
      <c r="AV28" s="1342"/>
      <c r="AW28" s="1342"/>
      <c r="AX28" s="1342"/>
      <c r="AY28" s="1342"/>
      <c r="AZ28" s="1342"/>
      <c r="BA28" s="1342"/>
      <c r="BB28" s="1342"/>
      <c r="BC28" s="1342"/>
      <c r="BD28" s="1342"/>
      <c r="BE28" s="1342"/>
      <c r="BF28" s="1342"/>
      <c r="BG28" s="1342"/>
      <c r="BH28" s="1342"/>
      <c r="BI28" s="1342"/>
      <c r="BJ28" s="1342"/>
      <c r="BK28" s="1342"/>
      <c r="BL28" s="1342"/>
      <c r="BM28" s="1342"/>
      <c r="BN28" s="1342"/>
      <c r="BO28" s="1342"/>
      <c r="BP28" s="1342"/>
      <c r="BQ28" s="1342"/>
      <c r="BR28" s="1342"/>
      <c r="BS28" s="1342"/>
      <c r="BT28" s="1342"/>
      <c r="BU28" s="1342"/>
      <c r="BV28" s="1342"/>
      <c r="BW28" s="1342"/>
      <c r="BX28" s="1342"/>
      <c r="BY28" s="1342"/>
      <c r="BZ28" s="1342"/>
      <c r="CA28" s="1342"/>
      <c r="CB28" s="1342"/>
      <c r="CC28" s="1342"/>
      <c r="CD28" s="1342"/>
      <c r="CE28" s="1342"/>
      <c r="CF28" s="1342"/>
      <c r="CG28" s="1342"/>
      <c r="CH28" s="1342"/>
      <c r="CI28" s="1342"/>
      <c r="CK28" s="1293"/>
    </row>
    <row r="29" spans="1:89" s="1292" customFormat="1" ht="15" thickBot="1" x14ac:dyDescent="0.25">
      <c r="A29" s="1284"/>
      <c r="B29" s="543" t="s">
        <v>457</v>
      </c>
      <c r="C29" s="536" t="s">
        <v>458</v>
      </c>
      <c r="D29" s="537" t="s">
        <v>86</v>
      </c>
      <c r="E29" s="538" t="s">
        <v>236</v>
      </c>
      <c r="F29" s="539">
        <v>2</v>
      </c>
      <c r="G29" s="532" t="e">
        <f>TBL3a_DYAABL_10_ESWESX[[#This Row],[2029-30]]-[1]!TBL3a_DYAABL_10_ESWESX[[#This Row],[2029-30]]</f>
        <v>#REF!</v>
      </c>
      <c r="H29" s="540"/>
      <c r="I29" s="540">
        <v>-9.9277513698630138</v>
      </c>
      <c r="J29" s="540">
        <v>-9.9277513698630138</v>
      </c>
      <c r="K29" s="540">
        <v>-9.9277513698630138</v>
      </c>
      <c r="L29" s="540">
        <v>-10.265762945306534</v>
      </c>
      <c r="M29" s="1342">
        <v>-10.601914887572452</v>
      </c>
      <c r="N29" s="1692">
        <v>-10.922259947828771</v>
      </c>
      <c r="O29" s="1516">
        <v>-12.752832990561892</v>
      </c>
      <c r="P29" s="1516">
        <v>-13.084103395736612</v>
      </c>
      <c r="Q29" s="1516">
        <v>-13.413979076028131</v>
      </c>
      <c r="R29" s="1516">
        <v>-13.743389848025252</v>
      </c>
      <c r="S29" s="1516">
        <v>-14.074195344905572</v>
      </c>
      <c r="T29" s="1342">
        <v>-14.402908754461091</v>
      </c>
      <c r="U29" s="1342">
        <v>-14.733481797194212</v>
      </c>
      <c r="V29" s="1342">
        <v>-13.233481797194212</v>
      </c>
      <c r="W29" s="1342">
        <v>-13.231157255722213</v>
      </c>
      <c r="X29" s="1342">
        <v>-13.231157255722213</v>
      </c>
      <c r="Y29" s="1342">
        <v>-13.231157255722213</v>
      </c>
      <c r="Z29" s="1342">
        <v>-13.231157255722213</v>
      </c>
      <c r="AA29" s="1342">
        <v>-13.231157255722213</v>
      </c>
      <c r="AB29" s="1342">
        <v>-13.22883271425021</v>
      </c>
      <c r="AC29" s="1342">
        <v>-13.22883271425021</v>
      </c>
      <c r="AD29" s="1342">
        <v>-13.22883271425021</v>
      </c>
      <c r="AE29" s="1342">
        <v>-13.22883271425021</v>
      </c>
      <c r="AF29" s="1342">
        <v>-13.22883271425021</v>
      </c>
      <c r="AG29" s="1342">
        <v>-13.22883271425021</v>
      </c>
      <c r="AH29" s="1342">
        <v>-13.22883271425021</v>
      </c>
      <c r="AI29" s="1342">
        <v>-13.22650817277821</v>
      </c>
      <c r="AJ29" s="1342">
        <v>-13.22650817277821</v>
      </c>
      <c r="AK29" s="1342">
        <v>-13.22650817277821</v>
      </c>
      <c r="AL29" s="1342"/>
      <c r="AM29" s="1342"/>
      <c r="AN29" s="1342"/>
      <c r="AO29" s="1342"/>
      <c r="AP29" s="1342"/>
      <c r="AQ29" s="1342"/>
      <c r="AR29" s="1342"/>
      <c r="AS29" s="1342"/>
      <c r="AT29" s="1342"/>
      <c r="AU29" s="1342"/>
      <c r="AV29" s="1342"/>
      <c r="AW29" s="1342"/>
      <c r="AX29" s="1342"/>
      <c r="AY29" s="1342"/>
      <c r="AZ29" s="1342"/>
      <c r="BA29" s="1342"/>
      <c r="BB29" s="1342"/>
      <c r="BC29" s="1342"/>
      <c r="BD29" s="1342"/>
      <c r="BE29" s="1342"/>
      <c r="BF29" s="1342"/>
      <c r="BG29" s="1342"/>
      <c r="BH29" s="1342"/>
      <c r="BI29" s="1342"/>
      <c r="BJ29" s="1342"/>
      <c r="BK29" s="1342"/>
      <c r="BL29" s="1342"/>
      <c r="BM29" s="1342"/>
      <c r="BN29" s="1342"/>
      <c r="BO29" s="1342"/>
      <c r="BP29" s="1342"/>
      <c r="BQ29" s="1342"/>
      <c r="BR29" s="1342"/>
      <c r="BS29" s="1342"/>
      <c r="BT29" s="1342"/>
      <c r="BU29" s="1342"/>
      <c r="BV29" s="1342"/>
      <c r="BW29" s="1342"/>
      <c r="BX29" s="1342"/>
      <c r="BY29" s="1342"/>
      <c r="BZ29" s="1342"/>
      <c r="CA29" s="1342"/>
      <c r="CB29" s="1342"/>
      <c r="CC29" s="1342"/>
      <c r="CD29" s="1342"/>
      <c r="CE29" s="1342"/>
      <c r="CF29" s="1342"/>
      <c r="CG29" s="1342"/>
      <c r="CH29" s="1342"/>
      <c r="CI29" s="1342"/>
      <c r="CK29" s="1293"/>
    </row>
    <row r="30" spans="1:89" s="1292" customFormat="1" ht="15" thickBot="1" x14ac:dyDescent="0.25">
      <c r="A30" s="1284"/>
      <c r="B30" s="543" t="s">
        <v>459</v>
      </c>
      <c r="C30" s="536" t="s">
        <v>460</v>
      </c>
      <c r="D30" s="537" t="s">
        <v>86</v>
      </c>
      <c r="E30" s="538" t="s">
        <v>236</v>
      </c>
      <c r="F30" s="539">
        <v>2</v>
      </c>
      <c r="G30" s="532" t="e">
        <f>TBL3a_DYAABL_10_ESWESX[[#This Row],[2029-30]]-[1]!TBL3a_DYAABL_10_ESWESX[[#This Row],[2029-30]]</f>
        <v>#REF!</v>
      </c>
      <c r="H30" s="540"/>
      <c r="I30" s="540">
        <v>428</v>
      </c>
      <c r="J30" s="540">
        <v>428</v>
      </c>
      <c r="K30" s="540">
        <v>428</v>
      </c>
      <c r="L30" s="540">
        <v>428</v>
      </c>
      <c r="M30" s="1342">
        <v>428</v>
      </c>
      <c r="N30" s="1342">
        <v>428</v>
      </c>
      <c r="O30" s="1342">
        <v>428</v>
      </c>
      <c r="P30" s="1342">
        <v>428</v>
      </c>
      <c r="Q30" s="1342">
        <v>428</v>
      </c>
      <c r="R30" s="1342">
        <v>428</v>
      </c>
      <c r="S30" s="1342">
        <v>428</v>
      </c>
      <c r="T30" s="1342">
        <v>428</v>
      </c>
      <c r="U30" s="1342">
        <v>428</v>
      </c>
      <c r="V30" s="1342">
        <v>428</v>
      </c>
      <c r="W30" s="1342">
        <v>428</v>
      </c>
      <c r="X30" s="1342">
        <v>428</v>
      </c>
      <c r="Y30" s="1342">
        <v>428</v>
      </c>
      <c r="Z30" s="1342">
        <v>428</v>
      </c>
      <c r="AA30" s="1342">
        <v>428</v>
      </c>
      <c r="AB30" s="1342">
        <v>428</v>
      </c>
      <c r="AC30" s="1342">
        <v>428</v>
      </c>
      <c r="AD30" s="1342">
        <v>428</v>
      </c>
      <c r="AE30" s="1342">
        <v>428</v>
      </c>
      <c r="AF30" s="1342">
        <v>428</v>
      </c>
      <c r="AG30" s="1342">
        <v>428</v>
      </c>
      <c r="AH30" s="1342">
        <v>428</v>
      </c>
      <c r="AI30" s="1342">
        <v>428</v>
      </c>
      <c r="AJ30" s="1342">
        <v>428</v>
      </c>
      <c r="AK30" s="1342">
        <v>428</v>
      </c>
      <c r="AL30" s="1342"/>
      <c r="AM30" s="1342"/>
      <c r="AN30" s="1342"/>
      <c r="AO30" s="1342"/>
      <c r="AP30" s="1342"/>
      <c r="AQ30" s="1342"/>
      <c r="AR30" s="1342"/>
      <c r="AS30" s="1342"/>
      <c r="AT30" s="1342"/>
      <c r="AU30" s="1342"/>
      <c r="AV30" s="1342"/>
      <c r="AW30" s="1342"/>
      <c r="AX30" s="1342"/>
      <c r="AY30" s="1342"/>
      <c r="AZ30" s="1342"/>
      <c r="BA30" s="1342"/>
      <c r="BB30" s="1342"/>
      <c r="BC30" s="1342"/>
      <c r="BD30" s="1342"/>
      <c r="BE30" s="1342"/>
      <c r="BF30" s="1342"/>
      <c r="BG30" s="1342"/>
      <c r="BH30" s="1342"/>
      <c r="BI30" s="1342"/>
      <c r="BJ30" s="1342"/>
      <c r="BK30" s="1342"/>
      <c r="BL30" s="1342"/>
      <c r="BM30" s="1342"/>
      <c r="BN30" s="1342"/>
      <c r="BO30" s="1342"/>
      <c r="BP30" s="1342"/>
      <c r="BQ30" s="1342"/>
      <c r="BR30" s="1342"/>
      <c r="BS30" s="1342"/>
      <c r="BT30" s="1342"/>
      <c r="BU30" s="1342"/>
      <c r="BV30" s="1342"/>
      <c r="BW30" s="1342"/>
      <c r="BX30" s="1342"/>
      <c r="BY30" s="1342"/>
      <c r="BZ30" s="1342"/>
      <c r="CA30" s="1342"/>
      <c r="CB30" s="1342"/>
      <c r="CC30" s="1342"/>
      <c r="CD30" s="1342"/>
      <c r="CE30" s="1342"/>
      <c r="CF30" s="1342"/>
      <c r="CG30" s="1342"/>
      <c r="CH30" s="1342"/>
      <c r="CI30" s="1342"/>
      <c r="CK30" s="1293"/>
    </row>
    <row r="31" spans="1:89" s="1292" customFormat="1" ht="15" thickBot="1" x14ac:dyDescent="0.25">
      <c r="A31" s="1284"/>
      <c r="B31" s="543" t="s">
        <v>461</v>
      </c>
      <c r="C31" s="546" t="s">
        <v>462</v>
      </c>
      <c r="D31" s="537" t="s">
        <v>463</v>
      </c>
      <c r="E31" s="538" t="s">
        <v>236</v>
      </c>
      <c r="F31" s="539">
        <v>2</v>
      </c>
      <c r="G31" s="532" t="e">
        <f>TBL3a_DYAABL_10_ESWESX[[#This Row],[2029-30]]-[1]!TBL3a_DYAABL_10_ESWESX[[#This Row],[2029-30]]</f>
        <v>#REF!</v>
      </c>
      <c r="H31" s="547">
        <f t="shared" ref="H31:AK31" si="0">H30+H32</f>
        <v>0</v>
      </c>
      <c r="I31" s="547">
        <f>I30+I32</f>
        <v>413.50597188</v>
      </c>
      <c r="J31" s="547">
        <f t="shared" si="0"/>
        <v>412.95100373999998</v>
      </c>
      <c r="K31" s="547">
        <f t="shared" si="0"/>
        <v>412.39284358999998</v>
      </c>
      <c r="L31" s="547">
        <f>L30+L32</f>
        <v>411.83157066000001</v>
      </c>
      <c r="M31" s="547">
        <f t="shared" si="0"/>
        <v>411.26725991000001</v>
      </c>
      <c r="N31" s="547">
        <f t="shared" si="0"/>
        <v>410.69998242000003</v>
      </c>
      <c r="O31" s="547">
        <f t="shared" si="0"/>
        <v>410.12980567</v>
      </c>
      <c r="P31" s="547">
        <f t="shared" si="0"/>
        <v>409.55679382</v>
      </c>
      <c r="Q31" s="547">
        <f t="shared" si="0"/>
        <v>408.98100793999998</v>
      </c>
      <c r="R31" s="547">
        <f t="shared" si="0"/>
        <v>403.40250624999999</v>
      </c>
      <c r="S31" s="547">
        <f t="shared" si="0"/>
        <v>402.82134435</v>
      </c>
      <c r="T31" s="547">
        <f t="shared" si="0"/>
        <v>402.23757532000002</v>
      </c>
      <c r="U31" s="547">
        <f t="shared" si="0"/>
        <v>401.65124997999999</v>
      </c>
      <c r="V31" s="547">
        <f t="shared" si="0"/>
        <v>401.06241698000002</v>
      </c>
      <c r="W31" s="547">
        <f t="shared" si="0"/>
        <v>400.47112294999999</v>
      </c>
      <c r="X31" s="547">
        <f t="shared" si="0"/>
        <v>399.87741266</v>
      </c>
      <c r="Y31" s="547">
        <f t="shared" si="0"/>
        <v>399.28132907999998</v>
      </c>
      <c r="Z31" s="547">
        <f t="shared" si="0"/>
        <v>398.68291352</v>
      </c>
      <c r="AA31" s="547">
        <f t="shared" si="0"/>
        <v>398.08220575000001</v>
      </c>
      <c r="AB31" s="547">
        <f t="shared" si="0"/>
        <v>395.47924402000001</v>
      </c>
      <c r="AC31" s="547">
        <f t="shared" si="0"/>
        <v>394.87406522999999</v>
      </c>
      <c r="AD31" s="547">
        <f t="shared" si="0"/>
        <v>394.26670493</v>
      </c>
      <c r="AE31" s="547">
        <f t="shared" si="0"/>
        <v>393.65719744</v>
      </c>
      <c r="AF31" s="547">
        <f t="shared" si="0"/>
        <v>393.04557590000002</v>
      </c>
      <c r="AG31" s="547">
        <f t="shared" si="0"/>
        <v>392.43187233999998</v>
      </c>
      <c r="AH31" s="547">
        <f t="shared" si="0"/>
        <v>391.81611772000002</v>
      </c>
      <c r="AI31" s="547">
        <f t="shared" si="0"/>
        <v>391.19834200000003</v>
      </c>
      <c r="AJ31" s="547">
        <f t="shared" si="0"/>
        <v>390.57857417000002</v>
      </c>
      <c r="AK31" s="547">
        <f t="shared" si="0"/>
        <v>389.95684233999998</v>
      </c>
      <c r="AL31" s="547"/>
      <c r="AM31" s="547"/>
      <c r="AN31" s="547"/>
      <c r="AO31" s="547"/>
      <c r="AP31" s="547"/>
      <c r="AQ31" s="547"/>
      <c r="AR31" s="547"/>
      <c r="AS31" s="547"/>
      <c r="AT31" s="547"/>
      <c r="AU31" s="547"/>
      <c r="AV31" s="547"/>
      <c r="AW31" s="547"/>
      <c r="AX31" s="547"/>
      <c r="AY31" s="547"/>
      <c r="AZ31" s="547"/>
      <c r="BA31" s="547"/>
      <c r="BB31" s="547"/>
      <c r="BC31" s="547"/>
      <c r="BD31" s="547"/>
      <c r="BE31" s="547"/>
      <c r="BF31" s="547"/>
      <c r="BG31" s="547"/>
      <c r="BH31" s="547"/>
      <c r="BI31" s="547"/>
      <c r="BJ31" s="547"/>
      <c r="BK31" s="547"/>
      <c r="BL31" s="547"/>
      <c r="BM31" s="547"/>
      <c r="BN31" s="547"/>
      <c r="BO31" s="547"/>
      <c r="BP31" s="547"/>
      <c r="BQ31" s="547"/>
      <c r="BR31" s="547"/>
      <c r="BS31" s="547"/>
      <c r="BT31" s="547"/>
      <c r="BU31" s="547"/>
      <c r="BV31" s="547"/>
      <c r="BW31" s="547"/>
      <c r="BX31" s="547"/>
      <c r="BY31" s="547"/>
      <c r="BZ31" s="547"/>
      <c r="CA31" s="547"/>
      <c r="CB31" s="547"/>
      <c r="CC31" s="547"/>
      <c r="CD31" s="547"/>
      <c r="CE31" s="547"/>
      <c r="CF31" s="547"/>
      <c r="CG31" s="547"/>
      <c r="CH31" s="547"/>
      <c r="CI31" s="548"/>
      <c r="CK31" s="1293"/>
    </row>
    <row r="32" spans="1:89" s="1292" customFormat="1" ht="29.25" thickBot="1" x14ac:dyDescent="0.25">
      <c r="A32" s="1284"/>
      <c r="B32" s="549" t="s">
        <v>464</v>
      </c>
      <c r="C32" s="550" t="s">
        <v>465</v>
      </c>
      <c r="D32" s="550" t="s">
        <v>466</v>
      </c>
      <c r="E32" s="551" t="s">
        <v>236</v>
      </c>
      <c r="F32" s="539">
        <v>2</v>
      </c>
      <c r="G32" s="532" t="e">
        <f>TBL3a_DYAABL_10_ESWESX[[#This Row],[2029-30]]-[1]!TBL3a_DYAABL_10_ESWESX[[#This Row],[2029-30]]</f>
        <v>#REF!</v>
      </c>
      <c r="H32" s="547">
        <f t="shared" ref="H32:AK32" si="1">SUM(H33:H38)</f>
        <v>0</v>
      </c>
      <c r="I32" s="547">
        <f t="shared" si="1"/>
        <v>-14.494028119999999</v>
      </c>
      <c r="J32" s="547">
        <f t="shared" si="1"/>
        <v>-15.048996259999999</v>
      </c>
      <c r="K32" s="547">
        <f t="shared" si="1"/>
        <v>-15.60715641</v>
      </c>
      <c r="L32" s="547">
        <f t="shared" si="1"/>
        <v>-16.168429339999999</v>
      </c>
      <c r="M32" s="552">
        <f t="shared" si="1"/>
        <v>-16.73274009</v>
      </c>
      <c r="N32" s="552">
        <f t="shared" si="1"/>
        <v>-17.300017579999999</v>
      </c>
      <c r="O32" s="552">
        <f t="shared" si="1"/>
        <v>-17.87019433</v>
      </c>
      <c r="P32" s="552">
        <f t="shared" si="1"/>
        <v>-18.443206180000001</v>
      </c>
      <c r="Q32" s="552">
        <f t="shared" si="1"/>
        <v>-19.018992059999999</v>
      </c>
      <c r="R32" s="552">
        <f t="shared" si="1"/>
        <v>-24.597493750000002</v>
      </c>
      <c r="S32" s="552">
        <f t="shared" si="1"/>
        <v>-25.17865565</v>
      </c>
      <c r="T32" s="552">
        <f t="shared" si="1"/>
        <v>-25.762424679999999</v>
      </c>
      <c r="U32" s="552">
        <f t="shared" si="1"/>
        <v>-26.348750020000001</v>
      </c>
      <c r="V32" s="552">
        <f t="shared" si="1"/>
        <v>-26.937583020000002</v>
      </c>
      <c r="W32" s="552">
        <f t="shared" si="1"/>
        <v>-27.528877049999998</v>
      </c>
      <c r="X32" s="552">
        <f t="shared" si="1"/>
        <v>-28.122587339999999</v>
      </c>
      <c r="Y32" s="552">
        <f t="shared" si="1"/>
        <v>-28.718670920000001</v>
      </c>
      <c r="Z32" s="552">
        <f t="shared" si="1"/>
        <v>-29.31708648</v>
      </c>
      <c r="AA32" s="552">
        <f t="shared" si="1"/>
        <v>-29.91779425</v>
      </c>
      <c r="AB32" s="552">
        <f t="shared" si="1"/>
        <v>-32.520755980000004</v>
      </c>
      <c r="AC32" s="552">
        <f t="shared" si="1"/>
        <v>-33.125934770000001</v>
      </c>
      <c r="AD32" s="552">
        <f t="shared" si="1"/>
        <v>-33.733295069999997</v>
      </c>
      <c r="AE32" s="552">
        <f t="shared" si="1"/>
        <v>-34.342802559999996</v>
      </c>
      <c r="AF32" s="552">
        <f t="shared" si="1"/>
        <v>-34.954424099999997</v>
      </c>
      <c r="AG32" s="552">
        <f t="shared" si="1"/>
        <v>-35.568127660000002</v>
      </c>
      <c r="AH32" s="552">
        <f t="shared" si="1"/>
        <v>-36.183882279999999</v>
      </c>
      <c r="AI32" s="552">
        <f t="shared" si="1"/>
        <v>-36.801658000000003</v>
      </c>
      <c r="AJ32" s="552">
        <f t="shared" si="1"/>
        <v>-37.421425830000004</v>
      </c>
      <c r="AK32" s="552">
        <f t="shared" si="1"/>
        <v>-38.043157659999999</v>
      </c>
      <c r="AL32" s="552"/>
      <c r="AM32" s="552"/>
      <c r="AN32" s="552"/>
      <c r="AO32" s="552"/>
      <c r="AP32" s="552"/>
      <c r="AQ32" s="552"/>
      <c r="AR32" s="552"/>
      <c r="AS32" s="552"/>
      <c r="AT32" s="552"/>
      <c r="AU32" s="552"/>
      <c r="AV32" s="552"/>
      <c r="AW32" s="552"/>
      <c r="AX32" s="552"/>
      <c r="AY32" s="552"/>
      <c r="AZ32" s="552"/>
      <c r="BA32" s="552"/>
      <c r="BB32" s="552"/>
      <c r="BC32" s="552"/>
      <c r="BD32" s="552"/>
      <c r="BE32" s="552"/>
      <c r="BF32" s="552"/>
      <c r="BG32" s="552"/>
      <c r="BH32" s="552"/>
      <c r="BI32" s="552"/>
      <c r="BJ32" s="552"/>
      <c r="BK32" s="552"/>
      <c r="BL32" s="552"/>
      <c r="BM32" s="552"/>
      <c r="BN32" s="552"/>
      <c r="BO32" s="552"/>
      <c r="BP32" s="552"/>
      <c r="BQ32" s="552"/>
      <c r="BR32" s="552"/>
      <c r="BS32" s="552"/>
      <c r="BT32" s="552"/>
      <c r="BU32" s="552"/>
      <c r="BV32" s="552"/>
      <c r="BW32" s="552"/>
      <c r="BX32" s="552"/>
      <c r="BY32" s="552"/>
      <c r="BZ32" s="552"/>
      <c r="CA32" s="552"/>
      <c r="CB32" s="552"/>
      <c r="CC32" s="552"/>
      <c r="CD32" s="552"/>
      <c r="CE32" s="552"/>
      <c r="CF32" s="552"/>
      <c r="CG32" s="552"/>
      <c r="CH32" s="552"/>
      <c r="CI32" s="548"/>
      <c r="CK32" s="1293"/>
    </row>
    <row r="33" spans="1:89" s="1292" customFormat="1" ht="36.200000000000003" customHeight="1" thickBot="1" x14ac:dyDescent="0.25">
      <c r="A33" s="1284"/>
      <c r="B33" s="543" t="s">
        <v>467</v>
      </c>
      <c r="C33" s="546" t="s">
        <v>468</v>
      </c>
      <c r="D33" s="537" t="s">
        <v>86</v>
      </c>
      <c r="E33" s="538" t="s">
        <v>236</v>
      </c>
      <c r="F33" s="539">
        <v>2</v>
      </c>
      <c r="G33" s="532" t="e">
        <f>TBL3a_DYAABL_10_ESWESX[[#This Row],[2029-30]]-[1]!TBL3a_DYAABL_10_ESWESX[[#This Row],[2029-30]]</f>
        <v>#REF!</v>
      </c>
      <c r="H33" s="540"/>
      <c r="I33" s="540">
        <v>-14.494028119999999</v>
      </c>
      <c r="J33" s="540">
        <v>-15.048996259999999</v>
      </c>
      <c r="K33" s="540">
        <v>-15.60715641</v>
      </c>
      <c r="L33" s="540">
        <v>-16.168429339999999</v>
      </c>
      <c r="M33" s="541">
        <v>-16.73274009</v>
      </c>
      <c r="N33" s="541">
        <v>-17.300017579999999</v>
      </c>
      <c r="O33" s="541">
        <v>-17.87019433</v>
      </c>
      <c r="P33" s="541">
        <v>-18.443206180000001</v>
      </c>
      <c r="Q33" s="541">
        <v>-19.018992059999999</v>
      </c>
      <c r="R33" s="541">
        <v>-19.597493750000002</v>
      </c>
      <c r="S33" s="541">
        <v>-20.17865565</v>
      </c>
      <c r="T33" s="541">
        <v>-20.762424679999999</v>
      </c>
      <c r="U33" s="541">
        <v>-21.348750020000001</v>
      </c>
      <c r="V33" s="541">
        <v>-21.937583020000002</v>
      </c>
      <c r="W33" s="541">
        <v>-22.528877049999998</v>
      </c>
      <c r="X33" s="541">
        <v>-23.122587339999999</v>
      </c>
      <c r="Y33" s="541">
        <v>-23.718670920000001</v>
      </c>
      <c r="Z33" s="541">
        <v>-24.31708648</v>
      </c>
      <c r="AA33" s="541">
        <v>-24.91779425</v>
      </c>
      <c r="AB33" s="541">
        <v>-25.520755980000001</v>
      </c>
      <c r="AC33" s="541">
        <v>-26.125934770000001</v>
      </c>
      <c r="AD33" s="541">
        <v>-26.73329507</v>
      </c>
      <c r="AE33" s="541">
        <v>-27.342802559999999</v>
      </c>
      <c r="AF33" s="541">
        <v>-27.954424100000001</v>
      </c>
      <c r="AG33" s="541">
        <v>-28.568127659999998</v>
      </c>
      <c r="AH33" s="541">
        <v>-29.183882279999999</v>
      </c>
      <c r="AI33" s="541">
        <v>-29.801658</v>
      </c>
      <c r="AJ33" s="541">
        <v>-30.42142583</v>
      </c>
      <c r="AK33" s="541">
        <v>-31.043157659999999</v>
      </c>
      <c r="AL33" s="541"/>
      <c r="AM33" s="541"/>
      <c r="AN33" s="541"/>
      <c r="AO33" s="541"/>
      <c r="AP33" s="541"/>
      <c r="AQ33" s="541"/>
      <c r="AR33" s="541"/>
      <c r="AS33" s="541"/>
      <c r="AT33" s="541"/>
      <c r="AU33" s="541"/>
      <c r="AV33" s="541"/>
      <c r="AW33" s="541"/>
      <c r="AX33" s="541"/>
      <c r="AY33" s="541"/>
      <c r="AZ33" s="541"/>
      <c r="BA33" s="541"/>
      <c r="BB33" s="541"/>
      <c r="BC33" s="541"/>
      <c r="BD33" s="541"/>
      <c r="BE33" s="541"/>
      <c r="BF33" s="541"/>
      <c r="BG33" s="541"/>
      <c r="BH33" s="541"/>
      <c r="BI33" s="541"/>
      <c r="BJ33" s="541"/>
      <c r="BK33" s="541"/>
      <c r="BL33" s="541"/>
      <c r="BM33" s="541"/>
      <c r="BN33" s="541"/>
      <c r="BO33" s="541"/>
      <c r="BP33" s="541"/>
      <c r="BQ33" s="541"/>
      <c r="BR33" s="541"/>
      <c r="BS33" s="541"/>
      <c r="BT33" s="541"/>
      <c r="BU33" s="541"/>
      <c r="BV33" s="541"/>
      <c r="BW33" s="541"/>
      <c r="BX33" s="541"/>
      <c r="BY33" s="541"/>
      <c r="BZ33" s="541"/>
      <c r="CA33" s="541"/>
      <c r="CB33" s="541"/>
      <c r="CC33" s="541"/>
      <c r="CD33" s="541"/>
      <c r="CE33" s="541"/>
      <c r="CF33" s="541"/>
      <c r="CG33" s="541"/>
      <c r="CH33" s="541"/>
      <c r="CI33" s="541"/>
      <c r="CK33" s="1293"/>
    </row>
    <row r="34" spans="1:89" s="1292" customFormat="1" ht="29.25" thickBot="1" x14ac:dyDescent="0.25">
      <c r="A34" s="1284"/>
      <c r="B34" s="543" t="s">
        <v>469</v>
      </c>
      <c r="C34" s="546" t="s">
        <v>470</v>
      </c>
      <c r="D34" s="537" t="s">
        <v>86</v>
      </c>
      <c r="E34" s="538" t="s">
        <v>236</v>
      </c>
      <c r="F34" s="539">
        <v>2</v>
      </c>
      <c r="G34" s="532" t="e">
        <f>TBL3a_DYAABL_10_ESWESX[[#This Row],[2029-30]]-[1]!TBL3a_DYAABL_10_ESWESX[[#This Row],[2029-30]]</f>
        <v>#REF!</v>
      </c>
      <c r="H34" s="540"/>
      <c r="I34" s="540">
        <v>0</v>
      </c>
      <c r="J34" s="540">
        <v>0</v>
      </c>
      <c r="K34" s="540">
        <v>0</v>
      </c>
      <c r="L34" s="540">
        <v>0</v>
      </c>
      <c r="M34" s="541">
        <v>0</v>
      </c>
      <c r="N34" s="541">
        <v>0</v>
      </c>
      <c r="O34" s="541">
        <v>0</v>
      </c>
      <c r="P34" s="541">
        <v>0</v>
      </c>
      <c r="Q34" s="541">
        <v>0</v>
      </c>
      <c r="R34" s="1526">
        <v>-5</v>
      </c>
      <c r="S34" s="541">
        <v>-5</v>
      </c>
      <c r="T34" s="541">
        <v>-5</v>
      </c>
      <c r="U34" s="541">
        <v>-5</v>
      </c>
      <c r="V34" s="541">
        <v>-5</v>
      </c>
      <c r="W34" s="541">
        <v>-5</v>
      </c>
      <c r="X34" s="541">
        <v>-5</v>
      </c>
      <c r="Y34" s="541">
        <v>-5</v>
      </c>
      <c r="Z34" s="541">
        <v>-5</v>
      </c>
      <c r="AA34" s="541">
        <v>-5</v>
      </c>
      <c r="AB34" s="541">
        <v>-5</v>
      </c>
      <c r="AC34" s="541">
        <v>-5</v>
      </c>
      <c r="AD34" s="541">
        <v>-5</v>
      </c>
      <c r="AE34" s="541">
        <v>-5</v>
      </c>
      <c r="AF34" s="541">
        <v>-5</v>
      </c>
      <c r="AG34" s="541">
        <v>-5</v>
      </c>
      <c r="AH34" s="541">
        <v>-5</v>
      </c>
      <c r="AI34" s="541">
        <v>-5</v>
      </c>
      <c r="AJ34" s="541">
        <v>-5</v>
      </c>
      <c r="AK34" s="541">
        <v>-5</v>
      </c>
      <c r="AL34" s="541"/>
      <c r="AM34" s="541"/>
      <c r="AN34" s="541"/>
      <c r="AO34" s="541"/>
      <c r="AP34" s="541"/>
      <c r="AQ34" s="541"/>
      <c r="AR34" s="541"/>
      <c r="AS34" s="541"/>
      <c r="AT34" s="541"/>
      <c r="AU34" s="541"/>
      <c r="AV34" s="541"/>
      <c r="AW34" s="541"/>
      <c r="AX34" s="541"/>
      <c r="AY34" s="541"/>
      <c r="AZ34" s="541"/>
      <c r="BA34" s="541"/>
      <c r="BB34" s="541"/>
      <c r="BC34" s="541"/>
      <c r="BD34" s="541"/>
      <c r="BE34" s="541"/>
      <c r="BF34" s="541"/>
      <c r="BG34" s="541"/>
      <c r="BH34" s="541"/>
      <c r="BI34" s="541"/>
      <c r="BJ34" s="541"/>
      <c r="BK34" s="541"/>
      <c r="BL34" s="541"/>
      <c r="BM34" s="541"/>
      <c r="BN34" s="541"/>
      <c r="BO34" s="541"/>
      <c r="BP34" s="541"/>
      <c r="BQ34" s="541"/>
      <c r="BR34" s="541"/>
      <c r="BS34" s="541"/>
      <c r="BT34" s="541"/>
      <c r="BU34" s="541"/>
      <c r="BV34" s="541"/>
      <c r="BW34" s="541"/>
      <c r="BX34" s="541"/>
      <c r="BY34" s="541"/>
      <c r="BZ34" s="541"/>
      <c r="CA34" s="541"/>
      <c r="CB34" s="541"/>
      <c r="CC34" s="541"/>
      <c r="CD34" s="541"/>
      <c r="CE34" s="541"/>
      <c r="CF34" s="541"/>
      <c r="CG34" s="541"/>
      <c r="CH34" s="541"/>
      <c r="CI34" s="541"/>
      <c r="CK34" s="1293"/>
    </row>
    <row r="35" spans="1:89" s="1292" customFormat="1" ht="43.5" thickBot="1" x14ac:dyDescent="0.25">
      <c r="A35" s="1284"/>
      <c r="B35" s="543" t="s">
        <v>471</v>
      </c>
      <c r="C35" s="546" t="s">
        <v>472</v>
      </c>
      <c r="D35" s="537" t="s">
        <v>86</v>
      </c>
      <c r="E35" s="538" t="s">
        <v>236</v>
      </c>
      <c r="F35" s="539">
        <v>2</v>
      </c>
      <c r="G35" s="532" t="e">
        <f>TBL3a_DYAABL_10_ESWESX[[#This Row],[2029-30]]-[1]!TBL3a_DYAABL_10_ESWESX[[#This Row],[2029-30]]</f>
        <v>#REF!</v>
      </c>
      <c r="H35" s="540"/>
      <c r="I35" s="540">
        <v>0</v>
      </c>
      <c r="J35" s="540">
        <v>0</v>
      </c>
      <c r="K35" s="540">
        <v>0</v>
      </c>
      <c r="L35" s="540">
        <v>0</v>
      </c>
      <c r="M35" s="541">
        <v>0</v>
      </c>
      <c r="N35" s="541">
        <v>0</v>
      </c>
      <c r="O35" s="541">
        <v>0</v>
      </c>
      <c r="P35" s="541">
        <v>0</v>
      </c>
      <c r="Q35" s="541">
        <v>0</v>
      </c>
      <c r="R35" s="541">
        <v>0</v>
      </c>
      <c r="S35" s="541">
        <v>0</v>
      </c>
      <c r="T35" s="541">
        <v>0</v>
      </c>
      <c r="U35" s="541">
        <v>0</v>
      </c>
      <c r="V35" s="541">
        <v>0</v>
      </c>
      <c r="W35" s="541">
        <v>0</v>
      </c>
      <c r="X35" s="541">
        <v>0</v>
      </c>
      <c r="Y35" s="541">
        <v>0</v>
      </c>
      <c r="Z35" s="541">
        <v>0</v>
      </c>
      <c r="AA35" s="541">
        <v>0</v>
      </c>
      <c r="AB35" s="1526">
        <v>-2</v>
      </c>
      <c r="AC35" s="541">
        <v>-2</v>
      </c>
      <c r="AD35" s="541">
        <v>-2</v>
      </c>
      <c r="AE35" s="541">
        <v>-2</v>
      </c>
      <c r="AF35" s="541">
        <v>-2</v>
      </c>
      <c r="AG35" s="541">
        <v>-2</v>
      </c>
      <c r="AH35" s="541">
        <v>-2</v>
      </c>
      <c r="AI35" s="541">
        <v>-2</v>
      </c>
      <c r="AJ35" s="541">
        <v>-2</v>
      </c>
      <c r="AK35" s="541">
        <v>-2</v>
      </c>
      <c r="AL35" s="541"/>
      <c r="AM35" s="541"/>
      <c r="AN35" s="541"/>
      <c r="AO35" s="541"/>
      <c r="AP35" s="541"/>
      <c r="AQ35" s="541"/>
      <c r="AR35" s="541"/>
      <c r="AS35" s="541"/>
      <c r="AT35" s="541"/>
      <c r="AU35" s="541"/>
      <c r="AV35" s="541"/>
      <c r="AW35" s="541"/>
      <c r="AX35" s="541"/>
      <c r="AY35" s="541"/>
      <c r="AZ35" s="541"/>
      <c r="BA35" s="541"/>
      <c r="BB35" s="541"/>
      <c r="BC35" s="541"/>
      <c r="BD35" s="541"/>
      <c r="BE35" s="541"/>
      <c r="BF35" s="541"/>
      <c r="BG35" s="541"/>
      <c r="BH35" s="541"/>
      <c r="BI35" s="541"/>
      <c r="BJ35" s="541"/>
      <c r="BK35" s="541"/>
      <c r="BL35" s="541"/>
      <c r="BM35" s="541"/>
      <c r="BN35" s="541"/>
      <c r="BO35" s="541"/>
      <c r="BP35" s="541"/>
      <c r="BQ35" s="541"/>
      <c r="BR35" s="541"/>
      <c r="BS35" s="541"/>
      <c r="BT35" s="541"/>
      <c r="BU35" s="541"/>
      <c r="BV35" s="541"/>
      <c r="BW35" s="541"/>
      <c r="BX35" s="541"/>
      <c r="BY35" s="541"/>
      <c r="BZ35" s="541"/>
      <c r="CA35" s="541"/>
      <c r="CB35" s="541"/>
      <c r="CC35" s="541"/>
      <c r="CD35" s="541"/>
      <c r="CE35" s="541"/>
      <c r="CF35" s="541"/>
      <c r="CG35" s="541"/>
      <c r="CH35" s="541"/>
      <c r="CI35" s="541"/>
      <c r="CK35" s="1293"/>
    </row>
    <row r="36" spans="1:89" s="1292" customFormat="1" ht="29.25" thickBot="1" x14ac:dyDescent="0.25">
      <c r="A36" s="1284"/>
      <c r="B36" s="543" t="s">
        <v>473</v>
      </c>
      <c r="C36" s="546" t="s">
        <v>474</v>
      </c>
      <c r="D36" s="537" t="s">
        <v>86</v>
      </c>
      <c r="E36" s="538" t="s">
        <v>236</v>
      </c>
      <c r="F36" s="539">
        <v>2</v>
      </c>
      <c r="G36" s="532" t="e">
        <f>TBL3a_DYAABL_10_ESWESX[[#This Row],[2029-30]]-[1]!TBL3a_DYAABL_10_ESWESX[[#This Row],[2029-30]]</f>
        <v>#REF!</v>
      </c>
      <c r="H36" s="540"/>
      <c r="I36" s="540">
        <v>0</v>
      </c>
      <c r="J36" s="540">
        <v>0</v>
      </c>
      <c r="K36" s="540">
        <v>0</v>
      </c>
      <c r="L36" s="540">
        <v>0</v>
      </c>
      <c r="M36" s="541">
        <v>0</v>
      </c>
      <c r="N36" s="541">
        <v>0</v>
      </c>
      <c r="O36" s="541">
        <v>0</v>
      </c>
      <c r="P36" s="541">
        <v>0</v>
      </c>
      <c r="Q36" s="541">
        <v>0</v>
      </c>
      <c r="R36" s="541">
        <v>0</v>
      </c>
      <c r="S36" s="541">
        <v>0</v>
      </c>
      <c r="T36" s="541">
        <v>0</v>
      </c>
      <c r="U36" s="541">
        <v>0</v>
      </c>
      <c r="V36" s="541">
        <v>0</v>
      </c>
      <c r="W36" s="541">
        <v>0</v>
      </c>
      <c r="X36" s="541">
        <v>0</v>
      </c>
      <c r="Y36" s="541">
        <v>0</v>
      </c>
      <c r="Z36" s="541">
        <v>0</v>
      </c>
      <c r="AA36" s="541">
        <v>0</v>
      </c>
      <c r="AB36" s="541">
        <v>0</v>
      </c>
      <c r="AC36" s="541">
        <v>0</v>
      </c>
      <c r="AD36" s="541">
        <v>0</v>
      </c>
      <c r="AE36" s="541">
        <v>0</v>
      </c>
      <c r="AF36" s="541">
        <v>0</v>
      </c>
      <c r="AG36" s="541">
        <v>0</v>
      </c>
      <c r="AH36" s="541">
        <v>0</v>
      </c>
      <c r="AI36" s="541">
        <v>0</v>
      </c>
      <c r="AJ36" s="541">
        <v>0</v>
      </c>
      <c r="AK36" s="541">
        <v>0</v>
      </c>
      <c r="AL36" s="541"/>
      <c r="AM36" s="541"/>
      <c r="AN36" s="541"/>
      <c r="AO36" s="541"/>
      <c r="AP36" s="541"/>
      <c r="AQ36" s="541"/>
      <c r="AR36" s="541"/>
      <c r="AS36" s="541"/>
      <c r="AT36" s="541"/>
      <c r="AU36" s="541"/>
      <c r="AV36" s="541"/>
      <c r="AW36" s="541"/>
      <c r="AX36" s="541"/>
      <c r="AY36" s="541"/>
      <c r="AZ36" s="541"/>
      <c r="BA36" s="541"/>
      <c r="BB36" s="541"/>
      <c r="BC36" s="541"/>
      <c r="BD36" s="541"/>
      <c r="BE36" s="541"/>
      <c r="BF36" s="541"/>
      <c r="BG36" s="541"/>
      <c r="BH36" s="541"/>
      <c r="BI36" s="541"/>
      <c r="BJ36" s="541"/>
      <c r="BK36" s="541"/>
      <c r="BL36" s="541"/>
      <c r="BM36" s="541"/>
      <c r="BN36" s="541"/>
      <c r="BO36" s="541"/>
      <c r="BP36" s="541"/>
      <c r="BQ36" s="541"/>
      <c r="BR36" s="541"/>
      <c r="BS36" s="541"/>
      <c r="BT36" s="541"/>
      <c r="BU36" s="541"/>
      <c r="BV36" s="541"/>
      <c r="BW36" s="541"/>
      <c r="BX36" s="541"/>
      <c r="BY36" s="541"/>
      <c r="BZ36" s="541"/>
      <c r="CA36" s="541"/>
      <c r="CB36" s="541"/>
      <c r="CC36" s="541"/>
      <c r="CD36" s="541"/>
      <c r="CE36" s="541"/>
      <c r="CF36" s="541"/>
      <c r="CG36" s="541"/>
      <c r="CH36" s="541"/>
      <c r="CI36" s="541"/>
      <c r="CK36" s="1293"/>
    </row>
    <row r="37" spans="1:89" s="1292" customFormat="1" ht="15" thickBot="1" x14ac:dyDescent="0.25">
      <c r="A37" s="1284"/>
      <c r="B37" s="543" t="s">
        <v>475</v>
      </c>
      <c r="C37" s="546" t="s">
        <v>476</v>
      </c>
      <c r="D37" s="537" t="s">
        <v>477</v>
      </c>
      <c r="E37" s="538" t="s">
        <v>236</v>
      </c>
      <c r="F37" s="539">
        <v>2</v>
      </c>
      <c r="G37" s="532" t="e">
        <f>TBL3a_DYAABL_10_ESWESX[[#This Row],[2029-30]]-[1]!TBL3a_DYAABL_10_ESWESX[[#This Row],[2029-30]]</f>
        <v>#REF!</v>
      </c>
      <c r="H37" s="540"/>
      <c r="I37" s="540">
        <v>0</v>
      </c>
      <c r="J37" s="540">
        <v>0</v>
      </c>
      <c r="K37" s="540">
        <v>0</v>
      </c>
      <c r="L37" s="540">
        <v>0</v>
      </c>
      <c r="M37" s="541">
        <v>0</v>
      </c>
      <c r="N37" s="541">
        <v>0</v>
      </c>
      <c r="O37" s="541">
        <v>0</v>
      </c>
      <c r="P37" s="541">
        <v>0</v>
      </c>
      <c r="Q37" s="541">
        <v>0</v>
      </c>
      <c r="R37" s="541">
        <v>0</v>
      </c>
      <c r="S37" s="541">
        <v>0</v>
      </c>
      <c r="T37" s="541">
        <v>0</v>
      </c>
      <c r="U37" s="541">
        <v>0</v>
      </c>
      <c r="V37" s="541">
        <v>0</v>
      </c>
      <c r="W37" s="541">
        <v>0</v>
      </c>
      <c r="X37" s="541">
        <v>0</v>
      </c>
      <c r="Y37" s="541">
        <v>0</v>
      </c>
      <c r="Z37" s="541">
        <v>0</v>
      </c>
      <c r="AA37" s="541">
        <v>0</v>
      </c>
      <c r="AB37" s="541">
        <v>0</v>
      </c>
      <c r="AC37" s="541">
        <v>0</v>
      </c>
      <c r="AD37" s="541">
        <v>0</v>
      </c>
      <c r="AE37" s="541">
        <v>0</v>
      </c>
      <c r="AF37" s="541">
        <v>0</v>
      </c>
      <c r="AG37" s="541">
        <v>0</v>
      </c>
      <c r="AH37" s="541">
        <v>0</v>
      </c>
      <c r="AI37" s="541">
        <v>0</v>
      </c>
      <c r="AJ37" s="541">
        <v>0</v>
      </c>
      <c r="AK37" s="541">
        <v>0</v>
      </c>
      <c r="AL37" s="541"/>
      <c r="AM37" s="541"/>
      <c r="AN37" s="541"/>
      <c r="AO37" s="541"/>
      <c r="AP37" s="541"/>
      <c r="AQ37" s="541"/>
      <c r="AR37" s="541"/>
      <c r="AS37" s="541"/>
      <c r="AT37" s="541"/>
      <c r="AU37" s="541"/>
      <c r="AV37" s="541"/>
      <c r="AW37" s="541"/>
      <c r="AX37" s="541"/>
      <c r="AY37" s="541"/>
      <c r="AZ37" s="541"/>
      <c r="BA37" s="541"/>
      <c r="BB37" s="541"/>
      <c r="BC37" s="541"/>
      <c r="BD37" s="541"/>
      <c r="BE37" s="541"/>
      <c r="BF37" s="541"/>
      <c r="BG37" s="541"/>
      <c r="BH37" s="541"/>
      <c r="BI37" s="541"/>
      <c r="BJ37" s="541"/>
      <c r="BK37" s="541"/>
      <c r="BL37" s="541"/>
      <c r="BM37" s="541"/>
      <c r="BN37" s="541"/>
      <c r="BO37" s="541"/>
      <c r="BP37" s="541"/>
      <c r="BQ37" s="541"/>
      <c r="BR37" s="541"/>
      <c r="BS37" s="541"/>
      <c r="BT37" s="541"/>
      <c r="BU37" s="541"/>
      <c r="BV37" s="541"/>
      <c r="BW37" s="541"/>
      <c r="BX37" s="541"/>
      <c r="BY37" s="541"/>
      <c r="BZ37" s="541"/>
      <c r="CA37" s="541"/>
      <c r="CB37" s="541"/>
      <c r="CC37" s="541"/>
      <c r="CD37" s="541"/>
      <c r="CE37" s="541"/>
      <c r="CF37" s="541"/>
      <c r="CG37" s="541"/>
      <c r="CH37" s="541"/>
      <c r="CI37" s="542"/>
      <c r="CK37" s="1293"/>
    </row>
    <row r="38" spans="1:89" s="1292" customFormat="1" ht="29.25" thickBot="1" x14ac:dyDescent="0.25">
      <c r="A38" s="1284"/>
      <c r="B38" s="543" t="s">
        <v>478</v>
      </c>
      <c r="C38" s="546" t="s">
        <v>479</v>
      </c>
      <c r="D38" s="537" t="s">
        <v>86</v>
      </c>
      <c r="E38" s="538" t="s">
        <v>236</v>
      </c>
      <c r="F38" s="539">
        <v>2</v>
      </c>
      <c r="G38" s="532" t="e">
        <f>TBL3a_DYAABL_10_ESWESX[[#This Row],[2029-30]]-[1]!TBL3a_DYAABL_10_ESWESX[[#This Row],[2029-30]]</f>
        <v>#REF!</v>
      </c>
      <c r="H38" s="540"/>
      <c r="I38" s="540">
        <v>0</v>
      </c>
      <c r="J38" s="540">
        <v>0</v>
      </c>
      <c r="K38" s="540">
        <v>0</v>
      </c>
      <c r="L38" s="540">
        <v>0</v>
      </c>
      <c r="M38" s="541">
        <v>0</v>
      </c>
      <c r="N38" s="541">
        <v>0</v>
      </c>
      <c r="O38" s="541">
        <v>0</v>
      </c>
      <c r="P38" s="541">
        <v>0</v>
      </c>
      <c r="Q38" s="541">
        <v>0</v>
      </c>
      <c r="R38" s="541">
        <v>0</v>
      </c>
      <c r="S38" s="541">
        <v>0</v>
      </c>
      <c r="T38" s="541">
        <v>0</v>
      </c>
      <c r="U38" s="541">
        <v>0</v>
      </c>
      <c r="V38" s="541">
        <v>0</v>
      </c>
      <c r="W38" s="541">
        <v>0</v>
      </c>
      <c r="X38" s="541">
        <v>0</v>
      </c>
      <c r="Y38" s="541">
        <v>0</v>
      </c>
      <c r="Z38" s="541">
        <v>0</v>
      </c>
      <c r="AA38" s="541">
        <v>0</v>
      </c>
      <c r="AB38" s="541">
        <v>0</v>
      </c>
      <c r="AC38" s="541">
        <v>0</v>
      </c>
      <c r="AD38" s="541">
        <v>0</v>
      </c>
      <c r="AE38" s="541">
        <v>0</v>
      </c>
      <c r="AF38" s="541">
        <v>0</v>
      </c>
      <c r="AG38" s="541">
        <v>0</v>
      </c>
      <c r="AH38" s="541">
        <v>0</v>
      </c>
      <c r="AI38" s="541">
        <v>0</v>
      </c>
      <c r="AJ38" s="541">
        <v>0</v>
      </c>
      <c r="AK38" s="541">
        <v>0</v>
      </c>
      <c r="AL38" s="541"/>
      <c r="AM38" s="541"/>
      <c r="AN38" s="541"/>
      <c r="AO38" s="541"/>
      <c r="AP38" s="541"/>
      <c r="AQ38" s="541"/>
      <c r="AR38" s="541"/>
      <c r="AS38" s="541"/>
      <c r="AT38" s="541"/>
      <c r="AU38" s="541"/>
      <c r="AV38" s="541"/>
      <c r="AW38" s="541"/>
      <c r="AX38" s="541"/>
      <c r="AY38" s="541"/>
      <c r="AZ38" s="541"/>
      <c r="BA38" s="541"/>
      <c r="BB38" s="541"/>
      <c r="BC38" s="541"/>
      <c r="BD38" s="541"/>
      <c r="BE38" s="541"/>
      <c r="BF38" s="541"/>
      <c r="BG38" s="541"/>
      <c r="BH38" s="541"/>
      <c r="BI38" s="541"/>
      <c r="BJ38" s="541"/>
      <c r="BK38" s="541"/>
      <c r="BL38" s="541"/>
      <c r="BM38" s="541"/>
      <c r="BN38" s="541"/>
      <c r="BO38" s="541"/>
      <c r="BP38" s="541"/>
      <c r="BQ38" s="541"/>
      <c r="BR38" s="541"/>
      <c r="BS38" s="541"/>
      <c r="BT38" s="541"/>
      <c r="BU38" s="541"/>
      <c r="BV38" s="541"/>
      <c r="BW38" s="541"/>
      <c r="BX38" s="541"/>
      <c r="BY38" s="541"/>
      <c r="BZ38" s="541"/>
      <c r="CA38" s="541"/>
      <c r="CB38" s="541"/>
      <c r="CC38" s="541"/>
      <c r="CD38" s="541"/>
      <c r="CE38" s="541"/>
      <c r="CF38" s="541"/>
      <c r="CG38" s="541"/>
      <c r="CH38" s="541"/>
      <c r="CI38" s="541"/>
      <c r="CK38" s="1293"/>
    </row>
    <row r="39" spans="1:89" s="1292" customFormat="1" ht="29.25" thickBot="1" x14ac:dyDescent="0.25">
      <c r="A39" s="1284"/>
      <c r="B39" s="543" t="s">
        <v>480</v>
      </c>
      <c r="C39" s="546" t="s">
        <v>481</v>
      </c>
      <c r="D39" s="537" t="s">
        <v>86</v>
      </c>
      <c r="E39" s="538" t="s">
        <v>236</v>
      </c>
      <c r="F39" s="539">
        <v>2</v>
      </c>
      <c r="G39" s="532">
        <v>0.1</v>
      </c>
      <c r="H39" s="540"/>
      <c r="I39" s="540">
        <v>0</v>
      </c>
      <c r="J39" s="540">
        <v>0</v>
      </c>
      <c r="K39" s="540">
        <v>0</v>
      </c>
      <c r="L39" s="540">
        <v>0</v>
      </c>
      <c r="M39" s="541">
        <v>0</v>
      </c>
      <c r="N39" s="541">
        <v>0</v>
      </c>
      <c r="O39" s="541">
        <v>0</v>
      </c>
      <c r="P39" s="541">
        <v>0</v>
      </c>
      <c r="Q39" s="541">
        <v>0</v>
      </c>
      <c r="R39" s="541">
        <v>0</v>
      </c>
      <c r="S39" s="541">
        <v>0</v>
      </c>
      <c r="T39" s="541">
        <v>0</v>
      </c>
      <c r="U39" s="541">
        <v>0</v>
      </c>
      <c r="V39" s="541">
        <v>0</v>
      </c>
      <c r="W39" s="541">
        <v>0</v>
      </c>
      <c r="X39" s="541">
        <v>0</v>
      </c>
      <c r="Y39" s="541">
        <v>0</v>
      </c>
      <c r="Z39" s="541">
        <v>0</v>
      </c>
      <c r="AA39" s="541">
        <v>0</v>
      </c>
      <c r="AB39" s="541">
        <v>0</v>
      </c>
      <c r="AC39" s="541">
        <v>0</v>
      </c>
      <c r="AD39" s="541">
        <v>0</v>
      </c>
      <c r="AE39" s="541">
        <v>0</v>
      </c>
      <c r="AF39" s="541">
        <v>0</v>
      </c>
      <c r="AG39" s="541">
        <v>0</v>
      </c>
      <c r="AH39" s="541">
        <v>0</v>
      </c>
      <c r="AI39" s="541">
        <v>0</v>
      </c>
      <c r="AJ39" s="541">
        <v>0</v>
      </c>
      <c r="AK39" s="541">
        <v>0</v>
      </c>
      <c r="AL39" s="541"/>
      <c r="AM39" s="541"/>
      <c r="AN39" s="541"/>
      <c r="AO39" s="541"/>
      <c r="AP39" s="541"/>
      <c r="AQ39" s="541"/>
      <c r="AR39" s="541"/>
      <c r="AS39" s="541"/>
      <c r="AT39" s="541"/>
      <c r="AU39" s="541"/>
      <c r="AV39" s="541"/>
      <c r="AW39" s="541"/>
      <c r="AX39" s="541"/>
      <c r="AY39" s="541"/>
      <c r="AZ39" s="541"/>
      <c r="BA39" s="541"/>
      <c r="BB39" s="541"/>
      <c r="BC39" s="541"/>
      <c r="BD39" s="541"/>
      <c r="BE39" s="541"/>
      <c r="BF39" s="541"/>
      <c r="BG39" s="541"/>
      <c r="BH39" s="541"/>
      <c r="BI39" s="541"/>
      <c r="BJ39" s="541"/>
      <c r="BK39" s="541"/>
      <c r="BL39" s="541"/>
      <c r="BM39" s="541"/>
      <c r="BN39" s="541"/>
      <c r="BO39" s="541"/>
      <c r="BP39" s="541"/>
      <c r="BQ39" s="541"/>
      <c r="BR39" s="541"/>
      <c r="BS39" s="541"/>
      <c r="BT39" s="541"/>
      <c r="BU39" s="541"/>
      <c r="BV39" s="541"/>
      <c r="BW39" s="541"/>
      <c r="BX39" s="541"/>
      <c r="BY39" s="541"/>
      <c r="BZ39" s="541"/>
      <c r="CA39" s="541"/>
      <c r="CB39" s="541"/>
      <c r="CC39" s="541"/>
      <c r="CD39" s="541"/>
      <c r="CE39" s="541"/>
      <c r="CF39" s="541"/>
      <c r="CG39" s="541"/>
      <c r="CH39" s="541"/>
      <c r="CI39" s="541"/>
      <c r="CK39" s="1293"/>
    </row>
    <row r="40" spans="1:89" s="1292" customFormat="1" ht="15" thickBot="1" x14ac:dyDescent="0.25">
      <c r="A40" s="1284"/>
      <c r="B40" s="543" t="s">
        <v>482</v>
      </c>
      <c r="C40" s="546" t="s">
        <v>483</v>
      </c>
      <c r="D40" s="537" t="s">
        <v>86</v>
      </c>
      <c r="E40" s="538" t="s">
        <v>236</v>
      </c>
      <c r="F40" s="539">
        <v>2</v>
      </c>
      <c r="G40" s="532" t="e">
        <f>TBL3a_DYAABL_10_ESWESX[[#This Row],[2029-30]]-[1]!TBL3a_DYAABL_10_ESWESX[[#This Row],[2029-30]]</f>
        <v>#REF!</v>
      </c>
      <c r="H40" s="540"/>
      <c r="I40" s="540">
        <v>0</v>
      </c>
      <c r="J40" s="540">
        <v>0</v>
      </c>
      <c r="K40" s="540">
        <v>0</v>
      </c>
      <c r="L40" s="540">
        <v>0</v>
      </c>
      <c r="M40" s="1342">
        <v>0</v>
      </c>
      <c r="N40" s="1342">
        <v>0</v>
      </c>
      <c r="O40" s="1342">
        <v>0</v>
      </c>
      <c r="P40" s="1342">
        <v>0</v>
      </c>
      <c r="Q40" s="1342">
        <v>0</v>
      </c>
      <c r="R40" s="1342">
        <v>0</v>
      </c>
      <c r="S40" s="1342">
        <v>0</v>
      </c>
      <c r="T40" s="1342">
        <v>0</v>
      </c>
      <c r="U40" s="1342">
        <v>0</v>
      </c>
      <c r="V40" s="1342">
        <v>0</v>
      </c>
      <c r="W40" s="1342">
        <v>0</v>
      </c>
      <c r="X40" s="1342">
        <v>0</v>
      </c>
      <c r="Y40" s="1342">
        <v>0</v>
      </c>
      <c r="Z40" s="1342">
        <v>0</v>
      </c>
      <c r="AA40" s="1342">
        <v>0</v>
      </c>
      <c r="AB40" s="1342">
        <v>0</v>
      </c>
      <c r="AC40" s="1342">
        <v>0</v>
      </c>
      <c r="AD40" s="1342">
        <v>0</v>
      </c>
      <c r="AE40" s="1342">
        <v>0</v>
      </c>
      <c r="AF40" s="1342">
        <v>0</v>
      </c>
      <c r="AG40" s="1342">
        <v>0</v>
      </c>
      <c r="AH40" s="1342">
        <v>0</v>
      </c>
      <c r="AI40" s="1342">
        <v>0</v>
      </c>
      <c r="AJ40" s="1342">
        <v>0</v>
      </c>
      <c r="AK40" s="1342">
        <v>0</v>
      </c>
      <c r="AL40" s="1342"/>
      <c r="AM40" s="1342"/>
      <c r="AN40" s="1342"/>
      <c r="AO40" s="1342"/>
      <c r="AP40" s="1342"/>
      <c r="AQ40" s="1342"/>
      <c r="AR40" s="1342"/>
      <c r="AS40" s="1342"/>
      <c r="AT40" s="1342"/>
      <c r="AU40" s="1342"/>
      <c r="AV40" s="1342"/>
      <c r="AW40" s="1342"/>
      <c r="AX40" s="1342"/>
      <c r="AY40" s="1342"/>
      <c r="AZ40" s="1342"/>
      <c r="BA40" s="1342"/>
      <c r="BB40" s="1342"/>
      <c r="BC40" s="1342"/>
      <c r="BD40" s="1342"/>
      <c r="BE40" s="1342"/>
      <c r="BF40" s="1342"/>
      <c r="BG40" s="1342"/>
      <c r="BH40" s="1342"/>
      <c r="BI40" s="1342"/>
      <c r="BJ40" s="1342"/>
      <c r="BK40" s="1342"/>
      <c r="BL40" s="1342"/>
      <c r="BM40" s="1342"/>
      <c r="BN40" s="1342"/>
      <c r="BO40" s="1342"/>
      <c r="BP40" s="1342"/>
      <c r="BQ40" s="1342"/>
      <c r="BR40" s="1342"/>
      <c r="BS40" s="1342"/>
      <c r="BT40" s="1342"/>
      <c r="BU40" s="1342"/>
      <c r="BV40" s="1342"/>
      <c r="BW40" s="1342"/>
      <c r="BX40" s="1342"/>
      <c r="BY40" s="1342"/>
      <c r="BZ40" s="1342"/>
      <c r="CA40" s="1342"/>
      <c r="CB40" s="1342"/>
      <c r="CC40" s="1342"/>
      <c r="CD40" s="1342"/>
      <c r="CE40" s="1342"/>
      <c r="CF40" s="1342"/>
      <c r="CG40" s="1342"/>
      <c r="CH40" s="1342"/>
      <c r="CI40" s="1342"/>
      <c r="CK40" s="1293"/>
    </row>
    <row r="41" spans="1:89" s="1292" customFormat="1" ht="15" thickBot="1" x14ac:dyDescent="0.25">
      <c r="A41" s="1284"/>
      <c r="B41" s="549" t="s">
        <v>484</v>
      </c>
      <c r="C41" s="550" t="s">
        <v>387</v>
      </c>
      <c r="D41" s="550" t="s">
        <v>485</v>
      </c>
      <c r="E41" s="551" t="s">
        <v>236</v>
      </c>
      <c r="F41" s="539">
        <v>2</v>
      </c>
      <c r="G41" s="532" t="e">
        <f>TBL3a_DYAABL_10_ESWESX[[#This Row],[2029-30]]-[1]!TBL3a_DYAABL_10_ESWESX[[#This Row],[2029-30]]</f>
        <v>#REF!</v>
      </c>
      <c r="H41" s="547">
        <f t="shared" ref="H41:AK41" si="2">(H30+H32)-(H39+H40)</f>
        <v>0</v>
      </c>
      <c r="I41" s="547">
        <f t="shared" si="2"/>
        <v>413.50597188</v>
      </c>
      <c r="J41" s="547">
        <f t="shared" si="2"/>
        <v>412.95100373999998</v>
      </c>
      <c r="K41" s="547">
        <f t="shared" si="2"/>
        <v>412.39284358999998</v>
      </c>
      <c r="L41" s="547">
        <f t="shared" si="2"/>
        <v>411.83157066000001</v>
      </c>
      <c r="M41" s="552">
        <f t="shared" si="2"/>
        <v>411.26725991000001</v>
      </c>
      <c r="N41" s="552">
        <f t="shared" si="2"/>
        <v>410.69998242000003</v>
      </c>
      <c r="O41" s="552">
        <f t="shared" si="2"/>
        <v>410.12980567</v>
      </c>
      <c r="P41" s="552">
        <f t="shared" si="2"/>
        <v>409.55679382</v>
      </c>
      <c r="Q41" s="552">
        <f t="shared" si="2"/>
        <v>408.98100793999998</v>
      </c>
      <c r="R41" s="552">
        <f t="shared" si="2"/>
        <v>403.40250624999999</v>
      </c>
      <c r="S41" s="552">
        <f t="shared" si="2"/>
        <v>402.82134435</v>
      </c>
      <c r="T41" s="552">
        <f t="shared" si="2"/>
        <v>402.23757532000002</v>
      </c>
      <c r="U41" s="552">
        <f t="shared" si="2"/>
        <v>401.65124997999999</v>
      </c>
      <c r="V41" s="552">
        <f t="shared" si="2"/>
        <v>401.06241698000002</v>
      </c>
      <c r="W41" s="552">
        <f t="shared" si="2"/>
        <v>400.47112294999999</v>
      </c>
      <c r="X41" s="552">
        <f t="shared" si="2"/>
        <v>399.87741266</v>
      </c>
      <c r="Y41" s="552">
        <f t="shared" si="2"/>
        <v>399.28132907999998</v>
      </c>
      <c r="Z41" s="552">
        <f t="shared" si="2"/>
        <v>398.68291352</v>
      </c>
      <c r="AA41" s="552">
        <f t="shared" si="2"/>
        <v>398.08220575000001</v>
      </c>
      <c r="AB41" s="552">
        <f t="shared" si="2"/>
        <v>395.47924402000001</v>
      </c>
      <c r="AC41" s="552">
        <f t="shared" si="2"/>
        <v>394.87406522999999</v>
      </c>
      <c r="AD41" s="552">
        <f t="shared" si="2"/>
        <v>394.26670493</v>
      </c>
      <c r="AE41" s="552">
        <f t="shared" si="2"/>
        <v>393.65719744</v>
      </c>
      <c r="AF41" s="552">
        <f t="shared" si="2"/>
        <v>393.04557590000002</v>
      </c>
      <c r="AG41" s="552">
        <f t="shared" si="2"/>
        <v>392.43187233999998</v>
      </c>
      <c r="AH41" s="552">
        <f t="shared" si="2"/>
        <v>391.81611772000002</v>
      </c>
      <c r="AI41" s="552">
        <f t="shared" si="2"/>
        <v>391.19834200000003</v>
      </c>
      <c r="AJ41" s="552">
        <f t="shared" si="2"/>
        <v>390.57857417000002</v>
      </c>
      <c r="AK41" s="552">
        <f t="shared" si="2"/>
        <v>389.95684233999998</v>
      </c>
      <c r="AL41" s="552"/>
      <c r="AM41" s="552"/>
      <c r="AN41" s="552"/>
      <c r="AO41" s="552"/>
      <c r="AP41" s="552"/>
      <c r="AQ41" s="552"/>
      <c r="AR41" s="552"/>
      <c r="AS41" s="552"/>
      <c r="AT41" s="552"/>
      <c r="AU41" s="552"/>
      <c r="AV41" s="552"/>
      <c r="AW41" s="552"/>
      <c r="AX41" s="552"/>
      <c r="AY41" s="552"/>
      <c r="AZ41" s="552"/>
      <c r="BA41" s="552"/>
      <c r="BB41" s="552"/>
      <c r="BC41" s="552"/>
      <c r="BD41" s="552"/>
      <c r="BE41" s="552"/>
      <c r="BF41" s="552"/>
      <c r="BG41" s="552"/>
      <c r="BH41" s="552"/>
      <c r="BI41" s="552"/>
      <c r="BJ41" s="552"/>
      <c r="BK41" s="552"/>
      <c r="BL41" s="552"/>
      <c r="BM41" s="552"/>
      <c r="BN41" s="552"/>
      <c r="BO41" s="552"/>
      <c r="BP41" s="552"/>
      <c r="BQ41" s="552"/>
      <c r="BR41" s="552"/>
      <c r="BS41" s="552"/>
      <c r="BT41" s="552"/>
      <c r="BU41" s="552"/>
      <c r="BV41" s="552"/>
      <c r="BW41" s="552"/>
      <c r="BX41" s="552"/>
      <c r="BY41" s="552"/>
      <c r="BZ41" s="552"/>
      <c r="CA41" s="552"/>
      <c r="CB41" s="552"/>
      <c r="CC41" s="552"/>
      <c r="CD41" s="552"/>
      <c r="CE41" s="552"/>
      <c r="CF41" s="552"/>
      <c r="CG41" s="552"/>
      <c r="CH41" s="552"/>
      <c r="CI41" s="548"/>
      <c r="CK41" s="1293"/>
    </row>
    <row r="42" spans="1:89" s="1292" customFormat="1" ht="15" thickBot="1" x14ac:dyDescent="0.25">
      <c r="A42" s="1284"/>
      <c r="B42" s="555" t="s">
        <v>486</v>
      </c>
      <c r="C42" s="556" t="s">
        <v>390</v>
      </c>
      <c r="D42" s="556" t="s">
        <v>487</v>
      </c>
      <c r="E42" s="557" t="s">
        <v>236</v>
      </c>
      <c r="F42" s="558">
        <v>2</v>
      </c>
      <c r="G42" s="532" t="e">
        <f>TBL3a_DYAABL_10_ESWESX[[#This Row],[2029-30]]-[1]!TBL3a_DYAABL_10_ESWESX[[#This Row],[2029-30]]</f>
        <v>#REF!</v>
      </c>
      <c r="H42" s="559">
        <f>H41+SUM(H26:H29)</f>
        <v>0</v>
      </c>
      <c r="I42" s="559">
        <f t="shared" ref="I42:AK42" si="3">I41+SUM(I26:I29)</f>
        <v>384.57822051013699</v>
      </c>
      <c r="J42" s="559">
        <f t="shared" si="3"/>
        <v>384.02325237013696</v>
      </c>
      <c r="K42" s="559">
        <f t="shared" si="3"/>
        <v>383.46509222013697</v>
      </c>
      <c r="L42" s="559">
        <f t="shared" si="3"/>
        <v>382.56580771469351</v>
      </c>
      <c r="M42" s="559">
        <f t="shared" si="3"/>
        <v>381.66534502242757</v>
      </c>
      <c r="N42" s="559">
        <f t="shared" si="3"/>
        <v>380.77772247217126</v>
      </c>
      <c r="O42" s="559">
        <f t="shared" si="3"/>
        <v>378.3769726794381</v>
      </c>
      <c r="P42" s="559">
        <f t="shared" si="3"/>
        <v>377.47269042426336</v>
      </c>
      <c r="Q42" s="559">
        <f>Q41+SUM(Q26:Q29)</f>
        <v>376.56702886397187</v>
      </c>
      <c r="R42" s="559">
        <f t="shared" si="3"/>
        <v>370.65911640197476</v>
      </c>
      <c r="S42" s="559">
        <f t="shared" si="3"/>
        <v>369.74714900509446</v>
      </c>
      <c r="T42" s="559">
        <f t="shared" si="3"/>
        <v>368.8346665655389</v>
      </c>
      <c r="U42" s="559">
        <f t="shared" si="3"/>
        <v>367.91776818280579</v>
      </c>
      <c r="V42" s="559">
        <f t="shared" si="3"/>
        <v>368.82893518280582</v>
      </c>
      <c r="W42" s="559">
        <f t="shared" si="3"/>
        <v>388.23996569427777</v>
      </c>
      <c r="X42" s="559">
        <f t="shared" si="3"/>
        <v>387.64625540427778</v>
      </c>
      <c r="Y42" s="559">
        <f t="shared" si="3"/>
        <v>387.05017182427775</v>
      </c>
      <c r="Z42" s="559">
        <f t="shared" si="3"/>
        <v>386.45175626427778</v>
      </c>
      <c r="AA42" s="559">
        <f t="shared" si="3"/>
        <v>385.85104849427779</v>
      </c>
      <c r="AB42" s="559">
        <f t="shared" si="3"/>
        <v>383.25041130574982</v>
      </c>
      <c r="AC42" s="559">
        <f t="shared" si="3"/>
        <v>382.6452325157498</v>
      </c>
      <c r="AD42" s="559">
        <f t="shared" si="3"/>
        <v>382.03787221574981</v>
      </c>
      <c r="AE42" s="559">
        <f t="shared" si="3"/>
        <v>381.42836472574982</v>
      </c>
      <c r="AF42" s="559">
        <f t="shared" si="3"/>
        <v>380.81674318574983</v>
      </c>
      <c r="AG42" s="559">
        <f t="shared" si="3"/>
        <v>380.2030396257498</v>
      </c>
      <c r="AH42" s="559">
        <f t="shared" si="3"/>
        <v>379.58728500574983</v>
      </c>
      <c r="AI42" s="559">
        <f t="shared" si="3"/>
        <v>378.97183382722181</v>
      </c>
      <c r="AJ42" s="559">
        <f t="shared" si="3"/>
        <v>378.35206599722181</v>
      </c>
      <c r="AK42" s="559">
        <f t="shared" si="3"/>
        <v>377.73033416722177</v>
      </c>
      <c r="AL42" s="559"/>
      <c r="AM42" s="559"/>
      <c r="AN42" s="559"/>
      <c r="AO42" s="559"/>
      <c r="AP42" s="559"/>
      <c r="AQ42" s="559"/>
      <c r="AR42" s="559"/>
      <c r="AS42" s="559"/>
      <c r="AT42" s="559"/>
      <c r="AU42" s="559"/>
      <c r="AV42" s="559"/>
      <c r="AW42" s="559"/>
      <c r="AX42" s="559"/>
      <c r="AY42" s="559"/>
      <c r="AZ42" s="559"/>
      <c r="BA42" s="559"/>
      <c r="BB42" s="559"/>
      <c r="BC42" s="559"/>
      <c r="BD42" s="559"/>
      <c r="BE42" s="559"/>
      <c r="BF42" s="559"/>
      <c r="BG42" s="559"/>
      <c r="BH42" s="559"/>
      <c r="BI42" s="559"/>
      <c r="BJ42" s="559"/>
      <c r="BK42" s="559"/>
      <c r="BL42" s="559"/>
      <c r="BM42" s="559"/>
      <c r="BN42" s="559"/>
      <c r="BO42" s="559"/>
      <c r="BP42" s="559"/>
      <c r="BQ42" s="559"/>
      <c r="BR42" s="559"/>
      <c r="BS42" s="559"/>
      <c r="BT42" s="559"/>
      <c r="BU42" s="559"/>
      <c r="BV42" s="559"/>
      <c r="BW42" s="559"/>
      <c r="BX42" s="559"/>
      <c r="BY42" s="559"/>
      <c r="BZ42" s="559"/>
      <c r="CA42" s="559"/>
      <c r="CB42" s="559"/>
      <c r="CC42" s="559"/>
      <c r="CD42" s="559"/>
      <c r="CE42" s="559"/>
      <c r="CF42" s="559"/>
      <c r="CG42" s="559"/>
      <c r="CH42" s="559"/>
      <c r="CI42" s="560"/>
      <c r="CK42" s="1293"/>
    </row>
    <row r="43" spans="1:89" s="1292" customFormat="1" ht="16.5" customHeight="1" x14ac:dyDescent="0.2">
      <c r="A43" s="1284"/>
      <c r="B43" s="1026" t="s">
        <v>488</v>
      </c>
      <c r="C43" s="1027" t="s">
        <v>489</v>
      </c>
      <c r="D43" s="1028" t="s">
        <v>86</v>
      </c>
      <c r="E43" s="1029" t="s">
        <v>236</v>
      </c>
      <c r="F43" s="1030">
        <v>2</v>
      </c>
      <c r="G43" s="532"/>
      <c r="H43" s="532"/>
      <c r="I43" s="532">
        <v>49.738486115620127</v>
      </c>
      <c r="J43" s="532">
        <v>50.756445337807506</v>
      </c>
      <c r="K43" s="532">
        <v>53.261945062098761</v>
      </c>
      <c r="L43" s="532">
        <v>55.72470072759991</v>
      </c>
      <c r="M43" s="533">
        <v>60.093078676460763</v>
      </c>
      <c r="N43" s="533">
        <v>60.910931602479778</v>
      </c>
      <c r="O43" s="533">
        <v>60.104910615425297</v>
      </c>
      <c r="P43" s="533">
        <v>61.505031483923126</v>
      </c>
      <c r="Q43" s="533">
        <v>62.379263850620717</v>
      </c>
      <c r="R43" s="533">
        <v>62.841946181846588</v>
      </c>
      <c r="S43" s="533">
        <v>62.840841321455422</v>
      </c>
      <c r="T43" s="533">
        <v>63.183681613488211</v>
      </c>
      <c r="U43" s="533">
        <v>63.364505468545254</v>
      </c>
      <c r="V43" s="533">
        <v>63.227241096587441</v>
      </c>
      <c r="W43" s="533">
        <v>62.953727969446206</v>
      </c>
      <c r="X43" s="533">
        <v>62.342321664889894</v>
      </c>
      <c r="Y43" s="533">
        <v>61.774950957598939</v>
      </c>
      <c r="Z43" s="533">
        <v>61.251873557668553</v>
      </c>
      <c r="AA43" s="533">
        <v>61.243372787243054</v>
      </c>
      <c r="AB43" s="533">
        <v>61.234809442417941</v>
      </c>
      <c r="AC43" s="533">
        <v>61.224580187950153</v>
      </c>
      <c r="AD43" s="533">
        <v>61.213476401677347</v>
      </c>
      <c r="AE43" s="533">
        <v>61.202815742700452</v>
      </c>
      <c r="AF43" s="533">
        <v>61.194737364381943</v>
      </c>
      <c r="AG43" s="533">
        <v>61.188320089637422</v>
      </c>
      <c r="AH43" s="533">
        <v>61.182554038897216</v>
      </c>
      <c r="AI43" s="533">
        <v>61.177353824229279</v>
      </c>
      <c r="AJ43" s="533">
        <v>61.17306975177214</v>
      </c>
      <c r="AK43" s="533">
        <v>61.169124452647807</v>
      </c>
      <c r="AL43" s="533"/>
      <c r="AM43" s="533"/>
      <c r="AN43" s="533"/>
      <c r="AO43" s="533"/>
      <c r="AP43" s="533"/>
      <c r="AQ43" s="533"/>
      <c r="AR43" s="533"/>
      <c r="AS43" s="533"/>
      <c r="AT43" s="533"/>
      <c r="AU43" s="533"/>
      <c r="AV43" s="533"/>
      <c r="AW43" s="533"/>
      <c r="AX43" s="533"/>
      <c r="AY43" s="533"/>
      <c r="AZ43" s="533"/>
      <c r="BA43" s="533"/>
      <c r="BB43" s="533"/>
      <c r="BC43" s="533"/>
      <c r="BD43" s="533"/>
      <c r="BE43" s="533"/>
      <c r="BF43" s="533"/>
      <c r="BG43" s="533"/>
      <c r="BH43" s="533"/>
      <c r="BI43" s="533"/>
      <c r="BJ43" s="533"/>
      <c r="BK43" s="533"/>
      <c r="BL43" s="533"/>
      <c r="BM43" s="533"/>
      <c r="BN43" s="533"/>
      <c r="BO43" s="533"/>
      <c r="BP43" s="533"/>
      <c r="BQ43" s="533"/>
      <c r="BR43" s="533"/>
      <c r="BS43" s="533"/>
      <c r="BT43" s="533"/>
      <c r="BU43" s="533"/>
      <c r="BV43" s="533"/>
      <c r="BW43" s="533"/>
      <c r="BX43" s="533"/>
      <c r="BY43" s="533"/>
      <c r="BZ43" s="533"/>
      <c r="CA43" s="533"/>
      <c r="CB43" s="533"/>
      <c r="CC43" s="533"/>
      <c r="CD43" s="533"/>
      <c r="CE43" s="533"/>
      <c r="CF43" s="533"/>
      <c r="CG43" s="533"/>
      <c r="CH43" s="533"/>
      <c r="CI43" s="534"/>
      <c r="CK43" s="1293"/>
    </row>
    <row r="44" spans="1:89" s="1292" customFormat="1" ht="28.5" x14ac:dyDescent="0.2">
      <c r="A44" s="1284"/>
      <c r="B44" s="1031" t="s">
        <v>490</v>
      </c>
      <c r="C44" s="1032" t="s">
        <v>491</v>
      </c>
      <c r="D44" s="1023" t="s">
        <v>86</v>
      </c>
      <c r="E44" s="1024" t="s">
        <v>236</v>
      </c>
      <c r="F44" s="1025">
        <v>2</v>
      </c>
      <c r="G44" s="1011"/>
      <c r="H44" s="1008"/>
      <c r="I44" s="1008"/>
      <c r="J44" s="1008"/>
      <c r="K44" s="1008"/>
      <c r="L44" s="1008"/>
      <c r="M44" s="1009"/>
      <c r="N44" s="1009"/>
      <c r="O44" s="1009"/>
      <c r="P44" s="1009"/>
      <c r="Q44" s="1009"/>
      <c r="R44" s="1009"/>
      <c r="S44" s="1009"/>
      <c r="T44" s="1009"/>
      <c r="U44" s="1009"/>
      <c r="V44" s="1009"/>
      <c r="W44" s="1009"/>
      <c r="X44" s="1009"/>
      <c r="Y44" s="1009"/>
      <c r="Z44" s="1009"/>
      <c r="AA44" s="1009"/>
      <c r="AB44" s="1009"/>
      <c r="AC44" s="1009"/>
      <c r="AD44" s="1009"/>
      <c r="AE44" s="1009"/>
      <c r="AF44" s="1009"/>
      <c r="AG44" s="1009"/>
      <c r="AH44" s="1009"/>
      <c r="AI44" s="1009"/>
      <c r="AJ44" s="1009"/>
      <c r="AK44" s="1009"/>
      <c r="AL44" s="1009"/>
      <c r="AM44" s="1009"/>
      <c r="AN44" s="1009"/>
      <c r="AO44" s="1009"/>
      <c r="AP44" s="1009"/>
      <c r="AQ44" s="1009"/>
      <c r="AR44" s="1009"/>
      <c r="AS44" s="1009"/>
      <c r="AT44" s="1009"/>
      <c r="AU44" s="1009"/>
      <c r="AV44" s="1009"/>
      <c r="AW44" s="1009"/>
      <c r="AX44" s="1009"/>
      <c r="AY44" s="1009"/>
      <c r="AZ44" s="1009"/>
      <c r="BA44" s="1009"/>
      <c r="BB44" s="1009"/>
      <c r="BC44" s="1009"/>
      <c r="BD44" s="1009"/>
      <c r="BE44" s="1009"/>
      <c r="BF44" s="1009"/>
      <c r="BG44" s="1009"/>
      <c r="BH44" s="1009"/>
      <c r="BI44" s="1009"/>
      <c r="BJ44" s="1009"/>
      <c r="BK44" s="1009"/>
      <c r="BL44" s="1009"/>
      <c r="BM44" s="1009"/>
      <c r="BN44" s="1009"/>
      <c r="BO44" s="1009"/>
      <c r="BP44" s="1009"/>
      <c r="BQ44" s="1009"/>
      <c r="BR44" s="1009"/>
      <c r="BS44" s="1009"/>
      <c r="BT44" s="1009"/>
      <c r="BU44" s="1009"/>
      <c r="BV44" s="1009"/>
      <c r="BW44" s="1009"/>
      <c r="BX44" s="1009"/>
      <c r="BY44" s="1009"/>
      <c r="BZ44" s="1009"/>
      <c r="CA44" s="1009"/>
      <c r="CB44" s="1009"/>
      <c r="CC44" s="1009"/>
      <c r="CD44" s="1009"/>
      <c r="CE44" s="1009"/>
      <c r="CF44" s="1009"/>
      <c r="CG44" s="1009"/>
      <c r="CH44" s="1009"/>
      <c r="CI44" s="1010"/>
      <c r="CK44" s="1293"/>
    </row>
    <row r="45" spans="1:89" s="1292" customFormat="1" x14ac:dyDescent="0.2">
      <c r="A45" s="1284"/>
      <c r="B45" s="1033" t="s">
        <v>492</v>
      </c>
      <c r="C45" s="1034" t="s">
        <v>493</v>
      </c>
      <c r="D45" s="1035" t="s">
        <v>86</v>
      </c>
      <c r="E45" s="1036" t="s">
        <v>236</v>
      </c>
      <c r="F45" s="1037">
        <v>2</v>
      </c>
      <c r="G45" s="540"/>
      <c r="H45" s="540"/>
      <c r="I45" s="540">
        <v>0.96834019650590819</v>
      </c>
      <c r="J45" s="540">
        <v>0.96149187075335063</v>
      </c>
      <c r="K45" s="540">
        <v>0.94933810018513609</v>
      </c>
      <c r="L45" s="540">
        <v>0.93721838003333457</v>
      </c>
      <c r="M45" s="544">
        <v>1.0810664533764061</v>
      </c>
      <c r="N45" s="544">
        <v>1.0734583323058002</v>
      </c>
      <c r="O45" s="544">
        <v>1.0658502112351944</v>
      </c>
      <c r="P45" s="544">
        <v>1.0582420901645884</v>
      </c>
      <c r="Q45" s="544">
        <v>1.0530115069285468</v>
      </c>
      <c r="R45" s="544">
        <v>1.0477809236925053</v>
      </c>
      <c r="S45" s="544">
        <v>1.0444523707241153</v>
      </c>
      <c r="T45" s="544">
        <v>1.0411238177557252</v>
      </c>
      <c r="U45" s="544">
        <v>1.0377952647873352</v>
      </c>
      <c r="V45" s="544">
        <v>1.034466711818945</v>
      </c>
      <c r="W45" s="544">
        <v>1.031138158850555</v>
      </c>
      <c r="X45" s="544">
        <v>1.0278096058821649</v>
      </c>
      <c r="Y45" s="544">
        <v>1.0244810529137749</v>
      </c>
      <c r="Z45" s="544">
        <v>1.0211524999453847</v>
      </c>
      <c r="AA45" s="544">
        <v>1.0178239469769947</v>
      </c>
      <c r="AB45" s="544">
        <v>1.0144953940086046</v>
      </c>
      <c r="AC45" s="544">
        <v>1.0111668410402146</v>
      </c>
      <c r="AD45" s="544">
        <v>1.0078382880718244</v>
      </c>
      <c r="AE45" s="544">
        <v>1.0045097351034344</v>
      </c>
      <c r="AF45" s="544">
        <v>1.0011811821350443</v>
      </c>
      <c r="AG45" s="544">
        <v>0.99785262916665418</v>
      </c>
      <c r="AH45" s="544">
        <v>0.99452407619826411</v>
      </c>
      <c r="AI45" s="544">
        <v>0.99119552322987403</v>
      </c>
      <c r="AJ45" s="544">
        <v>0.98786697026148396</v>
      </c>
      <c r="AK45" s="544">
        <v>0.98453841729309388</v>
      </c>
      <c r="AL45" s="544"/>
      <c r="AM45" s="544"/>
      <c r="AN45" s="544"/>
      <c r="AO45" s="544"/>
      <c r="AP45" s="544"/>
      <c r="AQ45" s="544"/>
      <c r="AR45" s="544"/>
      <c r="AS45" s="544"/>
      <c r="AT45" s="544"/>
      <c r="AU45" s="544"/>
      <c r="AV45" s="544"/>
      <c r="AW45" s="544"/>
      <c r="AX45" s="544"/>
      <c r="AY45" s="544"/>
      <c r="AZ45" s="544"/>
      <c r="BA45" s="544"/>
      <c r="BB45" s="544"/>
      <c r="BC45" s="544"/>
      <c r="BD45" s="544"/>
      <c r="BE45" s="544"/>
      <c r="BF45" s="544"/>
      <c r="BG45" s="544"/>
      <c r="BH45" s="544"/>
      <c r="BI45" s="544"/>
      <c r="BJ45" s="544"/>
      <c r="BK45" s="544"/>
      <c r="BL45" s="544"/>
      <c r="BM45" s="544"/>
      <c r="BN45" s="544"/>
      <c r="BO45" s="544"/>
      <c r="BP45" s="544"/>
      <c r="BQ45" s="544"/>
      <c r="BR45" s="544"/>
      <c r="BS45" s="544"/>
      <c r="BT45" s="544"/>
      <c r="BU45" s="544"/>
      <c r="BV45" s="544"/>
      <c r="BW45" s="544"/>
      <c r="BX45" s="544"/>
      <c r="BY45" s="544"/>
      <c r="BZ45" s="544"/>
      <c r="CA45" s="544"/>
      <c r="CB45" s="544"/>
      <c r="CC45" s="544"/>
      <c r="CD45" s="544"/>
      <c r="CE45" s="544"/>
      <c r="CF45" s="544"/>
      <c r="CG45" s="544"/>
      <c r="CH45" s="544"/>
      <c r="CI45" s="545"/>
      <c r="CK45" s="1293"/>
    </row>
    <row r="46" spans="1:89" s="1292" customFormat="1" x14ac:dyDescent="0.2">
      <c r="A46" s="1284"/>
      <c r="B46" s="563" t="s">
        <v>494</v>
      </c>
      <c r="C46" s="564" t="s">
        <v>495</v>
      </c>
      <c r="D46" s="565" t="s">
        <v>86</v>
      </c>
      <c r="E46" s="566" t="s">
        <v>236</v>
      </c>
      <c r="F46" s="567">
        <v>2</v>
      </c>
      <c r="G46" s="540"/>
      <c r="H46" s="540"/>
      <c r="I46" s="540">
        <v>156.54745468951842</v>
      </c>
      <c r="J46" s="1472">
        <v>157.27535158807922</v>
      </c>
      <c r="K46" s="1472">
        <v>161.03402154549761</v>
      </c>
      <c r="L46" s="1472">
        <v>165.05155782742975</v>
      </c>
      <c r="M46" s="1473">
        <v>175.91712666592701</v>
      </c>
      <c r="N46" s="544">
        <v>189.68638177011462</v>
      </c>
      <c r="O46" s="544">
        <v>198.32700609287909</v>
      </c>
      <c r="P46" s="544">
        <v>202.52853123143387</v>
      </c>
      <c r="Q46" s="544">
        <v>206.08866767394255</v>
      </c>
      <c r="R46" s="544">
        <v>208.6084671000269</v>
      </c>
      <c r="S46" s="544">
        <v>210.93539224445041</v>
      </c>
      <c r="T46" s="544">
        <v>212.76926553958498</v>
      </c>
      <c r="U46" s="544">
        <v>214.68216860582635</v>
      </c>
      <c r="V46" s="544">
        <v>216.52922881339131</v>
      </c>
      <c r="W46" s="544">
        <v>218.34440076329182</v>
      </c>
      <c r="X46" s="544">
        <v>219.9639231197161</v>
      </c>
      <c r="Y46" s="544">
        <v>221.73813877164235</v>
      </c>
      <c r="Z46" s="544">
        <v>223.63214573133152</v>
      </c>
      <c r="AA46" s="544">
        <v>225.58572739442494</v>
      </c>
      <c r="AB46" s="544">
        <v>224.66271271422536</v>
      </c>
      <c r="AC46" s="544">
        <v>226.60727786348338</v>
      </c>
      <c r="AD46" s="544">
        <v>228.64213302176981</v>
      </c>
      <c r="AE46" s="544">
        <v>230.76130947507193</v>
      </c>
      <c r="AF46" s="544">
        <v>232.96972094326858</v>
      </c>
      <c r="AG46" s="544">
        <v>235.2023356959248</v>
      </c>
      <c r="AH46" s="544">
        <v>233.40907583696907</v>
      </c>
      <c r="AI46" s="544">
        <v>235.73629413716199</v>
      </c>
      <c r="AJ46" s="544">
        <v>236.03522206528842</v>
      </c>
      <c r="AK46" s="544">
        <v>238.41939238322604</v>
      </c>
      <c r="AL46" s="544"/>
      <c r="AM46" s="544"/>
      <c r="AN46" s="544"/>
      <c r="AO46" s="544"/>
      <c r="AP46" s="544"/>
      <c r="AQ46" s="544"/>
      <c r="AR46" s="544"/>
      <c r="AS46" s="544"/>
      <c r="AT46" s="544"/>
      <c r="AU46" s="544"/>
      <c r="AV46" s="544"/>
      <c r="AW46" s="544"/>
      <c r="AX46" s="544"/>
      <c r="AY46" s="544"/>
      <c r="AZ46" s="544"/>
      <c r="BA46" s="544"/>
      <c r="BB46" s="544"/>
      <c r="BC46" s="544"/>
      <c r="BD46" s="544"/>
      <c r="BE46" s="544"/>
      <c r="BF46" s="544"/>
      <c r="BG46" s="544"/>
      <c r="BH46" s="544"/>
      <c r="BI46" s="544"/>
      <c r="BJ46" s="544"/>
      <c r="BK46" s="544"/>
      <c r="BL46" s="544"/>
      <c r="BM46" s="544"/>
      <c r="BN46" s="544"/>
      <c r="BO46" s="544"/>
      <c r="BP46" s="544"/>
      <c r="BQ46" s="544"/>
      <c r="BR46" s="544"/>
      <c r="BS46" s="544"/>
      <c r="BT46" s="544"/>
      <c r="BU46" s="544"/>
      <c r="BV46" s="544"/>
      <c r="BW46" s="544"/>
      <c r="BX46" s="544"/>
      <c r="BY46" s="544"/>
      <c r="BZ46" s="544"/>
      <c r="CA46" s="544"/>
      <c r="CB46" s="544"/>
      <c r="CC46" s="544"/>
      <c r="CD46" s="544"/>
      <c r="CE46" s="544"/>
      <c r="CF46" s="544"/>
      <c r="CG46" s="544"/>
      <c r="CH46" s="544"/>
      <c r="CI46" s="545"/>
      <c r="CK46" s="1293"/>
    </row>
    <row r="47" spans="1:89" s="1294" customFormat="1" x14ac:dyDescent="0.2">
      <c r="A47" s="1284"/>
      <c r="B47" s="563" t="s">
        <v>496</v>
      </c>
      <c r="C47" s="564" t="s">
        <v>497</v>
      </c>
      <c r="D47" s="565" t="s">
        <v>86</v>
      </c>
      <c r="E47" s="566" t="s">
        <v>236</v>
      </c>
      <c r="F47" s="567">
        <v>2</v>
      </c>
      <c r="G47" s="540"/>
      <c r="H47" s="540"/>
      <c r="I47" s="540">
        <v>148.78565809476243</v>
      </c>
      <c r="J47" s="540">
        <v>142.80973728605437</v>
      </c>
      <c r="K47" s="540">
        <v>136.86793728753355</v>
      </c>
      <c r="L47" s="540">
        <v>129.40851803821832</v>
      </c>
      <c r="M47" s="544">
        <v>117.29308671452122</v>
      </c>
      <c r="N47" s="544">
        <v>103.0796593459018</v>
      </c>
      <c r="O47" s="544">
        <v>95.924272825875477</v>
      </c>
      <c r="P47" s="544">
        <v>93.485670403806921</v>
      </c>
      <c r="Q47" s="544">
        <v>91.049414036068711</v>
      </c>
      <c r="R47" s="544">
        <v>89.067189489732201</v>
      </c>
      <c r="S47" s="544">
        <v>87.520868640623206</v>
      </c>
      <c r="T47" s="544">
        <v>85.992742407099129</v>
      </c>
      <c r="U47" s="544">
        <v>84.468720167820251</v>
      </c>
      <c r="V47" s="544">
        <v>82.969742571274807</v>
      </c>
      <c r="W47" s="544">
        <v>81.819713968259293</v>
      </c>
      <c r="X47" s="544">
        <v>81.023402694424135</v>
      </c>
      <c r="Y47" s="544">
        <v>80.235194192535161</v>
      </c>
      <c r="Z47" s="544">
        <v>79.468618089949217</v>
      </c>
      <c r="AA47" s="544">
        <v>78.704128002871926</v>
      </c>
      <c r="AB47" s="544">
        <v>77.953827017044077</v>
      </c>
      <c r="AC47" s="544">
        <v>77.210698004604069</v>
      </c>
      <c r="AD47" s="544">
        <v>76.493768898827213</v>
      </c>
      <c r="AE47" s="544">
        <v>75.783331940232102</v>
      </c>
      <c r="AF47" s="544">
        <v>75.085754072157997</v>
      </c>
      <c r="AG47" s="544">
        <v>73.731763993476818</v>
      </c>
      <c r="AH47" s="544">
        <v>73.071798270388058</v>
      </c>
      <c r="AI47" s="544">
        <v>72.417348834511301</v>
      </c>
      <c r="AJ47" s="544">
        <v>71.774687070134277</v>
      </c>
      <c r="AK47" s="544">
        <v>71.137165696330101</v>
      </c>
      <c r="AL47" s="544"/>
      <c r="AM47" s="544"/>
      <c r="AN47" s="544"/>
      <c r="AO47" s="544"/>
      <c r="AP47" s="544"/>
      <c r="AQ47" s="544"/>
      <c r="AR47" s="544"/>
      <c r="AS47" s="544"/>
      <c r="AT47" s="544"/>
      <c r="AU47" s="544"/>
      <c r="AV47" s="544"/>
      <c r="AW47" s="544"/>
      <c r="AX47" s="544"/>
      <c r="AY47" s="544"/>
      <c r="AZ47" s="544"/>
      <c r="BA47" s="544"/>
      <c r="BB47" s="544"/>
      <c r="BC47" s="544"/>
      <c r="BD47" s="544"/>
      <c r="BE47" s="544"/>
      <c r="BF47" s="544"/>
      <c r="BG47" s="544"/>
      <c r="BH47" s="544"/>
      <c r="BI47" s="544"/>
      <c r="BJ47" s="544"/>
      <c r="BK47" s="544"/>
      <c r="BL47" s="544"/>
      <c r="BM47" s="544"/>
      <c r="BN47" s="544"/>
      <c r="BO47" s="544"/>
      <c r="BP47" s="544"/>
      <c r="BQ47" s="544"/>
      <c r="BR47" s="544"/>
      <c r="BS47" s="544"/>
      <c r="BT47" s="544"/>
      <c r="BU47" s="544"/>
      <c r="BV47" s="544"/>
      <c r="BW47" s="544"/>
      <c r="BX47" s="544"/>
      <c r="BY47" s="544"/>
      <c r="BZ47" s="544"/>
      <c r="CA47" s="544"/>
      <c r="CB47" s="544"/>
      <c r="CC47" s="544"/>
      <c r="CD47" s="544"/>
      <c r="CE47" s="544"/>
      <c r="CF47" s="544"/>
      <c r="CG47" s="544"/>
      <c r="CH47" s="544"/>
      <c r="CI47" s="545"/>
      <c r="CK47" s="1295"/>
    </row>
    <row r="48" spans="1:89" s="1292" customFormat="1" ht="28.5" x14ac:dyDescent="0.2">
      <c r="A48" s="1284"/>
      <c r="B48" s="563" t="s">
        <v>498</v>
      </c>
      <c r="C48" s="564" t="s">
        <v>499</v>
      </c>
      <c r="D48" s="565" t="s">
        <v>86</v>
      </c>
      <c r="E48" s="566" t="s">
        <v>375</v>
      </c>
      <c r="F48" s="567">
        <v>1</v>
      </c>
      <c r="G48" s="568"/>
      <c r="H48" s="1326"/>
      <c r="I48" s="1326">
        <v>0</v>
      </c>
      <c r="J48" s="1326">
        <v>1.8192023671781592E-3</v>
      </c>
      <c r="K48" s="1326">
        <v>3.0056039511091753E-3</v>
      </c>
      <c r="L48" s="1326">
        <v>4.2028547891914672E-3</v>
      </c>
      <c r="M48" s="1327">
        <v>4.9873535543756703E-3</v>
      </c>
      <c r="N48" s="1327">
        <v>5.0620073038456616E-3</v>
      </c>
      <c r="O48" s="1327">
        <v>5.2609225846119928E-3</v>
      </c>
      <c r="P48" s="1327">
        <v>5.3708010272811016E-3</v>
      </c>
      <c r="Q48" s="1327">
        <v>5.4897817200605659E-3</v>
      </c>
      <c r="R48" s="1327">
        <v>5.692778911621032E-3</v>
      </c>
      <c r="S48" s="1327">
        <v>5.827342061129513E-3</v>
      </c>
      <c r="T48" s="1327">
        <v>6.0309671728492444E-3</v>
      </c>
      <c r="U48" s="1327">
        <v>6.1619893641605399E-3</v>
      </c>
      <c r="V48" s="1327">
        <v>6.2958027187031062E-3</v>
      </c>
      <c r="W48" s="1327">
        <v>6.5042785473989218E-3</v>
      </c>
      <c r="X48" s="1327">
        <v>6.6449495523997724E-3</v>
      </c>
      <c r="Y48" s="1327">
        <v>6.8555690305523104E-3</v>
      </c>
      <c r="Z48" s="1327">
        <v>6.9908111424007227E-3</v>
      </c>
      <c r="AA48" s="1327">
        <v>7.1144599809932251E-3</v>
      </c>
      <c r="AB48" s="1327">
        <v>1.4435924962700592E-2</v>
      </c>
      <c r="AC48" s="1327">
        <v>7.4458425304231067E-3</v>
      </c>
      <c r="AD48" s="1327">
        <v>7.5902698652461848E-3</v>
      </c>
      <c r="AE48" s="1327">
        <v>7.7324244240050211E-3</v>
      </c>
      <c r="AF48" s="1327">
        <v>7.8722512345585395E-3</v>
      </c>
      <c r="AG48" s="1327">
        <v>9.8096142886950101E-3</v>
      </c>
      <c r="AH48" s="1327">
        <v>1.9344121134275114E-2</v>
      </c>
      <c r="AI48" s="1327">
        <v>8.2955395702638112E-3</v>
      </c>
      <c r="AJ48" s="1327">
        <v>1.4121123315594944E-2</v>
      </c>
      <c r="AK48" s="1327">
        <v>8.5637382969933808E-3</v>
      </c>
      <c r="AL48" s="1327"/>
      <c r="AM48" s="1327"/>
      <c r="AN48" s="1327"/>
      <c r="AO48" s="1327"/>
      <c r="AP48" s="1327"/>
      <c r="AQ48" s="1327"/>
      <c r="AR48" s="1327"/>
      <c r="AS48" s="1327"/>
      <c r="AT48" s="1327"/>
      <c r="AU48" s="1327"/>
      <c r="AV48" s="1327"/>
      <c r="AW48" s="1327"/>
      <c r="AX48" s="1327"/>
      <c r="AY48" s="1327"/>
      <c r="AZ48" s="1327"/>
      <c r="BA48" s="1327"/>
      <c r="BB48" s="1327"/>
      <c r="BC48" s="1327"/>
      <c r="BD48" s="1327"/>
      <c r="BE48" s="1327"/>
      <c r="BF48" s="1327"/>
      <c r="BG48" s="1327"/>
      <c r="BH48" s="1327"/>
      <c r="BI48" s="1327"/>
      <c r="BJ48" s="1327"/>
      <c r="BK48" s="1327"/>
      <c r="BL48" s="1327"/>
      <c r="BM48" s="1327"/>
      <c r="BN48" s="1327"/>
      <c r="BO48" s="1327"/>
      <c r="BP48" s="1327"/>
      <c r="BQ48" s="1327"/>
      <c r="BR48" s="1327"/>
      <c r="BS48" s="1327"/>
      <c r="BT48" s="1327"/>
      <c r="BU48" s="1327"/>
      <c r="BV48" s="1327"/>
      <c r="BW48" s="1327"/>
      <c r="BX48" s="1327"/>
      <c r="BY48" s="1327"/>
      <c r="BZ48" s="1327"/>
      <c r="CA48" s="1327"/>
      <c r="CB48" s="1327"/>
      <c r="CC48" s="1327"/>
      <c r="CD48" s="1327"/>
      <c r="CE48" s="1327"/>
      <c r="CF48" s="1327"/>
      <c r="CG48" s="1327"/>
      <c r="CH48" s="1327"/>
      <c r="CI48" s="1328"/>
      <c r="CK48" s="1293"/>
    </row>
    <row r="49" spans="1:89" s="1292" customFormat="1" ht="28.5" x14ac:dyDescent="0.2">
      <c r="A49" s="1284"/>
      <c r="B49" s="563" t="s">
        <v>500</v>
      </c>
      <c r="C49" s="564" t="s">
        <v>501</v>
      </c>
      <c r="D49" s="565" t="s">
        <v>502</v>
      </c>
      <c r="E49" s="566" t="s">
        <v>236</v>
      </c>
      <c r="F49" s="567">
        <v>2</v>
      </c>
      <c r="G49" s="569">
        <f>G48*(G43+SUM(G45:G47)-SUM(G55:G58))</f>
        <v>0</v>
      </c>
      <c r="H49" s="569">
        <f t="shared" ref="H49:AK49" si="4">H48*(SUM(H43:H47)-SUM(H55:H58))</f>
        <v>0</v>
      </c>
      <c r="I49" s="569">
        <f t="shared" si="4"/>
        <v>0</v>
      </c>
      <c r="J49" s="569">
        <f t="shared" si="4"/>
        <v>0.61850191331132731</v>
      </c>
      <c r="K49" s="569">
        <f t="shared" si="4"/>
        <v>1.0241138035956843</v>
      </c>
      <c r="L49" s="569">
        <f t="shared" si="4"/>
        <v>1.4297973929031831</v>
      </c>
      <c r="M49" s="569">
        <f t="shared" si="4"/>
        <v>1.7134815817760529</v>
      </c>
      <c r="N49" s="569">
        <f t="shared" si="4"/>
        <v>1.7420195258172884</v>
      </c>
      <c r="O49" s="569">
        <f t="shared" si="4"/>
        <v>1.8142524747684323</v>
      </c>
      <c r="P49" s="569">
        <f t="shared" si="4"/>
        <v>1.8687727466873785</v>
      </c>
      <c r="Q49" s="569">
        <f t="shared" si="4"/>
        <v>1.9209065107941268</v>
      </c>
      <c r="R49" s="569">
        <f t="shared" si="4"/>
        <v>1.9974006148679491</v>
      </c>
      <c r="S49" s="569">
        <f t="shared" si="4"/>
        <v>2.0489233346049858</v>
      </c>
      <c r="T49" s="569">
        <f t="shared" si="4"/>
        <v>2.124222260140725</v>
      </c>
      <c r="U49" s="569">
        <f t="shared" si="4"/>
        <v>2.1737177656313742</v>
      </c>
      <c r="V49" s="569">
        <f t="shared" si="4"/>
        <v>2.2220434796478288</v>
      </c>
      <c r="W49" s="569">
        <f t="shared" si="4"/>
        <v>2.2979025381436782</v>
      </c>
      <c r="X49" s="569">
        <f t="shared" si="4"/>
        <v>2.3486762869360511</v>
      </c>
      <c r="Y49" s="569">
        <f t="shared" si="4"/>
        <v>2.4256401191997852</v>
      </c>
      <c r="Z49" s="569">
        <f t="shared" si="4"/>
        <v>2.4773517170446051</v>
      </c>
      <c r="AA49" s="569">
        <f t="shared" si="4"/>
        <v>2.5291897254162099</v>
      </c>
      <c r="AB49" s="569">
        <f t="shared" si="4"/>
        <v>5.1069057882035525</v>
      </c>
      <c r="AC49" s="569">
        <f t="shared" si="4"/>
        <v>2.642524962215032</v>
      </c>
      <c r="AD49" s="569">
        <f t="shared" si="4"/>
        <v>2.7032715487270349</v>
      </c>
      <c r="AE49" s="569">
        <f t="shared" si="4"/>
        <v>2.7642639432896741</v>
      </c>
      <c r="AF49" s="569">
        <f t="shared" si="4"/>
        <v>2.8256172976337068</v>
      </c>
      <c r="AG49" s="569">
        <f t="shared" si="4"/>
        <v>3.5289706253125184</v>
      </c>
      <c r="AH49" s="569">
        <f t="shared" si="4"/>
        <v>6.9102253179110757</v>
      </c>
      <c r="AI49" s="569">
        <f t="shared" si="4"/>
        <v>2.9767018503940097</v>
      </c>
      <c r="AJ49" s="569">
        <f t="shared" si="4"/>
        <v>5.061299567061404</v>
      </c>
      <c r="AK49" s="569">
        <f t="shared" si="4"/>
        <v>3.0837935710022548</v>
      </c>
      <c r="AL49" s="569"/>
      <c r="AM49" s="569"/>
      <c r="AN49" s="569"/>
      <c r="AO49" s="569"/>
      <c r="AP49" s="569"/>
      <c r="AQ49" s="569"/>
      <c r="AR49" s="569"/>
      <c r="AS49" s="569"/>
      <c r="AT49" s="569"/>
      <c r="AU49" s="569"/>
      <c r="AV49" s="569"/>
      <c r="AW49" s="569"/>
      <c r="AX49" s="569"/>
      <c r="AY49" s="569"/>
      <c r="AZ49" s="569"/>
      <c r="BA49" s="569"/>
      <c r="BB49" s="569"/>
      <c r="BC49" s="569"/>
      <c r="BD49" s="569"/>
      <c r="BE49" s="569"/>
      <c r="BF49" s="569"/>
      <c r="BG49" s="569"/>
      <c r="BH49" s="569"/>
      <c r="BI49" s="569"/>
      <c r="BJ49" s="569"/>
      <c r="BK49" s="569"/>
      <c r="BL49" s="569"/>
      <c r="BM49" s="569"/>
      <c r="BN49" s="569"/>
      <c r="BO49" s="569"/>
      <c r="BP49" s="569"/>
      <c r="BQ49" s="569"/>
      <c r="BR49" s="569"/>
      <c r="BS49" s="569"/>
      <c r="BT49" s="569"/>
      <c r="BU49" s="569"/>
      <c r="BV49" s="569"/>
      <c r="BW49" s="569"/>
      <c r="BX49" s="569"/>
      <c r="BY49" s="569"/>
      <c r="BZ49" s="569"/>
      <c r="CA49" s="569"/>
      <c r="CB49" s="569"/>
      <c r="CC49" s="569"/>
      <c r="CD49" s="569"/>
      <c r="CE49" s="569"/>
      <c r="CF49" s="569"/>
      <c r="CG49" s="569"/>
      <c r="CH49" s="569"/>
      <c r="CI49" s="570"/>
      <c r="CK49" s="1293"/>
    </row>
    <row r="50" spans="1:89" s="1292" customFormat="1" x14ac:dyDescent="0.2">
      <c r="A50" s="1284"/>
      <c r="B50" s="563" t="s">
        <v>503</v>
      </c>
      <c r="C50" s="571" t="s">
        <v>305</v>
      </c>
      <c r="D50" s="572" t="s">
        <v>504</v>
      </c>
      <c r="E50" s="573" t="s">
        <v>239</v>
      </c>
      <c r="F50" s="574">
        <v>1</v>
      </c>
      <c r="G50" s="575" t="e">
        <f>(((G46-G57))*1000000)/((G79)*1000)</f>
        <v>#DIV/0!</v>
      </c>
      <c r="H50" s="575" t="e">
        <f t="shared" ref="H50:AK51" si="5">(((H46-H57))*1000000)/((H79)*1000)</f>
        <v>#DIV/0!</v>
      </c>
      <c r="I50" s="575">
        <f t="shared" si="5"/>
        <v>161.53673014718737</v>
      </c>
      <c r="J50" s="575">
        <f t="shared" si="5"/>
        <v>157.6080162221013</v>
      </c>
      <c r="K50" s="575">
        <f t="shared" si="5"/>
        <v>154.69407627009528</v>
      </c>
      <c r="L50" s="575">
        <f t="shared" si="5"/>
        <v>150.85834706398435</v>
      </c>
      <c r="M50" s="576">
        <f t="shared" si="5"/>
        <v>148.19616130298968</v>
      </c>
      <c r="N50" s="576">
        <f t="shared" si="5"/>
        <v>146.41817160809907</v>
      </c>
      <c r="O50" s="576">
        <f t="shared" si="5"/>
        <v>145.22738772157476</v>
      </c>
      <c r="P50" s="576">
        <f t="shared" si="5"/>
        <v>144.48302040685357</v>
      </c>
      <c r="Q50" s="576">
        <f t="shared" si="5"/>
        <v>143.83987673296065</v>
      </c>
      <c r="R50" s="576">
        <f t="shared" si="5"/>
        <v>143.41629390370767</v>
      </c>
      <c r="S50" s="576">
        <f t="shared" si="5"/>
        <v>142.97069203934814</v>
      </c>
      <c r="T50" s="576">
        <f t="shared" si="5"/>
        <v>142.63642677253793</v>
      </c>
      <c r="U50" s="576">
        <f t="shared" si="5"/>
        <v>142.25648844752499</v>
      </c>
      <c r="V50" s="576">
        <f t="shared" si="5"/>
        <v>141.9666508164386</v>
      </c>
      <c r="W50" s="576">
        <f t="shared" si="5"/>
        <v>141.63332657247764</v>
      </c>
      <c r="X50" s="576">
        <f t="shared" si="5"/>
        <v>141.32506972757565</v>
      </c>
      <c r="Y50" s="576">
        <f t="shared" si="5"/>
        <v>141.05042283194763</v>
      </c>
      <c r="Z50" s="576">
        <f t="shared" si="5"/>
        <v>140.79667116183649</v>
      </c>
      <c r="AA50" s="576">
        <f t="shared" si="5"/>
        <v>140.52929434554935</v>
      </c>
      <c r="AB50" s="576">
        <f t="shared" si="5"/>
        <v>138.44228865699469</v>
      </c>
      <c r="AC50" s="576">
        <f t="shared" si="5"/>
        <v>138.19417531943364</v>
      </c>
      <c r="AD50" s="576">
        <f t="shared" si="5"/>
        <v>137.97282381545463</v>
      </c>
      <c r="AE50" s="576">
        <f t="shared" si="5"/>
        <v>137.73500246667709</v>
      </c>
      <c r="AF50" s="576">
        <f t="shared" si="5"/>
        <v>137.49477214643079</v>
      </c>
      <c r="AG50" s="576">
        <f t="shared" si="5"/>
        <v>137.25058763694406</v>
      </c>
      <c r="AH50" s="576">
        <f t="shared" si="5"/>
        <v>134.58527961987875</v>
      </c>
      <c r="AI50" s="576">
        <f t="shared" si="5"/>
        <v>134.36206678710434</v>
      </c>
      <c r="AJ50" s="576">
        <f t="shared" si="5"/>
        <v>132.9201425251868</v>
      </c>
      <c r="AK50" s="576">
        <f t="shared" si="5"/>
        <v>132.69871159979689</v>
      </c>
      <c r="AL50" s="576"/>
      <c r="AM50" s="576"/>
      <c r="AN50" s="576"/>
      <c r="AO50" s="576"/>
      <c r="AP50" s="576"/>
      <c r="AQ50" s="576"/>
      <c r="AR50" s="576"/>
      <c r="AS50" s="576"/>
      <c r="AT50" s="576"/>
      <c r="AU50" s="576"/>
      <c r="AV50" s="576"/>
      <c r="AW50" s="576"/>
      <c r="AX50" s="576"/>
      <c r="AY50" s="576"/>
      <c r="AZ50" s="576"/>
      <c r="BA50" s="576"/>
      <c r="BB50" s="576"/>
      <c r="BC50" s="576"/>
      <c r="BD50" s="576"/>
      <c r="BE50" s="576"/>
      <c r="BF50" s="576"/>
      <c r="BG50" s="576"/>
      <c r="BH50" s="576"/>
      <c r="BI50" s="576"/>
      <c r="BJ50" s="576"/>
      <c r="BK50" s="576"/>
      <c r="BL50" s="576"/>
      <c r="BM50" s="576"/>
      <c r="BN50" s="576"/>
      <c r="BO50" s="576"/>
      <c r="BP50" s="576"/>
      <c r="BQ50" s="576"/>
      <c r="BR50" s="576"/>
      <c r="BS50" s="576"/>
      <c r="BT50" s="576"/>
      <c r="BU50" s="576"/>
      <c r="BV50" s="576"/>
      <c r="BW50" s="576"/>
      <c r="BX50" s="576"/>
      <c r="BY50" s="576"/>
      <c r="BZ50" s="576"/>
      <c r="CA50" s="576"/>
      <c r="CB50" s="576"/>
      <c r="CC50" s="576"/>
      <c r="CD50" s="576"/>
      <c r="CE50" s="576"/>
      <c r="CF50" s="576"/>
      <c r="CG50" s="576"/>
      <c r="CH50" s="576"/>
      <c r="CI50" s="570"/>
      <c r="CK50" s="1293"/>
    </row>
    <row r="51" spans="1:89" s="1292" customFormat="1" x14ac:dyDescent="0.2">
      <c r="A51" s="1284"/>
      <c r="B51" s="563" t="s">
        <v>505</v>
      </c>
      <c r="C51" s="571" t="s">
        <v>324</v>
      </c>
      <c r="D51" s="572" t="s">
        <v>506</v>
      </c>
      <c r="E51" s="573" t="s">
        <v>239</v>
      </c>
      <c r="F51" s="574">
        <v>1</v>
      </c>
      <c r="G51" s="575" t="e">
        <f>(((G47-G58))*1000000)/((G80)*1000)</f>
        <v>#DIV/0!</v>
      </c>
      <c r="H51" s="575" t="e">
        <f t="shared" si="5"/>
        <v>#DIV/0!</v>
      </c>
      <c r="I51" s="575">
        <f t="shared" si="5"/>
        <v>171.55484862440804</v>
      </c>
      <c r="J51" s="575">
        <f t="shared" si="5"/>
        <v>168.46942475702738</v>
      </c>
      <c r="K51" s="575">
        <f t="shared" si="5"/>
        <v>166.50593934512526</v>
      </c>
      <c r="L51" s="575">
        <f t="shared" si="5"/>
        <v>163.89349439183397</v>
      </c>
      <c r="M51" s="576">
        <f t="shared" si="5"/>
        <v>162.24939333791812</v>
      </c>
      <c r="N51" s="576">
        <f t="shared" si="5"/>
        <v>161.48937501772321</v>
      </c>
      <c r="O51" s="576">
        <f t="shared" si="5"/>
        <v>161.36926689417589</v>
      </c>
      <c r="P51" s="576">
        <f t="shared" si="5"/>
        <v>161.25161237029167</v>
      </c>
      <c r="Q51" s="576">
        <f t="shared" si="5"/>
        <v>161.12321788070619</v>
      </c>
      <c r="R51" s="576">
        <f t="shared" si="5"/>
        <v>161.12053603305733</v>
      </c>
      <c r="S51" s="576">
        <f t="shared" si="5"/>
        <v>161.21518391945057</v>
      </c>
      <c r="T51" s="576">
        <f t="shared" si="5"/>
        <v>161.32629968879638</v>
      </c>
      <c r="U51" s="576">
        <f t="shared" si="5"/>
        <v>161.43074332240136</v>
      </c>
      <c r="V51" s="576">
        <f t="shared" si="5"/>
        <v>161.56595498464998</v>
      </c>
      <c r="W51" s="576">
        <f t="shared" si="5"/>
        <v>161.7672024308645</v>
      </c>
      <c r="X51" s="576">
        <f t="shared" si="5"/>
        <v>162.03844927591393</v>
      </c>
      <c r="Y51" s="576">
        <f t="shared" si="5"/>
        <v>162.30178327099046</v>
      </c>
      <c r="Z51" s="576">
        <f t="shared" si="5"/>
        <v>162.58534230845126</v>
      </c>
      <c r="AA51" s="576">
        <f t="shared" si="5"/>
        <v>162.84789712646949</v>
      </c>
      <c r="AB51" s="576">
        <f t="shared" si="5"/>
        <v>163.11492935135419</v>
      </c>
      <c r="AC51" s="576">
        <f t="shared" si="5"/>
        <v>163.37223117482762</v>
      </c>
      <c r="AD51" s="576">
        <f t="shared" si="5"/>
        <v>163.66217087933779</v>
      </c>
      <c r="AE51" s="576">
        <f t="shared" si="5"/>
        <v>163.94200288467979</v>
      </c>
      <c r="AF51" s="576">
        <f t="shared" si="5"/>
        <v>164.22550984146017</v>
      </c>
      <c r="AG51" s="576">
        <f t="shared" si="5"/>
        <v>162.97977787265677</v>
      </c>
      <c r="AH51" s="576">
        <f t="shared" si="5"/>
        <v>163.28182493203903</v>
      </c>
      <c r="AI51" s="576">
        <f t="shared" si="5"/>
        <v>163.5722016290396</v>
      </c>
      <c r="AJ51" s="576">
        <f t="shared" si="5"/>
        <v>163.86530474545253</v>
      </c>
      <c r="AK51" s="576">
        <f t="shared" si="5"/>
        <v>164.14554351375975</v>
      </c>
      <c r="AL51" s="576"/>
      <c r="AM51" s="576"/>
      <c r="AN51" s="576"/>
      <c r="AO51" s="576"/>
      <c r="AP51" s="576"/>
      <c r="AQ51" s="576"/>
      <c r="AR51" s="576"/>
      <c r="AS51" s="576"/>
      <c r="AT51" s="576"/>
      <c r="AU51" s="576"/>
      <c r="AV51" s="576"/>
      <c r="AW51" s="576"/>
      <c r="AX51" s="576"/>
      <c r="AY51" s="576"/>
      <c r="AZ51" s="576"/>
      <c r="BA51" s="576"/>
      <c r="BB51" s="576"/>
      <c r="BC51" s="576"/>
      <c r="BD51" s="576"/>
      <c r="BE51" s="576"/>
      <c r="BF51" s="576"/>
      <c r="BG51" s="576"/>
      <c r="BH51" s="576"/>
      <c r="BI51" s="576"/>
      <c r="BJ51" s="576"/>
      <c r="BK51" s="576"/>
      <c r="BL51" s="576"/>
      <c r="BM51" s="576"/>
      <c r="BN51" s="576"/>
      <c r="BO51" s="576"/>
      <c r="BP51" s="576"/>
      <c r="BQ51" s="576"/>
      <c r="BR51" s="576"/>
      <c r="BS51" s="576"/>
      <c r="BT51" s="576"/>
      <c r="BU51" s="576"/>
      <c r="BV51" s="576"/>
      <c r="BW51" s="576"/>
      <c r="BX51" s="576"/>
      <c r="BY51" s="576"/>
      <c r="BZ51" s="576"/>
      <c r="CA51" s="576"/>
      <c r="CB51" s="576"/>
      <c r="CC51" s="576"/>
      <c r="CD51" s="576"/>
      <c r="CE51" s="576"/>
      <c r="CF51" s="576"/>
      <c r="CG51" s="576"/>
      <c r="CH51" s="576"/>
      <c r="CI51" s="570"/>
      <c r="CK51" s="1293"/>
    </row>
    <row r="52" spans="1:89" s="1292" customFormat="1" ht="28.5" x14ac:dyDescent="0.2">
      <c r="A52" s="1284"/>
      <c r="B52" s="563" t="s">
        <v>507</v>
      </c>
      <c r="C52" s="571" t="s">
        <v>238</v>
      </c>
      <c r="D52" s="572" t="s">
        <v>508</v>
      </c>
      <c r="E52" s="573" t="s">
        <v>239</v>
      </c>
      <c r="F52" s="574">
        <v>1</v>
      </c>
      <c r="G52" s="575" t="e">
        <f>(((G46-G57)+(G47-G58))*1000000)/((G79+G80)*1000)</f>
        <v>#DIV/0!</v>
      </c>
      <c r="H52" s="575" t="e">
        <f t="shared" ref="H52:AK52" si="6">(((H46-H57)+(H47-H58))*1000000)/((H79+H80)*1000)</f>
        <v>#DIV/0!</v>
      </c>
      <c r="I52" s="575">
        <f t="shared" si="6"/>
        <v>166.2496338488956</v>
      </c>
      <c r="J52" s="575">
        <f t="shared" si="6"/>
        <v>162.5785941151569</v>
      </c>
      <c r="K52" s="575">
        <f t="shared" si="6"/>
        <v>159.888471904249</v>
      </c>
      <c r="L52" s="575">
        <f t="shared" si="6"/>
        <v>156.30679933104133</v>
      </c>
      <c r="M52" s="576">
        <f t="shared" si="6"/>
        <v>153.50625816787684</v>
      </c>
      <c r="N52" s="576">
        <f t="shared" si="6"/>
        <v>151.39517396855211</v>
      </c>
      <c r="O52" s="576">
        <f t="shared" si="6"/>
        <v>150.13113057944545</v>
      </c>
      <c r="P52" s="576">
        <f t="shared" si="6"/>
        <v>149.39836067496901</v>
      </c>
      <c r="Q52" s="576">
        <f t="shared" si="6"/>
        <v>148.73843363631343</v>
      </c>
      <c r="R52" s="576">
        <f t="shared" si="6"/>
        <v>148.30244433254995</v>
      </c>
      <c r="S52" s="576">
        <f t="shared" si="6"/>
        <v>147.88900139787867</v>
      </c>
      <c r="T52" s="576">
        <f t="shared" si="6"/>
        <v>147.56791091563298</v>
      </c>
      <c r="U52" s="576">
        <f t="shared" si="6"/>
        <v>147.20432721590387</v>
      </c>
      <c r="V52" s="576">
        <f t="shared" si="6"/>
        <v>146.91503219117666</v>
      </c>
      <c r="W52" s="576">
        <f t="shared" si="6"/>
        <v>146.61852002839839</v>
      </c>
      <c r="X52" s="576">
        <f t="shared" si="6"/>
        <v>146.37226810001945</v>
      </c>
      <c r="Y52" s="576">
        <f t="shared" si="6"/>
        <v>146.14456568451249</v>
      </c>
      <c r="Z52" s="576">
        <f t="shared" si="6"/>
        <v>145.93319766768906</v>
      </c>
      <c r="AA52" s="576">
        <f t="shared" si="6"/>
        <v>145.70232025369549</v>
      </c>
      <c r="AB52" s="576">
        <f t="shared" si="6"/>
        <v>144.0655452899542</v>
      </c>
      <c r="AC52" s="576">
        <f t="shared" si="6"/>
        <v>143.83661821663213</v>
      </c>
      <c r="AD52" s="576">
        <f t="shared" si="6"/>
        <v>143.63271869417684</v>
      </c>
      <c r="AE52" s="576">
        <f t="shared" si="6"/>
        <v>143.40949162987766</v>
      </c>
      <c r="AF52" s="576">
        <f t="shared" si="6"/>
        <v>143.18132274888765</v>
      </c>
      <c r="AG52" s="576">
        <f t="shared" si="6"/>
        <v>142.62789721790861</v>
      </c>
      <c r="AH52" s="576">
        <f t="shared" si="6"/>
        <v>140.47721954728317</v>
      </c>
      <c r="AI52" s="576">
        <f t="shared" si="6"/>
        <v>140.25244988062448</v>
      </c>
      <c r="AJ52" s="576">
        <f t="shared" si="6"/>
        <v>139.04818927200378</v>
      </c>
      <c r="AK52" s="576">
        <f t="shared" si="6"/>
        <v>138.81403000755927</v>
      </c>
      <c r="AL52" s="576"/>
      <c r="AM52" s="576"/>
      <c r="AN52" s="576"/>
      <c r="AO52" s="576"/>
      <c r="AP52" s="576"/>
      <c r="AQ52" s="576"/>
      <c r="AR52" s="576"/>
      <c r="AS52" s="576"/>
      <c r="AT52" s="576"/>
      <c r="AU52" s="576"/>
      <c r="AV52" s="576"/>
      <c r="AW52" s="576"/>
      <c r="AX52" s="576"/>
      <c r="AY52" s="576"/>
      <c r="AZ52" s="576"/>
      <c r="BA52" s="576"/>
      <c r="BB52" s="576"/>
      <c r="BC52" s="576"/>
      <c r="BD52" s="576"/>
      <c r="BE52" s="576"/>
      <c r="BF52" s="576"/>
      <c r="BG52" s="576"/>
      <c r="BH52" s="576"/>
      <c r="BI52" s="576"/>
      <c r="BJ52" s="576"/>
      <c r="BK52" s="576"/>
      <c r="BL52" s="576"/>
      <c r="BM52" s="576"/>
      <c r="BN52" s="576"/>
      <c r="BO52" s="576"/>
      <c r="BP52" s="576"/>
      <c r="BQ52" s="576"/>
      <c r="BR52" s="576"/>
      <c r="BS52" s="576"/>
      <c r="BT52" s="576"/>
      <c r="BU52" s="576"/>
      <c r="BV52" s="576"/>
      <c r="BW52" s="576"/>
      <c r="BX52" s="576"/>
      <c r="BY52" s="576"/>
      <c r="BZ52" s="576"/>
      <c r="CA52" s="576"/>
      <c r="CB52" s="576"/>
      <c r="CC52" s="576"/>
      <c r="CD52" s="576"/>
      <c r="CE52" s="576"/>
      <c r="CF52" s="576"/>
      <c r="CG52" s="576"/>
      <c r="CH52" s="576"/>
      <c r="CI52" s="570"/>
      <c r="CK52" s="1293"/>
    </row>
    <row r="53" spans="1:89" s="1292" customFormat="1" x14ac:dyDescent="0.2">
      <c r="A53" s="1284"/>
      <c r="B53" s="563" t="s">
        <v>509</v>
      </c>
      <c r="C53" s="571" t="s">
        <v>510</v>
      </c>
      <c r="D53" s="572" t="s">
        <v>86</v>
      </c>
      <c r="E53" s="573" t="s">
        <v>236</v>
      </c>
      <c r="F53" s="574">
        <v>2</v>
      </c>
      <c r="G53" s="540"/>
      <c r="H53" s="540"/>
      <c r="I53" s="540">
        <v>7.4300951761701972</v>
      </c>
      <c r="J53" s="540">
        <v>7.4306724420220513</v>
      </c>
      <c r="K53" s="540">
        <v>7.4232975624804132</v>
      </c>
      <c r="L53" s="540">
        <v>7.4151509587193125</v>
      </c>
      <c r="M53" s="541">
        <v>7.4425024902221537</v>
      </c>
      <c r="N53" s="541">
        <v>7.4338244028853122</v>
      </c>
      <c r="O53" s="541">
        <v>7.4251122559584699</v>
      </c>
      <c r="P53" s="541">
        <v>7.4168602974768651</v>
      </c>
      <c r="Q53" s="541">
        <v>7.4103931477139504</v>
      </c>
      <c r="R53" s="541">
        <v>7.4048613555367506</v>
      </c>
      <c r="S53" s="541">
        <v>7.399915913052113</v>
      </c>
      <c r="T53" s="541">
        <v>7.3954255677258125</v>
      </c>
      <c r="U53" s="541">
        <v>7.3915982278130512</v>
      </c>
      <c r="V53" s="541">
        <v>7.3872608796279247</v>
      </c>
      <c r="W53" s="541">
        <v>7.3828552950419812</v>
      </c>
      <c r="X53" s="541">
        <v>7.378318293231839</v>
      </c>
      <c r="Y53" s="541">
        <v>7.373682098569418</v>
      </c>
      <c r="Z53" s="541">
        <v>7.3689559125391142</v>
      </c>
      <c r="AA53" s="541">
        <v>7.364138949203352</v>
      </c>
      <c r="AB53" s="541">
        <v>7.3592340471482718</v>
      </c>
      <c r="AC53" s="541">
        <v>7.3542343453519123</v>
      </c>
      <c r="AD53" s="541">
        <v>7.3491416471303328</v>
      </c>
      <c r="AE53" s="541">
        <v>7.3439564776606652</v>
      </c>
      <c r="AF53" s="541">
        <v>7.3386781894007669</v>
      </c>
      <c r="AG53" s="541">
        <v>7.333312424591484</v>
      </c>
      <c r="AH53" s="541">
        <v>7.3278576156031843</v>
      </c>
      <c r="AI53" s="541">
        <v>7.3223145631671738</v>
      </c>
      <c r="AJ53" s="541">
        <v>7.3166842640524994</v>
      </c>
      <c r="AK53" s="541">
        <v>7.31096836256914</v>
      </c>
      <c r="AL53" s="541"/>
      <c r="AM53" s="541"/>
      <c r="AN53" s="541"/>
      <c r="AO53" s="541"/>
      <c r="AP53" s="541"/>
      <c r="AQ53" s="541"/>
      <c r="AR53" s="541"/>
      <c r="AS53" s="541"/>
      <c r="AT53" s="541"/>
      <c r="AU53" s="541"/>
      <c r="AV53" s="541"/>
      <c r="AW53" s="541"/>
      <c r="AX53" s="541"/>
      <c r="AY53" s="541"/>
      <c r="AZ53" s="541"/>
      <c r="BA53" s="541"/>
      <c r="BB53" s="541"/>
      <c r="BC53" s="541"/>
      <c r="BD53" s="541"/>
      <c r="BE53" s="541"/>
      <c r="BF53" s="541"/>
      <c r="BG53" s="541"/>
      <c r="BH53" s="541"/>
      <c r="BI53" s="541"/>
      <c r="BJ53" s="541"/>
      <c r="BK53" s="541"/>
      <c r="BL53" s="541"/>
      <c r="BM53" s="541"/>
      <c r="BN53" s="541"/>
      <c r="BO53" s="541"/>
      <c r="BP53" s="541"/>
      <c r="BQ53" s="541"/>
      <c r="BR53" s="541"/>
      <c r="BS53" s="541"/>
      <c r="BT53" s="541"/>
      <c r="BU53" s="541"/>
      <c r="BV53" s="541"/>
      <c r="BW53" s="541"/>
      <c r="BX53" s="541"/>
      <c r="BY53" s="541"/>
      <c r="BZ53" s="541"/>
      <c r="CA53" s="541"/>
      <c r="CB53" s="541"/>
      <c r="CC53" s="541"/>
      <c r="CD53" s="541"/>
      <c r="CE53" s="541"/>
      <c r="CF53" s="541"/>
      <c r="CG53" s="541"/>
      <c r="CH53" s="541"/>
      <c r="CI53" s="542"/>
      <c r="CK53" s="1293"/>
    </row>
    <row r="54" spans="1:89" s="1292" customFormat="1" ht="15" thickBot="1" x14ac:dyDescent="0.25">
      <c r="A54" s="1284"/>
      <c r="B54" s="577" t="s">
        <v>511</v>
      </c>
      <c r="C54" s="578" t="s">
        <v>512</v>
      </c>
      <c r="D54" s="579" t="s">
        <v>86</v>
      </c>
      <c r="E54" s="580" t="s">
        <v>236</v>
      </c>
      <c r="F54" s="581">
        <v>2</v>
      </c>
      <c r="G54" s="582"/>
      <c r="H54" s="582"/>
      <c r="I54" s="582">
        <v>2.3678128659663535</v>
      </c>
      <c r="J54" s="582">
        <v>2.3678128659663535</v>
      </c>
      <c r="K54" s="582">
        <v>2.3678128659663535</v>
      </c>
      <c r="L54" s="582">
        <v>2.3678128659663535</v>
      </c>
      <c r="M54" s="583">
        <v>2.3678128659663535</v>
      </c>
      <c r="N54" s="583">
        <v>2.3678128659663535</v>
      </c>
      <c r="O54" s="583">
        <v>2.3678128659663535</v>
      </c>
      <c r="P54" s="583">
        <v>2.3678128659663535</v>
      </c>
      <c r="Q54" s="583">
        <v>2.3678128659663535</v>
      </c>
      <c r="R54" s="583">
        <v>2.3678128659663535</v>
      </c>
      <c r="S54" s="583">
        <v>2.3678128659663535</v>
      </c>
      <c r="T54" s="583">
        <v>2.3678128659663535</v>
      </c>
      <c r="U54" s="583">
        <v>2.3678128659663535</v>
      </c>
      <c r="V54" s="583">
        <v>2.3678128659663535</v>
      </c>
      <c r="W54" s="583">
        <v>2.3678128659663535</v>
      </c>
      <c r="X54" s="583">
        <v>2.3678128659663535</v>
      </c>
      <c r="Y54" s="583">
        <v>2.3678128659663535</v>
      </c>
      <c r="Z54" s="583">
        <v>2.3678128659663535</v>
      </c>
      <c r="AA54" s="583">
        <v>2.3678128659663535</v>
      </c>
      <c r="AB54" s="583">
        <v>2.3678128659663535</v>
      </c>
      <c r="AC54" s="583">
        <v>2.3678128659663535</v>
      </c>
      <c r="AD54" s="583">
        <v>2.3678128659663535</v>
      </c>
      <c r="AE54" s="583">
        <v>2.3678128659663535</v>
      </c>
      <c r="AF54" s="583">
        <v>2.3678128659663535</v>
      </c>
      <c r="AG54" s="583">
        <v>2.3678128659663535</v>
      </c>
      <c r="AH54" s="583">
        <v>2.3678128659663535</v>
      </c>
      <c r="AI54" s="583">
        <v>2.3678128659663535</v>
      </c>
      <c r="AJ54" s="583">
        <v>2.3678128659663535</v>
      </c>
      <c r="AK54" s="583">
        <v>2.3678128659663535</v>
      </c>
      <c r="AL54" s="583"/>
      <c r="AM54" s="583"/>
      <c r="AN54" s="583"/>
      <c r="AO54" s="583"/>
      <c r="AP54" s="583"/>
      <c r="AQ54" s="583"/>
      <c r="AR54" s="583"/>
      <c r="AS54" s="583"/>
      <c r="AT54" s="583"/>
      <c r="AU54" s="583"/>
      <c r="AV54" s="583"/>
      <c r="AW54" s="583"/>
      <c r="AX54" s="583"/>
      <c r="AY54" s="583"/>
      <c r="AZ54" s="583"/>
      <c r="BA54" s="583"/>
      <c r="BB54" s="583"/>
      <c r="BC54" s="583"/>
      <c r="BD54" s="583"/>
      <c r="BE54" s="583"/>
      <c r="BF54" s="583"/>
      <c r="BG54" s="583"/>
      <c r="BH54" s="583"/>
      <c r="BI54" s="583"/>
      <c r="BJ54" s="583"/>
      <c r="BK54" s="583"/>
      <c r="BL54" s="583"/>
      <c r="BM54" s="583"/>
      <c r="BN54" s="583"/>
      <c r="BO54" s="583"/>
      <c r="BP54" s="583"/>
      <c r="BQ54" s="583"/>
      <c r="BR54" s="583"/>
      <c r="BS54" s="583"/>
      <c r="BT54" s="583"/>
      <c r="BU54" s="583"/>
      <c r="BV54" s="583"/>
      <c r="BW54" s="583"/>
      <c r="BX54" s="583"/>
      <c r="BY54" s="583"/>
      <c r="BZ54" s="583"/>
      <c r="CA54" s="583"/>
      <c r="CB54" s="583"/>
      <c r="CC54" s="583"/>
      <c r="CD54" s="583"/>
      <c r="CE54" s="583"/>
      <c r="CF54" s="583"/>
      <c r="CG54" s="583"/>
      <c r="CH54" s="583"/>
      <c r="CI54" s="584"/>
      <c r="CK54" s="1293"/>
    </row>
    <row r="55" spans="1:89" s="1292" customFormat="1" x14ac:dyDescent="0.2">
      <c r="A55" s="1284"/>
      <c r="B55" s="527" t="s">
        <v>513</v>
      </c>
      <c r="C55" s="528" t="s">
        <v>514</v>
      </c>
      <c r="D55" s="529" t="s">
        <v>86</v>
      </c>
      <c r="E55" s="530" t="s">
        <v>236</v>
      </c>
      <c r="F55" s="531">
        <v>2</v>
      </c>
      <c r="G55" s="532"/>
      <c r="H55" s="532"/>
      <c r="I55" s="532">
        <v>0.27326859627701372</v>
      </c>
      <c r="J55" s="532">
        <v>0.34102088752534926</v>
      </c>
      <c r="K55" s="532">
        <v>0.32879125252551122</v>
      </c>
      <c r="L55" s="532">
        <v>0.31647156355438932</v>
      </c>
      <c r="M55" s="533">
        <v>0.3315727036289377</v>
      </c>
      <c r="N55" s="533">
        <v>0.33268098185200823</v>
      </c>
      <c r="O55" s="533">
        <v>0.33378926007507881</v>
      </c>
      <c r="P55" s="533">
        <v>0.33489753829814933</v>
      </c>
      <c r="Q55" s="533">
        <v>0.33600581652121986</v>
      </c>
      <c r="R55" s="533">
        <v>0.33711409474429044</v>
      </c>
      <c r="S55" s="533">
        <v>0.33822237296736102</v>
      </c>
      <c r="T55" s="533">
        <v>0.3393306511904316</v>
      </c>
      <c r="U55" s="533">
        <v>0.34043892941350207</v>
      </c>
      <c r="V55" s="533">
        <v>0.34154720763657259</v>
      </c>
      <c r="W55" s="533">
        <v>0.34260062060107532</v>
      </c>
      <c r="X55" s="533">
        <v>0.343654033565578</v>
      </c>
      <c r="Y55" s="533">
        <v>0.34470744653008079</v>
      </c>
      <c r="Z55" s="533">
        <v>0.34576085949458341</v>
      </c>
      <c r="AA55" s="533">
        <v>0.34681427245908608</v>
      </c>
      <c r="AB55" s="533">
        <v>0.34786768542358887</v>
      </c>
      <c r="AC55" s="533">
        <v>0.34892109838809149</v>
      </c>
      <c r="AD55" s="533">
        <v>0.34997451135259416</v>
      </c>
      <c r="AE55" s="533">
        <v>0.35102792431709695</v>
      </c>
      <c r="AF55" s="533">
        <v>0.35208133728159957</v>
      </c>
      <c r="AG55" s="533">
        <v>0.3531347502461023</v>
      </c>
      <c r="AH55" s="533">
        <v>0.35418816321060498</v>
      </c>
      <c r="AI55" s="533">
        <v>0.35524157617510776</v>
      </c>
      <c r="AJ55" s="533">
        <v>0.35629498913961039</v>
      </c>
      <c r="AK55" s="533">
        <v>0.35734840210411301</v>
      </c>
      <c r="AL55" s="533"/>
      <c r="AM55" s="533"/>
      <c r="AN55" s="533"/>
      <c r="AO55" s="533"/>
      <c r="AP55" s="533"/>
      <c r="AQ55" s="533"/>
      <c r="AR55" s="533"/>
      <c r="AS55" s="533"/>
      <c r="AT55" s="533"/>
      <c r="AU55" s="533"/>
      <c r="AV55" s="533"/>
      <c r="AW55" s="533"/>
      <c r="AX55" s="533"/>
      <c r="AY55" s="533"/>
      <c r="AZ55" s="533"/>
      <c r="BA55" s="533"/>
      <c r="BB55" s="533"/>
      <c r="BC55" s="533"/>
      <c r="BD55" s="533"/>
      <c r="BE55" s="533"/>
      <c r="BF55" s="533"/>
      <c r="BG55" s="533"/>
      <c r="BH55" s="533"/>
      <c r="BI55" s="533"/>
      <c r="BJ55" s="533"/>
      <c r="BK55" s="533"/>
      <c r="BL55" s="533"/>
      <c r="BM55" s="533"/>
      <c r="BN55" s="533"/>
      <c r="BO55" s="533"/>
      <c r="BP55" s="533"/>
      <c r="BQ55" s="533"/>
      <c r="BR55" s="533"/>
      <c r="BS55" s="533"/>
      <c r="BT55" s="533"/>
      <c r="BU55" s="533"/>
      <c r="BV55" s="533"/>
      <c r="BW55" s="533"/>
      <c r="BX55" s="533"/>
      <c r="BY55" s="533"/>
      <c r="BZ55" s="533"/>
      <c r="CA55" s="533"/>
      <c r="CB55" s="533"/>
      <c r="CC55" s="533"/>
      <c r="CD55" s="533"/>
      <c r="CE55" s="533"/>
      <c r="CF55" s="533"/>
      <c r="CG55" s="533"/>
      <c r="CH55" s="533"/>
      <c r="CI55" s="534"/>
      <c r="CK55" s="1293"/>
    </row>
    <row r="56" spans="1:89" s="1292" customFormat="1" x14ac:dyDescent="0.2">
      <c r="A56" s="1284"/>
      <c r="B56" s="543" t="s">
        <v>515</v>
      </c>
      <c r="C56" s="546" t="s">
        <v>516</v>
      </c>
      <c r="D56" s="537" t="s">
        <v>86</v>
      </c>
      <c r="E56" s="538" t="s">
        <v>236</v>
      </c>
      <c r="F56" s="539">
        <v>2</v>
      </c>
      <c r="G56" s="540"/>
      <c r="H56" s="540"/>
      <c r="I56" s="540">
        <v>4.1140196505908201E-2</v>
      </c>
      <c r="J56" s="540">
        <v>3.9374863189543363E-2</v>
      </c>
      <c r="K56" s="540">
        <v>3.7416730383037784E-2</v>
      </c>
      <c r="L56" s="540">
        <v>3.549264799294536E-2</v>
      </c>
      <c r="M56" s="544">
        <v>4.0940203376406192E-2</v>
      </c>
      <c r="N56" s="544">
        <v>4.0652082305800301E-2</v>
      </c>
      <c r="O56" s="544">
        <v>4.0363961235194402E-2</v>
      </c>
      <c r="P56" s="544">
        <v>4.0075840164588511E-2</v>
      </c>
      <c r="Q56" s="544">
        <v>3.9877756928546955E-2</v>
      </c>
      <c r="R56" s="544">
        <v>3.9679673692505406E-2</v>
      </c>
      <c r="S56" s="544">
        <v>3.9553620724115321E-2</v>
      </c>
      <c r="T56" s="544">
        <v>3.942756775572525E-2</v>
      </c>
      <c r="U56" s="544">
        <v>3.9301514787335172E-2</v>
      </c>
      <c r="V56" s="544">
        <v>3.9175461818945094E-2</v>
      </c>
      <c r="W56" s="544">
        <v>3.9049408850555016E-2</v>
      </c>
      <c r="X56" s="544">
        <v>3.8923355882164938E-2</v>
      </c>
      <c r="Y56" s="544">
        <v>3.879730291377486E-2</v>
      </c>
      <c r="Z56" s="544">
        <v>3.8671249945384775E-2</v>
      </c>
      <c r="AA56" s="544">
        <v>3.8545196976994704E-2</v>
      </c>
      <c r="AB56" s="544">
        <v>3.8419144008604619E-2</v>
      </c>
      <c r="AC56" s="544">
        <v>3.8293091040214548E-2</v>
      </c>
      <c r="AD56" s="544">
        <v>3.8167038071824463E-2</v>
      </c>
      <c r="AE56" s="544">
        <v>3.8040985103434385E-2</v>
      </c>
      <c r="AF56" s="544">
        <v>3.7914932135044307E-2</v>
      </c>
      <c r="AG56" s="544">
        <v>3.778887916665423E-2</v>
      </c>
      <c r="AH56" s="544">
        <v>3.7662826198264152E-2</v>
      </c>
      <c r="AI56" s="544">
        <v>3.7536773229874074E-2</v>
      </c>
      <c r="AJ56" s="544">
        <v>3.7410720261483989E-2</v>
      </c>
      <c r="AK56" s="544">
        <v>3.7284667293093918E-2</v>
      </c>
      <c r="AL56" s="544"/>
      <c r="AM56" s="544"/>
      <c r="AN56" s="544"/>
      <c r="AO56" s="544"/>
      <c r="AP56" s="544"/>
      <c r="AQ56" s="544"/>
      <c r="AR56" s="544"/>
      <c r="AS56" s="544"/>
      <c r="AT56" s="544"/>
      <c r="AU56" s="544"/>
      <c r="AV56" s="544"/>
      <c r="AW56" s="544"/>
      <c r="AX56" s="544"/>
      <c r="AY56" s="544"/>
      <c r="AZ56" s="544"/>
      <c r="BA56" s="544"/>
      <c r="BB56" s="544"/>
      <c r="BC56" s="544"/>
      <c r="BD56" s="544"/>
      <c r="BE56" s="544"/>
      <c r="BF56" s="544"/>
      <c r="BG56" s="544"/>
      <c r="BH56" s="544"/>
      <c r="BI56" s="544"/>
      <c r="BJ56" s="544"/>
      <c r="BK56" s="544"/>
      <c r="BL56" s="544"/>
      <c r="BM56" s="544"/>
      <c r="BN56" s="544"/>
      <c r="BO56" s="544"/>
      <c r="BP56" s="544"/>
      <c r="BQ56" s="544"/>
      <c r="BR56" s="544"/>
      <c r="BS56" s="544"/>
      <c r="BT56" s="544"/>
      <c r="BU56" s="544"/>
      <c r="BV56" s="544"/>
      <c r="BW56" s="544"/>
      <c r="BX56" s="544"/>
      <c r="BY56" s="544"/>
      <c r="BZ56" s="544"/>
      <c r="CA56" s="544"/>
      <c r="CB56" s="544"/>
      <c r="CC56" s="544"/>
      <c r="CD56" s="544"/>
      <c r="CE56" s="544"/>
      <c r="CF56" s="544"/>
      <c r="CG56" s="544"/>
      <c r="CH56" s="544"/>
      <c r="CI56" s="545"/>
      <c r="CK56" s="1293"/>
    </row>
    <row r="57" spans="1:89" s="1292" customFormat="1" x14ac:dyDescent="0.2">
      <c r="A57" s="1284"/>
      <c r="B57" s="543" t="s">
        <v>517</v>
      </c>
      <c r="C57" s="546" t="s">
        <v>518</v>
      </c>
      <c r="D57" s="537" t="s">
        <v>86</v>
      </c>
      <c r="E57" s="538" t="s">
        <v>236</v>
      </c>
      <c r="F57" s="539">
        <v>2</v>
      </c>
      <c r="G57" s="540"/>
      <c r="H57" s="540"/>
      <c r="I57" s="540">
        <v>5.5535327266562371</v>
      </c>
      <c r="J57" s="540">
        <v>5.5097342537652931</v>
      </c>
      <c r="K57" s="540">
        <v>5.528825244505656</v>
      </c>
      <c r="L57" s="540">
        <v>5.5836496450211648</v>
      </c>
      <c r="M57" s="544">
        <v>6.0828135946338087</v>
      </c>
      <c r="N57" s="544">
        <v>6.6809671682339893</v>
      </c>
      <c r="O57" s="544">
        <v>7.0227061115506721</v>
      </c>
      <c r="P57" s="544">
        <v>7.1770873309298642</v>
      </c>
      <c r="Q57" s="544">
        <v>7.3095253782620428</v>
      </c>
      <c r="R57" s="544">
        <v>7.4160823351947744</v>
      </c>
      <c r="S57" s="544">
        <v>7.5008110041287654</v>
      </c>
      <c r="T57" s="544">
        <v>7.5800491660545806</v>
      </c>
      <c r="U57" s="544">
        <v>7.6512857418126812</v>
      </c>
      <c r="V57" s="544">
        <v>7.728681965979586</v>
      </c>
      <c r="W57" s="544">
        <v>7.7949287981553956</v>
      </c>
      <c r="X57" s="544">
        <v>7.8511492837273851</v>
      </c>
      <c r="Y57" s="544">
        <v>7.9085707226845781</v>
      </c>
      <c r="Z57" s="544">
        <v>7.9670821532805736</v>
      </c>
      <c r="AA57" s="544">
        <v>8.0266932022403896</v>
      </c>
      <c r="AB57" s="544">
        <v>8.0873697215987903</v>
      </c>
      <c r="AC57" s="544">
        <v>8.1491947080290572</v>
      </c>
      <c r="AD57" s="544">
        <v>8.2121465199951018</v>
      </c>
      <c r="AE57" s="544">
        <v>8.2762189484692872</v>
      </c>
      <c r="AF57" s="544">
        <v>8.3414199479797855</v>
      </c>
      <c r="AG57" s="544">
        <v>8.4076814853257265</v>
      </c>
      <c r="AH57" s="544">
        <v>8.4750226175007377</v>
      </c>
      <c r="AI57" s="544">
        <v>8.5434337882140809</v>
      </c>
      <c r="AJ57" s="544">
        <v>8.6129030680755747</v>
      </c>
      <c r="AK57" s="544">
        <v>8.6834106979409391</v>
      </c>
      <c r="AL57" s="544"/>
      <c r="AM57" s="544"/>
      <c r="AN57" s="544"/>
      <c r="AO57" s="544"/>
      <c r="AP57" s="544"/>
      <c r="AQ57" s="544"/>
      <c r="AR57" s="544"/>
      <c r="AS57" s="544"/>
      <c r="AT57" s="544"/>
      <c r="AU57" s="544"/>
      <c r="AV57" s="544"/>
      <c r="AW57" s="544"/>
      <c r="AX57" s="544"/>
      <c r="AY57" s="544"/>
      <c r="AZ57" s="544"/>
      <c r="BA57" s="544"/>
      <c r="BB57" s="544"/>
      <c r="BC57" s="544"/>
      <c r="BD57" s="544"/>
      <c r="BE57" s="544"/>
      <c r="BF57" s="544"/>
      <c r="BG57" s="544"/>
      <c r="BH57" s="544"/>
      <c r="BI57" s="544"/>
      <c r="BJ57" s="544"/>
      <c r="BK57" s="544"/>
      <c r="BL57" s="544"/>
      <c r="BM57" s="544"/>
      <c r="BN57" s="544"/>
      <c r="BO57" s="544"/>
      <c r="BP57" s="544"/>
      <c r="BQ57" s="544"/>
      <c r="BR57" s="544"/>
      <c r="BS57" s="544"/>
      <c r="BT57" s="544"/>
      <c r="BU57" s="544"/>
      <c r="BV57" s="544"/>
      <c r="BW57" s="544"/>
      <c r="BX57" s="544"/>
      <c r="BY57" s="544"/>
      <c r="BZ57" s="544"/>
      <c r="CA57" s="544"/>
      <c r="CB57" s="544"/>
      <c r="CC57" s="544"/>
      <c r="CD57" s="544"/>
      <c r="CE57" s="544"/>
      <c r="CF57" s="544"/>
      <c r="CG57" s="544"/>
      <c r="CH57" s="544"/>
      <c r="CI57" s="545"/>
      <c r="CK57" s="1293"/>
    </row>
    <row r="58" spans="1:89" s="1292" customFormat="1" x14ac:dyDescent="0.2">
      <c r="A58" s="1284"/>
      <c r="B58" s="543" t="s">
        <v>519</v>
      </c>
      <c r="C58" s="546" t="s">
        <v>520</v>
      </c>
      <c r="D58" s="537" t="s">
        <v>86</v>
      </c>
      <c r="E58" s="538" t="s">
        <v>236</v>
      </c>
      <c r="F58" s="539">
        <v>2</v>
      </c>
      <c r="G58" s="540"/>
      <c r="H58" s="540"/>
      <c r="I58" s="540">
        <v>6.3309619898029483</v>
      </c>
      <c r="J58" s="540">
        <v>5.9276781221099482</v>
      </c>
      <c r="K58" s="540">
        <v>5.4834279203611631</v>
      </c>
      <c r="L58" s="540">
        <v>4.9896661171342833</v>
      </c>
      <c r="M58" s="544">
        <v>4.3637396959076993</v>
      </c>
      <c r="N58" s="544">
        <v>3.560016179883895</v>
      </c>
      <c r="O58" s="544">
        <v>3.1707474514885599</v>
      </c>
      <c r="P58" s="544">
        <v>3.0749435748529859</v>
      </c>
      <c r="Q58" s="544">
        <v>2.9791396982174119</v>
      </c>
      <c r="R58" s="544">
        <v>2.9068502603186404</v>
      </c>
      <c r="S58" s="544">
        <v>2.8578424449315487</v>
      </c>
      <c r="T58" s="544">
        <v>2.8088346295444571</v>
      </c>
      <c r="U58" s="544">
        <v>2.759826814157365</v>
      </c>
      <c r="V58" s="544">
        <v>2.7108189987702729</v>
      </c>
      <c r="W58" s="544">
        <v>2.681484154405553</v>
      </c>
      <c r="X58" s="544">
        <v>2.6708910161627371</v>
      </c>
      <c r="Y58" s="544">
        <v>2.6602978779199216</v>
      </c>
      <c r="Z58" s="544">
        <v>2.6497047396771061</v>
      </c>
      <c r="AA58" s="544">
        <v>2.639111601434291</v>
      </c>
      <c r="AB58" s="544">
        <v>2.6285184631914751</v>
      </c>
      <c r="AC58" s="544">
        <v>2.6179253249486596</v>
      </c>
      <c r="AD58" s="544">
        <v>2.6073321867058441</v>
      </c>
      <c r="AE58" s="544">
        <v>2.5967390484630286</v>
      </c>
      <c r="AF58" s="544">
        <v>2.5861459102202127</v>
      </c>
      <c r="AG58" s="544">
        <v>2.5755527719773976</v>
      </c>
      <c r="AH58" s="544">
        <v>2.5649596337345817</v>
      </c>
      <c r="AI58" s="544">
        <v>2.5543664954917662</v>
      </c>
      <c r="AJ58" s="544">
        <v>2.5437733572489503</v>
      </c>
      <c r="AK58" s="544">
        <v>2.5331802190061352</v>
      </c>
      <c r="AL58" s="544"/>
      <c r="AM58" s="544"/>
      <c r="AN58" s="544"/>
      <c r="AO58" s="544"/>
      <c r="AP58" s="544"/>
      <c r="AQ58" s="544"/>
      <c r="AR58" s="544"/>
      <c r="AS58" s="544"/>
      <c r="AT58" s="544"/>
      <c r="AU58" s="544"/>
      <c r="AV58" s="544"/>
      <c r="AW58" s="544"/>
      <c r="AX58" s="544"/>
      <c r="AY58" s="544"/>
      <c r="AZ58" s="544"/>
      <c r="BA58" s="544"/>
      <c r="BB58" s="544"/>
      <c r="BC58" s="544"/>
      <c r="BD58" s="544"/>
      <c r="BE58" s="544"/>
      <c r="BF58" s="544"/>
      <c r="BG58" s="544"/>
      <c r="BH58" s="544"/>
      <c r="BI58" s="544"/>
      <c r="BJ58" s="544"/>
      <c r="BK58" s="544"/>
      <c r="BL58" s="544"/>
      <c r="BM58" s="544"/>
      <c r="BN58" s="544"/>
      <c r="BO58" s="544"/>
      <c r="BP58" s="544"/>
      <c r="BQ58" s="544"/>
      <c r="BR58" s="544"/>
      <c r="BS58" s="544"/>
      <c r="BT58" s="544"/>
      <c r="BU58" s="544"/>
      <c r="BV58" s="544"/>
      <c r="BW58" s="544"/>
      <c r="BX58" s="544"/>
      <c r="BY58" s="544"/>
      <c r="BZ58" s="544"/>
      <c r="CA58" s="544"/>
      <c r="CB58" s="544"/>
      <c r="CC58" s="544"/>
      <c r="CD58" s="544"/>
      <c r="CE58" s="544"/>
      <c r="CF58" s="544"/>
      <c r="CG58" s="544"/>
      <c r="CH58" s="544"/>
      <c r="CI58" s="545"/>
      <c r="CK58" s="1293"/>
    </row>
    <row r="59" spans="1:89" s="1292" customFormat="1" x14ac:dyDescent="0.2">
      <c r="A59" s="1284"/>
      <c r="B59" s="543" t="s">
        <v>521</v>
      </c>
      <c r="C59" s="546" t="s">
        <v>522</v>
      </c>
      <c r="D59" s="537" t="s">
        <v>86</v>
      </c>
      <c r="E59" s="538" t="s">
        <v>236</v>
      </c>
      <c r="F59" s="539">
        <v>2</v>
      </c>
      <c r="G59" s="540"/>
      <c r="H59" s="540"/>
      <c r="I59" s="540">
        <v>0.71015557626448644</v>
      </c>
      <c r="J59" s="540">
        <v>0.70957831041263186</v>
      </c>
      <c r="K59" s="540">
        <v>0.7169531899542706</v>
      </c>
      <c r="L59" s="540">
        <v>0.72509979371537092</v>
      </c>
      <c r="M59" s="544">
        <v>0.69774826221252928</v>
      </c>
      <c r="N59" s="544">
        <v>0.70642634954937089</v>
      </c>
      <c r="O59" s="544">
        <v>0.71513849647621386</v>
      </c>
      <c r="P59" s="544">
        <v>0.72339045495781829</v>
      </c>
      <c r="Q59" s="544">
        <v>0.72985760472073313</v>
      </c>
      <c r="R59" s="544">
        <v>0.73538939689793237</v>
      </c>
      <c r="S59" s="544">
        <v>0.74033483938257005</v>
      </c>
      <c r="T59" s="544">
        <v>0.74482518470887082</v>
      </c>
      <c r="U59" s="544">
        <v>0.74865252462163245</v>
      </c>
      <c r="V59" s="544">
        <v>0.752989872806759</v>
      </c>
      <c r="W59" s="544">
        <v>0.75739545739270209</v>
      </c>
      <c r="X59" s="544">
        <v>0.76193245920284425</v>
      </c>
      <c r="Y59" s="544">
        <v>0.76656865386526496</v>
      </c>
      <c r="Z59" s="544">
        <v>0.77129483989556935</v>
      </c>
      <c r="AA59" s="544">
        <v>0.77611180323133167</v>
      </c>
      <c r="AB59" s="544">
        <v>0.78101670528641165</v>
      </c>
      <c r="AC59" s="544">
        <v>0.78601640708277132</v>
      </c>
      <c r="AD59" s="544">
        <v>0.79110910530435075</v>
      </c>
      <c r="AE59" s="544">
        <v>0.79629427477401871</v>
      </c>
      <c r="AF59" s="544">
        <v>0.80157256303391622</v>
      </c>
      <c r="AG59" s="544">
        <v>0.80693832784319941</v>
      </c>
      <c r="AH59" s="544">
        <v>0.81239313683149939</v>
      </c>
      <c r="AI59" s="544">
        <v>0.81793618926750999</v>
      </c>
      <c r="AJ59" s="544">
        <v>0.82356648838218405</v>
      </c>
      <c r="AK59" s="544">
        <v>0.82928238986554337</v>
      </c>
      <c r="AL59" s="544"/>
      <c r="AM59" s="544"/>
      <c r="AN59" s="544"/>
      <c r="AO59" s="544"/>
      <c r="AP59" s="544"/>
      <c r="AQ59" s="544"/>
      <c r="AR59" s="544"/>
      <c r="AS59" s="544"/>
      <c r="AT59" s="544"/>
      <c r="AU59" s="544"/>
      <c r="AV59" s="544"/>
      <c r="AW59" s="544"/>
      <c r="AX59" s="544"/>
      <c r="AY59" s="544"/>
      <c r="AZ59" s="544"/>
      <c r="BA59" s="544"/>
      <c r="BB59" s="544"/>
      <c r="BC59" s="544"/>
      <c r="BD59" s="544"/>
      <c r="BE59" s="544"/>
      <c r="BF59" s="544"/>
      <c r="BG59" s="544"/>
      <c r="BH59" s="544"/>
      <c r="BI59" s="544"/>
      <c r="BJ59" s="544"/>
      <c r="BK59" s="544"/>
      <c r="BL59" s="544"/>
      <c r="BM59" s="544"/>
      <c r="BN59" s="544"/>
      <c r="BO59" s="544"/>
      <c r="BP59" s="544"/>
      <c r="BQ59" s="544"/>
      <c r="BR59" s="544"/>
      <c r="BS59" s="544"/>
      <c r="BT59" s="544"/>
      <c r="BU59" s="544"/>
      <c r="BV59" s="544"/>
      <c r="BW59" s="544"/>
      <c r="BX59" s="544"/>
      <c r="BY59" s="544"/>
      <c r="BZ59" s="544"/>
      <c r="CA59" s="544"/>
      <c r="CB59" s="544"/>
      <c r="CC59" s="544"/>
      <c r="CD59" s="544"/>
      <c r="CE59" s="544"/>
      <c r="CF59" s="544"/>
      <c r="CG59" s="544"/>
      <c r="CH59" s="544"/>
      <c r="CI59" s="545"/>
      <c r="CK59" s="1293"/>
    </row>
    <row r="60" spans="1:89" s="1292" customFormat="1" x14ac:dyDescent="0.2">
      <c r="A60" s="1284"/>
      <c r="B60" s="543" t="s">
        <v>523</v>
      </c>
      <c r="C60" s="536" t="s">
        <v>524</v>
      </c>
      <c r="D60" s="537" t="s">
        <v>86</v>
      </c>
      <c r="E60" s="538" t="s">
        <v>236</v>
      </c>
      <c r="F60" s="539">
        <v>2</v>
      </c>
      <c r="G60" s="540"/>
      <c r="H60" s="540"/>
      <c r="I60" s="540">
        <v>40.435810257655746</v>
      </c>
      <c r="J60" s="540">
        <v>40.329666762997235</v>
      </c>
      <c r="K60" s="540">
        <v>38.694603262270348</v>
      </c>
      <c r="L60" s="540">
        <v>37.072602232581843</v>
      </c>
      <c r="M60" s="544">
        <v>37.206167540240621</v>
      </c>
      <c r="N60" s="544">
        <v>37.402239238174936</v>
      </c>
      <c r="O60" s="544">
        <v>37.44023671917428</v>
      </c>
      <c r="P60" s="544">
        <v>37.372587260796593</v>
      </c>
      <c r="Q60" s="544">
        <v>37.328575745350051</v>
      </c>
      <c r="R60" s="544">
        <v>37.28786623915186</v>
      </c>
      <c r="S60" s="544">
        <v>37.24621771786564</v>
      </c>
      <c r="T60" s="544">
        <v>37.210514800745941</v>
      </c>
      <c r="U60" s="544">
        <v>37.183476475207485</v>
      </c>
      <c r="V60" s="544">
        <v>37.14976849298786</v>
      </c>
      <c r="W60" s="544">
        <v>37.107523560594721</v>
      </c>
      <c r="X60" s="544">
        <v>37.056431851459294</v>
      </c>
      <c r="Y60" s="544">
        <v>37.004039996086384</v>
      </c>
      <c r="Z60" s="544">
        <v>36.95046815770678</v>
      </c>
      <c r="AA60" s="544">
        <v>36.895705923657907</v>
      </c>
      <c r="AB60" s="544">
        <v>36.83979028049113</v>
      </c>
      <c r="AC60" s="544">
        <v>36.782631370511211</v>
      </c>
      <c r="AD60" s="544">
        <v>36.724252638570292</v>
      </c>
      <c r="AE60" s="544">
        <v>36.664660818873138</v>
      </c>
      <c r="AF60" s="544">
        <v>36.603847309349447</v>
      </c>
      <c r="AG60" s="544">
        <v>36.541885785440925</v>
      </c>
      <c r="AH60" s="544">
        <v>36.478755622524318</v>
      </c>
      <c r="AI60" s="544">
        <v>36.41446717762166</v>
      </c>
      <c r="AJ60" s="544">
        <v>36.349033376892194</v>
      </c>
      <c r="AK60" s="544">
        <v>36.282475623790177</v>
      </c>
      <c r="AL60" s="544"/>
      <c r="AM60" s="544"/>
      <c r="AN60" s="544"/>
      <c r="AO60" s="544"/>
      <c r="AP60" s="544"/>
      <c r="AQ60" s="544"/>
      <c r="AR60" s="544"/>
      <c r="AS60" s="544"/>
      <c r="AT60" s="544"/>
      <c r="AU60" s="544"/>
      <c r="AV60" s="544"/>
      <c r="AW60" s="544"/>
      <c r="AX60" s="544"/>
      <c r="AY60" s="544"/>
      <c r="AZ60" s="544"/>
      <c r="BA60" s="544"/>
      <c r="BB60" s="544"/>
      <c r="BC60" s="544"/>
      <c r="BD60" s="544"/>
      <c r="BE60" s="544"/>
      <c r="BF60" s="544"/>
      <c r="BG60" s="544"/>
      <c r="BH60" s="544"/>
      <c r="BI60" s="544"/>
      <c r="BJ60" s="544"/>
      <c r="BK60" s="544"/>
      <c r="BL60" s="544"/>
      <c r="BM60" s="544"/>
      <c r="BN60" s="544"/>
      <c r="BO60" s="544"/>
      <c r="BP60" s="544"/>
      <c r="BQ60" s="544"/>
      <c r="BR60" s="544"/>
      <c r="BS60" s="544"/>
      <c r="BT60" s="544"/>
      <c r="BU60" s="544"/>
      <c r="BV60" s="544"/>
      <c r="BW60" s="544"/>
      <c r="BX60" s="544"/>
      <c r="BY60" s="544"/>
      <c r="BZ60" s="544"/>
      <c r="CA60" s="544"/>
      <c r="CB60" s="544"/>
      <c r="CC60" s="544"/>
      <c r="CD60" s="544"/>
      <c r="CE60" s="544"/>
      <c r="CF60" s="544"/>
      <c r="CG60" s="544"/>
      <c r="CH60" s="544"/>
      <c r="CI60" s="545"/>
      <c r="CK60" s="1293"/>
    </row>
    <row r="61" spans="1:89" s="1292" customFormat="1" x14ac:dyDescent="0.2">
      <c r="A61" s="1284"/>
      <c r="B61" s="543" t="s">
        <v>525</v>
      </c>
      <c r="C61" s="536" t="s">
        <v>243</v>
      </c>
      <c r="D61" s="537" t="s">
        <v>526</v>
      </c>
      <c r="E61" s="538" t="s">
        <v>236</v>
      </c>
      <c r="F61" s="539">
        <v>2</v>
      </c>
      <c r="G61" s="547">
        <f>SUM(G55:G60)</f>
        <v>0</v>
      </c>
      <c r="H61" s="547">
        <f t="shared" ref="H61:AK61" si="7">SUM(H55:H60)</f>
        <v>0</v>
      </c>
      <c r="I61" s="547">
        <f t="shared" si="7"/>
        <v>53.344869343162344</v>
      </c>
      <c r="J61" s="547">
        <f t="shared" si="7"/>
        <v>52.857053199999996</v>
      </c>
      <c r="K61" s="547">
        <f t="shared" si="7"/>
        <v>50.790017599999985</v>
      </c>
      <c r="L61" s="547">
        <f t="shared" si="7"/>
        <v>48.722981999999995</v>
      </c>
      <c r="M61" s="552">
        <f t="shared" si="7"/>
        <v>48.722982000000002</v>
      </c>
      <c r="N61" s="552">
        <f t="shared" si="7"/>
        <v>48.722982000000002</v>
      </c>
      <c r="O61" s="552">
        <f t="shared" si="7"/>
        <v>48.722982000000002</v>
      </c>
      <c r="P61" s="552">
        <f t="shared" si="7"/>
        <v>48.722982000000002</v>
      </c>
      <c r="Q61" s="552">
        <f t="shared" si="7"/>
        <v>48.722982000000002</v>
      </c>
      <c r="R61" s="552">
        <f t="shared" si="7"/>
        <v>48.722982000000002</v>
      </c>
      <c r="S61" s="552">
        <f t="shared" si="7"/>
        <v>48.722982000000002</v>
      </c>
      <c r="T61" s="552">
        <f t="shared" si="7"/>
        <v>48.722982000000002</v>
      </c>
      <c r="U61" s="552">
        <f t="shared" si="7"/>
        <v>48.722982000000002</v>
      </c>
      <c r="V61" s="552">
        <f t="shared" si="7"/>
        <v>48.722981999999995</v>
      </c>
      <c r="W61" s="552">
        <f t="shared" si="7"/>
        <v>48.722982000000002</v>
      </c>
      <c r="X61" s="552">
        <f t="shared" si="7"/>
        <v>48.722982000000002</v>
      </c>
      <c r="Y61" s="552">
        <f t="shared" si="7"/>
        <v>48.722982000000002</v>
      </c>
      <c r="Z61" s="552">
        <f t="shared" si="7"/>
        <v>48.722981999999995</v>
      </c>
      <c r="AA61" s="552">
        <f t="shared" si="7"/>
        <v>48.722982000000002</v>
      </c>
      <c r="AB61" s="552">
        <f t="shared" si="7"/>
        <v>48.722982000000002</v>
      </c>
      <c r="AC61" s="552">
        <f t="shared" si="7"/>
        <v>48.722982000000002</v>
      </c>
      <c r="AD61" s="552">
        <f t="shared" si="7"/>
        <v>48.722982000000002</v>
      </c>
      <c r="AE61" s="552">
        <f t="shared" si="7"/>
        <v>48.722982000000002</v>
      </c>
      <c r="AF61" s="552">
        <f t="shared" si="7"/>
        <v>48.722982000000002</v>
      </c>
      <c r="AG61" s="552">
        <f t="shared" si="7"/>
        <v>48.722982000000002</v>
      </c>
      <c r="AH61" s="552">
        <f t="shared" si="7"/>
        <v>48.722982000000002</v>
      </c>
      <c r="AI61" s="552">
        <f t="shared" si="7"/>
        <v>48.722982000000002</v>
      </c>
      <c r="AJ61" s="552">
        <f t="shared" si="7"/>
        <v>48.722982000000002</v>
      </c>
      <c r="AK61" s="552">
        <f t="shared" si="7"/>
        <v>48.722982000000002</v>
      </c>
      <c r="AL61" s="552"/>
      <c r="AM61" s="552"/>
      <c r="AN61" s="552"/>
      <c r="AO61" s="552"/>
      <c r="AP61" s="552"/>
      <c r="AQ61" s="552"/>
      <c r="AR61" s="552"/>
      <c r="AS61" s="552"/>
      <c r="AT61" s="552"/>
      <c r="AU61" s="552"/>
      <c r="AV61" s="552"/>
      <c r="AW61" s="552"/>
      <c r="AX61" s="552"/>
      <c r="AY61" s="552"/>
      <c r="AZ61" s="552"/>
      <c r="BA61" s="552"/>
      <c r="BB61" s="552"/>
      <c r="BC61" s="552"/>
      <c r="BD61" s="552"/>
      <c r="BE61" s="552"/>
      <c r="BF61" s="552"/>
      <c r="BG61" s="552"/>
      <c r="BH61" s="552"/>
      <c r="BI61" s="552"/>
      <c r="BJ61" s="552"/>
      <c r="BK61" s="552"/>
      <c r="BL61" s="552"/>
      <c r="BM61" s="552"/>
      <c r="BN61" s="552"/>
      <c r="BO61" s="552"/>
      <c r="BP61" s="552"/>
      <c r="BQ61" s="552"/>
      <c r="BR61" s="552"/>
      <c r="BS61" s="552"/>
      <c r="BT61" s="552"/>
      <c r="BU61" s="552"/>
      <c r="BV61" s="552"/>
      <c r="BW61" s="552"/>
      <c r="BX61" s="552"/>
      <c r="BY61" s="552"/>
      <c r="BZ61" s="552"/>
      <c r="CA61" s="552"/>
      <c r="CB61" s="552"/>
      <c r="CC61" s="552"/>
      <c r="CD61" s="552"/>
      <c r="CE61" s="552"/>
      <c r="CF61" s="552"/>
      <c r="CG61" s="552"/>
      <c r="CH61" s="552"/>
      <c r="CI61" s="548"/>
      <c r="CK61" s="1293"/>
    </row>
    <row r="62" spans="1:89" s="1292" customFormat="1" ht="15" thickBot="1" x14ac:dyDescent="0.25">
      <c r="A62" s="1284"/>
      <c r="B62" s="585" t="s">
        <v>527</v>
      </c>
      <c r="C62" s="586" t="s">
        <v>528</v>
      </c>
      <c r="D62" s="587" t="s">
        <v>529</v>
      </c>
      <c r="E62" s="588" t="s">
        <v>530</v>
      </c>
      <c r="F62" s="558">
        <v>2</v>
      </c>
      <c r="G62" s="559" t="e">
        <f>(G61*1000000)/(G76*1000)</f>
        <v>#DIV/0!</v>
      </c>
      <c r="H62" s="559" t="e">
        <f t="shared" ref="H62:AK62" si="8">(H61*1000000)/(H76*1000)</f>
        <v>#DIV/0!</v>
      </c>
      <c r="I62" s="559">
        <f t="shared" si="8"/>
        <v>77.514515343337834</v>
      </c>
      <c r="J62" s="559">
        <f t="shared" si="8"/>
        <v>76.184177051927861</v>
      </c>
      <c r="K62" s="559">
        <f t="shared" si="8"/>
        <v>72.257491708462155</v>
      </c>
      <c r="L62" s="559">
        <f t="shared" si="8"/>
        <v>68.333518746662875</v>
      </c>
      <c r="M62" s="589">
        <f t="shared" si="8"/>
        <v>67.287510440204244</v>
      </c>
      <c r="N62" s="589">
        <f t="shared" si="8"/>
        <v>66.263080016613472</v>
      </c>
      <c r="O62" s="589">
        <f t="shared" si="8"/>
        <v>65.29733482169334</v>
      </c>
      <c r="P62" s="589">
        <f t="shared" si="8"/>
        <v>64.429811562771476</v>
      </c>
      <c r="Q62" s="589">
        <f t="shared" si="8"/>
        <v>63.772685424197626</v>
      </c>
      <c r="R62" s="589">
        <f t="shared" si="8"/>
        <v>63.225717365503904</v>
      </c>
      <c r="S62" s="589">
        <f t="shared" si="8"/>
        <v>62.750906638263842</v>
      </c>
      <c r="T62" s="589">
        <f t="shared" si="8"/>
        <v>62.328227736232279</v>
      </c>
      <c r="U62" s="589">
        <f t="shared" si="8"/>
        <v>61.976080266729873</v>
      </c>
      <c r="V62" s="589">
        <f t="shared" si="8"/>
        <v>61.578532130579809</v>
      </c>
      <c r="W62" s="589">
        <f t="shared" si="8"/>
        <v>61.179304094364483</v>
      </c>
      <c r="X62" s="589">
        <f t="shared" si="8"/>
        <v>60.774079809534918</v>
      </c>
      <c r="Y62" s="589">
        <f t="shared" si="8"/>
        <v>60.364969205699893</v>
      </c>
      <c r="Z62" s="589">
        <f t="shared" si="8"/>
        <v>59.953079781028663</v>
      </c>
      <c r="AA62" s="589">
        <f t="shared" si="8"/>
        <v>59.53856581448067</v>
      </c>
      <c r="AB62" s="589">
        <f t="shared" si="8"/>
        <v>59.121904587234084</v>
      </c>
      <c r="AC62" s="589">
        <f t="shared" si="8"/>
        <v>58.702702471342334</v>
      </c>
      <c r="AD62" s="589">
        <f t="shared" si="8"/>
        <v>58.281346527740972</v>
      </c>
      <c r="AE62" s="589">
        <f t="shared" si="8"/>
        <v>57.858101080516597</v>
      </c>
      <c r="AF62" s="589">
        <f t="shared" si="8"/>
        <v>57.433124491913404</v>
      </c>
      <c r="AG62" s="589">
        <f t="shared" si="8"/>
        <v>57.007094816893549</v>
      </c>
      <c r="AH62" s="589">
        <f t="shared" si="8"/>
        <v>56.580068654622949</v>
      </c>
      <c r="AI62" s="589">
        <f t="shared" si="8"/>
        <v>56.152295964390667</v>
      </c>
      <c r="AJ62" s="589">
        <f t="shared" si="8"/>
        <v>55.72403340715703</v>
      </c>
      <c r="AK62" s="589">
        <f t="shared" si="8"/>
        <v>55.295578384466047</v>
      </c>
      <c r="AL62" s="589"/>
      <c r="AM62" s="589"/>
      <c r="AN62" s="589"/>
      <c r="AO62" s="589"/>
      <c r="AP62" s="589"/>
      <c r="AQ62" s="589"/>
      <c r="AR62" s="589"/>
      <c r="AS62" s="589"/>
      <c r="AT62" s="589"/>
      <c r="AU62" s="589"/>
      <c r="AV62" s="589"/>
      <c r="AW62" s="589"/>
      <c r="AX62" s="589"/>
      <c r="AY62" s="589"/>
      <c r="AZ62" s="589"/>
      <c r="BA62" s="589"/>
      <c r="BB62" s="589"/>
      <c r="BC62" s="589"/>
      <c r="BD62" s="589"/>
      <c r="BE62" s="589"/>
      <c r="BF62" s="589"/>
      <c r="BG62" s="589"/>
      <c r="BH62" s="589"/>
      <c r="BI62" s="589"/>
      <c r="BJ62" s="589"/>
      <c r="BK62" s="589"/>
      <c r="BL62" s="589"/>
      <c r="BM62" s="589"/>
      <c r="BN62" s="589"/>
      <c r="BO62" s="589"/>
      <c r="BP62" s="589"/>
      <c r="BQ62" s="589"/>
      <c r="BR62" s="589"/>
      <c r="BS62" s="589"/>
      <c r="BT62" s="589"/>
      <c r="BU62" s="589"/>
      <c r="BV62" s="589"/>
      <c r="BW62" s="589"/>
      <c r="BX62" s="589"/>
      <c r="BY62" s="589"/>
      <c r="BZ62" s="589"/>
      <c r="CA62" s="589"/>
      <c r="CB62" s="589"/>
      <c r="CC62" s="589"/>
      <c r="CD62" s="589"/>
      <c r="CE62" s="589"/>
      <c r="CF62" s="589"/>
      <c r="CG62" s="589"/>
      <c r="CH62" s="589"/>
      <c r="CI62" s="560"/>
      <c r="CK62" s="1293"/>
    </row>
    <row r="63" spans="1:89" s="1292" customFormat="1" x14ac:dyDescent="0.2">
      <c r="A63" s="1284"/>
      <c r="B63" s="561" t="s">
        <v>531</v>
      </c>
      <c r="C63" s="562" t="s">
        <v>532</v>
      </c>
      <c r="D63" s="590" t="s">
        <v>86</v>
      </c>
      <c r="E63" s="591" t="s">
        <v>344</v>
      </c>
      <c r="F63" s="592">
        <v>2</v>
      </c>
      <c r="G63" s="593"/>
      <c r="H63" s="593"/>
      <c r="I63" s="593">
        <v>24.036000000000001</v>
      </c>
      <c r="J63" s="593">
        <v>24.350248258819796</v>
      </c>
      <c r="K63" s="593">
        <v>24.432463110532737</v>
      </c>
      <c r="L63" s="593">
        <v>24.514677962245671</v>
      </c>
      <c r="M63" s="594">
        <v>25.684450000000002</v>
      </c>
      <c r="N63" s="594">
        <v>25.770299999999999</v>
      </c>
      <c r="O63" s="594">
        <v>25.856150000000003</v>
      </c>
      <c r="P63" s="594">
        <v>25.942</v>
      </c>
      <c r="Q63" s="594">
        <v>26.027849999999997</v>
      </c>
      <c r="R63" s="594">
        <v>26.113700000000001</v>
      </c>
      <c r="S63" s="594">
        <v>26.199549999999999</v>
      </c>
      <c r="T63" s="594">
        <v>26.285400000000003</v>
      </c>
      <c r="U63" s="594">
        <v>26.37125</v>
      </c>
      <c r="V63" s="594">
        <v>26.457099999999997</v>
      </c>
      <c r="W63" s="594">
        <v>26.538700000000002</v>
      </c>
      <c r="X63" s="594">
        <v>26.6203</v>
      </c>
      <c r="Y63" s="594">
        <v>26.701900000000002</v>
      </c>
      <c r="Z63" s="594">
        <v>26.7835</v>
      </c>
      <c r="AA63" s="594">
        <v>26.865099999999998</v>
      </c>
      <c r="AB63" s="594">
        <v>26.9467</v>
      </c>
      <c r="AC63" s="594">
        <v>27.028299999999998</v>
      </c>
      <c r="AD63" s="594">
        <v>27.109900000000003</v>
      </c>
      <c r="AE63" s="594">
        <v>27.191500000000001</v>
      </c>
      <c r="AF63" s="594">
        <v>27.273099999999999</v>
      </c>
      <c r="AG63" s="594">
        <v>27.354700000000001</v>
      </c>
      <c r="AH63" s="594">
        <v>27.436299999999999</v>
      </c>
      <c r="AI63" s="594">
        <v>27.517900000000001</v>
      </c>
      <c r="AJ63" s="594">
        <v>27.599499999999999</v>
      </c>
      <c r="AK63" s="594">
        <v>27.681099999999997</v>
      </c>
      <c r="AL63" s="594"/>
      <c r="AM63" s="594"/>
      <c r="AN63" s="594"/>
      <c r="AO63" s="594"/>
      <c r="AP63" s="594"/>
      <c r="AQ63" s="594"/>
      <c r="AR63" s="594"/>
      <c r="AS63" s="594"/>
      <c r="AT63" s="594"/>
      <c r="AU63" s="594"/>
      <c r="AV63" s="594"/>
      <c r="AW63" s="594"/>
      <c r="AX63" s="594"/>
      <c r="AY63" s="594"/>
      <c r="AZ63" s="594"/>
      <c r="BA63" s="594"/>
      <c r="BB63" s="594"/>
      <c r="BC63" s="594"/>
      <c r="BD63" s="594"/>
      <c r="BE63" s="594"/>
      <c r="BF63" s="594"/>
      <c r="BG63" s="594"/>
      <c r="BH63" s="594"/>
      <c r="BI63" s="594"/>
      <c r="BJ63" s="594"/>
      <c r="BK63" s="594"/>
      <c r="BL63" s="594"/>
      <c r="BM63" s="594"/>
      <c r="BN63" s="594"/>
      <c r="BO63" s="594"/>
      <c r="BP63" s="594"/>
      <c r="BQ63" s="594"/>
      <c r="BR63" s="594"/>
      <c r="BS63" s="594"/>
      <c r="BT63" s="594"/>
      <c r="BU63" s="594"/>
      <c r="BV63" s="594"/>
      <c r="BW63" s="594"/>
      <c r="BX63" s="594"/>
      <c r="BY63" s="594"/>
      <c r="BZ63" s="594"/>
      <c r="CA63" s="594"/>
      <c r="CB63" s="594"/>
      <c r="CC63" s="594"/>
      <c r="CD63" s="594"/>
      <c r="CE63" s="594"/>
      <c r="CF63" s="594"/>
      <c r="CG63" s="594"/>
      <c r="CH63" s="594"/>
      <c r="CI63" s="595"/>
      <c r="CK63" s="1293"/>
    </row>
    <row r="64" spans="1:89" s="1292" customFormat="1" x14ac:dyDescent="0.2">
      <c r="A64" s="1284"/>
      <c r="B64" s="563" t="s">
        <v>533</v>
      </c>
      <c r="C64" s="564" t="s">
        <v>534</v>
      </c>
      <c r="D64" s="596" t="s">
        <v>86</v>
      </c>
      <c r="E64" s="573" t="s">
        <v>344</v>
      </c>
      <c r="F64" s="574">
        <v>2</v>
      </c>
      <c r="G64" s="597"/>
      <c r="H64" s="597"/>
      <c r="I64" s="597">
        <v>1.52</v>
      </c>
      <c r="J64" s="597">
        <v>1.5116672255144381</v>
      </c>
      <c r="K64" s="597">
        <v>1.4949530652493412</v>
      </c>
      <c r="L64" s="597">
        <v>1.4782389049842446</v>
      </c>
      <c r="M64" s="598">
        <v>1.705125</v>
      </c>
      <c r="N64" s="598">
        <v>1.693125</v>
      </c>
      <c r="O64" s="598">
        <v>1.681125</v>
      </c>
      <c r="P64" s="598">
        <v>1.669125</v>
      </c>
      <c r="Q64" s="598">
        <v>1.6608750000000001</v>
      </c>
      <c r="R64" s="598">
        <v>1.652625</v>
      </c>
      <c r="S64" s="598">
        <v>1.647375</v>
      </c>
      <c r="T64" s="598">
        <v>1.6421250000000001</v>
      </c>
      <c r="U64" s="598">
        <v>1.6368750000000001</v>
      </c>
      <c r="V64" s="598">
        <v>1.6316250000000001</v>
      </c>
      <c r="W64" s="598">
        <v>1.6263749999999999</v>
      </c>
      <c r="X64" s="598">
        <v>1.6211249999999999</v>
      </c>
      <c r="Y64" s="598">
        <v>1.615875</v>
      </c>
      <c r="Z64" s="598">
        <v>1.610625</v>
      </c>
      <c r="AA64" s="598">
        <v>1.605375</v>
      </c>
      <c r="AB64" s="598">
        <v>1.600125</v>
      </c>
      <c r="AC64" s="598">
        <v>1.594875</v>
      </c>
      <c r="AD64" s="598">
        <v>1.5896250000000001</v>
      </c>
      <c r="AE64" s="598">
        <v>1.5843750000000001</v>
      </c>
      <c r="AF64" s="598">
        <v>1.5791249999999999</v>
      </c>
      <c r="AG64" s="598">
        <v>1.5738749999999999</v>
      </c>
      <c r="AH64" s="598">
        <v>1.5686249999999999</v>
      </c>
      <c r="AI64" s="598">
        <v>1.563375</v>
      </c>
      <c r="AJ64" s="598">
        <v>1.558125</v>
      </c>
      <c r="AK64" s="598">
        <v>1.552875</v>
      </c>
      <c r="AL64" s="598"/>
      <c r="AM64" s="598"/>
      <c r="AN64" s="598"/>
      <c r="AO64" s="598"/>
      <c r="AP64" s="598"/>
      <c r="AQ64" s="598"/>
      <c r="AR64" s="598"/>
      <c r="AS64" s="598"/>
      <c r="AT64" s="598"/>
      <c r="AU64" s="598"/>
      <c r="AV64" s="598"/>
      <c r="AW64" s="598"/>
      <c r="AX64" s="598"/>
      <c r="AY64" s="598"/>
      <c r="AZ64" s="598"/>
      <c r="BA64" s="598"/>
      <c r="BB64" s="598"/>
      <c r="BC64" s="598"/>
      <c r="BD64" s="598"/>
      <c r="BE64" s="598"/>
      <c r="BF64" s="598"/>
      <c r="BG64" s="598"/>
      <c r="BH64" s="598"/>
      <c r="BI64" s="598"/>
      <c r="BJ64" s="598"/>
      <c r="BK64" s="598"/>
      <c r="BL64" s="598"/>
      <c r="BM64" s="598"/>
      <c r="BN64" s="598"/>
      <c r="BO64" s="598"/>
      <c r="BP64" s="598"/>
      <c r="BQ64" s="598"/>
      <c r="BR64" s="598"/>
      <c r="BS64" s="598"/>
      <c r="BT64" s="598"/>
      <c r="BU64" s="598"/>
      <c r="BV64" s="598"/>
      <c r="BW64" s="598"/>
      <c r="BX64" s="598"/>
      <c r="BY64" s="598"/>
      <c r="BZ64" s="598"/>
      <c r="CA64" s="598"/>
      <c r="CB64" s="598"/>
      <c r="CC64" s="598"/>
      <c r="CD64" s="598"/>
      <c r="CE64" s="598"/>
      <c r="CF64" s="598"/>
      <c r="CG64" s="598"/>
      <c r="CH64" s="598"/>
      <c r="CI64" s="599"/>
      <c r="CK64" s="1293"/>
    </row>
    <row r="65" spans="1:89" s="1292" customFormat="1" x14ac:dyDescent="0.2">
      <c r="A65" s="1284"/>
      <c r="B65" s="600" t="s">
        <v>535</v>
      </c>
      <c r="C65" s="601" t="s">
        <v>536</v>
      </c>
      <c r="D65" s="596" t="s">
        <v>86</v>
      </c>
      <c r="E65" s="573" t="s">
        <v>344</v>
      </c>
      <c r="F65" s="574">
        <v>2</v>
      </c>
      <c r="G65" s="597"/>
      <c r="H65" s="597"/>
      <c r="I65" s="597">
        <v>6.6349999999999998</v>
      </c>
      <c r="J65" s="597">
        <v>6.4035845156657647</v>
      </c>
      <c r="K65" s="597">
        <v>6.4130838242179253</v>
      </c>
      <c r="L65" s="597">
        <v>6.4225831327700851</v>
      </c>
      <c r="M65" s="598">
        <v>5.1009250000000002</v>
      </c>
      <c r="N65" s="598">
        <v>5.1120749999999999</v>
      </c>
      <c r="O65" s="598">
        <v>5.1232249999999997</v>
      </c>
      <c r="P65" s="598">
        <v>5.1343750000000004</v>
      </c>
      <c r="Q65" s="598">
        <v>5.1467749999999999</v>
      </c>
      <c r="R65" s="598">
        <v>5.1591750000000003</v>
      </c>
      <c r="S65" s="598">
        <v>5.1725750000000001</v>
      </c>
      <c r="T65" s="598">
        <v>5.1859749999999991</v>
      </c>
      <c r="U65" s="598">
        <v>5.1993749999999999</v>
      </c>
      <c r="V65" s="598">
        <v>5.2127749999999997</v>
      </c>
      <c r="W65" s="598">
        <v>5.2254250000000004</v>
      </c>
      <c r="X65" s="598">
        <v>5.2380750000000003</v>
      </c>
      <c r="Y65" s="598">
        <v>5.2507249999999992</v>
      </c>
      <c r="Z65" s="598">
        <v>5.2633749999999999</v>
      </c>
      <c r="AA65" s="598">
        <v>5.2760249999999997</v>
      </c>
      <c r="AB65" s="598">
        <v>5.2886750000000005</v>
      </c>
      <c r="AC65" s="598">
        <v>5.3013249999999994</v>
      </c>
      <c r="AD65" s="598">
        <v>5.3139749999999992</v>
      </c>
      <c r="AE65" s="598">
        <v>5.3266249999999999</v>
      </c>
      <c r="AF65" s="598">
        <v>5.3392749999999998</v>
      </c>
      <c r="AG65" s="598">
        <v>5.3519250000000005</v>
      </c>
      <c r="AH65" s="598">
        <v>5.3645749999999994</v>
      </c>
      <c r="AI65" s="598">
        <v>5.3772249999999993</v>
      </c>
      <c r="AJ65" s="598">
        <v>5.389875</v>
      </c>
      <c r="AK65" s="598">
        <v>5.4025249999999998</v>
      </c>
      <c r="AL65" s="598"/>
      <c r="AM65" s="598"/>
      <c r="AN65" s="598"/>
      <c r="AO65" s="598"/>
      <c r="AP65" s="598"/>
      <c r="AQ65" s="598"/>
      <c r="AR65" s="598"/>
      <c r="AS65" s="598"/>
      <c r="AT65" s="598"/>
      <c r="AU65" s="598"/>
      <c r="AV65" s="598"/>
      <c r="AW65" s="598"/>
      <c r="AX65" s="598"/>
      <c r="AY65" s="598"/>
      <c r="AZ65" s="598"/>
      <c r="BA65" s="598"/>
      <c r="BB65" s="598"/>
      <c r="BC65" s="598"/>
      <c r="BD65" s="598"/>
      <c r="BE65" s="598"/>
      <c r="BF65" s="598"/>
      <c r="BG65" s="598"/>
      <c r="BH65" s="598"/>
      <c r="BI65" s="598"/>
      <c r="BJ65" s="598"/>
      <c r="BK65" s="598"/>
      <c r="BL65" s="598"/>
      <c r="BM65" s="598"/>
      <c r="BN65" s="598"/>
      <c r="BO65" s="598"/>
      <c r="BP65" s="598"/>
      <c r="BQ65" s="598"/>
      <c r="BR65" s="598"/>
      <c r="BS65" s="598"/>
      <c r="BT65" s="598"/>
      <c r="BU65" s="598"/>
      <c r="BV65" s="598"/>
      <c r="BW65" s="598"/>
      <c r="BX65" s="598"/>
      <c r="BY65" s="598"/>
      <c r="BZ65" s="598"/>
      <c r="CA65" s="598"/>
      <c r="CB65" s="598"/>
      <c r="CC65" s="598"/>
      <c r="CD65" s="598"/>
      <c r="CE65" s="598"/>
      <c r="CF65" s="598"/>
      <c r="CG65" s="598"/>
      <c r="CH65" s="598"/>
      <c r="CI65" s="599"/>
      <c r="CK65" s="1293"/>
    </row>
    <row r="66" spans="1:89" s="1292" customFormat="1" ht="28.5" x14ac:dyDescent="0.2">
      <c r="A66" s="1284"/>
      <c r="B66" s="600" t="s">
        <v>537</v>
      </c>
      <c r="C66" s="601" t="s">
        <v>538</v>
      </c>
      <c r="D66" s="602" t="s">
        <v>539</v>
      </c>
      <c r="E66" s="603" t="s">
        <v>344</v>
      </c>
      <c r="F66" s="604">
        <v>2</v>
      </c>
      <c r="G66" s="597"/>
      <c r="H66" s="597"/>
      <c r="I66" s="597">
        <v>402.48899999999998</v>
      </c>
      <c r="J66" s="552">
        <f t="shared" ref="J66:L66" si="9">I66+SUM(J67:J72)</f>
        <v>414.15406383130227</v>
      </c>
      <c r="K66" s="552">
        <f t="shared" si="9"/>
        <v>431.40095586723061</v>
      </c>
      <c r="L66" s="552">
        <f t="shared" si="9"/>
        <v>452.41886311448849</v>
      </c>
      <c r="M66" s="552">
        <f>L66+SUM(M67:M72)</f>
        <v>489.18617390456541</v>
      </c>
      <c r="N66" s="552">
        <f t="shared" ref="N66:AK66" si="10">M66+SUM(N67:N72)</f>
        <v>533.46074680769652</v>
      </c>
      <c r="O66" s="552">
        <f t="shared" si="10"/>
        <v>560.15272726981323</v>
      </c>
      <c r="P66" s="552">
        <f t="shared" si="10"/>
        <v>573.81105801883029</v>
      </c>
      <c r="Q66" s="552">
        <f t="shared" si="10"/>
        <v>585.27688507960727</v>
      </c>
      <c r="R66" s="552">
        <f t="shared" si="10"/>
        <v>594.61517804940422</v>
      </c>
      <c r="S66" s="552">
        <f t="shared" si="10"/>
        <v>602.2239612418075</v>
      </c>
      <c r="T66" s="552">
        <f t="shared" si="10"/>
        <v>609.28409182278494</v>
      </c>
      <c r="U66" s="552">
        <f t="shared" si="10"/>
        <v>615.54492132076427</v>
      </c>
      <c r="V66" s="552">
        <f t="shared" si="10"/>
        <v>622.42060275828248</v>
      </c>
      <c r="W66" s="552">
        <f t="shared" si="10"/>
        <v>628.5664766560385</v>
      </c>
      <c r="X66" s="552">
        <f t="shared" si="10"/>
        <v>634.07383934283769</v>
      </c>
      <c r="Y66" s="552">
        <f t="shared" si="10"/>
        <v>639.70078620290747</v>
      </c>
      <c r="Z66" s="552">
        <f t="shared" si="10"/>
        <v>645.43622417985341</v>
      </c>
      <c r="AA66" s="552">
        <f t="shared" si="10"/>
        <v>651.28110077838858</v>
      </c>
      <c r="AB66" s="552">
        <f t="shared" si="10"/>
        <v>657.23199387717102</v>
      </c>
      <c r="AC66" s="552">
        <f t="shared" si="10"/>
        <v>663.29717493548628</v>
      </c>
      <c r="AD66" s="552">
        <f t="shared" si="10"/>
        <v>669.47446992511357</v>
      </c>
      <c r="AE66" s="552">
        <f t="shared" si="10"/>
        <v>675.76324570695465</v>
      </c>
      <c r="AF66" s="552">
        <f t="shared" si="10"/>
        <v>682.16428293999661</v>
      </c>
      <c r="AG66" s="552">
        <f t="shared" si="10"/>
        <v>688.67077949393251</v>
      </c>
      <c r="AH66" s="552">
        <f t="shared" si="10"/>
        <v>695.28462525991017</v>
      </c>
      <c r="AI66" s="552">
        <f t="shared" si="10"/>
        <v>702.00485489829987</v>
      </c>
      <c r="AJ66" s="552">
        <f t="shared" si="10"/>
        <v>708.83026673176641</v>
      </c>
      <c r="AK66" s="552">
        <f t="shared" si="10"/>
        <v>715.758878425445</v>
      </c>
      <c r="AL66" s="552"/>
      <c r="AM66" s="552"/>
      <c r="AN66" s="552"/>
      <c r="AO66" s="552"/>
      <c r="AP66" s="552"/>
      <c r="AQ66" s="552"/>
      <c r="AR66" s="552"/>
      <c r="AS66" s="552"/>
      <c r="AT66" s="552"/>
      <c r="AU66" s="552"/>
      <c r="AV66" s="552"/>
      <c r="AW66" s="552"/>
      <c r="AX66" s="552"/>
      <c r="AY66" s="552"/>
      <c r="AZ66" s="552"/>
      <c r="BA66" s="552"/>
      <c r="BB66" s="552"/>
      <c r="BC66" s="552"/>
      <c r="BD66" s="552"/>
      <c r="BE66" s="552"/>
      <c r="BF66" s="552"/>
      <c r="BG66" s="552"/>
      <c r="BH66" s="552"/>
      <c r="BI66" s="552"/>
      <c r="BJ66" s="552"/>
      <c r="BK66" s="552"/>
      <c r="BL66" s="552"/>
      <c r="BM66" s="552"/>
      <c r="BN66" s="552"/>
      <c r="BO66" s="552"/>
      <c r="BP66" s="552"/>
      <c r="BQ66" s="552"/>
      <c r="BR66" s="552"/>
      <c r="BS66" s="552"/>
      <c r="BT66" s="552"/>
      <c r="BU66" s="552"/>
      <c r="BV66" s="552"/>
      <c r="BW66" s="552"/>
      <c r="BX66" s="552"/>
      <c r="BY66" s="552"/>
      <c r="BZ66" s="552"/>
      <c r="CA66" s="552"/>
      <c r="CB66" s="552"/>
      <c r="CC66" s="552"/>
      <c r="CD66" s="552"/>
      <c r="CE66" s="552"/>
      <c r="CF66" s="552"/>
      <c r="CG66" s="552"/>
      <c r="CH66" s="552"/>
      <c r="CI66" s="552"/>
      <c r="CK66" s="1293"/>
    </row>
    <row r="67" spans="1:89" s="1292" customFormat="1" x14ac:dyDescent="0.2">
      <c r="A67" s="1284"/>
      <c r="B67" s="600" t="s">
        <v>540</v>
      </c>
      <c r="C67" s="601" t="s">
        <v>541</v>
      </c>
      <c r="D67" s="602" t="s">
        <v>542</v>
      </c>
      <c r="E67" s="603" t="s">
        <v>344</v>
      </c>
      <c r="F67" s="604">
        <v>2</v>
      </c>
      <c r="G67" s="597"/>
      <c r="H67" s="597"/>
      <c r="I67" s="597">
        <v>4.5919999999999996</v>
      </c>
      <c r="J67" s="597">
        <v>5.7446845043247095</v>
      </c>
      <c r="K67" s="597">
        <v>9.2269525838384805</v>
      </c>
      <c r="L67" s="597">
        <v>10.244177015531042</v>
      </c>
      <c r="M67" s="598">
        <v>11.189108006404449</v>
      </c>
      <c r="N67" s="598">
        <v>11.284643025783842</v>
      </c>
      <c r="O67" s="598">
        <v>10.965001922938214</v>
      </c>
      <c r="P67" s="598">
        <v>10.131913689595585</v>
      </c>
      <c r="Q67" s="598">
        <v>7.8722169703828948</v>
      </c>
      <c r="R67" s="598">
        <v>6.6894809530219641</v>
      </c>
      <c r="S67" s="598">
        <v>5.9069673860963032</v>
      </c>
      <c r="T67" s="598">
        <v>5.3415003756294608</v>
      </c>
      <c r="U67" s="598">
        <v>4.5177033418539763</v>
      </c>
      <c r="V67" s="598">
        <v>5.1513984722337911</v>
      </c>
      <c r="W67" s="598">
        <v>5.2342247303592746</v>
      </c>
      <c r="X67" s="598">
        <v>5.3811452496638514</v>
      </c>
      <c r="Y67" s="598">
        <v>5.5043942847548761</v>
      </c>
      <c r="Z67" s="598">
        <v>5.6162102977377373</v>
      </c>
      <c r="AA67" s="598">
        <v>5.7290028533382582</v>
      </c>
      <c r="AB67" s="598">
        <v>5.8382684108267977</v>
      </c>
      <c r="AC67" s="598">
        <v>5.9560589206384043</v>
      </c>
      <c r="AD67" s="598">
        <v>6.0716087754108017</v>
      </c>
      <c r="AE67" s="598">
        <v>6.1865060874525231</v>
      </c>
      <c r="AF67" s="598">
        <v>6.302207983113477</v>
      </c>
      <c r="AG67" s="598">
        <v>6.4108992855329969</v>
      </c>
      <c r="AH67" s="598">
        <v>6.5215383980515194</v>
      </c>
      <c r="AI67" s="598">
        <v>6.6311825864543215</v>
      </c>
      <c r="AJ67" s="598">
        <v>6.7395882700611844</v>
      </c>
      <c r="AK67" s="598">
        <v>6.8459508667562634</v>
      </c>
      <c r="AL67" s="598"/>
      <c r="AM67" s="598"/>
      <c r="AN67" s="598"/>
      <c r="AO67" s="598"/>
      <c r="AP67" s="598"/>
      <c r="AQ67" s="598"/>
      <c r="AR67" s="598"/>
      <c r="AS67" s="598"/>
      <c r="AT67" s="598"/>
      <c r="AU67" s="598"/>
      <c r="AV67" s="598"/>
      <c r="AW67" s="598"/>
      <c r="AX67" s="598"/>
      <c r="AY67" s="598"/>
      <c r="AZ67" s="598"/>
      <c r="BA67" s="598"/>
      <c r="BB67" s="598"/>
      <c r="BC67" s="598"/>
      <c r="BD67" s="598"/>
      <c r="BE67" s="598"/>
      <c r="BF67" s="598"/>
      <c r="BG67" s="598"/>
      <c r="BH67" s="598"/>
      <c r="BI67" s="598"/>
      <c r="BJ67" s="598"/>
      <c r="BK67" s="598"/>
      <c r="BL67" s="598"/>
      <c r="BM67" s="598"/>
      <c r="BN67" s="598"/>
      <c r="BO67" s="598"/>
      <c r="BP67" s="598"/>
      <c r="BQ67" s="598"/>
      <c r="BR67" s="598"/>
      <c r="BS67" s="598"/>
      <c r="BT67" s="598"/>
      <c r="BU67" s="598"/>
      <c r="BV67" s="598"/>
      <c r="BW67" s="598"/>
      <c r="BX67" s="598"/>
      <c r="BY67" s="598"/>
      <c r="BZ67" s="598"/>
      <c r="CA67" s="598"/>
      <c r="CB67" s="598"/>
      <c r="CC67" s="598"/>
      <c r="CD67" s="598"/>
      <c r="CE67" s="598"/>
      <c r="CF67" s="598"/>
      <c r="CG67" s="598"/>
      <c r="CH67" s="598"/>
      <c r="CI67" s="599"/>
      <c r="CK67" s="1293"/>
    </row>
    <row r="68" spans="1:89" s="1292" customFormat="1" x14ac:dyDescent="0.2">
      <c r="A68" s="1284"/>
      <c r="B68" s="600" t="s">
        <v>543</v>
      </c>
      <c r="C68" s="601" t="s">
        <v>544</v>
      </c>
      <c r="D68" s="602" t="s">
        <v>545</v>
      </c>
      <c r="E68" s="603" t="s">
        <v>344</v>
      </c>
      <c r="F68" s="604">
        <v>2</v>
      </c>
      <c r="G68" s="597"/>
      <c r="H68" s="597"/>
      <c r="I68" s="597">
        <v>0</v>
      </c>
      <c r="J68" s="597">
        <v>5.96828</v>
      </c>
      <c r="K68" s="597">
        <v>8.3375000000000004</v>
      </c>
      <c r="L68" s="597">
        <v>11.050369999999999</v>
      </c>
      <c r="M68" s="598">
        <v>26.468449999999997</v>
      </c>
      <c r="N68" s="598">
        <v>34.401800000000001</v>
      </c>
      <c r="O68" s="598">
        <v>16.600000000000001</v>
      </c>
      <c r="P68" s="598">
        <v>4</v>
      </c>
      <c r="Q68" s="598">
        <v>4</v>
      </c>
      <c r="R68" s="598">
        <v>3</v>
      </c>
      <c r="S68" s="598">
        <v>2</v>
      </c>
      <c r="T68" s="598">
        <v>2</v>
      </c>
      <c r="U68" s="598">
        <v>2</v>
      </c>
      <c r="V68" s="598">
        <v>2</v>
      </c>
      <c r="W68" s="598">
        <v>1.1950000000000001</v>
      </c>
      <c r="X68" s="598">
        <v>0.39</v>
      </c>
      <c r="Y68" s="598">
        <v>0.39</v>
      </c>
      <c r="Z68" s="598">
        <v>0.39</v>
      </c>
      <c r="AA68" s="598">
        <v>0.39</v>
      </c>
      <c r="AB68" s="598">
        <v>0.39</v>
      </c>
      <c r="AC68" s="598">
        <v>0.39</v>
      </c>
      <c r="AD68" s="598">
        <v>0.39</v>
      </c>
      <c r="AE68" s="598">
        <v>0.39</v>
      </c>
      <c r="AF68" s="598">
        <v>0.39</v>
      </c>
      <c r="AG68" s="598">
        <v>0.39</v>
      </c>
      <c r="AH68" s="598">
        <v>0.39</v>
      </c>
      <c r="AI68" s="598">
        <v>0.39</v>
      </c>
      <c r="AJ68" s="598">
        <v>0.39</v>
      </c>
      <c r="AK68" s="598">
        <v>0.39</v>
      </c>
      <c r="AL68" s="598"/>
      <c r="AM68" s="598"/>
      <c r="AN68" s="598"/>
      <c r="AO68" s="598"/>
      <c r="AP68" s="598"/>
      <c r="AQ68" s="598"/>
      <c r="AR68" s="598"/>
      <c r="AS68" s="598"/>
      <c r="AT68" s="598"/>
      <c r="AU68" s="598"/>
      <c r="AV68" s="598"/>
      <c r="AW68" s="598"/>
      <c r="AX68" s="598"/>
      <c r="AY68" s="598"/>
      <c r="AZ68" s="598"/>
      <c r="BA68" s="598"/>
      <c r="BB68" s="598"/>
      <c r="BC68" s="598"/>
      <c r="BD68" s="598"/>
      <c r="BE68" s="598"/>
      <c r="BF68" s="598"/>
      <c r="BG68" s="598"/>
      <c r="BH68" s="598"/>
      <c r="BI68" s="598"/>
      <c r="BJ68" s="598"/>
      <c r="BK68" s="598"/>
      <c r="BL68" s="598"/>
      <c r="BM68" s="598"/>
      <c r="BN68" s="598"/>
      <c r="BO68" s="598"/>
      <c r="BP68" s="598"/>
      <c r="BQ68" s="598"/>
      <c r="BR68" s="598"/>
      <c r="BS68" s="598"/>
      <c r="BT68" s="598"/>
      <c r="BU68" s="598"/>
      <c r="BV68" s="598"/>
      <c r="BW68" s="598"/>
      <c r="BX68" s="598"/>
      <c r="BY68" s="598"/>
      <c r="BZ68" s="598"/>
      <c r="CA68" s="598"/>
      <c r="CB68" s="598"/>
      <c r="CC68" s="598"/>
      <c r="CD68" s="598"/>
      <c r="CE68" s="598"/>
      <c r="CF68" s="598"/>
      <c r="CG68" s="598"/>
      <c r="CH68" s="598"/>
      <c r="CI68" s="599"/>
      <c r="CK68" s="1293"/>
    </row>
    <row r="69" spans="1:89" s="1292" customFormat="1" x14ac:dyDescent="0.2">
      <c r="A69" s="1284"/>
      <c r="B69" s="600" t="s">
        <v>546</v>
      </c>
      <c r="C69" s="601" t="s">
        <v>547</v>
      </c>
      <c r="D69" s="602" t="s">
        <v>548</v>
      </c>
      <c r="E69" s="603" t="s">
        <v>344</v>
      </c>
      <c r="F69" s="604">
        <v>2</v>
      </c>
      <c r="G69" s="597"/>
      <c r="H69" s="597"/>
      <c r="I69" s="597">
        <v>0</v>
      </c>
      <c r="J69" s="597">
        <v>0</v>
      </c>
      <c r="K69" s="597">
        <v>0</v>
      </c>
      <c r="L69" s="597">
        <v>0</v>
      </c>
      <c r="M69" s="598">
        <v>0</v>
      </c>
      <c r="N69" s="598">
        <v>5.0000000000000001E-3</v>
      </c>
      <c r="O69" s="598">
        <v>5.0000000000000001E-3</v>
      </c>
      <c r="P69" s="598">
        <v>5.0000000000000001E-3</v>
      </c>
      <c r="Q69" s="598">
        <v>5.0000000000000001E-3</v>
      </c>
      <c r="R69" s="598">
        <v>5.0000000000000001E-3</v>
      </c>
      <c r="S69" s="598">
        <v>5.0000000000000001E-3</v>
      </c>
      <c r="T69" s="598">
        <v>5.0000000000000001E-3</v>
      </c>
      <c r="U69" s="598">
        <v>5.0000000000000001E-3</v>
      </c>
      <c r="V69" s="598">
        <v>5.0000000000000001E-3</v>
      </c>
      <c r="W69" s="598">
        <v>5.0000000000000001E-3</v>
      </c>
      <c r="X69" s="598">
        <v>5.0000000000000001E-3</v>
      </c>
      <c r="Y69" s="598">
        <v>5.0000000000000001E-3</v>
      </c>
      <c r="Z69" s="598">
        <v>5.0000000000000001E-3</v>
      </c>
      <c r="AA69" s="598">
        <v>5.0000000000000001E-3</v>
      </c>
      <c r="AB69" s="598">
        <v>5.0000000000000001E-3</v>
      </c>
      <c r="AC69" s="598">
        <v>5.0000000000000001E-3</v>
      </c>
      <c r="AD69" s="598">
        <v>5.0000000000000001E-3</v>
      </c>
      <c r="AE69" s="598">
        <v>5.0000000000000001E-3</v>
      </c>
      <c r="AF69" s="598">
        <v>5.0000000000000001E-3</v>
      </c>
      <c r="AG69" s="598">
        <v>5.0000000000000001E-3</v>
      </c>
      <c r="AH69" s="598">
        <v>5.0000000000000001E-3</v>
      </c>
      <c r="AI69" s="598">
        <v>5.0000000000000001E-3</v>
      </c>
      <c r="AJ69" s="598">
        <v>5.0000000000000001E-3</v>
      </c>
      <c r="AK69" s="598">
        <v>5.0000000000000001E-3</v>
      </c>
      <c r="AL69" s="598"/>
      <c r="AM69" s="598"/>
      <c r="AN69" s="598"/>
      <c r="AO69" s="598"/>
      <c r="AP69" s="598"/>
      <c r="AQ69" s="598"/>
      <c r="AR69" s="598"/>
      <c r="AS69" s="598"/>
      <c r="AT69" s="598"/>
      <c r="AU69" s="598"/>
      <c r="AV69" s="598"/>
      <c r="AW69" s="598"/>
      <c r="AX69" s="598"/>
      <c r="AY69" s="598"/>
      <c r="AZ69" s="598"/>
      <c r="BA69" s="598"/>
      <c r="BB69" s="598"/>
      <c r="BC69" s="598"/>
      <c r="BD69" s="598"/>
      <c r="BE69" s="598"/>
      <c r="BF69" s="598"/>
      <c r="BG69" s="598"/>
      <c r="BH69" s="598"/>
      <c r="BI69" s="598"/>
      <c r="BJ69" s="598"/>
      <c r="BK69" s="598"/>
      <c r="BL69" s="598"/>
      <c r="BM69" s="598"/>
      <c r="BN69" s="598"/>
      <c r="BO69" s="598"/>
      <c r="BP69" s="598"/>
      <c r="BQ69" s="598"/>
      <c r="BR69" s="598"/>
      <c r="BS69" s="598"/>
      <c r="BT69" s="598"/>
      <c r="BU69" s="598"/>
      <c r="BV69" s="598"/>
      <c r="BW69" s="598"/>
      <c r="BX69" s="598"/>
      <c r="BY69" s="598"/>
      <c r="BZ69" s="598"/>
      <c r="CA69" s="598"/>
      <c r="CB69" s="598"/>
      <c r="CC69" s="598"/>
      <c r="CD69" s="598"/>
      <c r="CE69" s="598"/>
      <c r="CF69" s="598"/>
      <c r="CG69" s="598"/>
      <c r="CH69" s="598"/>
      <c r="CI69" s="599"/>
      <c r="CK69" s="1293"/>
    </row>
    <row r="70" spans="1:89" s="1292" customFormat="1" ht="28.5" x14ac:dyDescent="0.2">
      <c r="A70" s="1284"/>
      <c r="B70" s="600" t="s">
        <v>549</v>
      </c>
      <c r="C70" s="601" t="s">
        <v>550</v>
      </c>
      <c r="D70" s="602" t="s">
        <v>551</v>
      </c>
      <c r="E70" s="603" t="s">
        <v>344</v>
      </c>
      <c r="F70" s="604">
        <v>2</v>
      </c>
      <c r="G70" s="597"/>
      <c r="H70" s="597"/>
      <c r="I70" s="597">
        <v>0</v>
      </c>
      <c r="J70" s="597">
        <v>0</v>
      </c>
      <c r="K70" s="597">
        <v>0</v>
      </c>
      <c r="L70" s="597">
        <v>0</v>
      </c>
      <c r="M70" s="598">
        <v>0</v>
      </c>
      <c r="N70" s="598">
        <v>0</v>
      </c>
      <c r="O70" s="598">
        <v>0</v>
      </c>
      <c r="P70" s="598">
        <v>0</v>
      </c>
      <c r="Q70" s="598">
        <v>0</v>
      </c>
      <c r="R70" s="598">
        <v>0</v>
      </c>
      <c r="S70" s="598">
        <v>0</v>
      </c>
      <c r="T70" s="598">
        <v>0</v>
      </c>
      <c r="U70" s="598">
        <v>0</v>
      </c>
      <c r="V70" s="598">
        <v>0</v>
      </c>
      <c r="W70" s="598">
        <v>0</v>
      </c>
      <c r="X70" s="598">
        <v>0</v>
      </c>
      <c r="Y70" s="598">
        <v>0</v>
      </c>
      <c r="Z70" s="598">
        <v>0</v>
      </c>
      <c r="AA70" s="598">
        <v>0</v>
      </c>
      <c r="AB70" s="598">
        <v>0</v>
      </c>
      <c r="AC70" s="598">
        <v>0</v>
      </c>
      <c r="AD70" s="598">
        <v>0</v>
      </c>
      <c r="AE70" s="598">
        <v>0</v>
      </c>
      <c r="AF70" s="598">
        <v>0</v>
      </c>
      <c r="AG70" s="598">
        <v>0</v>
      </c>
      <c r="AH70" s="598">
        <v>0</v>
      </c>
      <c r="AI70" s="598">
        <v>0</v>
      </c>
      <c r="AJ70" s="598">
        <v>0</v>
      </c>
      <c r="AK70" s="598">
        <v>0</v>
      </c>
      <c r="AL70" s="598"/>
      <c r="AM70" s="598"/>
      <c r="AN70" s="598"/>
      <c r="AO70" s="598"/>
      <c r="AP70" s="598"/>
      <c r="AQ70" s="598"/>
      <c r="AR70" s="598"/>
      <c r="AS70" s="598"/>
      <c r="AT70" s="598"/>
      <c r="AU70" s="598"/>
      <c r="AV70" s="598"/>
      <c r="AW70" s="598"/>
      <c r="AX70" s="598"/>
      <c r="AY70" s="598"/>
      <c r="AZ70" s="598"/>
      <c r="BA70" s="598"/>
      <c r="BB70" s="598"/>
      <c r="BC70" s="598"/>
      <c r="BD70" s="598"/>
      <c r="BE70" s="598"/>
      <c r="BF70" s="598"/>
      <c r="BG70" s="598"/>
      <c r="BH70" s="598"/>
      <c r="BI70" s="598"/>
      <c r="BJ70" s="598"/>
      <c r="BK70" s="598"/>
      <c r="BL70" s="598"/>
      <c r="BM70" s="598"/>
      <c r="BN70" s="598"/>
      <c r="BO70" s="598"/>
      <c r="BP70" s="598"/>
      <c r="BQ70" s="598"/>
      <c r="BR70" s="598"/>
      <c r="BS70" s="598"/>
      <c r="BT70" s="598"/>
      <c r="BU70" s="598"/>
      <c r="BV70" s="598"/>
      <c r="BW70" s="598"/>
      <c r="BX70" s="598"/>
      <c r="BY70" s="598"/>
      <c r="BZ70" s="598"/>
      <c r="CA70" s="598"/>
      <c r="CB70" s="598"/>
      <c r="CC70" s="598"/>
      <c r="CD70" s="598"/>
      <c r="CE70" s="598"/>
      <c r="CF70" s="598"/>
      <c r="CG70" s="598"/>
      <c r="CH70" s="598"/>
      <c r="CI70" s="599"/>
      <c r="CK70" s="1293"/>
    </row>
    <row r="71" spans="1:89" s="1292" customFormat="1" x14ac:dyDescent="0.2">
      <c r="A71" s="1284"/>
      <c r="B71" s="600" t="s">
        <v>552</v>
      </c>
      <c r="C71" s="601" t="s">
        <v>553</v>
      </c>
      <c r="D71" s="602" t="s">
        <v>554</v>
      </c>
      <c r="E71" s="603" t="s">
        <v>344</v>
      </c>
      <c r="F71" s="604">
        <v>2</v>
      </c>
      <c r="G71" s="597"/>
      <c r="H71" s="597"/>
      <c r="I71" s="597">
        <v>4.0000000000000001E-3</v>
      </c>
      <c r="J71" s="597">
        <v>0.13955999999999999</v>
      </c>
      <c r="K71" s="597">
        <v>0.25600000000000001</v>
      </c>
      <c r="L71" s="597">
        <v>0.41249000000000002</v>
      </c>
      <c r="M71" s="598">
        <v>0.29655000000000004</v>
      </c>
      <c r="N71" s="598">
        <v>5.0000000000000001E-3</v>
      </c>
      <c r="O71" s="598">
        <v>5.0000000000000001E-3</v>
      </c>
      <c r="P71" s="598">
        <v>5.0000000000000001E-3</v>
      </c>
      <c r="Q71" s="598">
        <v>5.0000000000000001E-3</v>
      </c>
      <c r="R71" s="598">
        <v>5.0000000000000001E-3</v>
      </c>
      <c r="S71" s="598">
        <v>5.0000000000000001E-3</v>
      </c>
      <c r="T71" s="598">
        <v>5.0000000000000001E-3</v>
      </c>
      <c r="U71" s="598">
        <v>5.0000000000000001E-3</v>
      </c>
      <c r="V71" s="598">
        <v>5.0000000000000001E-3</v>
      </c>
      <c r="W71" s="598">
        <v>5.0000000000000001E-3</v>
      </c>
      <c r="X71" s="598">
        <v>5.0000000000000001E-3</v>
      </c>
      <c r="Y71" s="598">
        <v>5.0000000000000001E-3</v>
      </c>
      <c r="Z71" s="598">
        <v>5.0000000000000001E-3</v>
      </c>
      <c r="AA71" s="598">
        <v>5.0000000000000001E-3</v>
      </c>
      <c r="AB71" s="598">
        <v>5.0000000000000001E-3</v>
      </c>
      <c r="AC71" s="598">
        <v>5.0000000000000001E-3</v>
      </c>
      <c r="AD71" s="598">
        <v>5.0000000000000001E-3</v>
      </c>
      <c r="AE71" s="598">
        <v>5.0000000000000001E-3</v>
      </c>
      <c r="AF71" s="598">
        <v>5.0000000000000001E-3</v>
      </c>
      <c r="AG71" s="598">
        <v>5.0000000000000001E-3</v>
      </c>
      <c r="AH71" s="598">
        <v>5.0000000000000001E-3</v>
      </c>
      <c r="AI71" s="598">
        <v>5.0000000000000001E-3</v>
      </c>
      <c r="AJ71" s="598">
        <v>5.0000000000000001E-3</v>
      </c>
      <c r="AK71" s="598">
        <v>5.0000000000000001E-3</v>
      </c>
      <c r="AL71" s="598"/>
      <c r="AM71" s="598"/>
      <c r="AN71" s="598"/>
      <c r="AO71" s="598"/>
      <c r="AP71" s="598"/>
      <c r="AQ71" s="598"/>
      <c r="AR71" s="598"/>
      <c r="AS71" s="598"/>
      <c r="AT71" s="598"/>
      <c r="AU71" s="598"/>
      <c r="AV71" s="598"/>
      <c r="AW71" s="598"/>
      <c r="AX71" s="598"/>
      <c r="AY71" s="598"/>
      <c r="AZ71" s="598"/>
      <c r="BA71" s="598"/>
      <c r="BB71" s="598"/>
      <c r="BC71" s="598"/>
      <c r="BD71" s="598"/>
      <c r="BE71" s="598"/>
      <c r="BF71" s="598"/>
      <c r="BG71" s="598"/>
      <c r="BH71" s="598"/>
      <c r="BI71" s="598"/>
      <c r="BJ71" s="598"/>
      <c r="BK71" s="598"/>
      <c r="BL71" s="598"/>
      <c r="BM71" s="598"/>
      <c r="BN71" s="598"/>
      <c r="BO71" s="598"/>
      <c r="BP71" s="598"/>
      <c r="BQ71" s="598"/>
      <c r="BR71" s="598"/>
      <c r="BS71" s="598"/>
      <c r="BT71" s="598"/>
      <c r="BU71" s="598"/>
      <c r="BV71" s="598"/>
      <c r="BW71" s="598"/>
      <c r="BX71" s="598"/>
      <c r="BY71" s="598"/>
      <c r="BZ71" s="598"/>
      <c r="CA71" s="598"/>
      <c r="CB71" s="598"/>
      <c r="CC71" s="598"/>
      <c r="CD71" s="598"/>
      <c r="CE71" s="598"/>
      <c r="CF71" s="598"/>
      <c r="CG71" s="598"/>
      <c r="CH71" s="598"/>
      <c r="CI71" s="599"/>
      <c r="CK71" s="1293"/>
    </row>
    <row r="72" spans="1:89" s="1292" customFormat="1" ht="28.5" x14ac:dyDescent="0.2">
      <c r="A72" s="1284"/>
      <c r="B72" s="600" t="s">
        <v>555</v>
      </c>
      <c r="C72" s="601" t="s">
        <v>556</v>
      </c>
      <c r="D72" s="602" t="s">
        <v>557</v>
      </c>
      <c r="E72" s="603" t="s">
        <v>344</v>
      </c>
      <c r="F72" s="604">
        <v>2</v>
      </c>
      <c r="G72" s="597"/>
      <c r="H72" s="597"/>
      <c r="I72" s="597">
        <v>0</v>
      </c>
      <c r="J72" s="597">
        <v>-0.18746067302242864</v>
      </c>
      <c r="K72" s="597">
        <v>-0.57356054791011957</v>
      </c>
      <c r="L72" s="597">
        <v>-0.68912976827317607</v>
      </c>
      <c r="M72" s="598">
        <v>-1.186797216327534</v>
      </c>
      <c r="N72" s="598">
        <v>-1.4218701226527628</v>
      </c>
      <c r="O72" s="598">
        <v>-0.88302146082151012</v>
      </c>
      <c r="P72" s="598">
        <v>-0.48358294057857165</v>
      </c>
      <c r="Q72" s="598">
        <v>-0.41638990960586852</v>
      </c>
      <c r="R72" s="598">
        <v>-0.36118798322502244</v>
      </c>
      <c r="S72" s="598">
        <v>-0.30818419369302319</v>
      </c>
      <c r="T72" s="598">
        <v>-0.29136979465204149</v>
      </c>
      <c r="U72" s="598">
        <v>-0.26687384387469137</v>
      </c>
      <c r="V72" s="598">
        <v>-0.28571703471561705</v>
      </c>
      <c r="W72" s="598">
        <v>-0.29335083260320971</v>
      </c>
      <c r="X72" s="598">
        <v>-0.2737825628646533</v>
      </c>
      <c r="Y72" s="598">
        <v>-0.27744742468507866</v>
      </c>
      <c r="Z72" s="598">
        <v>-0.28077232079181158</v>
      </c>
      <c r="AA72" s="598">
        <v>-0.28412625480314091</v>
      </c>
      <c r="AB72" s="598">
        <v>-0.28737531204433253</v>
      </c>
      <c r="AC72" s="598">
        <v>-0.29087786232310009</v>
      </c>
      <c r="AD72" s="598">
        <v>-0.29431378578351541</v>
      </c>
      <c r="AE72" s="598">
        <v>-0.29773030561148062</v>
      </c>
      <c r="AF72" s="598">
        <v>-0.30117075007149197</v>
      </c>
      <c r="AG72" s="598">
        <v>-0.30440273159706521</v>
      </c>
      <c r="AH72" s="598">
        <v>-0.30769263207389486</v>
      </c>
      <c r="AI72" s="598">
        <v>-0.31095294806459606</v>
      </c>
      <c r="AJ72" s="598">
        <v>-0.31417643659460737</v>
      </c>
      <c r="AK72" s="598">
        <v>-0.31733917307769843</v>
      </c>
      <c r="AL72" s="598"/>
      <c r="AM72" s="598"/>
      <c r="AN72" s="598"/>
      <c r="AO72" s="598"/>
      <c r="AP72" s="598"/>
      <c r="AQ72" s="598"/>
      <c r="AR72" s="598"/>
      <c r="AS72" s="598"/>
      <c r="AT72" s="598"/>
      <c r="AU72" s="598"/>
      <c r="AV72" s="598"/>
      <c r="AW72" s="598"/>
      <c r="AX72" s="598"/>
      <c r="AY72" s="598"/>
      <c r="AZ72" s="598"/>
      <c r="BA72" s="598"/>
      <c r="BB72" s="598"/>
      <c r="BC72" s="598"/>
      <c r="BD72" s="598"/>
      <c r="BE72" s="598"/>
      <c r="BF72" s="598"/>
      <c r="BG72" s="598"/>
      <c r="BH72" s="598"/>
      <c r="BI72" s="598"/>
      <c r="BJ72" s="598"/>
      <c r="BK72" s="598"/>
      <c r="BL72" s="598"/>
      <c r="BM72" s="598"/>
      <c r="BN72" s="598"/>
      <c r="BO72" s="598"/>
      <c r="BP72" s="598"/>
      <c r="BQ72" s="598"/>
      <c r="BR72" s="598"/>
      <c r="BS72" s="598"/>
      <c r="BT72" s="598"/>
      <c r="BU72" s="598"/>
      <c r="BV72" s="598"/>
      <c r="BW72" s="598"/>
      <c r="BX72" s="598"/>
      <c r="BY72" s="598"/>
      <c r="BZ72" s="598"/>
      <c r="CA72" s="598"/>
      <c r="CB72" s="598"/>
      <c r="CC72" s="598"/>
      <c r="CD72" s="598"/>
      <c r="CE72" s="598"/>
      <c r="CF72" s="598"/>
      <c r="CG72" s="598"/>
      <c r="CH72" s="598"/>
      <c r="CI72" s="599"/>
      <c r="CK72" s="1293"/>
    </row>
    <row r="73" spans="1:89" s="1292" customFormat="1" x14ac:dyDescent="0.2">
      <c r="A73" s="1284"/>
      <c r="B73" s="600" t="s">
        <v>558</v>
      </c>
      <c r="C73" s="601" t="s">
        <v>559</v>
      </c>
      <c r="D73" s="596" t="s">
        <v>86</v>
      </c>
      <c r="E73" s="573" t="s">
        <v>344</v>
      </c>
      <c r="F73" s="574">
        <v>2</v>
      </c>
      <c r="G73" s="597"/>
      <c r="H73" s="597"/>
      <c r="I73" s="597">
        <v>12.55</v>
      </c>
      <c r="J73" s="597">
        <v>12.692460673022437</v>
      </c>
      <c r="K73" s="597">
        <v>13.221021220932577</v>
      </c>
      <c r="L73" s="597">
        <v>13.865150989205761</v>
      </c>
      <c r="M73" s="598">
        <v>14.991948205533289</v>
      </c>
      <c r="N73" s="598">
        <v>16.348818328185903</v>
      </c>
      <c r="O73" s="598">
        <v>17.166839789007536</v>
      </c>
      <c r="P73" s="598">
        <v>17.585422729586011</v>
      </c>
      <c r="Q73" s="598">
        <v>17.936812639191889</v>
      </c>
      <c r="R73" s="598">
        <v>18.223000622416869</v>
      </c>
      <c r="S73" s="598">
        <v>18.456184816109751</v>
      </c>
      <c r="T73" s="598">
        <v>18.672554610761726</v>
      </c>
      <c r="U73" s="598">
        <v>18.864428454636336</v>
      </c>
      <c r="V73" s="598">
        <v>19.075145489351893</v>
      </c>
      <c r="W73" s="598">
        <v>19.263496321955092</v>
      </c>
      <c r="X73" s="598">
        <v>19.43227888481977</v>
      </c>
      <c r="Y73" s="598">
        <v>19.604726309504979</v>
      </c>
      <c r="Z73" s="598">
        <v>19.780498630296691</v>
      </c>
      <c r="AA73" s="598">
        <v>19.959624885099771</v>
      </c>
      <c r="AB73" s="598">
        <v>20.142000197144089</v>
      </c>
      <c r="AC73" s="598">
        <v>20.327878059467285</v>
      </c>
      <c r="AD73" s="598">
        <v>20.517191845250736</v>
      </c>
      <c r="AE73" s="598">
        <v>20.709922150862287</v>
      </c>
      <c r="AF73" s="598">
        <v>20.906092900933764</v>
      </c>
      <c r="AG73" s="598">
        <v>21.105495632530832</v>
      </c>
      <c r="AH73" s="598">
        <v>21.308188264604823</v>
      </c>
      <c r="AI73" s="598">
        <v>21.514141212669308</v>
      </c>
      <c r="AJ73" s="598">
        <v>21.723317649264025</v>
      </c>
      <c r="AK73" s="598">
        <v>21.93565682234161</v>
      </c>
      <c r="AL73" s="598"/>
      <c r="AM73" s="598"/>
      <c r="AN73" s="598"/>
      <c r="AO73" s="598"/>
      <c r="AP73" s="598"/>
      <c r="AQ73" s="598"/>
      <c r="AR73" s="598"/>
      <c r="AS73" s="598"/>
      <c r="AT73" s="598"/>
      <c r="AU73" s="598"/>
      <c r="AV73" s="598"/>
      <c r="AW73" s="598"/>
      <c r="AX73" s="598"/>
      <c r="AY73" s="598"/>
      <c r="AZ73" s="598"/>
      <c r="BA73" s="598"/>
      <c r="BB73" s="598"/>
      <c r="BC73" s="598"/>
      <c r="BD73" s="598"/>
      <c r="BE73" s="598"/>
      <c r="BF73" s="598"/>
      <c r="BG73" s="598"/>
      <c r="BH73" s="598"/>
      <c r="BI73" s="598"/>
      <c r="BJ73" s="598"/>
      <c r="BK73" s="598"/>
      <c r="BL73" s="598"/>
      <c r="BM73" s="598"/>
      <c r="BN73" s="598"/>
      <c r="BO73" s="598"/>
      <c r="BP73" s="598"/>
      <c r="BQ73" s="598"/>
      <c r="BR73" s="598"/>
      <c r="BS73" s="598"/>
      <c r="BT73" s="598"/>
      <c r="BU73" s="598"/>
      <c r="BV73" s="598"/>
      <c r="BW73" s="598"/>
      <c r="BX73" s="598"/>
      <c r="BY73" s="598"/>
      <c r="BZ73" s="598"/>
      <c r="CA73" s="598"/>
      <c r="CB73" s="598"/>
      <c r="CC73" s="598"/>
      <c r="CD73" s="598"/>
      <c r="CE73" s="598"/>
      <c r="CF73" s="598"/>
      <c r="CG73" s="598"/>
      <c r="CH73" s="598"/>
      <c r="CI73" s="599"/>
      <c r="CK73" s="1293"/>
    </row>
    <row r="74" spans="1:89" s="1292" customFormat="1" ht="28.5" x14ac:dyDescent="0.2">
      <c r="A74" s="1284"/>
      <c r="B74" s="600" t="s">
        <v>560</v>
      </c>
      <c r="C74" s="601" t="s">
        <v>561</v>
      </c>
      <c r="D74" s="596" t="s">
        <v>86</v>
      </c>
      <c r="E74" s="573" t="s">
        <v>344</v>
      </c>
      <c r="F74" s="574">
        <v>2</v>
      </c>
      <c r="G74" s="597"/>
      <c r="H74" s="597"/>
      <c r="I74" s="597">
        <v>233.90899999999999</v>
      </c>
      <c r="J74" s="597">
        <v>227.57353333413573</v>
      </c>
      <c r="K74" s="597">
        <v>219.08561474238056</v>
      </c>
      <c r="L74" s="597">
        <v>207.81539260456512</v>
      </c>
      <c r="M74" s="598">
        <v>181.74608417486996</v>
      </c>
      <c r="N74" s="598">
        <v>148.27167644757768</v>
      </c>
      <c r="O74" s="598">
        <v>132.05896166444558</v>
      </c>
      <c r="P74" s="598">
        <v>128.06881086704198</v>
      </c>
      <c r="Q74" s="598">
        <v>124.07866006963837</v>
      </c>
      <c r="R74" s="598">
        <v>121.06786584705326</v>
      </c>
      <c r="S74" s="598">
        <v>119.02673159953575</v>
      </c>
      <c r="T74" s="598">
        <v>116.98559735201823</v>
      </c>
      <c r="U74" s="598">
        <v>114.94446310450071</v>
      </c>
      <c r="V74" s="598">
        <v>112.90332885698319</v>
      </c>
      <c r="W74" s="598">
        <v>111.68155728839788</v>
      </c>
      <c r="X74" s="598">
        <v>111.24036199974208</v>
      </c>
      <c r="Y74" s="598">
        <v>110.79916671108627</v>
      </c>
      <c r="Z74" s="598">
        <v>110.35797142243047</v>
      </c>
      <c r="AA74" s="598">
        <v>109.91677613377466</v>
      </c>
      <c r="AB74" s="598">
        <v>109.47558084511887</v>
      </c>
      <c r="AC74" s="598">
        <v>109.03438555646305</v>
      </c>
      <c r="AD74" s="598">
        <v>108.59319026780724</v>
      </c>
      <c r="AE74" s="598">
        <v>108.15199497915144</v>
      </c>
      <c r="AF74" s="598">
        <v>107.71079969049563</v>
      </c>
      <c r="AG74" s="598">
        <v>107.26960440183984</v>
      </c>
      <c r="AH74" s="598">
        <v>106.82840911318402</v>
      </c>
      <c r="AI74" s="598">
        <v>106.38721382452823</v>
      </c>
      <c r="AJ74" s="598">
        <v>105.94601853587241</v>
      </c>
      <c r="AK74" s="598">
        <v>105.50482324721661</v>
      </c>
      <c r="AL74" s="598"/>
      <c r="AM74" s="598"/>
      <c r="AN74" s="598"/>
      <c r="AO74" s="598"/>
      <c r="AP74" s="598"/>
      <c r="AQ74" s="598"/>
      <c r="AR74" s="598"/>
      <c r="AS74" s="598"/>
      <c r="AT74" s="598"/>
      <c r="AU74" s="598"/>
      <c r="AV74" s="598"/>
      <c r="AW74" s="598"/>
      <c r="AX74" s="598"/>
      <c r="AY74" s="598"/>
      <c r="AZ74" s="598"/>
      <c r="BA74" s="598"/>
      <c r="BB74" s="598"/>
      <c r="BC74" s="598"/>
      <c r="BD74" s="598"/>
      <c r="BE74" s="598"/>
      <c r="BF74" s="598"/>
      <c r="BG74" s="598"/>
      <c r="BH74" s="598"/>
      <c r="BI74" s="598"/>
      <c r="BJ74" s="598"/>
      <c r="BK74" s="598"/>
      <c r="BL74" s="598"/>
      <c r="BM74" s="598"/>
      <c r="BN74" s="598"/>
      <c r="BO74" s="598"/>
      <c r="BP74" s="598"/>
      <c r="BQ74" s="598"/>
      <c r="BR74" s="598"/>
      <c r="BS74" s="598"/>
      <c r="BT74" s="598"/>
      <c r="BU74" s="598"/>
      <c r="BV74" s="598"/>
      <c r="BW74" s="598"/>
      <c r="BX74" s="598"/>
      <c r="BY74" s="598"/>
      <c r="BZ74" s="598"/>
      <c r="CA74" s="598"/>
      <c r="CB74" s="598"/>
      <c r="CC74" s="598"/>
      <c r="CD74" s="598"/>
      <c r="CE74" s="598"/>
      <c r="CF74" s="598"/>
      <c r="CG74" s="598"/>
      <c r="CH74" s="598"/>
      <c r="CI74" s="599"/>
      <c r="CK74" s="1293"/>
    </row>
    <row r="75" spans="1:89" s="1292" customFormat="1" x14ac:dyDescent="0.2">
      <c r="A75" s="1284"/>
      <c r="B75" s="600" t="s">
        <v>562</v>
      </c>
      <c r="C75" s="601" t="s">
        <v>563</v>
      </c>
      <c r="D75" s="596" t="s">
        <v>86</v>
      </c>
      <c r="E75" s="573" t="s">
        <v>344</v>
      </c>
      <c r="F75" s="574">
        <v>2</v>
      </c>
      <c r="G75" s="597"/>
      <c r="H75" s="597"/>
      <c r="I75" s="597">
        <v>7.0529999999999999</v>
      </c>
      <c r="J75" s="597">
        <v>7.120626665864247</v>
      </c>
      <c r="K75" s="597">
        <v>6.8550452576193948</v>
      </c>
      <c r="L75" s="597">
        <v>6.5024073954348083</v>
      </c>
      <c r="M75" s="598">
        <v>5.686715825130034</v>
      </c>
      <c r="N75" s="598">
        <v>4.6393235524223018</v>
      </c>
      <c r="O75" s="598">
        <v>4.1320383355543102</v>
      </c>
      <c r="P75" s="598">
        <v>4.0071891329579126</v>
      </c>
      <c r="Q75" s="598">
        <v>3.8823399303615145</v>
      </c>
      <c r="R75" s="598">
        <v>3.7881341529467396</v>
      </c>
      <c r="S75" s="598">
        <v>3.7242684004642563</v>
      </c>
      <c r="T75" s="598">
        <v>3.6604026479817735</v>
      </c>
      <c r="U75" s="598">
        <v>3.5965368954992911</v>
      </c>
      <c r="V75" s="598">
        <v>3.5326711430168078</v>
      </c>
      <c r="W75" s="598">
        <v>3.4944427116021153</v>
      </c>
      <c r="X75" s="598">
        <v>3.4806380002579203</v>
      </c>
      <c r="Y75" s="598">
        <v>3.4668332889137261</v>
      </c>
      <c r="Z75" s="598">
        <v>3.4530285775695311</v>
      </c>
      <c r="AA75" s="598">
        <v>3.439223866225336</v>
      </c>
      <c r="AB75" s="598">
        <v>3.4254191548811419</v>
      </c>
      <c r="AC75" s="598">
        <v>3.4116144435369469</v>
      </c>
      <c r="AD75" s="598">
        <v>3.3978097321927527</v>
      </c>
      <c r="AE75" s="598">
        <v>3.3840050208485577</v>
      </c>
      <c r="AF75" s="598">
        <v>3.3702003095043631</v>
      </c>
      <c r="AG75" s="598">
        <v>3.3563955981601685</v>
      </c>
      <c r="AH75" s="598">
        <v>3.3425908868159739</v>
      </c>
      <c r="AI75" s="598">
        <v>3.3287861754717794</v>
      </c>
      <c r="AJ75" s="598">
        <v>3.3149814641275848</v>
      </c>
      <c r="AK75" s="598">
        <v>3.3011767527833897</v>
      </c>
      <c r="AL75" s="598"/>
      <c r="AM75" s="598"/>
      <c r="AN75" s="598"/>
      <c r="AO75" s="598"/>
      <c r="AP75" s="598"/>
      <c r="AQ75" s="598"/>
      <c r="AR75" s="598"/>
      <c r="AS75" s="598"/>
      <c r="AT75" s="598"/>
      <c r="AU75" s="598"/>
      <c r="AV75" s="598"/>
      <c r="AW75" s="598"/>
      <c r="AX75" s="598"/>
      <c r="AY75" s="598"/>
      <c r="AZ75" s="598"/>
      <c r="BA75" s="598"/>
      <c r="BB75" s="598"/>
      <c r="BC75" s="598"/>
      <c r="BD75" s="598"/>
      <c r="BE75" s="598"/>
      <c r="BF75" s="598"/>
      <c r="BG75" s="598"/>
      <c r="BH75" s="598"/>
      <c r="BI75" s="598"/>
      <c r="BJ75" s="598"/>
      <c r="BK75" s="598"/>
      <c r="BL75" s="598"/>
      <c r="BM75" s="598"/>
      <c r="BN75" s="598"/>
      <c r="BO75" s="598"/>
      <c r="BP75" s="598"/>
      <c r="BQ75" s="598"/>
      <c r="BR75" s="598"/>
      <c r="BS75" s="598"/>
      <c r="BT75" s="598"/>
      <c r="BU75" s="598"/>
      <c r="BV75" s="598"/>
      <c r="BW75" s="598"/>
      <c r="BX75" s="598"/>
      <c r="BY75" s="598"/>
      <c r="BZ75" s="598"/>
      <c r="CA75" s="598"/>
      <c r="CB75" s="598"/>
      <c r="CC75" s="598"/>
      <c r="CD75" s="598"/>
      <c r="CE75" s="598"/>
      <c r="CF75" s="598"/>
      <c r="CG75" s="598"/>
      <c r="CH75" s="598"/>
      <c r="CI75" s="599"/>
      <c r="CK75" s="1293"/>
    </row>
    <row r="76" spans="1:89" s="1292" customFormat="1" ht="29.25" thickBot="1" x14ac:dyDescent="0.25">
      <c r="A76" s="1284"/>
      <c r="B76" s="605" t="s">
        <v>564</v>
      </c>
      <c r="C76" s="606" t="s">
        <v>565</v>
      </c>
      <c r="D76" s="607" t="s">
        <v>566</v>
      </c>
      <c r="E76" s="608" t="s">
        <v>344</v>
      </c>
      <c r="F76" s="609">
        <v>2</v>
      </c>
      <c r="G76" s="559">
        <f>SUM(G63:G66)+G73+G74+G75</f>
        <v>0</v>
      </c>
      <c r="H76" s="559">
        <f t="shared" ref="H76:AK76" si="11">SUM(H63:H66)+H73+H74+H75</f>
        <v>0</v>
      </c>
      <c r="I76" s="559">
        <f t="shared" si="11"/>
        <v>688.19199999999989</v>
      </c>
      <c r="J76" s="559">
        <f t="shared" si="11"/>
        <v>693.80618450432473</v>
      </c>
      <c r="K76" s="559">
        <f t="shared" si="11"/>
        <v>702.90313708816313</v>
      </c>
      <c r="L76" s="559">
        <f t="shared" si="11"/>
        <v>713.01731410369416</v>
      </c>
      <c r="M76" s="559">
        <f t="shared" si="11"/>
        <v>724.10142211009861</v>
      </c>
      <c r="N76" s="559">
        <f t="shared" si="11"/>
        <v>735.29606513588237</v>
      </c>
      <c r="O76" s="559">
        <f t="shared" si="11"/>
        <v>746.17106705882054</v>
      </c>
      <c r="P76" s="559">
        <f t="shared" si="11"/>
        <v>756.21798074841615</v>
      </c>
      <c r="Q76" s="559">
        <f t="shared" si="11"/>
        <v>764.01019771879896</v>
      </c>
      <c r="R76" s="559">
        <f t="shared" si="11"/>
        <v>770.61967867182113</v>
      </c>
      <c r="S76" s="559">
        <f t="shared" si="11"/>
        <v>776.4506460579172</v>
      </c>
      <c r="T76" s="559">
        <f t="shared" si="11"/>
        <v>781.71614643354667</v>
      </c>
      <c r="U76" s="559">
        <f t="shared" si="11"/>
        <v>786.15784977540068</v>
      </c>
      <c r="V76" s="559">
        <f t="shared" si="11"/>
        <v>791.23324824763449</v>
      </c>
      <c r="W76" s="559">
        <f t="shared" si="11"/>
        <v>796.39647297799365</v>
      </c>
      <c r="X76" s="559">
        <f t="shared" si="11"/>
        <v>801.70661822765749</v>
      </c>
      <c r="Y76" s="559">
        <f t="shared" si="11"/>
        <v>807.14001251241234</v>
      </c>
      <c r="Z76" s="559">
        <f t="shared" si="11"/>
        <v>812.68522281015021</v>
      </c>
      <c r="AA76" s="559">
        <f t="shared" si="11"/>
        <v>818.34322566348828</v>
      </c>
      <c r="AB76" s="559">
        <f t="shared" si="11"/>
        <v>824.11049407431517</v>
      </c>
      <c r="AC76" s="559">
        <f t="shared" si="11"/>
        <v>829.99555299495341</v>
      </c>
      <c r="AD76" s="559">
        <f t="shared" si="11"/>
        <v>835.99616177036432</v>
      </c>
      <c r="AE76" s="559">
        <f t="shared" si="11"/>
        <v>842.111667857817</v>
      </c>
      <c r="AF76" s="559">
        <f t="shared" si="11"/>
        <v>848.34287584093045</v>
      </c>
      <c r="AG76" s="559">
        <f t="shared" si="11"/>
        <v>854.6827751264633</v>
      </c>
      <c r="AH76" s="559">
        <f t="shared" si="11"/>
        <v>861.13331352451496</v>
      </c>
      <c r="AI76" s="559">
        <f t="shared" si="11"/>
        <v>867.69349611096914</v>
      </c>
      <c r="AJ76" s="559">
        <f t="shared" si="11"/>
        <v>874.36208438103051</v>
      </c>
      <c r="AK76" s="559">
        <f t="shared" si="11"/>
        <v>881.13703524778646</v>
      </c>
      <c r="AL76" s="559"/>
      <c r="AM76" s="559"/>
      <c r="AN76" s="559"/>
      <c r="AO76" s="559"/>
      <c r="AP76" s="559"/>
      <c r="AQ76" s="559"/>
      <c r="AR76" s="559"/>
      <c r="AS76" s="559"/>
      <c r="AT76" s="559"/>
      <c r="AU76" s="559"/>
      <c r="AV76" s="559"/>
      <c r="AW76" s="559"/>
      <c r="AX76" s="559"/>
      <c r="AY76" s="559"/>
      <c r="AZ76" s="559"/>
      <c r="BA76" s="559"/>
      <c r="BB76" s="559"/>
      <c r="BC76" s="559"/>
      <c r="BD76" s="559"/>
      <c r="BE76" s="559"/>
      <c r="BF76" s="559"/>
      <c r="BG76" s="559"/>
      <c r="BH76" s="559"/>
      <c r="BI76" s="559"/>
      <c r="BJ76" s="559"/>
      <c r="BK76" s="559"/>
      <c r="BL76" s="559"/>
      <c r="BM76" s="559"/>
      <c r="BN76" s="559"/>
      <c r="BO76" s="559"/>
      <c r="BP76" s="559"/>
      <c r="BQ76" s="559"/>
      <c r="BR76" s="559"/>
      <c r="BS76" s="559"/>
      <c r="BT76" s="559"/>
      <c r="BU76" s="559"/>
      <c r="BV76" s="559"/>
      <c r="BW76" s="559"/>
      <c r="BX76" s="559"/>
      <c r="BY76" s="559"/>
      <c r="BZ76" s="559"/>
      <c r="CA76" s="559"/>
      <c r="CB76" s="559"/>
      <c r="CC76" s="559"/>
      <c r="CD76" s="559"/>
      <c r="CE76" s="559"/>
      <c r="CF76" s="559"/>
      <c r="CG76" s="559"/>
      <c r="CH76" s="559"/>
      <c r="CI76" s="559"/>
      <c r="CK76" s="1293"/>
    </row>
    <row r="77" spans="1:89" s="1292" customFormat="1" x14ac:dyDescent="0.2">
      <c r="A77" s="1284"/>
      <c r="B77" s="527" t="s">
        <v>567</v>
      </c>
      <c r="C77" s="528" t="s">
        <v>568</v>
      </c>
      <c r="D77" s="529" t="s">
        <v>86</v>
      </c>
      <c r="E77" s="610" t="s">
        <v>344</v>
      </c>
      <c r="F77" s="611">
        <v>2</v>
      </c>
      <c r="G77" s="593"/>
      <c r="H77" s="593"/>
      <c r="I77" s="593">
        <v>10.781803200000001</v>
      </c>
      <c r="J77" s="593">
        <v>10.942820442277659</v>
      </c>
      <c r="K77" s="593">
        <v>11.093407616786745</v>
      </c>
      <c r="L77" s="593">
        <v>11.238826151297735</v>
      </c>
      <c r="M77" s="594">
        <v>11.343505573498152</v>
      </c>
      <c r="N77" s="594">
        <v>11.482651970256969</v>
      </c>
      <c r="O77" s="594">
        <v>11.67303040144331</v>
      </c>
      <c r="P77" s="594">
        <v>11.858143096468337</v>
      </c>
      <c r="Q77" s="594">
        <v>12.0421134688367</v>
      </c>
      <c r="R77" s="594">
        <v>12.200608820192237</v>
      </c>
      <c r="S77" s="594">
        <v>12.465927397754955</v>
      </c>
      <c r="T77" s="594">
        <v>12.737960521939707</v>
      </c>
      <c r="U77" s="594">
        <v>12.92890597539092</v>
      </c>
      <c r="V77" s="594">
        <v>13.076142503072429</v>
      </c>
      <c r="W77" s="594">
        <v>13.200798668552975</v>
      </c>
      <c r="X77" s="594">
        <v>13.315829281182362</v>
      </c>
      <c r="Y77" s="594">
        <v>13.438034912625971</v>
      </c>
      <c r="Z77" s="594">
        <v>13.572742551574198</v>
      </c>
      <c r="AA77" s="594">
        <v>13.715286397511594</v>
      </c>
      <c r="AB77" s="594">
        <v>13.872836830855436</v>
      </c>
      <c r="AC77" s="594">
        <v>14.052500792259041</v>
      </c>
      <c r="AD77" s="594">
        <v>14.259165021232462</v>
      </c>
      <c r="AE77" s="594">
        <v>14.486297905748376</v>
      </c>
      <c r="AF77" s="594">
        <v>14.723659729506204</v>
      </c>
      <c r="AG77" s="594">
        <v>14.987646603090074</v>
      </c>
      <c r="AH77" s="594">
        <v>15.259857617945277</v>
      </c>
      <c r="AI77" s="594">
        <v>15.53765616484252</v>
      </c>
      <c r="AJ77" s="594">
        <v>15.823044154822815</v>
      </c>
      <c r="AK77" s="594">
        <v>16.103505934103755</v>
      </c>
      <c r="AL77" s="594"/>
      <c r="AM77" s="594"/>
      <c r="AN77" s="594"/>
      <c r="AO77" s="594"/>
      <c r="AP77" s="594"/>
      <c r="AQ77" s="594"/>
      <c r="AR77" s="594"/>
      <c r="AS77" s="594"/>
      <c r="AT77" s="594"/>
      <c r="AU77" s="594"/>
      <c r="AV77" s="594"/>
      <c r="AW77" s="594"/>
      <c r="AX77" s="594"/>
      <c r="AY77" s="594"/>
      <c r="AZ77" s="594"/>
      <c r="BA77" s="594"/>
      <c r="BB77" s="594"/>
      <c r="BC77" s="594"/>
      <c r="BD77" s="594"/>
      <c r="BE77" s="594"/>
      <c r="BF77" s="594"/>
      <c r="BG77" s="594"/>
      <c r="BH77" s="594"/>
      <c r="BI77" s="594"/>
      <c r="BJ77" s="594"/>
      <c r="BK77" s="594"/>
      <c r="BL77" s="594"/>
      <c r="BM77" s="594"/>
      <c r="BN77" s="594"/>
      <c r="BO77" s="594"/>
      <c r="BP77" s="594"/>
      <c r="BQ77" s="594"/>
      <c r="BR77" s="594"/>
      <c r="BS77" s="594"/>
      <c r="BT77" s="594"/>
      <c r="BU77" s="594"/>
      <c r="BV77" s="594"/>
      <c r="BW77" s="594"/>
      <c r="BX77" s="594"/>
      <c r="BY77" s="594"/>
      <c r="BZ77" s="594"/>
      <c r="CA77" s="594"/>
      <c r="CB77" s="594"/>
      <c r="CC77" s="594"/>
      <c r="CD77" s="594"/>
      <c r="CE77" s="594"/>
      <c r="CF77" s="594"/>
      <c r="CG77" s="594"/>
      <c r="CH77" s="594"/>
      <c r="CI77" s="595"/>
      <c r="CK77" s="1293"/>
    </row>
    <row r="78" spans="1:89" s="1292" customFormat="1" x14ac:dyDescent="0.2">
      <c r="A78" s="1284"/>
      <c r="B78" s="543" t="s">
        <v>569</v>
      </c>
      <c r="C78" s="546" t="s">
        <v>570</v>
      </c>
      <c r="D78" s="537" t="s">
        <v>86</v>
      </c>
      <c r="E78" s="612" t="s">
        <v>344</v>
      </c>
      <c r="F78" s="613">
        <v>2</v>
      </c>
      <c r="G78" s="597"/>
      <c r="H78" s="597"/>
      <c r="I78" s="597">
        <v>2.0536767999999999</v>
      </c>
      <c r="J78" s="597">
        <v>2.0843467509100311</v>
      </c>
      <c r="K78" s="597">
        <v>2.1130300222450948</v>
      </c>
      <c r="L78" s="597">
        <v>2.1407287907233776</v>
      </c>
      <c r="M78" s="598">
        <v>2.1606677282853628</v>
      </c>
      <c r="N78" s="598">
        <v>2.1871718038584707</v>
      </c>
      <c r="O78" s="598">
        <v>2.2234343621796775</v>
      </c>
      <c r="P78" s="598">
        <v>2.2586939231368266</v>
      </c>
      <c r="Q78" s="598">
        <v>2.2937358988260392</v>
      </c>
      <c r="R78" s="598">
        <v>2.3239254895604269</v>
      </c>
      <c r="S78" s="598">
        <v>2.3744623614771339</v>
      </c>
      <c r="T78" s="598">
        <v>2.4262781946551826</v>
      </c>
      <c r="U78" s="598">
        <v>2.4626487572173179</v>
      </c>
      <c r="V78" s="598">
        <v>2.4906938101090343</v>
      </c>
      <c r="W78" s="598">
        <v>2.5144378416291389</v>
      </c>
      <c r="X78" s="598">
        <v>2.5363484345109271</v>
      </c>
      <c r="Y78" s="598">
        <v>2.5596256976430425</v>
      </c>
      <c r="Z78" s="598">
        <v>2.5852842955379423</v>
      </c>
      <c r="AA78" s="598">
        <v>2.612435504287923</v>
      </c>
      <c r="AB78" s="598">
        <v>2.642445110639132</v>
      </c>
      <c r="AC78" s="598">
        <v>2.6766668175731514</v>
      </c>
      <c r="AD78" s="598">
        <v>2.7160314326157078</v>
      </c>
      <c r="AE78" s="598">
        <v>2.7592948391901686</v>
      </c>
      <c r="AF78" s="598">
        <v>2.8045066151440405</v>
      </c>
      <c r="AG78" s="598">
        <v>2.8547898291600156</v>
      </c>
      <c r="AH78" s="598">
        <v>2.9066395462752919</v>
      </c>
      <c r="AI78" s="598">
        <v>2.9595535552080996</v>
      </c>
      <c r="AJ78" s="598">
        <v>3.0139131723472037</v>
      </c>
      <c r="AK78" s="598">
        <v>3.0673344636388116</v>
      </c>
      <c r="AL78" s="598"/>
      <c r="AM78" s="598"/>
      <c r="AN78" s="598"/>
      <c r="AO78" s="598"/>
      <c r="AP78" s="598"/>
      <c r="AQ78" s="598"/>
      <c r="AR78" s="598"/>
      <c r="AS78" s="598"/>
      <c r="AT78" s="598"/>
      <c r="AU78" s="598"/>
      <c r="AV78" s="598"/>
      <c r="AW78" s="598"/>
      <c r="AX78" s="598"/>
      <c r="AY78" s="598"/>
      <c r="AZ78" s="598"/>
      <c r="BA78" s="598"/>
      <c r="BB78" s="598"/>
      <c r="BC78" s="598"/>
      <c r="BD78" s="598"/>
      <c r="BE78" s="598"/>
      <c r="BF78" s="598"/>
      <c r="BG78" s="598"/>
      <c r="BH78" s="598"/>
      <c r="BI78" s="598"/>
      <c r="BJ78" s="598"/>
      <c r="BK78" s="598"/>
      <c r="BL78" s="598"/>
      <c r="BM78" s="598"/>
      <c r="BN78" s="598"/>
      <c r="BO78" s="598"/>
      <c r="BP78" s="598"/>
      <c r="BQ78" s="598"/>
      <c r="BR78" s="598"/>
      <c r="BS78" s="598"/>
      <c r="BT78" s="598"/>
      <c r="BU78" s="598"/>
      <c r="BV78" s="598"/>
      <c r="BW78" s="598"/>
      <c r="BX78" s="598"/>
      <c r="BY78" s="598"/>
      <c r="BZ78" s="598"/>
      <c r="CA78" s="598"/>
      <c r="CB78" s="598"/>
      <c r="CC78" s="598"/>
      <c r="CD78" s="598"/>
      <c r="CE78" s="598"/>
      <c r="CF78" s="598"/>
      <c r="CG78" s="598"/>
      <c r="CH78" s="598"/>
      <c r="CI78" s="599"/>
      <c r="CK78" s="1293"/>
    </row>
    <row r="79" spans="1:89" s="1292" customFormat="1" x14ac:dyDescent="0.2">
      <c r="A79" s="1284"/>
      <c r="B79" s="535" t="s">
        <v>571</v>
      </c>
      <c r="C79" s="614" t="s">
        <v>572</v>
      </c>
      <c r="D79" s="537" t="s">
        <v>86</v>
      </c>
      <c r="E79" s="612" t="s">
        <v>344</v>
      </c>
      <c r="F79" s="613">
        <v>2</v>
      </c>
      <c r="G79" s="597"/>
      <c r="H79" s="597"/>
      <c r="I79" s="597">
        <v>934.73429742747101</v>
      </c>
      <c r="J79" s="597">
        <v>962.93082656687795</v>
      </c>
      <c r="K79" s="597">
        <v>1005.2433813269001</v>
      </c>
      <c r="L79" s="597">
        <v>1057.0704988221341</v>
      </c>
      <c r="M79" s="598">
        <v>1146.0102041648968</v>
      </c>
      <c r="N79" s="598">
        <v>1249.88184589349</v>
      </c>
      <c r="O79" s="598">
        <v>1317.2742619876274</v>
      </c>
      <c r="P79" s="598">
        <v>1352.0719829251125</v>
      </c>
      <c r="Q79" s="598">
        <v>1381.9473904633196</v>
      </c>
      <c r="R79" s="598">
        <v>1402.8558351948238</v>
      </c>
      <c r="S79" s="598">
        <v>1422.9110759590696</v>
      </c>
      <c r="T79" s="598">
        <v>1438.5470879801642</v>
      </c>
      <c r="U79" s="598">
        <v>1455.3352548160387</v>
      </c>
      <c r="V79" s="598">
        <v>1470.7718020155921</v>
      </c>
      <c r="W79" s="598">
        <v>1486.5814216217855</v>
      </c>
      <c r="X79" s="598">
        <v>1500.8856832327522</v>
      </c>
      <c r="Y79" s="598">
        <v>1515.979631650745</v>
      </c>
      <c r="Z79" s="598">
        <v>1531.748313354356</v>
      </c>
      <c r="AA79" s="598">
        <v>1548.1400885514004</v>
      </c>
      <c r="AB79" s="598">
        <v>1564.3727440046496</v>
      </c>
      <c r="AC79" s="598">
        <v>1580.8052882872373</v>
      </c>
      <c r="AD79" s="598">
        <v>1597.6333629049336</v>
      </c>
      <c r="AE79" s="598">
        <v>1615.312640520913</v>
      </c>
      <c r="AF79" s="598">
        <v>1633.7224862343242</v>
      </c>
      <c r="AG79" s="598">
        <v>1652.4129922890927</v>
      </c>
      <c r="AH79" s="598">
        <v>1671.3124485439248</v>
      </c>
      <c r="AI79" s="598">
        <v>1690.9003097498735</v>
      </c>
      <c r="AJ79" s="598">
        <v>1710.9695692217524</v>
      </c>
      <c r="AK79" s="598">
        <v>1731.2600771749826</v>
      </c>
      <c r="AL79" s="598"/>
      <c r="AM79" s="598"/>
      <c r="AN79" s="598"/>
      <c r="AO79" s="598"/>
      <c r="AP79" s="598"/>
      <c r="AQ79" s="598"/>
      <c r="AR79" s="598"/>
      <c r="AS79" s="598"/>
      <c r="AT79" s="598"/>
      <c r="AU79" s="598"/>
      <c r="AV79" s="598"/>
      <c r="AW79" s="598"/>
      <c r="AX79" s="598"/>
      <c r="AY79" s="598"/>
      <c r="AZ79" s="598"/>
      <c r="BA79" s="598"/>
      <c r="BB79" s="598"/>
      <c r="BC79" s="598"/>
      <c r="BD79" s="598"/>
      <c r="BE79" s="598"/>
      <c r="BF79" s="598"/>
      <c r="BG79" s="598"/>
      <c r="BH79" s="598"/>
      <c r="BI79" s="598"/>
      <c r="BJ79" s="598"/>
      <c r="BK79" s="598"/>
      <c r="BL79" s="598"/>
      <c r="BM79" s="598"/>
      <c r="BN79" s="598"/>
      <c r="BO79" s="598"/>
      <c r="BP79" s="598"/>
      <c r="BQ79" s="598"/>
      <c r="BR79" s="598"/>
      <c r="BS79" s="598"/>
      <c r="BT79" s="598"/>
      <c r="BU79" s="598"/>
      <c r="BV79" s="598"/>
      <c r="BW79" s="598"/>
      <c r="BX79" s="598"/>
      <c r="BY79" s="598"/>
      <c r="BZ79" s="598"/>
      <c r="CA79" s="598"/>
      <c r="CB79" s="598"/>
      <c r="CC79" s="598"/>
      <c r="CD79" s="598"/>
      <c r="CE79" s="598"/>
      <c r="CF79" s="598"/>
      <c r="CG79" s="598"/>
      <c r="CH79" s="598"/>
      <c r="CI79" s="599"/>
      <c r="CK79" s="1293"/>
    </row>
    <row r="80" spans="1:89" s="1292" customFormat="1" x14ac:dyDescent="0.2">
      <c r="A80" s="1284"/>
      <c r="B80" s="535" t="s">
        <v>573</v>
      </c>
      <c r="C80" s="614" t="s">
        <v>574</v>
      </c>
      <c r="D80" s="537" t="s">
        <v>86</v>
      </c>
      <c r="E80" s="612" t="s">
        <v>344</v>
      </c>
      <c r="F80" s="613">
        <v>2</v>
      </c>
      <c r="G80" s="597"/>
      <c r="H80" s="597"/>
      <c r="I80" s="597">
        <v>830.37405965039977</v>
      </c>
      <c r="J80" s="597">
        <v>812.50386746058291</v>
      </c>
      <c r="K80" s="597">
        <v>789.06800492470791</v>
      </c>
      <c r="L80" s="597">
        <v>759.14454312399619</v>
      </c>
      <c r="M80" s="598">
        <v>696.02323124509121</v>
      </c>
      <c r="N80" s="598">
        <v>616.2612441536528</v>
      </c>
      <c r="O80" s="598">
        <v>574.79052337279063</v>
      </c>
      <c r="P80" s="598">
        <v>560.68107164930802</v>
      </c>
      <c r="Q80" s="598">
        <v>546.60200743419568</v>
      </c>
      <c r="R80" s="598">
        <v>534.75702943128192</v>
      </c>
      <c r="S80" s="598">
        <v>525.15541115527071</v>
      </c>
      <c r="T80" s="598">
        <v>515.62521385551577</v>
      </c>
      <c r="U80" s="598">
        <v>506.15447635323102</v>
      </c>
      <c r="V80" s="598">
        <v>496.75640873802752</v>
      </c>
      <c r="W80" s="598">
        <v>489.21059785079461</v>
      </c>
      <c r="X80" s="598">
        <v>483.54271488272036</v>
      </c>
      <c r="Y80" s="598">
        <v>477.96699919859014</v>
      </c>
      <c r="Z80" s="598">
        <v>472.48363388462133</v>
      </c>
      <c r="AA80" s="598">
        <v>467.09240796867454</v>
      </c>
      <c r="AB80" s="598">
        <v>461.79285276579282</v>
      </c>
      <c r="AC80" s="598">
        <v>456.58171002042764</v>
      </c>
      <c r="AD80" s="598">
        <v>451.45702464496316</v>
      </c>
      <c r="AE80" s="598">
        <v>446.41758429198916</v>
      </c>
      <c r="AF80" s="598">
        <v>441.46374233776089</v>
      </c>
      <c r="AG80" s="598">
        <v>436.59533808603464</v>
      </c>
      <c r="AH80" s="598">
        <v>431.81069703256776</v>
      </c>
      <c r="AI80" s="598">
        <v>427.10791713533121</v>
      </c>
      <c r="AJ80" s="598">
        <v>422.48671139035957</v>
      </c>
      <c r="AK80" s="598">
        <v>417.94607400701761</v>
      </c>
      <c r="AL80" s="598"/>
      <c r="AM80" s="598"/>
      <c r="AN80" s="598"/>
      <c r="AO80" s="598"/>
      <c r="AP80" s="598"/>
      <c r="AQ80" s="598"/>
      <c r="AR80" s="598"/>
      <c r="AS80" s="598"/>
      <c r="AT80" s="598"/>
      <c r="AU80" s="598"/>
      <c r="AV80" s="598"/>
      <c r="AW80" s="598"/>
      <c r="AX80" s="598"/>
      <c r="AY80" s="598"/>
      <c r="AZ80" s="598"/>
      <c r="BA80" s="598"/>
      <c r="BB80" s="598"/>
      <c r="BC80" s="598"/>
      <c r="BD80" s="598"/>
      <c r="BE80" s="598"/>
      <c r="BF80" s="598"/>
      <c r="BG80" s="598"/>
      <c r="BH80" s="598"/>
      <c r="BI80" s="598"/>
      <c r="BJ80" s="598"/>
      <c r="BK80" s="598"/>
      <c r="BL80" s="598"/>
      <c r="BM80" s="598"/>
      <c r="BN80" s="598"/>
      <c r="BO80" s="598"/>
      <c r="BP80" s="598"/>
      <c r="BQ80" s="598"/>
      <c r="BR80" s="598"/>
      <c r="BS80" s="598"/>
      <c r="BT80" s="598"/>
      <c r="BU80" s="598"/>
      <c r="BV80" s="598"/>
      <c r="BW80" s="598"/>
      <c r="BX80" s="598"/>
      <c r="BY80" s="598"/>
      <c r="BZ80" s="598"/>
      <c r="CA80" s="598"/>
      <c r="CB80" s="598"/>
      <c r="CC80" s="598"/>
      <c r="CD80" s="598"/>
      <c r="CE80" s="598"/>
      <c r="CF80" s="598"/>
      <c r="CG80" s="598"/>
      <c r="CH80" s="598"/>
      <c r="CI80" s="599"/>
      <c r="CK80" s="1293"/>
    </row>
    <row r="81" spans="1:89" s="1292" customFormat="1" x14ac:dyDescent="0.2">
      <c r="A81" s="1284"/>
      <c r="B81" s="615" t="s">
        <v>575</v>
      </c>
      <c r="C81" s="614" t="s">
        <v>576</v>
      </c>
      <c r="D81" s="616" t="s">
        <v>577</v>
      </c>
      <c r="E81" s="612" t="s">
        <v>344</v>
      </c>
      <c r="F81" s="613">
        <v>2</v>
      </c>
      <c r="G81" s="547">
        <f>SUM(G77:G80)</f>
        <v>0</v>
      </c>
      <c r="H81" s="547">
        <f t="shared" ref="H81:AK81" si="12">SUM(H77:H80)</f>
        <v>0</v>
      </c>
      <c r="I81" s="547">
        <f t="shared" si="12"/>
        <v>1777.9438370778707</v>
      </c>
      <c r="J81" s="547">
        <f t="shared" si="12"/>
        <v>1788.4618612206486</v>
      </c>
      <c r="K81" s="547">
        <f t="shared" si="12"/>
        <v>1807.5178238906399</v>
      </c>
      <c r="L81" s="547">
        <f t="shared" si="12"/>
        <v>1829.5945968881515</v>
      </c>
      <c r="M81" s="552">
        <f t="shared" si="12"/>
        <v>1855.5376087117716</v>
      </c>
      <c r="N81" s="552">
        <f t="shared" si="12"/>
        <v>1879.8129138212582</v>
      </c>
      <c r="O81" s="552">
        <f t="shared" si="12"/>
        <v>1905.961250124041</v>
      </c>
      <c r="P81" s="552">
        <f t="shared" si="12"/>
        <v>1926.8698915940256</v>
      </c>
      <c r="Q81" s="552">
        <f t="shared" si="12"/>
        <v>1942.8852472651781</v>
      </c>
      <c r="R81" s="552">
        <f t="shared" si="12"/>
        <v>1952.1373989358585</v>
      </c>
      <c r="S81" s="552">
        <f t="shared" si="12"/>
        <v>1962.9068768735724</v>
      </c>
      <c r="T81" s="552">
        <f t="shared" si="12"/>
        <v>1969.3365405522748</v>
      </c>
      <c r="U81" s="552">
        <f t="shared" si="12"/>
        <v>1976.8812859018781</v>
      </c>
      <c r="V81" s="552">
        <f t="shared" si="12"/>
        <v>1983.0950470668013</v>
      </c>
      <c r="W81" s="552">
        <f t="shared" si="12"/>
        <v>1991.5072559827622</v>
      </c>
      <c r="X81" s="552">
        <f t="shared" si="12"/>
        <v>2000.2805758311656</v>
      </c>
      <c r="Y81" s="552">
        <f t="shared" si="12"/>
        <v>2009.9442914596043</v>
      </c>
      <c r="Z81" s="552">
        <f t="shared" si="12"/>
        <v>2020.3899740860893</v>
      </c>
      <c r="AA81" s="552">
        <f t="shared" si="12"/>
        <v>2031.5602184218744</v>
      </c>
      <c r="AB81" s="552">
        <f t="shared" si="12"/>
        <v>2042.6808787119369</v>
      </c>
      <c r="AC81" s="552">
        <f t="shared" si="12"/>
        <v>2054.1161659174973</v>
      </c>
      <c r="AD81" s="552">
        <f t="shared" si="12"/>
        <v>2066.0655840037448</v>
      </c>
      <c r="AE81" s="552">
        <f t="shared" si="12"/>
        <v>2078.9758175578404</v>
      </c>
      <c r="AF81" s="552">
        <f t="shared" si="12"/>
        <v>2092.7143949167353</v>
      </c>
      <c r="AG81" s="552">
        <f t="shared" si="12"/>
        <v>2106.8507668073771</v>
      </c>
      <c r="AH81" s="552">
        <f t="shared" si="12"/>
        <v>2121.2896427407131</v>
      </c>
      <c r="AI81" s="552">
        <f t="shared" si="12"/>
        <v>2136.5054366052555</v>
      </c>
      <c r="AJ81" s="552">
        <f t="shared" si="12"/>
        <v>2152.2932379392819</v>
      </c>
      <c r="AK81" s="552">
        <f t="shared" si="12"/>
        <v>2168.3769915797429</v>
      </c>
      <c r="AL81" s="552"/>
      <c r="AM81" s="552"/>
      <c r="AN81" s="552"/>
      <c r="AO81" s="552"/>
      <c r="AP81" s="552"/>
      <c r="AQ81" s="552"/>
      <c r="AR81" s="552"/>
      <c r="AS81" s="552"/>
      <c r="AT81" s="552"/>
      <c r="AU81" s="552"/>
      <c r="AV81" s="552"/>
      <c r="AW81" s="552"/>
      <c r="AX81" s="552"/>
      <c r="AY81" s="552"/>
      <c r="AZ81" s="552"/>
      <c r="BA81" s="552"/>
      <c r="BB81" s="552"/>
      <c r="BC81" s="552"/>
      <c r="BD81" s="552"/>
      <c r="BE81" s="552"/>
      <c r="BF81" s="552"/>
      <c r="BG81" s="552"/>
      <c r="BH81" s="552"/>
      <c r="BI81" s="552"/>
      <c r="BJ81" s="552"/>
      <c r="BK81" s="552"/>
      <c r="BL81" s="552"/>
      <c r="BM81" s="552"/>
      <c r="BN81" s="552"/>
      <c r="BO81" s="552"/>
      <c r="BP81" s="552"/>
      <c r="BQ81" s="552"/>
      <c r="BR81" s="552"/>
      <c r="BS81" s="552"/>
      <c r="BT81" s="552"/>
      <c r="BU81" s="552"/>
      <c r="BV81" s="552"/>
      <c r="BW81" s="552"/>
      <c r="BX81" s="552"/>
      <c r="BY81" s="552"/>
      <c r="BZ81" s="552"/>
      <c r="CA81" s="552"/>
      <c r="CB81" s="552"/>
      <c r="CC81" s="552"/>
      <c r="CD81" s="552"/>
      <c r="CE81" s="552"/>
      <c r="CF81" s="552"/>
      <c r="CG81" s="552"/>
      <c r="CH81" s="552"/>
      <c r="CI81" s="548"/>
      <c r="CK81" s="1293"/>
    </row>
    <row r="82" spans="1:89" s="1292" customFormat="1" ht="28.5" x14ac:dyDescent="0.2">
      <c r="A82" s="1284"/>
      <c r="B82" s="615" t="s">
        <v>578</v>
      </c>
      <c r="C82" s="614" t="s">
        <v>579</v>
      </c>
      <c r="D82" s="616" t="s">
        <v>580</v>
      </c>
      <c r="E82" s="612" t="s">
        <v>581</v>
      </c>
      <c r="F82" s="613">
        <v>1</v>
      </c>
      <c r="G82" s="575" t="e">
        <f>(G80+G79)/(G66+G74)</f>
        <v>#DIV/0!</v>
      </c>
      <c r="H82" s="575" t="e">
        <f t="shared" ref="H82:AK82" si="13">(H80+H79)/(H66+H74)</f>
        <v>#DIV/0!</v>
      </c>
      <c r="I82" s="575">
        <f t="shared" si="13"/>
        <v>2.7735919300152907</v>
      </c>
      <c r="J82" s="575">
        <f t="shared" si="13"/>
        <v>2.7666484998770464</v>
      </c>
      <c r="K82" s="575">
        <f t="shared" si="13"/>
        <v>2.7584141891969391</v>
      </c>
      <c r="L82" s="575">
        <f t="shared" si="13"/>
        <v>2.7508646002745061</v>
      </c>
      <c r="M82" s="575">
        <f t="shared" si="13"/>
        <v>2.7454834869363216</v>
      </c>
      <c r="N82" s="575">
        <f t="shared" si="13"/>
        <v>2.7373541676898752</v>
      </c>
      <c r="O82" s="575">
        <f t="shared" si="13"/>
        <v>2.733361507190776</v>
      </c>
      <c r="P82" s="575">
        <f t="shared" si="13"/>
        <v>2.7251858036769536</v>
      </c>
      <c r="Q82" s="575">
        <f t="shared" si="13"/>
        <v>2.7187345063916513</v>
      </c>
      <c r="R82" s="575">
        <f t="shared" si="13"/>
        <v>2.7073617031318586</v>
      </c>
      <c r="S82" s="575">
        <f t="shared" si="13"/>
        <v>2.700956139729997</v>
      </c>
      <c r="T82" s="575">
        <f t="shared" si="13"/>
        <v>2.6906978646679245</v>
      </c>
      <c r="U82" s="575">
        <f t="shared" si="13"/>
        <v>2.6851721229495102</v>
      </c>
      <c r="V82" s="575">
        <f t="shared" si="13"/>
        <v>2.6757298738143946</v>
      </c>
      <c r="W82" s="575">
        <f t="shared" si="13"/>
        <v>2.6690945856951571</v>
      </c>
      <c r="X82" s="575">
        <f t="shared" si="13"/>
        <v>2.6625393619775406</v>
      </c>
      <c r="Y82" s="575">
        <f t="shared" si="13"/>
        <v>2.6568244582925891</v>
      </c>
      <c r="Z82" s="575">
        <f t="shared" si="13"/>
        <v>2.6518223597123911</v>
      </c>
      <c r="AA82" s="575">
        <f t="shared" si="13"/>
        <v>2.6474489191890092</v>
      </c>
      <c r="AB82" s="575">
        <f t="shared" si="13"/>
        <v>2.6426836822426623</v>
      </c>
      <c r="AC82" s="575">
        <f t="shared" si="13"/>
        <v>2.6379693677284375</v>
      </c>
      <c r="AD82" s="575">
        <f t="shared" si="13"/>
        <v>2.6335632392712833</v>
      </c>
      <c r="AE82" s="575">
        <f t="shared" si="13"/>
        <v>2.6300422772855061</v>
      </c>
      <c r="AF82" s="575">
        <f t="shared" si="13"/>
        <v>2.6272334375470709</v>
      </c>
      <c r="AG82" s="575">
        <f t="shared" si="13"/>
        <v>2.6245788913867711</v>
      </c>
      <c r="AH82" s="575">
        <f t="shared" si="13"/>
        <v>2.621978518551598</v>
      </c>
      <c r="AI82" s="575">
        <f t="shared" si="13"/>
        <v>2.6200259859444546</v>
      </c>
      <c r="AJ82" s="575">
        <f t="shared" si="13"/>
        <v>2.6184565250463954</v>
      </c>
      <c r="AK82" s="575">
        <f t="shared" si="13"/>
        <v>2.6169501303962761</v>
      </c>
      <c r="AL82" s="575"/>
      <c r="AM82" s="575"/>
      <c r="AN82" s="575"/>
      <c r="AO82" s="575"/>
      <c r="AP82" s="575"/>
      <c r="AQ82" s="575"/>
      <c r="AR82" s="575"/>
      <c r="AS82" s="575"/>
      <c r="AT82" s="575"/>
      <c r="AU82" s="575"/>
      <c r="AV82" s="575"/>
      <c r="AW82" s="575"/>
      <c r="AX82" s="575"/>
      <c r="AY82" s="575"/>
      <c r="AZ82" s="575"/>
      <c r="BA82" s="575"/>
      <c r="BB82" s="575"/>
      <c r="BC82" s="575"/>
      <c r="BD82" s="575"/>
      <c r="BE82" s="575"/>
      <c r="BF82" s="575"/>
      <c r="BG82" s="575"/>
      <c r="BH82" s="575"/>
      <c r="BI82" s="575"/>
      <c r="BJ82" s="575"/>
      <c r="BK82" s="575"/>
      <c r="BL82" s="575"/>
      <c r="BM82" s="575"/>
      <c r="BN82" s="575"/>
      <c r="BO82" s="575"/>
      <c r="BP82" s="575"/>
      <c r="BQ82" s="575"/>
      <c r="BR82" s="575"/>
      <c r="BS82" s="575"/>
      <c r="BT82" s="575"/>
      <c r="BU82" s="575"/>
      <c r="BV82" s="575"/>
      <c r="BW82" s="575"/>
      <c r="BX82" s="575"/>
      <c r="BY82" s="575"/>
      <c r="BZ82" s="575"/>
      <c r="CA82" s="575"/>
      <c r="CB82" s="575"/>
      <c r="CC82" s="575"/>
      <c r="CD82" s="575"/>
      <c r="CE82" s="575"/>
      <c r="CF82" s="575"/>
      <c r="CG82" s="575"/>
      <c r="CH82" s="575"/>
      <c r="CI82" s="575"/>
      <c r="CK82" s="1293"/>
    </row>
    <row r="83" spans="1:89" s="1292" customFormat="1" ht="28.5" x14ac:dyDescent="0.2">
      <c r="A83" s="1284"/>
      <c r="B83" s="615" t="s">
        <v>582</v>
      </c>
      <c r="C83" s="614" t="s">
        <v>583</v>
      </c>
      <c r="D83" s="616" t="s">
        <v>584</v>
      </c>
      <c r="E83" s="612" t="s">
        <v>375</v>
      </c>
      <c r="F83" s="613">
        <v>1</v>
      </c>
      <c r="G83" s="617" t="e">
        <f>G66/(G66+G74)</f>
        <v>#DIV/0!</v>
      </c>
      <c r="H83" s="617" t="e">
        <f t="shared" ref="H83:AK83" si="14">H66/(H66+H74)</f>
        <v>#DIV/0!</v>
      </c>
      <c r="I83" s="617">
        <f t="shared" si="14"/>
        <v>0.63244856206336286</v>
      </c>
      <c r="J83" s="617">
        <f t="shared" si="14"/>
        <v>0.64537362217341721</v>
      </c>
      <c r="K83" s="617">
        <f t="shared" si="14"/>
        <v>0.66319732852123003</v>
      </c>
      <c r="L83" s="617">
        <f t="shared" si="14"/>
        <v>0.68523991173672782</v>
      </c>
      <c r="M83" s="618">
        <f t="shared" si="14"/>
        <v>0.72911410654911157</v>
      </c>
      <c r="N83" s="618">
        <f t="shared" si="14"/>
        <v>0.78250751850765732</v>
      </c>
      <c r="O83" s="618">
        <f t="shared" si="14"/>
        <v>0.80922171096566453</v>
      </c>
      <c r="P83" s="618">
        <f t="shared" si="14"/>
        <v>0.81753457173471611</v>
      </c>
      <c r="Q83" s="618">
        <f t="shared" si="14"/>
        <v>0.8250825542732132</v>
      </c>
      <c r="R83" s="618">
        <f t="shared" si="14"/>
        <v>0.8308359169892966</v>
      </c>
      <c r="S83" s="618">
        <f t="shared" si="14"/>
        <v>0.8349717611630515</v>
      </c>
      <c r="T83" s="618">
        <f t="shared" si="14"/>
        <v>0.83892264940185135</v>
      </c>
      <c r="U83" s="618">
        <f t="shared" si="14"/>
        <v>0.84264731896831491</v>
      </c>
      <c r="V83" s="618">
        <f t="shared" si="14"/>
        <v>0.84645769843370722</v>
      </c>
      <c r="W83" s="618">
        <f t="shared" si="14"/>
        <v>0.84912954554799824</v>
      </c>
      <c r="X83" s="618">
        <f t="shared" si="14"/>
        <v>0.85074702481267894</v>
      </c>
      <c r="Y83" s="618">
        <f t="shared" si="14"/>
        <v>0.85236619098924349</v>
      </c>
      <c r="Z83" s="618">
        <f t="shared" si="14"/>
        <v>0.85398409770203709</v>
      </c>
      <c r="AA83" s="618">
        <f t="shared" si="14"/>
        <v>0.85560025918666838</v>
      </c>
      <c r="AB83" s="618">
        <f t="shared" si="14"/>
        <v>0.85721338297098193</v>
      </c>
      <c r="AC83" s="618">
        <f t="shared" si="14"/>
        <v>0.85882438173702014</v>
      </c>
      <c r="AD83" s="618">
        <f t="shared" si="14"/>
        <v>0.86043220169196888</v>
      </c>
      <c r="AE83" s="618">
        <f t="shared" si="14"/>
        <v>0.86203611134732672</v>
      </c>
      <c r="AF83" s="618">
        <f t="shared" si="14"/>
        <v>0.8636356532076056</v>
      </c>
      <c r="AG83" s="618">
        <f t="shared" si="14"/>
        <v>0.86522909683662097</v>
      </c>
      <c r="AH83" s="618">
        <f t="shared" si="14"/>
        <v>0.86681626586871552</v>
      </c>
      <c r="AI83" s="618">
        <f t="shared" si="14"/>
        <v>0.86839651458653166</v>
      </c>
      <c r="AJ83" s="618">
        <f t="shared" si="14"/>
        <v>0.8699691922168904</v>
      </c>
      <c r="AK83" s="618">
        <f t="shared" si="14"/>
        <v>0.87153356098371848</v>
      </c>
      <c r="AL83" s="618"/>
      <c r="AM83" s="618"/>
      <c r="AN83" s="618"/>
      <c r="AO83" s="618"/>
      <c r="AP83" s="618"/>
      <c r="AQ83" s="618"/>
      <c r="AR83" s="618"/>
      <c r="AS83" s="618"/>
      <c r="AT83" s="618"/>
      <c r="AU83" s="618"/>
      <c r="AV83" s="618"/>
      <c r="AW83" s="618"/>
      <c r="AX83" s="618"/>
      <c r="AY83" s="618"/>
      <c r="AZ83" s="618"/>
      <c r="BA83" s="618"/>
      <c r="BB83" s="618"/>
      <c r="BC83" s="618"/>
      <c r="BD83" s="618"/>
      <c r="BE83" s="618"/>
      <c r="BF83" s="618"/>
      <c r="BG83" s="618"/>
      <c r="BH83" s="618"/>
      <c r="BI83" s="618"/>
      <c r="BJ83" s="618"/>
      <c r="BK83" s="618"/>
      <c r="BL83" s="618"/>
      <c r="BM83" s="618"/>
      <c r="BN83" s="618"/>
      <c r="BO83" s="618"/>
      <c r="BP83" s="618"/>
      <c r="BQ83" s="618"/>
      <c r="BR83" s="618"/>
      <c r="BS83" s="618"/>
      <c r="BT83" s="618"/>
      <c r="BU83" s="618"/>
      <c r="BV83" s="618"/>
      <c r="BW83" s="618"/>
      <c r="BX83" s="618"/>
      <c r="BY83" s="618"/>
      <c r="BZ83" s="618"/>
      <c r="CA83" s="618"/>
      <c r="CB83" s="618"/>
      <c r="CC83" s="618"/>
      <c r="CD83" s="618"/>
      <c r="CE83" s="618"/>
      <c r="CF83" s="618"/>
      <c r="CG83" s="618"/>
      <c r="CH83" s="618"/>
      <c r="CI83" s="619"/>
      <c r="CK83" s="1293"/>
    </row>
    <row r="84" spans="1:89" s="1292" customFormat="1" ht="29.25" thickBot="1" x14ac:dyDescent="0.25">
      <c r="A84" s="1284"/>
      <c r="B84" s="620" t="s">
        <v>585</v>
      </c>
      <c r="C84" s="621" t="s">
        <v>586</v>
      </c>
      <c r="D84" s="622" t="s">
        <v>587</v>
      </c>
      <c r="E84" s="623" t="s">
        <v>375</v>
      </c>
      <c r="F84" s="624">
        <v>1</v>
      </c>
      <c r="G84" s="625" t="e">
        <f>(G66)/(G66+G75+G74+G73)</f>
        <v>#DIV/0!</v>
      </c>
      <c r="H84" s="625" t="e">
        <f t="shared" ref="H84:AK84" si="15">(H66)/(H66+H75+H74+H73)</f>
        <v>#DIV/0!</v>
      </c>
      <c r="I84" s="625">
        <f t="shared" si="15"/>
        <v>0.61354936958937556</v>
      </c>
      <c r="J84" s="625">
        <f t="shared" si="15"/>
        <v>0.62604473697882579</v>
      </c>
      <c r="K84" s="625">
        <f t="shared" si="15"/>
        <v>0.64334177302293027</v>
      </c>
      <c r="L84" s="625">
        <f t="shared" si="15"/>
        <v>0.66473355453848304</v>
      </c>
      <c r="M84" s="625">
        <f t="shared" si="15"/>
        <v>0.70731412455439957</v>
      </c>
      <c r="N84" s="625">
        <f t="shared" si="15"/>
        <v>0.75913638119377269</v>
      </c>
      <c r="O84" s="625">
        <f t="shared" si="15"/>
        <v>0.78506577636100394</v>
      </c>
      <c r="P84" s="625">
        <f t="shared" si="15"/>
        <v>0.79313460192049812</v>
      </c>
      <c r="Q84" s="625">
        <f t="shared" si="15"/>
        <v>0.8004610757259788</v>
      </c>
      <c r="R84" s="625">
        <f t="shared" si="15"/>
        <v>0.80604564227411557</v>
      </c>
      <c r="S84" s="625">
        <f t="shared" si="15"/>
        <v>0.81006017091849292</v>
      </c>
      <c r="T84" s="625">
        <f t="shared" si="15"/>
        <v>0.81389518822235563</v>
      </c>
      <c r="U84" s="625">
        <f t="shared" si="15"/>
        <v>0.81751063865549245</v>
      </c>
      <c r="V84" s="625">
        <f t="shared" si="15"/>
        <v>0.82120930307688178</v>
      </c>
      <c r="W84" s="625">
        <f t="shared" si="15"/>
        <v>0.82380282581898923</v>
      </c>
      <c r="X84" s="625">
        <f t="shared" si="15"/>
        <v>0.82537289337778286</v>
      </c>
      <c r="Y84" s="625">
        <f t="shared" si="15"/>
        <v>0.82694460157313909</v>
      </c>
      <c r="Z84" s="625">
        <f t="shared" si="15"/>
        <v>0.82851509038934013</v>
      </c>
      <c r="AA84" s="625">
        <f t="shared" si="15"/>
        <v>0.83008388829004809</v>
      </c>
      <c r="AB84" s="625">
        <f t="shared" si="15"/>
        <v>0.8316497406665595</v>
      </c>
      <c r="AC84" s="625">
        <f t="shared" si="15"/>
        <v>0.83321353344032612</v>
      </c>
      <c r="AD84" s="625">
        <f t="shared" si="15"/>
        <v>0.83477424368160158</v>
      </c>
      <c r="AE84" s="625">
        <f t="shared" si="15"/>
        <v>0.83633116131408392</v>
      </c>
      <c r="AF84" s="625">
        <f t="shared" si="15"/>
        <v>0.83788384222208623</v>
      </c>
      <c r="AG84" s="625">
        <f t="shared" si="15"/>
        <v>0.83943060663474556</v>
      </c>
      <c r="AH84" s="625">
        <f t="shared" si="15"/>
        <v>0.84097128331717164</v>
      </c>
      <c r="AI84" s="625">
        <f t="shared" si="15"/>
        <v>0.84250524542875505</v>
      </c>
      <c r="AJ84" s="625">
        <f t="shared" si="15"/>
        <v>0.84403186121636165</v>
      </c>
      <c r="AK84" s="625">
        <f t="shared" si="15"/>
        <v>0.8455504144671675</v>
      </c>
      <c r="AL84" s="625"/>
      <c r="AM84" s="625"/>
      <c r="AN84" s="625"/>
      <c r="AO84" s="625"/>
      <c r="AP84" s="625"/>
      <c r="AQ84" s="625"/>
      <c r="AR84" s="625"/>
      <c r="AS84" s="625"/>
      <c r="AT84" s="625"/>
      <c r="AU84" s="625"/>
      <c r="AV84" s="625"/>
      <c r="AW84" s="625"/>
      <c r="AX84" s="625"/>
      <c r="AY84" s="625"/>
      <c r="AZ84" s="625"/>
      <c r="BA84" s="625"/>
      <c r="BB84" s="625"/>
      <c r="BC84" s="625"/>
      <c r="BD84" s="625"/>
      <c r="BE84" s="625"/>
      <c r="BF84" s="625"/>
      <c r="BG84" s="625"/>
      <c r="BH84" s="625"/>
      <c r="BI84" s="625"/>
      <c r="BJ84" s="625"/>
      <c r="BK84" s="625"/>
      <c r="BL84" s="625"/>
      <c r="BM84" s="625"/>
      <c r="BN84" s="625"/>
      <c r="BO84" s="625"/>
      <c r="BP84" s="625"/>
      <c r="BQ84" s="625"/>
      <c r="BR84" s="625"/>
      <c r="BS84" s="625"/>
      <c r="BT84" s="625"/>
      <c r="BU84" s="625"/>
      <c r="BV84" s="625"/>
      <c r="BW84" s="625"/>
      <c r="BX84" s="625"/>
      <c r="BY84" s="625"/>
      <c r="BZ84" s="625"/>
      <c r="CA84" s="625"/>
      <c r="CB84" s="625"/>
      <c r="CC84" s="625"/>
      <c r="CD84" s="625"/>
      <c r="CE84" s="625"/>
      <c r="CF84" s="625"/>
      <c r="CG84" s="625"/>
      <c r="CH84" s="625"/>
      <c r="CI84" s="625"/>
      <c r="CK84" s="1293"/>
    </row>
    <row r="85" spans="1:89" s="1292" customFormat="1" ht="29.25" thickBot="1" x14ac:dyDescent="0.25">
      <c r="A85" s="1284"/>
      <c r="B85" s="626" t="s">
        <v>588</v>
      </c>
      <c r="C85" s="627" t="s">
        <v>245</v>
      </c>
      <c r="D85" s="627" t="s">
        <v>589</v>
      </c>
      <c r="E85" s="627" t="s">
        <v>236</v>
      </c>
      <c r="F85" s="628">
        <v>2</v>
      </c>
      <c r="G85" s="629">
        <f>SUM(G45:G47)+G43+G54+G59+G60+G53</f>
        <v>0</v>
      </c>
      <c r="H85" s="629">
        <f t="shared" ref="H85:AK85" si="16">SUM(H45:H47)+H43+H54+H59+H60+H53</f>
        <v>0</v>
      </c>
      <c r="I85" s="629">
        <f t="shared" si="16"/>
        <v>406.98381297246362</v>
      </c>
      <c r="J85" s="629">
        <f t="shared" si="16"/>
        <v>402.6407564640927</v>
      </c>
      <c r="K85" s="629">
        <f t="shared" si="16"/>
        <v>401.31590887598645</v>
      </c>
      <c r="L85" s="629">
        <f t="shared" si="16"/>
        <v>398.70266082426417</v>
      </c>
      <c r="M85" s="629">
        <f>SUM(M45:M47)+M43+M54+M59+M60+M53</f>
        <v>402.09858966892716</v>
      </c>
      <c r="N85" s="629">
        <f t="shared" si="16"/>
        <v>402.66073390737796</v>
      </c>
      <c r="O85" s="629">
        <f t="shared" si="16"/>
        <v>403.37034008299037</v>
      </c>
      <c r="P85" s="629">
        <f t="shared" si="16"/>
        <v>406.45812608852617</v>
      </c>
      <c r="Q85" s="629">
        <f t="shared" si="16"/>
        <v>408.4069964313116</v>
      </c>
      <c r="R85" s="629">
        <f t="shared" si="16"/>
        <v>409.36131355285107</v>
      </c>
      <c r="S85" s="629">
        <f t="shared" si="16"/>
        <v>410.09583591351981</v>
      </c>
      <c r="T85" s="629">
        <f t="shared" si="16"/>
        <v>410.70539179707504</v>
      </c>
      <c r="U85" s="629">
        <f t="shared" si="16"/>
        <v>411.24472960058773</v>
      </c>
      <c r="V85" s="629">
        <f t="shared" si="16"/>
        <v>411.41851130446139</v>
      </c>
      <c r="W85" s="629">
        <f t="shared" si="16"/>
        <v>411.76456803884361</v>
      </c>
      <c r="X85" s="629">
        <f t="shared" si="16"/>
        <v>411.92195255477259</v>
      </c>
      <c r="Y85" s="629">
        <f t="shared" si="16"/>
        <v>412.28486858917762</v>
      </c>
      <c r="Z85" s="629">
        <f t="shared" si="16"/>
        <v>412.83232165500243</v>
      </c>
      <c r="AA85" s="629">
        <f t="shared" si="16"/>
        <v>413.95482167357591</v>
      </c>
      <c r="AB85" s="629">
        <f t="shared" si="16"/>
        <v>412.21369846658814</v>
      </c>
      <c r="AC85" s="629">
        <f t="shared" si="16"/>
        <v>413.34441788599014</v>
      </c>
      <c r="AD85" s="629">
        <f t="shared" si="16"/>
        <v>414.58953286731759</v>
      </c>
      <c r="AE85" s="629">
        <f t="shared" si="16"/>
        <v>415.92469133038207</v>
      </c>
      <c r="AF85" s="629">
        <f t="shared" si="16"/>
        <v>417.36330448969397</v>
      </c>
      <c r="AG85" s="629">
        <f t="shared" si="16"/>
        <v>418.17022181204771</v>
      </c>
      <c r="AH85" s="629">
        <f t="shared" si="16"/>
        <v>415.64477146337794</v>
      </c>
      <c r="AI85" s="629">
        <f t="shared" si="16"/>
        <v>417.24472311515518</v>
      </c>
      <c r="AJ85" s="629">
        <f t="shared" si="16"/>
        <v>416.82794285274957</v>
      </c>
      <c r="AK85" s="629">
        <f t="shared" si="16"/>
        <v>418.5007601916883</v>
      </c>
      <c r="AL85" s="629"/>
      <c r="AM85" s="629"/>
      <c r="AN85" s="629"/>
      <c r="AO85" s="629"/>
      <c r="AP85" s="629"/>
      <c r="AQ85" s="629"/>
      <c r="AR85" s="629"/>
      <c r="AS85" s="629"/>
      <c r="AT85" s="629"/>
      <c r="AU85" s="629"/>
      <c r="AV85" s="629"/>
      <c r="AW85" s="629"/>
      <c r="AX85" s="629"/>
      <c r="AY85" s="629"/>
      <c r="AZ85" s="629"/>
      <c r="BA85" s="629"/>
      <c r="BB85" s="629"/>
      <c r="BC85" s="629"/>
      <c r="BD85" s="629"/>
      <c r="BE85" s="629"/>
      <c r="BF85" s="629"/>
      <c r="BG85" s="629"/>
      <c r="BH85" s="629"/>
      <c r="BI85" s="629"/>
      <c r="BJ85" s="629"/>
      <c r="BK85" s="629"/>
      <c r="BL85" s="629"/>
      <c r="BM85" s="629"/>
      <c r="BN85" s="629"/>
      <c r="BO85" s="629"/>
      <c r="BP85" s="629"/>
      <c r="BQ85" s="629"/>
      <c r="BR85" s="629"/>
      <c r="BS85" s="629"/>
      <c r="BT85" s="629"/>
      <c r="BU85" s="629"/>
      <c r="BV85" s="629"/>
      <c r="BW85" s="629"/>
      <c r="BX85" s="629"/>
      <c r="BY85" s="629"/>
      <c r="BZ85" s="629"/>
      <c r="CA85" s="629"/>
      <c r="CB85" s="629"/>
      <c r="CC85" s="629"/>
      <c r="CD85" s="629"/>
      <c r="CE85" s="629"/>
      <c r="CF85" s="629"/>
      <c r="CG85" s="629"/>
      <c r="CH85" s="629"/>
      <c r="CI85" s="629"/>
      <c r="CK85" s="1293"/>
    </row>
    <row r="86" spans="1:89" s="1292" customFormat="1" ht="29.25" thickBot="1" x14ac:dyDescent="0.25">
      <c r="A86" s="1585"/>
      <c r="B86" s="630" t="s">
        <v>590</v>
      </c>
      <c r="C86" s="631" t="s">
        <v>591</v>
      </c>
      <c r="D86" s="529" t="s">
        <v>86</v>
      </c>
      <c r="E86" s="631" t="s">
        <v>236</v>
      </c>
      <c r="F86" s="632">
        <v>2</v>
      </c>
      <c r="G86" s="633"/>
      <c r="H86" s="593"/>
      <c r="I86" s="593">
        <v>0</v>
      </c>
      <c r="J86" s="593">
        <v>0.13148578514611753</v>
      </c>
      <c r="K86" s="593">
        <v>0.36477611637733265</v>
      </c>
      <c r="L86" s="593">
        <v>0.58324982873450981</v>
      </c>
      <c r="M86" s="1341">
        <v>0.68595998424700078</v>
      </c>
      <c r="N86" s="1341">
        <v>0.78103193350391553</v>
      </c>
      <c r="O86" s="1341">
        <v>0.8100742911992187</v>
      </c>
      <c r="P86" s="1341">
        <v>0.91525900399969551</v>
      </c>
      <c r="Q86" s="1341">
        <v>0.84346134105908721</v>
      </c>
      <c r="R86" s="1341">
        <v>0.84121833142557589</v>
      </c>
      <c r="S86" s="1341">
        <v>0.87810441279845586</v>
      </c>
      <c r="T86" s="1341">
        <v>0.92932327174759299</v>
      </c>
      <c r="U86" s="1341">
        <v>0.92807169803076839</v>
      </c>
      <c r="V86" s="1341">
        <v>0.98738555820917728</v>
      </c>
      <c r="W86" s="1341">
        <v>0.99801741227580409</v>
      </c>
      <c r="X86" s="1341">
        <v>1.0032152208779479</v>
      </c>
      <c r="Y86" s="1341">
        <v>1.0681850194557478</v>
      </c>
      <c r="Z86" s="1341">
        <v>0.99751449146857096</v>
      </c>
      <c r="AA86" s="1341">
        <v>1.0340262719637572</v>
      </c>
      <c r="AB86" s="1341">
        <v>2.7204915065616024</v>
      </c>
      <c r="AC86" s="1341">
        <v>1.1166255952577382</v>
      </c>
      <c r="AD86" s="1341">
        <v>1.1298013883380009</v>
      </c>
      <c r="AE86" s="1341">
        <v>1.215121535208149</v>
      </c>
      <c r="AF86" s="1341">
        <v>1.153995173431662</v>
      </c>
      <c r="AG86" s="1341">
        <v>1.6285051849393459</v>
      </c>
      <c r="AH86" s="1341">
        <v>4.2051707768036977</v>
      </c>
      <c r="AI86" s="1341">
        <v>1.2405505897560587</v>
      </c>
      <c r="AJ86" s="1341">
        <v>2.793040799412315</v>
      </c>
      <c r="AK86" s="1341">
        <v>1.3595709037824202</v>
      </c>
      <c r="AL86" s="1341"/>
      <c r="AM86" s="1341"/>
      <c r="AN86" s="1341"/>
      <c r="AO86" s="1341"/>
      <c r="AP86" s="1341"/>
      <c r="AQ86" s="1341"/>
      <c r="AR86" s="1341"/>
      <c r="AS86" s="1341"/>
      <c r="AT86" s="1341"/>
      <c r="AU86" s="1341"/>
      <c r="AV86" s="1341"/>
      <c r="AW86" s="1341"/>
      <c r="AX86" s="1341"/>
      <c r="AY86" s="1341"/>
      <c r="AZ86" s="1341"/>
      <c r="BA86" s="1341"/>
      <c r="BB86" s="1341"/>
      <c r="BC86" s="1341"/>
      <c r="BD86" s="1341"/>
      <c r="BE86" s="1341"/>
      <c r="BF86" s="1341"/>
      <c r="BG86" s="1341"/>
      <c r="BH86" s="1341"/>
      <c r="BI86" s="1341"/>
      <c r="BJ86" s="1341"/>
      <c r="BK86" s="1341"/>
      <c r="BL86" s="1341"/>
      <c r="BM86" s="1341"/>
      <c r="BN86" s="1341"/>
      <c r="BO86" s="1341"/>
      <c r="BP86" s="1341"/>
      <c r="BQ86" s="1341"/>
      <c r="BR86" s="1341"/>
      <c r="BS86" s="1341"/>
      <c r="BT86" s="1341"/>
      <c r="BU86" s="1341"/>
      <c r="BV86" s="1341"/>
      <c r="BW86" s="1341"/>
      <c r="BX86" s="1341"/>
      <c r="BY86" s="1341"/>
      <c r="BZ86" s="1341"/>
      <c r="CA86" s="1341"/>
      <c r="CB86" s="1341"/>
      <c r="CC86" s="1341"/>
      <c r="CD86" s="1341"/>
      <c r="CE86" s="1341"/>
      <c r="CF86" s="1341"/>
      <c r="CG86" s="1341"/>
      <c r="CH86" s="1341"/>
      <c r="CI86" s="1341"/>
    </row>
    <row r="87" spans="1:89" s="1292" customFormat="1" x14ac:dyDescent="0.2">
      <c r="A87" s="1585"/>
      <c r="B87" s="634" t="s">
        <v>592</v>
      </c>
      <c r="C87" s="635" t="s">
        <v>593</v>
      </c>
      <c r="D87" s="537" t="s">
        <v>86</v>
      </c>
      <c r="E87" s="635" t="s">
        <v>236</v>
      </c>
      <c r="F87" s="636">
        <v>2</v>
      </c>
      <c r="G87" s="637"/>
      <c r="H87" s="593"/>
      <c r="I87" s="593">
        <v>6.8585773274585113</v>
      </c>
      <c r="J87" s="593">
        <v>6.8479734769723963</v>
      </c>
      <c r="K87" s="593">
        <v>6.9002949224055854</v>
      </c>
      <c r="L87" s="593">
        <v>6.8996248864778584</v>
      </c>
      <c r="M87" s="1341">
        <v>6.9349835354206268</v>
      </c>
      <c r="N87" s="1341">
        <v>6.3043395729106306</v>
      </c>
      <c r="O87" s="1341">
        <v>5.7579980035213536</v>
      </c>
      <c r="P87" s="1341">
        <v>5.1942660903117153</v>
      </c>
      <c r="Q87" s="1341">
        <v>4.7548923535833021</v>
      </c>
      <c r="R87" s="1341">
        <v>3.9850715094554281</v>
      </c>
      <c r="S87" s="1341">
        <v>3.2660245194156761</v>
      </c>
      <c r="T87" s="1341">
        <v>2.8404351431010499</v>
      </c>
      <c r="U87" s="1341">
        <v>2.6852766826508638</v>
      </c>
      <c r="V87" s="1341">
        <v>2.2240702772287659</v>
      </c>
      <c r="W87" s="1341">
        <v>1.965602568662308</v>
      </c>
      <c r="X87" s="1341">
        <v>1.773960346467045</v>
      </c>
      <c r="Y87" s="1341">
        <v>1.590731455771011</v>
      </c>
      <c r="Z87" s="1341">
        <v>1.3737986230932631</v>
      </c>
      <c r="AA87" s="1341">
        <v>1.212753479811139</v>
      </c>
      <c r="AB87" s="1341">
        <v>1.055665900423074</v>
      </c>
      <c r="AC87" s="1341">
        <v>1.01342452366627</v>
      </c>
      <c r="AD87" s="1341">
        <v>1.041026105717084</v>
      </c>
      <c r="AE87" s="1341">
        <v>1.022789820694064</v>
      </c>
      <c r="AF87" s="1341">
        <v>1.040006900417036</v>
      </c>
      <c r="AG87" s="1341">
        <v>1.0820953929555339</v>
      </c>
      <c r="AH87" s="1341">
        <v>0.99513777792426095</v>
      </c>
      <c r="AI87" s="1341">
        <v>1.0045332513360641</v>
      </c>
      <c r="AJ87" s="1341">
        <v>1.0028212005008319</v>
      </c>
      <c r="AK87" s="1341">
        <v>1.0411468171965379</v>
      </c>
      <c r="AL87" s="1341"/>
      <c r="AM87" s="1341"/>
      <c r="AN87" s="1341"/>
      <c r="AO87" s="1341"/>
      <c r="AP87" s="1341"/>
      <c r="AQ87" s="1341"/>
      <c r="AR87" s="1341"/>
      <c r="AS87" s="1341"/>
      <c r="AT87" s="1341"/>
      <c r="AU87" s="1341"/>
      <c r="AV87" s="1341"/>
      <c r="AW87" s="1341"/>
      <c r="AX87" s="1341"/>
      <c r="AY87" s="1341"/>
      <c r="AZ87" s="1341"/>
      <c r="BA87" s="1341"/>
      <c r="BB87" s="1341"/>
      <c r="BC87" s="1341"/>
      <c r="BD87" s="1341"/>
      <c r="BE87" s="1341"/>
      <c r="BF87" s="1341"/>
      <c r="BG87" s="1341"/>
      <c r="BH87" s="1341"/>
      <c r="BI87" s="1341"/>
      <c r="BJ87" s="1341"/>
      <c r="BK87" s="1341"/>
      <c r="BL87" s="1341"/>
      <c r="BM87" s="1341"/>
      <c r="BN87" s="1341"/>
      <c r="BO87" s="1341"/>
      <c r="BP87" s="1341"/>
      <c r="BQ87" s="1341"/>
      <c r="BR87" s="1341"/>
      <c r="BS87" s="1341"/>
      <c r="BT87" s="1341"/>
      <c r="BU87" s="1341"/>
      <c r="BV87" s="1341"/>
      <c r="BW87" s="1341"/>
      <c r="BX87" s="1341"/>
      <c r="BY87" s="1341"/>
      <c r="BZ87" s="1341"/>
      <c r="CA87" s="1341"/>
      <c r="CB87" s="1341"/>
      <c r="CC87" s="1341"/>
      <c r="CD87" s="1341"/>
      <c r="CE87" s="1341"/>
      <c r="CF87" s="1341"/>
      <c r="CG87" s="1341"/>
      <c r="CH87" s="1341"/>
      <c r="CI87" s="1341"/>
    </row>
    <row r="88" spans="1:89" s="1292" customFormat="1" x14ac:dyDescent="0.2">
      <c r="A88" s="1284"/>
      <c r="B88" s="634" t="s">
        <v>594</v>
      </c>
      <c r="C88" s="635" t="s">
        <v>384</v>
      </c>
      <c r="D88" s="537" t="s">
        <v>595</v>
      </c>
      <c r="E88" s="635" t="s">
        <v>236</v>
      </c>
      <c r="F88" s="636">
        <v>2</v>
      </c>
      <c r="G88" s="638">
        <f>G86+G87</f>
        <v>0</v>
      </c>
      <c r="H88" s="638">
        <f t="shared" ref="H88:AK88" si="17">H86+H87</f>
        <v>0</v>
      </c>
      <c r="I88" s="638">
        <f t="shared" si="17"/>
        <v>6.8585773274585113</v>
      </c>
      <c r="J88" s="638">
        <f t="shared" si="17"/>
        <v>6.9794592621185139</v>
      </c>
      <c r="K88" s="638">
        <f t="shared" si="17"/>
        <v>7.265071038782918</v>
      </c>
      <c r="L88" s="638">
        <f t="shared" si="17"/>
        <v>7.4828747152123682</v>
      </c>
      <c r="M88" s="639">
        <f t="shared" si="17"/>
        <v>7.6209435196676276</v>
      </c>
      <c r="N88" s="639">
        <f t="shared" si="17"/>
        <v>7.0853715064145462</v>
      </c>
      <c r="O88" s="639">
        <f t="shared" si="17"/>
        <v>6.5680722947205723</v>
      </c>
      <c r="P88" s="639">
        <f t="shared" si="17"/>
        <v>6.1095250943114108</v>
      </c>
      <c r="Q88" s="639">
        <f t="shared" si="17"/>
        <v>5.5983536946423893</v>
      </c>
      <c r="R88" s="639">
        <f t="shared" si="17"/>
        <v>4.826289840881004</v>
      </c>
      <c r="S88" s="639">
        <f t="shared" si="17"/>
        <v>4.1441289322141319</v>
      </c>
      <c r="T88" s="639">
        <f t="shared" si="17"/>
        <v>3.7697584148486429</v>
      </c>
      <c r="U88" s="639">
        <f t="shared" si="17"/>
        <v>3.6133483806816322</v>
      </c>
      <c r="V88" s="639">
        <f t="shared" si="17"/>
        <v>3.2114558354379432</v>
      </c>
      <c r="W88" s="639">
        <f t="shared" si="17"/>
        <v>2.9636199809381121</v>
      </c>
      <c r="X88" s="639">
        <f t="shared" si="17"/>
        <v>2.7771755673449929</v>
      </c>
      <c r="Y88" s="639">
        <f t="shared" si="17"/>
        <v>2.6589164752267589</v>
      </c>
      <c r="Z88" s="639">
        <f t="shared" si="17"/>
        <v>2.371313114561834</v>
      </c>
      <c r="AA88" s="639">
        <f t="shared" si="17"/>
        <v>2.2467797517748962</v>
      </c>
      <c r="AB88" s="639">
        <f t="shared" si="17"/>
        <v>3.7761574069846766</v>
      </c>
      <c r="AC88" s="639">
        <f t="shared" si="17"/>
        <v>2.1300501189240082</v>
      </c>
      <c r="AD88" s="639">
        <f t="shared" si="17"/>
        <v>2.1708274940550849</v>
      </c>
      <c r="AE88" s="639">
        <f t="shared" si="17"/>
        <v>2.237911355902213</v>
      </c>
      <c r="AF88" s="639">
        <f t="shared" si="17"/>
        <v>2.1940020738486981</v>
      </c>
      <c r="AG88" s="639">
        <f t="shared" si="17"/>
        <v>2.7106005778948798</v>
      </c>
      <c r="AH88" s="639">
        <f t="shared" si="17"/>
        <v>5.2003085547279584</v>
      </c>
      <c r="AI88" s="639">
        <f t="shared" si="17"/>
        <v>2.2450838410921228</v>
      </c>
      <c r="AJ88" s="639">
        <f t="shared" si="17"/>
        <v>3.7958619999131469</v>
      </c>
      <c r="AK88" s="639">
        <f t="shared" si="17"/>
        <v>2.4007177209789581</v>
      </c>
      <c r="AL88" s="639"/>
      <c r="AM88" s="639"/>
      <c r="AN88" s="639"/>
      <c r="AO88" s="639"/>
      <c r="AP88" s="639"/>
      <c r="AQ88" s="639"/>
      <c r="AR88" s="639"/>
      <c r="AS88" s="639"/>
      <c r="AT88" s="639"/>
      <c r="AU88" s="639"/>
      <c r="AV88" s="639"/>
      <c r="AW88" s="639"/>
      <c r="AX88" s="639"/>
      <c r="AY88" s="639"/>
      <c r="AZ88" s="639"/>
      <c r="BA88" s="639"/>
      <c r="BB88" s="639"/>
      <c r="BC88" s="639"/>
      <c r="BD88" s="639"/>
      <c r="BE88" s="639"/>
      <c r="BF88" s="639"/>
      <c r="BG88" s="639"/>
      <c r="BH88" s="639"/>
      <c r="BI88" s="639"/>
      <c r="BJ88" s="639"/>
      <c r="BK88" s="639"/>
      <c r="BL88" s="639"/>
      <c r="BM88" s="639"/>
      <c r="BN88" s="639"/>
      <c r="BO88" s="639"/>
      <c r="BP88" s="639"/>
      <c r="BQ88" s="639"/>
      <c r="BR88" s="639"/>
      <c r="BS88" s="639"/>
      <c r="BT88" s="639"/>
      <c r="BU88" s="639"/>
      <c r="BV88" s="639"/>
      <c r="BW88" s="639"/>
      <c r="BX88" s="639"/>
      <c r="BY88" s="639"/>
      <c r="BZ88" s="639"/>
      <c r="CA88" s="639"/>
      <c r="CB88" s="639"/>
      <c r="CC88" s="639"/>
      <c r="CD88" s="639"/>
      <c r="CE88" s="639"/>
      <c r="CF88" s="639"/>
      <c r="CG88" s="639"/>
      <c r="CH88" s="639"/>
      <c r="CI88" s="640"/>
    </row>
    <row r="89" spans="1:89" s="1292" customFormat="1" x14ac:dyDescent="0.2">
      <c r="A89" s="1284"/>
      <c r="B89" s="1055" t="s">
        <v>596</v>
      </c>
      <c r="C89" s="1056" t="s">
        <v>597</v>
      </c>
      <c r="D89" s="1057" t="s">
        <v>598</v>
      </c>
      <c r="E89" s="1056" t="s">
        <v>236</v>
      </c>
      <c r="F89" s="1058">
        <v>2</v>
      </c>
      <c r="G89" s="641" t="e">
        <f>G42-G85</f>
        <v>#REF!</v>
      </c>
      <c r="H89" s="641">
        <f t="shared" ref="H89:AK89" si="18">H42-H85</f>
        <v>0</v>
      </c>
      <c r="I89" s="641">
        <f t="shared" si="18"/>
        <v>-22.405592462326638</v>
      </c>
      <c r="J89" s="641">
        <f t="shared" si="18"/>
        <v>-18.617504093955745</v>
      </c>
      <c r="K89" s="641">
        <f t="shared" si="18"/>
        <v>-17.850816655849485</v>
      </c>
      <c r="L89" s="641">
        <f t="shared" si="18"/>
        <v>-16.136853109570666</v>
      </c>
      <c r="M89" s="642">
        <f t="shared" si="18"/>
        <v>-20.433244646499588</v>
      </c>
      <c r="N89" s="642">
        <f t="shared" si="18"/>
        <v>-21.883011435206697</v>
      </c>
      <c r="O89" s="642">
        <f t="shared" si="18"/>
        <v>-24.99336740355227</v>
      </c>
      <c r="P89" s="642">
        <f t="shared" si="18"/>
        <v>-28.985435664262809</v>
      </c>
      <c r="Q89" s="642">
        <f t="shared" si="18"/>
        <v>-31.839967567339727</v>
      </c>
      <c r="R89" s="642">
        <f t="shared" si="18"/>
        <v>-38.702197150876316</v>
      </c>
      <c r="S89" s="642">
        <f t="shared" si="18"/>
        <v>-40.34868690842535</v>
      </c>
      <c r="T89" s="642">
        <f t="shared" si="18"/>
        <v>-41.870725231536142</v>
      </c>
      <c r="U89" s="642">
        <f t="shared" si="18"/>
        <v>-43.326961417781945</v>
      </c>
      <c r="V89" s="642">
        <f t="shared" si="18"/>
        <v>-42.589576121655568</v>
      </c>
      <c r="W89" s="642">
        <f t="shared" si="18"/>
        <v>-23.524602344565835</v>
      </c>
      <c r="X89" s="642">
        <f t="shared" si="18"/>
        <v>-24.275697150494807</v>
      </c>
      <c r="Y89" s="642">
        <f t="shared" si="18"/>
        <v>-25.234696764899866</v>
      </c>
      <c r="Z89" s="642">
        <f t="shared" si="18"/>
        <v>-26.380565390724655</v>
      </c>
      <c r="AA89" s="642">
        <f t="shared" si="18"/>
        <v>-28.103773179298116</v>
      </c>
      <c r="AB89" s="642">
        <f t="shared" si="18"/>
        <v>-28.96328716083832</v>
      </c>
      <c r="AC89" s="642">
        <f t="shared" si="18"/>
        <v>-30.699185370240343</v>
      </c>
      <c r="AD89" s="642">
        <f t="shared" si="18"/>
        <v>-32.551660651567772</v>
      </c>
      <c r="AE89" s="642">
        <f t="shared" si="18"/>
        <v>-34.496326604632259</v>
      </c>
      <c r="AF89" s="642">
        <f t="shared" si="18"/>
        <v>-36.546561303944145</v>
      </c>
      <c r="AG89" s="642">
        <f t="shared" si="18"/>
        <v>-37.967182186297919</v>
      </c>
      <c r="AH89" s="642">
        <f t="shared" si="18"/>
        <v>-36.057486457628102</v>
      </c>
      <c r="AI89" s="642">
        <f t="shared" si="18"/>
        <v>-38.272889287933367</v>
      </c>
      <c r="AJ89" s="642">
        <f t="shared" si="18"/>
        <v>-38.475876855527758</v>
      </c>
      <c r="AK89" s="642">
        <f t="shared" si="18"/>
        <v>-40.770426024466531</v>
      </c>
      <c r="AL89" s="642"/>
      <c r="AM89" s="642"/>
      <c r="AN89" s="642"/>
      <c r="AO89" s="642"/>
      <c r="AP89" s="642"/>
      <c r="AQ89" s="642"/>
      <c r="AR89" s="642"/>
      <c r="AS89" s="642"/>
      <c r="AT89" s="642"/>
      <c r="AU89" s="642"/>
      <c r="AV89" s="642"/>
      <c r="AW89" s="642"/>
      <c r="AX89" s="642"/>
      <c r="AY89" s="642"/>
      <c r="AZ89" s="642"/>
      <c r="BA89" s="642"/>
      <c r="BB89" s="642"/>
      <c r="BC89" s="642"/>
      <c r="BD89" s="642"/>
      <c r="BE89" s="642"/>
      <c r="BF89" s="642"/>
      <c r="BG89" s="642"/>
      <c r="BH89" s="642"/>
      <c r="BI89" s="642"/>
      <c r="BJ89" s="642"/>
      <c r="BK89" s="642"/>
      <c r="BL89" s="642"/>
      <c r="BM89" s="642"/>
      <c r="BN89" s="642"/>
      <c r="BO89" s="642"/>
      <c r="BP89" s="642"/>
      <c r="BQ89" s="642"/>
      <c r="BR89" s="642"/>
      <c r="BS89" s="642"/>
      <c r="BT89" s="642"/>
      <c r="BU89" s="642"/>
      <c r="BV89" s="642"/>
      <c r="BW89" s="642"/>
      <c r="BX89" s="642"/>
      <c r="BY89" s="642"/>
      <c r="BZ89" s="642"/>
      <c r="CA89" s="642"/>
      <c r="CB89" s="642"/>
      <c r="CC89" s="642"/>
      <c r="CD89" s="642"/>
      <c r="CE89" s="642"/>
      <c r="CF89" s="642"/>
      <c r="CG89" s="642"/>
      <c r="CH89" s="642"/>
      <c r="CI89" s="643"/>
    </row>
    <row r="90" spans="1:89" s="1292" customFormat="1" ht="15" thickBot="1" x14ac:dyDescent="0.25">
      <c r="A90" s="1284"/>
      <c r="B90" s="1055" t="s">
        <v>599</v>
      </c>
      <c r="C90" s="1056" t="s">
        <v>600</v>
      </c>
      <c r="D90" s="1057" t="s">
        <v>601</v>
      </c>
      <c r="E90" s="1056" t="s">
        <v>236</v>
      </c>
      <c r="F90" s="1058">
        <v>2</v>
      </c>
      <c r="G90" s="1054" t="e">
        <f>G25-G44</f>
        <v>#REF!</v>
      </c>
      <c r="H90" s="1054">
        <f t="shared" ref="H90:AK90" si="19">H25-H44</f>
        <v>0</v>
      </c>
      <c r="I90" s="1054">
        <f t="shared" si="19"/>
        <v>0</v>
      </c>
      <c r="J90" s="1054">
        <f t="shared" si="19"/>
        <v>0</v>
      </c>
      <c r="K90" s="1054">
        <f t="shared" si="19"/>
        <v>0</v>
      </c>
      <c r="L90" s="1054">
        <f t="shared" si="19"/>
        <v>0</v>
      </c>
      <c r="M90" s="1054">
        <f t="shared" si="19"/>
        <v>0</v>
      </c>
      <c r="N90" s="1054">
        <f t="shared" si="19"/>
        <v>0</v>
      </c>
      <c r="O90" s="1054">
        <f t="shared" si="19"/>
        <v>0</v>
      </c>
      <c r="P90" s="1054">
        <f t="shared" si="19"/>
        <v>0</v>
      </c>
      <c r="Q90" s="1054">
        <f t="shared" si="19"/>
        <v>0</v>
      </c>
      <c r="R90" s="1054">
        <f t="shared" si="19"/>
        <v>0</v>
      </c>
      <c r="S90" s="1054">
        <f t="shared" si="19"/>
        <v>0</v>
      </c>
      <c r="T90" s="1054">
        <f t="shared" si="19"/>
        <v>0</v>
      </c>
      <c r="U90" s="1054">
        <f t="shared" si="19"/>
        <v>0</v>
      </c>
      <c r="V90" s="1054">
        <f t="shared" si="19"/>
        <v>0</v>
      </c>
      <c r="W90" s="1054">
        <f t="shared" si="19"/>
        <v>0</v>
      </c>
      <c r="X90" s="1054">
        <f t="shared" si="19"/>
        <v>0</v>
      </c>
      <c r="Y90" s="1054">
        <f t="shared" si="19"/>
        <v>0</v>
      </c>
      <c r="Z90" s="1054">
        <f t="shared" si="19"/>
        <v>0</v>
      </c>
      <c r="AA90" s="1054">
        <f t="shared" si="19"/>
        <v>0</v>
      </c>
      <c r="AB90" s="1054">
        <f t="shared" si="19"/>
        <v>0</v>
      </c>
      <c r="AC90" s="1054">
        <f t="shared" si="19"/>
        <v>0</v>
      </c>
      <c r="AD90" s="1054">
        <f t="shared" si="19"/>
        <v>0</v>
      </c>
      <c r="AE90" s="1054">
        <f t="shared" si="19"/>
        <v>0</v>
      </c>
      <c r="AF90" s="1054">
        <f t="shared" si="19"/>
        <v>0</v>
      </c>
      <c r="AG90" s="1054">
        <f t="shared" si="19"/>
        <v>0</v>
      </c>
      <c r="AH90" s="1054">
        <f t="shared" si="19"/>
        <v>0</v>
      </c>
      <c r="AI90" s="1054">
        <f t="shared" si="19"/>
        <v>0</v>
      </c>
      <c r="AJ90" s="1054">
        <f t="shared" si="19"/>
        <v>0</v>
      </c>
      <c r="AK90" s="1054">
        <f t="shared" si="19"/>
        <v>0</v>
      </c>
      <c r="AL90" s="1054"/>
      <c r="AM90" s="1054"/>
      <c r="AN90" s="1054"/>
      <c r="AO90" s="1054"/>
      <c r="AP90" s="1054"/>
      <c r="AQ90" s="1054"/>
      <c r="AR90" s="1054"/>
      <c r="AS90" s="1054"/>
      <c r="AT90" s="1054"/>
      <c r="AU90" s="1054"/>
      <c r="AV90" s="1054"/>
      <c r="AW90" s="1054"/>
      <c r="AX90" s="1054"/>
      <c r="AY90" s="1054"/>
      <c r="AZ90" s="1054"/>
      <c r="BA90" s="1054"/>
      <c r="BB90" s="1054"/>
      <c r="BC90" s="1054"/>
      <c r="BD90" s="1054"/>
      <c r="BE90" s="1054"/>
      <c r="BF90" s="1054"/>
      <c r="BG90" s="1054"/>
      <c r="BH90" s="1054"/>
      <c r="BI90" s="1054"/>
      <c r="BJ90" s="1054"/>
      <c r="BK90" s="1054"/>
      <c r="BL90" s="1054"/>
      <c r="BM90" s="1054"/>
      <c r="BN90" s="1054"/>
      <c r="BO90" s="1054"/>
      <c r="BP90" s="1054"/>
      <c r="BQ90" s="1054"/>
      <c r="BR90" s="1054"/>
      <c r="BS90" s="1054"/>
      <c r="BT90" s="1054"/>
      <c r="BU90" s="1054"/>
      <c r="BV90" s="1054"/>
      <c r="BW90" s="1054"/>
      <c r="BX90" s="1054"/>
      <c r="BY90" s="1054"/>
      <c r="BZ90" s="1054"/>
      <c r="CA90" s="1054"/>
      <c r="CB90" s="1054"/>
      <c r="CC90" s="1054"/>
      <c r="CD90" s="1054"/>
      <c r="CE90" s="1054"/>
      <c r="CF90" s="1054"/>
      <c r="CG90" s="1054"/>
      <c r="CH90" s="1054"/>
      <c r="CI90" s="1054"/>
    </row>
    <row r="91" spans="1:89" s="1292" customFormat="1" ht="15" thickBot="1" x14ac:dyDescent="0.25">
      <c r="A91" s="1284"/>
      <c r="B91" s="644" t="s">
        <v>602</v>
      </c>
      <c r="C91" s="645" t="s">
        <v>393</v>
      </c>
      <c r="D91" s="646" t="s">
        <v>603</v>
      </c>
      <c r="E91" s="645" t="s">
        <v>236</v>
      </c>
      <c r="F91" s="647">
        <v>2</v>
      </c>
      <c r="G91" s="648" t="e">
        <f>G89-G88</f>
        <v>#REF!</v>
      </c>
      <c r="H91" s="648">
        <f t="shared" ref="H91:AK91" si="20">H89-H88</f>
        <v>0</v>
      </c>
      <c r="I91" s="648">
        <f t="shared" si="20"/>
        <v>-29.26416978978515</v>
      </c>
      <c r="J91" s="648">
        <f t="shared" si="20"/>
        <v>-25.596963356074259</v>
      </c>
      <c r="K91" s="648">
        <f t="shared" si="20"/>
        <v>-25.115887694632402</v>
      </c>
      <c r="L91" s="648">
        <f t="shared" si="20"/>
        <v>-23.619727824783034</v>
      </c>
      <c r="M91" s="649">
        <f t="shared" si="20"/>
        <v>-28.054188166167215</v>
      </c>
      <c r="N91" s="649">
        <f t="shared" si="20"/>
        <v>-28.968382941621243</v>
      </c>
      <c r="O91" s="649">
        <f t="shared" si="20"/>
        <v>-31.561439698272842</v>
      </c>
      <c r="P91" s="649">
        <f t="shared" si="20"/>
        <v>-35.094960758574217</v>
      </c>
      <c r="Q91" s="649">
        <f t="shared" si="20"/>
        <v>-37.438321261982118</v>
      </c>
      <c r="R91" s="649">
        <f t="shared" si="20"/>
        <v>-43.528486991757319</v>
      </c>
      <c r="S91" s="649">
        <f t="shared" si="20"/>
        <v>-44.49281584063948</v>
      </c>
      <c r="T91" s="649">
        <f t="shared" si="20"/>
        <v>-45.640483646384787</v>
      </c>
      <c r="U91" s="649">
        <f t="shared" si="20"/>
        <v>-46.940309798463574</v>
      </c>
      <c r="V91" s="649">
        <f t="shared" si="20"/>
        <v>-45.801031957093514</v>
      </c>
      <c r="W91" s="649">
        <f t="shared" si="20"/>
        <v>-26.488222325503948</v>
      </c>
      <c r="X91" s="649">
        <f t="shared" si="20"/>
        <v>-27.052872717839801</v>
      </c>
      <c r="Y91" s="649">
        <f t="shared" si="20"/>
        <v>-27.893613240126626</v>
      </c>
      <c r="Z91" s="649">
        <f t="shared" si="20"/>
        <v>-28.751878505286488</v>
      </c>
      <c r="AA91" s="649">
        <f t="shared" si="20"/>
        <v>-30.350552931073011</v>
      </c>
      <c r="AB91" s="649">
        <f t="shared" si="20"/>
        <v>-32.739444567823</v>
      </c>
      <c r="AC91" s="649">
        <f t="shared" si="20"/>
        <v>-32.829235489164354</v>
      </c>
      <c r="AD91" s="649">
        <f t="shared" si="20"/>
        <v>-34.722488145622854</v>
      </c>
      <c r="AE91" s="649">
        <f t="shared" si="20"/>
        <v>-36.734237960534472</v>
      </c>
      <c r="AF91" s="649">
        <f t="shared" si="20"/>
        <v>-38.740563377792846</v>
      </c>
      <c r="AG91" s="649">
        <f t="shared" si="20"/>
        <v>-40.677782764192798</v>
      </c>
      <c r="AH91" s="649">
        <f t="shared" si="20"/>
        <v>-41.257795012356063</v>
      </c>
      <c r="AI91" s="649">
        <f t="shared" si="20"/>
        <v>-40.517973129025492</v>
      </c>
      <c r="AJ91" s="649">
        <f t="shared" si="20"/>
        <v>-42.271738855440908</v>
      </c>
      <c r="AK91" s="649">
        <f t="shared" si="20"/>
        <v>-43.171143745445491</v>
      </c>
      <c r="AL91" s="649"/>
      <c r="AM91" s="649"/>
      <c r="AN91" s="649"/>
      <c r="AO91" s="649"/>
      <c r="AP91" s="649"/>
      <c r="AQ91" s="649"/>
      <c r="AR91" s="649"/>
      <c r="AS91" s="649"/>
      <c r="AT91" s="649"/>
      <c r="AU91" s="649"/>
      <c r="AV91" s="649"/>
      <c r="AW91" s="649"/>
      <c r="AX91" s="649"/>
      <c r="AY91" s="649"/>
      <c r="AZ91" s="649"/>
      <c r="BA91" s="649"/>
      <c r="BB91" s="649"/>
      <c r="BC91" s="649"/>
      <c r="BD91" s="649"/>
      <c r="BE91" s="649"/>
      <c r="BF91" s="649"/>
      <c r="BG91" s="649"/>
      <c r="BH91" s="649"/>
      <c r="BI91" s="649"/>
      <c r="BJ91" s="649"/>
      <c r="BK91" s="649"/>
      <c r="BL91" s="649"/>
      <c r="BM91" s="649"/>
      <c r="BN91" s="649"/>
      <c r="BO91" s="649"/>
      <c r="BP91" s="649"/>
      <c r="BQ91" s="649"/>
      <c r="BR91" s="649"/>
      <c r="BS91" s="649"/>
      <c r="BT91" s="649"/>
      <c r="BU91" s="649"/>
      <c r="BV91" s="649"/>
      <c r="BW91" s="649"/>
      <c r="BX91" s="649"/>
      <c r="BY91" s="649"/>
      <c r="BZ91" s="649"/>
      <c r="CA91" s="649"/>
      <c r="CB91" s="649"/>
      <c r="CC91" s="649"/>
      <c r="CD91" s="649"/>
      <c r="CE91" s="649"/>
      <c r="CF91" s="649"/>
      <c r="CG91" s="649"/>
      <c r="CH91" s="649"/>
      <c r="CI91" s="650"/>
    </row>
    <row r="92" spans="1:89" ht="15" thickBot="1" x14ac:dyDescent="0.25">
      <c r="B92" s="651"/>
      <c r="C92" s="652"/>
      <c r="D92" s="53"/>
      <c r="E92" s="652"/>
      <c r="F92" s="653"/>
      <c r="G92" s="654"/>
      <c r="H92" s="654"/>
      <c r="I92" s="654"/>
      <c r="J92" s="654"/>
      <c r="K92" s="654"/>
      <c r="L92" s="654"/>
      <c r="M92" s="654"/>
      <c r="N92" s="654"/>
      <c r="O92" s="654"/>
      <c r="P92" s="654"/>
      <c r="Q92" s="654"/>
      <c r="R92" s="654"/>
      <c r="S92" s="654"/>
      <c r="T92" s="654"/>
      <c r="U92" s="654"/>
      <c r="V92" s="654"/>
      <c r="W92" s="654"/>
      <c r="X92" s="654"/>
      <c r="Y92" s="654"/>
      <c r="Z92" s="654"/>
      <c r="AA92" s="654"/>
      <c r="AB92" s="654"/>
      <c r="AC92" s="654"/>
      <c r="AD92" s="654"/>
      <c r="AE92" s="654"/>
      <c r="AF92" s="654"/>
      <c r="AG92" s="654"/>
      <c r="AH92" s="654"/>
      <c r="AI92" s="654"/>
      <c r="AJ92" s="654"/>
      <c r="AK92" s="654"/>
      <c r="AL92" s="654"/>
      <c r="AM92" s="654"/>
      <c r="AN92" s="654"/>
      <c r="AO92" s="654"/>
      <c r="AP92" s="654"/>
      <c r="AQ92" s="654"/>
      <c r="AR92" s="654"/>
      <c r="AS92" s="654"/>
      <c r="AT92" s="654"/>
      <c r="AU92" s="654"/>
      <c r="AV92" s="654"/>
      <c r="AW92" s="654"/>
      <c r="AX92" s="654"/>
      <c r="AY92" s="654"/>
      <c r="AZ92" s="654"/>
      <c r="BA92" s="654"/>
      <c r="BB92" s="654"/>
      <c r="BC92" s="654"/>
      <c r="BD92" s="654"/>
      <c r="BE92" s="654"/>
      <c r="BF92" s="654"/>
      <c r="BG92" s="654"/>
      <c r="BH92" s="654"/>
      <c r="BI92" s="654"/>
      <c r="BJ92" s="654"/>
      <c r="BK92" s="654"/>
      <c r="BL92" s="654"/>
      <c r="BM92" s="654"/>
      <c r="BN92" s="654"/>
      <c r="BO92" s="654"/>
      <c r="BP92" s="654"/>
      <c r="BQ92" s="654"/>
      <c r="BR92" s="654"/>
      <c r="BS92" s="654"/>
      <c r="BT92" s="654"/>
      <c r="BU92" s="654"/>
      <c r="BV92" s="654"/>
      <c r="BW92" s="654"/>
      <c r="BX92" s="654"/>
      <c r="BY92" s="654"/>
      <c r="BZ92" s="654"/>
      <c r="CA92" s="654"/>
      <c r="CB92" s="654"/>
      <c r="CC92" s="654"/>
      <c r="CD92" s="654"/>
      <c r="CE92" s="654"/>
      <c r="CF92" s="654"/>
      <c r="CG92" s="654"/>
      <c r="CH92" s="654"/>
      <c r="CI92" s="654"/>
    </row>
    <row r="93" spans="1:89" ht="60.75" thickBot="1" x14ac:dyDescent="0.25">
      <c r="B93" s="655" t="s">
        <v>439</v>
      </c>
      <c r="C93" s="1307" t="s">
        <v>204</v>
      </c>
      <c r="D93" s="53"/>
      <c r="E93" s="652"/>
      <c r="F93" s="653"/>
      <c r="G93" s="654"/>
      <c r="H93" s="654"/>
      <c r="I93" s="654"/>
      <c r="J93" s="654"/>
      <c r="K93" s="654"/>
      <c r="L93" s="654"/>
      <c r="M93" s="654"/>
      <c r="N93" s="654"/>
      <c r="O93" s="654"/>
      <c r="P93" s="654"/>
      <c r="Q93" s="654"/>
      <c r="R93" s="654"/>
      <c r="S93" s="654"/>
      <c r="T93" s="654"/>
      <c r="U93" s="654"/>
      <c r="V93" s="654"/>
      <c r="W93" s="654"/>
      <c r="X93" s="654"/>
      <c r="Y93" s="654"/>
      <c r="Z93" s="654"/>
      <c r="AA93" s="654"/>
      <c r="AB93" s="654"/>
      <c r="AC93" s="654"/>
      <c r="AD93" s="654"/>
      <c r="AE93" s="654"/>
      <c r="AF93" s="654"/>
      <c r="AG93" s="654"/>
      <c r="AH93" s="654"/>
      <c r="AI93" s="654"/>
      <c r="AJ93" s="654"/>
      <c r="AK93" s="654"/>
      <c r="AL93" s="654"/>
      <c r="AM93" s="654"/>
      <c r="AN93" s="654"/>
      <c r="AO93" s="654"/>
      <c r="AP93" s="654"/>
      <c r="AQ93" s="654"/>
      <c r="AR93" s="654"/>
      <c r="AS93" s="654"/>
      <c r="AT93" s="654"/>
      <c r="AU93" s="654"/>
      <c r="AV93" s="654"/>
      <c r="AW93" s="654"/>
      <c r="AX93" s="654"/>
      <c r="AY93" s="654"/>
      <c r="AZ93" s="654"/>
      <c r="BA93" s="654"/>
      <c r="BB93" s="654"/>
      <c r="BC93" s="654"/>
      <c r="BD93" s="654"/>
      <c r="BE93" s="654"/>
      <c r="BF93" s="654"/>
      <c r="BG93" s="654"/>
      <c r="BH93" s="654"/>
      <c r="BI93" s="654"/>
      <c r="BJ93" s="654"/>
      <c r="BK93" s="654"/>
      <c r="BL93" s="654"/>
      <c r="BM93" s="654"/>
      <c r="BN93" s="654"/>
      <c r="BO93" s="654"/>
      <c r="BP93" s="654"/>
      <c r="BQ93" s="654"/>
      <c r="BR93" s="654"/>
      <c r="BS93" s="654"/>
      <c r="BT93" s="654"/>
      <c r="BU93" s="654"/>
      <c r="BV93" s="654"/>
      <c r="BW93" s="654"/>
      <c r="BX93" s="654"/>
      <c r="BY93" s="654"/>
      <c r="BZ93" s="654"/>
      <c r="CA93" s="654"/>
      <c r="CB93" s="654"/>
      <c r="CC93" s="654"/>
      <c r="CD93" s="654"/>
      <c r="CE93" s="654"/>
      <c r="CF93" s="654"/>
      <c r="CG93" s="654"/>
      <c r="CH93" s="654"/>
      <c r="CI93" s="654"/>
    </row>
    <row r="94" spans="1:89" ht="30.75" thickBot="1" x14ac:dyDescent="0.25">
      <c r="B94" s="656" t="s">
        <v>446</v>
      </c>
      <c r="C94" s="657" t="s">
        <v>604</v>
      </c>
      <c r="D94" s="657" t="s">
        <v>605</v>
      </c>
      <c r="E94" s="657" t="s">
        <v>206</v>
      </c>
      <c r="F94" s="658" t="s">
        <v>207</v>
      </c>
      <c r="G94" s="659" t="s">
        <v>208</v>
      </c>
      <c r="H94" s="659" t="s">
        <v>209</v>
      </c>
      <c r="I94" s="659" t="s">
        <v>210</v>
      </c>
      <c r="J94" s="659" t="s">
        <v>211</v>
      </c>
      <c r="K94" s="659" t="s">
        <v>212</v>
      </c>
      <c r="L94" s="659" t="s">
        <v>213</v>
      </c>
      <c r="M94" s="657" t="s">
        <v>214</v>
      </c>
      <c r="N94" s="657" t="s">
        <v>215</v>
      </c>
      <c r="O94" s="657" t="s">
        <v>216</v>
      </c>
      <c r="P94" s="657" t="s">
        <v>217</v>
      </c>
      <c r="Q94" s="657" t="s">
        <v>218</v>
      </c>
      <c r="R94" s="657" t="s">
        <v>247</v>
      </c>
      <c r="S94" s="657" t="s">
        <v>248</v>
      </c>
      <c r="T94" s="657" t="s">
        <v>249</v>
      </c>
      <c r="U94" s="657" t="s">
        <v>250</v>
      </c>
      <c r="V94" s="657" t="s">
        <v>219</v>
      </c>
      <c r="W94" s="657" t="s">
        <v>251</v>
      </c>
      <c r="X94" s="657" t="s">
        <v>252</v>
      </c>
      <c r="Y94" s="657" t="s">
        <v>253</v>
      </c>
      <c r="Z94" s="657" t="s">
        <v>254</v>
      </c>
      <c r="AA94" s="657" t="s">
        <v>220</v>
      </c>
      <c r="AB94" s="657" t="s">
        <v>255</v>
      </c>
      <c r="AC94" s="657" t="s">
        <v>256</v>
      </c>
      <c r="AD94" s="657" t="s">
        <v>257</v>
      </c>
      <c r="AE94" s="657" t="s">
        <v>258</v>
      </c>
      <c r="AF94" s="657" t="s">
        <v>221</v>
      </c>
      <c r="AG94" s="657" t="s">
        <v>259</v>
      </c>
      <c r="AH94" s="657" t="s">
        <v>260</v>
      </c>
      <c r="AI94" s="657" t="s">
        <v>261</v>
      </c>
      <c r="AJ94" s="657" t="s">
        <v>262</v>
      </c>
      <c r="AK94" s="657" t="s">
        <v>222</v>
      </c>
      <c r="AL94" s="657" t="s">
        <v>263</v>
      </c>
      <c r="AM94" s="657" t="s">
        <v>264</v>
      </c>
      <c r="AN94" s="657" t="s">
        <v>265</v>
      </c>
      <c r="AO94" s="657" t="s">
        <v>266</v>
      </c>
      <c r="AP94" s="657" t="s">
        <v>223</v>
      </c>
      <c r="AQ94" s="657" t="s">
        <v>267</v>
      </c>
      <c r="AR94" s="657" t="s">
        <v>268</v>
      </c>
      <c r="AS94" s="657" t="s">
        <v>269</v>
      </c>
      <c r="AT94" s="657" t="s">
        <v>270</v>
      </c>
      <c r="AU94" s="657" t="s">
        <v>224</v>
      </c>
      <c r="AV94" s="657" t="s">
        <v>271</v>
      </c>
      <c r="AW94" s="657" t="s">
        <v>272</v>
      </c>
      <c r="AX94" s="657" t="s">
        <v>273</v>
      </c>
      <c r="AY94" s="657" t="s">
        <v>274</v>
      </c>
      <c r="AZ94" s="657" t="s">
        <v>225</v>
      </c>
      <c r="BA94" s="657" t="s">
        <v>275</v>
      </c>
      <c r="BB94" s="657" t="s">
        <v>276</v>
      </c>
      <c r="BC94" s="657" t="s">
        <v>277</v>
      </c>
      <c r="BD94" s="657" t="s">
        <v>278</v>
      </c>
      <c r="BE94" s="657" t="s">
        <v>226</v>
      </c>
      <c r="BF94" s="657" t="s">
        <v>279</v>
      </c>
      <c r="BG94" s="657" t="s">
        <v>280</v>
      </c>
      <c r="BH94" s="657" t="s">
        <v>281</v>
      </c>
      <c r="BI94" s="657" t="s">
        <v>282</v>
      </c>
      <c r="BJ94" s="657" t="s">
        <v>227</v>
      </c>
      <c r="BK94" s="657" t="s">
        <v>283</v>
      </c>
      <c r="BL94" s="657" t="s">
        <v>284</v>
      </c>
      <c r="BM94" s="657" t="s">
        <v>285</v>
      </c>
      <c r="BN94" s="657" t="s">
        <v>286</v>
      </c>
      <c r="BO94" s="657" t="s">
        <v>228</v>
      </c>
      <c r="BP94" s="657" t="s">
        <v>287</v>
      </c>
      <c r="BQ94" s="657" t="s">
        <v>288</v>
      </c>
      <c r="BR94" s="657" t="s">
        <v>289</v>
      </c>
      <c r="BS94" s="657" t="s">
        <v>290</v>
      </c>
      <c r="BT94" s="657" t="s">
        <v>229</v>
      </c>
      <c r="BU94" s="657" t="s">
        <v>291</v>
      </c>
      <c r="BV94" s="657" t="s">
        <v>292</v>
      </c>
      <c r="BW94" s="657" t="s">
        <v>293</v>
      </c>
      <c r="BX94" s="657" t="s">
        <v>294</v>
      </c>
      <c r="BY94" s="657" t="s">
        <v>230</v>
      </c>
      <c r="BZ94" s="657" t="s">
        <v>295</v>
      </c>
      <c r="CA94" s="657" t="s">
        <v>296</v>
      </c>
      <c r="CB94" s="657" t="s">
        <v>297</v>
      </c>
      <c r="CC94" s="657" t="s">
        <v>298</v>
      </c>
      <c r="CD94" s="657" t="s">
        <v>231</v>
      </c>
      <c r="CE94" s="657" t="s">
        <v>299</v>
      </c>
      <c r="CF94" s="657" t="s">
        <v>300</v>
      </c>
      <c r="CG94" s="657" t="s">
        <v>301</v>
      </c>
      <c r="CH94" s="657" t="s">
        <v>302</v>
      </c>
      <c r="CI94" s="660" t="s">
        <v>232</v>
      </c>
    </row>
    <row r="95" spans="1:89" ht="28.5" x14ac:dyDescent="0.2">
      <c r="B95" s="667" t="s">
        <v>607</v>
      </c>
      <c r="C95" s="668" t="s">
        <v>608</v>
      </c>
      <c r="D95" s="668" t="s">
        <v>609</v>
      </c>
      <c r="E95" s="668" t="s">
        <v>236</v>
      </c>
      <c r="F95" s="669">
        <v>2</v>
      </c>
      <c r="G95" s="670"/>
      <c r="H95" s="671"/>
      <c r="I95" s="671">
        <v>0</v>
      </c>
      <c r="J95" s="671">
        <v>0</v>
      </c>
      <c r="K95" s="671">
        <v>0</v>
      </c>
      <c r="L95" s="671">
        <v>0</v>
      </c>
      <c r="M95" s="666">
        <v>0</v>
      </c>
      <c r="N95" s="666">
        <v>0</v>
      </c>
      <c r="O95" s="666">
        <v>0</v>
      </c>
      <c r="P95" s="666">
        <v>0</v>
      </c>
      <c r="Q95" s="666">
        <v>0</v>
      </c>
      <c r="R95" s="666">
        <v>0</v>
      </c>
      <c r="S95" s="666">
        <v>0</v>
      </c>
      <c r="T95" s="666">
        <v>0</v>
      </c>
      <c r="U95" s="666">
        <v>0</v>
      </c>
      <c r="V95" s="666">
        <v>0</v>
      </c>
      <c r="W95" s="666">
        <v>0</v>
      </c>
      <c r="X95" s="666">
        <v>0</v>
      </c>
      <c r="Y95" s="666">
        <v>0</v>
      </c>
      <c r="Z95" s="666">
        <v>0</v>
      </c>
      <c r="AA95" s="666">
        <v>0</v>
      </c>
      <c r="AB95" s="666">
        <v>0</v>
      </c>
      <c r="AC95" s="666">
        <v>0</v>
      </c>
      <c r="AD95" s="666">
        <v>0</v>
      </c>
      <c r="AE95" s="666">
        <v>0</v>
      </c>
      <c r="AF95" s="666">
        <v>0</v>
      </c>
      <c r="AG95" s="666">
        <v>0</v>
      </c>
      <c r="AH95" s="666">
        <v>0</v>
      </c>
      <c r="AI95" s="666">
        <v>0</v>
      </c>
      <c r="AJ95" s="666">
        <v>0</v>
      </c>
      <c r="AK95" s="666">
        <v>0</v>
      </c>
      <c r="AL95" s="666"/>
      <c r="AM95" s="666"/>
      <c r="AN95" s="666"/>
      <c r="AO95" s="666"/>
      <c r="AP95" s="666"/>
      <c r="AQ95" s="666"/>
      <c r="AR95" s="666"/>
      <c r="AS95" s="666"/>
      <c r="AT95" s="666"/>
      <c r="AU95" s="666"/>
      <c r="AV95" s="666"/>
      <c r="AW95" s="666"/>
      <c r="AX95" s="666"/>
      <c r="AY95" s="666"/>
      <c r="AZ95" s="666"/>
      <c r="BA95" s="666"/>
      <c r="BB95" s="666"/>
      <c r="BC95" s="666"/>
      <c r="BD95" s="666"/>
      <c r="BE95" s="666"/>
      <c r="BF95" s="666"/>
      <c r="BG95" s="666"/>
      <c r="BH95" s="666"/>
      <c r="BI95" s="666"/>
      <c r="BJ95" s="666"/>
      <c r="BK95" s="666"/>
      <c r="BL95" s="666"/>
      <c r="BM95" s="666"/>
      <c r="BN95" s="666"/>
      <c r="BO95" s="666"/>
      <c r="BP95" s="666"/>
      <c r="BQ95" s="666"/>
      <c r="BR95" s="666"/>
      <c r="BS95" s="666"/>
      <c r="BT95" s="666"/>
      <c r="BU95" s="666"/>
      <c r="BV95" s="666"/>
      <c r="BW95" s="666"/>
      <c r="BX95" s="666"/>
      <c r="BY95" s="666"/>
      <c r="BZ95" s="666"/>
      <c r="CA95" s="666"/>
      <c r="CB95" s="666"/>
      <c r="CC95" s="666"/>
      <c r="CD95" s="666"/>
      <c r="CE95" s="666"/>
      <c r="CF95" s="666"/>
      <c r="CG95" s="666"/>
      <c r="CH95" s="666"/>
      <c r="CI95" s="666"/>
    </row>
    <row r="96" spans="1:89" x14ac:dyDescent="0.2">
      <c r="B96" s="661" t="s">
        <v>610</v>
      </c>
      <c r="C96" s="662" t="s">
        <v>611</v>
      </c>
      <c r="D96" s="662" t="s">
        <v>612</v>
      </c>
      <c r="E96" s="662" t="s">
        <v>236</v>
      </c>
      <c r="F96" s="663">
        <v>2</v>
      </c>
      <c r="G96" s="670"/>
      <c r="H96" s="671"/>
      <c r="I96" s="671">
        <v>0</v>
      </c>
      <c r="J96" s="671">
        <v>0</v>
      </c>
      <c r="K96" s="671">
        <v>0</v>
      </c>
      <c r="L96" s="671">
        <v>0</v>
      </c>
      <c r="M96" s="666">
        <v>0</v>
      </c>
      <c r="N96" s="666">
        <v>0</v>
      </c>
      <c r="O96" s="666">
        <v>0</v>
      </c>
      <c r="P96" s="666">
        <v>0</v>
      </c>
      <c r="Q96" s="666">
        <v>0</v>
      </c>
      <c r="R96" s="666">
        <v>0</v>
      </c>
      <c r="S96" s="666">
        <v>0</v>
      </c>
      <c r="T96" s="666">
        <v>0</v>
      </c>
      <c r="U96" s="666">
        <v>0</v>
      </c>
      <c r="V96" s="666">
        <v>0</v>
      </c>
      <c r="W96" s="666">
        <v>0</v>
      </c>
      <c r="X96" s="666">
        <v>0</v>
      </c>
      <c r="Y96" s="666">
        <v>0</v>
      </c>
      <c r="Z96" s="666">
        <v>0</v>
      </c>
      <c r="AA96" s="666">
        <v>0</v>
      </c>
      <c r="AB96" s="666">
        <v>0</v>
      </c>
      <c r="AC96" s="666">
        <v>0</v>
      </c>
      <c r="AD96" s="666">
        <v>0</v>
      </c>
      <c r="AE96" s="666">
        <v>0</v>
      </c>
      <c r="AF96" s="666">
        <v>0</v>
      </c>
      <c r="AG96" s="666">
        <v>0</v>
      </c>
      <c r="AH96" s="666">
        <v>0</v>
      </c>
      <c r="AI96" s="666">
        <v>0</v>
      </c>
      <c r="AJ96" s="666">
        <v>0</v>
      </c>
      <c r="AK96" s="666">
        <v>0</v>
      </c>
      <c r="AL96" s="666"/>
      <c r="AM96" s="666"/>
      <c r="AN96" s="666"/>
      <c r="AO96" s="666"/>
      <c r="AP96" s="666"/>
      <c r="AQ96" s="666"/>
      <c r="AR96" s="666"/>
      <c r="AS96" s="666"/>
      <c r="AT96" s="666"/>
      <c r="AU96" s="666"/>
      <c r="AV96" s="666"/>
      <c r="AW96" s="666"/>
      <c r="AX96" s="666"/>
      <c r="AY96" s="666"/>
      <c r="AZ96" s="666"/>
      <c r="BA96" s="666"/>
      <c r="BB96" s="666"/>
      <c r="BC96" s="666"/>
      <c r="BD96" s="666"/>
      <c r="BE96" s="666"/>
      <c r="BF96" s="666"/>
      <c r="BG96" s="666"/>
      <c r="BH96" s="666"/>
      <c r="BI96" s="666"/>
      <c r="BJ96" s="666"/>
      <c r="BK96" s="666"/>
      <c r="BL96" s="666"/>
      <c r="BM96" s="666"/>
      <c r="BN96" s="666"/>
      <c r="BO96" s="666"/>
      <c r="BP96" s="666"/>
      <c r="BQ96" s="666"/>
      <c r="BR96" s="666"/>
      <c r="BS96" s="666"/>
      <c r="BT96" s="666"/>
      <c r="BU96" s="666"/>
      <c r="BV96" s="666"/>
      <c r="BW96" s="666"/>
      <c r="BX96" s="666"/>
      <c r="BY96" s="666"/>
      <c r="BZ96" s="666"/>
      <c r="CA96" s="666"/>
      <c r="CB96" s="666"/>
      <c r="CC96" s="666"/>
      <c r="CD96" s="666"/>
      <c r="CE96" s="666"/>
      <c r="CF96" s="666"/>
      <c r="CG96" s="666"/>
      <c r="CH96" s="666"/>
      <c r="CI96" s="666"/>
    </row>
    <row r="97" spans="1:87" ht="28.5" x14ac:dyDescent="0.2">
      <c r="B97" s="667" t="s">
        <v>613</v>
      </c>
      <c r="C97" s="668" t="s">
        <v>614</v>
      </c>
      <c r="D97" s="668" t="s">
        <v>615</v>
      </c>
      <c r="E97" s="668" t="s">
        <v>236</v>
      </c>
      <c r="F97" s="669">
        <v>2</v>
      </c>
      <c r="G97" s="670"/>
      <c r="H97" s="671"/>
      <c r="I97" s="671">
        <v>0</v>
      </c>
      <c r="J97" s="671">
        <v>0</v>
      </c>
      <c r="K97" s="671">
        <v>0</v>
      </c>
      <c r="L97" s="671">
        <v>0</v>
      </c>
      <c r="M97" s="666">
        <v>0</v>
      </c>
      <c r="N97" s="666">
        <v>0</v>
      </c>
      <c r="O97" s="666">
        <v>0</v>
      </c>
      <c r="P97" s="666">
        <v>0</v>
      </c>
      <c r="Q97" s="666">
        <v>0</v>
      </c>
      <c r="R97" s="666">
        <v>0</v>
      </c>
      <c r="S97" s="666">
        <v>0</v>
      </c>
      <c r="T97" s="666">
        <v>0</v>
      </c>
      <c r="U97" s="666">
        <v>0</v>
      </c>
      <c r="V97" s="666">
        <v>0</v>
      </c>
      <c r="W97" s="666">
        <v>0</v>
      </c>
      <c r="X97" s="666">
        <v>0</v>
      </c>
      <c r="Y97" s="666">
        <v>0</v>
      </c>
      <c r="Z97" s="666">
        <v>0</v>
      </c>
      <c r="AA97" s="666">
        <v>0</v>
      </c>
      <c r="AB97" s="666">
        <v>0</v>
      </c>
      <c r="AC97" s="666">
        <v>0</v>
      </c>
      <c r="AD97" s="666">
        <v>0</v>
      </c>
      <c r="AE97" s="666">
        <v>0</v>
      </c>
      <c r="AF97" s="666">
        <v>0</v>
      </c>
      <c r="AG97" s="666">
        <v>0</v>
      </c>
      <c r="AH97" s="666">
        <v>0</v>
      </c>
      <c r="AI97" s="666">
        <v>0</v>
      </c>
      <c r="AJ97" s="666">
        <v>0</v>
      </c>
      <c r="AK97" s="666">
        <v>0</v>
      </c>
      <c r="AL97" s="666"/>
      <c r="AM97" s="666"/>
      <c r="AN97" s="666"/>
      <c r="AO97" s="666"/>
      <c r="AP97" s="666"/>
      <c r="AQ97" s="666"/>
      <c r="AR97" s="666"/>
      <c r="AS97" s="666"/>
      <c r="AT97" s="666"/>
      <c r="AU97" s="666"/>
      <c r="AV97" s="666"/>
      <c r="AW97" s="666"/>
      <c r="AX97" s="666"/>
      <c r="AY97" s="666"/>
      <c r="AZ97" s="666"/>
      <c r="BA97" s="666"/>
      <c r="BB97" s="666"/>
      <c r="BC97" s="666"/>
      <c r="BD97" s="666"/>
      <c r="BE97" s="666"/>
      <c r="BF97" s="666"/>
      <c r="BG97" s="666"/>
      <c r="BH97" s="666"/>
      <c r="BI97" s="666"/>
      <c r="BJ97" s="666"/>
      <c r="BK97" s="666"/>
      <c r="BL97" s="666"/>
      <c r="BM97" s="666"/>
      <c r="BN97" s="666"/>
      <c r="BO97" s="666"/>
      <c r="BP97" s="666"/>
      <c r="BQ97" s="666"/>
      <c r="BR97" s="666"/>
      <c r="BS97" s="666"/>
      <c r="BT97" s="666"/>
      <c r="BU97" s="666"/>
      <c r="BV97" s="666"/>
      <c r="BW97" s="666"/>
      <c r="BX97" s="666"/>
      <c r="BY97" s="666"/>
      <c r="BZ97" s="666"/>
      <c r="CA97" s="666"/>
      <c r="CB97" s="666"/>
      <c r="CC97" s="666"/>
      <c r="CD97" s="666"/>
      <c r="CE97" s="666"/>
      <c r="CF97" s="666"/>
      <c r="CG97" s="666"/>
      <c r="CH97" s="666"/>
      <c r="CI97" s="666"/>
    </row>
    <row r="98" spans="1:87" ht="28.5" x14ac:dyDescent="0.2">
      <c r="B98" s="667" t="s">
        <v>616</v>
      </c>
      <c r="C98" s="668" t="s">
        <v>617</v>
      </c>
      <c r="D98" s="668" t="s">
        <v>618</v>
      </c>
      <c r="E98" s="668" t="s">
        <v>236</v>
      </c>
      <c r="F98" s="669">
        <v>2</v>
      </c>
      <c r="G98" s="670"/>
      <c r="H98" s="671"/>
      <c r="I98" s="1521">
        <v>0</v>
      </c>
      <c r="J98" s="1521">
        <v>0</v>
      </c>
      <c r="K98" s="1521">
        <v>0</v>
      </c>
      <c r="L98" s="1521">
        <v>0</v>
      </c>
      <c r="M98" s="1522">
        <v>0</v>
      </c>
      <c r="N98" s="1522">
        <v>0</v>
      </c>
      <c r="O98" s="1512">
        <v>-3.5</v>
      </c>
      <c r="P98" s="1512">
        <v>-3.5</v>
      </c>
      <c r="Q98" s="1512">
        <v>-3.5</v>
      </c>
      <c r="R98" s="1512">
        <v>-3.5</v>
      </c>
      <c r="S98" s="1512">
        <v>-3.5</v>
      </c>
      <c r="T98" s="1522">
        <v>0</v>
      </c>
      <c r="U98" s="1522">
        <v>0</v>
      </c>
      <c r="V98" s="1522">
        <v>0</v>
      </c>
      <c r="W98" s="1522">
        <v>0</v>
      </c>
      <c r="X98" s="1522">
        <v>0</v>
      </c>
      <c r="Y98" s="1522">
        <v>0</v>
      </c>
      <c r="Z98" s="1522">
        <v>0</v>
      </c>
      <c r="AA98" s="1522">
        <v>0</v>
      </c>
      <c r="AB98" s="1522">
        <v>0</v>
      </c>
      <c r="AC98" s="1522">
        <v>0</v>
      </c>
      <c r="AD98" s="1522">
        <v>0</v>
      </c>
      <c r="AE98" s="1522">
        <v>0</v>
      </c>
      <c r="AF98" s="1522">
        <v>0</v>
      </c>
      <c r="AG98" s="1522">
        <v>0</v>
      </c>
      <c r="AH98" s="1522">
        <v>0</v>
      </c>
      <c r="AI98" s="1522">
        <v>0</v>
      </c>
      <c r="AJ98" s="1522">
        <v>0</v>
      </c>
      <c r="AK98" s="1522">
        <v>0</v>
      </c>
      <c r="AL98" s="666"/>
      <c r="AM98" s="666"/>
      <c r="AN98" s="666"/>
      <c r="AO98" s="666"/>
      <c r="AP98" s="666"/>
      <c r="AQ98" s="666"/>
      <c r="AR98" s="666"/>
      <c r="AS98" s="666"/>
      <c r="AT98" s="666"/>
      <c r="AU98" s="666"/>
      <c r="AV98" s="666"/>
      <c r="AW98" s="666"/>
      <c r="AX98" s="666"/>
      <c r="AY98" s="666"/>
      <c r="AZ98" s="666"/>
      <c r="BA98" s="666"/>
      <c r="BB98" s="666"/>
      <c r="BC98" s="666"/>
      <c r="BD98" s="666"/>
      <c r="BE98" s="666"/>
      <c r="BF98" s="666"/>
      <c r="BG98" s="666"/>
      <c r="BH98" s="666"/>
      <c r="BI98" s="666"/>
      <c r="BJ98" s="666"/>
      <c r="BK98" s="666"/>
      <c r="BL98" s="666"/>
      <c r="BM98" s="666"/>
      <c r="BN98" s="666"/>
      <c r="BO98" s="666"/>
      <c r="BP98" s="666"/>
      <c r="BQ98" s="666"/>
      <c r="BR98" s="666"/>
      <c r="BS98" s="666"/>
      <c r="BT98" s="666"/>
      <c r="BU98" s="666"/>
      <c r="BV98" s="666"/>
      <c r="BW98" s="666"/>
      <c r="BX98" s="666"/>
      <c r="BY98" s="666"/>
      <c r="BZ98" s="666"/>
      <c r="CA98" s="666"/>
      <c r="CB98" s="666"/>
      <c r="CC98" s="666"/>
      <c r="CD98" s="666"/>
      <c r="CE98" s="666"/>
      <c r="CF98" s="666"/>
      <c r="CG98" s="666"/>
      <c r="CH98" s="666"/>
      <c r="CI98" s="666"/>
    </row>
    <row r="99" spans="1:87" ht="28.5" x14ac:dyDescent="0.2">
      <c r="B99" s="667" t="s">
        <v>619</v>
      </c>
      <c r="C99" s="668" t="s">
        <v>620</v>
      </c>
      <c r="D99" s="668" t="s">
        <v>621</v>
      </c>
      <c r="E99" s="668" t="s">
        <v>236</v>
      </c>
      <c r="F99" s="669">
        <v>2</v>
      </c>
      <c r="G99" s="670"/>
      <c r="H99" s="671"/>
      <c r="I99" s="671">
        <v>0</v>
      </c>
      <c r="J99" s="671">
        <v>0</v>
      </c>
      <c r="K99" s="671">
        <v>0</v>
      </c>
      <c r="L99" s="671">
        <v>0</v>
      </c>
      <c r="M99" s="666">
        <v>0</v>
      </c>
      <c r="N99" s="666">
        <v>0</v>
      </c>
      <c r="O99" s="666">
        <v>0</v>
      </c>
      <c r="P99" s="666">
        <v>0</v>
      </c>
      <c r="Q99" s="666">
        <v>0</v>
      </c>
      <c r="R99" s="666">
        <v>0</v>
      </c>
      <c r="S99" s="666">
        <v>0</v>
      </c>
      <c r="T99" s="666">
        <v>0</v>
      </c>
      <c r="U99" s="666">
        <v>0</v>
      </c>
      <c r="V99" s="666">
        <v>0</v>
      </c>
      <c r="W99" s="666">
        <v>0</v>
      </c>
      <c r="X99" s="666">
        <v>0</v>
      </c>
      <c r="Y99" s="666">
        <v>0</v>
      </c>
      <c r="Z99" s="666">
        <v>0</v>
      </c>
      <c r="AA99" s="666">
        <v>0</v>
      </c>
      <c r="AB99" s="666">
        <v>0</v>
      </c>
      <c r="AC99" s="666">
        <v>0</v>
      </c>
      <c r="AD99" s="666">
        <v>0</v>
      </c>
      <c r="AE99" s="666">
        <v>0</v>
      </c>
      <c r="AF99" s="666">
        <v>0</v>
      </c>
      <c r="AG99" s="666">
        <v>0</v>
      </c>
      <c r="AH99" s="666">
        <v>0</v>
      </c>
      <c r="AI99" s="666">
        <v>0</v>
      </c>
      <c r="AJ99" s="666">
        <v>0</v>
      </c>
      <c r="AK99" s="666">
        <v>0</v>
      </c>
      <c r="AL99" s="666"/>
      <c r="AM99" s="666"/>
      <c r="AN99" s="666"/>
      <c r="AO99" s="666"/>
      <c r="AP99" s="666"/>
      <c r="AQ99" s="666"/>
      <c r="AR99" s="666"/>
      <c r="AS99" s="666"/>
      <c r="AT99" s="666"/>
      <c r="AU99" s="666"/>
      <c r="AV99" s="666"/>
      <c r="AW99" s="666"/>
      <c r="AX99" s="666"/>
      <c r="AY99" s="666"/>
      <c r="AZ99" s="666"/>
      <c r="BA99" s="666"/>
      <c r="BB99" s="666"/>
      <c r="BC99" s="666"/>
      <c r="BD99" s="666"/>
      <c r="BE99" s="666"/>
      <c r="BF99" s="666"/>
      <c r="BG99" s="666"/>
      <c r="BH99" s="666"/>
      <c r="BI99" s="666"/>
      <c r="BJ99" s="666"/>
      <c r="BK99" s="666"/>
      <c r="BL99" s="666"/>
      <c r="BM99" s="666"/>
      <c r="BN99" s="666"/>
      <c r="BO99" s="666"/>
      <c r="BP99" s="666"/>
      <c r="BQ99" s="666"/>
      <c r="BR99" s="666"/>
      <c r="BS99" s="666"/>
      <c r="BT99" s="666"/>
      <c r="BU99" s="666"/>
      <c r="BV99" s="666"/>
      <c r="BW99" s="666"/>
      <c r="BX99" s="666"/>
      <c r="BY99" s="666"/>
      <c r="BZ99" s="666"/>
      <c r="CA99" s="666"/>
      <c r="CB99" s="666"/>
      <c r="CC99" s="666"/>
      <c r="CD99" s="666"/>
      <c r="CE99" s="666"/>
      <c r="CF99" s="666"/>
      <c r="CG99" s="666"/>
      <c r="CH99" s="666"/>
      <c r="CI99" s="666"/>
    </row>
    <row r="100" spans="1:87" ht="28.5" x14ac:dyDescent="0.2">
      <c r="B100" s="672" t="s">
        <v>622</v>
      </c>
      <c r="C100" s="673" t="s">
        <v>623</v>
      </c>
      <c r="D100" s="673" t="s">
        <v>624</v>
      </c>
      <c r="E100" s="673" t="s">
        <v>236</v>
      </c>
      <c r="F100" s="669">
        <v>2</v>
      </c>
      <c r="G100" s="670"/>
      <c r="H100" s="671"/>
      <c r="I100" s="671">
        <v>0</v>
      </c>
      <c r="J100" s="671">
        <v>0</v>
      </c>
      <c r="K100" s="671">
        <v>0</v>
      </c>
      <c r="L100" s="671">
        <v>0</v>
      </c>
      <c r="M100" s="666">
        <v>0</v>
      </c>
      <c r="N100" s="666">
        <v>0</v>
      </c>
      <c r="O100" s="666">
        <v>0</v>
      </c>
      <c r="P100" s="666">
        <v>0</v>
      </c>
      <c r="Q100" s="666">
        <v>0</v>
      </c>
      <c r="R100" s="666">
        <v>0</v>
      </c>
      <c r="S100" s="666">
        <v>0</v>
      </c>
      <c r="T100" s="666">
        <v>0</v>
      </c>
      <c r="U100" s="666">
        <v>0</v>
      </c>
      <c r="V100" s="666">
        <v>0</v>
      </c>
      <c r="W100" s="666">
        <v>0</v>
      </c>
      <c r="X100" s="666">
        <v>0</v>
      </c>
      <c r="Y100" s="666">
        <v>0</v>
      </c>
      <c r="Z100" s="666">
        <v>0</v>
      </c>
      <c r="AA100" s="666">
        <v>0</v>
      </c>
      <c r="AB100" s="666">
        <v>0</v>
      </c>
      <c r="AC100" s="666">
        <v>0</v>
      </c>
      <c r="AD100" s="666">
        <v>0</v>
      </c>
      <c r="AE100" s="666">
        <v>0</v>
      </c>
      <c r="AF100" s="666">
        <v>0</v>
      </c>
      <c r="AG100" s="666">
        <v>0</v>
      </c>
      <c r="AH100" s="666">
        <v>0</v>
      </c>
      <c r="AI100" s="666">
        <v>0</v>
      </c>
      <c r="AJ100" s="666">
        <v>0</v>
      </c>
      <c r="AK100" s="666">
        <v>0</v>
      </c>
      <c r="AL100" s="666"/>
      <c r="AM100" s="666"/>
      <c r="AN100" s="666"/>
      <c r="AO100" s="666"/>
      <c r="AP100" s="666"/>
      <c r="AQ100" s="666"/>
      <c r="AR100" s="666"/>
      <c r="AS100" s="666"/>
      <c r="AT100" s="666"/>
      <c r="AU100" s="666"/>
      <c r="AV100" s="666"/>
      <c r="AW100" s="666"/>
      <c r="AX100" s="666"/>
      <c r="AY100" s="666"/>
      <c r="AZ100" s="666"/>
      <c r="BA100" s="666"/>
      <c r="BB100" s="666"/>
      <c r="BC100" s="666"/>
      <c r="BD100" s="666"/>
      <c r="BE100" s="666"/>
      <c r="BF100" s="666"/>
      <c r="BG100" s="666"/>
      <c r="BH100" s="666"/>
      <c r="BI100" s="666"/>
      <c r="BJ100" s="666"/>
      <c r="BK100" s="666"/>
      <c r="BL100" s="666"/>
      <c r="BM100" s="666"/>
      <c r="BN100" s="666"/>
      <c r="BO100" s="666"/>
      <c r="BP100" s="666"/>
      <c r="BQ100" s="666"/>
      <c r="BR100" s="666"/>
      <c r="BS100" s="666"/>
      <c r="BT100" s="666"/>
      <c r="BU100" s="666"/>
      <c r="BV100" s="666"/>
      <c r="BW100" s="666"/>
      <c r="BX100" s="666"/>
      <c r="BY100" s="666"/>
      <c r="BZ100" s="666"/>
      <c r="CA100" s="666"/>
      <c r="CB100" s="666"/>
      <c r="CC100" s="666"/>
      <c r="CD100" s="666"/>
      <c r="CE100" s="666"/>
      <c r="CF100" s="666"/>
      <c r="CG100" s="666"/>
      <c r="CH100" s="666"/>
      <c r="CI100" s="666"/>
    </row>
    <row r="101" spans="1:87" ht="15" x14ac:dyDescent="0.2">
      <c r="B101" s="672" t="s">
        <v>625</v>
      </c>
      <c r="C101" s="668" t="s">
        <v>626</v>
      </c>
      <c r="D101" s="668" t="s">
        <v>627</v>
      </c>
      <c r="E101" s="668" t="s">
        <v>236</v>
      </c>
      <c r="F101" s="669">
        <v>2</v>
      </c>
      <c r="G101" s="670"/>
      <c r="H101" s="671"/>
      <c r="I101" s="1521">
        <v>16.2</v>
      </c>
      <c r="J101" s="1521">
        <v>16.2</v>
      </c>
      <c r="K101" s="1521">
        <v>16.2</v>
      </c>
      <c r="L101" s="1521">
        <v>16.2</v>
      </c>
      <c r="M101" s="1522">
        <v>16.2</v>
      </c>
      <c r="N101" s="1522">
        <v>16.2</v>
      </c>
      <c r="O101" s="1512">
        <v>26.2</v>
      </c>
      <c r="P101" s="1522">
        <v>26.2</v>
      </c>
      <c r="Q101" s="1522">
        <v>26.2</v>
      </c>
      <c r="R101" s="1522">
        <v>34.200000000000003</v>
      </c>
      <c r="S101" s="1512">
        <v>18</v>
      </c>
      <c r="T101" s="1522">
        <v>18</v>
      </c>
      <c r="U101" s="1522">
        <v>18</v>
      </c>
      <c r="V101" s="1522">
        <v>18</v>
      </c>
      <c r="W101" s="1522">
        <v>18</v>
      </c>
      <c r="X101" s="1522">
        <v>18</v>
      </c>
      <c r="Y101" s="1522">
        <v>18</v>
      </c>
      <c r="Z101" s="1522">
        <v>18</v>
      </c>
      <c r="AA101" s="1522">
        <v>18</v>
      </c>
      <c r="AB101" s="1522">
        <v>18</v>
      </c>
      <c r="AC101" s="1522">
        <v>18</v>
      </c>
      <c r="AD101" s="1522">
        <v>18</v>
      </c>
      <c r="AE101" s="1522">
        <v>18</v>
      </c>
      <c r="AF101" s="1522">
        <v>18</v>
      </c>
      <c r="AG101" s="1522">
        <v>18</v>
      </c>
      <c r="AH101" s="1522">
        <v>18</v>
      </c>
      <c r="AI101" s="1522">
        <v>18</v>
      </c>
      <c r="AJ101" s="1522">
        <v>18</v>
      </c>
      <c r="AK101" s="1522">
        <v>18</v>
      </c>
      <c r="AL101" s="666"/>
      <c r="AM101" s="666"/>
      <c r="AN101" s="666"/>
      <c r="AO101" s="666"/>
      <c r="AP101" s="666"/>
      <c r="AQ101" s="666"/>
      <c r="AR101" s="666"/>
      <c r="AS101" s="666"/>
      <c r="AT101" s="666"/>
      <c r="AU101" s="666"/>
      <c r="AV101" s="666"/>
      <c r="AW101" s="666"/>
      <c r="AX101" s="666"/>
      <c r="AY101" s="666"/>
      <c r="AZ101" s="666"/>
      <c r="BA101" s="666"/>
      <c r="BB101" s="666"/>
      <c r="BC101" s="666"/>
      <c r="BD101" s="666"/>
      <c r="BE101" s="666"/>
      <c r="BF101" s="666"/>
      <c r="BG101" s="666"/>
      <c r="BH101" s="666"/>
      <c r="BI101" s="666"/>
      <c r="BJ101" s="666"/>
      <c r="BK101" s="666"/>
      <c r="BL101" s="666"/>
      <c r="BM101" s="666"/>
      <c r="BN101" s="666"/>
      <c r="BO101" s="666"/>
      <c r="BP101" s="666"/>
      <c r="BQ101" s="666"/>
      <c r="BR101" s="666"/>
      <c r="BS101" s="666"/>
      <c r="BT101" s="666"/>
      <c r="BU101" s="666"/>
      <c r="BV101" s="666"/>
      <c r="BW101" s="666"/>
      <c r="BX101" s="666"/>
      <c r="BY101" s="666"/>
      <c r="BZ101" s="666"/>
      <c r="CA101" s="666"/>
      <c r="CB101" s="666"/>
      <c r="CC101" s="666"/>
      <c r="CD101" s="666"/>
      <c r="CE101" s="666"/>
      <c r="CF101" s="666"/>
      <c r="CG101" s="666"/>
      <c r="CH101" s="666"/>
      <c r="CI101" s="666"/>
    </row>
    <row r="102" spans="1:87" ht="38.25" customHeight="1" x14ac:dyDescent="0.2">
      <c r="B102" s="674" t="s">
        <v>628</v>
      </c>
      <c r="C102" s="668" t="s">
        <v>629</v>
      </c>
      <c r="D102" s="676" t="s">
        <v>630</v>
      </c>
      <c r="E102" s="675" t="s">
        <v>236</v>
      </c>
      <c r="F102" s="677">
        <v>2</v>
      </c>
      <c r="G102" s="670"/>
      <c r="H102" s="671"/>
      <c r="I102" s="671">
        <v>0</v>
      </c>
      <c r="J102" s="671">
        <v>0</v>
      </c>
      <c r="K102" s="671">
        <v>0</v>
      </c>
      <c r="L102" s="671">
        <v>0</v>
      </c>
      <c r="M102" s="666">
        <v>0</v>
      </c>
      <c r="N102" s="666">
        <v>0</v>
      </c>
      <c r="O102" s="666">
        <v>0</v>
      </c>
      <c r="P102" s="666">
        <v>0</v>
      </c>
      <c r="Q102" s="666">
        <v>0</v>
      </c>
      <c r="R102" s="666">
        <v>0</v>
      </c>
      <c r="S102" s="666">
        <v>0</v>
      </c>
      <c r="T102" s="666">
        <v>0</v>
      </c>
      <c r="U102" s="666">
        <v>0</v>
      </c>
      <c r="V102" s="666">
        <v>0</v>
      </c>
      <c r="W102" s="666">
        <v>0</v>
      </c>
      <c r="X102" s="666">
        <v>0</v>
      </c>
      <c r="Y102" s="666">
        <v>0</v>
      </c>
      <c r="Z102" s="666">
        <v>0</v>
      </c>
      <c r="AA102" s="666">
        <v>0</v>
      </c>
      <c r="AB102" s="666">
        <v>0</v>
      </c>
      <c r="AC102" s="666">
        <v>0</v>
      </c>
      <c r="AD102" s="666">
        <v>0</v>
      </c>
      <c r="AE102" s="666">
        <v>0</v>
      </c>
      <c r="AF102" s="666">
        <v>0</v>
      </c>
      <c r="AG102" s="666">
        <v>0</v>
      </c>
      <c r="AH102" s="666">
        <v>0</v>
      </c>
      <c r="AI102" s="666">
        <v>0</v>
      </c>
      <c r="AJ102" s="666">
        <v>0</v>
      </c>
      <c r="AK102" s="666">
        <v>0</v>
      </c>
      <c r="AL102" s="666"/>
      <c r="AM102" s="666"/>
      <c r="AN102" s="666"/>
      <c r="AO102" s="666"/>
      <c r="AP102" s="666"/>
      <c r="AQ102" s="666"/>
      <c r="AR102" s="666"/>
      <c r="AS102" s="666"/>
      <c r="AT102" s="666"/>
      <c r="AU102" s="666"/>
      <c r="AV102" s="666"/>
      <c r="AW102" s="666"/>
      <c r="AX102" s="666"/>
      <c r="AY102" s="666"/>
      <c r="AZ102" s="666"/>
      <c r="BA102" s="666"/>
      <c r="BB102" s="666"/>
      <c r="BC102" s="666"/>
      <c r="BD102" s="666"/>
      <c r="BE102" s="666"/>
      <c r="BF102" s="666"/>
      <c r="BG102" s="666"/>
      <c r="BH102" s="666"/>
      <c r="BI102" s="666"/>
      <c r="BJ102" s="666"/>
      <c r="BK102" s="666"/>
      <c r="BL102" s="666"/>
      <c r="BM102" s="666"/>
      <c r="BN102" s="666"/>
      <c r="BO102" s="666"/>
      <c r="BP102" s="666"/>
      <c r="BQ102" s="666"/>
      <c r="BR102" s="666"/>
      <c r="BS102" s="666"/>
      <c r="BT102" s="666"/>
      <c r="BU102" s="666"/>
      <c r="BV102" s="666"/>
      <c r="BW102" s="666"/>
      <c r="BX102" s="666"/>
      <c r="BY102" s="666"/>
      <c r="BZ102" s="666"/>
      <c r="CA102" s="666"/>
      <c r="CB102" s="666"/>
      <c r="CC102" s="666"/>
      <c r="CD102" s="666"/>
      <c r="CE102" s="666"/>
      <c r="CF102" s="666"/>
      <c r="CG102" s="666"/>
      <c r="CH102" s="666"/>
      <c r="CI102" s="666"/>
    </row>
    <row r="103" spans="1:87" ht="38.25" customHeight="1" x14ac:dyDescent="0.2">
      <c r="B103" s="674" t="s">
        <v>631</v>
      </c>
      <c r="C103" s="675" t="s">
        <v>632</v>
      </c>
      <c r="D103" s="676" t="s">
        <v>633</v>
      </c>
      <c r="E103" s="675" t="s">
        <v>236</v>
      </c>
      <c r="F103" s="677">
        <v>2</v>
      </c>
      <c r="G103" s="670"/>
      <c r="H103" s="671"/>
      <c r="I103" s="1521">
        <v>16</v>
      </c>
      <c r="J103" s="1521">
        <v>16</v>
      </c>
      <c r="K103" s="1521">
        <v>16</v>
      </c>
      <c r="L103" s="1521">
        <v>16</v>
      </c>
      <c r="M103" s="1522">
        <v>16</v>
      </c>
      <c r="N103" s="1522">
        <v>16</v>
      </c>
      <c r="O103" s="1522">
        <v>16</v>
      </c>
      <c r="P103" s="1522">
        <v>16</v>
      </c>
      <c r="Q103" s="1522">
        <v>16</v>
      </c>
      <c r="R103" s="1522">
        <v>16</v>
      </c>
      <c r="S103" s="1522">
        <v>16</v>
      </c>
      <c r="T103" s="1522">
        <v>16</v>
      </c>
      <c r="U103" s="1522">
        <v>16</v>
      </c>
      <c r="V103" s="1522">
        <v>16</v>
      </c>
      <c r="W103" s="1522">
        <v>16</v>
      </c>
      <c r="X103" s="1522">
        <v>16</v>
      </c>
      <c r="Y103" s="1522">
        <v>16</v>
      </c>
      <c r="Z103" s="1522">
        <v>16</v>
      </c>
      <c r="AA103" s="1522">
        <v>16</v>
      </c>
      <c r="AB103" s="1522">
        <v>16</v>
      </c>
      <c r="AC103" s="1522">
        <v>16</v>
      </c>
      <c r="AD103" s="1522">
        <v>16</v>
      </c>
      <c r="AE103" s="1522">
        <v>16</v>
      </c>
      <c r="AF103" s="1522">
        <v>16</v>
      </c>
      <c r="AG103" s="1522">
        <v>16</v>
      </c>
      <c r="AH103" s="1522">
        <v>16</v>
      </c>
      <c r="AI103" s="1522">
        <v>16</v>
      </c>
      <c r="AJ103" s="1522">
        <v>16</v>
      </c>
      <c r="AK103" s="1522">
        <v>16</v>
      </c>
      <c r="AL103" s="666"/>
      <c r="AM103" s="666"/>
      <c r="AN103" s="666"/>
      <c r="AO103" s="666"/>
      <c r="AP103" s="666"/>
      <c r="AQ103" s="666"/>
      <c r="AR103" s="666"/>
      <c r="AS103" s="666"/>
      <c r="AT103" s="666"/>
      <c r="AU103" s="666"/>
      <c r="AV103" s="666"/>
      <c r="AW103" s="666"/>
      <c r="AX103" s="666"/>
      <c r="AY103" s="666"/>
      <c r="AZ103" s="666"/>
      <c r="BA103" s="666"/>
      <c r="BB103" s="666"/>
      <c r="BC103" s="666"/>
      <c r="BD103" s="666"/>
      <c r="BE103" s="666"/>
      <c r="BF103" s="666"/>
      <c r="BG103" s="666"/>
      <c r="BH103" s="666"/>
      <c r="BI103" s="666"/>
      <c r="BJ103" s="666"/>
      <c r="BK103" s="666"/>
      <c r="BL103" s="666"/>
      <c r="BM103" s="666"/>
      <c r="BN103" s="666"/>
      <c r="BO103" s="666"/>
      <c r="BP103" s="666"/>
      <c r="BQ103" s="666"/>
      <c r="BR103" s="666"/>
      <c r="BS103" s="666"/>
      <c r="BT103" s="666"/>
      <c r="BU103" s="666"/>
      <c r="BV103" s="666"/>
      <c r="BW103" s="666"/>
      <c r="BX103" s="666"/>
      <c r="BY103" s="666"/>
      <c r="BZ103" s="666"/>
      <c r="CA103" s="666"/>
      <c r="CB103" s="666"/>
      <c r="CC103" s="666"/>
      <c r="CD103" s="666"/>
      <c r="CE103" s="666"/>
      <c r="CF103" s="666"/>
      <c r="CG103" s="666"/>
      <c r="CH103" s="666"/>
      <c r="CI103" s="666"/>
    </row>
    <row r="104" spans="1:87" ht="42.75" x14ac:dyDescent="0.2">
      <c r="A104" s="1584"/>
      <c r="B104" s="667" t="s">
        <v>634</v>
      </c>
      <c r="C104" s="668" t="s">
        <v>635</v>
      </c>
      <c r="D104" s="668" t="s">
        <v>636</v>
      </c>
      <c r="E104" s="668" t="s">
        <v>236</v>
      </c>
      <c r="F104" s="669">
        <v>2</v>
      </c>
      <c r="G104" s="670"/>
      <c r="H104" s="671"/>
      <c r="I104" s="671">
        <v>0</v>
      </c>
      <c r="J104" s="671">
        <v>0</v>
      </c>
      <c r="K104" s="671">
        <v>0</v>
      </c>
      <c r="L104" s="671">
        <v>0</v>
      </c>
      <c r="M104" s="666">
        <v>0</v>
      </c>
      <c r="N104" s="666">
        <v>0</v>
      </c>
      <c r="O104" s="666">
        <v>0</v>
      </c>
      <c r="P104" s="666">
        <v>0</v>
      </c>
      <c r="Q104" s="666">
        <v>0</v>
      </c>
      <c r="R104" s="666">
        <v>0</v>
      </c>
      <c r="S104" s="666">
        <v>0</v>
      </c>
      <c r="T104" s="666">
        <v>0</v>
      </c>
      <c r="U104" s="666">
        <v>0</v>
      </c>
      <c r="V104" s="666">
        <v>0</v>
      </c>
      <c r="W104" s="666">
        <v>0</v>
      </c>
      <c r="X104" s="666">
        <v>0</v>
      </c>
      <c r="Y104" s="666">
        <v>0</v>
      </c>
      <c r="Z104" s="666">
        <v>0</v>
      </c>
      <c r="AA104" s="666">
        <v>0</v>
      </c>
      <c r="AB104" s="666">
        <v>0</v>
      </c>
      <c r="AC104" s="666">
        <v>0</v>
      </c>
      <c r="AD104" s="666">
        <v>0</v>
      </c>
      <c r="AE104" s="666">
        <v>0</v>
      </c>
      <c r="AF104" s="666">
        <v>0</v>
      </c>
      <c r="AG104" s="666">
        <v>0</v>
      </c>
      <c r="AH104" s="666">
        <v>0</v>
      </c>
      <c r="AI104" s="666">
        <v>0</v>
      </c>
      <c r="AJ104" s="666">
        <v>0</v>
      </c>
      <c r="AK104" s="666">
        <v>0</v>
      </c>
      <c r="AL104" s="666"/>
      <c r="AM104" s="666"/>
      <c r="AN104" s="666"/>
      <c r="AO104" s="666"/>
      <c r="AP104" s="666"/>
      <c r="AQ104" s="666"/>
      <c r="AR104" s="666"/>
      <c r="AS104" s="666"/>
      <c r="AT104" s="666"/>
      <c r="AU104" s="666"/>
      <c r="AV104" s="666"/>
      <c r="AW104" s="666"/>
      <c r="AX104" s="666"/>
      <c r="AY104" s="666"/>
      <c r="AZ104" s="666"/>
      <c r="BA104" s="666"/>
      <c r="BB104" s="666"/>
      <c r="BC104" s="666"/>
      <c r="BD104" s="666"/>
      <c r="BE104" s="666"/>
      <c r="BF104" s="666"/>
      <c r="BG104" s="666"/>
      <c r="BH104" s="666"/>
      <c r="BI104" s="666"/>
      <c r="BJ104" s="666"/>
      <c r="BK104" s="666"/>
      <c r="BL104" s="666"/>
      <c r="BM104" s="666"/>
      <c r="BN104" s="666"/>
      <c r="BO104" s="666"/>
      <c r="BP104" s="666"/>
      <c r="BQ104" s="666"/>
      <c r="BR104" s="666"/>
      <c r="BS104" s="666"/>
      <c r="BT104" s="666"/>
      <c r="BU104" s="666"/>
      <c r="BV104" s="666"/>
      <c r="BW104" s="666"/>
      <c r="BX104" s="666"/>
      <c r="BY104" s="666"/>
      <c r="BZ104" s="666"/>
      <c r="CA104" s="666"/>
      <c r="CB104" s="666"/>
      <c r="CC104" s="666"/>
      <c r="CD104" s="666"/>
      <c r="CE104" s="666"/>
      <c r="CF104" s="666"/>
      <c r="CG104" s="666"/>
      <c r="CH104" s="666"/>
      <c r="CI104" s="666"/>
    </row>
    <row r="105" spans="1:87" ht="36.6" customHeight="1" x14ac:dyDescent="0.2">
      <c r="B105" s="667" t="s">
        <v>637</v>
      </c>
      <c r="C105" s="668" t="s">
        <v>638</v>
      </c>
      <c r="D105" s="668" t="s">
        <v>639</v>
      </c>
      <c r="E105" s="668" t="s">
        <v>236</v>
      </c>
      <c r="F105" s="669">
        <v>2</v>
      </c>
      <c r="G105" s="670"/>
      <c r="H105" s="671"/>
      <c r="I105" s="1521">
        <v>0</v>
      </c>
      <c r="J105" s="1521">
        <v>0</v>
      </c>
      <c r="K105" s="1521">
        <v>0</v>
      </c>
      <c r="L105" s="1521">
        <v>0</v>
      </c>
      <c r="M105" s="1522">
        <v>0</v>
      </c>
      <c r="N105" s="1522">
        <v>0</v>
      </c>
      <c r="O105" s="1512">
        <v>0.33</v>
      </c>
      <c r="P105" s="1512">
        <v>0.33</v>
      </c>
      <c r="Q105" s="1512">
        <v>0.33</v>
      </c>
      <c r="R105" s="1512">
        <v>0.33</v>
      </c>
      <c r="S105" s="1512">
        <v>0.33</v>
      </c>
      <c r="T105" s="1512">
        <v>0.33</v>
      </c>
      <c r="U105" s="1512">
        <v>0.33</v>
      </c>
      <c r="V105" s="1512">
        <v>0.5</v>
      </c>
      <c r="W105" s="1512">
        <v>0.5</v>
      </c>
      <c r="X105" s="1512">
        <v>0.5</v>
      </c>
      <c r="Y105" s="1512">
        <v>0.5</v>
      </c>
      <c r="Z105" s="1512">
        <v>0.5</v>
      </c>
      <c r="AA105" s="1512">
        <v>0.5</v>
      </c>
      <c r="AB105" s="1512">
        <v>0.5</v>
      </c>
      <c r="AC105" s="1512">
        <v>0.5</v>
      </c>
      <c r="AD105" s="1512">
        <v>0.5</v>
      </c>
      <c r="AE105" s="1512">
        <v>0.5</v>
      </c>
      <c r="AF105" s="1512">
        <v>0.5</v>
      </c>
      <c r="AG105" s="1512">
        <v>0.5</v>
      </c>
      <c r="AH105" s="1512">
        <v>0.5</v>
      </c>
      <c r="AI105" s="1512">
        <v>0.5</v>
      </c>
      <c r="AJ105" s="1512">
        <v>0.5</v>
      </c>
      <c r="AK105" s="1512">
        <v>0.5</v>
      </c>
      <c r="AL105" s="666"/>
      <c r="AM105" s="666"/>
      <c r="AN105" s="666"/>
      <c r="AO105" s="666"/>
      <c r="AP105" s="666"/>
      <c r="AQ105" s="666"/>
      <c r="AR105" s="666"/>
      <c r="AS105" s="666"/>
      <c r="AT105" s="666"/>
      <c r="AU105" s="666"/>
      <c r="AV105" s="666"/>
      <c r="AW105" s="666"/>
      <c r="AX105" s="666"/>
      <c r="AY105" s="666"/>
      <c r="AZ105" s="666"/>
      <c r="BA105" s="666"/>
      <c r="BB105" s="666"/>
      <c r="BC105" s="666"/>
      <c r="BD105" s="666"/>
      <c r="BE105" s="666"/>
      <c r="BF105" s="666"/>
      <c r="BG105" s="666"/>
      <c r="BH105" s="666"/>
      <c r="BI105" s="666"/>
      <c r="BJ105" s="666"/>
      <c r="BK105" s="666"/>
      <c r="BL105" s="666"/>
      <c r="BM105" s="666"/>
      <c r="BN105" s="666"/>
      <c r="BO105" s="666"/>
      <c r="BP105" s="666"/>
      <c r="BQ105" s="666"/>
      <c r="BR105" s="666"/>
      <c r="BS105" s="666"/>
      <c r="BT105" s="666"/>
      <c r="BU105" s="666"/>
      <c r="BV105" s="666"/>
      <c r="BW105" s="666"/>
      <c r="BX105" s="666"/>
      <c r="BY105" s="666"/>
      <c r="BZ105" s="666"/>
      <c r="CA105" s="666"/>
      <c r="CB105" s="666"/>
      <c r="CC105" s="666"/>
      <c r="CD105" s="666"/>
      <c r="CE105" s="666"/>
      <c r="CF105" s="666"/>
      <c r="CG105" s="666"/>
      <c r="CH105" s="666"/>
      <c r="CI105" s="666"/>
    </row>
    <row r="106" spans="1:87" ht="15.75" thickBot="1" x14ac:dyDescent="0.25">
      <c r="B106" s="678" t="s">
        <v>640</v>
      </c>
      <c r="C106" s="679" t="s">
        <v>641</v>
      </c>
      <c r="D106" s="679" t="s">
        <v>642</v>
      </c>
      <c r="E106" s="679" t="s">
        <v>236</v>
      </c>
      <c r="F106" s="680">
        <v>2</v>
      </c>
      <c r="G106" s="681"/>
      <c r="H106" s="682"/>
      <c r="I106" s="1523">
        <v>5.7</v>
      </c>
      <c r="J106" s="1523">
        <v>5.7</v>
      </c>
      <c r="K106" s="1523">
        <v>5.7</v>
      </c>
      <c r="L106" s="1523">
        <v>5.7</v>
      </c>
      <c r="M106" s="1524">
        <v>5.7</v>
      </c>
      <c r="N106" s="1524">
        <v>5.7</v>
      </c>
      <c r="O106" s="1524">
        <v>5.7</v>
      </c>
      <c r="P106" s="1524">
        <v>5.7</v>
      </c>
      <c r="Q106" s="1525">
        <v>1.85</v>
      </c>
      <c r="R106" s="1524">
        <v>1.85</v>
      </c>
      <c r="S106" s="1512">
        <v>0</v>
      </c>
      <c r="T106" s="1522">
        <v>0</v>
      </c>
      <c r="U106" s="1522">
        <v>0</v>
      </c>
      <c r="V106" s="1522">
        <v>0</v>
      </c>
      <c r="W106" s="1522">
        <v>0</v>
      </c>
      <c r="X106" s="1522">
        <v>0</v>
      </c>
      <c r="Y106" s="1522">
        <v>0</v>
      </c>
      <c r="Z106" s="1522">
        <v>0</v>
      </c>
      <c r="AA106" s="1522">
        <v>0</v>
      </c>
      <c r="AB106" s="1522">
        <v>0</v>
      </c>
      <c r="AC106" s="1522">
        <v>0</v>
      </c>
      <c r="AD106" s="1522">
        <v>0</v>
      </c>
      <c r="AE106" s="1522">
        <v>0</v>
      </c>
      <c r="AF106" s="1522">
        <v>0</v>
      </c>
      <c r="AG106" s="1522">
        <v>0</v>
      </c>
      <c r="AH106" s="1522">
        <v>0</v>
      </c>
      <c r="AI106" s="1522">
        <v>0</v>
      </c>
      <c r="AJ106" s="1522">
        <v>0</v>
      </c>
      <c r="AK106" s="1522">
        <v>0</v>
      </c>
      <c r="AL106" s="666"/>
      <c r="AM106" s="666"/>
      <c r="AN106" s="666"/>
      <c r="AO106" s="666"/>
      <c r="AP106" s="666"/>
      <c r="AQ106" s="666"/>
      <c r="AR106" s="666"/>
      <c r="AS106" s="666"/>
      <c r="AT106" s="666"/>
      <c r="AU106" s="666"/>
      <c r="AV106" s="666"/>
      <c r="AW106" s="666"/>
      <c r="AX106" s="666"/>
      <c r="AY106" s="666"/>
      <c r="AZ106" s="666"/>
      <c r="BA106" s="666"/>
      <c r="BB106" s="666"/>
      <c r="BC106" s="666"/>
      <c r="BD106" s="666"/>
      <c r="BE106" s="666"/>
      <c r="BF106" s="666"/>
      <c r="BG106" s="666"/>
      <c r="BH106" s="666"/>
      <c r="BI106" s="666"/>
      <c r="BJ106" s="666"/>
      <c r="BK106" s="666"/>
      <c r="BL106" s="666"/>
      <c r="BM106" s="666"/>
      <c r="BN106" s="666"/>
      <c r="BO106" s="666"/>
      <c r="BP106" s="666"/>
      <c r="BQ106" s="666"/>
      <c r="BR106" s="666"/>
      <c r="BS106" s="666"/>
      <c r="BT106" s="666"/>
      <c r="BU106" s="666"/>
      <c r="BV106" s="666"/>
      <c r="BW106" s="666"/>
      <c r="BX106" s="666"/>
      <c r="BY106" s="666"/>
      <c r="BZ106" s="666"/>
      <c r="CA106" s="666"/>
      <c r="CB106" s="666"/>
      <c r="CC106" s="666"/>
      <c r="CD106" s="666"/>
      <c r="CE106" s="666"/>
      <c r="CF106" s="666"/>
      <c r="CG106" s="666"/>
      <c r="CH106" s="666"/>
      <c r="CI106" s="666"/>
    </row>
    <row r="107" spans="1:87" ht="57" x14ac:dyDescent="0.2">
      <c r="B107" s="684" t="s">
        <v>643</v>
      </c>
      <c r="C107" s="685" t="s">
        <v>644</v>
      </c>
      <c r="D107" s="686" t="s">
        <v>645</v>
      </c>
      <c r="E107" s="685" t="s">
        <v>236</v>
      </c>
      <c r="F107" s="687">
        <v>2</v>
      </c>
      <c r="G107" s="664"/>
      <c r="H107" s="1513"/>
      <c r="I107" s="1513">
        <v>0</v>
      </c>
      <c r="J107" s="1513">
        <v>0</v>
      </c>
      <c r="K107" s="1513">
        <v>0</v>
      </c>
      <c r="L107" s="1513">
        <v>0</v>
      </c>
      <c r="M107" s="665">
        <v>-0.21910496519379308</v>
      </c>
      <c r="N107" s="665">
        <v>-0.43778430821004122</v>
      </c>
      <c r="O107" s="665">
        <v>-0.6564915499654731</v>
      </c>
      <c r="P107" s="665">
        <v>-0.87522193847998153</v>
      </c>
      <c r="Q107" s="665">
        <v>-1.0941919341049626</v>
      </c>
      <c r="R107" s="665">
        <v>-1.5926941438806423</v>
      </c>
      <c r="S107" s="665">
        <v>-2.091417443359525</v>
      </c>
      <c r="T107" s="665">
        <v>-2.5901453721902286</v>
      </c>
      <c r="U107" s="665">
        <v>-3.0888779303727389</v>
      </c>
      <c r="V107" s="665">
        <v>-3.5876151179070703</v>
      </c>
      <c r="W107" s="665">
        <v>-4.0590450243385305</v>
      </c>
      <c r="X107" s="665">
        <v>-4.5304793164717125</v>
      </c>
      <c r="Y107" s="665">
        <v>-5.001917994306595</v>
      </c>
      <c r="Z107" s="665">
        <v>-5.0027684330098765</v>
      </c>
      <c r="AA107" s="665">
        <v>-5.0036232574148869</v>
      </c>
      <c r="AB107" s="665">
        <v>-5.004482467521612</v>
      </c>
      <c r="AC107" s="665">
        <v>-5.0053460633300588</v>
      </c>
      <c r="AD107" s="665">
        <v>-5.0062140448402133</v>
      </c>
      <c r="AE107" s="665">
        <v>-5.0070864120520966</v>
      </c>
      <c r="AF107" s="665">
        <v>-5.0079631649657017</v>
      </c>
      <c r="AG107" s="665">
        <v>-5.0088443035810286</v>
      </c>
      <c r="AH107" s="665">
        <v>-5.0097298278980702</v>
      </c>
      <c r="AI107" s="665">
        <v>-5.0106197379168478</v>
      </c>
      <c r="AJ107" s="665">
        <v>-5.0115140336373329</v>
      </c>
      <c r="AK107" s="665">
        <v>-5.0124127150595328</v>
      </c>
      <c r="AL107" s="665"/>
      <c r="AM107" s="665"/>
      <c r="AN107" s="665"/>
      <c r="AO107" s="665"/>
      <c r="AP107" s="665"/>
      <c r="AQ107" s="665"/>
      <c r="AR107" s="665"/>
      <c r="AS107" s="665"/>
      <c r="AT107" s="665"/>
      <c r="AU107" s="665"/>
      <c r="AV107" s="665"/>
      <c r="AW107" s="665"/>
      <c r="AX107" s="665"/>
      <c r="AY107" s="665"/>
      <c r="AZ107" s="665"/>
      <c r="BA107" s="665"/>
      <c r="BB107" s="665"/>
      <c r="BC107" s="665"/>
      <c r="BD107" s="665"/>
      <c r="BE107" s="665"/>
      <c r="BF107" s="665"/>
      <c r="BG107" s="665"/>
      <c r="BH107" s="665"/>
      <c r="BI107" s="665"/>
      <c r="BJ107" s="665"/>
      <c r="BK107" s="665"/>
      <c r="BL107" s="665"/>
      <c r="BM107" s="665"/>
      <c r="BN107" s="665"/>
      <c r="BO107" s="665"/>
      <c r="BP107" s="665"/>
      <c r="BQ107" s="665"/>
      <c r="BR107" s="665"/>
      <c r="BS107" s="665"/>
      <c r="BT107" s="665"/>
      <c r="BU107" s="665"/>
      <c r="BV107" s="665"/>
      <c r="BW107" s="665"/>
      <c r="BX107" s="665"/>
      <c r="BY107" s="665"/>
      <c r="BZ107" s="665"/>
      <c r="CA107" s="665"/>
      <c r="CB107" s="665"/>
      <c r="CC107" s="665"/>
      <c r="CD107" s="665"/>
      <c r="CE107" s="665"/>
      <c r="CF107" s="665"/>
      <c r="CG107" s="665"/>
      <c r="CH107" s="665"/>
      <c r="CI107" s="665"/>
    </row>
    <row r="108" spans="1:87" ht="57" x14ac:dyDescent="0.2">
      <c r="B108" s="688" t="s">
        <v>646</v>
      </c>
      <c r="C108" s="689" t="s">
        <v>647</v>
      </c>
      <c r="D108" s="690" t="s">
        <v>648</v>
      </c>
      <c r="E108" s="689" t="s">
        <v>236</v>
      </c>
      <c r="F108" s="691">
        <v>2</v>
      </c>
      <c r="G108" s="670"/>
      <c r="H108" s="671"/>
      <c r="I108" s="671">
        <v>0</v>
      </c>
      <c r="J108" s="671">
        <v>0</v>
      </c>
      <c r="K108" s="671">
        <v>0</v>
      </c>
      <c r="L108" s="671">
        <v>0</v>
      </c>
      <c r="M108" s="666">
        <v>-9.02519503767516E-2</v>
      </c>
      <c r="N108" s="666">
        <v>-0.26928051048413149</v>
      </c>
      <c r="O108" s="666">
        <v>-0.44721584689970484</v>
      </c>
      <c r="P108" s="666">
        <v>-0.62500860918259815</v>
      </c>
      <c r="Q108" s="666">
        <v>-0.75757697215088404</v>
      </c>
      <c r="R108" s="666">
        <v>-0.79990125832149506</v>
      </c>
      <c r="S108" s="666">
        <v>-0.79714243979873145</v>
      </c>
      <c r="T108" s="666">
        <v>-0.79438325570126844</v>
      </c>
      <c r="U108" s="666">
        <v>-0.79162370602910637</v>
      </c>
      <c r="V108" s="666">
        <v>-0.788863790782245</v>
      </c>
      <c r="W108" s="666">
        <v>-0.78610350996068457</v>
      </c>
      <c r="X108" s="666">
        <v>-0.78334286356442484</v>
      </c>
      <c r="Y108" s="666">
        <v>-0.78058185159346616</v>
      </c>
      <c r="Z108" s="666">
        <v>-0.77782047404780807</v>
      </c>
      <c r="AA108" s="666">
        <v>-0.77505873092745092</v>
      </c>
      <c r="AB108" s="666">
        <v>-0.77229662223239448</v>
      </c>
      <c r="AC108" s="666">
        <v>-0.76953414796263908</v>
      </c>
      <c r="AD108" s="666">
        <v>-0.76677130811818417</v>
      </c>
      <c r="AE108" s="666">
        <v>-0.76400810269903041</v>
      </c>
      <c r="AF108" s="666">
        <v>-0.76124453170517725</v>
      </c>
      <c r="AG108" s="666">
        <v>-0.75848059513662491</v>
      </c>
      <c r="AH108" s="666">
        <v>-0.75571629299337351</v>
      </c>
      <c r="AI108" s="666">
        <v>-0.75295162527542292</v>
      </c>
      <c r="AJ108" s="666">
        <v>-0.75018659198277304</v>
      </c>
      <c r="AK108" s="666">
        <v>-0.7474211931154241</v>
      </c>
      <c r="AL108" s="666"/>
      <c r="AM108" s="666"/>
      <c r="AN108" s="666"/>
      <c r="AO108" s="666"/>
      <c r="AP108" s="666"/>
      <c r="AQ108" s="666"/>
      <c r="AR108" s="666"/>
      <c r="AS108" s="666"/>
      <c r="AT108" s="666"/>
      <c r="AU108" s="666"/>
      <c r="AV108" s="666"/>
      <c r="AW108" s="666"/>
      <c r="AX108" s="666"/>
      <c r="AY108" s="666"/>
      <c r="AZ108" s="666"/>
      <c r="BA108" s="666"/>
      <c r="BB108" s="666"/>
      <c r="BC108" s="666"/>
      <c r="BD108" s="666"/>
      <c r="BE108" s="666"/>
      <c r="BF108" s="666"/>
      <c r="BG108" s="666"/>
      <c r="BH108" s="666"/>
      <c r="BI108" s="666"/>
      <c r="BJ108" s="666"/>
      <c r="BK108" s="666"/>
      <c r="BL108" s="666"/>
      <c r="BM108" s="666"/>
      <c r="BN108" s="666"/>
      <c r="BO108" s="666"/>
      <c r="BP108" s="666"/>
      <c r="BQ108" s="666"/>
      <c r="BR108" s="666"/>
      <c r="BS108" s="666"/>
      <c r="BT108" s="666"/>
      <c r="BU108" s="666"/>
      <c r="BV108" s="666"/>
      <c r="BW108" s="666"/>
      <c r="BX108" s="666"/>
      <c r="BY108" s="666"/>
      <c r="BZ108" s="666"/>
      <c r="CA108" s="666"/>
      <c r="CB108" s="666"/>
      <c r="CC108" s="666"/>
      <c r="CD108" s="666"/>
      <c r="CE108" s="666"/>
      <c r="CF108" s="666"/>
      <c r="CG108" s="666"/>
      <c r="CH108" s="666"/>
      <c r="CI108" s="666"/>
    </row>
    <row r="109" spans="1:87" ht="57" x14ac:dyDescent="0.2">
      <c r="B109" s="688" t="s">
        <v>649</v>
      </c>
      <c r="C109" s="689" t="s">
        <v>650</v>
      </c>
      <c r="D109" s="690" t="s">
        <v>651</v>
      </c>
      <c r="E109" s="689" t="s">
        <v>236</v>
      </c>
      <c r="F109" s="691">
        <v>2</v>
      </c>
      <c r="G109" s="670"/>
      <c r="H109" s="671"/>
      <c r="I109" s="671">
        <v>0</v>
      </c>
      <c r="J109" s="671">
        <v>0</v>
      </c>
      <c r="K109" s="671">
        <v>0</v>
      </c>
      <c r="L109" s="671">
        <v>0</v>
      </c>
      <c r="M109" s="666">
        <v>5.4911694578694892</v>
      </c>
      <c r="N109" s="666">
        <v>16.01518965726018</v>
      </c>
      <c r="O109" s="666">
        <v>21.098144235218712</v>
      </c>
      <c r="P109" s="666">
        <v>24.140725012134084</v>
      </c>
      <c r="Q109" s="666">
        <v>27.719581480598805</v>
      </c>
      <c r="R109" s="666">
        <v>30.791190575905944</v>
      </c>
      <c r="S109" s="666">
        <v>33.206744117570651</v>
      </c>
      <c r="T109" s="666">
        <v>35.543908394072986</v>
      </c>
      <c r="U109" s="666">
        <v>37.133426630006511</v>
      </c>
      <c r="V109" s="666">
        <v>38.685106275821482</v>
      </c>
      <c r="W109" s="666">
        <v>38.333286605181598</v>
      </c>
      <c r="X109" s="666">
        <v>35.048463599770514</v>
      </c>
      <c r="Y109" s="666">
        <v>31.63082907920284</v>
      </c>
      <c r="Z109" s="666">
        <v>28.22711632109926</v>
      </c>
      <c r="AA109" s="666">
        <v>24.81945263338676</v>
      </c>
      <c r="AB109" s="666">
        <v>21.246784710000668</v>
      </c>
      <c r="AC109" s="666">
        <v>17.96127529914898</v>
      </c>
      <c r="AD109" s="666">
        <v>14.695689837284078</v>
      </c>
      <c r="AE109" s="666">
        <v>12.190382155342292</v>
      </c>
      <c r="AF109" s="666">
        <v>9.6791541687530867</v>
      </c>
      <c r="AG109" s="666">
        <v>8.6383520079207869</v>
      </c>
      <c r="AH109" s="666">
        <v>7.4548779488243042</v>
      </c>
      <c r="AI109" s="666">
        <v>6.4390296631750914</v>
      </c>
      <c r="AJ109" s="666">
        <v>5.3578559610777177</v>
      </c>
      <c r="AK109" s="666">
        <v>4.3525721543585689</v>
      </c>
      <c r="AL109" s="666"/>
      <c r="AM109" s="666"/>
      <c r="AN109" s="666"/>
      <c r="AO109" s="666"/>
      <c r="AP109" s="666"/>
      <c r="AQ109" s="666"/>
      <c r="AR109" s="666"/>
      <c r="AS109" s="666"/>
      <c r="AT109" s="666"/>
      <c r="AU109" s="666"/>
      <c r="AV109" s="666"/>
      <c r="AW109" s="666"/>
      <c r="AX109" s="666"/>
      <c r="AY109" s="666"/>
      <c r="AZ109" s="666"/>
      <c r="BA109" s="666"/>
      <c r="BB109" s="666"/>
      <c r="BC109" s="666"/>
      <c r="BD109" s="666"/>
      <c r="BE109" s="666"/>
      <c r="BF109" s="666"/>
      <c r="BG109" s="666"/>
      <c r="BH109" s="666"/>
      <c r="BI109" s="666"/>
      <c r="BJ109" s="666"/>
      <c r="BK109" s="666"/>
      <c r="BL109" s="666"/>
      <c r="BM109" s="666"/>
      <c r="BN109" s="666"/>
      <c r="BO109" s="666"/>
      <c r="BP109" s="666"/>
      <c r="BQ109" s="666"/>
      <c r="BR109" s="666"/>
      <c r="BS109" s="666"/>
      <c r="BT109" s="666"/>
      <c r="BU109" s="666"/>
      <c r="BV109" s="666"/>
      <c r="BW109" s="666"/>
      <c r="BX109" s="666"/>
      <c r="BY109" s="666"/>
      <c r="BZ109" s="666"/>
      <c r="CA109" s="666"/>
      <c r="CB109" s="666"/>
      <c r="CC109" s="666"/>
      <c r="CD109" s="666"/>
      <c r="CE109" s="666"/>
      <c r="CF109" s="666"/>
      <c r="CG109" s="666"/>
      <c r="CH109" s="666"/>
      <c r="CI109" s="666"/>
    </row>
    <row r="110" spans="1:87" ht="57" x14ac:dyDescent="0.2">
      <c r="B110" s="688" t="s">
        <v>652</v>
      </c>
      <c r="C110" s="689" t="s">
        <v>653</v>
      </c>
      <c r="D110" s="690" t="s">
        <v>654</v>
      </c>
      <c r="E110" s="689" t="s">
        <v>236</v>
      </c>
      <c r="F110" s="691">
        <v>2</v>
      </c>
      <c r="G110" s="670"/>
      <c r="H110" s="671"/>
      <c r="I110" s="671">
        <v>0</v>
      </c>
      <c r="J110" s="671">
        <v>0</v>
      </c>
      <c r="K110" s="671">
        <v>0</v>
      </c>
      <c r="L110" s="671">
        <v>0</v>
      </c>
      <c r="M110" s="666">
        <v>-8.1276273750944483</v>
      </c>
      <c r="N110" s="666">
        <v>-20.849198048949674</v>
      </c>
      <c r="O110" s="666">
        <v>-29.048640312662172</v>
      </c>
      <c r="P110" s="666">
        <v>-35.811757192416358</v>
      </c>
      <c r="Q110" s="666">
        <v>-43.120690939849815</v>
      </c>
      <c r="R110" s="666">
        <v>-49.794901776372392</v>
      </c>
      <c r="S110" s="666">
        <v>-55.807286725085582</v>
      </c>
      <c r="T110" s="666">
        <v>-61.651519056832562</v>
      </c>
      <c r="U110" s="666">
        <v>-67.372157812492802</v>
      </c>
      <c r="V110" s="666">
        <v>-72.936673620906276</v>
      </c>
      <c r="W110" s="666">
        <v>-75.3435407637933</v>
      </c>
      <c r="X110" s="666">
        <v>-74.664244490034363</v>
      </c>
      <c r="Y110" s="666">
        <v>-73.991784362848406</v>
      </c>
      <c r="Z110" s="666">
        <v>-73.338525730053732</v>
      </c>
      <c r="AA110" s="666">
        <v>-72.686674521385726</v>
      </c>
      <c r="AB110" s="666">
        <v>-72.046103165740618</v>
      </c>
      <c r="AC110" s="666">
        <v>-71.411598054727008</v>
      </c>
      <c r="AD110" s="666">
        <v>-70.800508611509599</v>
      </c>
      <c r="AE110" s="666">
        <v>-70.175825918550132</v>
      </c>
      <c r="AF110" s="666">
        <v>-69.562756215679087</v>
      </c>
      <c r="AG110" s="666">
        <v>-68.305678474689529</v>
      </c>
      <c r="AH110" s="666">
        <v>-67.691687157996284</v>
      </c>
      <c r="AI110" s="666">
        <v>-67.083185651342646</v>
      </c>
      <c r="AJ110" s="666">
        <v>-66.485863904119284</v>
      </c>
      <c r="AK110" s="666">
        <v>-65.893676348222812</v>
      </c>
      <c r="AL110" s="666"/>
      <c r="AM110" s="666"/>
      <c r="AN110" s="666"/>
      <c r="AO110" s="666"/>
      <c r="AP110" s="666"/>
      <c r="AQ110" s="666"/>
      <c r="AR110" s="666"/>
      <c r="AS110" s="666"/>
      <c r="AT110" s="666"/>
      <c r="AU110" s="666"/>
      <c r="AV110" s="666"/>
      <c r="AW110" s="666"/>
      <c r="AX110" s="666"/>
      <c r="AY110" s="666"/>
      <c r="AZ110" s="666"/>
      <c r="BA110" s="666"/>
      <c r="BB110" s="666"/>
      <c r="BC110" s="666"/>
      <c r="BD110" s="666"/>
      <c r="BE110" s="666"/>
      <c r="BF110" s="666"/>
      <c r="BG110" s="666"/>
      <c r="BH110" s="666"/>
      <c r="BI110" s="666"/>
      <c r="BJ110" s="666"/>
      <c r="BK110" s="666"/>
      <c r="BL110" s="666"/>
      <c r="BM110" s="666"/>
      <c r="BN110" s="666"/>
      <c r="BO110" s="666"/>
      <c r="BP110" s="666"/>
      <c r="BQ110" s="666"/>
      <c r="BR110" s="666"/>
      <c r="BS110" s="666"/>
      <c r="BT110" s="666"/>
      <c r="BU110" s="666"/>
      <c r="BV110" s="666"/>
      <c r="BW110" s="666"/>
      <c r="BX110" s="666"/>
      <c r="BY110" s="666"/>
      <c r="BZ110" s="666"/>
      <c r="CA110" s="666"/>
      <c r="CB110" s="666"/>
      <c r="CC110" s="666"/>
      <c r="CD110" s="666"/>
      <c r="CE110" s="666"/>
      <c r="CF110" s="666"/>
      <c r="CG110" s="666"/>
      <c r="CH110" s="666"/>
      <c r="CI110" s="666"/>
    </row>
    <row r="111" spans="1:87" ht="28.5" x14ac:dyDescent="0.2">
      <c r="B111" s="688" t="s">
        <v>655</v>
      </c>
      <c r="C111" s="689" t="s">
        <v>656</v>
      </c>
      <c r="D111" s="690" t="s">
        <v>657</v>
      </c>
      <c r="E111" s="689" t="s">
        <v>236</v>
      </c>
      <c r="F111" s="691">
        <v>2</v>
      </c>
      <c r="G111" s="670"/>
      <c r="H111" s="671"/>
      <c r="I111" s="671">
        <v>0</v>
      </c>
      <c r="J111" s="671">
        <v>0</v>
      </c>
      <c r="K111" s="671">
        <v>0</v>
      </c>
      <c r="L111" s="671">
        <v>0</v>
      </c>
      <c r="M111" s="666">
        <v>6.3423636791082316E-4</v>
      </c>
      <c r="N111" s="666">
        <v>1.8252934904738893E-3</v>
      </c>
      <c r="O111" s="666">
        <v>2.9593902354330126E-3</v>
      </c>
      <c r="P111" s="666">
        <v>4.1343974517040749E-3</v>
      </c>
      <c r="Q111" s="666">
        <v>5.0747791990346514E-3</v>
      </c>
      <c r="R111" s="666">
        <v>5.4937900680336327E-3</v>
      </c>
      <c r="S111" s="666">
        <v>5.646510763296142E-3</v>
      </c>
      <c r="T111" s="666">
        <v>5.7992314585586513E-3</v>
      </c>
      <c r="U111" s="666">
        <v>5.9519521538211606E-3</v>
      </c>
      <c r="V111" s="666">
        <v>6.1046728490836699E-3</v>
      </c>
      <c r="W111" s="666">
        <v>6.1697224043264498E-3</v>
      </c>
      <c r="X111" s="666">
        <v>6.1471008195503885E-3</v>
      </c>
      <c r="Y111" s="666">
        <v>6.1244792347734389E-3</v>
      </c>
      <c r="Z111" s="666">
        <v>6.1018576499956012E-3</v>
      </c>
      <c r="AA111" s="666">
        <v>6.0792360652195399E-3</v>
      </c>
      <c r="AB111" s="666">
        <v>6.0566144804425903E-3</v>
      </c>
      <c r="AC111" s="666">
        <v>6.0339928956656408E-3</v>
      </c>
      <c r="AD111" s="666">
        <v>6.0113713108886913E-3</v>
      </c>
      <c r="AE111" s="666">
        <v>5.9887497261117417E-3</v>
      </c>
      <c r="AF111" s="666">
        <v>5.9661281413356804E-3</v>
      </c>
      <c r="AG111" s="666">
        <v>5.9435065565578427E-3</v>
      </c>
      <c r="AH111" s="666">
        <v>5.9208849717808931E-3</v>
      </c>
      <c r="AI111" s="666">
        <v>5.8982633870039436E-3</v>
      </c>
      <c r="AJ111" s="666">
        <v>5.8756418022269941E-3</v>
      </c>
      <c r="AK111" s="666">
        <v>5.8530202174509327E-3</v>
      </c>
      <c r="AL111" s="666"/>
      <c r="AM111" s="666"/>
      <c r="AN111" s="666"/>
      <c r="AO111" s="666"/>
      <c r="AP111" s="666"/>
      <c r="AQ111" s="666"/>
      <c r="AR111" s="666"/>
      <c r="AS111" s="666"/>
      <c r="AT111" s="666"/>
      <c r="AU111" s="666"/>
      <c r="AV111" s="666"/>
      <c r="AW111" s="666"/>
      <c r="AX111" s="666"/>
      <c r="AY111" s="666"/>
      <c r="AZ111" s="666"/>
      <c r="BA111" s="666"/>
      <c r="BB111" s="666"/>
      <c r="BC111" s="666"/>
      <c r="BD111" s="666"/>
      <c r="BE111" s="666"/>
      <c r="BF111" s="666"/>
      <c r="BG111" s="666"/>
      <c r="BH111" s="666"/>
      <c r="BI111" s="666"/>
      <c r="BJ111" s="666"/>
      <c r="BK111" s="666"/>
      <c r="BL111" s="666"/>
      <c r="BM111" s="666"/>
      <c r="BN111" s="666"/>
      <c r="BO111" s="666"/>
      <c r="BP111" s="666"/>
      <c r="BQ111" s="666"/>
      <c r="BR111" s="666"/>
      <c r="BS111" s="666"/>
      <c r="BT111" s="666"/>
      <c r="BU111" s="666"/>
      <c r="BV111" s="666"/>
      <c r="BW111" s="666"/>
      <c r="BX111" s="666"/>
      <c r="BY111" s="666"/>
      <c r="BZ111" s="666"/>
      <c r="CA111" s="666"/>
      <c r="CB111" s="666"/>
      <c r="CC111" s="666"/>
      <c r="CD111" s="666"/>
      <c r="CE111" s="666"/>
      <c r="CF111" s="666"/>
      <c r="CG111" s="666"/>
      <c r="CH111" s="666"/>
      <c r="CI111" s="666"/>
    </row>
    <row r="112" spans="1:87" ht="29.25" thickBot="1" x14ac:dyDescent="0.25">
      <c r="B112" s="692" t="s">
        <v>658</v>
      </c>
      <c r="C112" s="693" t="s">
        <v>659</v>
      </c>
      <c r="D112" s="693" t="s">
        <v>660</v>
      </c>
      <c r="E112" s="693" t="s">
        <v>236</v>
      </c>
      <c r="F112" s="694">
        <v>2</v>
      </c>
      <c r="G112" s="695"/>
      <c r="H112" s="682"/>
      <c r="I112" s="682">
        <v>0</v>
      </c>
      <c r="J112" s="682">
        <v>0</v>
      </c>
      <c r="K112" s="682">
        <v>0</v>
      </c>
      <c r="L112" s="682">
        <v>0</v>
      </c>
      <c r="M112" s="696">
        <v>0</v>
      </c>
      <c r="N112" s="696">
        <v>0</v>
      </c>
      <c r="O112" s="696">
        <v>0</v>
      </c>
      <c r="P112" s="696">
        <v>0</v>
      </c>
      <c r="Q112" s="696">
        <v>0</v>
      </c>
      <c r="R112" s="696">
        <v>0</v>
      </c>
      <c r="S112" s="696">
        <v>0</v>
      </c>
      <c r="T112" s="696">
        <v>0</v>
      </c>
      <c r="U112" s="696">
        <v>0</v>
      </c>
      <c r="V112" s="696">
        <v>0</v>
      </c>
      <c r="W112" s="696">
        <v>0</v>
      </c>
      <c r="X112" s="696">
        <v>0</v>
      </c>
      <c r="Y112" s="696">
        <v>0</v>
      </c>
      <c r="Z112" s="696">
        <v>0</v>
      </c>
      <c r="AA112" s="696">
        <v>0</v>
      </c>
      <c r="AB112" s="696">
        <v>0</v>
      </c>
      <c r="AC112" s="696">
        <v>0</v>
      </c>
      <c r="AD112" s="696">
        <v>0</v>
      </c>
      <c r="AE112" s="696">
        <v>0</v>
      </c>
      <c r="AF112" s="696">
        <v>0</v>
      </c>
      <c r="AG112" s="696">
        <v>0</v>
      </c>
      <c r="AH112" s="696">
        <v>0</v>
      </c>
      <c r="AI112" s="696">
        <v>0</v>
      </c>
      <c r="AJ112" s="696">
        <v>0</v>
      </c>
      <c r="AK112" s="696">
        <v>0</v>
      </c>
      <c r="AL112" s="696"/>
      <c r="AM112" s="696"/>
      <c r="AN112" s="696"/>
      <c r="AO112" s="696"/>
      <c r="AP112" s="696"/>
      <c r="AQ112" s="696"/>
      <c r="AR112" s="696"/>
      <c r="AS112" s="696"/>
      <c r="AT112" s="696"/>
      <c r="AU112" s="696"/>
      <c r="AV112" s="696"/>
      <c r="AW112" s="696"/>
      <c r="AX112" s="696"/>
      <c r="AY112" s="696"/>
      <c r="AZ112" s="696"/>
      <c r="BA112" s="696"/>
      <c r="BB112" s="696"/>
      <c r="BC112" s="696"/>
      <c r="BD112" s="696"/>
      <c r="BE112" s="696"/>
      <c r="BF112" s="696"/>
      <c r="BG112" s="696"/>
      <c r="BH112" s="696"/>
      <c r="BI112" s="696"/>
      <c r="BJ112" s="696"/>
      <c r="BK112" s="696"/>
      <c r="BL112" s="696"/>
      <c r="BM112" s="696"/>
      <c r="BN112" s="696"/>
      <c r="BO112" s="696"/>
      <c r="BP112" s="696"/>
      <c r="BQ112" s="696"/>
      <c r="BR112" s="696"/>
      <c r="BS112" s="696"/>
      <c r="BT112" s="696"/>
      <c r="BU112" s="696"/>
      <c r="BV112" s="696"/>
      <c r="BW112" s="696"/>
      <c r="BX112" s="696"/>
      <c r="BY112" s="696"/>
      <c r="BZ112" s="696"/>
      <c r="CA112" s="696"/>
      <c r="CB112" s="696"/>
      <c r="CC112" s="696"/>
      <c r="CD112" s="696"/>
      <c r="CE112" s="696"/>
      <c r="CF112" s="696"/>
      <c r="CG112" s="696"/>
      <c r="CH112" s="696"/>
      <c r="CI112" s="696"/>
    </row>
    <row r="113" spans="2:89" ht="28.5" x14ac:dyDescent="0.2">
      <c r="B113" s="697" t="s">
        <v>661</v>
      </c>
      <c r="C113" s="698" t="s">
        <v>662</v>
      </c>
      <c r="D113" s="699" t="s">
        <v>663</v>
      </c>
      <c r="E113" s="698" t="s">
        <v>236</v>
      </c>
      <c r="F113" s="700">
        <v>2</v>
      </c>
      <c r="G113" s="664"/>
      <c r="H113" s="671"/>
      <c r="I113" s="671">
        <v>0</v>
      </c>
      <c r="J113" s="671">
        <v>0</v>
      </c>
      <c r="K113" s="671">
        <v>0</v>
      </c>
      <c r="L113" s="671">
        <v>0</v>
      </c>
      <c r="M113" s="665">
        <v>-1.312801708751643E-3</v>
      </c>
      <c r="N113" s="665">
        <v>-6.7990203445683628E-4</v>
      </c>
      <c r="O113" s="665">
        <v>-1.7453945357548406E-4</v>
      </c>
      <c r="P113" s="665">
        <v>2.2500937151814782E-4</v>
      </c>
      <c r="Q113" s="665">
        <v>-4.7078859407123641E-4</v>
      </c>
      <c r="R113" s="665">
        <v>-3.2091408829239554E-3</v>
      </c>
      <c r="S113" s="665">
        <v>-6.9581889578292921E-3</v>
      </c>
      <c r="T113" s="665">
        <v>-1.0728399783892284E-2</v>
      </c>
      <c r="U113" s="665">
        <v>-1.4519773361112764E-2</v>
      </c>
      <c r="V113" s="665">
        <v>-1.8332309689490789E-2</v>
      </c>
      <c r="W113" s="665">
        <v>-2.2159882709480827E-2</v>
      </c>
      <c r="X113" s="665">
        <v>-2.6007504651620161E-2</v>
      </c>
      <c r="Y113" s="665">
        <v>-2.9875175515908792E-2</v>
      </c>
      <c r="Z113" s="665">
        <v>-3.3762895302346607E-2</v>
      </c>
      <c r="AA113" s="665">
        <v>-3.7670664010933719E-2</v>
      </c>
      <c r="AB113" s="665">
        <v>-4.1598481641670182E-2</v>
      </c>
      <c r="AC113" s="665">
        <v>-4.554634819455583E-2</v>
      </c>
      <c r="AD113" s="665">
        <v>-4.9514263669590775E-2</v>
      </c>
      <c r="AE113" s="665">
        <v>-5.3502228066775182E-2</v>
      </c>
      <c r="AF113" s="665">
        <v>-5.7510241386108552E-2</v>
      </c>
      <c r="AG113" s="665">
        <v>-6.153830362759144E-2</v>
      </c>
      <c r="AH113" s="665">
        <v>-6.5586414791223457E-2</v>
      </c>
      <c r="AI113" s="665">
        <v>-6.9654574877004993E-2</v>
      </c>
      <c r="AJ113" s="665">
        <v>-7.3742783884935548E-2</v>
      </c>
      <c r="AK113" s="665">
        <v>-7.7851041815015121E-2</v>
      </c>
      <c r="AL113" s="665"/>
      <c r="AM113" s="665"/>
      <c r="AN113" s="665"/>
      <c r="AO113" s="665"/>
      <c r="AP113" s="665"/>
      <c r="AQ113" s="665"/>
      <c r="AR113" s="665"/>
      <c r="AS113" s="665"/>
      <c r="AT113" s="665"/>
      <c r="AU113" s="665"/>
      <c r="AV113" s="665"/>
      <c r="AW113" s="665"/>
      <c r="AX113" s="665"/>
      <c r="AY113" s="665"/>
      <c r="AZ113" s="665"/>
      <c r="BA113" s="665"/>
      <c r="BB113" s="665"/>
      <c r="BC113" s="665"/>
      <c r="BD113" s="665"/>
      <c r="BE113" s="665"/>
      <c r="BF113" s="665"/>
      <c r="BG113" s="665"/>
      <c r="BH113" s="665"/>
      <c r="BI113" s="665"/>
      <c r="BJ113" s="665"/>
      <c r="BK113" s="665"/>
      <c r="BL113" s="665"/>
      <c r="BM113" s="665"/>
      <c r="BN113" s="665"/>
      <c r="BO113" s="665"/>
      <c r="BP113" s="665"/>
      <c r="BQ113" s="665"/>
      <c r="BR113" s="665"/>
      <c r="BS113" s="665"/>
      <c r="BT113" s="665"/>
      <c r="BU113" s="665"/>
      <c r="BV113" s="665"/>
      <c r="BW113" s="665"/>
      <c r="BX113" s="665"/>
      <c r="BY113" s="665"/>
      <c r="BZ113" s="665"/>
      <c r="CA113" s="665"/>
      <c r="CB113" s="665"/>
      <c r="CC113" s="665"/>
      <c r="CD113" s="665"/>
      <c r="CE113" s="665"/>
      <c r="CF113" s="665"/>
      <c r="CG113" s="665"/>
      <c r="CH113" s="665"/>
      <c r="CI113" s="665"/>
    </row>
    <row r="114" spans="2:89" ht="28.5" x14ac:dyDescent="0.2">
      <c r="B114" s="674" t="s">
        <v>664</v>
      </c>
      <c r="C114" s="675" t="s">
        <v>665</v>
      </c>
      <c r="D114" s="676" t="s">
        <v>666</v>
      </c>
      <c r="E114" s="675" t="s">
        <v>236</v>
      </c>
      <c r="F114" s="677">
        <v>2</v>
      </c>
      <c r="G114" s="670"/>
      <c r="H114" s="671"/>
      <c r="I114" s="671">
        <v>0</v>
      </c>
      <c r="J114" s="671">
        <v>0</v>
      </c>
      <c r="K114" s="671">
        <v>0</v>
      </c>
      <c r="L114" s="671">
        <v>0</v>
      </c>
      <c r="M114" s="666">
        <v>-3.784450376751701E-3</v>
      </c>
      <c r="N114" s="666">
        <v>-1.0793010484131515E-2</v>
      </c>
      <c r="O114" s="666">
        <v>-1.7623346899704857E-2</v>
      </c>
      <c r="P114" s="666">
        <v>-2.4311109182598288E-2</v>
      </c>
      <c r="Q114" s="666">
        <v>-2.9236972150884125E-2</v>
      </c>
      <c r="R114" s="666">
        <v>-3.084375832149518E-2</v>
      </c>
      <c r="S114" s="666">
        <v>-3.0829939798731415E-2</v>
      </c>
      <c r="T114" s="666">
        <v>-3.0815755701268488E-2</v>
      </c>
      <c r="U114" s="666">
        <v>-3.0801206029106375E-2</v>
      </c>
      <c r="V114" s="666">
        <v>-3.0786290782245082E-2</v>
      </c>
      <c r="W114" s="666">
        <v>-3.077100996068461E-2</v>
      </c>
      <c r="X114" s="666">
        <v>-3.0755363564424959E-2</v>
      </c>
      <c r="Y114" s="666">
        <v>-3.0739351593466122E-2</v>
      </c>
      <c r="Z114" s="666">
        <v>-3.0722974047808105E-2</v>
      </c>
      <c r="AA114" s="666">
        <v>-3.0706230927450923E-2</v>
      </c>
      <c r="AB114" s="666">
        <v>-3.0689122232394547E-2</v>
      </c>
      <c r="AC114" s="666">
        <v>-3.0671647962639007E-2</v>
      </c>
      <c r="AD114" s="666">
        <v>-3.0653808118184273E-2</v>
      </c>
      <c r="AE114" s="666">
        <v>-3.0635602699030366E-2</v>
      </c>
      <c r="AF114" s="666">
        <v>-3.0617031705177277E-2</v>
      </c>
      <c r="AG114" s="666">
        <v>-3.0598095136625012E-2</v>
      </c>
      <c r="AH114" s="666">
        <v>-3.0578792993373568E-2</v>
      </c>
      <c r="AI114" s="666">
        <v>-3.0559125275422944E-2</v>
      </c>
      <c r="AJ114" s="666">
        <v>-3.0539091982773135E-2</v>
      </c>
      <c r="AK114" s="666">
        <v>-3.0518693115424152E-2</v>
      </c>
      <c r="AL114" s="666"/>
      <c r="AM114" s="666"/>
      <c r="AN114" s="666"/>
      <c r="AO114" s="666"/>
      <c r="AP114" s="666"/>
      <c r="AQ114" s="666"/>
      <c r="AR114" s="666"/>
      <c r="AS114" s="666"/>
      <c r="AT114" s="666"/>
      <c r="AU114" s="666"/>
      <c r="AV114" s="666"/>
      <c r="AW114" s="666"/>
      <c r="AX114" s="666"/>
      <c r="AY114" s="666"/>
      <c r="AZ114" s="666"/>
      <c r="BA114" s="666"/>
      <c r="BB114" s="666"/>
      <c r="BC114" s="666"/>
      <c r="BD114" s="666"/>
      <c r="BE114" s="666"/>
      <c r="BF114" s="666"/>
      <c r="BG114" s="666"/>
      <c r="BH114" s="666"/>
      <c r="BI114" s="666"/>
      <c r="BJ114" s="666"/>
      <c r="BK114" s="666"/>
      <c r="BL114" s="666"/>
      <c r="BM114" s="666"/>
      <c r="BN114" s="666"/>
      <c r="BO114" s="666"/>
      <c r="BP114" s="666"/>
      <c r="BQ114" s="666"/>
      <c r="BR114" s="666"/>
      <c r="BS114" s="666"/>
      <c r="BT114" s="666"/>
      <c r="BU114" s="666"/>
      <c r="BV114" s="666"/>
      <c r="BW114" s="666"/>
      <c r="BX114" s="666"/>
      <c r="BY114" s="666"/>
      <c r="BZ114" s="666"/>
      <c r="CA114" s="666"/>
      <c r="CB114" s="666"/>
      <c r="CC114" s="666"/>
      <c r="CD114" s="666"/>
      <c r="CE114" s="666"/>
      <c r="CF114" s="666"/>
      <c r="CG114" s="666"/>
      <c r="CH114" s="666"/>
      <c r="CI114" s="666"/>
    </row>
    <row r="115" spans="2:89" ht="28.5" x14ac:dyDescent="0.2">
      <c r="B115" s="674" t="s">
        <v>667</v>
      </c>
      <c r="C115" s="675" t="s">
        <v>668</v>
      </c>
      <c r="D115" s="676" t="s">
        <v>669</v>
      </c>
      <c r="E115" s="675" t="s">
        <v>236</v>
      </c>
      <c r="F115" s="677">
        <v>2</v>
      </c>
      <c r="G115" s="670"/>
      <c r="H115" s="671"/>
      <c r="I115" s="671">
        <v>0</v>
      </c>
      <c r="J115" s="671">
        <v>0</v>
      </c>
      <c r="K115" s="671">
        <v>0</v>
      </c>
      <c r="L115" s="671">
        <v>0</v>
      </c>
      <c r="M115" s="666">
        <v>-7.1021031630576381E-2</v>
      </c>
      <c r="N115" s="666">
        <v>-0.19287650781801169</v>
      </c>
      <c r="O115" s="666">
        <v>-0.27802807895861292</v>
      </c>
      <c r="P115" s="666">
        <v>-0.28205419176334523</v>
      </c>
      <c r="Q115" s="666">
        <v>-0.27728893270731092</v>
      </c>
      <c r="R115" s="666">
        <v>-0.27500915850481178</v>
      </c>
      <c r="S115" s="666">
        <v>-0.27583049130389092</v>
      </c>
      <c r="T115" s="666">
        <v>-0.27972031433186118</v>
      </c>
      <c r="U115" s="666">
        <v>-0.2862904826005721</v>
      </c>
      <c r="V115" s="666">
        <v>-0.29670142550815193</v>
      </c>
      <c r="W115" s="666">
        <v>-0.35104847351277524</v>
      </c>
      <c r="X115" s="666">
        <v>-0.44770319785914392</v>
      </c>
      <c r="Y115" s="666">
        <v>-0.54554637345649937</v>
      </c>
      <c r="Z115" s="666">
        <v>-0.64459916899843073</v>
      </c>
      <c r="AA115" s="666">
        <v>-0.74489631063151407</v>
      </c>
      <c r="AB115" s="666">
        <v>-0.84646590156657808</v>
      </c>
      <c r="AC115" s="666">
        <v>-0.94935460987664211</v>
      </c>
      <c r="AD115" s="666">
        <v>-1.0535935895734125</v>
      </c>
      <c r="AE115" s="666">
        <v>-1.1592160530696294</v>
      </c>
      <c r="AF115" s="666">
        <v>-1.2662578031566056</v>
      </c>
      <c r="AG115" s="666">
        <v>-1.374738916837221</v>
      </c>
      <c r="AH115" s="666">
        <v>-1.4846959731779332</v>
      </c>
      <c r="AI115" s="666">
        <v>-1.5961596997814294</v>
      </c>
      <c r="AJ115" s="666">
        <v>-1.7091598581454104</v>
      </c>
      <c r="AK115" s="666">
        <v>-1.8237237479702388</v>
      </c>
      <c r="AL115" s="666"/>
      <c r="AM115" s="666"/>
      <c r="AN115" s="666"/>
      <c r="AO115" s="666"/>
      <c r="AP115" s="666"/>
      <c r="AQ115" s="666"/>
      <c r="AR115" s="666"/>
      <c r="AS115" s="666"/>
      <c r="AT115" s="666"/>
      <c r="AU115" s="666"/>
      <c r="AV115" s="666"/>
      <c r="AW115" s="666"/>
      <c r="AX115" s="666"/>
      <c r="AY115" s="666"/>
      <c r="AZ115" s="666"/>
      <c r="BA115" s="666"/>
      <c r="BB115" s="666"/>
      <c r="BC115" s="666"/>
      <c r="BD115" s="666"/>
      <c r="BE115" s="666"/>
      <c r="BF115" s="666"/>
      <c r="BG115" s="666"/>
      <c r="BH115" s="666"/>
      <c r="BI115" s="666"/>
      <c r="BJ115" s="666"/>
      <c r="BK115" s="666"/>
      <c r="BL115" s="666"/>
      <c r="BM115" s="666"/>
      <c r="BN115" s="666"/>
      <c r="BO115" s="666"/>
      <c r="BP115" s="666"/>
      <c r="BQ115" s="666"/>
      <c r="BR115" s="666"/>
      <c r="BS115" s="666"/>
      <c r="BT115" s="666"/>
      <c r="BU115" s="666"/>
      <c r="BV115" s="666"/>
      <c r="BW115" s="666"/>
      <c r="BX115" s="666"/>
      <c r="BY115" s="666"/>
      <c r="BZ115" s="666"/>
      <c r="CA115" s="666"/>
      <c r="CB115" s="666"/>
      <c r="CC115" s="666"/>
      <c r="CD115" s="666"/>
      <c r="CE115" s="666"/>
      <c r="CF115" s="666"/>
      <c r="CG115" s="666"/>
      <c r="CH115" s="666"/>
      <c r="CI115" s="666"/>
    </row>
    <row r="116" spans="2:89" ht="28.5" x14ac:dyDescent="0.2">
      <c r="B116" s="674" t="s">
        <v>670</v>
      </c>
      <c r="C116" s="675" t="s">
        <v>671</v>
      </c>
      <c r="D116" s="676" t="s">
        <v>672</v>
      </c>
      <c r="E116" s="675" t="s">
        <v>236</v>
      </c>
      <c r="F116" s="677">
        <v>2</v>
      </c>
      <c r="G116" s="670"/>
      <c r="H116" s="671"/>
      <c r="I116" s="671">
        <v>0</v>
      </c>
      <c r="J116" s="671">
        <v>0</v>
      </c>
      <c r="K116" s="671">
        <v>0</v>
      </c>
      <c r="L116" s="671">
        <v>0</v>
      </c>
      <c r="M116" s="666">
        <v>-0.21707665318429825</v>
      </c>
      <c r="N116" s="666">
        <v>-0.48494393803390379</v>
      </c>
      <c r="O116" s="666">
        <v>-0.67300403818610866</v>
      </c>
      <c r="P116" s="666">
        <v>-0.91739888678705439</v>
      </c>
      <c r="Q116" s="666">
        <v>-1.1855358743659403</v>
      </c>
      <c r="R116" s="666">
        <v>-1.4382990054776106</v>
      </c>
      <c r="S116" s="666">
        <v>-1.6739927729147528</v>
      </c>
      <c r="T116" s="666">
        <v>-1.903811572884714</v>
      </c>
      <c r="U116" s="666">
        <v>-2.1277554053874934</v>
      </c>
      <c r="V116" s="666">
        <v>-2.3458242704230918</v>
      </c>
      <c r="W116" s="666">
        <v>-2.4494105416308298</v>
      </c>
      <c r="X116" s="666">
        <v>-2.4427981479230692</v>
      </c>
      <c r="Y116" s="666">
        <v>-2.4361550323419885</v>
      </c>
      <c r="Z116" s="666">
        <v>-2.4294811948875883</v>
      </c>
      <c r="AA116" s="666">
        <v>-2.4227766355598681</v>
      </c>
      <c r="AB116" s="666">
        <v>-2.4160413543588275</v>
      </c>
      <c r="AC116" s="666">
        <v>-2.4092753512844673</v>
      </c>
      <c r="AD116" s="666">
        <v>-2.4024786263367872</v>
      </c>
      <c r="AE116" s="666">
        <v>-2.3956511795157871</v>
      </c>
      <c r="AF116" s="666">
        <v>-2.3887930108214666</v>
      </c>
      <c r="AG116" s="666">
        <v>-2.3819041202538274</v>
      </c>
      <c r="AH116" s="666">
        <v>-2.3749845078128669</v>
      </c>
      <c r="AI116" s="666">
        <v>-2.3680341734985872</v>
      </c>
      <c r="AJ116" s="666">
        <v>-2.3610531173109868</v>
      </c>
      <c r="AK116" s="666">
        <v>-2.3540413392500676</v>
      </c>
      <c r="AL116" s="666"/>
      <c r="AM116" s="666"/>
      <c r="AN116" s="666"/>
      <c r="AO116" s="666"/>
      <c r="AP116" s="666"/>
      <c r="AQ116" s="666"/>
      <c r="AR116" s="666"/>
      <c r="AS116" s="666"/>
      <c r="AT116" s="666"/>
      <c r="AU116" s="666"/>
      <c r="AV116" s="666"/>
      <c r="AW116" s="666"/>
      <c r="AX116" s="666"/>
      <c r="AY116" s="666"/>
      <c r="AZ116" s="666"/>
      <c r="BA116" s="666"/>
      <c r="BB116" s="666"/>
      <c r="BC116" s="666"/>
      <c r="BD116" s="666"/>
      <c r="BE116" s="666"/>
      <c r="BF116" s="666"/>
      <c r="BG116" s="666"/>
      <c r="BH116" s="666"/>
      <c r="BI116" s="666"/>
      <c r="BJ116" s="666"/>
      <c r="BK116" s="666"/>
      <c r="BL116" s="666"/>
      <c r="BM116" s="666"/>
      <c r="BN116" s="666"/>
      <c r="BO116" s="666"/>
      <c r="BP116" s="666"/>
      <c r="BQ116" s="666"/>
      <c r="BR116" s="666"/>
      <c r="BS116" s="666"/>
      <c r="BT116" s="666"/>
      <c r="BU116" s="666"/>
      <c r="BV116" s="666"/>
      <c r="BW116" s="666"/>
      <c r="BX116" s="666"/>
      <c r="BY116" s="666"/>
      <c r="BZ116" s="666"/>
      <c r="CA116" s="666"/>
      <c r="CB116" s="666"/>
      <c r="CC116" s="666"/>
      <c r="CD116" s="666"/>
      <c r="CE116" s="666"/>
      <c r="CF116" s="666"/>
      <c r="CG116" s="666"/>
      <c r="CH116" s="666"/>
      <c r="CI116" s="666"/>
    </row>
    <row r="117" spans="2:89" ht="28.5" x14ac:dyDescent="0.2">
      <c r="B117" s="674" t="s">
        <v>673</v>
      </c>
      <c r="C117" s="675" t="s">
        <v>674</v>
      </c>
      <c r="D117" s="676" t="s">
        <v>675</v>
      </c>
      <c r="E117" s="675" t="s">
        <v>236</v>
      </c>
      <c r="F117" s="677">
        <v>2</v>
      </c>
      <c r="G117" s="670"/>
      <c r="H117" s="671"/>
      <c r="I117" s="671">
        <v>0</v>
      </c>
      <c r="J117" s="671">
        <v>0</v>
      </c>
      <c r="K117" s="671">
        <v>0</v>
      </c>
      <c r="L117" s="671">
        <v>0</v>
      </c>
      <c r="M117" s="666">
        <v>-6.3423636791060112E-4</v>
      </c>
      <c r="N117" s="666">
        <v>-1.8252934904733342E-3</v>
      </c>
      <c r="O117" s="666">
        <v>-2.9593902354330126E-3</v>
      </c>
      <c r="P117" s="666">
        <v>-4.134397451704408E-3</v>
      </c>
      <c r="Q117" s="666">
        <v>-5.0747791990345403E-3</v>
      </c>
      <c r="R117" s="666">
        <v>-5.4937900680329665E-3</v>
      </c>
      <c r="S117" s="666">
        <v>-5.6465107632958089E-3</v>
      </c>
      <c r="T117" s="666">
        <v>-5.7992314585584293E-3</v>
      </c>
      <c r="U117" s="666">
        <v>-5.9519521538213827E-3</v>
      </c>
      <c r="V117" s="666">
        <v>-6.104672849083892E-3</v>
      </c>
      <c r="W117" s="666">
        <v>-6.1697224043267829E-3</v>
      </c>
      <c r="X117" s="666">
        <v>-6.1471008195499444E-3</v>
      </c>
      <c r="Y117" s="666">
        <v>-6.1244792347731059E-3</v>
      </c>
      <c r="Z117" s="666">
        <v>-6.1018576499960453E-3</v>
      </c>
      <c r="AA117" s="666">
        <v>-6.0792360652195399E-3</v>
      </c>
      <c r="AB117" s="666">
        <v>-6.0566144804424793E-3</v>
      </c>
      <c r="AC117" s="666">
        <v>-6.0339928956656408E-3</v>
      </c>
      <c r="AD117" s="666">
        <v>-6.0113713108888023E-3</v>
      </c>
      <c r="AE117" s="666">
        <v>-5.9887497261119638E-3</v>
      </c>
      <c r="AF117" s="666">
        <v>-5.9661281413351253E-3</v>
      </c>
      <c r="AG117" s="666">
        <v>-5.9435065565582867E-3</v>
      </c>
      <c r="AH117" s="666">
        <v>-5.9208849717813372E-3</v>
      </c>
      <c r="AI117" s="666">
        <v>-5.8982633870043877E-3</v>
      </c>
      <c r="AJ117" s="666">
        <v>-5.8756418022274381E-3</v>
      </c>
      <c r="AK117" s="666">
        <v>-5.8530202174507107E-3</v>
      </c>
      <c r="AL117" s="666"/>
      <c r="AM117" s="666"/>
      <c r="AN117" s="666"/>
      <c r="AO117" s="666"/>
      <c r="AP117" s="666"/>
      <c r="AQ117" s="666"/>
      <c r="AR117" s="666"/>
      <c r="AS117" s="666"/>
      <c r="AT117" s="666"/>
      <c r="AU117" s="666"/>
      <c r="AV117" s="666"/>
      <c r="AW117" s="666"/>
      <c r="AX117" s="666"/>
      <c r="AY117" s="666"/>
      <c r="AZ117" s="666"/>
      <c r="BA117" s="666"/>
      <c r="BB117" s="666"/>
      <c r="BC117" s="666"/>
      <c r="BD117" s="666"/>
      <c r="BE117" s="666"/>
      <c r="BF117" s="666"/>
      <c r="BG117" s="666"/>
      <c r="BH117" s="666"/>
      <c r="BI117" s="666"/>
      <c r="BJ117" s="666"/>
      <c r="BK117" s="666"/>
      <c r="BL117" s="666"/>
      <c r="BM117" s="666"/>
      <c r="BN117" s="666"/>
      <c r="BO117" s="666"/>
      <c r="BP117" s="666"/>
      <c r="BQ117" s="666"/>
      <c r="BR117" s="666"/>
      <c r="BS117" s="666"/>
      <c r="BT117" s="666"/>
      <c r="BU117" s="666"/>
      <c r="BV117" s="666"/>
      <c r="BW117" s="666"/>
      <c r="BX117" s="666"/>
      <c r="BY117" s="666"/>
      <c r="BZ117" s="666"/>
      <c r="CA117" s="666"/>
      <c r="CB117" s="666"/>
      <c r="CC117" s="666"/>
      <c r="CD117" s="666"/>
      <c r="CE117" s="666"/>
      <c r="CF117" s="666"/>
      <c r="CG117" s="666"/>
      <c r="CH117" s="666"/>
      <c r="CI117" s="666"/>
    </row>
    <row r="118" spans="2:89" ht="15" thickBot="1" x14ac:dyDescent="0.25">
      <c r="B118" s="701" t="s">
        <v>676</v>
      </c>
      <c r="C118" s="702" t="s">
        <v>677</v>
      </c>
      <c r="D118" s="702" t="s">
        <v>678</v>
      </c>
      <c r="E118" s="702" t="s">
        <v>236</v>
      </c>
      <c r="F118" s="703">
        <v>2</v>
      </c>
      <c r="G118" s="695"/>
      <c r="H118" s="682"/>
      <c r="I118" s="682">
        <v>0</v>
      </c>
      <c r="J118" s="682">
        <v>0</v>
      </c>
      <c r="K118" s="682">
        <v>0</v>
      </c>
      <c r="L118" s="682">
        <v>0</v>
      </c>
      <c r="M118" s="696">
        <v>-0.20073762673171558</v>
      </c>
      <c r="N118" s="696">
        <v>-0.29801494813901996</v>
      </c>
      <c r="O118" s="696">
        <v>-0.51191100626656549</v>
      </c>
      <c r="P118" s="696">
        <v>-0.75059362418681985</v>
      </c>
      <c r="Q118" s="696">
        <v>-0.97522665298276934</v>
      </c>
      <c r="R118" s="696">
        <v>-1.2145459467451332</v>
      </c>
      <c r="S118" s="696">
        <v>-1.4687096962615058</v>
      </c>
      <c r="T118" s="696">
        <v>-1.7256591258397194</v>
      </c>
      <c r="U118" s="696">
        <v>-1.9857823804679029</v>
      </c>
      <c r="V118" s="696">
        <v>-2.2479190307479442</v>
      </c>
      <c r="W118" s="696">
        <v>-2.5806751697819195</v>
      </c>
      <c r="X118" s="696">
        <v>-2.9813902851822078</v>
      </c>
      <c r="Y118" s="696">
        <v>-3.3809279878573832</v>
      </c>
      <c r="Z118" s="696">
        <v>-3.7792671091138459</v>
      </c>
      <c r="AA118" s="696">
        <v>-4.1763729228050295</v>
      </c>
      <c r="AB118" s="696">
        <v>-4.5722173257201035</v>
      </c>
      <c r="AC118" s="696">
        <v>-4.9667536497860567</v>
      </c>
      <c r="AD118" s="696">
        <v>-5.3599507409911631</v>
      </c>
      <c r="AE118" s="696">
        <v>-5.751775386922688</v>
      </c>
      <c r="AF118" s="696">
        <v>-6.1421917847893326</v>
      </c>
      <c r="AG118" s="696">
        <v>-6.5311798575882065</v>
      </c>
      <c r="AH118" s="696">
        <v>-6.9187030262528495</v>
      </c>
      <c r="AI118" s="696">
        <v>-7.304730563180577</v>
      </c>
      <c r="AJ118" s="696">
        <v>-7.689232706873689</v>
      </c>
      <c r="AK118" s="696">
        <v>-8.0721821576318078</v>
      </c>
      <c r="AL118" s="696"/>
      <c r="AM118" s="696"/>
      <c r="AN118" s="696"/>
      <c r="AO118" s="696"/>
      <c r="AP118" s="696"/>
      <c r="AQ118" s="696"/>
      <c r="AR118" s="696"/>
      <c r="AS118" s="696"/>
      <c r="AT118" s="696"/>
      <c r="AU118" s="696"/>
      <c r="AV118" s="696"/>
      <c r="AW118" s="696"/>
      <c r="AX118" s="696"/>
      <c r="AY118" s="696"/>
      <c r="AZ118" s="696"/>
      <c r="BA118" s="696"/>
      <c r="BB118" s="696"/>
      <c r="BC118" s="696"/>
      <c r="BD118" s="696"/>
      <c r="BE118" s="696"/>
      <c r="BF118" s="696"/>
      <c r="BG118" s="696"/>
      <c r="BH118" s="696"/>
      <c r="BI118" s="696"/>
      <c r="BJ118" s="696"/>
      <c r="BK118" s="696"/>
      <c r="BL118" s="696"/>
      <c r="BM118" s="696"/>
      <c r="BN118" s="696"/>
      <c r="BO118" s="696"/>
      <c r="BP118" s="696"/>
      <c r="BQ118" s="696"/>
      <c r="BR118" s="696"/>
      <c r="BS118" s="696"/>
      <c r="BT118" s="696"/>
      <c r="BU118" s="696"/>
      <c r="BV118" s="696"/>
      <c r="BW118" s="696"/>
      <c r="BX118" s="696"/>
      <c r="BY118" s="696"/>
      <c r="BZ118" s="696"/>
      <c r="CA118" s="696"/>
      <c r="CB118" s="696"/>
      <c r="CC118" s="696"/>
      <c r="CD118" s="696"/>
      <c r="CE118" s="696"/>
      <c r="CF118" s="696"/>
      <c r="CG118" s="696"/>
      <c r="CH118" s="696"/>
      <c r="CI118" s="696"/>
    </row>
    <row r="119" spans="2:89" ht="15.75" thickBot="1" x14ac:dyDescent="0.25">
      <c r="B119" s="1425"/>
      <c r="C119" s="1426"/>
      <c r="D119" s="1427"/>
      <c r="E119" s="1426"/>
      <c r="F119" s="1428"/>
      <c r="G119" s="1429"/>
      <c r="H119" s="1430"/>
      <c r="I119" s="1430"/>
      <c r="J119" s="1430"/>
      <c r="K119" s="1430"/>
      <c r="L119" s="1430"/>
      <c r="M119" s="1431"/>
      <c r="N119" s="1431"/>
      <c r="O119" s="1431"/>
      <c r="P119" s="1431"/>
      <c r="Q119" s="1431"/>
      <c r="R119" s="1431"/>
      <c r="S119" s="1431"/>
      <c r="T119" s="1431"/>
      <c r="U119" s="1431"/>
      <c r="V119" s="1431"/>
      <c r="W119" s="1431"/>
      <c r="X119" s="1431"/>
      <c r="Y119" s="1431"/>
      <c r="Z119" s="1431"/>
      <c r="AA119" s="1431"/>
      <c r="AB119" s="1431"/>
      <c r="AC119" s="1431"/>
      <c r="AD119" s="1431"/>
      <c r="AE119" s="1431"/>
      <c r="AF119" s="1431"/>
      <c r="AG119" s="1431"/>
      <c r="AH119" s="1431"/>
      <c r="AI119" s="1431"/>
      <c r="AJ119" s="1431"/>
      <c r="AK119" s="1431"/>
      <c r="AL119" s="1431"/>
      <c r="AM119" s="1431"/>
      <c r="AN119" s="1431"/>
      <c r="AO119" s="1431"/>
      <c r="AP119" s="1431"/>
      <c r="AQ119" s="1431"/>
      <c r="AR119" s="1431"/>
      <c r="AS119" s="1431"/>
      <c r="AT119" s="1431"/>
      <c r="AU119" s="1431"/>
      <c r="AV119" s="1431"/>
      <c r="AW119" s="1431"/>
      <c r="AX119" s="1431"/>
      <c r="AY119" s="1431"/>
      <c r="AZ119" s="1431"/>
      <c r="BA119" s="1431"/>
      <c r="BB119" s="1431"/>
      <c r="BC119" s="1431"/>
      <c r="BD119" s="1431"/>
      <c r="BE119" s="1431"/>
      <c r="BF119" s="1431"/>
      <c r="BG119" s="1431"/>
      <c r="BH119" s="1431"/>
      <c r="BI119" s="1431"/>
      <c r="BJ119" s="1431"/>
      <c r="BK119" s="1431"/>
      <c r="BL119" s="1431"/>
      <c r="BM119" s="1431"/>
      <c r="BN119" s="1431"/>
      <c r="BO119" s="1431"/>
      <c r="BP119" s="1431"/>
      <c r="BQ119" s="1431"/>
      <c r="BR119" s="1431"/>
      <c r="BS119" s="1431"/>
      <c r="BT119" s="1431"/>
      <c r="BU119" s="1431"/>
      <c r="BV119" s="1431"/>
      <c r="BW119" s="1431"/>
      <c r="BX119" s="1431"/>
      <c r="BY119" s="1431"/>
      <c r="BZ119" s="1431"/>
      <c r="CA119" s="1431"/>
      <c r="CB119" s="1431"/>
      <c r="CC119" s="1431"/>
      <c r="CD119" s="1431"/>
      <c r="CE119" s="1431"/>
      <c r="CF119" s="1431"/>
      <c r="CG119" s="1431"/>
      <c r="CH119" s="1431"/>
      <c r="CI119" s="1432"/>
      <c r="CJ119" s="523"/>
    </row>
    <row r="120" spans="2:89" ht="45.75" thickBot="1" x14ac:dyDescent="0.25">
      <c r="B120" s="655" t="s">
        <v>440</v>
      </c>
      <c r="C120" s="1306" t="s">
        <v>204</v>
      </c>
      <c r="D120" s="523"/>
      <c r="E120" s="523"/>
      <c r="F120" s="523"/>
      <c r="G120" s="523"/>
      <c r="H120" s="523"/>
      <c r="I120" s="523"/>
      <c r="J120" s="523"/>
      <c r="K120" s="523"/>
      <c r="L120" s="523"/>
      <c r="M120" s="1420"/>
      <c r="N120" s="523"/>
      <c r="O120" s="523"/>
      <c r="P120" s="523"/>
      <c r="Q120" s="523"/>
      <c r="R120" s="523"/>
      <c r="S120" s="523"/>
      <c r="T120" s="523"/>
      <c r="U120" s="523"/>
      <c r="V120" s="523"/>
      <c r="W120" s="523"/>
      <c r="X120" s="523"/>
      <c r="Y120" s="523"/>
      <c r="Z120" s="523"/>
      <c r="AA120" s="523"/>
      <c r="AB120" s="523"/>
      <c r="AC120" s="523"/>
      <c r="AD120" s="523"/>
      <c r="AE120" s="523"/>
      <c r="AF120" s="523"/>
      <c r="AG120" s="523"/>
      <c r="AH120" s="523"/>
      <c r="AI120" s="523"/>
      <c r="AJ120" s="523"/>
      <c r="AK120" s="523"/>
      <c r="AL120" s="523"/>
      <c r="AM120" s="523"/>
      <c r="AN120" s="523"/>
      <c r="AO120" s="523"/>
      <c r="AP120" s="523"/>
      <c r="AQ120" s="523"/>
      <c r="AR120" s="523"/>
      <c r="AS120" s="523"/>
      <c r="AT120" s="523"/>
      <c r="AU120" s="523"/>
      <c r="AV120" s="523"/>
      <c r="AW120" s="523"/>
      <c r="AX120" s="523"/>
      <c r="AY120" s="523"/>
      <c r="AZ120" s="523"/>
      <c r="BA120" s="523"/>
      <c r="BB120" s="523"/>
      <c r="BC120" s="523"/>
      <c r="BD120" s="523"/>
      <c r="BE120" s="523"/>
      <c r="BF120" s="523"/>
      <c r="BG120" s="523"/>
      <c r="BH120" s="523"/>
      <c r="BI120" s="523"/>
      <c r="BJ120" s="523"/>
      <c r="BK120" s="523"/>
      <c r="BL120" s="523"/>
      <c r="BM120" s="523"/>
      <c r="BN120" s="523"/>
      <c r="BO120" s="523"/>
      <c r="BP120" s="523"/>
      <c r="BQ120" s="523"/>
      <c r="BR120" s="523"/>
      <c r="BS120" s="523"/>
      <c r="BT120" s="523"/>
      <c r="BU120" s="523"/>
      <c r="BV120" s="523"/>
      <c r="BW120" s="523"/>
      <c r="BX120" s="523"/>
      <c r="BY120" s="523"/>
      <c r="BZ120" s="523"/>
      <c r="CA120" s="523"/>
      <c r="CB120" s="523"/>
      <c r="CC120" s="523"/>
      <c r="CD120" s="523"/>
      <c r="CE120" s="523"/>
      <c r="CF120" s="523"/>
      <c r="CG120" s="523"/>
      <c r="CH120" s="523"/>
      <c r="CI120" s="523"/>
    </row>
    <row r="121" spans="2:89" ht="30.75" thickBot="1" x14ac:dyDescent="0.25">
      <c r="B121" s="705" t="s">
        <v>446</v>
      </c>
      <c r="C121" s="706" t="s">
        <v>205</v>
      </c>
      <c r="D121" s="706" t="s">
        <v>71</v>
      </c>
      <c r="E121" s="706" t="s">
        <v>206</v>
      </c>
      <c r="F121" s="707" t="s">
        <v>207</v>
      </c>
      <c r="G121" s="705" t="s">
        <v>208</v>
      </c>
      <c r="H121" s="705" t="s">
        <v>209</v>
      </c>
      <c r="I121" s="705" t="s">
        <v>210</v>
      </c>
      <c r="J121" s="705" t="s">
        <v>211</v>
      </c>
      <c r="K121" s="705" t="s">
        <v>212</v>
      </c>
      <c r="L121" s="705" t="s">
        <v>213</v>
      </c>
      <c r="M121" s="706" t="s">
        <v>214</v>
      </c>
      <c r="N121" s="706" t="s">
        <v>215</v>
      </c>
      <c r="O121" s="706" t="s">
        <v>216</v>
      </c>
      <c r="P121" s="706" t="s">
        <v>217</v>
      </c>
      <c r="Q121" s="706" t="s">
        <v>218</v>
      </c>
      <c r="R121" s="706" t="s">
        <v>247</v>
      </c>
      <c r="S121" s="706" t="s">
        <v>248</v>
      </c>
      <c r="T121" s="706" t="s">
        <v>249</v>
      </c>
      <c r="U121" s="706" t="s">
        <v>250</v>
      </c>
      <c r="V121" s="706" t="s">
        <v>219</v>
      </c>
      <c r="W121" s="706" t="s">
        <v>251</v>
      </c>
      <c r="X121" s="706" t="s">
        <v>252</v>
      </c>
      <c r="Y121" s="706" t="s">
        <v>253</v>
      </c>
      <c r="Z121" s="706" t="s">
        <v>254</v>
      </c>
      <c r="AA121" s="706" t="s">
        <v>220</v>
      </c>
      <c r="AB121" s="706" t="s">
        <v>255</v>
      </c>
      <c r="AC121" s="706" t="s">
        <v>256</v>
      </c>
      <c r="AD121" s="706" t="s">
        <v>257</v>
      </c>
      <c r="AE121" s="706" t="s">
        <v>258</v>
      </c>
      <c r="AF121" s="706" t="s">
        <v>221</v>
      </c>
      <c r="AG121" s="706" t="s">
        <v>259</v>
      </c>
      <c r="AH121" s="706" t="s">
        <v>260</v>
      </c>
      <c r="AI121" s="706" t="s">
        <v>261</v>
      </c>
      <c r="AJ121" s="706" t="s">
        <v>262</v>
      </c>
      <c r="AK121" s="706" t="s">
        <v>222</v>
      </c>
      <c r="AL121" s="706" t="s">
        <v>263</v>
      </c>
      <c r="AM121" s="706" t="s">
        <v>264</v>
      </c>
      <c r="AN121" s="706" t="s">
        <v>265</v>
      </c>
      <c r="AO121" s="706" t="s">
        <v>266</v>
      </c>
      <c r="AP121" s="706" t="s">
        <v>223</v>
      </c>
      <c r="AQ121" s="706" t="s">
        <v>267</v>
      </c>
      <c r="AR121" s="706" t="s">
        <v>268</v>
      </c>
      <c r="AS121" s="706" t="s">
        <v>269</v>
      </c>
      <c r="AT121" s="706" t="s">
        <v>270</v>
      </c>
      <c r="AU121" s="706" t="s">
        <v>224</v>
      </c>
      <c r="AV121" s="706" t="s">
        <v>271</v>
      </c>
      <c r="AW121" s="706" t="s">
        <v>272</v>
      </c>
      <c r="AX121" s="706" t="s">
        <v>273</v>
      </c>
      <c r="AY121" s="706" t="s">
        <v>274</v>
      </c>
      <c r="AZ121" s="706" t="s">
        <v>225</v>
      </c>
      <c r="BA121" s="706" t="s">
        <v>275</v>
      </c>
      <c r="BB121" s="706" t="s">
        <v>276</v>
      </c>
      <c r="BC121" s="706" t="s">
        <v>277</v>
      </c>
      <c r="BD121" s="706" t="s">
        <v>278</v>
      </c>
      <c r="BE121" s="706" t="s">
        <v>226</v>
      </c>
      <c r="BF121" s="706" t="s">
        <v>279</v>
      </c>
      <c r="BG121" s="706" t="s">
        <v>280</v>
      </c>
      <c r="BH121" s="706" t="s">
        <v>281</v>
      </c>
      <c r="BI121" s="706" t="s">
        <v>282</v>
      </c>
      <c r="BJ121" s="706" t="s">
        <v>227</v>
      </c>
      <c r="BK121" s="706" t="s">
        <v>283</v>
      </c>
      <c r="BL121" s="706" t="s">
        <v>284</v>
      </c>
      <c r="BM121" s="706" t="s">
        <v>285</v>
      </c>
      <c r="BN121" s="706" t="s">
        <v>286</v>
      </c>
      <c r="BO121" s="706" t="s">
        <v>228</v>
      </c>
      <c r="BP121" s="706" t="s">
        <v>287</v>
      </c>
      <c r="BQ121" s="706" t="s">
        <v>288</v>
      </c>
      <c r="BR121" s="706" t="s">
        <v>289</v>
      </c>
      <c r="BS121" s="706" t="s">
        <v>290</v>
      </c>
      <c r="BT121" s="706" t="s">
        <v>229</v>
      </c>
      <c r="BU121" s="706" t="s">
        <v>291</v>
      </c>
      <c r="BV121" s="706" t="s">
        <v>292</v>
      </c>
      <c r="BW121" s="706" t="s">
        <v>293</v>
      </c>
      <c r="BX121" s="706" t="s">
        <v>294</v>
      </c>
      <c r="BY121" s="706" t="s">
        <v>230</v>
      </c>
      <c r="BZ121" s="706" t="s">
        <v>295</v>
      </c>
      <c r="CA121" s="706" t="s">
        <v>296</v>
      </c>
      <c r="CB121" s="706" t="s">
        <v>297</v>
      </c>
      <c r="CC121" s="706" t="s">
        <v>298</v>
      </c>
      <c r="CD121" s="706" t="s">
        <v>231</v>
      </c>
      <c r="CE121" s="706" t="s">
        <v>299</v>
      </c>
      <c r="CF121" s="706" t="s">
        <v>300</v>
      </c>
      <c r="CG121" s="706" t="s">
        <v>301</v>
      </c>
      <c r="CH121" s="706" t="s">
        <v>302</v>
      </c>
      <c r="CI121" s="707" t="s">
        <v>232</v>
      </c>
      <c r="CK121" s="1296"/>
    </row>
    <row r="122" spans="2:89" x14ac:dyDescent="0.2">
      <c r="B122" s="1049" t="s">
        <v>679</v>
      </c>
      <c r="C122" s="1050" t="s">
        <v>448</v>
      </c>
      <c r="D122" s="1051" t="s">
        <v>86</v>
      </c>
      <c r="E122" s="1052" t="s">
        <v>236</v>
      </c>
      <c r="F122" s="1053">
        <v>2</v>
      </c>
      <c r="G122" s="532"/>
      <c r="H122" s="593"/>
      <c r="I122" s="597">
        <v>414.66725177377185</v>
      </c>
      <c r="J122" s="597">
        <v>407.63644687997913</v>
      </c>
      <c r="K122" s="597">
        <v>408.13996098273589</v>
      </c>
      <c r="L122" s="597">
        <v>403.68583429575125</v>
      </c>
      <c r="M122" s="594">
        <v>402.070505657762</v>
      </c>
      <c r="N122" s="594">
        <v>400.26706705725707</v>
      </c>
      <c r="O122" s="594">
        <v>397.59973246951097</v>
      </c>
      <c r="P122" s="594">
        <v>396.11786308080707</v>
      </c>
      <c r="Q122" s="594">
        <v>394.34240799574093</v>
      </c>
      <c r="R122" s="594">
        <v>392.34569297046625</v>
      </c>
      <c r="S122" s="594">
        <v>389.84113276899558</v>
      </c>
      <c r="T122" s="594">
        <v>387.77963327474083</v>
      </c>
      <c r="U122" s="594">
        <v>384.9997430284015</v>
      </c>
      <c r="V122" s="594">
        <v>382.17432126386865</v>
      </c>
      <c r="W122" s="594">
        <v>379.81264226980346</v>
      </c>
      <c r="X122" s="594">
        <v>377.27426968182704</v>
      </c>
      <c r="Y122" s="594">
        <v>374.81903815960976</v>
      </c>
      <c r="Z122" s="594">
        <v>372.5270532243465</v>
      </c>
      <c r="AA122" s="594">
        <v>370.75508387853222</v>
      </c>
      <c r="AB122" s="594">
        <v>368.89137770233327</v>
      </c>
      <c r="AC122" s="594">
        <v>367.12565145781713</v>
      </c>
      <c r="AD122" s="594">
        <v>365.43355271785185</v>
      </c>
      <c r="AE122" s="594">
        <v>364.51044503070318</v>
      </c>
      <c r="AF122" s="594">
        <v>363.66516910711493</v>
      </c>
      <c r="AG122" s="594">
        <v>364.33723080457389</v>
      </c>
      <c r="AH122" s="594">
        <v>365.03343601035738</v>
      </c>
      <c r="AI122" s="594">
        <v>365.7168362348628</v>
      </c>
      <c r="AJ122" s="594">
        <v>366.46433450936581</v>
      </c>
      <c r="AK122" s="594">
        <v>367.21651364030657</v>
      </c>
      <c r="AL122" s="594"/>
      <c r="AM122" s="594"/>
      <c r="AN122" s="594"/>
      <c r="AO122" s="594"/>
      <c r="AP122" s="594"/>
      <c r="AQ122" s="594"/>
      <c r="AR122" s="594"/>
      <c r="AS122" s="594"/>
      <c r="AT122" s="594"/>
      <c r="AU122" s="594"/>
      <c r="AV122" s="594"/>
      <c r="AW122" s="594"/>
      <c r="AX122" s="594"/>
      <c r="AY122" s="594"/>
      <c r="AZ122" s="594"/>
      <c r="BA122" s="594"/>
      <c r="BB122" s="594"/>
      <c r="BC122" s="594"/>
      <c r="BD122" s="594"/>
      <c r="BE122" s="594"/>
      <c r="BF122" s="594"/>
      <c r="BG122" s="594"/>
      <c r="BH122" s="594"/>
      <c r="BI122" s="594"/>
      <c r="BJ122" s="594"/>
      <c r="BK122" s="594"/>
      <c r="BL122" s="594"/>
      <c r="BM122" s="594"/>
      <c r="BN122" s="594"/>
      <c r="BO122" s="594"/>
      <c r="BP122" s="594"/>
      <c r="BQ122" s="594"/>
      <c r="BR122" s="594"/>
      <c r="BS122" s="594"/>
      <c r="BT122" s="594"/>
      <c r="BU122" s="594"/>
      <c r="BV122" s="594"/>
      <c r="BW122" s="594"/>
      <c r="BX122" s="594"/>
      <c r="BY122" s="594"/>
      <c r="BZ122" s="594"/>
      <c r="CA122" s="594"/>
      <c r="CB122" s="594"/>
      <c r="CC122" s="594"/>
      <c r="CD122" s="594"/>
      <c r="CE122" s="594"/>
      <c r="CF122" s="594"/>
      <c r="CG122" s="594"/>
      <c r="CH122" s="594"/>
      <c r="CI122" s="594"/>
      <c r="CK122" s="1296"/>
    </row>
    <row r="123" spans="2:89" x14ac:dyDescent="0.2">
      <c r="B123" s="1048" t="s">
        <v>680</v>
      </c>
      <c r="C123" s="1039" t="s">
        <v>681</v>
      </c>
      <c r="D123" s="1040" t="s">
        <v>682</v>
      </c>
      <c r="E123" s="1041" t="s">
        <v>236</v>
      </c>
      <c r="F123" s="1042">
        <v>2</v>
      </c>
      <c r="G123" s="798" t="e">
        <f t="shared" ref="G123:AK123" si="21">G25+G95</f>
        <v>#REF!</v>
      </c>
      <c r="H123" s="798">
        <f t="shared" si="21"/>
        <v>0</v>
      </c>
      <c r="I123" s="798">
        <f t="shared" si="21"/>
        <v>0</v>
      </c>
      <c r="J123" s="798">
        <f t="shared" si="21"/>
        <v>0</v>
      </c>
      <c r="K123" s="798">
        <f t="shared" si="21"/>
        <v>0</v>
      </c>
      <c r="L123" s="798">
        <f t="shared" si="21"/>
        <v>0</v>
      </c>
      <c r="M123" s="798">
        <f t="shared" si="21"/>
        <v>0</v>
      </c>
      <c r="N123" s="798">
        <f t="shared" si="21"/>
        <v>0</v>
      </c>
      <c r="O123" s="798">
        <f t="shared" si="21"/>
        <v>0</v>
      </c>
      <c r="P123" s="798">
        <f t="shared" si="21"/>
        <v>0</v>
      </c>
      <c r="Q123" s="798">
        <f t="shared" si="21"/>
        <v>0</v>
      </c>
      <c r="R123" s="798">
        <f t="shared" si="21"/>
        <v>0</v>
      </c>
      <c r="S123" s="798">
        <f t="shared" si="21"/>
        <v>0</v>
      </c>
      <c r="T123" s="798">
        <f t="shared" si="21"/>
        <v>0</v>
      </c>
      <c r="U123" s="798">
        <f t="shared" si="21"/>
        <v>0</v>
      </c>
      <c r="V123" s="798">
        <f t="shared" si="21"/>
        <v>0</v>
      </c>
      <c r="W123" s="798">
        <f t="shared" si="21"/>
        <v>0</v>
      </c>
      <c r="X123" s="798">
        <f t="shared" si="21"/>
        <v>0</v>
      </c>
      <c r="Y123" s="798">
        <f t="shared" si="21"/>
        <v>0</v>
      </c>
      <c r="Z123" s="798">
        <f t="shared" si="21"/>
        <v>0</v>
      </c>
      <c r="AA123" s="798">
        <f t="shared" si="21"/>
        <v>0</v>
      </c>
      <c r="AB123" s="798">
        <f t="shared" si="21"/>
        <v>0</v>
      </c>
      <c r="AC123" s="798">
        <f t="shared" si="21"/>
        <v>0</v>
      </c>
      <c r="AD123" s="798">
        <f t="shared" si="21"/>
        <v>0</v>
      </c>
      <c r="AE123" s="798">
        <f t="shared" si="21"/>
        <v>0</v>
      </c>
      <c r="AF123" s="798">
        <f t="shared" si="21"/>
        <v>0</v>
      </c>
      <c r="AG123" s="798">
        <f t="shared" si="21"/>
        <v>0</v>
      </c>
      <c r="AH123" s="798">
        <f t="shared" si="21"/>
        <v>0</v>
      </c>
      <c r="AI123" s="798">
        <f t="shared" si="21"/>
        <v>0</v>
      </c>
      <c r="AJ123" s="798">
        <f t="shared" si="21"/>
        <v>0</v>
      </c>
      <c r="AK123" s="798">
        <f t="shared" si="21"/>
        <v>0</v>
      </c>
      <c r="AL123" s="798"/>
      <c r="AM123" s="798"/>
      <c r="AN123" s="798"/>
      <c r="AO123" s="798"/>
      <c r="AP123" s="798"/>
      <c r="AQ123" s="798"/>
      <c r="AR123" s="798"/>
      <c r="AS123" s="798"/>
      <c r="AT123" s="798"/>
      <c r="AU123" s="798"/>
      <c r="AV123" s="798"/>
      <c r="AW123" s="798"/>
      <c r="AX123" s="798"/>
      <c r="AY123" s="798"/>
      <c r="AZ123" s="798"/>
      <c r="BA123" s="798"/>
      <c r="BB123" s="798"/>
      <c r="BC123" s="798"/>
      <c r="BD123" s="798"/>
      <c r="BE123" s="798"/>
      <c r="BF123" s="798"/>
      <c r="BG123" s="798"/>
      <c r="BH123" s="798"/>
      <c r="BI123" s="798"/>
      <c r="BJ123" s="798"/>
      <c r="BK123" s="798"/>
      <c r="BL123" s="798"/>
      <c r="BM123" s="798"/>
      <c r="BN123" s="798"/>
      <c r="BO123" s="798"/>
      <c r="BP123" s="798"/>
      <c r="BQ123" s="798"/>
      <c r="BR123" s="798"/>
      <c r="BS123" s="798"/>
      <c r="BT123" s="798"/>
      <c r="BU123" s="798"/>
      <c r="BV123" s="798"/>
      <c r="BW123" s="798"/>
      <c r="BX123" s="798"/>
      <c r="BY123" s="798"/>
      <c r="BZ123" s="798"/>
      <c r="CA123" s="798"/>
      <c r="CB123" s="798"/>
      <c r="CC123" s="798"/>
      <c r="CD123" s="798"/>
      <c r="CE123" s="798"/>
      <c r="CF123" s="798"/>
      <c r="CG123" s="798"/>
      <c r="CH123" s="798"/>
      <c r="CI123" s="719"/>
      <c r="CK123" s="1296"/>
    </row>
    <row r="124" spans="2:89" x14ac:dyDescent="0.2">
      <c r="B124" s="1038" t="s">
        <v>683</v>
      </c>
      <c r="C124" s="1039" t="s">
        <v>452</v>
      </c>
      <c r="D124" s="1040" t="s">
        <v>684</v>
      </c>
      <c r="E124" s="1041" t="s">
        <v>236</v>
      </c>
      <c r="F124" s="1042">
        <v>2</v>
      </c>
      <c r="G124" s="569" t="e">
        <f t="shared" ref="G124:AK124" si="22">G26+G96</f>
        <v>#REF!</v>
      </c>
      <c r="H124" s="569">
        <f t="shared" si="22"/>
        <v>0</v>
      </c>
      <c r="I124" s="569">
        <f t="shared" si="22"/>
        <v>0</v>
      </c>
      <c r="J124" s="569">
        <f t="shared" si="22"/>
        <v>0</v>
      </c>
      <c r="K124" s="569">
        <f t="shared" si="22"/>
        <v>0</v>
      </c>
      <c r="L124" s="569">
        <f t="shared" si="22"/>
        <v>0</v>
      </c>
      <c r="M124" s="718">
        <f t="shared" si="22"/>
        <v>0</v>
      </c>
      <c r="N124" s="718">
        <f t="shared" si="22"/>
        <v>0</v>
      </c>
      <c r="O124" s="718">
        <f t="shared" si="22"/>
        <v>0</v>
      </c>
      <c r="P124" s="718">
        <f t="shared" si="22"/>
        <v>0</v>
      </c>
      <c r="Q124" s="718">
        <f t="shared" si="22"/>
        <v>0</v>
      </c>
      <c r="R124" s="718">
        <f t="shared" si="22"/>
        <v>0</v>
      </c>
      <c r="S124" s="718">
        <f t="shared" si="22"/>
        <v>0</v>
      </c>
      <c r="T124" s="718">
        <f t="shared" si="22"/>
        <v>0</v>
      </c>
      <c r="U124" s="718">
        <f t="shared" si="22"/>
        <v>0</v>
      </c>
      <c r="V124" s="718">
        <f t="shared" si="22"/>
        <v>0</v>
      </c>
      <c r="W124" s="718">
        <f t="shared" si="22"/>
        <v>0</v>
      </c>
      <c r="X124" s="718">
        <f t="shared" si="22"/>
        <v>0</v>
      </c>
      <c r="Y124" s="718">
        <f t="shared" si="22"/>
        <v>0</v>
      </c>
      <c r="Z124" s="718">
        <f t="shared" si="22"/>
        <v>0</v>
      </c>
      <c r="AA124" s="718">
        <f t="shared" si="22"/>
        <v>0</v>
      </c>
      <c r="AB124" s="718">
        <f t="shared" si="22"/>
        <v>0</v>
      </c>
      <c r="AC124" s="718">
        <f t="shared" si="22"/>
        <v>0</v>
      </c>
      <c r="AD124" s="718">
        <f t="shared" si="22"/>
        <v>0</v>
      </c>
      <c r="AE124" s="718">
        <f t="shared" si="22"/>
        <v>0</v>
      </c>
      <c r="AF124" s="718">
        <f t="shared" si="22"/>
        <v>0</v>
      </c>
      <c r="AG124" s="718">
        <f t="shared" si="22"/>
        <v>0</v>
      </c>
      <c r="AH124" s="718">
        <f t="shared" si="22"/>
        <v>0</v>
      </c>
      <c r="AI124" s="718">
        <f t="shared" si="22"/>
        <v>0</v>
      </c>
      <c r="AJ124" s="718">
        <f t="shared" si="22"/>
        <v>0</v>
      </c>
      <c r="AK124" s="718">
        <f t="shared" si="22"/>
        <v>0</v>
      </c>
      <c r="AL124" s="718"/>
      <c r="AM124" s="718"/>
      <c r="AN124" s="718"/>
      <c r="AO124" s="718"/>
      <c r="AP124" s="718"/>
      <c r="AQ124" s="718"/>
      <c r="AR124" s="718"/>
      <c r="AS124" s="718"/>
      <c r="AT124" s="718"/>
      <c r="AU124" s="718"/>
      <c r="AV124" s="718"/>
      <c r="AW124" s="718"/>
      <c r="AX124" s="718"/>
      <c r="AY124" s="718"/>
      <c r="AZ124" s="718"/>
      <c r="BA124" s="718"/>
      <c r="BB124" s="718"/>
      <c r="BC124" s="718"/>
      <c r="BD124" s="718"/>
      <c r="BE124" s="718"/>
      <c r="BF124" s="718"/>
      <c r="BG124" s="718"/>
      <c r="BH124" s="718"/>
      <c r="BI124" s="718"/>
      <c r="BJ124" s="718"/>
      <c r="BK124" s="718"/>
      <c r="BL124" s="718"/>
      <c r="BM124" s="718"/>
      <c r="BN124" s="718"/>
      <c r="BO124" s="718"/>
      <c r="BP124" s="718"/>
      <c r="BQ124" s="718"/>
      <c r="BR124" s="718"/>
      <c r="BS124" s="718"/>
      <c r="BT124" s="718"/>
      <c r="BU124" s="718"/>
      <c r="BV124" s="718"/>
      <c r="BW124" s="718"/>
      <c r="BX124" s="718"/>
      <c r="BY124" s="718"/>
      <c r="BZ124" s="718"/>
      <c r="CA124" s="718"/>
      <c r="CB124" s="718"/>
      <c r="CC124" s="718"/>
      <c r="CD124" s="718"/>
      <c r="CE124" s="718"/>
      <c r="CF124" s="718"/>
      <c r="CG124" s="718"/>
      <c r="CH124" s="718"/>
      <c r="CI124" s="719"/>
      <c r="CK124" s="1296"/>
    </row>
    <row r="125" spans="2:89" x14ac:dyDescent="0.2">
      <c r="B125" s="713" t="s">
        <v>685</v>
      </c>
      <c r="C125" s="714" t="s">
        <v>454</v>
      </c>
      <c r="D125" s="715" t="s">
        <v>686</v>
      </c>
      <c r="E125" s="716" t="s">
        <v>236</v>
      </c>
      <c r="F125" s="717">
        <v>2</v>
      </c>
      <c r="G125" s="569" t="e">
        <f t="shared" ref="G125:AK125" si="23">G27+G97</f>
        <v>#REF!</v>
      </c>
      <c r="H125" s="569">
        <f t="shared" si="23"/>
        <v>0</v>
      </c>
      <c r="I125" s="569">
        <f t="shared" si="23"/>
        <v>1</v>
      </c>
      <c r="J125" s="569">
        <f t="shared" si="23"/>
        <v>1</v>
      </c>
      <c r="K125" s="569">
        <f t="shared" si="23"/>
        <v>1</v>
      </c>
      <c r="L125" s="569">
        <f t="shared" si="23"/>
        <v>1</v>
      </c>
      <c r="M125" s="718">
        <f t="shared" si="23"/>
        <v>1</v>
      </c>
      <c r="N125" s="718">
        <f t="shared" si="23"/>
        <v>1</v>
      </c>
      <c r="O125" s="718">
        <f t="shared" si="23"/>
        <v>1</v>
      </c>
      <c r="P125" s="718">
        <f t="shared" si="23"/>
        <v>1</v>
      </c>
      <c r="Q125" s="718">
        <f t="shared" si="23"/>
        <v>1</v>
      </c>
      <c r="R125" s="718">
        <f t="shared" si="23"/>
        <v>1</v>
      </c>
      <c r="S125" s="718">
        <f t="shared" si="23"/>
        <v>1</v>
      </c>
      <c r="T125" s="718">
        <f t="shared" si="23"/>
        <v>1</v>
      </c>
      <c r="U125" s="718">
        <f t="shared" si="23"/>
        <v>1</v>
      </c>
      <c r="V125" s="718">
        <f t="shared" si="23"/>
        <v>1</v>
      </c>
      <c r="W125" s="718">
        <f t="shared" si="23"/>
        <v>1</v>
      </c>
      <c r="X125" s="718">
        <f t="shared" si="23"/>
        <v>1</v>
      </c>
      <c r="Y125" s="718">
        <f t="shared" si="23"/>
        <v>1</v>
      </c>
      <c r="Z125" s="718">
        <f t="shared" si="23"/>
        <v>1</v>
      </c>
      <c r="AA125" s="718">
        <f t="shared" si="23"/>
        <v>1</v>
      </c>
      <c r="AB125" s="718">
        <f t="shared" si="23"/>
        <v>1</v>
      </c>
      <c r="AC125" s="718">
        <f t="shared" si="23"/>
        <v>1</v>
      </c>
      <c r="AD125" s="718">
        <f t="shared" si="23"/>
        <v>1</v>
      </c>
      <c r="AE125" s="718">
        <f t="shared" si="23"/>
        <v>1</v>
      </c>
      <c r="AF125" s="718">
        <f t="shared" si="23"/>
        <v>1</v>
      </c>
      <c r="AG125" s="718">
        <f t="shared" si="23"/>
        <v>1</v>
      </c>
      <c r="AH125" s="718">
        <f t="shared" si="23"/>
        <v>1</v>
      </c>
      <c r="AI125" s="718">
        <f t="shared" si="23"/>
        <v>1</v>
      </c>
      <c r="AJ125" s="718">
        <f t="shared" si="23"/>
        <v>1</v>
      </c>
      <c r="AK125" s="718">
        <f t="shared" si="23"/>
        <v>1</v>
      </c>
      <c r="AL125" s="718"/>
      <c r="AM125" s="718"/>
      <c r="AN125" s="718"/>
      <c r="AO125" s="718"/>
      <c r="AP125" s="718"/>
      <c r="AQ125" s="718"/>
      <c r="AR125" s="718"/>
      <c r="AS125" s="718"/>
      <c r="AT125" s="718"/>
      <c r="AU125" s="718"/>
      <c r="AV125" s="718"/>
      <c r="AW125" s="718"/>
      <c r="AX125" s="718"/>
      <c r="AY125" s="718"/>
      <c r="AZ125" s="718"/>
      <c r="BA125" s="718"/>
      <c r="BB125" s="718"/>
      <c r="BC125" s="718"/>
      <c r="BD125" s="718"/>
      <c r="BE125" s="718"/>
      <c r="BF125" s="718"/>
      <c r="BG125" s="718"/>
      <c r="BH125" s="718"/>
      <c r="BI125" s="718"/>
      <c r="BJ125" s="718"/>
      <c r="BK125" s="718"/>
      <c r="BL125" s="718"/>
      <c r="BM125" s="718"/>
      <c r="BN125" s="718"/>
      <c r="BO125" s="718"/>
      <c r="BP125" s="718"/>
      <c r="BQ125" s="718"/>
      <c r="BR125" s="718"/>
      <c r="BS125" s="718"/>
      <c r="BT125" s="718"/>
      <c r="BU125" s="718"/>
      <c r="BV125" s="718"/>
      <c r="BW125" s="718"/>
      <c r="BX125" s="718"/>
      <c r="BY125" s="718"/>
      <c r="BZ125" s="718"/>
      <c r="CA125" s="718"/>
      <c r="CB125" s="718"/>
      <c r="CC125" s="718"/>
      <c r="CD125" s="718"/>
      <c r="CE125" s="718"/>
      <c r="CF125" s="718"/>
      <c r="CG125" s="718"/>
      <c r="CH125" s="718"/>
      <c r="CI125" s="719"/>
      <c r="CK125" s="1296"/>
    </row>
    <row r="126" spans="2:89" x14ac:dyDescent="0.2">
      <c r="B126" s="720" t="s">
        <v>687</v>
      </c>
      <c r="C126" s="714" t="s">
        <v>456</v>
      </c>
      <c r="D126" s="715" t="s">
        <v>688</v>
      </c>
      <c r="E126" s="716" t="s">
        <v>236</v>
      </c>
      <c r="F126" s="717">
        <v>2</v>
      </c>
      <c r="G126" s="569" t="e">
        <f t="shared" ref="G126:AK126" si="24">G28+G98</f>
        <v>#REF!</v>
      </c>
      <c r="H126" s="569">
        <f t="shared" si="24"/>
        <v>0</v>
      </c>
      <c r="I126" s="569">
        <f t="shared" si="24"/>
        <v>-20</v>
      </c>
      <c r="J126" s="569">
        <f t="shared" si="24"/>
        <v>-20</v>
      </c>
      <c r="K126" s="569">
        <f t="shared" si="24"/>
        <v>-20</v>
      </c>
      <c r="L126" s="569">
        <f t="shared" si="24"/>
        <v>-20</v>
      </c>
      <c r="M126" s="569">
        <f t="shared" si="24"/>
        <v>-20</v>
      </c>
      <c r="N126" s="569">
        <f t="shared" si="24"/>
        <v>-20</v>
      </c>
      <c r="O126" s="569">
        <f t="shared" si="24"/>
        <v>-23.5</v>
      </c>
      <c r="P126" s="569">
        <f t="shared" si="24"/>
        <v>-23.5</v>
      </c>
      <c r="Q126" s="569">
        <f t="shared" si="24"/>
        <v>-23.5</v>
      </c>
      <c r="R126" s="569">
        <f t="shared" si="24"/>
        <v>-23.5</v>
      </c>
      <c r="S126" s="569">
        <f t="shared" si="24"/>
        <v>-23.5</v>
      </c>
      <c r="T126" s="569">
        <f t="shared" si="24"/>
        <v>-20</v>
      </c>
      <c r="U126" s="569">
        <f t="shared" si="24"/>
        <v>-20</v>
      </c>
      <c r="V126" s="569">
        <f t="shared" si="24"/>
        <v>-20</v>
      </c>
      <c r="W126" s="569">
        <f t="shared" si="24"/>
        <v>0</v>
      </c>
      <c r="X126" s="569">
        <f t="shared" si="24"/>
        <v>0</v>
      </c>
      <c r="Y126" s="569">
        <f t="shared" si="24"/>
        <v>0</v>
      </c>
      <c r="Z126" s="569">
        <f t="shared" si="24"/>
        <v>0</v>
      </c>
      <c r="AA126" s="569">
        <f t="shared" si="24"/>
        <v>0</v>
      </c>
      <c r="AB126" s="569">
        <f t="shared" si="24"/>
        <v>0</v>
      </c>
      <c r="AC126" s="569">
        <f t="shared" si="24"/>
        <v>0</v>
      </c>
      <c r="AD126" s="569">
        <f t="shared" si="24"/>
        <v>0</v>
      </c>
      <c r="AE126" s="569">
        <f t="shared" si="24"/>
        <v>0</v>
      </c>
      <c r="AF126" s="569">
        <f t="shared" si="24"/>
        <v>0</v>
      </c>
      <c r="AG126" s="569">
        <f t="shared" si="24"/>
        <v>0</v>
      </c>
      <c r="AH126" s="569">
        <f t="shared" si="24"/>
        <v>0</v>
      </c>
      <c r="AI126" s="569">
        <f t="shared" si="24"/>
        <v>0</v>
      </c>
      <c r="AJ126" s="569">
        <f t="shared" si="24"/>
        <v>0</v>
      </c>
      <c r="AK126" s="569">
        <f t="shared" si="24"/>
        <v>0</v>
      </c>
      <c r="AL126" s="569"/>
      <c r="AM126" s="569"/>
      <c r="AN126" s="569"/>
      <c r="AO126" s="569"/>
      <c r="AP126" s="569"/>
      <c r="AQ126" s="569"/>
      <c r="AR126" s="569"/>
      <c r="AS126" s="569"/>
      <c r="AT126" s="569"/>
      <c r="AU126" s="569"/>
      <c r="AV126" s="569"/>
      <c r="AW126" s="569"/>
      <c r="AX126" s="569"/>
      <c r="AY126" s="569"/>
      <c r="AZ126" s="569"/>
      <c r="BA126" s="569"/>
      <c r="BB126" s="569"/>
      <c r="BC126" s="569"/>
      <c r="BD126" s="569"/>
      <c r="BE126" s="569"/>
      <c r="BF126" s="569"/>
      <c r="BG126" s="569"/>
      <c r="BH126" s="569"/>
      <c r="BI126" s="569"/>
      <c r="BJ126" s="569"/>
      <c r="BK126" s="569"/>
      <c r="BL126" s="569"/>
      <c r="BM126" s="569"/>
      <c r="BN126" s="569"/>
      <c r="BO126" s="569"/>
      <c r="BP126" s="569"/>
      <c r="BQ126" s="569"/>
      <c r="BR126" s="569"/>
      <c r="BS126" s="569"/>
      <c r="BT126" s="569"/>
      <c r="BU126" s="569"/>
      <c r="BV126" s="569"/>
      <c r="BW126" s="569"/>
      <c r="BX126" s="569"/>
      <c r="BY126" s="569"/>
      <c r="BZ126" s="569"/>
      <c r="CA126" s="569"/>
      <c r="CB126" s="569"/>
      <c r="CC126" s="569"/>
      <c r="CD126" s="569"/>
      <c r="CE126" s="569"/>
      <c r="CF126" s="569"/>
      <c r="CG126" s="569"/>
      <c r="CH126" s="569"/>
      <c r="CI126" s="719"/>
      <c r="CK126" s="1296"/>
    </row>
    <row r="127" spans="2:89" x14ac:dyDescent="0.2">
      <c r="B127" s="720" t="s">
        <v>689</v>
      </c>
      <c r="C127" s="714" t="s">
        <v>458</v>
      </c>
      <c r="D127" s="715" t="s">
        <v>690</v>
      </c>
      <c r="E127" s="716" t="s">
        <v>236</v>
      </c>
      <c r="F127" s="717">
        <v>2</v>
      </c>
      <c r="G127" s="569" t="e">
        <f t="shared" ref="G127:AK127" si="25">G29+G99</f>
        <v>#REF!</v>
      </c>
      <c r="H127" s="569">
        <f t="shared" si="25"/>
        <v>0</v>
      </c>
      <c r="I127" s="569">
        <f t="shared" si="25"/>
        <v>-9.9277513698630138</v>
      </c>
      <c r="J127" s="569">
        <f t="shared" si="25"/>
        <v>-9.9277513698630138</v>
      </c>
      <c r="K127" s="569">
        <f t="shared" si="25"/>
        <v>-9.9277513698630138</v>
      </c>
      <c r="L127" s="569">
        <f t="shared" si="25"/>
        <v>-10.265762945306534</v>
      </c>
      <c r="M127" s="718">
        <f t="shared" si="25"/>
        <v>-10.601914887572452</v>
      </c>
      <c r="N127" s="718">
        <f t="shared" si="25"/>
        <v>-10.922259947828771</v>
      </c>
      <c r="O127" s="718">
        <f t="shared" si="25"/>
        <v>-12.752832990561892</v>
      </c>
      <c r="P127" s="718">
        <f t="shared" si="25"/>
        <v>-13.084103395736612</v>
      </c>
      <c r="Q127" s="718">
        <f t="shared" si="25"/>
        <v>-13.413979076028131</v>
      </c>
      <c r="R127" s="718">
        <f t="shared" si="25"/>
        <v>-13.743389848025252</v>
      </c>
      <c r="S127" s="718">
        <f t="shared" si="25"/>
        <v>-14.074195344905572</v>
      </c>
      <c r="T127" s="718">
        <f t="shared" si="25"/>
        <v>-14.402908754461091</v>
      </c>
      <c r="U127" s="718">
        <f t="shared" si="25"/>
        <v>-14.733481797194212</v>
      </c>
      <c r="V127" s="718">
        <f t="shared" si="25"/>
        <v>-13.233481797194212</v>
      </c>
      <c r="W127" s="718">
        <f t="shared" si="25"/>
        <v>-13.231157255722213</v>
      </c>
      <c r="X127" s="718">
        <f t="shared" si="25"/>
        <v>-13.231157255722213</v>
      </c>
      <c r="Y127" s="718">
        <f t="shared" si="25"/>
        <v>-13.231157255722213</v>
      </c>
      <c r="Z127" s="718">
        <f t="shared" si="25"/>
        <v>-13.231157255722213</v>
      </c>
      <c r="AA127" s="718">
        <f t="shared" si="25"/>
        <v>-13.231157255722213</v>
      </c>
      <c r="AB127" s="718">
        <f t="shared" si="25"/>
        <v>-13.22883271425021</v>
      </c>
      <c r="AC127" s="718">
        <f t="shared" si="25"/>
        <v>-13.22883271425021</v>
      </c>
      <c r="AD127" s="718">
        <f t="shared" si="25"/>
        <v>-13.22883271425021</v>
      </c>
      <c r="AE127" s="718">
        <f t="shared" si="25"/>
        <v>-13.22883271425021</v>
      </c>
      <c r="AF127" s="718">
        <f t="shared" si="25"/>
        <v>-13.22883271425021</v>
      </c>
      <c r="AG127" s="718">
        <f t="shared" si="25"/>
        <v>-13.22883271425021</v>
      </c>
      <c r="AH127" s="718">
        <f t="shared" si="25"/>
        <v>-13.22883271425021</v>
      </c>
      <c r="AI127" s="718">
        <f t="shared" si="25"/>
        <v>-13.22650817277821</v>
      </c>
      <c r="AJ127" s="718">
        <f t="shared" si="25"/>
        <v>-13.22650817277821</v>
      </c>
      <c r="AK127" s="718">
        <f t="shared" si="25"/>
        <v>-13.22650817277821</v>
      </c>
      <c r="AL127" s="718"/>
      <c r="AM127" s="718"/>
      <c r="AN127" s="718"/>
      <c r="AO127" s="718"/>
      <c r="AP127" s="718"/>
      <c r="AQ127" s="718"/>
      <c r="AR127" s="718"/>
      <c r="AS127" s="718"/>
      <c r="AT127" s="718"/>
      <c r="AU127" s="718"/>
      <c r="AV127" s="718"/>
      <c r="AW127" s="718"/>
      <c r="AX127" s="718"/>
      <c r="AY127" s="718"/>
      <c r="AZ127" s="718"/>
      <c r="BA127" s="718"/>
      <c r="BB127" s="718"/>
      <c r="BC127" s="718"/>
      <c r="BD127" s="718"/>
      <c r="BE127" s="718"/>
      <c r="BF127" s="718"/>
      <c r="BG127" s="718"/>
      <c r="BH127" s="718"/>
      <c r="BI127" s="718"/>
      <c r="BJ127" s="718"/>
      <c r="BK127" s="718"/>
      <c r="BL127" s="718"/>
      <c r="BM127" s="718"/>
      <c r="BN127" s="718"/>
      <c r="BO127" s="718"/>
      <c r="BP127" s="718"/>
      <c r="BQ127" s="718"/>
      <c r="BR127" s="718"/>
      <c r="BS127" s="718"/>
      <c r="BT127" s="718"/>
      <c r="BU127" s="718"/>
      <c r="BV127" s="718"/>
      <c r="BW127" s="718"/>
      <c r="BX127" s="718"/>
      <c r="BY127" s="718"/>
      <c r="BZ127" s="718"/>
      <c r="CA127" s="718"/>
      <c r="CB127" s="718"/>
      <c r="CC127" s="718"/>
      <c r="CD127" s="718"/>
      <c r="CE127" s="718"/>
      <c r="CF127" s="718"/>
      <c r="CG127" s="718"/>
      <c r="CH127" s="718"/>
      <c r="CI127" s="719"/>
      <c r="CK127" s="1296"/>
    </row>
    <row r="128" spans="2:89" x14ac:dyDescent="0.2">
      <c r="B128" s="720" t="s">
        <v>691</v>
      </c>
      <c r="C128" s="721" t="s">
        <v>462</v>
      </c>
      <c r="D128" s="715" t="s">
        <v>692</v>
      </c>
      <c r="E128" s="716" t="s">
        <v>236</v>
      </c>
      <c r="F128" s="717">
        <v>2</v>
      </c>
      <c r="G128" s="569" t="e">
        <f t="shared" ref="G128:AK128" si="26">G31+G100+G101+G102+G103</f>
        <v>#REF!</v>
      </c>
      <c r="H128" s="569">
        <f t="shared" si="26"/>
        <v>0</v>
      </c>
      <c r="I128" s="569">
        <f t="shared" si="26"/>
        <v>445.70597187999999</v>
      </c>
      <c r="J128" s="569">
        <f t="shared" si="26"/>
        <v>445.15100373999996</v>
      </c>
      <c r="K128" s="569">
        <f t="shared" si="26"/>
        <v>444.59284358999997</v>
      </c>
      <c r="L128" s="569">
        <f t="shared" si="26"/>
        <v>444.03157066</v>
      </c>
      <c r="M128" s="569">
        <f t="shared" si="26"/>
        <v>443.46725991</v>
      </c>
      <c r="N128" s="569">
        <f t="shared" si="26"/>
        <v>442.89998242000001</v>
      </c>
      <c r="O128" s="569">
        <f t="shared" si="26"/>
        <v>452.32980566999998</v>
      </c>
      <c r="P128" s="569">
        <f t="shared" si="26"/>
        <v>451.75679381999998</v>
      </c>
      <c r="Q128" s="569">
        <f t="shared" si="26"/>
        <v>451.18100793999997</v>
      </c>
      <c r="R128" s="569">
        <f t="shared" si="26"/>
        <v>453.60250624999998</v>
      </c>
      <c r="S128" s="569">
        <f t="shared" si="26"/>
        <v>436.82134435</v>
      </c>
      <c r="T128" s="569">
        <f t="shared" si="26"/>
        <v>436.23757532000002</v>
      </c>
      <c r="U128" s="569">
        <f t="shared" si="26"/>
        <v>435.65124997999999</v>
      </c>
      <c r="V128" s="569">
        <f t="shared" si="26"/>
        <v>435.06241698000002</v>
      </c>
      <c r="W128" s="569">
        <f t="shared" si="26"/>
        <v>434.47112294999999</v>
      </c>
      <c r="X128" s="569">
        <f t="shared" si="26"/>
        <v>433.87741266</v>
      </c>
      <c r="Y128" s="569">
        <f t="shared" si="26"/>
        <v>433.28132907999998</v>
      </c>
      <c r="Z128" s="569">
        <f t="shared" si="26"/>
        <v>432.68291352</v>
      </c>
      <c r="AA128" s="569">
        <f t="shared" si="26"/>
        <v>432.08220575000001</v>
      </c>
      <c r="AB128" s="569">
        <f t="shared" si="26"/>
        <v>429.47924402000001</v>
      </c>
      <c r="AC128" s="569">
        <f t="shared" si="26"/>
        <v>428.87406522999999</v>
      </c>
      <c r="AD128" s="569">
        <f t="shared" si="26"/>
        <v>428.26670493</v>
      </c>
      <c r="AE128" s="569">
        <f t="shared" si="26"/>
        <v>427.65719744</v>
      </c>
      <c r="AF128" s="569">
        <f t="shared" si="26"/>
        <v>427.04557590000002</v>
      </c>
      <c r="AG128" s="569">
        <f t="shared" si="26"/>
        <v>426.43187233999998</v>
      </c>
      <c r="AH128" s="569">
        <f t="shared" si="26"/>
        <v>425.81611772000002</v>
      </c>
      <c r="AI128" s="569">
        <f t="shared" si="26"/>
        <v>425.19834200000003</v>
      </c>
      <c r="AJ128" s="569">
        <f t="shared" si="26"/>
        <v>424.57857417000002</v>
      </c>
      <c r="AK128" s="569">
        <f t="shared" si="26"/>
        <v>423.95684233999998</v>
      </c>
      <c r="AL128" s="569"/>
      <c r="AM128" s="569"/>
      <c r="AN128" s="569"/>
      <c r="AO128" s="569"/>
      <c r="AP128" s="569"/>
      <c r="AQ128" s="569"/>
      <c r="AR128" s="569"/>
      <c r="AS128" s="569"/>
      <c r="AT128" s="569"/>
      <c r="AU128" s="569"/>
      <c r="AV128" s="569"/>
      <c r="AW128" s="569"/>
      <c r="AX128" s="569"/>
      <c r="AY128" s="569"/>
      <c r="AZ128" s="569"/>
      <c r="BA128" s="569"/>
      <c r="BB128" s="569"/>
      <c r="BC128" s="569"/>
      <c r="BD128" s="569"/>
      <c r="BE128" s="569"/>
      <c r="BF128" s="569"/>
      <c r="BG128" s="569"/>
      <c r="BH128" s="569"/>
      <c r="BI128" s="569"/>
      <c r="BJ128" s="569"/>
      <c r="BK128" s="569"/>
      <c r="BL128" s="569"/>
      <c r="BM128" s="569"/>
      <c r="BN128" s="569"/>
      <c r="BO128" s="569"/>
      <c r="BP128" s="569"/>
      <c r="BQ128" s="569"/>
      <c r="BR128" s="569"/>
      <c r="BS128" s="569"/>
      <c r="BT128" s="569"/>
      <c r="BU128" s="569"/>
      <c r="BV128" s="569"/>
      <c r="BW128" s="569"/>
      <c r="BX128" s="569"/>
      <c r="BY128" s="569"/>
      <c r="BZ128" s="569"/>
      <c r="CA128" s="569"/>
      <c r="CB128" s="569"/>
      <c r="CC128" s="569"/>
      <c r="CD128" s="569"/>
      <c r="CE128" s="569"/>
      <c r="CF128" s="569"/>
      <c r="CG128" s="569"/>
      <c r="CH128" s="569"/>
      <c r="CI128" s="719"/>
      <c r="CK128" s="1296"/>
    </row>
    <row r="129" spans="2:89" ht="28.5" x14ac:dyDescent="0.2">
      <c r="B129" s="720" t="s">
        <v>693</v>
      </c>
      <c r="C129" s="721" t="s">
        <v>694</v>
      </c>
      <c r="D129" s="715" t="s">
        <v>695</v>
      </c>
      <c r="E129" s="716" t="s">
        <v>236</v>
      </c>
      <c r="F129" s="717">
        <v>2</v>
      </c>
      <c r="G129" s="569">
        <f t="shared" ref="G129:AK129" si="27">G39+G104+G105</f>
        <v>0.1</v>
      </c>
      <c r="H129" s="569">
        <f t="shared" si="27"/>
        <v>0</v>
      </c>
      <c r="I129" s="569">
        <f t="shared" si="27"/>
        <v>0</v>
      </c>
      <c r="J129" s="569">
        <f t="shared" si="27"/>
        <v>0</v>
      </c>
      <c r="K129" s="569">
        <f t="shared" si="27"/>
        <v>0</v>
      </c>
      <c r="L129" s="569">
        <f t="shared" si="27"/>
        <v>0</v>
      </c>
      <c r="M129" s="718">
        <f t="shared" si="27"/>
        <v>0</v>
      </c>
      <c r="N129" s="718">
        <f t="shared" si="27"/>
        <v>0</v>
      </c>
      <c r="O129" s="718">
        <f t="shared" si="27"/>
        <v>0.33</v>
      </c>
      <c r="P129" s="718">
        <f t="shared" si="27"/>
        <v>0.33</v>
      </c>
      <c r="Q129" s="718">
        <f t="shared" si="27"/>
        <v>0.33</v>
      </c>
      <c r="R129" s="718">
        <f t="shared" si="27"/>
        <v>0.33</v>
      </c>
      <c r="S129" s="718">
        <f t="shared" si="27"/>
        <v>0.33</v>
      </c>
      <c r="T129" s="718">
        <f t="shared" si="27"/>
        <v>0.33</v>
      </c>
      <c r="U129" s="718">
        <f t="shared" si="27"/>
        <v>0.33</v>
      </c>
      <c r="V129" s="718">
        <f t="shared" si="27"/>
        <v>0.5</v>
      </c>
      <c r="W129" s="718">
        <f t="shared" si="27"/>
        <v>0.5</v>
      </c>
      <c r="X129" s="718">
        <f t="shared" si="27"/>
        <v>0.5</v>
      </c>
      <c r="Y129" s="718">
        <f t="shared" si="27"/>
        <v>0.5</v>
      </c>
      <c r="Z129" s="718">
        <f t="shared" si="27"/>
        <v>0.5</v>
      </c>
      <c r="AA129" s="718">
        <f t="shared" si="27"/>
        <v>0.5</v>
      </c>
      <c r="AB129" s="718">
        <f t="shared" si="27"/>
        <v>0.5</v>
      </c>
      <c r="AC129" s="718">
        <f t="shared" si="27"/>
        <v>0.5</v>
      </c>
      <c r="AD129" s="718">
        <f t="shared" si="27"/>
        <v>0.5</v>
      </c>
      <c r="AE129" s="718">
        <f t="shared" si="27"/>
        <v>0.5</v>
      </c>
      <c r="AF129" s="718">
        <f t="shared" si="27"/>
        <v>0.5</v>
      </c>
      <c r="AG129" s="718">
        <f t="shared" si="27"/>
        <v>0.5</v>
      </c>
      <c r="AH129" s="718">
        <f t="shared" si="27"/>
        <v>0.5</v>
      </c>
      <c r="AI129" s="718">
        <f t="shared" si="27"/>
        <v>0.5</v>
      </c>
      <c r="AJ129" s="718">
        <f t="shared" si="27"/>
        <v>0.5</v>
      </c>
      <c r="AK129" s="718">
        <f t="shared" si="27"/>
        <v>0.5</v>
      </c>
      <c r="AL129" s="718"/>
      <c r="AM129" s="718"/>
      <c r="AN129" s="718"/>
      <c r="AO129" s="718"/>
      <c r="AP129" s="718"/>
      <c r="AQ129" s="718"/>
      <c r="AR129" s="718"/>
      <c r="AS129" s="718"/>
      <c r="AT129" s="718"/>
      <c r="AU129" s="718"/>
      <c r="AV129" s="718"/>
      <c r="AW129" s="718"/>
      <c r="AX129" s="718"/>
      <c r="AY129" s="718"/>
      <c r="AZ129" s="718"/>
      <c r="BA129" s="718"/>
      <c r="BB129" s="718"/>
      <c r="BC129" s="718"/>
      <c r="BD129" s="718"/>
      <c r="BE129" s="718"/>
      <c r="BF129" s="718"/>
      <c r="BG129" s="718"/>
      <c r="BH129" s="718"/>
      <c r="BI129" s="718"/>
      <c r="BJ129" s="718"/>
      <c r="BK129" s="718"/>
      <c r="BL129" s="718"/>
      <c r="BM129" s="718"/>
      <c r="BN129" s="718"/>
      <c r="BO129" s="718"/>
      <c r="BP129" s="718"/>
      <c r="BQ129" s="718"/>
      <c r="BR129" s="718"/>
      <c r="BS129" s="718"/>
      <c r="BT129" s="718"/>
      <c r="BU129" s="718"/>
      <c r="BV129" s="718"/>
      <c r="BW129" s="718"/>
      <c r="BX129" s="718"/>
      <c r="BY129" s="718"/>
      <c r="BZ129" s="718"/>
      <c r="CA129" s="718"/>
      <c r="CB129" s="718"/>
      <c r="CC129" s="718"/>
      <c r="CD129" s="718"/>
      <c r="CE129" s="718"/>
      <c r="CF129" s="718"/>
      <c r="CG129" s="718"/>
      <c r="CH129" s="718"/>
      <c r="CI129" s="719"/>
      <c r="CK129" s="1296"/>
    </row>
    <row r="130" spans="2:89" x14ac:dyDescent="0.2">
      <c r="B130" s="720" t="s">
        <v>696</v>
      </c>
      <c r="C130" s="721" t="s">
        <v>483</v>
      </c>
      <c r="D130" s="715" t="s">
        <v>697</v>
      </c>
      <c r="E130" s="716" t="s">
        <v>236</v>
      </c>
      <c r="F130" s="717">
        <v>2</v>
      </c>
      <c r="G130" s="569" t="e">
        <f t="shared" ref="G130:AK130" si="28">G40+G106</f>
        <v>#REF!</v>
      </c>
      <c r="H130" s="569">
        <f t="shared" si="28"/>
        <v>0</v>
      </c>
      <c r="I130" s="569">
        <f t="shared" si="28"/>
        <v>5.7</v>
      </c>
      <c r="J130" s="569">
        <f t="shared" si="28"/>
        <v>5.7</v>
      </c>
      <c r="K130" s="569">
        <f t="shared" si="28"/>
        <v>5.7</v>
      </c>
      <c r="L130" s="569">
        <f t="shared" si="28"/>
        <v>5.7</v>
      </c>
      <c r="M130" s="569">
        <f t="shared" si="28"/>
        <v>5.7</v>
      </c>
      <c r="N130" s="569">
        <f t="shared" si="28"/>
        <v>5.7</v>
      </c>
      <c r="O130" s="569">
        <f t="shared" si="28"/>
        <v>5.7</v>
      </c>
      <c r="P130" s="569">
        <f t="shared" si="28"/>
        <v>5.7</v>
      </c>
      <c r="Q130" s="569">
        <f>Q40+Q106</f>
        <v>1.85</v>
      </c>
      <c r="R130" s="569">
        <f t="shared" si="28"/>
        <v>1.85</v>
      </c>
      <c r="S130" s="569">
        <f t="shared" si="28"/>
        <v>0</v>
      </c>
      <c r="T130" s="569">
        <f t="shared" si="28"/>
        <v>0</v>
      </c>
      <c r="U130" s="569">
        <f t="shared" si="28"/>
        <v>0</v>
      </c>
      <c r="V130" s="569">
        <f t="shared" si="28"/>
        <v>0</v>
      </c>
      <c r="W130" s="569">
        <f t="shared" si="28"/>
        <v>0</v>
      </c>
      <c r="X130" s="569">
        <f t="shared" si="28"/>
        <v>0</v>
      </c>
      <c r="Y130" s="569">
        <f t="shared" si="28"/>
        <v>0</v>
      </c>
      <c r="Z130" s="569">
        <f t="shared" si="28"/>
        <v>0</v>
      </c>
      <c r="AA130" s="569">
        <f t="shared" si="28"/>
        <v>0</v>
      </c>
      <c r="AB130" s="569">
        <f t="shared" si="28"/>
        <v>0</v>
      </c>
      <c r="AC130" s="569">
        <f t="shared" si="28"/>
        <v>0</v>
      </c>
      <c r="AD130" s="569">
        <f t="shared" si="28"/>
        <v>0</v>
      </c>
      <c r="AE130" s="569">
        <f t="shared" si="28"/>
        <v>0</v>
      </c>
      <c r="AF130" s="569">
        <f t="shared" si="28"/>
        <v>0</v>
      </c>
      <c r="AG130" s="569">
        <f t="shared" si="28"/>
        <v>0</v>
      </c>
      <c r="AH130" s="569">
        <f t="shared" si="28"/>
        <v>0</v>
      </c>
      <c r="AI130" s="569">
        <f t="shared" si="28"/>
        <v>0</v>
      </c>
      <c r="AJ130" s="569">
        <f t="shared" si="28"/>
        <v>0</v>
      </c>
      <c r="AK130" s="569">
        <f t="shared" si="28"/>
        <v>0</v>
      </c>
      <c r="AL130" s="718"/>
      <c r="AM130" s="718"/>
      <c r="AN130" s="718"/>
      <c r="AO130" s="718"/>
      <c r="AP130" s="718"/>
      <c r="AQ130" s="718"/>
      <c r="AR130" s="718"/>
      <c r="AS130" s="718"/>
      <c r="AT130" s="718"/>
      <c r="AU130" s="718"/>
      <c r="AV130" s="718"/>
      <c r="AW130" s="718"/>
      <c r="AX130" s="718"/>
      <c r="AY130" s="718"/>
      <c r="AZ130" s="718"/>
      <c r="BA130" s="718"/>
      <c r="BB130" s="718"/>
      <c r="BC130" s="718"/>
      <c r="BD130" s="718"/>
      <c r="BE130" s="718"/>
      <c r="BF130" s="718"/>
      <c r="BG130" s="718"/>
      <c r="BH130" s="718"/>
      <c r="BI130" s="718"/>
      <c r="BJ130" s="718"/>
      <c r="BK130" s="718"/>
      <c r="BL130" s="718"/>
      <c r="BM130" s="718"/>
      <c r="BN130" s="718"/>
      <c r="BO130" s="718"/>
      <c r="BP130" s="718"/>
      <c r="BQ130" s="718"/>
      <c r="BR130" s="718"/>
      <c r="BS130" s="718"/>
      <c r="BT130" s="718"/>
      <c r="BU130" s="718"/>
      <c r="BV130" s="718"/>
      <c r="BW130" s="718"/>
      <c r="BX130" s="718"/>
      <c r="BY130" s="718"/>
      <c r="BZ130" s="718"/>
      <c r="CA130" s="718"/>
      <c r="CB130" s="718"/>
      <c r="CC130" s="718"/>
      <c r="CD130" s="718"/>
      <c r="CE130" s="718"/>
      <c r="CF130" s="718"/>
      <c r="CG130" s="718"/>
      <c r="CH130" s="718"/>
      <c r="CI130" s="719"/>
      <c r="CK130" s="1296"/>
    </row>
    <row r="131" spans="2:89" x14ac:dyDescent="0.2">
      <c r="B131" s="722" t="s">
        <v>698</v>
      </c>
      <c r="C131" s="723" t="s">
        <v>387</v>
      </c>
      <c r="D131" s="723" t="s">
        <v>699</v>
      </c>
      <c r="E131" s="724" t="s">
        <v>236</v>
      </c>
      <c r="F131" s="717">
        <v>2</v>
      </c>
      <c r="G131" s="569" t="e">
        <f>(G128)-(G129+G130)</f>
        <v>#REF!</v>
      </c>
      <c r="H131" s="569">
        <f t="shared" ref="H131:AK131" si="29">(H128)-(H129+H130)</f>
        <v>0</v>
      </c>
      <c r="I131" s="569">
        <f>(I128)-(I129+I130)</f>
        <v>440.00597188</v>
      </c>
      <c r="J131" s="569">
        <f t="shared" si="29"/>
        <v>439.45100373999998</v>
      </c>
      <c r="K131" s="569">
        <f t="shared" si="29"/>
        <v>438.89284358999998</v>
      </c>
      <c r="L131" s="569">
        <f>(L128)-(L129+L130)</f>
        <v>438.33157066000001</v>
      </c>
      <c r="M131" s="569">
        <f t="shared" si="29"/>
        <v>437.76725991000001</v>
      </c>
      <c r="N131" s="569">
        <f t="shared" si="29"/>
        <v>437.19998242000003</v>
      </c>
      <c r="O131" s="569">
        <f t="shared" si="29"/>
        <v>446.29980567000001</v>
      </c>
      <c r="P131" s="569">
        <f t="shared" si="29"/>
        <v>445.72679382000001</v>
      </c>
      <c r="Q131" s="569">
        <f>(Q128)-(Q129+Q130)</f>
        <v>449.00100793999997</v>
      </c>
      <c r="R131" s="569">
        <f t="shared" si="29"/>
        <v>451.42250624999997</v>
      </c>
      <c r="S131" s="569">
        <f t="shared" si="29"/>
        <v>436.49134435000002</v>
      </c>
      <c r="T131" s="569">
        <f t="shared" si="29"/>
        <v>435.90757532000003</v>
      </c>
      <c r="U131" s="569">
        <f t="shared" si="29"/>
        <v>435.32124998</v>
      </c>
      <c r="V131" s="569">
        <f t="shared" si="29"/>
        <v>434.56241698000002</v>
      </c>
      <c r="W131" s="569">
        <f t="shared" si="29"/>
        <v>433.97112294999999</v>
      </c>
      <c r="X131" s="569">
        <f t="shared" si="29"/>
        <v>433.37741266</v>
      </c>
      <c r="Y131" s="569">
        <f t="shared" si="29"/>
        <v>432.78132907999998</v>
      </c>
      <c r="Z131" s="569">
        <f t="shared" si="29"/>
        <v>432.18291352</v>
      </c>
      <c r="AA131" s="569">
        <f t="shared" si="29"/>
        <v>431.58220575000001</v>
      </c>
      <c r="AB131" s="569">
        <f t="shared" si="29"/>
        <v>428.97924402000001</v>
      </c>
      <c r="AC131" s="569">
        <f t="shared" si="29"/>
        <v>428.37406522999999</v>
      </c>
      <c r="AD131" s="569">
        <f t="shared" si="29"/>
        <v>427.76670493</v>
      </c>
      <c r="AE131" s="569">
        <f t="shared" si="29"/>
        <v>427.15719744</v>
      </c>
      <c r="AF131" s="569">
        <f t="shared" si="29"/>
        <v>426.54557590000002</v>
      </c>
      <c r="AG131" s="569">
        <f t="shared" si="29"/>
        <v>425.93187233999998</v>
      </c>
      <c r="AH131" s="569">
        <f t="shared" si="29"/>
        <v>425.31611772000002</v>
      </c>
      <c r="AI131" s="569">
        <f t="shared" si="29"/>
        <v>424.69834200000003</v>
      </c>
      <c r="AJ131" s="569">
        <f t="shared" si="29"/>
        <v>424.07857417000002</v>
      </c>
      <c r="AK131" s="569">
        <f t="shared" si="29"/>
        <v>423.45684233999998</v>
      </c>
      <c r="AL131" s="569"/>
      <c r="AM131" s="569"/>
      <c r="AN131" s="569"/>
      <c r="AO131" s="569"/>
      <c r="AP131" s="569"/>
      <c r="AQ131" s="569"/>
      <c r="AR131" s="569"/>
      <c r="AS131" s="569"/>
      <c r="AT131" s="569"/>
      <c r="AU131" s="569"/>
      <c r="AV131" s="569"/>
      <c r="AW131" s="569"/>
      <c r="AX131" s="569"/>
      <c r="AY131" s="569"/>
      <c r="AZ131" s="569"/>
      <c r="BA131" s="569"/>
      <c r="BB131" s="569"/>
      <c r="BC131" s="569"/>
      <c r="BD131" s="569"/>
      <c r="BE131" s="569"/>
      <c r="BF131" s="569"/>
      <c r="BG131" s="569"/>
      <c r="BH131" s="569"/>
      <c r="BI131" s="569"/>
      <c r="BJ131" s="569"/>
      <c r="BK131" s="569"/>
      <c r="BL131" s="569"/>
      <c r="BM131" s="569"/>
      <c r="BN131" s="569"/>
      <c r="BO131" s="569"/>
      <c r="BP131" s="569"/>
      <c r="BQ131" s="569"/>
      <c r="BR131" s="569"/>
      <c r="BS131" s="569"/>
      <c r="BT131" s="569"/>
      <c r="BU131" s="569"/>
      <c r="BV131" s="569"/>
      <c r="BW131" s="569"/>
      <c r="BX131" s="569"/>
      <c r="BY131" s="569"/>
      <c r="BZ131" s="569"/>
      <c r="CA131" s="569"/>
      <c r="CB131" s="569"/>
      <c r="CC131" s="569"/>
      <c r="CD131" s="569"/>
      <c r="CE131" s="569"/>
      <c r="CF131" s="569"/>
      <c r="CG131" s="569"/>
      <c r="CH131" s="569"/>
      <c r="CI131" s="569"/>
      <c r="CK131" s="1296"/>
    </row>
    <row r="132" spans="2:89" ht="26.1" customHeight="1" thickBot="1" x14ac:dyDescent="0.25">
      <c r="B132" s="725" t="s">
        <v>700</v>
      </c>
      <c r="C132" s="726" t="s">
        <v>390</v>
      </c>
      <c r="D132" s="726" t="s">
        <v>701</v>
      </c>
      <c r="E132" s="727" t="s">
        <v>236</v>
      </c>
      <c r="F132" s="728">
        <v>2</v>
      </c>
      <c r="G132" s="729" t="e">
        <f t="shared" ref="G132:AK132" si="30">G131+SUM(G124:G127)</f>
        <v>#REF!</v>
      </c>
      <c r="H132" s="729">
        <f>H131+SUM(H124:H127)</f>
        <v>0</v>
      </c>
      <c r="I132" s="729">
        <f>I131+SUM(I124:I127)</f>
        <v>411.07822051013699</v>
      </c>
      <c r="J132" s="729">
        <f t="shared" si="30"/>
        <v>410.52325237013696</v>
      </c>
      <c r="K132" s="729">
        <f t="shared" si="30"/>
        <v>409.96509222013697</v>
      </c>
      <c r="L132" s="729">
        <f>L131+SUM(L124:L127)</f>
        <v>409.06580771469351</v>
      </c>
      <c r="M132" s="729">
        <f t="shared" si="30"/>
        <v>408.16534502242757</v>
      </c>
      <c r="N132" s="729">
        <f t="shared" si="30"/>
        <v>407.27772247217126</v>
      </c>
      <c r="O132" s="729">
        <f>O131+SUM(O124:O127)</f>
        <v>411.04697267943811</v>
      </c>
      <c r="P132" s="729">
        <f t="shared" si="30"/>
        <v>410.14269042426338</v>
      </c>
      <c r="Q132" s="729">
        <f>Q131+SUM(Q124:Q127)</f>
        <v>413.08702886397185</v>
      </c>
      <c r="R132" s="729">
        <f t="shared" si="30"/>
        <v>415.17911640197474</v>
      </c>
      <c r="S132" s="729">
        <f t="shared" si="30"/>
        <v>399.91714900509442</v>
      </c>
      <c r="T132" s="729">
        <f t="shared" si="30"/>
        <v>402.50466656553897</v>
      </c>
      <c r="U132" s="729">
        <f t="shared" si="30"/>
        <v>401.5877681828058</v>
      </c>
      <c r="V132" s="729">
        <f t="shared" si="30"/>
        <v>402.32893518280582</v>
      </c>
      <c r="W132" s="729">
        <f t="shared" si="30"/>
        <v>421.73996569427777</v>
      </c>
      <c r="X132" s="729">
        <f t="shared" si="30"/>
        <v>421.14625540427778</v>
      </c>
      <c r="Y132" s="729">
        <f t="shared" si="30"/>
        <v>420.55017182427775</v>
      </c>
      <c r="Z132" s="729">
        <f t="shared" si="30"/>
        <v>419.95175626427778</v>
      </c>
      <c r="AA132" s="729">
        <f t="shared" si="30"/>
        <v>419.35104849427779</v>
      </c>
      <c r="AB132" s="729">
        <f t="shared" si="30"/>
        <v>416.75041130574982</v>
      </c>
      <c r="AC132" s="729">
        <f t="shared" si="30"/>
        <v>416.1452325157498</v>
      </c>
      <c r="AD132" s="729">
        <f t="shared" si="30"/>
        <v>415.53787221574981</v>
      </c>
      <c r="AE132" s="729">
        <f t="shared" si="30"/>
        <v>414.92836472574982</v>
      </c>
      <c r="AF132" s="729">
        <f t="shared" si="30"/>
        <v>414.31674318574983</v>
      </c>
      <c r="AG132" s="729">
        <f t="shared" si="30"/>
        <v>413.7030396257498</v>
      </c>
      <c r="AH132" s="729">
        <f t="shared" si="30"/>
        <v>413.08728500574983</v>
      </c>
      <c r="AI132" s="729">
        <f t="shared" si="30"/>
        <v>412.47183382722181</v>
      </c>
      <c r="AJ132" s="729">
        <f t="shared" si="30"/>
        <v>411.85206599722181</v>
      </c>
      <c r="AK132" s="729">
        <f t="shared" si="30"/>
        <v>411.23033416722177</v>
      </c>
      <c r="AL132" s="729"/>
      <c r="AM132" s="729"/>
      <c r="AN132" s="729"/>
      <c r="AO132" s="729"/>
      <c r="AP132" s="729"/>
      <c r="AQ132" s="729"/>
      <c r="AR132" s="729"/>
      <c r="AS132" s="729"/>
      <c r="AT132" s="729"/>
      <c r="AU132" s="729"/>
      <c r="AV132" s="729"/>
      <c r="AW132" s="729"/>
      <c r="AX132" s="729"/>
      <c r="AY132" s="729"/>
      <c r="AZ132" s="729"/>
      <c r="BA132" s="729"/>
      <c r="BB132" s="729"/>
      <c r="BC132" s="729"/>
      <c r="BD132" s="729"/>
      <c r="BE132" s="729"/>
      <c r="BF132" s="729"/>
      <c r="BG132" s="729"/>
      <c r="BH132" s="729"/>
      <c r="BI132" s="729"/>
      <c r="BJ132" s="729"/>
      <c r="BK132" s="729"/>
      <c r="BL132" s="729"/>
      <c r="BM132" s="729"/>
      <c r="BN132" s="729"/>
      <c r="BO132" s="729"/>
      <c r="BP132" s="729"/>
      <c r="BQ132" s="729"/>
      <c r="BR132" s="729"/>
      <c r="BS132" s="729"/>
      <c r="BT132" s="729"/>
      <c r="BU132" s="729"/>
      <c r="BV132" s="729"/>
      <c r="BW132" s="729"/>
      <c r="BX132" s="729"/>
      <c r="BY132" s="729"/>
      <c r="BZ132" s="729"/>
      <c r="CA132" s="729"/>
      <c r="CB132" s="729"/>
      <c r="CC132" s="729"/>
      <c r="CD132" s="729"/>
      <c r="CE132" s="729"/>
      <c r="CF132" s="729"/>
      <c r="CG132" s="729"/>
      <c r="CH132" s="729"/>
      <c r="CI132" s="729"/>
      <c r="CK132" s="1296"/>
    </row>
    <row r="133" spans="2:89" x14ac:dyDescent="0.2">
      <c r="B133" s="730" t="s">
        <v>702</v>
      </c>
      <c r="C133" s="731" t="s">
        <v>489</v>
      </c>
      <c r="D133" s="732" t="s">
        <v>703</v>
      </c>
      <c r="E133" s="733" t="s">
        <v>236</v>
      </c>
      <c r="F133" s="734">
        <v>2</v>
      </c>
      <c r="G133" s="735">
        <f t="shared" ref="G133:AK133" si="31">G43+G107</f>
        <v>0</v>
      </c>
      <c r="H133" s="735">
        <f t="shared" si="31"/>
        <v>0</v>
      </c>
      <c r="I133" s="735">
        <f t="shared" si="31"/>
        <v>49.738486115620127</v>
      </c>
      <c r="J133" s="735">
        <f t="shared" si="31"/>
        <v>50.756445337807506</v>
      </c>
      <c r="K133" s="735">
        <f t="shared" si="31"/>
        <v>53.261945062098761</v>
      </c>
      <c r="L133" s="735">
        <f t="shared" si="31"/>
        <v>55.72470072759991</v>
      </c>
      <c r="M133" s="736">
        <f t="shared" si="31"/>
        <v>59.87397371126697</v>
      </c>
      <c r="N133" s="736">
        <f t="shared" si="31"/>
        <v>60.473147294269737</v>
      </c>
      <c r="O133" s="736">
        <f t="shared" si="31"/>
        <v>59.448419065459824</v>
      </c>
      <c r="P133" s="736">
        <f t="shared" si="31"/>
        <v>60.629809545443145</v>
      </c>
      <c r="Q133" s="736">
        <f t="shared" si="31"/>
        <v>61.285071916515754</v>
      </c>
      <c r="R133" s="736">
        <f t="shared" si="31"/>
        <v>61.249252037965945</v>
      </c>
      <c r="S133" s="736">
        <f t="shared" si="31"/>
        <v>60.749423878095897</v>
      </c>
      <c r="T133" s="736">
        <f t="shared" si="31"/>
        <v>60.593536241297983</v>
      </c>
      <c r="U133" s="736">
        <f t="shared" si="31"/>
        <v>60.275627538172515</v>
      </c>
      <c r="V133" s="736">
        <f t="shared" si="31"/>
        <v>59.639625978680371</v>
      </c>
      <c r="W133" s="736">
        <f t="shared" si="31"/>
        <v>58.894682945107675</v>
      </c>
      <c r="X133" s="736">
        <f t="shared" si="31"/>
        <v>57.811842348418182</v>
      </c>
      <c r="Y133" s="736">
        <f t="shared" si="31"/>
        <v>56.773032963292344</v>
      </c>
      <c r="Z133" s="736">
        <f t="shared" si="31"/>
        <v>56.249105124658676</v>
      </c>
      <c r="AA133" s="736">
        <f t="shared" si="31"/>
        <v>56.239749529828167</v>
      </c>
      <c r="AB133" s="736">
        <f t="shared" si="31"/>
        <v>56.230326974896329</v>
      </c>
      <c r="AC133" s="736">
        <f t="shared" si="31"/>
        <v>56.219234124620094</v>
      </c>
      <c r="AD133" s="736">
        <f t="shared" si="31"/>
        <v>56.207262356837134</v>
      </c>
      <c r="AE133" s="736">
        <f t="shared" si="31"/>
        <v>56.195729330648355</v>
      </c>
      <c r="AF133" s="736">
        <f t="shared" si="31"/>
        <v>56.186774199416242</v>
      </c>
      <c r="AG133" s="736">
        <f t="shared" si="31"/>
        <v>56.179475786056393</v>
      </c>
      <c r="AH133" s="736">
        <f t="shared" si="31"/>
        <v>56.172824210999146</v>
      </c>
      <c r="AI133" s="736">
        <f t="shared" si="31"/>
        <v>56.166734086312431</v>
      </c>
      <c r="AJ133" s="736">
        <f t="shared" si="31"/>
        <v>56.161555718134807</v>
      </c>
      <c r="AK133" s="736">
        <f t="shared" si="31"/>
        <v>56.156711737588275</v>
      </c>
      <c r="AL133" s="736"/>
      <c r="AM133" s="736"/>
      <c r="AN133" s="736"/>
      <c r="AO133" s="736"/>
      <c r="AP133" s="736"/>
      <c r="AQ133" s="736"/>
      <c r="AR133" s="736"/>
      <c r="AS133" s="736"/>
      <c r="AT133" s="736"/>
      <c r="AU133" s="736"/>
      <c r="AV133" s="736"/>
      <c r="AW133" s="736"/>
      <c r="AX133" s="736"/>
      <c r="AY133" s="736"/>
      <c r="AZ133" s="736"/>
      <c r="BA133" s="736"/>
      <c r="BB133" s="736"/>
      <c r="BC133" s="736"/>
      <c r="BD133" s="736"/>
      <c r="BE133" s="736"/>
      <c r="BF133" s="736"/>
      <c r="BG133" s="736"/>
      <c r="BH133" s="736"/>
      <c r="BI133" s="736"/>
      <c r="BJ133" s="736"/>
      <c r="BK133" s="736"/>
      <c r="BL133" s="736"/>
      <c r="BM133" s="736"/>
      <c r="BN133" s="736"/>
      <c r="BO133" s="736"/>
      <c r="BP133" s="736"/>
      <c r="BQ133" s="736"/>
      <c r="BR133" s="736"/>
      <c r="BS133" s="736"/>
      <c r="BT133" s="736"/>
      <c r="BU133" s="736"/>
      <c r="BV133" s="736"/>
      <c r="BW133" s="736"/>
      <c r="BX133" s="736"/>
      <c r="BY133" s="736"/>
      <c r="BZ133" s="736"/>
      <c r="CA133" s="736"/>
      <c r="CB133" s="736"/>
      <c r="CC133" s="736"/>
      <c r="CD133" s="736"/>
      <c r="CE133" s="736"/>
      <c r="CF133" s="736"/>
      <c r="CG133" s="736"/>
      <c r="CH133" s="736"/>
      <c r="CI133" s="737"/>
      <c r="CK133" s="1296"/>
    </row>
    <row r="134" spans="2:89" x14ac:dyDescent="0.2">
      <c r="B134" s="1043" t="s">
        <v>704</v>
      </c>
      <c r="C134" s="1044" t="s">
        <v>705</v>
      </c>
      <c r="D134" s="1045" t="s">
        <v>86</v>
      </c>
      <c r="E134" s="1046" t="s">
        <v>236</v>
      </c>
      <c r="F134" s="1047">
        <v>2</v>
      </c>
      <c r="G134" s="540"/>
      <c r="H134" s="1008"/>
      <c r="I134" s="1008">
        <v>0</v>
      </c>
      <c r="J134" s="1008">
        <v>0</v>
      </c>
      <c r="K134" s="1008">
        <v>0</v>
      </c>
      <c r="L134" s="1008">
        <v>0</v>
      </c>
      <c r="M134" s="1344">
        <v>0</v>
      </c>
      <c r="N134" s="1344">
        <v>0</v>
      </c>
      <c r="O134" s="1344">
        <v>0</v>
      </c>
      <c r="P134" s="1344">
        <v>0</v>
      </c>
      <c r="Q134" s="1344">
        <v>0</v>
      </c>
      <c r="R134" s="1344">
        <v>0</v>
      </c>
      <c r="S134" s="1344">
        <v>0</v>
      </c>
      <c r="T134" s="1344">
        <v>0</v>
      </c>
      <c r="U134" s="1344">
        <v>0</v>
      </c>
      <c r="V134" s="1344">
        <v>0</v>
      </c>
      <c r="W134" s="1344">
        <v>0</v>
      </c>
      <c r="X134" s="1344">
        <v>0</v>
      </c>
      <c r="Y134" s="1344">
        <v>0</v>
      </c>
      <c r="Z134" s="1344">
        <v>0</v>
      </c>
      <c r="AA134" s="1344">
        <v>0</v>
      </c>
      <c r="AB134" s="1344">
        <v>0</v>
      </c>
      <c r="AC134" s="1344">
        <v>0</v>
      </c>
      <c r="AD134" s="1344">
        <v>0</v>
      </c>
      <c r="AE134" s="1344">
        <v>0</v>
      </c>
      <c r="AF134" s="1344">
        <v>0</v>
      </c>
      <c r="AG134" s="1344">
        <v>0</v>
      </c>
      <c r="AH134" s="1344">
        <v>0</v>
      </c>
      <c r="AI134" s="1344">
        <v>0</v>
      </c>
      <c r="AJ134" s="1344">
        <v>0</v>
      </c>
      <c r="AK134" s="1344">
        <v>0</v>
      </c>
      <c r="AL134" s="1344"/>
      <c r="AM134" s="1344"/>
      <c r="AN134" s="1344"/>
      <c r="AO134" s="1344"/>
      <c r="AP134" s="1344"/>
      <c r="AQ134" s="1344"/>
      <c r="AR134" s="1344"/>
      <c r="AS134" s="1344"/>
      <c r="AT134" s="1344"/>
      <c r="AU134" s="1344"/>
      <c r="AV134" s="1344"/>
      <c r="AW134" s="1344"/>
      <c r="AX134" s="1344"/>
      <c r="AY134" s="1344"/>
      <c r="AZ134" s="1344"/>
      <c r="BA134" s="1344"/>
      <c r="BB134" s="1344"/>
      <c r="BC134" s="1344"/>
      <c r="BD134" s="1344"/>
      <c r="BE134" s="1344"/>
      <c r="BF134" s="1344"/>
      <c r="BG134" s="1344"/>
      <c r="BH134" s="1344"/>
      <c r="BI134" s="1344"/>
      <c r="BJ134" s="1344"/>
      <c r="BK134" s="1344"/>
      <c r="BL134" s="1344"/>
      <c r="BM134" s="1344"/>
      <c r="BN134" s="1344"/>
      <c r="BO134" s="1344"/>
      <c r="BP134" s="1344"/>
      <c r="BQ134" s="1344"/>
      <c r="BR134" s="1344"/>
      <c r="BS134" s="1344"/>
      <c r="BT134" s="1344"/>
      <c r="BU134" s="1344"/>
      <c r="BV134" s="1344"/>
      <c r="BW134" s="1344"/>
      <c r="BX134" s="1344"/>
      <c r="BY134" s="1344"/>
      <c r="BZ134" s="1344"/>
      <c r="CA134" s="1344"/>
      <c r="CB134" s="1344"/>
      <c r="CC134" s="1344"/>
      <c r="CD134" s="1344"/>
      <c r="CE134" s="1344"/>
      <c r="CF134" s="1344"/>
      <c r="CG134" s="1344"/>
      <c r="CH134" s="1344"/>
      <c r="CI134" s="1344"/>
      <c r="CK134" s="1296"/>
    </row>
    <row r="135" spans="2:89" x14ac:dyDescent="0.2">
      <c r="B135" s="1043" t="s">
        <v>706</v>
      </c>
      <c r="C135" s="1044" t="s">
        <v>493</v>
      </c>
      <c r="D135" s="1045" t="s">
        <v>707</v>
      </c>
      <c r="E135" s="1046" t="s">
        <v>236</v>
      </c>
      <c r="F135" s="1047">
        <v>2</v>
      </c>
      <c r="G135" s="569">
        <f t="shared" ref="G135:AK135" si="32">G45+G108</f>
        <v>0</v>
      </c>
      <c r="H135" s="569">
        <f t="shared" si="32"/>
        <v>0</v>
      </c>
      <c r="I135" s="569">
        <f t="shared" si="32"/>
        <v>0.96834019650590819</v>
      </c>
      <c r="J135" s="569">
        <f t="shared" si="32"/>
        <v>0.96149187075335063</v>
      </c>
      <c r="K135" s="569">
        <f t="shared" si="32"/>
        <v>0.94933810018513609</v>
      </c>
      <c r="L135" s="569">
        <f t="shared" si="32"/>
        <v>0.93721838003333457</v>
      </c>
      <c r="M135" s="718">
        <f t="shared" si="32"/>
        <v>0.99081450299965446</v>
      </c>
      <c r="N135" s="718">
        <f t="shared" si="32"/>
        <v>0.80417782182166875</v>
      </c>
      <c r="O135" s="718">
        <f t="shared" si="32"/>
        <v>0.61863436433548957</v>
      </c>
      <c r="P135" s="718">
        <f t="shared" si="32"/>
        <v>0.43323348098199022</v>
      </c>
      <c r="Q135" s="718">
        <f t="shared" si="32"/>
        <v>0.29543453477766279</v>
      </c>
      <c r="R135" s="718">
        <f t="shared" si="32"/>
        <v>0.24787966537101025</v>
      </c>
      <c r="S135" s="718">
        <f t="shared" si="32"/>
        <v>0.24730993092538389</v>
      </c>
      <c r="T135" s="718">
        <f t="shared" si="32"/>
        <v>0.24674056205445671</v>
      </c>
      <c r="U135" s="718">
        <f t="shared" si="32"/>
        <v>0.24617155875822883</v>
      </c>
      <c r="V135" s="718">
        <f t="shared" si="32"/>
        <v>0.24560292103670001</v>
      </c>
      <c r="W135" s="718">
        <f t="shared" si="32"/>
        <v>0.24503464888987048</v>
      </c>
      <c r="X135" s="718">
        <f t="shared" si="32"/>
        <v>0.24446674231774002</v>
      </c>
      <c r="Y135" s="718">
        <f t="shared" si="32"/>
        <v>0.24389920132030873</v>
      </c>
      <c r="Z135" s="718">
        <f t="shared" si="32"/>
        <v>0.24333202589757663</v>
      </c>
      <c r="AA135" s="718">
        <f t="shared" si="32"/>
        <v>0.24276521604954382</v>
      </c>
      <c r="AB135" s="718">
        <f t="shared" si="32"/>
        <v>0.24219877177621008</v>
      </c>
      <c r="AC135" s="718">
        <f t="shared" si="32"/>
        <v>0.24163269307757551</v>
      </c>
      <c r="AD135" s="718">
        <f t="shared" si="32"/>
        <v>0.24106697995364024</v>
      </c>
      <c r="AE135" s="718">
        <f t="shared" si="32"/>
        <v>0.24050163240440403</v>
      </c>
      <c r="AF135" s="718">
        <f t="shared" si="32"/>
        <v>0.239936650429867</v>
      </c>
      <c r="AG135" s="718">
        <f t="shared" si="32"/>
        <v>0.23937203403002927</v>
      </c>
      <c r="AH135" s="718">
        <f t="shared" si="32"/>
        <v>0.2388077832048906</v>
      </c>
      <c r="AI135" s="718">
        <f t="shared" si="32"/>
        <v>0.23824389795445111</v>
      </c>
      <c r="AJ135" s="718">
        <f t="shared" si="32"/>
        <v>0.23768037827871091</v>
      </c>
      <c r="AK135" s="718">
        <f t="shared" si="32"/>
        <v>0.23711722417766978</v>
      </c>
      <c r="AL135" s="718"/>
      <c r="AM135" s="718"/>
      <c r="AN135" s="718"/>
      <c r="AO135" s="718"/>
      <c r="AP135" s="718"/>
      <c r="AQ135" s="718"/>
      <c r="AR135" s="718"/>
      <c r="AS135" s="718"/>
      <c r="AT135" s="718"/>
      <c r="AU135" s="718"/>
      <c r="AV135" s="718"/>
      <c r="AW135" s="718"/>
      <c r="AX135" s="718"/>
      <c r="AY135" s="718"/>
      <c r="AZ135" s="718"/>
      <c r="BA135" s="718"/>
      <c r="BB135" s="718"/>
      <c r="BC135" s="718"/>
      <c r="BD135" s="718"/>
      <c r="BE135" s="718"/>
      <c r="BF135" s="718"/>
      <c r="BG135" s="718"/>
      <c r="BH135" s="718"/>
      <c r="BI135" s="718"/>
      <c r="BJ135" s="718"/>
      <c r="BK135" s="718"/>
      <c r="BL135" s="718"/>
      <c r="BM135" s="718"/>
      <c r="BN135" s="718"/>
      <c r="BO135" s="718"/>
      <c r="BP135" s="718"/>
      <c r="BQ135" s="718"/>
      <c r="BR135" s="718"/>
      <c r="BS135" s="718"/>
      <c r="BT135" s="718"/>
      <c r="BU135" s="718"/>
      <c r="BV135" s="718"/>
      <c r="BW135" s="718"/>
      <c r="BX135" s="718"/>
      <c r="BY135" s="718"/>
      <c r="BZ135" s="718"/>
      <c r="CA135" s="718"/>
      <c r="CB135" s="718"/>
      <c r="CC135" s="718"/>
      <c r="CD135" s="718"/>
      <c r="CE135" s="718"/>
      <c r="CF135" s="718"/>
      <c r="CG135" s="718"/>
      <c r="CH135" s="718"/>
      <c r="CI135" s="719"/>
      <c r="CK135" s="1296"/>
    </row>
    <row r="136" spans="2:89" x14ac:dyDescent="0.2">
      <c r="B136" s="738" t="s">
        <v>708</v>
      </c>
      <c r="C136" s="739" t="s">
        <v>495</v>
      </c>
      <c r="D136" s="740" t="s">
        <v>709</v>
      </c>
      <c r="E136" s="741" t="s">
        <v>236</v>
      </c>
      <c r="F136" s="742">
        <v>2</v>
      </c>
      <c r="G136" s="569">
        <f t="shared" ref="G136:AK136" si="33">G46+G109</f>
        <v>0</v>
      </c>
      <c r="H136" s="569">
        <f t="shared" si="33"/>
        <v>0</v>
      </c>
      <c r="I136" s="569">
        <f t="shared" si="33"/>
        <v>156.54745468951842</v>
      </c>
      <c r="J136" s="569">
        <f t="shared" si="33"/>
        <v>157.27535158807922</v>
      </c>
      <c r="K136" s="569">
        <f t="shared" si="33"/>
        <v>161.03402154549761</v>
      </c>
      <c r="L136" s="569">
        <f t="shared" si="33"/>
        <v>165.05155782742975</v>
      </c>
      <c r="M136" s="718">
        <f t="shared" si="33"/>
        <v>181.4082961237965</v>
      </c>
      <c r="N136" s="718">
        <f t="shared" si="33"/>
        <v>205.7015714273748</v>
      </c>
      <c r="O136" s="718">
        <f t="shared" si="33"/>
        <v>219.4251503280978</v>
      </c>
      <c r="P136" s="718">
        <f t="shared" si="33"/>
        <v>226.66925624356796</v>
      </c>
      <c r="Q136" s="718">
        <f t="shared" si="33"/>
        <v>233.80824915454136</v>
      </c>
      <c r="R136" s="718">
        <f t="shared" si="33"/>
        <v>239.39965767593284</v>
      </c>
      <c r="S136" s="718">
        <f t="shared" si="33"/>
        <v>244.14213636202106</v>
      </c>
      <c r="T136" s="718">
        <f t="shared" si="33"/>
        <v>248.31317393365796</v>
      </c>
      <c r="U136" s="718">
        <f t="shared" si="33"/>
        <v>251.81559523583286</v>
      </c>
      <c r="V136" s="718">
        <f t="shared" si="33"/>
        <v>255.2143350892128</v>
      </c>
      <c r="W136" s="718">
        <f t="shared" si="33"/>
        <v>256.67768736847341</v>
      </c>
      <c r="X136" s="718">
        <f t="shared" si="33"/>
        <v>255.01238671948661</v>
      </c>
      <c r="Y136" s="718">
        <f t="shared" si="33"/>
        <v>253.36896785084519</v>
      </c>
      <c r="Z136" s="718">
        <f t="shared" si="33"/>
        <v>251.85926205243078</v>
      </c>
      <c r="AA136" s="718">
        <f t="shared" si="33"/>
        <v>250.4051800278117</v>
      </c>
      <c r="AB136" s="718">
        <f t="shared" si="33"/>
        <v>245.90949742422603</v>
      </c>
      <c r="AC136" s="718">
        <f t="shared" si="33"/>
        <v>244.56855316263236</v>
      </c>
      <c r="AD136" s="718">
        <f t="shared" si="33"/>
        <v>243.33782285905389</v>
      </c>
      <c r="AE136" s="718">
        <f t="shared" si="33"/>
        <v>242.95169163041422</v>
      </c>
      <c r="AF136" s="718">
        <f t="shared" si="33"/>
        <v>242.64887511202167</v>
      </c>
      <c r="AG136" s="718">
        <f t="shared" si="33"/>
        <v>243.84068770384559</v>
      </c>
      <c r="AH136" s="718">
        <f t="shared" si="33"/>
        <v>240.86395378579337</v>
      </c>
      <c r="AI136" s="718">
        <f t="shared" si="33"/>
        <v>242.17532380033708</v>
      </c>
      <c r="AJ136" s="718">
        <f t="shared" si="33"/>
        <v>241.39307802636614</v>
      </c>
      <c r="AK136" s="718">
        <f t="shared" si="33"/>
        <v>242.77196453758461</v>
      </c>
      <c r="AL136" s="718"/>
      <c r="AM136" s="718"/>
      <c r="AN136" s="718"/>
      <c r="AO136" s="718"/>
      <c r="AP136" s="718"/>
      <c r="AQ136" s="718"/>
      <c r="AR136" s="718"/>
      <c r="AS136" s="718"/>
      <c r="AT136" s="718"/>
      <c r="AU136" s="718"/>
      <c r="AV136" s="718"/>
      <c r="AW136" s="718"/>
      <c r="AX136" s="718"/>
      <c r="AY136" s="718"/>
      <c r="AZ136" s="718"/>
      <c r="BA136" s="718"/>
      <c r="BB136" s="718"/>
      <c r="BC136" s="718"/>
      <c r="BD136" s="718"/>
      <c r="BE136" s="718"/>
      <c r="BF136" s="718"/>
      <c r="BG136" s="718"/>
      <c r="BH136" s="718"/>
      <c r="BI136" s="718"/>
      <c r="BJ136" s="718"/>
      <c r="BK136" s="718"/>
      <c r="BL136" s="718"/>
      <c r="BM136" s="718"/>
      <c r="BN136" s="718"/>
      <c r="BO136" s="718"/>
      <c r="BP136" s="718"/>
      <c r="BQ136" s="718"/>
      <c r="BR136" s="718"/>
      <c r="BS136" s="718"/>
      <c r="BT136" s="718"/>
      <c r="BU136" s="718"/>
      <c r="BV136" s="718"/>
      <c r="BW136" s="718"/>
      <c r="BX136" s="718"/>
      <c r="BY136" s="718"/>
      <c r="BZ136" s="718"/>
      <c r="CA136" s="718"/>
      <c r="CB136" s="718"/>
      <c r="CC136" s="718"/>
      <c r="CD136" s="718"/>
      <c r="CE136" s="718"/>
      <c r="CF136" s="718"/>
      <c r="CG136" s="718"/>
      <c r="CH136" s="718"/>
      <c r="CI136" s="719"/>
      <c r="CK136" s="1296"/>
    </row>
    <row r="137" spans="2:89" x14ac:dyDescent="0.2">
      <c r="B137" s="738" t="s">
        <v>710</v>
      </c>
      <c r="C137" s="739" t="s">
        <v>497</v>
      </c>
      <c r="D137" s="740" t="s">
        <v>711</v>
      </c>
      <c r="E137" s="741" t="s">
        <v>236</v>
      </c>
      <c r="F137" s="742">
        <v>2</v>
      </c>
      <c r="G137" s="569">
        <f t="shared" ref="G137:AK137" si="34">G47+G110</f>
        <v>0</v>
      </c>
      <c r="H137" s="569">
        <f t="shared" si="34"/>
        <v>0</v>
      </c>
      <c r="I137" s="569">
        <f t="shared" si="34"/>
        <v>148.78565809476243</v>
      </c>
      <c r="J137" s="569">
        <f t="shared" si="34"/>
        <v>142.80973728605437</v>
      </c>
      <c r="K137" s="569">
        <f t="shared" si="34"/>
        <v>136.86793728753355</v>
      </c>
      <c r="L137" s="569">
        <f t="shared" si="34"/>
        <v>129.40851803821832</v>
      </c>
      <c r="M137" s="718">
        <f t="shared" si="34"/>
        <v>109.16545933942677</v>
      </c>
      <c r="N137" s="718">
        <f t="shared" si="34"/>
        <v>82.230461296952129</v>
      </c>
      <c r="O137" s="718">
        <f t="shared" si="34"/>
        <v>66.875632513213304</v>
      </c>
      <c r="P137" s="718">
        <f t="shared" si="34"/>
        <v>57.673913211390563</v>
      </c>
      <c r="Q137" s="718">
        <f t="shared" si="34"/>
        <v>47.928723096218896</v>
      </c>
      <c r="R137" s="718">
        <f t="shared" si="34"/>
        <v>39.272287713359809</v>
      </c>
      <c r="S137" s="718">
        <f t="shared" si="34"/>
        <v>31.713581915537624</v>
      </c>
      <c r="T137" s="718">
        <f t="shared" si="34"/>
        <v>24.341223350266567</v>
      </c>
      <c r="U137" s="718">
        <f t="shared" si="34"/>
        <v>17.09656235532745</v>
      </c>
      <c r="V137" s="718">
        <f t="shared" si="34"/>
        <v>10.033068950368531</v>
      </c>
      <c r="W137" s="718">
        <f t="shared" si="34"/>
        <v>6.4761732044659936</v>
      </c>
      <c r="X137" s="718">
        <f t="shared" si="34"/>
        <v>6.3591582043897716</v>
      </c>
      <c r="Y137" s="718">
        <f t="shared" si="34"/>
        <v>6.2434098296867546</v>
      </c>
      <c r="Z137" s="718">
        <f t="shared" si="34"/>
        <v>6.1300923598954853</v>
      </c>
      <c r="AA137" s="718">
        <f t="shared" si="34"/>
        <v>6.0174534814862</v>
      </c>
      <c r="AB137" s="718">
        <f t="shared" si="34"/>
        <v>5.9077238513034587</v>
      </c>
      <c r="AC137" s="718">
        <f t="shared" si="34"/>
        <v>5.7990999498770606</v>
      </c>
      <c r="AD137" s="718">
        <f t="shared" si="34"/>
        <v>5.6932602873176137</v>
      </c>
      <c r="AE137" s="718">
        <f t="shared" si="34"/>
        <v>5.6075060216819708</v>
      </c>
      <c r="AF137" s="718">
        <f t="shared" si="34"/>
        <v>5.5229978564789093</v>
      </c>
      <c r="AG137" s="718">
        <f t="shared" si="34"/>
        <v>5.4260855187872892</v>
      </c>
      <c r="AH137" s="718">
        <f t="shared" si="34"/>
        <v>5.3801111123917735</v>
      </c>
      <c r="AI137" s="718">
        <f t="shared" si="34"/>
        <v>5.3341631831686556</v>
      </c>
      <c r="AJ137" s="718">
        <f t="shared" si="34"/>
        <v>5.2888231660149927</v>
      </c>
      <c r="AK137" s="718">
        <f t="shared" si="34"/>
        <v>5.2434893481072891</v>
      </c>
      <c r="AL137" s="718"/>
      <c r="AM137" s="718"/>
      <c r="AN137" s="718"/>
      <c r="AO137" s="718"/>
      <c r="AP137" s="718"/>
      <c r="AQ137" s="718"/>
      <c r="AR137" s="718"/>
      <c r="AS137" s="718"/>
      <c r="AT137" s="718"/>
      <c r="AU137" s="718"/>
      <c r="AV137" s="718"/>
      <c r="AW137" s="718"/>
      <c r="AX137" s="718"/>
      <c r="AY137" s="718"/>
      <c r="AZ137" s="718"/>
      <c r="BA137" s="718"/>
      <c r="BB137" s="718"/>
      <c r="BC137" s="718"/>
      <c r="BD137" s="718"/>
      <c r="BE137" s="718"/>
      <c r="BF137" s="718"/>
      <c r="BG137" s="718"/>
      <c r="BH137" s="718"/>
      <c r="BI137" s="718"/>
      <c r="BJ137" s="718"/>
      <c r="BK137" s="718"/>
      <c r="BL137" s="718"/>
      <c r="BM137" s="718"/>
      <c r="BN137" s="718"/>
      <c r="BO137" s="718"/>
      <c r="BP137" s="718"/>
      <c r="BQ137" s="718"/>
      <c r="BR137" s="718"/>
      <c r="BS137" s="718"/>
      <c r="BT137" s="718"/>
      <c r="BU137" s="718"/>
      <c r="BV137" s="718"/>
      <c r="BW137" s="718"/>
      <c r="BX137" s="718"/>
      <c r="BY137" s="718"/>
      <c r="BZ137" s="718"/>
      <c r="CA137" s="718"/>
      <c r="CB137" s="718"/>
      <c r="CC137" s="718"/>
      <c r="CD137" s="718"/>
      <c r="CE137" s="718"/>
      <c r="CF137" s="718"/>
      <c r="CG137" s="718"/>
      <c r="CH137" s="718"/>
      <c r="CI137" s="719"/>
      <c r="CK137" s="1296"/>
    </row>
    <row r="138" spans="2:89" ht="28.5" x14ac:dyDescent="0.2">
      <c r="B138" s="738" t="s">
        <v>712</v>
      </c>
      <c r="C138" s="739" t="s">
        <v>499</v>
      </c>
      <c r="D138" s="740" t="s">
        <v>498</v>
      </c>
      <c r="E138" s="741" t="s">
        <v>375</v>
      </c>
      <c r="F138" s="742">
        <v>1</v>
      </c>
      <c r="G138" s="743">
        <f t="shared" ref="G138:AK138" si="35">G48</f>
        <v>0</v>
      </c>
      <c r="H138" s="743">
        <f t="shared" si="35"/>
        <v>0</v>
      </c>
      <c r="I138" s="743">
        <f t="shared" si="35"/>
        <v>0</v>
      </c>
      <c r="J138" s="743">
        <f t="shared" si="35"/>
        <v>1.8192023671781592E-3</v>
      </c>
      <c r="K138" s="743">
        <f t="shared" si="35"/>
        <v>3.0056039511091753E-3</v>
      </c>
      <c r="L138" s="743">
        <f t="shared" si="35"/>
        <v>4.2028547891914672E-3</v>
      </c>
      <c r="M138" s="744">
        <f t="shared" si="35"/>
        <v>4.9873535543756703E-3</v>
      </c>
      <c r="N138" s="744">
        <f t="shared" si="35"/>
        <v>5.0620073038456616E-3</v>
      </c>
      <c r="O138" s="744">
        <f t="shared" si="35"/>
        <v>5.2609225846119928E-3</v>
      </c>
      <c r="P138" s="744">
        <f t="shared" si="35"/>
        <v>5.3708010272811016E-3</v>
      </c>
      <c r="Q138" s="744">
        <f t="shared" si="35"/>
        <v>5.4897817200605659E-3</v>
      </c>
      <c r="R138" s="744">
        <f t="shared" si="35"/>
        <v>5.692778911621032E-3</v>
      </c>
      <c r="S138" s="744">
        <f t="shared" si="35"/>
        <v>5.827342061129513E-3</v>
      </c>
      <c r="T138" s="744">
        <f t="shared" si="35"/>
        <v>6.0309671728492444E-3</v>
      </c>
      <c r="U138" s="744">
        <f t="shared" si="35"/>
        <v>6.1619893641605399E-3</v>
      </c>
      <c r="V138" s="744">
        <f t="shared" si="35"/>
        <v>6.2958027187031062E-3</v>
      </c>
      <c r="W138" s="744">
        <f t="shared" si="35"/>
        <v>6.5042785473989218E-3</v>
      </c>
      <c r="X138" s="744">
        <f t="shared" si="35"/>
        <v>6.6449495523997724E-3</v>
      </c>
      <c r="Y138" s="744">
        <f t="shared" si="35"/>
        <v>6.8555690305523104E-3</v>
      </c>
      <c r="Z138" s="744">
        <f t="shared" si="35"/>
        <v>6.9908111424007227E-3</v>
      </c>
      <c r="AA138" s="744">
        <f t="shared" si="35"/>
        <v>7.1144599809932251E-3</v>
      </c>
      <c r="AB138" s="744">
        <f t="shared" si="35"/>
        <v>1.4435924962700592E-2</v>
      </c>
      <c r="AC138" s="744">
        <f t="shared" si="35"/>
        <v>7.4458425304231067E-3</v>
      </c>
      <c r="AD138" s="744">
        <f t="shared" si="35"/>
        <v>7.5902698652461848E-3</v>
      </c>
      <c r="AE138" s="744">
        <f t="shared" si="35"/>
        <v>7.7324244240050211E-3</v>
      </c>
      <c r="AF138" s="744">
        <f t="shared" si="35"/>
        <v>7.8722512345585395E-3</v>
      </c>
      <c r="AG138" s="744">
        <f t="shared" si="35"/>
        <v>9.8096142886950101E-3</v>
      </c>
      <c r="AH138" s="744">
        <f t="shared" si="35"/>
        <v>1.9344121134275114E-2</v>
      </c>
      <c r="AI138" s="744">
        <f t="shared" si="35"/>
        <v>8.2955395702638112E-3</v>
      </c>
      <c r="AJ138" s="744">
        <f t="shared" si="35"/>
        <v>1.4121123315594944E-2</v>
      </c>
      <c r="AK138" s="744">
        <f t="shared" si="35"/>
        <v>8.5637382969933808E-3</v>
      </c>
      <c r="AL138" s="744"/>
      <c r="AM138" s="744"/>
      <c r="AN138" s="744"/>
      <c r="AO138" s="744"/>
      <c r="AP138" s="744"/>
      <c r="AQ138" s="744"/>
      <c r="AR138" s="744"/>
      <c r="AS138" s="744"/>
      <c r="AT138" s="744"/>
      <c r="AU138" s="744"/>
      <c r="AV138" s="744"/>
      <c r="AW138" s="744"/>
      <c r="AX138" s="744"/>
      <c r="AY138" s="744"/>
      <c r="AZ138" s="744"/>
      <c r="BA138" s="744"/>
      <c r="BB138" s="744"/>
      <c r="BC138" s="744"/>
      <c r="BD138" s="744"/>
      <c r="BE138" s="744"/>
      <c r="BF138" s="744"/>
      <c r="BG138" s="744"/>
      <c r="BH138" s="744"/>
      <c r="BI138" s="744"/>
      <c r="BJ138" s="744"/>
      <c r="BK138" s="744"/>
      <c r="BL138" s="744"/>
      <c r="BM138" s="744"/>
      <c r="BN138" s="744"/>
      <c r="BO138" s="744"/>
      <c r="BP138" s="744"/>
      <c r="BQ138" s="744"/>
      <c r="BR138" s="744"/>
      <c r="BS138" s="744"/>
      <c r="BT138" s="744"/>
      <c r="BU138" s="744"/>
      <c r="BV138" s="744"/>
      <c r="BW138" s="744"/>
      <c r="BX138" s="744"/>
      <c r="BY138" s="744"/>
      <c r="BZ138" s="744"/>
      <c r="CA138" s="744"/>
      <c r="CB138" s="744"/>
      <c r="CC138" s="744"/>
      <c r="CD138" s="744"/>
      <c r="CE138" s="744"/>
      <c r="CF138" s="744"/>
      <c r="CG138" s="744"/>
      <c r="CH138" s="744"/>
      <c r="CI138" s="745"/>
      <c r="CK138" s="1296"/>
    </row>
    <row r="139" spans="2:89" ht="28.5" x14ac:dyDescent="0.2">
      <c r="B139" s="738" t="s">
        <v>713</v>
      </c>
      <c r="C139" s="739" t="s">
        <v>501</v>
      </c>
      <c r="D139" s="740" t="s">
        <v>714</v>
      </c>
      <c r="E139" s="741" t="s">
        <v>236</v>
      </c>
      <c r="F139" s="742">
        <v>2</v>
      </c>
      <c r="G139" s="569">
        <f>G138*(G133+SUM(G135:G137)-SUM(G145:G148))</f>
        <v>0</v>
      </c>
      <c r="H139" s="569">
        <f t="shared" ref="H139" si="36">H138*(SUM(H133:H137)-SUM(H145:H148))</f>
        <v>0</v>
      </c>
      <c r="I139" s="569">
        <f t="shared" ref="I139" si="37">I138*(SUM(I133:I137)-SUM(I145:I148))</f>
        <v>0</v>
      </c>
      <c r="J139" s="569">
        <f t="shared" ref="J139:AK139" si="38">J138*(SUM(J133:J137)-SUM(J145:J148))</f>
        <v>0.61850191331132731</v>
      </c>
      <c r="K139" s="569">
        <f t="shared" si="38"/>
        <v>1.0241138035956843</v>
      </c>
      <c r="L139" s="569">
        <f t="shared" si="38"/>
        <v>1.4297973929031831</v>
      </c>
      <c r="M139" s="569">
        <f t="shared" si="38"/>
        <v>1.7002520285098528</v>
      </c>
      <c r="N139" s="569">
        <f t="shared" si="38"/>
        <v>1.717459780769746</v>
      </c>
      <c r="O139" s="569">
        <f t="shared" si="38"/>
        <v>1.7717159508708218</v>
      </c>
      <c r="P139" s="569">
        <f t="shared" si="38"/>
        <v>1.8046039007736054</v>
      </c>
      <c r="Q139" s="569">
        <f t="shared" si="38"/>
        <v>1.8343856525321425</v>
      </c>
      <c r="R139" s="569">
        <f t="shared" si="38"/>
        <v>1.8855435120651975</v>
      </c>
      <c r="S139" s="569">
        <f t="shared" si="38"/>
        <v>1.9119721070321096</v>
      </c>
      <c r="T139" s="569">
        <f t="shared" si="38"/>
        <v>1.9597754967923378</v>
      </c>
      <c r="U139" s="569">
        <f t="shared" si="38"/>
        <v>1.978630008367422</v>
      </c>
      <c r="V139" s="569">
        <f t="shared" si="38"/>
        <v>1.9957949825042036</v>
      </c>
      <c r="W139" s="569">
        <f t="shared" si="38"/>
        <v>2.0442225830801926</v>
      </c>
      <c r="X139" s="569">
        <f t="shared" si="38"/>
        <v>2.0697057631441731</v>
      </c>
      <c r="Y139" s="569">
        <f t="shared" si="38"/>
        <v>2.1164461460806865</v>
      </c>
      <c r="Z139" s="569">
        <f t="shared" si="38"/>
        <v>2.1435164919524592</v>
      </c>
      <c r="AA139" s="569">
        <f t="shared" si="38"/>
        <v>2.1705508362349875</v>
      </c>
      <c r="AB139" s="569">
        <f t="shared" si="38"/>
        <v>4.3383183377164363</v>
      </c>
      <c r="AC139" s="569">
        <f t="shared" si="38"/>
        <v>2.227118764097503</v>
      </c>
      <c r="AD139" s="569">
        <f t="shared" si="38"/>
        <v>2.2604433348248483</v>
      </c>
      <c r="AE139" s="569">
        <f t="shared" si="38"/>
        <v>2.2994096611501078</v>
      </c>
      <c r="AF139" s="569">
        <f t="shared" si="38"/>
        <v>2.3382491233945437</v>
      </c>
      <c r="AG139" s="569">
        <f t="shared" si="38"/>
        <v>2.9248369760498671</v>
      </c>
      <c r="AH139" s="569">
        <f t="shared" si="38"/>
        <v>5.7099920538631457</v>
      </c>
      <c r="AI139" s="569">
        <f t="shared" si="38"/>
        <v>2.4595303742346029</v>
      </c>
      <c r="AJ139" s="569">
        <f t="shared" si="38"/>
        <v>4.1756903003949883</v>
      </c>
      <c r="AK139" s="569">
        <f t="shared" si="38"/>
        <v>2.5441512868767697</v>
      </c>
      <c r="AL139" s="569"/>
      <c r="AM139" s="569"/>
      <c r="AN139" s="569"/>
      <c r="AO139" s="569"/>
      <c r="AP139" s="569"/>
      <c r="AQ139" s="569"/>
      <c r="AR139" s="569"/>
      <c r="AS139" s="569"/>
      <c r="AT139" s="569"/>
      <c r="AU139" s="569"/>
      <c r="AV139" s="569"/>
      <c r="AW139" s="569"/>
      <c r="AX139" s="569"/>
      <c r="AY139" s="569"/>
      <c r="AZ139" s="569"/>
      <c r="BA139" s="569"/>
      <c r="BB139" s="569"/>
      <c r="BC139" s="569"/>
      <c r="BD139" s="569"/>
      <c r="BE139" s="569"/>
      <c r="BF139" s="569"/>
      <c r="BG139" s="569"/>
      <c r="BH139" s="569"/>
      <c r="BI139" s="569"/>
      <c r="BJ139" s="569"/>
      <c r="BK139" s="569"/>
      <c r="BL139" s="569"/>
      <c r="BM139" s="569"/>
      <c r="BN139" s="569"/>
      <c r="BO139" s="569"/>
      <c r="BP139" s="569"/>
      <c r="BQ139" s="569"/>
      <c r="BR139" s="569"/>
      <c r="BS139" s="569"/>
      <c r="BT139" s="569"/>
      <c r="BU139" s="569"/>
      <c r="BV139" s="569"/>
      <c r="BW139" s="569"/>
      <c r="BX139" s="569"/>
      <c r="BY139" s="569"/>
      <c r="BZ139" s="569"/>
      <c r="CA139" s="569"/>
      <c r="CB139" s="569"/>
      <c r="CC139" s="569"/>
      <c r="CD139" s="569"/>
      <c r="CE139" s="569"/>
      <c r="CF139" s="569"/>
      <c r="CG139" s="569"/>
      <c r="CH139" s="569"/>
      <c r="CI139" s="569"/>
      <c r="CK139" s="1296"/>
    </row>
    <row r="140" spans="2:89" x14ac:dyDescent="0.2">
      <c r="B140" s="738" t="s">
        <v>715</v>
      </c>
      <c r="C140" s="746" t="s">
        <v>305</v>
      </c>
      <c r="D140" s="747" t="s">
        <v>716</v>
      </c>
      <c r="E140" s="748" t="s">
        <v>239</v>
      </c>
      <c r="F140" s="749">
        <v>1</v>
      </c>
      <c r="G140" s="750" t="e">
        <f>(((G136-G147))*1000000)/((G169)*1000)</f>
        <v>#DIV/0!</v>
      </c>
      <c r="H140" s="750" t="e">
        <f t="shared" ref="H140:AK141" si="39">(((H136-H147))*1000000)/((H169)*1000)</f>
        <v>#DIV/0!</v>
      </c>
      <c r="I140" s="750">
        <f t="shared" si="39"/>
        <v>161.53673014718737</v>
      </c>
      <c r="J140" s="750">
        <f t="shared" si="39"/>
        <v>157.6080162221013</v>
      </c>
      <c r="K140" s="750">
        <f t="shared" si="39"/>
        <v>154.69407627009528</v>
      </c>
      <c r="L140" s="750">
        <f t="shared" si="39"/>
        <v>150.85834706398435</v>
      </c>
      <c r="M140" s="751">
        <f t="shared" si="39"/>
        <v>147.40331986239701</v>
      </c>
      <c r="N140" s="751">
        <f t="shared" si="39"/>
        <v>145.58894411262474</v>
      </c>
      <c r="O140" s="751">
        <f t="shared" si="39"/>
        <v>143.44253737574846</v>
      </c>
      <c r="P140" s="751">
        <f t="shared" si="39"/>
        <v>141.27434070264368</v>
      </c>
      <c r="Q140" s="751">
        <f t="shared" si="39"/>
        <v>139.27115310006357</v>
      </c>
      <c r="R140" s="751">
        <f t="shared" si="39"/>
        <v>137.52049999931677</v>
      </c>
      <c r="S140" s="751">
        <f t="shared" si="39"/>
        <v>135.75950477538723</v>
      </c>
      <c r="T140" s="751">
        <f t="shared" si="39"/>
        <v>134.13712094014866</v>
      </c>
      <c r="U140" s="751">
        <f t="shared" si="39"/>
        <v>132.17405332827599</v>
      </c>
      <c r="V140" s="751">
        <f t="shared" si="39"/>
        <v>130.35104283084448</v>
      </c>
      <c r="W140" s="751">
        <f t="shared" si="39"/>
        <v>128.98144083807185</v>
      </c>
      <c r="X140" s="751">
        <f t="shared" si="39"/>
        <v>127.54545620722736</v>
      </c>
      <c r="Y140" s="751">
        <f t="shared" si="39"/>
        <v>126.07718489268255</v>
      </c>
      <c r="Z140" s="751">
        <f t="shared" si="39"/>
        <v>124.64345408574134</v>
      </c>
      <c r="AA140" s="751">
        <f t="shared" si="39"/>
        <v>123.20905260469085</v>
      </c>
      <c r="AB140" s="751">
        <f t="shared" si="39"/>
        <v>120.26293395809732</v>
      </c>
      <c r="AC140" s="751">
        <f t="shared" si="39"/>
        <v>118.91394444077538</v>
      </c>
      <c r="AD140" s="751">
        <f t="shared" si="39"/>
        <v>117.6075060749738</v>
      </c>
      <c r="AE140" s="751">
        <f t="shared" si="39"/>
        <v>116.68098730707821</v>
      </c>
      <c r="AF140" s="751">
        <f t="shared" si="39"/>
        <v>115.76117560906027</v>
      </c>
      <c r="AG140" s="751">
        <f t="shared" si="39"/>
        <v>115.5630289623824</v>
      </c>
      <c r="AH140" s="751">
        <f t="shared" si="39"/>
        <v>113.33163235918055</v>
      </c>
      <c r="AI140" s="751">
        <f t="shared" si="39"/>
        <v>113.15325143608221</v>
      </c>
      <c r="AJ140" s="751">
        <f t="shared" si="39"/>
        <v>111.94801849887078</v>
      </c>
      <c r="AK140" s="751">
        <f t="shared" si="39"/>
        <v>111.76931557753609</v>
      </c>
      <c r="AL140" s="751"/>
      <c r="AM140" s="751"/>
      <c r="AN140" s="751"/>
      <c r="AO140" s="751"/>
      <c r="AP140" s="751"/>
      <c r="AQ140" s="751"/>
      <c r="AR140" s="751"/>
      <c r="AS140" s="751"/>
      <c r="AT140" s="751"/>
      <c r="AU140" s="751"/>
      <c r="AV140" s="751"/>
      <c r="AW140" s="751"/>
      <c r="AX140" s="751"/>
      <c r="AY140" s="751"/>
      <c r="AZ140" s="751"/>
      <c r="BA140" s="751"/>
      <c r="BB140" s="751"/>
      <c r="BC140" s="751"/>
      <c r="BD140" s="751"/>
      <c r="BE140" s="751"/>
      <c r="BF140" s="751"/>
      <c r="BG140" s="751"/>
      <c r="BH140" s="751"/>
      <c r="BI140" s="751"/>
      <c r="BJ140" s="751"/>
      <c r="BK140" s="751"/>
      <c r="BL140" s="751"/>
      <c r="BM140" s="751"/>
      <c r="BN140" s="751"/>
      <c r="BO140" s="751"/>
      <c r="BP140" s="751"/>
      <c r="BQ140" s="751"/>
      <c r="BR140" s="751"/>
      <c r="BS140" s="751"/>
      <c r="BT140" s="751"/>
      <c r="BU140" s="751"/>
      <c r="BV140" s="751"/>
      <c r="BW140" s="751"/>
      <c r="BX140" s="751"/>
      <c r="BY140" s="751"/>
      <c r="BZ140" s="751"/>
      <c r="CA140" s="751"/>
      <c r="CB140" s="751"/>
      <c r="CC140" s="751"/>
      <c r="CD140" s="751"/>
      <c r="CE140" s="751"/>
      <c r="CF140" s="751"/>
      <c r="CG140" s="751"/>
      <c r="CH140" s="751"/>
      <c r="CI140" s="752"/>
      <c r="CK140" s="1296"/>
    </row>
    <row r="141" spans="2:89" x14ac:dyDescent="0.2">
      <c r="B141" s="738" t="s">
        <v>717</v>
      </c>
      <c r="C141" s="746" t="s">
        <v>324</v>
      </c>
      <c r="D141" s="747" t="s">
        <v>718</v>
      </c>
      <c r="E141" s="748" t="s">
        <v>239</v>
      </c>
      <c r="F141" s="749">
        <v>1</v>
      </c>
      <c r="G141" s="750" t="e">
        <f>(((G137-G148))*1000000)/((G170)*1000)</f>
        <v>#DIV/0!</v>
      </c>
      <c r="H141" s="750" t="e">
        <f t="shared" si="39"/>
        <v>#DIV/0!</v>
      </c>
      <c r="I141" s="750">
        <f t="shared" si="39"/>
        <v>171.55484862440804</v>
      </c>
      <c r="J141" s="750">
        <f t="shared" si="39"/>
        <v>168.46942475702738</v>
      </c>
      <c r="K141" s="750">
        <f t="shared" si="39"/>
        <v>166.50593934512526</v>
      </c>
      <c r="L141" s="750">
        <f t="shared" si="39"/>
        <v>163.89349439183397</v>
      </c>
      <c r="M141" s="751">
        <f t="shared" si="39"/>
        <v>161.04098256898649</v>
      </c>
      <c r="N141" s="751">
        <f t="shared" si="39"/>
        <v>159.00571814977675</v>
      </c>
      <c r="O141" s="751">
        <f t="shared" si="39"/>
        <v>157.25812843665608</v>
      </c>
      <c r="P141" s="751">
        <f t="shared" si="39"/>
        <v>155.46560764667845</v>
      </c>
      <c r="Q141" s="751">
        <f t="shared" si="39"/>
        <v>153.65891072474264</v>
      </c>
      <c r="R141" s="751">
        <f t="shared" si="39"/>
        <v>151.9984536790941</v>
      </c>
      <c r="S141" s="751">
        <f t="shared" si="39"/>
        <v>150.43531290168639</v>
      </c>
      <c r="T141" s="751">
        <f t="shared" si="39"/>
        <v>148.88862654143017</v>
      </c>
      <c r="U141" s="751">
        <f t="shared" si="39"/>
        <v>146.96512541493894</v>
      </c>
      <c r="V141" s="751">
        <f t="shared" si="39"/>
        <v>145.07236403094129</v>
      </c>
      <c r="W141" s="751">
        <f t="shared" si="39"/>
        <v>143.64488255504122</v>
      </c>
      <c r="X141" s="751">
        <f t="shared" si="39"/>
        <v>142.286377161194</v>
      </c>
      <c r="Y141" s="751">
        <f t="shared" si="39"/>
        <v>140.92092564193572</v>
      </c>
      <c r="Z141" s="751">
        <f t="shared" si="39"/>
        <v>139.57567087891184</v>
      </c>
      <c r="AA141" s="751">
        <f t="shared" si="39"/>
        <v>138.20938361029488</v>
      </c>
      <c r="AB141" s="751">
        <f t="shared" si="39"/>
        <v>136.87521154077746</v>
      </c>
      <c r="AC141" s="751">
        <f t="shared" si="39"/>
        <v>135.53128078369863</v>
      </c>
      <c r="AD141" s="751">
        <f t="shared" si="39"/>
        <v>134.21896447135535</v>
      </c>
      <c r="AE141" s="751">
        <f t="shared" si="39"/>
        <v>133.36623240739956</v>
      </c>
      <c r="AF141" s="751">
        <f t="shared" si="39"/>
        <v>132.51617058321563</v>
      </c>
      <c r="AG141" s="751">
        <f t="shared" si="39"/>
        <v>131.32616985503711</v>
      </c>
      <c r="AH141" s="751">
        <f t="shared" si="39"/>
        <v>131.39137116209088</v>
      </c>
      <c r="AI141" s="751">
        <f t="shared" si="39"/>
        <v>131.44489263346688</v>
      </c>
      <c r="AJ141" s="751">
        <f t="shared" si="39"/>
        <v>131.50113105095969</v>
      </c>
      <c r="AK141" s="751">
        <f t="shared" si="39"/>
        <v>131.54449564705058</v>
      </c>
      <c r="AL141" s="751"/>
      <c r="AM141" s="751"/>
      <c r="AN141" s="751"/>
      <c r="AO141" s="751"/>
      <c r="AP141" s="751"/>
      <c r="AQ141" s="751"/>
      <c r="AR141" s="751"/>
      <c r="AS141" s="751"/>
      <c r="AT141" s="751"/>
      <c r="AU141" s="751"/>
      <c r="AV141" s="751"/>
      <c r="AW141" s="751"/>
      <c r="AX141" s="751"/>
      <c r="AY141" s="751"/>
      <c r="AZ141" s="751"/>
      <c r="BA141" s="751"/>
      <c r="BB141" s="751"/>
      <c r="BC141" s="751"/>
      <c r="BD141" s="751"/>
      <c r="BE141" s="751"/>
      <c r="BF141" s="751"/>
      <c r="BG141" s="751"/>
      <c r="BH141" s="751"/>
      <c r="BI141" s="751"/>
      <c r="BJ141" s="751"/>
      <c r="BK141" s="751"/>
      <c r="BL141" s="751"/>
      <c r="BM141" s="751"/>
      <c r="BN141" s="751"/>
      <c r="BO141" s="751"/>
      <c r="BP141" s="751"/>
      <c r="BQ141" s="751"/>
      <c r="BR141" s="751"/>
      <c r="BS141" s="751"/>
      <c r="BT141" s="751"/>
      <c r="BU141" s="751"/>
      <c r="BV141" s="751"/>
      <c r="BW141" s="751"/>
      <c r="BX141" s="751"/>
      <c r="BY141" s="751"/>
      <c r="BZ141" s="751"/>
      <c r="CA141" s="751"/>
      <c r="CB141" s="751"/>
      <c r="CC141" s="751"/>
      <c r="CD141" s="751"/>
      <c r="CE141" s="751"/>
      <c r="CF141" s="751"/>
      <c r="CG141" s="751"/>
      <c r="CH141" s="751"/>
      <c r="CI141" s="752"/>
      <c r="CK141" s="1296"/>
    </row>
    <row r="142" spans="2:89" ht="28.5" x14ac:dyDescent="0.2">
      <c r="B142" s="738" t="s">
        <v>719</v>
      </c>
      <c r="C142" s="746" t="s">
        <v>238</v>
      </c>
      <c r="D142" s="747" t="s">
        <v>720</v>
      </c>
      <c r="E142" s="748" t="s">
        <v>239</v>
      </c>
      <c r="F142" s="749">
        <v>1</v>
      </c>
      <c r="G142" s="750" t="e">
        <f>(((G136-G147)+(G137-G148))*1000000)/((G169+G170)*1000)</f>
        <v>#DIV/0!</v>
      </c>
      <c r="H142" s="750" t="e">
        <f t="shared" ref="H142:AK142" si="40">(((H136-H147)+(H137-H148))*1000000)/((H169+H170)*1000)</f>
        <v>#DIV/0!</v>
      </c>
      <c r="I142" s="750">
        <f t="shared" si="40"/>
        <v>166.2496338488956</v>
      </c>
      <c r="J142" s="750">
        <f t="shared" si="40"/>
        <v>162.5785941151569</v>
      </c>
      <c r="K142" s="750">
        <f t="shared" si="40"/>
        <v>159.888471904249</v>
      </c>
      <c r="L142" s="750">
        <f t="shared" si="40"/>
        <v>156.30679933104133</v>
      </c>
      <c r="M142" s="751">
        <f t="shared" si="40"/>
        <v>152.23138433156808</v>
      </c>
      <c r="N142" s="751">
        <f t="shared" si="40"/>
        <v>149.16802002306733</v>
      </c>
      <c r="O142" s="751">
        <f t="shared" si="40"/>
        <v>146.43175198815405</v>
      </c>
      <c r="P142" s="751">
        <f t="shared" si="40"/>
        <v>143.92374957622383</v>
      </c>
      <c r="Q142" s="751">
        <f t="shared" si="40"/>
        <v>141.5110923675997</v>
      </c>
      <c r="R142" s="751">
        <f t="shared" si="40"/>
        <v>139.37888516748399</v>
      </c>
      <c r="S142" s="751">
        <f t="shared" si="40"/>
        <v>137.2883779181914</v>
      </c>
      <c r="T142" s="751">
        <f t="shared" si="40"/>
        <v>135.32534727215611</v>
      </c>
      <c r="U142" s="751">
        <f t="shared" si="40"/>
        <v>133.01884112727083</v>
      </c>
      <c r="V142" s="751">
        <f t="shared" si="40"/>
        <v>130.84967593534623</v>
      </c>
      <c r="W142" s="751">
        <f t="shared" si="40"/>
        <v>129.30404825894561</v>
      </c>
      <c r="X142" s="751">
        <f t="shared" si="40"/>
        <v>127.86553861592316</v>
      </c>
      <c r="Y142" s="751">
        <f t="shared" si="40"/>
        <v>126.39516353473014</v>
      </c>
      <c r="Z142" s="751">
        <f t="shared" si="40"/>
        <v>124.95891417571153</v>
      </c>
      <c r="AA142" s="751">
        <f t="shared" si="40"/>
        <v>123.52148056448085</v>
      </c>
      <c r="AB142" s="751">
        <f t="shared" si="40"/>
        <v>120.60408129333678</v>
      </c>
      <c r="AC142" s="751">
        <f t="shared" si="40"/>
        <v>119.25037474103077</v>
      </c>
      <c r="AD142" s="751">
        <f t="shared" si="40"/>
        <v>117.93900265402323</v>
      </c>
      <c r="AE142" s="751">
        <f t="shared" si="40"/>
        <v>117.00905578451294</v>
      </c>
      <c r="AF142" s="751">
        <f t="shared" si="40"/>
        <v>116.08565757013483</v>
      </c>
      <c r="AG142" s="751">
        <f t="shared" si="40"/>
        <v>115.86367487532097</v>
      </c>
      <c r="AH142" s="751">
        <f t="shared" si="40"/>
        <v>113.67083455420308</v>
      </c>
      <c r="AI142" s="751">
        <f t="shared" si="40"/>
        <v>113.49147634170554</v>
      </c>
      <c r="AJ142" s="751">
        <f t="shared" si="40"/>
        <v>112.30388919606567</v>
      </c>
      <c r="AK142" s="751">
        <f t="shared" si="40"/>
        <v>112.12355218853021</v>
      </c>
      <c r="AL142" s="751"/>
      <c r="AM142" s="751"/>
      <c r="AN142" s="751"/>
      <c r="AO142" s="751"/>
      <c r="AP142" s="751"/>
      <c r="AQ142" s="751"/>
      <c r="AR142" s="751"/>
      <c r="AS142" s="751"/>
      <c r="AT142" s="751"/>
      <c r="AU142" s="751"/>
      <c r="AV142" s="751"/>
      <c r="AW142" s="751"/>
      <c r="AX142" s="751"/>
      <c r="AY142" s="751"/>
      <c r="AZ142" s="751"/>
      <c r="BA142" s="751"/>
      <c r="BB142" s="751"/>
      <c r="BC142" s="751"/>
      <c r="BD142" s="751"/>
      <c r="BE142" s="751"/>
      <c r="BF142" s="751"/>
      <c r="BG142" s="751"/>
      <c r="BH142" s="751"/>
      <c r="BI142" s="751"/>
      <c r="BJ142" s="751"/>
      <c r="BK142" s="751"/>
      <c r="BL142" s="751"/>
      <c r="BM142" s="751"/>
      <c r="BN142" s="751"/>
      <c r="BO142" s="751"/>
      <c r="BP142" s="751"/>
      <c r="BQ142" s="751"/>
      <c r="BR142" s="751"/>
      <c r="BS142" s="751"/>
      <c r="BT142" s="751"/>
      <c r="BU142" s="751"/>
      <c r="BV142" s="751"/>
      <c r="BW142" s="751"/>
      <c r="BX142" s="751"/>
      <c r="BY142" s="751"/>
      <c r="BZ142" s="751"/>
      <c r="CA142" s="751"/>
      <c r="CB142" s="751"/>
      <c r="CC142" s="751"/>
      <c r="CD142" s="751"/>
      <c r="CE142" s="751"/>
      <c r="CF142" s="751"/>
      <c r="CG142" s="751"/>
      <c r="CH142" s="751"/>
      <c r="CI142" s="752"/>
      <c r="CK142" s="1296"/>
    </row>
    <row r="143" spans="2:89" x14ac:dyDescent="0.2">
      <c r="B143" s="738" t="s">
        <v>721</v>
      </c>
      <c r="C143" s="746" t="s">
        <v>510</v>
      </c>
      <c r="D143" s="747" t="s">
        <v>722</v>
      </c>
      <c r="E143" s="748" t="s">
        <v>236</v>
      </c>
      <c r="F143" s="749">
        <v>2</v>
      </c>
      <c r="G143" s="569">
        <f t="shared" ref="G143:AK143" si="41">G53+G111</f>
        <v>0</v>
      </c>
      <c r="H143" s="569">
        <f t="shared" si="41"/>
        <v>0</v>
      </c>
      <c r="I143" s="569">
        <f t="shared" si="41"/>
        <v>7.4300951761701972</v>
      </c>
      <c r="J143" s="569">
        <f t="shared" si="41"/>
        <v>7.4306724420220513</v>
      </c>
      <c r="K143" s="569">
        <f t="shared" si="41"/>
        <v>7.4232975624804132</v>
      </c>
      <c r="L143" s="569">
        <f t="shared" si="41"/>
        <v>7.4151509587193125</v>
      </c>
      <c r="M143" s="718">
        <f t="shared" si="41"/>
        <v>7.4431367265900645</v>
      </c>
      <c r="N143" s="718">
        <f t="shared" si="41"/>
        <v>7.4356496963757861</v>
      </c>
      <c r="O143" s="718">
        <f t="shared" si="41"/>
        <v>7.4280716461939029</v>
      </c>
      <c r="P143" s="718">
        <f t="shared" si="41"/>
        <v>7.4209946949285692</v>
      </c>
      <c r="Q143" s="718">
        <f t="shared" si="41"/>
        <v>7.4154679269129851</v>
      </c>
      <c r="R143" s="718">
        <f t="shared" si="41"/>
        <v>7.4103551456047843</v>
      </c>
      <c r="S143" s="718">
        <f t="shared" si="41"/>
        <v>7.4055624238154092</v>
      </c>
      <c r="T143" s="718">
        <f t="shared" si="41"/>
        <v>7.4012247991843712</v>
      </c>
      <c r="U143" s="718">
        <f t="shared" si="41"/>
        <v>7.3975501799668724</v>
      </c>
      <c r="V143" s="718">
        <f t="shared" si="41"/>
        <v>7.3933655524770083</v>
      </c>
      <c r="W143" s="718">
        <f t="shared" si="41"/>
        <v>7.3890250174463077</v>
      </c>
      <c r="X143" s="718">
        <f t="shared" si="41"/>
        <v>7.3844653940513894</v>
      </c>
      <c r="Y143" s="718">
        <f t="shared" si="41"/>
        <v>7.3798065778041915</v>
      </c>
      <c r="Z143" s="718">
        <f t="shared" si="41"/>
        <v>7.3750577701891098</v>
      </c>
      <c r="AA143" s="718">
        <f t="shared" si="41"/>
        <v>7.3702181852685715</v>
      </c>
      <c r="AB143" s="718">
        <f t="shared" si="41"/>
        <v>7.3652906616287144</v>
      </c>
      <c r="AC143" s="718">
        <f t="shared" si="41"/>
        <v>7.360268338247578</v>
      </c>
      <c r="AD143" s="718">
        <f t="shared" si="41"/>
        <v>7.3551530184412215</v>
      </c>
      <c r="AE143" s="718">
        <f t="shared" si="41"/>
        <v>7.3499452273867769</v>
      </c>
      <c r="AF143" s="718">
        <f t="shared" si="41"/>
        <v>7.3446443175421026</v>
      </c>
      <c r="AG143" s="718">
        <f t="shared" si="41"/>
        <v>7.3392559311480419</v>
      </c>
      <c r="AH143" s="718">
        <f t="shared" si="41"/>
        <v>7.3337785005749652</v>
      </c>
      <c r="AI143" s="718">
        <f t="shared" si="41"/>
        <v>7.3282128265541777</v>
      </c>
      <c r="AJ143" s="718">
        <f t="shared" si="41"/>
        <v>7.3225599058547264</v>
      </c>
      <c r="AK143" s="718">
        <f t="shared" si="41"/>
        <v>7.3168213827865909</v>
      </c>
      <c r="AL143" s="718"/>
      <c r="AM143" s="718"/>
      <c r="AN143" s="718"/>
      <c r="AO143" s="718"/>
      <c r="AP143" s="718"/>
      <c r="AQ143" s="718"/>
      <c r="AR143" s="718"/>
      <c r="AS143" s="718"/>
      <c r="AT143" s="718"/>
      <c r="AU143" s="718"/>
      <c r="AV143" s="718"/>
      <c r="AW143" s="718"/>
      <c r="AX143" s="718"/>
      <c r="AY143" s="718"/>
      <c r="AZ143" s="718"/>
      <c r="BA143" s="718"/>
      <c r="BB143" s="718"/>
      <c r="BC143" s="718"/>
      <c r="BD143" s="718"/>
      <c r="BE143" s="718"/>
      <c r="BF143" s="718"/>
      <c r="BG143" s="718"/>
      <c r="BH143" s="718"/>
      <c r="BI143" s="718"/>
      <c r="BJ143" s="718"/>
      <c r="BK143" s="718"/>
      <c r="BL143" s="718"/>
      <c r="BM143" s="718"/>
      <c r="BN143" s="718"/>
      <c r="BO143" s="718"/>
      <c r="BP143" s="718"/>
      <c r="BQ143" s="718"/>
      <c r="BR143" s="718"/>
      <c r="BS143" s="718"/>
      <c r="BT143" s="718"/>
      <c r="BU143" s="718"/>
      <c r="BV143" s="718"/>
      <c r="BW143" s="718"/>
      <c r="BX143" s="718"/>
      <c r="BY143" s="718"/>
      <c r="BZ143" s="718"/>
      <c r="CA143" s="718"/>
      <c r="CB143" s="718"/>
      <c r="CC143" s="718"/>
      <c r="CD143" s="718"/>
      <c r="CE143" s="718"/>
      <c r="CF143" s="718"/>
      <c r="CG143" s="718"/>
      <c r="CH143" s="718"/>
      <c r="CI143" s="719"/>
      <c r="CK143" s="1296"/>
    </row>
    <row r="144" spans="2:89" ht="15" thickBot="1" x14ac:dyDescent="0.25">
      <c r="B144" s="753" t="s">
        <v>723</v>
      </c>
      <c r="C144" s="754" t="s">
        <v>512</v>
      </c>
      <c r="D144" s="755" t="s">
        <v>724</v>
      </c>
      <c r="E144" s="756" t="s">
        <v>236</v>
      </c>
      <c r="F144" s="757">
        <v>2</v>
      </c>
      <c r="G144" s="729">
        <f t="shared" ref="G144:AK144" si="42">G54+G112</f>
        <v>0</v>
      </c>
      <c r="H144" s="729">
        <f t="shared" si="42"/>
        <v>0</v>
      </c>
      <c r="I144" s="729">
        <f t="shared" si="42"/>
        <v>2.3678128659663535</v>
      </c>
      <c r="J144" s="729">
        <f t="shared" si="42"/>
        <v>2.3678128659663535</v>
      </c>
      <c r="K144" s="729">
        <f t="shared" si="42"/>
        <v>2.3678128659663535</v>
      </c>
      <c r="L144" s="729">
        <f t="shared" si="42"/>
        <v>2.3678128659663535</v>
      </c>
      <c r="M144" s="758">
        <f t="shared" si="42"/>
        <v>2.3678128659663535</v>
      </c>
      <c r="N144" s="758">
        <f t="shared" si="42"/>
        <v>2.3678128659663535</v>
      </c>
      <c r="O144" s="758">
        <f t="shared" si="42"/>
        <v>2.3678128659663535</v>
      </c>
      <c r="P144" s="758">
        <f t="shared" si="42"/>
        <v>2.3678128659663535</v>
      </c>
      <c r="Q144" s="758">
        <f t="shared" si="42"/>
        <v>2.3678128659663535</v>
      </c>
      <c r="R144" s="758">
        <f t="shared" si="42"/>
        <v>2.3678128659663535</v>
      </c>
      <c r="S144" s="758">
        <f t="shared" si="42"/>
        <v>2.3678128659663535</v>
      </c>
      <c r="T144" s="758">
        <f t="shared" si="42"/>
        <v>2.3678128659663535</v>
      </c>
      <c r="U144" s="758">
        <f t="shared" si="42"/>
        <v>2.3678128659663535</v>
      </c>
      <c r="V144" s="758">
        <f t="shared" si="42"/>
        <v>2.3678128659663535</v>
      </c>
      <c r="W144" s="758">
        <f t="shared" si="42"/>
        <v>2.3678128659663535</v>
      </c>
      <c r="X144" s="758">
        <f t="shared" si="42"/>
        <v>2.3678128659663535</v>
      </c>
      <c r="Y144" s="758">
        <f t="shared" si="42"/>
        <v>2.3678128659663535</v>
      </c>
      <c r="Z144" s="758">
        <f t="shared" si="42"/>
        <v>2.3678128659663535</v>
      </c>
      <c r="AA144" s="758">
        <f t="shared" si="42"/>
        <v>2.3678128659663535</v>
      </c>
      <c r="AB144" s="758">
        <f t="shared" si="42"/>
        <v>2.3678128659663535</v>
      </c>
      <c r="AC144" s="758">
        <f t="shared" si="42"/>
        <v>2.3678128659663535</v>
      </c>
      <c r="AD144" s="758">
        <f t="shared" si="42"/>
        <v>2.3678128659663535</v>
      </c>
      <c r="AE144" s="758">
        <f t="shared" si="42"/>
        <v>2.3678128659663535</v>
      </c>
      <c r="AF144" s="758">
        <f t="shared" si="42"/>
        <v>2.3678128659663535</v>
      </c>
      <c r="AG144" s="758">
        <f t="shared" si="42"/>
        <v>2.3678128659663535</v>
      </c>
      <c r="AH144" s="758">
        <f t="shared" si="42"/>
        <v>2.3678128659663535</v>
      </c>
      <c r="AI144" s="758">
        <f t="shared" si="42"/>
        <v>2.3678128659663535</v>
      </c>
      <c r="AJ144" s="758">
        <f t="shared" si="42"/>
        <v>2.3678128659663535</v>
      </c>
      <c r="AK144" s="758">
        <f t="shared" si="42"/>
        <v>2.3678128659663535</v>
      </c>
      <c r="AL144" s="758"/>
      <c r="AM144" s="758"/>
      <c r="AN144" s="758"/>
      <c r="AO144" s="758"/>
      <c r="AP144" s="758"/>
      <c r="AQ144" s="758"/>
      <c r="AR144" s="758"/>
      <c r="AS144" s="758"/>
      <c r="AT144" s="758"/>
      <c r="AU144" s="758"/>
      <c r="AV144" s="758"/>
      <c r="AW144" s="758"/>
      <c r="AX144" s="758"/>
      <c r="AY144" s="758"/>
      <c r="AZ144" s="758"/>
      <c r="BA144" s="758"/>
      <c r="BB144" s="758"/>
      <c r="BC144" s="758"/>
      <c r="BD144" s="758"/>
      <c r="BE144" s="758"/>
      <c r="BF144" s="758"/>
      <c r="BG144" s="758"/>
      <c r="BH144" s="758"/>
      <c r="BI144" s="758"/>
      <c r="BJ144" s="758"/>
      <c r="BK144" s="758"/>
      <c r="BL144" s="758"/>
      <c r="BM144" s="758"/>
      <c r="BN144" s="758"/>
      <c r="BO144" s="758"/>
      <c r="BP144" s="758"/>
      <c r="BQ144" s="758"/>
      <c r="BR144" s="758"/>
      <c r="BS144" s="758"/>
      <c r="BT144" s="758"/>
      <c r="BU144" s="758"/>
      <c r="BV144" s="758"/>
      <c r="BW144" s="758"/>
      <c r="BX144" s="758"/>
      <c r="BY144" s="758"/>
      <c r="BZ144" s="758"/>
      <c r="CA144" s="758"/>
      <c r="CB144" s="758"/>
      <c r="CC144" s="758"/>
      <c r="CD144" s="758"/>
      <c r="CE144" s="758"/>
      <c r="CF144" s="758"/>
      <c r="CG144" s="758"/>
      <c r="CH144" s="758"/>
      <c r="CI144" s="759"/>
      <c r="CK144" s="1296"/>
    </row>
    <row r="145" spans="2:89" x14ac:dyDescent="0.2">
      <c r="B145" s="708" t="s">
        <v>725</v>
      </c>
      <c r="C145" s="709" t="s">
        <v>514</v>
      </c>
      <c r="D145" s="710" t="s">
        <v>726</v>
      </c>
      <c r="E145" s="711" t="s">
        <v>236</v>
      </c>
      <c r="F145" s="712">
        <v>2</v>
      </c>
      <c r="G145" s="735">
        <f t="shared" ref="G145:AK145" si="43">G55+G113</f>
        <v>0</v>
      </c>
      <c r="H145" s="735">
        <f t="shared" si="43"/>
        <v>0</v>
      </c>
      <c r="I145" s="735">
        <f t="shared" si="43"/>
        <v>0.27326859627701372</v>
      </c>
      <c r="J145" s="735">
        <f t="shared" si="43"/>
        <v>0.34102088752534926</v>
      </c>
      <c r="K145" s="735">
        <f t="shared" si="43"/>
        <v>0.32879125252551122</v>
      </c>
      <c r="L145" s="735">
        <f t="shared" si="43"/>
        <v>0.31647156355438932</v>
      </c>
      <c r="M145" s="736">
        <f t="shared" si="43"/>
        <v>0.33025990192018606</v>
      </c>
      <c r="N145" s="736">
        <f t="shared" si="43"/>
        <v>0.33200107981755139</v>
      </c>
      <c r="O145" s="736">
        <f t="shared" si="43"/>
        <v>0.33361472062150332</v>
      </c>
      <c r="P145" s="736">
        <f t="shared" si="43"/>
        <v>0.33512254766966748</v>
      </c>
      <c r="Q145" s="736">
        <f t="shared" si="43"/>
        <v>0.33553502792714862</v>
      </c>
      <c r="R145" s="736">
        <f t="shared" si="43"/>
        <v>0.33390495386136648</v>
      </c>
      <c r="S145" s="736">
        <f t="shared" si="43"/>
        <v>0.33126418400953173</v>
      </c>
      <c r="T145" s="736">
        <f t="shared" si="43"/>
        <v>0.32860225140653931</v>
      </c>
      <c r="U145" s="736">
        <f t="shared" si="43"/>
        <v>0.3259191560523893</v>
      </c>
      <c r="V145" s="736">
        <f t="shared" si="43"/>
        <v>0.3232148979470818</v>
      </c>
      <c r="W145" s="736">
        <f t="shared" si="43"/>
        <v>0.3204407378915945</v>
      </c>
      <c r="X145" s="736">
        <f t="shared" si="43"/>
        <v>0.31764652891395784</v>
      </c>
      <c r="Y145" s="736">
        <f t="shared" si="43"/>
        <v>0.31483227101417199</v>
      </c>
      <c r="Z145" s="736">
        <f t="shared" si="43"/>
        <v>0.3119979641922368</v>
      </c>
      <c r="AA145" s="736">
        <f t="shared" si="43"/>
        <v>0.30914360844815236</v>
      </c>
      <c r="AB145" s="736">
        <f t="shared" si="43"/>
        <v>0.30626920378191869</v>
      </c>
      <c r="AC145" s="736">
        <f t="shared" si="43"/>
        <v>0.30337475019353566</v>
      </c>
      <c r="AD145" s="736">
        <f t="shared" si="43"/>
        <v>0.30046024768300339</v>
      </c>
      <c r="AE145" s="736">
        <f t="shared" si="43"/>
        <v>0.29752569625032177</v>
      </c>
      <c r="AF145" s="736">
        <f t="shared" si="43"/>
        <v>0.29457109589549102</v>
      </c>
      <c r="AG145" s="736">
        <f t="shared" si="43"/>
        <v>0.29159644661851086</v>
      </c>
      <c r="AH145" s="736">
        <f t="shared" si="43"/>
        <v>0.28860174841938152</v>
      </c>
      <c r="AI145" s="736">
        <f t="shared" si="43"/>
        <v>0.28558700129810277</v>
      </c>
      <c r="AJ145" s="736">
        <f t="shared" si="43"/>
        <v>0.28255220525467484</v>
      </c>
      <c r="AK145" s="736">
        <f t="shared" si="43"/>
        <v>0.27949736028909788</v>
      </c>
      <c r="AL145" s="736"/>
      <c r="AM145" s="736"/>
      <c r="AN145" s="736"/>
      <c r="AO145" s="736"/>
      <c r="AP145" s="736"/>
      <c r="AQ145" s="736"/>
      <c r="AR145" s="736"/>
      <c r="AS145" s="736"/>
      <c r="AT145" s="736"/>
      <c r="AU145" s="736"/>
      <c r="AV145" s="736"/>
      <c r="AW145" s="736"/>
      <c r="AX145" s="736"/>
      <c r="AY145" s="736"/>
      <c r="AZ145" s="736"/>
      <c r="BA145" s="736"/>
      <c r="BB145" s="736"/>
      <c r="BC145" s="736"/>
      <c r="BD145" s="736"/>
      <c r="BE145" s="736"/>
      <c r="BF145" s="736"/>
      <c r="BG145" s="736"/>
      <c r="BH145" s="736"/>
      <c r="BI145" s="736"/>
      <c r="BJ145" s="736"/>
      <c r="BK145" s="736"/>
      <c r="BL145" s="736"/>
      <c r="BM145" s="736"/>
      <c r="BN145" s="736"/>
      <c r="BO145" s="736"/>
      <c r="BP145" s="736"/>
      <c r="BQ145" s="736"/>
      <c r="BR145" s="736"/>
      <c r="BS145" s="736"/>
      <c r="BT145" s="736"/>
      <c r="BU145" s="736"/>
      <c r="BV145" s="736"/>
      <c r="BW145" s="736"/>
      <c r="BX145" s="736"/>
      <c r="BY145" s="736"/>
      <c r="BZ145" s="736"/>
      <c r="CA145" s="736"/>
      <c r="CB145" s="736"/>
      <c r="CC145" s="736"/>
      <c r="CD145" s="736"/>
      <c r="CE145" s="736"/>
      <c r="CF145" s="736"/>
      <c r="CG145" s="736"/>
      <c r="CH145" s="736"/>
      <c r="CI145" s="737"/>
      <c r="CK145" s="1296"/>
    </row>
    <row r="146" spans="2:89" x14ac:dyDescent="0.2">
      <c r="B146" s="720" t="s">
        <v>727</v>
      </c>
      <c r="C146" s="721" t="s">
        <v>516</v>
      </c>
      <c r="D146" s="715" t="s">
        <v>728</v>
      </c>
      <c r="E146" s="716" t="s">
        <v>236</v>
      </c>
      <c r="F146" s="717">
        <v>2</v>
      </c>
      <c r="G146" s="569">
        <f t="shared" ref="G146:AK146" si="44">G56+G114</f>
        <v>0</v>
      </c>
      <c r="H146" s="569">
        <f t="shared" si="44"/>
        <v>0</v>
      </c>
      <c r="I146" s="569">
        <f t="shared" si="44"/>
        <v>4.1140196505908201E-2</v>
      </c>
      <c r="J146" s="569">
        <f t="shared" si="44"/>
        <v>3.9374863189543363E-2</v>
      </c>
      <c r="K146" s="569">
        <f t="shared" si="44"/>
        <v>3.7416730383037784E-2</v>
      </c>
      <c r="L146" s="569">
        <f t="shared" si="44"/>
        <v>3.549264799294536E-2</v>
      </c>
      <c r="M146" s="718">
        <f t="shared" si="44"/>
        <v>3.7155752999654491E-2</v>
      </c>
      <c r="N146" s="718">
        <f t="shared" si="44"/>
        <v>2.9859071821668786E-2</v>
      </c>
      <c r="O146" s="718">
        <f t="shared" si="44"/>
        <v>2.2740614335489545E-2</v>
      </c>
      <c r="P146" s="718">
        <f t="shared" si="44"/>
        <v>1.5764730981990223E-2</v>
      </c>
      <c r="Q146" s="718">
        <f t="shared" si="44"/>
        <v>1.064078477766283E-2</v>
      </c>
      <c r="R146" s="718">
        <f t="shared" si="44"/>
        <v>8.8359153710102258E-3</v>
      </c>
      <c r="S146" s="718">
        <f t="shared" si="44"/>
        <v>8.7236809253839059E-3</v>
      </c>
      <c r="T146" s="718">
        <f t="shared" si="44"/>
        <v>8.611812054456762E-3</v>
      </c>
      <c r="U146" s="718">
        <f t="shared" si="44"/>
        <v>8.5003087582287973E-3</v>
      </c>
      <c r="V146" s="718">
        <f t="shared" si="44"/>
        <v>8.3891710367000119E-3</v>
      </c>
      <c r="W146" s="718">
        <f t="shared" si="44"/>
        <v>8.2783988898704058E-3</v>
      </c>
      <c r="X146" s="718">
        <f t="shared" si="44"/>
        <v>8.1679923177399791E-3</v>
      </c>
      <c r="Y146" s="718">
        <f t="shared" si="44"/>
        <v>8.0579513203087386E-3</v>
      </c>
      <c r="Z146" s="718">
        <f t="shared" si="44"/>
        <v>7.9482758975766704E-3</v>
      </c>
      <c r="AA146" s="718">
        <f t="shared" si="44"/>
        <v>7.8389660495437816E-3</v>
      </c>
      <c r="AB146" s="718">
        <f t="shared" si="44"/>
        <v>7.730021776210072E-3</v>
      </c>
      <c r="AC146" s="718">
        <f t="shared" si="44"/>
        <v>7.6214430775755418E-3</v>
      </c>
      <c r="AD146" s="718">
        <f t="shared" si="44"/>
        <v>7.5132299536401909E-3</v>
      </c>
      <c r="AE146" s="718">
        <f t="shared" si="44"/>
        <v>7.4053824044040192E-3</v>
      </c>
      <c r="AF146" s="718">
        <f t="shared" si="44"/>
        <v>7.2979004298670304E-3</v>
      </c>
      <c r="AG146" s="718">
        <f t="shared" si="44"/>
        <v>7.1907840300292174E-3</v>
      </c>
      <c r="AH146" s="718">
        <f t="shared" si="44"/>
        <v>7.0840332048905837E-3</v>
      </c>
      <c r="AI146" s="718">
        <f t="shared" si="44"/>
        <v>6.9776479544511293E-3</v>
      </c>
      <c r="AJ146" s="718">
        <f t="shared" si="44"/>
        <v>6.8716282787108542E-3</v>
      </c>
      <c r="AK146" s="718">
        <f t="shared" si="44"/>
        <v>6.7659741776697653E-3</v>
      </c>
      <c r="AL146" s="718"/>
      <c r="AM146" s="718"/>
      <c r="AN146" s="718"/>
      <c r="AO146" s="718"/>
      <c r="AP146" s="718"/>
      <c r="AQ146" s="718"/>
      <c r="AR146" s="718"/>
      <c r="AS146" s="718"/>
      <c r="AT146" s="718"/>
      <c r="AU146" s="718"/>
      <c r="AV146" s="718"/>
      <c r="AW146" s="718"/>
      <c r="AX146" s="718"/>
      <c r="AY146" s="718"/>
      <c r="AZ146" s="718"/>
      <c r="BA146" s="718"/>
      <c r="BB146" s="718"/>
      <c r="BC146" s="718"/>
      <c r="BD146" s="718"/>
      <c r="BE146" s="718"/>
      <c r="BF146" s="718"/>
      <c r="BG146" s="718"/>
      <c r="BH146" s="718"/>
      <c r="BI146" s="718"/>
      <c r="BJ146" s="718"/>
      <c r="BK146" s="718"/>
      <c r="BL146" s="718"/>
      <c r="BM146" s="718"/>
      <c r="BN146" s="718"/>
      <c r="BO146" s="718"/>
      <c r="BP146" s="718"/>
      <c r="BQ146" s="718"/>
      <c r="BR146" s="718"/>
      <c r="BS146" s="718"/>
      <c r="BT146" s="718"/>
      <c r="BU146" s="718"/>
      <c r="BV146" s="718"/>
      <c r="BW146" s="718"/>
      <c r="BX146" s="718"/>
      <c r="BY146" s="718"/>
      <c r="BZ146" s="718"/>
      <c r="CA146" s="718"/>
      <c r="CB146" s="718"/>
      <c r="CC146" s="718"/>
      <c r="CD146" s="718"/>
      <c r="CE146" s="718"/>
      <c r="CF146" s="718"/>
      <c r="CG146" s="718"/>
      <c r="CH146" s="718"/>
      <c r="CI146" s="719"/>
      <c r="CK146" s="1296"/>
    </row>
    <row r="147" spans="2:89" x14ac:dyDescent="0.2">
      <c r="B147" s="720" t="s">
        <v>729</v>
      </c>
      <c r="C147" s="721" t="s">
        <v>518</v>
      </c>
      <c r="D147" s="715" t="s">
        <v>730</v>
      </c>
      <c r="E147" s="716" t="s">
        <v>236</v>
      </c>
      <c r="F147" s="717">
        <v>2</v>
      </c>
      <c r="G147" s="569">
        <f t="shared" ref="G147:AK147" si="45">G57+G115</f>
        <v>0</v>
      </c>
      <c r="H147" s="569">
        <f t="shared" si="45"/>
        <v>0</v>
      </c>
      <c r="I147" s="569">
        <f t="shared" si="45"/>
        <v>5.5535327266562371</v>
      </c>
      <c r="J147" s="569">
        <f t="shared" si="45"/>
        <v>5.5097342537652931</v>
      </c>
      <c r="K147" s="569">
        <f t="shared" si="45"/>
        <v>5.528825244505656</v>
      </c>
      <c r="L147" s="569">
        <f t="shared" si="45"/>
        <v>5.5836496450211648</v>
      </c>
      <c r="M147" s="718">
        <f t="shared" si="45"/>
        <v>6.0117925630032323</v>
      </c>
      <c r="N147" s="718">
        <f t="shared" si="45"/>
        <v>6.4880906604159776</v>
      </c>
      <c r="O147" s="718">
        <f t="shared" si="45"/>
        <v>6.7446780325920592</v>
      </c>
      <c r="P147" s="718">
        <f t="shared" si="45"/>
        <v>6.8950331391665189</v>
      </c>
      <c r="Q147" s="718">
        <f t="shared" si="45"/>
        <v>7.0322364455547319</v>
      </c>
      <c r="R147" s="718">
        <f t="shared" si="45"/>
        <v>7.1410731766899627</v>
      </c>
      <c r="S147" s="718">
        <f t="shared" si="45"/>
        <v>7.2249805128248745</v>
      </c>
      <c r="T147" s="718">
        <f t="shared" si="45"/>
        <v>7.3003288517227194</v>
      </c>
      <c r="U147" s="718">
        <f t="shared" si="45"/>
        <v>7.3649952592121091</v>
      </c>
      <c r="V147" s="718">
        <f t="shared" si="45"/>
        <v>7.4319805404714341</v>
      </c>
      <c r="W147" s="718">
        <f t="shared" si="45"/>
        <v>7.4438803246426204</v>
      </c>
      <c r="X147" s="718">
        <f t="shared" si="45"/>
        <v>7.4034460858682412</v>
      </c>
      <c r="Y147" s="718">
        <f t="shared" si="45"/>
        <v>7.3630243492280787</v>
      </c>
      <c r="Z147" s="718">
        <f t="shared" si="45"/>
        <v>7.3224829842821428</v>
      </c>
      <c r="AA147" s="718">
        <f t="shared" si="45"/>
        <v>7.2817968916088756</v>
      </c>
      <c r="AB147" s="718">
        <f t="shared" si="45"/>
        <v>7.2409038200322122</v>
      </c>
      <c r="AC147" s="718">
        <f t="shared" si="45"/>
        <v>7.1998400981524151</v>
      </c>
      <c r="AD147" s="718">
        <f t="shared" si="45"/>
        <v>7.1585529304216893</v>
      </c>
      <c r="AE147" s="718">
        <f t="shared" si="45"/>
        <v>7.1170028953996578</v>
      </c>
      <c r="AF147" s="718">
        <f t="shared" si="45"/>
        <v>7.0751621448231798</v>
      </c>
      <c r="AG147" s="718">
        <f t="shared" si="45"/>
        <v>7.0329425684885054</v>
      </c>
      <c r="AH147" s="718">
        <f t="shared" si="45"/>
        <v>6.9903266443228045</v>
      </c>
      <c r="AI147" s="718">
        <f t="shared" si="45"/>
        <v>6.9472740884326516</v>
      </c>
      <c r="AJ147" s="718">
        <f t="shared" si="45"/>
        <v>6.9037432099301643</v>
      </c>
      <c r="AK147" s="718">
        <f t="shared" si="45"/>
        <v>6.8596869499707003</v>
      </c>
      <c r="AL147" s="718"/>
      <c r="AM147" s="718"/>
      <c r="AN147" s="718"/>
      <c r="AO147" s="718"/>
      <c r="AP147" s="718"/>
      <c r="AQ147" s="718"/>
      <c r="AR147" s="718"/>
      <c r="AS147" s="718"/>
      <c r="AT147" s="718"/>
      <c r="AU147" s="718"/>
      <c r="AV147" s="718"/>
      <c r="AW147" s="718"/>
      <c r="AX147" s="718"/>
      <c r="AY147" s="718"/>
      <c r="AZ147" s="718"/>
      <c r="BA147" s="718"/>
      <c r="BB147" s="718"/>
      <c r="BC147" s="718"/>
      <c r="BD147" s="718"/>
      <c r="BE147" s="718"/>
      <c r="BF147" s="718"/>
      <c r="BG147" s="718"/>
      <c r="BH147" s="718"/>
      <c r="BI147" s="718"/>
      <c r="BJ147" s="718"/>
      <c r="BK147" s="718"/>
      <c r="BL147" s="718"/>
      <c r="BM147" s="718"/>
      <c r="BN147" s="718"/>
      <c r="BO147" s="718"/>
      <c r="BP147" s="718"/>
      <c r="BQ147" s="718"/>
      <c r="BR147" s="718"/>
      <c r="BS147" s="718"/>
      <c r="BT147" s="718"/>
      <c r="BU147" s="718"/>
      <c r="BV147" s="718"/>
      <c r="BW147" s="718"/>
      <c r="BX147" s="718"/>
      <c r="BY147" s="718"/>
      <c r="BZ147" s="718"/>
      <c r="CA147" s="718"/>
      <c r="CB147" s="718"/>
      <c r="CC147" s="718"/>
      <c r="CD147" s="718"/>
      <c r="CE147" s="718"/>
      <c r="CF147" s="718"/>
      <c r="CG147" s="718"/>
      <c r="CH147" s="718"/>
      <c r="CI147" s="719"/>
      <c r="CK147" s="1296"/>
    </row>
    <row r="148" spans="2:89" x14ac:dyDescent="0.2">
      <c r="B148" s="720" t="s">
        <v>731</v>
      </c>
      <c r="C148" s="721" t="s">
        <v>520</v>
      </c>
      <c r="D148" s="715" t="s">
        <v>732</v>
      </c>
      <c r="E148" s="716" t="s">
        <v>236</v>
      </c>
      <c r="F148" s="717">
        <v>2</v>
      </c>
      <c r="G148" s="569">
        <f t="shared" ref="G148:AK148" si="46">G58+G116</f>
        <v>0</v>
      </c>
      <c r="H148" s="569">
        <f t="shared" si="46"/>
        <v>0</v>
      </c>
      <c r="I148" s="569">
        <f t="shared" si="46"/>
        <v>6.3309619898029483</v>
      </c>
      <c r="J148" s="569">
        <f t="shared" si="46"/>
        <v>5.9276781221099482</v>
      </c>
      <c r="K148" s="569">
        <f t="shared" si="46"/>
        <v>5.4834279203611631</v>
      </c>
      <c r="L148" s="569">
        <f t="shared" si="46"/>
        <v>4.9896661171342833</v>
      </c>
      <c r="M148" s="718">
        <f t="shared" si="46"/>
        <v>4.146663042723401</v>
      </c>
      <c r="N148" s="718">
        <f t="shared" si="46"/>
        <v>3.0750722418499912</v>
      </c>
      <c r="O148" s="718">
        <f t="shared" si="46"/>
        <v>2.4977434133024512</v>
      </c>
      <c r="P148" s="718">
        <f t="shared" si="46"/>
        <v>2.1575446880659315</v>
      </c>
      <c r="Q148" s="718">
        <f t="shared" si="46"/>
        <v>1.7936038238514715</v>
      </c>
      <c r="R148" s="718">
        <f t="shared" si="46"/>
        <v>1.4685512548410298</v>
      </c>
      <c r="S148" s="718">
        <f t="shared" si="46"/>
        <v>1.1838496720167959</v>
      </c>
      <c r="T148" s="718">
        <f t="shared" si="46"/>
        <v>0.90502305665974303</v>
      </c>
      <c r="U148" s="718">
        <f t="shared" si="46"/>
        <v>0.63207140876987156</v>
      </c>
      <c r="V148" s="718">
        <f t="shared" si="46"/>
        <v>0.36499472834718105</v>
      </c>
      <c r="W148" s="718">
        <f t="shared" si="46"/>
        <v>0.23207361277472316</v>
      </c>
      <c r="X148" s="718">
        <f t="shared" si="46"/>
        <v>0.2280928682396679</v>
      </c>
      <c r="Y148" s="718">
        <f t="shared" si="46"/>
        <v>0.22414284557793307</v>
      </c>
      <c r="Z148" s="718">
        <f t="shared" si="46"/>
        <v>0.22022354478951778</v>
      </c>
      <c r="AA148" s="718">
        <f t="shared" si="46"/>
        <v>0.21633496587442291</v>
      </c>
      <c r="AB148" s="718">
        <f t="shared" si="46"/>
        <v>0.21247710883264759</v>
      </c>
      <c r="AC148" s="718">
        <f t="shared" si="46"/>
        <v>0.20864997366419225</v>
      </c>
      <c r="AD148" s="718">
        <f t="shared" si="46"/>
        <v>0.20485356036905689</v>
      </c>
      <c r="AE148" s="718">
        <f t="shared" si="46"/>
        <v>0.20108786894724151</v>
      </c>
      <c r="AF148" s="718">
        <f t="shared" si="46"/>
        <v>0.19735289939874612</v>
      </c>
      <c r="AG148" s="718">
        <f t="shared" si="46"/>
        <v>0.19364865172357026</v>
      </c>
      <c r="AH148" s="718">
        <f t="shared" si="46"/>
        <v>0.18997512592171484</v>
      </c>
      <c r="AI148" s="718">
        <f t="shared" si="46"/>
        <v>0.18633232199317895</v>
      </c>
      <c r="AJ148" s="718">
        <f t="shared" si="46"/>
        <v>0.18272023993796349</v>
      </c>
      <c r="AK148" s="718">
        <f t="shared" si="46"/>
        <v>0.17913887975606757</v>
      </c>
      <c r="AL148" s="718"/>
      <c r="AM148" s="718"/>
      <c r="AN148" s="718"/>
      <c r="AO148" s="718"/>
      <c r="AP148" s="718"/>
      <c r="AQ148" s="718"/>
      <c r="AR148" s="718"/>
      <c r="AS148" s="718"/>
      <c r="AT148" s="718"/>
      <c r="AU148" s="718"/>
      <c r="AV148" s="718"/>
      <c r="AW148" s="718"/>
      <c r="AX148" s="718"/>
      <c r="AY148" s="718"/>
      <c r="AZ148" s="718"/>
      <c r="BA148" s="718"/>
      <c r="BB148" s="718"/>
      <c r="BC148" s="718"/>
      <c r="BD148" s="718"/>
      <c r="BE148" s="718"/>
      <c r="BF148" s="718"/>
      <c r="BG148" s="718"/>
      <c r="BH148" s="718"/>
      <c r="BI148" s="718"/>
      <c r="BJ148" s="718"/>
      <c r="BK148" s="718"/>
      <c r="BL148" s="718"/>
      <c r="BM148" s="718"/>
      <c r="BN148" s="718"/>
      <c r="BO148" s="718"/>
      <c r="BP148" s="718"/>
      <c r="BQ148" s="718"/>
      <c r="BR148" s="718"/>
      <c r="BS148" s="718"/>
      <c r="BT148" s="718"/>
      <c r="BU148" s="718"/>
      <c r="BV148" s="718"/>
      <c r="BW148" s="718"/>
      <c r="BX148" s="718"/>
      <c r="BY148" s="718"/>
      <c r="BZ148" s="718"/>
      <c r="CA148" s="718"/>
      <c r="CB148" s="718"/>
      <c r="CC148" s="718"/>
      <c r="CD148" s="718"/>
      <c r="CE148" s="718"/>
      <c r="CF148" s="718"/>
      <c r="CG148" s="718"/>
      <c r="CH148" s="718"/>
      <c r="CI148" s="719"/>
      <c r="CK148" s="1296"/>
    </row>
    <row r="149" spans="2:89" x14ac:dyDescent="0.2">
      <c r="B149" s="720" t="s">
        <v>733</v>
      </c>
      <c r="C149" s="721" t="s">
        <v>522</v>
      </c>
      <c r="D149" s="715" t="s">
        <v>734</v>
      </c>
      <c r="E149" s="716" t="s">
        <v>236</v>
      </c>
      <c r="F149" s="717">
        <v>2</v>
      </c>
      <c r="G149" s="569">
        <f t="shared" ref="G149:AK149" si="47">G59+G117</f>
        <v>0</v>
      </c>
      <c r="H149" s="569">
        <f t="shared" si="47"/>
        <v>0</v>
      </c>
      <c r="I149" s="569">
        <f t="shared" si="47"/>
        <v>0.71015557626448644</v>
      </c>
      <c r="J149" s="569">
        <f t="shared" si="47"/>
        <v>0.70957831041263186</v>
      </c>
      <c r="K149" s="569">
        <f t="shared" si="47"/>
        <v>0.7169531899542706</v>
      </c>
      <c r="L149" s="569">
        <f t="shared" si="47"/>
        <v>0.72509979371537092</v>
      </c>
      <c r="M149" s="718">
        <f t="shared" si="47"/>
        <v>0.69711402584461868</v>
      </c>
      <c r="N149" s="718">
        <f t="shared" si="47"/>
        <v>0.70460105605889756</v>
      </c>
      <c r="O149" s="718">
        <f t="shared" si="47"/>
        <v>0.71217910624078085</v>
      </c>
      <c r="P149" s="718">
        <f t="shared" si="47"/>
        <v>0.71925605750611388</v>
      </c>
      <c r="Q149" s="718">
        <f t="shared" si="47"/>
        <v>0.72478282552169859</v>
      </c>
      <c r="R149" s="718">
        <f t="shared" si="47"/>
        <v>0.7298956068298994</v>
      </c>
      <c r="S149" s="718">
        <f t="shared" si="47"/>
        <v>0.73468832861927424</v>
      </c>
      <c r="T149" s="718">
        <f t="shared" si="47"/>
        <v>0.7390259532503124</v>
      </c>
      <c r="U149" s="718">
        <f t="shared" si="47"/>
        <v>0.74270057246781107</v>
      </c>
      <c r="V149" s="718">
        <f t="shared" si="47"/>
        <v>0.74688519995767511</v>
      </c>
      <c r="W149" s="718">
        <f t="shared" si="47"/>
        <v>0.7512257349883753</v>
      </c>
      <c r="X149" s="718">
        <f t="shared" si="47"/>
        <v>0.7557853583832943</v>
      </c>
      <c r="Y149" s="718">
        <f t="shared" si="47"/>
        <v>0.76044417463049185</v>
      </c>
      <c r="Z149" s="718">
        <f t="shared" si="47"/>
        <v>0.76519298224557331</v>
      </c>
      <c r="AA149" s="718">
        <f t="shared" si="47"/>
        <v>0.77003256716611213</v>
      </c>
      <c r="AB149" s="718">
        <f t="shared" si="47"/>
        <v>0.77496009080596917</v>
      </c>
      <c r="AC149" s="718">
        <f t="shared" si="47"/>
        <v>0.77998241418710568</v>
      </c>
      <c r="AD149" s="718">
        <f t="shared" si="47"/>
        <v>0.78509773399346194</v>
      </c>
      <c r="AE149" s="718">
        <f t="shared" si="47"/>
        <v>0.79030552504790674</v>
      </c>
      <c r="AF149" s="718">
        <f t="shared" si="47"/>
        <v>0.79560643489258109</v>
      </c>
      <c r="AG149" s="718">
        <f t="shared" si="47"/>
        <v>0.80099482128664112</v>
      </c>
      <c r="AH149" s="718">
        <f t="shared" si="47"/>
        <v>0.80647225185971805</v>
      </c>
      <c r="AI149" s="718">
        <f t="shared" si="47"/>
        <v>0.81203792588050561</v>
      </c>
      <c r="AJ149" s="718">
        <f t="shared" si="47"/>
        <v>0.81769084657995661</v>
      </c>
      <c r="AK149" s="718">
        <f t="shared" si="47"/>
        <v>0.82342936964809266</v>
      </c>
      <c r="AL149" s="718"/>
      <c r="AM149" s="718"/>
      <c r="AN149" s="718"/>
      <c r="AO149" s="718"/>
      <c r="AP149" s="718"/>
      <c r="AQ149" s="718"/>
      <c r="AR149" s="718"/>
      <c r="AS149" s="718"/>
      <c r="AT149" s="718"/>
      <c r="AU149" s="718"/>
      <c r="AV149" s="718"/>
      <c r="AW149" s="718"/>
      <c r="AX149" s="718"/>
      <c r="AY149" s="718"/>
      <c r="AZ149" s="718"/>
      <c r="BA149" s="718"/>
      <c r="BB149" s="718"/>
      <c r="BC149" s="718"/>
      <c r="BD149" s="718"/>
      <c r="BE149" s="718"/>
      <c r="BF149" s="718"/>
      <c r="BG149" s="718"/>
      <c r="BH149" s="718"/>
      <c r="BI149" s="718"/>
      <c r="BJ149" s="718"/>
      <c r="BK149" s="718"/>
      <c r="BL149" s="718"/>
      <c r="BM149" s="718"/>
      <c r="BN149" s="718"/>
      <c r="BO149" s="718"/>
      <c r="BP149" s="718"/>
      <c r="BQ149" s="718"/>
      <c r="BR149" s="718"/>
      <c r="BS149" s="718"/>
      <c r="BT149" s="718"/>
      <c r="BU149" s="718"/>
      <c r="BV149" s="718"/>
      <c r="BW149" s="718"/>
      <c r="BX149" s="718"/>
      <c r="BY149" s="718"/>
      <c r="BZ149" s="718"/>
      <c r="CA149" s="718"/>
      <c r="CB149" s="718"/>
      <c r="CC149" s="718"/>
      <c r="CD149" s="718"/>
      <c r="CE149" s="718"/>
      <c r="CF149" s="718"/>
      <c r="CG149" s="718"/>
      <c r="CH149" s="718"/>
      <c r="CI149" s="719"/>
      <c r="CK149" s="1296"/>
    </row>
    <row r="150" spans="2:89" x14ac:dyDescent="0.2">
      <c r="B150" s="720" t="s">
        <v>735</v>
      </c>
      <c r="C150" s="714" t="s">
        <v>524</v>
      </c>
      <c r="D150" s="715" t="s">
        <v>736</v>
      </c>
      <c r="E150" s="716" t="s">
        <v>236</v>
      </c>
      <c r="F150" s="717">
        <v>2</v>
      </c>
      <c r="G150" s="569">
        <f t="shared" ref="G150:AK150" si="48">G60+G118</f>
        <v>0</v>
      </c>
      <c r="H150" s="569">
        <f t="shared" si="48"/>
        <v>0</v>
      </c>
      <c r="I150" s="569">
        <f t="shared" si="48"/>
        <v>40.435810257655746</v>
      </c>
      <c r="J150" s="569">
        <f t="shared" si="48"/>
        <v>40.329666762997235</v>
      </c>
      <c r="K150" s="569">
        <f t="shared" si="48"/>
        <v>38.694603262270348</v>
      </c>
      <c r="L150" s="569">
        <f t="shared" si="48"/>
        <v>37.072602232581843</v>
      </c>
      <c r="M150" s="718">
        <f t="shared" si="48"/>
        <v>37.005429913508905</v>
      </c>
      <c r="N150" s="718">
        <f t="shared" si="48"/>
        <v>37.104224290035916</v>
      </c>
      <c r="O150" s="718">
        <f t="shared" si="48"/>
        <v>36.928325712907714</v>
      </c>
      <c r="P150" s="718">
        <f t="shared" si="48"/>
        <v>36.621993636609773</v>
      </c>
      <c r="Q150" s="718">
        <f t="shared" si="48"/>
        <v>36.353349092367282</v>
      </c>
      <c r="R150" s="718">
        <f t="shared" si="48"/>
        <v>36.073320292406727</v>
      </c>
      <c r="S150" s="718">
        <f t="shared" si="48"/>
        <v>35.777508021604135</v>
      </c>
      <c r="T150" s="718">
        <f t="shared" si="48"/>
        <v>35.484855674906221</v>
      </c>
      <c r="U150" s="718">
        <f t="shared" si="48"/>
        <v>35.197694094739582</v>
      </c>
      <c r="V150" s="718">
        <f t="shared" si="48"/>
        <v>34.901849462239916</v>
      </c>
      <c r="W150" s="718">
        <f t="shared" si="48"/>
        <v>34.526848390812802</v>
      </c>
      <c r="X150" s="718">
        <f t="shared" si="48"/>
        <v>34.075041566277086</v>
      </c>
      <c r="Y150" s="718">
        <f t="shared" si="48"/>
        <v>33.623112008229</v>
      </c>
      <c r="Z150" s="718">
        <f t="shared" si="48"/>
        <v>33.171201048592934</v>
      </c>
      <c r="AA150" s="718">
        <f t="shared" si="48"/>
        <v>32.719333000852878</v>
      </c>
      <c r="AB150" s="718">
        <f t="shared" si="48"/>
        <v>32.267572954771026</v>
      </c>
      <c r="AC150" s="718">
        <f t="shared" si="48"/>
        <v>31.815877720725155</v>
      </c>
      <c r="AD150" s="718">
        <f t="shared" si="48"/>
        <v>31.364301897579129</v>
      </c>
      <c r="AE150" s="718">
        <f t="shared" si="48"/>
        <v>30.91288543195045</v>
      </c>
      <c r="AF150" s="718">
        <f t="shared" si="48"/>
        <v>30.461655524560115</v>
      </c>
      <c r="AG150" s="718">
        <f t="shared" si="48"/>
        <v>30.010705927852719</v>
      </c>
      <c r="AH150" s="718">
        <f t="shared" si="48"/>
        <v>29.560052596271468</v>
      </c>
      <c r="AI150" s="718">
        <f t="shared" si="48"/>
        <v>29.109736614441083</v>
      </c>
      <c r="AJ150" s="718">
        <f t="shared" si="48"/>
        <v>28.659800670018505</v>
      </c>
      <c r="AK150" s="718">
        <f t="shared" si="48"/>
        <v>28.210293466158369</v>
      </c>
      <c r="AL150" s="718"/>
      <c r="AM150" s="718"/>
      <c r="AN150" s="718"/>
      <c r="AO150" s="718"/>
      <c r="AP150" s="718"/>
      <c r="AQ150" s="718"/>
      <c r="AR150" s="718"/>
      <c r="AS150" s="718"/>
      <c r="AT150" s="718"/>
      <c r="AU150" s="718"/>
      <c r="AV150" s="718"/>
      <c r="AW150" s="718"/>
      <c r="AX150" s="718"/>
      <c r="AY150" s="718"/>
      <c r="AZ150" s="718"/>
      <c r="BA150" s="718"/>
      <c r="BB150" s="718"/>
      <c r="BC150" s="718"/>
      <c r="BD150" s="718"/>
      <c r="BE150" s="718"/>
      <c r="BF150" s="718"/>
      <c r="BG150" s="718"/>
      <c r="BH150" s="718"/>
      <c r="BI150" s="718"/>
      <c r="BJ150" s="718"/>
      <c r="BK150" s="718"/>
      <c r="BL150" s="718"/>
      <c r="BM150" s="718"/>
      <c r="BN150" s="718"/>
      <c r="BO150" s="718"/>
      <c r="BP150" s="718"/>
      <c r="BQ150" s="718"/>
      <c r="BR150" s="718"/>
      <c r="BS150" s="718"/>
      <c r="BT150" s="718"/>
      <c r="BU150" s="718"/>
      <c r="BV150" s="718"/>
      <c r="BW150" s="718"/>
      <c r="BX150" s="718"/>
      <c r="BY150" s="718"/>
      <c r="BZ150" s="718"/>
      <c r="CA150" s="718"/>
      <c r="CB150" s="718"/>
      <c r="CC150" s="718"/>
      <c r="CD150" s="718"/>
      <c r="CE150" s="718"/>
      <c r="CF150" s="718"/>
      <c r="CG150" s="718"/>
      <c r="CH150" s="718"/>
      <c r="CI150" s="719"/>
      <c r="CK150" s="1296"/>
    </row>
    <row r="151" spans="2:89" x14ac:dyDescent="0.2">
      <c r="B151" s="720" t="s">
        <v>737</v>
      </c>
      <c r="C151" s="714" t="s">
        <v>243</v>
      </c>
      <c r="D151" s="715" t="s">
        <v>738</v>
      </c>
      <c r="E151" s="716" t="s">
        <v>236</v>
      </c>
      <c r="F151" s="717">
        <v>2</v>
      </c>
      <c r="G151" s="569">
        <f>SUM(G145:G150)</f>
        <v>0</v>
      </c>
      <c r="H151" s="569">
        <f t="shared" ref="H151:AK151" si="49">SUM(H145:H150)</f>
        <v>0</v>
      </c>
      <c r="I151" s="569">
        <f t="shared" si="49"/>
        <v>53.344869343162344</v>
      </c>
      <c r="J151" s="569">
        <f t="shared" si="49"/>
        <v>52.857053199999996</v>
      </c>
      <c r="K151" s="569">
        <f t="shared" si="49"/>
        <v>50.790017599999985</v>
      </c>
      <c r="L151" s="569">
        <f t="shared" si="49"/>
        <v>48.722981999999995</v>
      </c>
      <c r="M151" s="718">
        <f t="shared" si="49"/>
        <v>48.228415200000001</v>
      </c>
      <c r="N151" s="718">
        <f t="shared" si="49"/>
        <v>47.733848399999999</v>
      </c>
      <c r="O151" s="718">
        <f t="shared" si="49"/>
        <v>47.239281599999998</v>
      </c>
      <c r="P151" s="718">
        <f t="shared" si="49"/>
        <v>46.744714799999997</v>
      </c>
      <c r="Q151" s="718">
        <f t="shared" si="49"/>
        <v>46.250147999999996</v>
      </c>
      <c r="R151" s="718">
        <f t="shared" si="49"/>
        <v>45.755581199999995</v>
      </c>
      <c r="S151" s="718">
        <f t="shared" si="49"/>
        <v>45.261014399999993</v>
      </c>
      <c r="T151" s="718">
        <f t="shared" si="49"/>
        <v>44.766447599999992</v>
      </c>
      <c r="U151" s="718">
        <f t="shared" si="49"/>
        <v>44.271880799999991</v>
      </c>
      <c r="V151" s="718">
        <f t="shared" si="49"/>
        <v>43.77731399999999</v>
      </c>
      <c r="W151" s="718">
        <f t="shared" si="49"/>
        <v>43.282747199999989</v>
      </c>
      <c r="X151" s="718">
        <f t="shared" si="49"/>
        <v>42.788180399999987</v>
      </c>
      <c r="Y151" s="718">
        <f t="shared" si="49"/>
        <v>42.293613599999986</v>
      </c>
      <c r="Z151" s="718">
        <f t="shared" si="49"/>
        <v>41.799046799999985</v>
      </c>
      <c r="AA151" s="718">
        <f t="shared" si="49"/>
        <v>41.304479999999984</v>
      </c>
      <c r="AB151" s="718">
        <f t="shared" si="49"/>
        <v>40.809913199999983</v>
      </c>
      <c r="AC151" s="718">
        <f t="shared" si="49"/>
        <v>40.315346399999981</v>
      </c>
      <c r="AD151" s="718">
        <f t="shared" si="49"/>
        <v>39.82077959999998</v>
      </c>
      <c r="AE151" s="718">
        <f t="shared" si="49"/>
        <v>39.326212799999979</v>
      </c>
      <c r="AF151" s="718">
        <f t="shared" si="49"/>
        <v>38.831645999999978</v>
      </c>
      <c r="AG151" s="718">
        <f t="shared" si="49"/>
        <v>38.337079199999977</v>
      </c>
      <c r="AH151" s="718">
        <f t="shared" si="49"/>
        <v>37.842512399999976</v>
      </c>
      <c r="AI151" s="718">
        <f t="shared" si="49"/>
        <v>37.347945599999974</v>
      </c>
      <c r="AJ151" s="718">
        <f t="shared" si="49"/>
        <v>36.853378799999973</v>
      </c>
      <c r="AK151" s="718">
        <f t="shared" si="49"/>
        <v>36.358812</v>
      </c>
      <c r="AL151" s="718"/>
      <c r="AM151" s="718"/>
      <c r="AN151" s="718"/>
      <c r="AO151" s="718"/>
      <c r="AP151" s="718"/>
      <c r="AQ151" s="718"/>
      <c r="AR151" s="718"/>
      <c r="AS151" s="718"/>
      <c r="AT151" s="718"/>
      <c r="AU151" s="718"/>
      <c r="AV151" s="718"/>
      <c r="AW151" s="718"/>
      <c r="AX151" s="718"/>
      <c r="AY151" s="718"/>
      <c r="AZ151" s="718"/>
      <c r="BA151" s="718"/>
      <c r="BB151" s="718"/>
      <c r="BC151" s="718"/>
      <c r="BD151" s="718"/>
      <c r="BE151" s="718"/>
      <c r="BF151" s="718"/>
      <c r="BG151" s="718"/>
      <c r="BH151" s="718"/>
      <c r="BI151" s="718"/>
      <c r="BJ151" s="718"/>
      <c r="BK151" s="718"/>
      <c r="BL151" s="718"/>
      <c r="BM151" s="718"/>
      <c r="BN151" s="718"/>
      <c r="BO151" s="718"/>
      <c r="BP151" s="718"/>
      <c r="BQ151" s="718"/>
      <c r="BR151" s="718"/>
      <c r="BS151" s="718"/>
      <c r="BT151" s="718"/>
      <c r="BU151" s="718"/>
      <c r="BV151" s="718"/>
      <c r="BW151" s="718"/>
      <c r="BX151" s="718"/>
      <c r="BY151" s="718"/>
      <c r="BZ151" s="718"/>
      <c r="CA151" s="718"/>
      <c r="CB151" s="718"/>
      <c r="CC151" s="718"/>
      <c r="CD151" s="718"/>
      <c r="CE151" s="718"/>
      <c r="CF151" s="718"/>
      <c r="CG151" s="718"/>
      <c r="CH151" s="718"/>
      <c r="CI151" s="719"/>
      <c r="CK151" s="1296"/>
    </row>
    <row r="152" spans="2:89" ht="15" thickBot="1" x14ac:dyDescent="0.25">
      <c r="B152" s="760" t="s">
        <v>739</v>
      </c>
      <c r="C152" s="761" t="s">
        <v>528</v>
      </c>
      <c r="D152" s="762" t="s">
        <v>740</v>
      </c>
      <c r="E152" s="763" t="s">
        <v>530</v>
      </c>
      <c r="F152" s="728">
        <v>2</v>
      </c>
      <c r="G152" s="729" t="e">
        <f>(G151*1000000)/(G166*1000)</f>
        <v>#DIV/0!</v>
      </c>
      <c r="H152" s="729" t="e">
        <f t="shared" ref="H152:AK152" si="50">(H151*1000000)/(H166*1000)</f>
        <v>#DIV/0!</v>
      </c>
      <c r="I152" s="729">
        <f t="shared" si="50"/>
        <v>77.514515343337834</v>
      </c>
      <c r="J152" s="729">
        <f t="shared" si="50"/>
        <v>76.184177051927861</v>
      </c>
      <c r="K152" s="729">
        <f t="shared" si="50"/>
        <v>72.257491708462155</v>
      </c>
      <c r="L152" s="729">
        <f t="shared" si="50"/>
        <v>68.333518746662875</v>
      </c>
      <c r="M152" s="758">
        <f t="shared" si="50"/>
        <v>66.604502804949519</v>
      </c>
      <c r="N152" s="758">
        <f t="shared" si="50"/>
        <v>64.917861883537768</v>
      </c>
      <c r="O152" s="758">
        <f t="shared" si="50"/>
        <v>63.308916259917289</v>
      </c>
      <c r="P152" s="758">
        <f t="shared" si="50"/>
        <v>61.813810290172619</v>
      </c>
      <c r="Q152" s="758">
        <f t="shared" si="50"/>
        <v>60.536034909082169</v>
      </c>
      <c r="R152" s="758">
        <f t="shared" si="50"/>
        <v>59.375049024001946</v>
      </c>
      <c r="S152" s="758">
        <f t="shared" si="50"/>
        <v>58.29219748839499</v>
      </c>
      <c r="T152" s="758">
        <f t="shared" si="50"/>
        <v>57.266883643429473</v>
      </c>
      <c r="U152" s="758">
        <f t="shared" si="50"/>
        <v>56.314238689657714</v>
      </c>
      <c r="V152" s="758">
        <f t="shared" si="50"/>
        <v>55.327950508847792</v>
      </c>
      <c r="W152" s="758">
        <f t="shared" si="50"/>
        <v>54.348240692417022</v>
      </c>
      <c r="X152" s="758">
        <f t="shared" si="50"/>
        <v>53.371369809310465</v>
      </c>
      <c r="Y152" s="758">
        <f t="shared" si="50"/>
        <v>52.399351964166911</v>
      </c>
      <c r="Z152" s="758">
        <f t="shared" si="50"/>
        <v>51.433255615827257</v>
      </c>
      <c r="AA152" s="758">
        <f t="shared" si="50"/>
        <v>50.473296172900483</v>
      </c>
      <c r="AB152" s="758">
        <f t="shared" si="50"/>
        <v>49.519953323540491</v>
      </c>
      <c r="AC152" s="758">
        <f t="shared" si="50"/>
        <v>48.57296675208223</v>
      </c>
      <c r="AD152" s="758">
        <f t="shared" si="50"/>
        <v>47.632730173871487</v>
      </c>
      <c r="AE152" s="758">
        <f t="shared" si="50"/>
        <v>46.699522522991408</v>
      </c>
      <c r="AF152" s="758">
        <f t="shared" si="50"/>
        <v>45.773527551000683</v>
      </c>
      <c r="AG152" s="758">
        <f t="shared" si="50"/>
        <v>44.855331493403988</v>
      </c>
      <c r="AH152" s="758">
        <f t="shared" si="50"/>
        <v>43.945010378375834</v>
      </c>
      <c r="AI152" s="758">
        <f t="shared" si="50"/>
        <v>43.042786153629933</v>
      </c>
      <c r="AJ152" s="758">
        <f t="shared" si="50"/>
        <v>42.148875686997386</v>
      </c>
      <c r="AK152" s="758">
        <f t="shared" si="50"/>
        <v>41.26351582733718</v>
      </c>
      <c r="AL152" s="758"/>
      <c r="AM152" s="758"/>
      <c r="AN152" s="758"/>
      <c r="AO152" s="758"/>
      <c r="AP152" s="758"/>
      <c r="AQ152" s="758"/>
      <c r="AR152" s="758"/>
      <c r="AS152" s="758"/>
      <c r="AT152" s="758"/>
      <c r="AU152" s="758"/>
      <c r="AV152" s="758"/>
      <c r="AW152" s="758"/>
      <c r="AX152" s="758"/>
      <c r="AY152" s="758"/>
      <c r="AZ152" s="758"/>
      <c r="BA152" s="758"/>
      <c r="BB152" s="758"/>
      <c r="BC152" s="758"/>
      <c r="BD152" s="758"/>
      <c r="BE152" s="758"/>
      <c r="BF152" s="758"/>
      <c r="BG152" s="758"/>
      <c r="BH152" s="758"/>
      <c r="BI152" s="758"/>
      <c r="BJ152" s="758"/>
      <c r="BK152" s="758"/>
      <c r="BL152" s="758"/>
      <c r="BM152" s="758"/>
      <c r="BN152" s="758"/>
      <c r="BO152" s="758"/>
      <c r="BP152" s="758"/>
      <c r="BQ152" s="758"/>
      <c r="BR152" s="758"/>
      <c r="BS152" s="758"/>
      <c r="BT152" s="758"/>
      <c r="BU152" s="758"/>
      <c r="BV152" s="758"/>
      <c r="BW152" s="758"/>
      <c r="BX152" s="758"/>
      <c r="BY152" s="758"/>
      <c r="BZ152" s="758"/>
      <c r="CA152" s="758"/>
      <c r="CB152" s="758"/>
      <c r="CC152" s="758"/>
      <c r="CD152" s="758"/>
      <c r="CE152" s="758"/>
      <c r="CF152" s="758"/>
      <c r="CG152" s="758"/>
      <c r="CH152" s="758"/>
      <c r="CI152" s="759"/>
      <c r="CK152" s="1296"/>
    </row>
    <row r="153" spans="2:89" x14ac:dyDescent="0.2">
      <c r="B153" s="730" t="s">
        <v>741</v>
      </c>
      <c r="C153" s="731" t="s">
        <v>532</v>
      </c>
      <c r="D153" s="686" t="s">
        <v>86</v>
      </c>
      <c r="E153" s="764" t="s">
        <v>344</v>
      </c>
      <c r="F153" s="765">
        <v>2</v>
      </c>
      <c r="G153" s="593"/>
      <c r="H153" s="593"/>
      <c r="I153" s="593">
        <v>24.036000000000001</v>
      </c>
      <c r="J153" s="593">
        <v>24.350248258819796</v>
      </c>
      <c r="K153" s="593">
        <v>24.432463110532737</v>
      </c>
      <c r="L153" s="593">
        <v>24.514677962245671</v>
      </c>
      <c r="M153" s="594">
        <v>25.845099999999999</v>
      </c>
      <c r="N153" s="594">
        <v>26.25055</v>
      </c>
      <c r="O153" s="594">
        <v>26.654299999999999</v>
      </c>
      <c r="P153" s="594">
        <v>27.058049999999998</v>
      </c>
      <c r="Q153" s="594">
        <v>27.381049999999998</v>
      </c>
      <c r="R153" s="594">
        <v>27.542549999999999</v>
      </c>
      <c r="S153" s="594">
        <v>27.6233</v>
      </c>
      <c r="T153" s="594">
        <v>27.704049999999999</v>
      </c>
      <c r="U153" s="594">
        <v>27.784800000000001</v>
      </c>
      <c r="V153" s="594">
        <v>27.865549999999999</v>
      </c>
      <c r="W153" s="594">
        <v>27.942049999999998</v>
      </c>
      <c r="X153" s="594">
        <v>28.018549999999998</v>
      </c>
      <c r="Y153" s="594">
        <v>28.095050000000001</v>
      </c>
      <c r="Z153" s="594">
        <v>28.17155</v>
      </c>
      <c r="AA153" s="594">
        <v>28.248049999999999</v>
      </c>
      <c r="AB153" s="594">
        <v>28.324549999999999</v>
      </c>
      <c r="AC153" s="594">
        <v>28.401049999999998</v>
      </c>
      <c r="AD153" s="594">
        <v>28.477550000000001</v>
      </c>
      <c r="AE153" s="594">
        <v>28.55405</v>
      </c>
      <c r="AF153" s="594">
        <v>28.630549999999999</v>
      </c>
      <c r="AG153" s="594">
        <v>28.707049999999999</v>
      </c>
      <c r="AH153" s="594">
        <v>28.783549999999998</v>
      </c>
      <c r="AI153" s="594">
        <v>28.860049999999998</v>
      </c>
      <c r="AJ153" s="594">
        <v>28.93655</v>
      </c>
      <c r="AK153" s="594">
        <v>29.01305</v>
      </c>
      <c r="AL153" s="594"/>
      <c r="AM153" s="594"/>
      <c r="AN153" s="594"/>
      <c r="AO153" s="594"/>
      <c r="AP153" s="594"/>
      <c r="AQ153" s="594"/>
      <c r="AR153" s="594"/>
      <c r="AS153" s="594"/>
      <c r="AT153" s="594"/>
      <c r="AU153" s="594"/>
      <c r="AV153" s="594"/>
      <c r="AW153" s="594"/>
      <c r="AX153" s="594"/>
      <c r="AY153" s="594"/>
      <c r="AZ153" s="594"/>
      <c r="BA153" s="594"/>
      <c r="BB153" s="594"/>
      <c r="BC153" s="594"/>
      <c r="BD153" s="594"/>
      <c r="BE153" s="594"/>
      <c r="BF153" s="594"/>
      <c r="BG153" s="594"/>
      <c r="BH153" s="594"/>
      <c r="BI153" s="594"/>
      <c r="BJ153" s="594"/>
      <c r="BK153" s="594"/>
      <c r="BL153" s="594"/>
      <c r="BM153" s="594"/>
      <c r="BN153" s="594"/>
      <c r="BO153" s="594"/>
      <c r="BP153" s="594"/>
      <c r="BQ153" s="594"/>
      <c r="BR153" s="594"/>
      <c r="BS153" s="594"/>
      <c r="BT153" s="594"/>
      <c r="BU153" s="594"/>
      <c r="BV153" s="594"/>
      <c r="BW153" s="594"/>
      <c r="BX153" s="594"/>
      <c r="BY153" s="594"/>
      <c r="BZ153" s="594"/>
      <c r="CA153" s="594"/>
      <c r="CB153" s="594"/>
      <c r="CC153" s="594"/>
      <c r="CD153" s="594"/>
      <c r="CE153" s="594"/>
      <c r="CF153" s="594"/>
      <c r="CG153" s="594"/>
      <c r="CH153" s="594"/>
      <c r="CI153" s="595"/>
      <c r="CK153" s="1296"/>
    </row>
    <row r="154" spans="2:89" x14ac:dyDescent="0.2">
      <c r="B154" s="738" t="s">
        <v>742</v>
      </c>
      <c r="C154" s="739" t="s">
        <v>534</v>
      </c>
      <c r="D154" s="690" t="s">
        <v>86</v>
      </c>
      <c r="E154" s="748" t="s">
        <v>344</v>
      </c>
      <c r="F154" s="749">
        <v>2</v>
      </c>
      <c r="G154" s="597"/>
      <c r="H154" s="597"/>
      <c r="I154" s="597">
        <v>1.52</v>
      </c>
      <c r="J154" s="597">
        <v>1.5116672255144381</v>
      </c>
      <c r="K154" s="597">
        <v>1.4949530652493412</v>
      </c>
      <c r="L154" s="597">
        <v>1.4782389049842446</v>
      </c>
      <c r="M154" s="598">
        <v>1.563375</v>
      </c>
      <c r="N154" s="598">
        <v>1.2693749999999999</v>
      </c>
      <c r="O154" s="598">
        <v>0.97687500000000005</v>
      </c>
      <c r="P154" s="598">
        <v>0.68437499999999996</v>
      </c>
      <c r="Q154" s="598">
        <v>0.46687499999999998</v>
      </c>
      <c r="R154" s="598">
        <v>0.39187499999999997</v>
      </c>
      <c r="S154" s="598">
        <v>0.391125</v>
      </c>
      <c r="T154" s="598">
        <v>0.39037500000000003</v>
      </c>
      <c r="U154" s="598">
        <v>0.389625</v>
      </c>
      <c r="V154" s="598">
        <v>0.38887500000000003</v>
      </c>
      <c r="W154" s="598">
        <v>0.388125</v>
      </c>
      <c r="X154" s="598">
        <v>0.38737500000000002</v>
      </c>
      <c r="Y154" s="598">
        <v>0.386625</v>
      </c>
      <c r="Z154" s="598">
        <v>0.38587500000000002</v>
      </c>
      <c r="AA154" s="598">
        <v>0.385125</v>
      </c>
      <c r="AB154" s="598">
        <v>0.38437500000000002</v>
      </c>
      <c r="AC154" s="598">
        <v>0.38362499999999999</v>
      </c>
      <c r="AD154" s="598">
        <v>0.38287500000000002</v>
      </c>
      <c r="AE154" s="598">
        <v>0.38212499999999999</v>
      </c>
      <c r="AF154" s="598">
        <v>0.38137500000000002</v>
      </c>
      <c r="AG154" s="598">
        <v>0.38062499999999999</v>
      </c>
      <c r="AH154" s="598">
        <v>0.37987500000000002</v>
      </c>
      <c r="AI154" s="598">
        <v>0.37912499999999999</v>
      </c>
      <c r="AJ154" s="598">
        <v>0.37837500000000002</v>
      </c>
      <c r="AK154" s="598">
        <v>0.37762499999999999</v>
      </c>
      <c r="AL154" s="598"/>
      <c r="AM154" s="598"/>
      <c r="AN154" s="598"/>
      <c r="AO154" s="598"/>
      <c r="AP154" s="598"/>
      <c r="AQ154" s="598"/>
      <c r="AR154" s="598"/>
      <c r="AS154" s="598"/>
      <c r="AT154" s="598"/>
      <c r="AU154" s="598"/>
      <c r="AV154" s="598"/>
      <c r="AW154" s="598"/>
      <c r="AX154" s="598"/>
      <c r="AY154" s="598"/>
      <c r="AZ154" s="598"/>
      <c r="BA154" s="598"/>
      <c r="BB154" s="598"/>
      <c r="BC154" s="598"/>
      <c r="BD154" s="598"/>
      <c r="BE154" s="598"/>
      <c r="BF154" s="598"/>
      <c r="BG154" s="598"/>
      <c r="BH154" s="598"/>
      <c r="BI154" s="598"/>
      <c r="BJ154" s="598"/>
      <c r="BK154" s="598"/>
      <c r="BL154" s="598"/>
      <c r="BM154" s="598"/>
      <c r="BN154" s="598"/>
      <c r="BO154" s="598"/>
      <c r="BP154" s="598"/>
      <c r="BQ154" s="598"/>
      <c r="BR154" s="598"/>
      <c r="BS154" s="598"/>
      <c r="BT154" s="598"/>
      <c r="BU154" s="598"/>
      <c r="BV154" s="598"/>
      <c r="BW154" s="598"/>
      <c r="BX154" s="598"/>
      <c r="BY154" s="598"/>
      <c r="BZ154" s="598"/>
      <c r="CA154" s="598"/>
      <c r="CB154" s="598"/>
      <c r="CC154" s="598"/>
      <c r="CD154" s="598"/>
      <c r="CE154" s="598"/>
      <c r="CF154" s="598"/>
      <c r="CG154" s="598"/>
      <c r="CH154" s="598"/>
      <c r="CI154" s="599"/>
      <c r="CK154" s="1296"/>
    </row>
    <row r="155" spans="2:89" x14ac:dyDescent="0.2">
      <c r="B155" s="766" t="s">
        <v>743</v>
      </c>
      <c r="C155" s="767" t="s">
        <v>536</v>
      </c>
      <c r="D155" s="690" t="s">
        <v>86</v>
      </c>
      <c r="E155" s="748" t="s">
        <v>344</v>
      </c>
      <c r="F155" s="749">
        <v>2</v>
      </c>
      <c r="G155" s="597"/>
      <c r="H155" s="597"/>
      <c r="I155" s="597">
        <v>6.6349999999999998</v>
      </c>
      <c r="J155" s="597">
        <v>6.4035845156657647</v>
      </c>
      <c r="K155" s="597">
        <v>6.4130838242179253</v>
      </c>
      <c r="L155" s="597">
        <v>6.4225831327700851</v>
      </c>
      <c r="M155" s="598">
        <v>5.0820249999999998</v>
      </c>
      <c r="N155" s="598">
        <v>5.0555750000000002</v>
      </c>
      <c r="O155" s="598">
        <v>5.029325</v>
      </c>
      <c r="P155" s="598">
        <v>5.0030749999999999</v>
      </c>
      <c r="Q155" s="598">
        <v>4.9875749999999996</v>
      </c>
      <c r="R155" s="598">
        <v>4.9910749999999995</v>
      </c>
      <c r="S155" s="598">
        <v>5.0050749999999997</v>
      </c>
      <c r="T155" s="598">
        <v>5.019075</v>
      </c>
      <c r="U155" s="598">
        <v>5.0330750000000002</v>
      </c>
      <c r="V155" s="598">
        <v>5.0470749999999995</v>
      </c>
      <c r="W155" s="598">
        <v>5.0603249999999997</v>
      </c>
      <c r="X155" s="598">
        <v>5.0735749999999999</v>
      </c>
      <c r="Y155" s="598">
        <v>5.0868250000000002</v>
      </c>
      <c r="Z155" s="598">
        <v>5.1000749999999995</v>
      </c>
      <c r="AA155" s="598">
        <v>5.1133249999999997</v>
      </c>
      <c r="AB155" s="598">
        <v>5.1265749999999999</v>
      </c>
      <c r="AC155" s="598">
        <v>5.1398250000000001</v>
      </c>
      <c r="AD155" s="598">
        <v>5.1530749999999994</v>
      </c>
      <c r="AE155" s="598">
        <v>5.1663249999999996</v>
      </c>
      <c r="AF155" s="598">
        <v>5.1795749999999998</v>
      </c>
      <c r="AG155" s="598">
        <v>5.192825</v>
      </c>
      <c r="AH155" s="598">
        <v>5.2060750000000002</v>
      </c>
      <c r="AI155" s="598">
        <v>5.2193249999999995</v>
      </c>
      <c r="AJ155" s="598">
        <v>5.2325749999999998</v>
      </c>
      <c r="AK155" s="598">
        <v>5.245825</v>
      </c>
      <c r="AL155" s="598"/>
      <c r="AM155" s="598"/>
      <c r="AN155" s="598"/>
      <c r="AO155" s="598"/>
      <c r="AP155" s="598"/>
      <c r="AQ155" s="598"/>
      <c r="AR155" s="598"/>
      <c r="AS155" s="598"/>
      <c r="AT155" s="598"/>
      <c r="AU155" s="598"/>
      <c r="AV155" s="598"/>
      <c r="AW155" s="598"/>
      <c r="AX155" s="598"/>
      <c r="AY155" s="598"/>
      <c r="AZ155" s="598"/>
      <c r="BA155" s="598"/>
      <c r="BB155" s="598"/>
      <c r="BC155" s="598"/>
      <c r="BD155" s="598"/>
      <c r="BE155" s="598"/>
      <c r="BF155" s="598"/>
      <c r="BG155" s="598"/>
      <c r="BH155" s="598"/>
      <c r="BI155" s="598"/>
      <c r="BJ155" s="598"/>
      <c r="BK155" s="598"/>
      <c r="BL155" s="598"/>
      <c r="BM155" s="598"/>
      <c r="BN155" s="598"/>
      <c r="BO155" s="598"/>
      <c r="BP155" s="598"/>
      <c r="BQ155" s="598"/>
      <c r="BR155" s="598"/>
      <c r="BS155" s="598"/>
      <c r="BT155" s="598"/>
      <c r="BU155" s="598"/>
      <c r="BV155" s="598"/>
      <c r="BW155" s="598"/>
      <c r="BX155" s="598"/>
      <c r="BY155" s="598"/>
      <c r="BZ155" s="598"/>
      <c r="CA155" s="598"/>
      <c r="CB155" s="598"/>
      <c r="CC155" s="598"/>
      <c r="CD155" s="598"/>
      <c r="CE155" s="598"/>
      <c r="CF155" s="598"/>
      <c r="CG155" s="598"/>
      <c r="CH155" s="598"/>
      <c r="CI155" s="599"/>
      <c r="CK155" s="1296"/>
    </row>
    <row r="156" spans="2:89" ht="28.5" x14ac:dyDescent="0.2">
      <c r="B156" s="766" t="s">
        <v>744</v>
      </c>
      <c r="C156" s="767" t="s">
        <v>538</v>
      </c>
      <c r="D156" s="602" t="s">
        <v>539</v>
      </c>
      <c r="E156" s="603" t="s">
        <v>344</v>
      </c>
      <c r="F156" s="604">
        <v>2</v>
      </c>
      <c r="G156" s="597"/>
      <c r="H156" s="597"/>
      <c r="I156" s="597">
        <v>402.48899999999998</v>
      </c>
      <c r="J156" s="552">
        <f t="shared" ref="J156:M156" si="51">I156+SUM(J157:J162)</f>
        <v>414.15406383130227</v>
      </c>
      <c r="K156" s="552">
        <f t="shared" si="51"/>
        <v>431.40095586723061</v>
      </c>
      <c r="L156" s="552">
        <f t="shared" si="51"/>
        <v>452.41886311448849</v>
      </c>
      <c r="M156" s="552">
        <f t="shared" si="51"/>
        <v>496.46073259326744</v>
      </c>
      <c r="N156" s="552">
        <f t="shared" ref="N156" si="52">M156+SUM(N157:N162)</f>
        <v>551.01525872171339</v>
      </c>
      <c r="O156" s="552">
        <f t="shared" ref="O156" si="53">N156+SUM(O157:O162)</f>
        <v>584.93085898208096</v>
      </c>
      <c r="P156" s="552">
        <f t="shared" ref="P156" si="54">O156+SUM(P157:P162)</f>
        <v>608.23847097939961</v>
      </c>
      <c r="Q156" s="552">
        <f t="shared" ref="Q156" si="55">P156+SUM(Q157:Q162)</f>
        <v>630.68769308600611</v>
      </c>
      <c r="R156" s="552">
        <f t="shared" ref="R156" si="56">Q156+SUM(R157:R162)</f>
        <v>650.58731600932367</v>
      </c>
      <c r="S156" s="552">
        <f t="shared" ref="S156" si="57">R156+SUM(S157:S162)</f>
        <v>668.2140809904364</v>
      </c>
      <c r="T156" s="552">
        <f t="shared" ref="T156" si="58">S156+SUM(T157:T162)</f>
        <v>685.29219336012318</v>
      </c>
      <c r="U156" s="552">
        <f t="shared" ref="U156" si="59">T156+SUM(U157:U162)</f>
        <v>701.57100464681184</v>
      </c>
      <c r="V156" s="552">
        <f t="shared" ref="V156" si="60">U156+SUM(V157:V162)</f>
        <v>718.46466787303939</v>
      </c>
      <c r="W156" s="552">
        <f t="shared" ref="W156" si="61">V156+SUM(W157:W162)</f>
        <v>729.43033107204622</v>
      </c>
      <c r="X156" s="552">
        <f t="shared" ref="X156" si="62">W156+SUM(X157:X162)</f>
        <v>734.55929057263745</v>
      </c>
      <c r="Y156" s="552">
        <f t="shared" ref="Y156" si="63">X156+SUM(Y157:Y162)</f>
        <v>739.80783424649928</v>
      </c>
      <c r="Z156" s="552">
        <f t="shared" ref="Z156" si="64">Y156+SUM(Z157:Z162)</f>
        <v>745.16486903723728</v>
      </c>
      <c r="AA156" s="552">
        <f t="shared" ref="AA156" si="65">Z156+SUM(AA157:AA162)</f>
        <v>750.63134244956461</v>
      </c>
      <c r="AB156" s="552">
        <f t="shared" ref="AB156" si="66">AA156+SUM(AB157:AB162)</f>
        <v>756.20383236213911</v>
      </c>
      <c r="AC156" s="552">
        <f t="shared" ref="AC156" si="67">AB156+SUM(AC157:AC162)</f>
        <v>761.89061023424642</v>
      </c>
      <c r="AD156" s="552">
        <f t="shared" ref="AD156" si="68">AC156+SUM(AD157:AD162)</f>
        <v>767.68950203766587</v>
      </c>
      <c r="AE156" s="552">
        <f t="shared" ref="AE156" si="69">AD156+SUM(AE157:AE162)</f>
        <v>773.59987463329901</v>
      </c>
      <c r="AF156" s="552">
        <f t="shared" ref="AF156" si="70">AE156+SUM(AF157:AF162)</f>
        <v>779.62250868013302</v>
      </c>
      <c r="AG156" s="552">
        <f t="shared" ref="AG156" si="71">AF156+SUM(AG157:AG162)</f>
        <v>785.75060204786109</v>
      </c>
      <c r="AH156" s="552">
        <f t="shared" ref="AH156" si="72">AG156+SUM(AH157:AH162)</f>
        <v>791.98604462763069</v>
      </c>
      <c r="AI156" s="552">
        <f t="shared" ref="AI156" si="73">AH156+SUM(AI157:AI162)</f>
        <v>798.32787107981267</v>
      </c>
      <c r="AJ156" s="552">
        <f t="shared" ref="AJ156" si="74">AI156+SUM(AJ157:AJ162)</f>
        <v>804.77487972707115</v>
      </c>
      <c r="AK156" s="552">
        <f t="shared" ref="AK156" si="75">AJ156+SUM(AK157:AK162)</f>
        <v>811.32508823454191</v>
      </c>
      <c r="AL156" s="552"/>
      <c r="AM156" s="552"/>
      <c r="AN156" s="552"/>
      <c r="AO156" s="552"/>
      <c r="AP156" s="552"/>
      <c r="AQ156" s="552"/>
      <c r="AR156" s="552"/>
      <c r="AS156" s="552"/>
      <c r="AT156" s="552"/>
      <c r="AU156" s="552"/>
      <c r="AV156" s="552"/>
      <c r="AW156" s="552"/>
      <c r="AX156" s="552"/>
      <c r="AY156" s="552"/>
      <c r="AZ156" s="552"/>
      <c r="BA156" s="552"/>
      <c r="BB156" s="552"/>
      <c r="BC156" s="552"/>
      <c r="BD156" s="552"/>
      <c r="BE156" s="552"/>
      <c r="BF156" s="552"/>
      <c r="BG156" s="552"/>
      <c r="BH156" s="552"/>
      <c r="BI156" s="552"/>
      <c r="BJ156" s="552"/>
      <c r="BK156" s="552"/>
      <c r="BL156" s="552"/>
      <c r="BM156" s="552"/>
      <c r="BN156" s="552"/>
      <c r="BO156" s="552"/>
      <c r="BP156" s="552"/>
      <c r="BQ156" s="552"/>
      <c r="BR156" s="552"/>
      <c r="BS156" s="552"/>
      <c r="BT156" s="552"/>
      <c r="BU156" s="552"/>
      <c r="BV156" s="552"/>
      <c r="BW156" s="552"/>
      <c r="BX156" s="552"/>
      <c r="BY156" s="552"/>
      <c r="BZ156" s="552"/>
      <c r="CA156" s="552"/>
      <c r="CB156" s="552"/>
      <c r="CC156" s="552"/>
      <c r="CD156" s="552"/>
      <c r="CE156" s="552"/>
      <c r="CF156" s="552"/>
      <c r="CG156" s="552"/>
      <c r="CH156" s="552"/>
      <c r="CI156" s="552"/>
      <c r="CK156" s="1296"/>
    </row>
    <row r="157" spans="2:89" x14ac:dyDescent="0.2">
      <c r="B157" s="766" t="s">
        <v>745</v>
      </c>
      <c r="C157" s="767" t="s">
        <v>541</v>
      </c>
      <c r="D157" s="602" t="s">
        <v>542</v>
      </c>
      <c r="E157" s="603" t="s">
        <v>344</v>
      </c>
      <c r="F157" s="604">
        <v>2</v>
      </c>
      <c r="G157" s="597"/>
      <c r="H157" s="597"/>
      <c r="I157" s="597">
        <v>4.5919999999999996</v>
      </c>
      <c r="J157" s="597">
        <v>5.7446845043247095</v>
      </c>
      <c r="K157" s="597">
        <v>9.2269525838384805</v>
      </c>
      <c r="L157" s="597">
        <v>10.244177015531042</v>
      </c>
      <c r="M157" s="598">
        <v>11.189108006404449</v>
      </c>
      <c r="N157" s="598">
        <v>11.284643025783842</v>
      </c>
      <c r="O157" s="598">
        <v>10.965001922938214</v>
      </c>
      <c r="P157" s="598">
        <v>10.131913689595585</v>
      </c>
      <c r="Q157" s="598">
        <v>7.8722169703828948</v>
      </c>
      <c r="R157" s="598">
        <v>6.6894809530219641</v>
      </c>
      <c r="S157" s="598">
        <v>5.9069673860963032</v>
      </c>
      <c r="T157" s="598">
        <v>5.3415003756294608</v>
      </c>
      <c r="U157" s="598">
        <v>4.5177033418539763</v>
      </c>
      <c r="V157" s="598">
        <v>5.1513984722337911</v>
      </c>
      <c r="W157" s="598">
        <v>5.2342247303592746</v>
      </c>
      <c r="X157" s="598">
        <v>5.3811452496638514</v>
      </c>
      <c r="Y157" s="598">
        <v>5.5043942847548761</v>
      </c>
      <c r="Z157" s="598">
        <v>5.6162102977377373</v>
      </c>
      <c r="AA157" s="598">
        <v>5.7290028533382582</v>
      </c>
      <c r="AB157" s="598">
        <v>5.8382684108267977</v>
      </c>
      <c r="AC157" s="598">
        <v>5.9560589206384043</v>
      </c>
      <c r="AD157" s="598">
        <v>6.0716087754108017</v>
      </c>
      <c r="AE157" s="598">
        <v>6.1865060874525231</v>
      </c>
      <c r="AF157" s="598">
        <v>6.302207983113477</v>
      </c>
      <c r="AG157" s="598">
        <v>6.4108992855329969</v>
      </c>
      <c r="AH157" s="598">
        <v>6.5215383980515194</v>
      </c>
      <c r="AI157" s="598">
        <v>6.6311825864543215</v>
      </c>
      <c r="AJ157" s="598">
        <v>6.7395882700611844</v>
      </c>
      <c r="AK157" s="598">
        <v>6.8459508667562634</v>
      </c>
      <c r="AL157" s="598"/>
      <c r="AM157" s="598"/>
      <c r="AN157" s="598"/>
      <c r="AO157" s="598"/>
      <c r="AP157" s="598"/>
      <c r="AQ157" s="598"/>
      <c r="AR157" s="598"/>
      <c r="AS157" s="598"/>
      <c r="AT157" s="598"/>
      <c r="AU157" s="598"/>
      <c r="AV157" s="598"/>
      <c r="AW157" s="598"/>
      <c r="AX157" s="598"/>
      <c r="AY157" s="598"/>
      <c r="AZ157" s="598"/>
      <c r="BA157" s="598"/>
      <c r="BB157" s="598"/>
      <c r="BC157" s="598"/>
      <c r="BD157" s="598"/>
      <c r="BE157" s="598"/>
      <c r="BF157" s="598"/>
      <c r="BG157" s="598"/>
      <c r="BH157" s="598"/>
      <c r="BI157" s="598"/>
      <c r="BJ157" s="598"/>
      <c r="BK157" s="598"/>
      <c r="BL157" s="598"/>
      <c r="BM157" s="598"/>
      <c r="BN157" s="598"/>
      <c r="BO157" s="598"/>
      <c r="BP157" s="598"/>
      <c r="BQ157" s="598"/>
      <c r="BR157" s="598"/>
      <c r="BS157" s="598"/>
      <c r="BT157" s="598"/>
      <c r="BU157" s="598"/>
      <c r="BV157" s="598"/>
      <c r="BW157" s="598"/>
      <c r="BX157" s="598"/>
      <c r="BY157" s="598"/>
      <c r="BZ157" s="598"/>
      <c r="CA157" s="598"/>
      <c r="CB157" s="598"/>
      <c r="CC157" s="598"/>
      <c r="CD157" s="598"/>
      <c r="CE157" s="598"/>
      <c r="CF157" s="598"/>
      <c r="CG157" s="598"/>
      <c r="CH157" s="598"/>
      <c r="CI157" s="599"/>
      <c r="CK157" s="1296"/>
    </row>
    <row r="158" spans="2:89" x14ac:dyDescent="0.2">
      <c r="B158" s="766" t="s">
        <v>746</v>
      </c>
      <c r="C158" s="767" t="s">
        <v>544</v>
      </c>
      <c r="D158" s="602" t="s">
        <v>545</v>
      </c>
      <c r="E158" s="603" t="s">
        <v>344</v>
      </c>
      <c r="F158" s="604">
        <v>2</v>
      </c>
      <c r="G158" s="597"/>
      <c r="H158" s="597"/>
      <c r="I158" s="597">
        <v>0</v>
      </c>
      <c r="J158" s="597">
        <v>5.96828</v>
      </c>
      <c r="K158" s="597">
        <v>8.3375000000000004</v>
      </c>
      <c r="L158" s="597">
        <v>11.050369999999999</v>
      </c>
      <c r="M158" s="598">
        <v>11.316649999999999</v>
      </c>
      <c r="N158" s="598">
        <v>4.75</v>
      </c>
      <c r="O158" s="598">
        <v>0.2</v>
      </c>
      <c r="P158" s="598">
        <v>0.2</v>
      </c>
      <c r="Q158" s="598">
        <v>0.2</v>
      </c>
      <c r="R158" s="598">
        <v>0.14000000000000001</v>
      </c>
      <c r="S158" s="598">
        <v>0.08</v>
      </c>
      <c r="T158" s="598">
        <v>0.08</v>
      </c>
      <c r="U158" s="598">
        <v>0.08</v>
      </c>
      <c r="V158" s="598">
        <v>0.08</v>
      </c>
      <c r="W158" s="598">
        <v>0.04</v>
      </c>
      <c r="X158" s="598">
        <v>0</v>
      </c>
      <c r="Y158" s="598">
        <v>0</v>
      </c>
      <c r="Z158" s="598">
        <v>0</v>
      </c>
      <c r="AA158" s="598">
        <v>0</v>
      </c>
      <c r="AB158" s="598">
        <v>0</v>
      </c>
      <c r="AC158" s="598">
        <v>0</v>
      </c>
      <c r="AD158" s="598">
        <v>0</v>
      </c>
      <c r="AE158" s="598">
        <v>0</v>
      </c>
      <c r="AF158" s="598">
        <v>0</v>
      </c>
      <c r="AG158" s="598">
        <v>0</v>
      </c>
      <c r="AH158" s="598">
        <v>0</v>
      </c>
      <c r="AI158" s="598">
        <v>0</v>
      </c>
      <c r="AJ158" s="598">
        <v>0</v>
      </c>
      <c r="AK158" s="598">
        <v>0</v>
      </c>
      <c r="AL158" s="598"/>
      <c r="AM158" s="598"/>
      <c r="AN158" s="598"/>
      <c r="AO158" s="598"/>
      <c r="AP158" s="598"/>
      <c r="AQ158" s="598"/>
      <c r="AR158" s="598"/>
      <c r="AS158" s="598"/>
      <c r="AT158" s="598"/>
      <c r="AU158" s="598"/>
      <c r="AV158" s="598"/>
      <c r="AW158" s="598"/>
      <c r="AX158" s="598"/>
      <c r="AY158" s="598"/>
      <c r="AZ158" s="598"/>
      <c r="BA158" s="598"/>
      <c r="BB158" s="598"/>
      <c r="BC158" s="598"/>
      <c r="BD158" s="598"/>
      <c r="BE158" s="598"/>
      <c r="BF158" s="598"/>
      <c r="BG158" s="598"/>
      <c r="BH158" s="598"/>
      <c r="BI158" s="598"/>
      <c r="BJ158" s="598"/>
      <c r="BK158" s="598"/>
      <c r="BL158" s="598"/>
      <c r="BM158" s="598"/>
      <c r="BN158" s="598"/>
      <c r="BO158" s="598"/>
      <c r="BP158" s="598"/>
      <c r="BQ158" s="598"/>
      <c r="BR158" s="598"/>
      <c r="BS158" s="598"/>
      <c r="BT158" s="598"/>
      <c r="BU158" s="598"/>
      <c r="BV158" s="598"/>
      <c r="BW158" s="598"/>
      <c r="BX158" s="598"/>
      <c r="BY158" s="598"/>
      <c r="BZ158" s="598"/>
      <c r="CA158" s="598"/>
      <c r="CB158" s="598"/>
      <c r="CC158" s="598"/>
      <c r="CD158" s="598"/>
      <c r="CE158" s="598"/>
      <c r="CF158" s="598"/>
      <c r="CG158" s="598"/>
      <c r="CH158" s="598"/>
      <c r="CI158" s="599"/>
      <c r="CK158" s="1296"/>
    </row>
    <row r="159" spans="2:89" x14ac:dyDescent="0.2">
      <c r="B159" s="766" t="s">
        <v>747</v>
      </c>
      <c r="C159" s="767" t="s">
        <v>547</v>
      </c>
      <c r="D159" s="602" t="s">
        <v>548</v>
      </c>
      <c r="E159" s="603" t="s">
        <v>344</v>
      </c>
      <c r="F159" s="604">
        <v>2</v>
      </c>
      <c r="G159" s="597"/>
      <c r="H159" s="597"/>
      <c r="I159" s="597">
        <v>0</v>
      </c>
      <c r="J159" s="597">
        <v>0</v>
      </c>
      <c r="K159" s="597">
        <v>0</v>
      </c>
      <c r="L159" s="597">
        <v>0</v>
      </c>
      <c r="M159" s="598">
        <v>0</v>
      </c>
      <c r="N159" s="598">
        <v>40.251800000000003</v>
      </c>
      <c r="O159" s="598">
        <v>23.85</v>
      </c>
      <c r="P159" s="598">
        <v>13.75</v>
      </c>
      <c r="Q159" s="598">
        <v>15.125</v>
      </c>
      <c r="R159" s="598">
        <v>13.75</v>
      </c>
      <c r="S159" s="598">
        <v>12.25</v>
      </c>
      <c r="T159" s="598">
        <v>12.25</v>
      </c>
      <c r="U159" s="598">
        <v>12.25</v>
      </c>
      <c r="V159" s="598">
        <v>12.25</v>
      </c>
      <c r="W159" s="598">
        <v>6.1275000000000004</v>
      </c>
      <c r="X159" s="598">
        <v>5.0000000000000001E-3</v>
      </c>
      <c r="Y159" s="598">
        <v>5.0000000000000001E-3</v>
      </c>
      <c r="Z159" s="598">
        <v>5.0000000000000001E-3</v>
      </c>
      <c r="AA159" s="598">
        <v>5.0000000000000001E-3</v>
      </c>
      <c r="AB159" s="598">
        <v>5.0000000000000001E-3</v>
      </c>
      <c r="AC159" s="598">
        <v>5.0000000000000001E-3</v>
      </c>
      <c r="AD159" s="598">
        <v>5.0000000000000001E-3</v>
      </c>
      <c r="AE159" s="598">
        <v>5.0000000000000001E-3</v>
      </c>
      <c r="AF159" s="598">
        <v>5.0000000000000001E-3</v>
      </c>
      <c r="AG159" s="598">
        <v>5.0000000000000001E-3</v>
      </c>
      <c r="AH159" s="598">
        <v>5.0000000000000001E-3</v>
      </c>
      <c r="AI159" s="598">
        <v>5.0000000000000001E-3</v>
      </c>
      <c r="AJ159" s="598">
        <v>5.0000000000000001E-3</v>
      </c>
      <c r="AK159" s="598">
        <v>5.0000000000000001E-3</v>
      </c>
      <c r="AL159" s="598"/>
      <c r="AM159" s="598"/>
      <c r="AN159" s="598"/>
      <c r="AO159" s="598"/>
      <c r="AP159" s="598"/>
      <c r="AQ159" s="598"/>
      <c r="AR159" s="598"/>
      <c r="AS159" s="598"/>
      <c r="AT159" s="598"/>
      <c r="AU159" s="598"/>
      <c r="AV159" s="598"/>
      <c r="AW159" s="598"/>
      <c r="AX159" s="598"/>
      <c r="AY159" s="598"/>
      <c r="AZ159" s="598"/>
      <c r="BA159" s="598"/>
      <c r="BB159" s="598"/>
      <c r="BC159" s="598"/>
      <c r="BD159" s="598"/>
      <c r="BE159" s="598"/>
      <c r="BF159" s="598"/>
      <c r="BG159" s="598"/>
      <c r="BH159" s="598"/>
      <c r="BI159" s="598"/>
      <c r="BJ159" s="598"/>
      <c r="BK159" s="598"/>
      <c r="BL159" s="598"/>
      <c r="BM159" s="598"/>
      <c r="BN159" s="598"/>
      <c r="BO159" s="598"/>
      <c r="BP159" s="598"/>
      <c r="BQ159" s="598"/>
      <c r="BR159" s="598"/>
      <c r="BS159" s="598"/>
      <c r="BT159" s="598"/>
      <c r="BU159" s="598"/>
      <c r="BV159" s="598"/>
      <c r="BW159" s="598"/>
      <c r="BX159" s="598"/>
      <c r="BY159" s="598"/>
      <c r="BZ159" s="598"/>
      <c r="CA159" s="598"/>
      <c r="CB159" s="598"/>
      <c r="CC159" s="598"/>
      <c r="CD159" s="598"/>
      <c r="CE159" s="598"/>
      <c r="CF159" s="598"/>
      <c r="CG159" s="598"/>
      <c r="CH159" s="598"/>
      <c r="CI159" s="599"/>
      <c r="CK159" s="1296"/>
    </row>
    <row r="160" spans="2:89" ht="28.5" x14ac:dyDescent="0.2">
      <c r="B160" s="766" t="s">
        <v>748</v>
      </c>
      <c r="C160" s="767" t="s">
        <v>550</v>
      </c>
      <c r="D160" s="602" t="s">
        <v>551</v>
      </c>
      <c r="E160" s="603" t="s">
        <v>344</v>
      </c>
      <c r="F160" s="604">
        <v>2</v>
      </c>
      <c r="G160" s="597"/>
      <c r="H160" s="597"/>
      <c r="I160" s="597">
        <v>0</v>
      </c>
      <c r="J160" s="597">
        <v>0</v>
      </c>
      <c r="K160" s="597">
        <v>0</v>
      </c>
      <c r="L160" s="597">
        <v>0</v>
      </c>
      <c r="M160" s="598">
        <v>0</v>
      </c>
      <c r="N160" s="598">
        <v>0</v>
      </c>
      <c r="O160" s="598">
        <v>0</v>
      </c>
      <c r="P160" s="598">
        <v>0</v>
      </c>
      <c r="Q160" s="598">
        <v>0</v>
      </c>
      <c r="R160" s="598">
        <v>0</v>
      </c>
      <c r="S160" s="598">
        <v>0</v>
      </c>
      <c r="T160" s="598">
        <v>0</v>
      </c>
      <c r="U160" s="598">
        <v>0</v>
      </c>
      <c r="V160" s="598">
        <v>0</v>
      </c>
      <c r="W160" s="598">
        <v>0</v>
      </c>
      <c r="X160" s="598">
        <v>0</v>
      </c>
      <c r="Y160" s="598">
        <v>0</v>
      </c>
      <c r="Z160" s="598">
        <v>0</v>
      </c>
      <c r="AA160" s="598">
        <v>0</v>
      </c>
      <c r="AB160" s="598">
        <v>0</v>
      </c>
      <c r="AC160" s="598">
        <v>0</v>
      </c>
      <c r="AD160" s="598">
        <v>0</v>
      </c>
      <c r="AE160" s="598">
        <v>0</v>
      </c>
      <c r="AF160" s="598">
        <v>0</v>
      </c>
      <c r="AG160" s="598">
        <v>0</v>
      </c>
      <c r="AH160" s="598">
        <v>0</v>
      </c>
      <c r="AI160" s="598">
        <v>0</v>
      </c>
      <c r="AJ160" s="598">
        <v>0</v>
      </c>
      <c r="AK160" s="598">
        <v>0</v>
      </c>
      <c r="AL160" s="598"/>
      <c r="AM160" s="598"/>
      <c r="AN160" s="598"/>
      <c r="AO160" s="598"/>
      <c r="AP160" s="598"/>
      <c r="AQ160" s="598"/>
      <c r="AR160" s="598"/>
      <c r="AS160" s="598"/>
      <c r="AT160" s="598"/>
      <c r="AU160" s="598"/>
      <c r="AV160" s="598"/>
      <c r="AW160" s="598"/>
      <c r="AX160" s="598"/>
      <c r="AY160" s="598"/>
      <c r="AZ160" s="598"/>
      <c r="BA160" s="598"/>
      <c r="BB160" s="598"/>
      <c r="BC160" s="598"/>
      <c r="BD160" s="598"/>
      <c r="BE160" s="598"/>
      <c r="BF160" s="598"/>
      <c r="BG160" s="598"/>
      <c r="BH160" s="598"/>
      <c r="BI160" s="598"/>
      <c r="BJ160" s="598"/>
      <c r="BK160" s="598"/>
      <c r="BL160" s="598"/>
      <c r="BM160" s="598"/>
      <c r="BN160" s="598"/>
      <c r="BO160" s="598"/>
      <c r="BP160" s="598"/>
      <c r="BQ160" s="598"/>
      <c r="BR160" s="598"/>
      <c r="BS160" s="598"/>
      <c r="BT160" s="598"/>
      <c r="BU160" s="598"/>
      <c r="BV160" s="598"/>
      <c r="BW160" s="598"/>
      <c r="BX160" s="598"/>
      <c r="BY160" s="598"/>
      <c r="BZ160" s="598"/>
      <c r="CA160" s="598"/>
      <c r="CB160" s="598"/>
      <c r="CC160" s="598"/>
      <c r="CD160" s="598"/>
      <c r="CE160" s="598"/>
      <c r="CF160" s="598"/>
      <c r="CG160" s="598"/>
      <c r="CH160" s="598"/>
      <c r="CI160" s="599"/>
      <c r="CK160" s="1296"/>
    </row>
    <row r="161" spans="2:89" x14ac:dyDescent="0.2">
      <c r="B161" s="766" t="s">
        <v>749</v>
      </c>
      <c r="C161" s="767" t="s">
        <v>553</v>
      </c>
      <c r="D161" s="602" t="s">
        <v>554</v>
      </c>
      <c r="E161" s="603" t="s">
        <v>344</v>
      </c>
      <c r="F161" s="604">
        <v>2</v>
      </c>
      <c r="G161" s="597"/>
      <c r="H161" s="597"/>
      <c r="I161" s="597">
        <v>4.0000000000000001E-3</v>
      </c>
      <c r="J161" s="597">
        <v>0.13955999999999999</v>
      </c>
      <c r="K161" s="597">
        <v>0.25600000000000001</v>
      </c>
      <c r="L161" s="597">
        <v>0.41249000000000002</v>
      </c>
      <c r="M161" s="598">
        <v>22.94585</v>
      </c>
      <c r="N161" s="598">
        <v>40.251800000000003</v>
      </c>
      <c r="O161" s="598">
        <v>23.85</v>
      </c>
      <c r="P161" s="598">
        <v>13.75</v>
      </c>
      <c r="Q161" s="598">
        <v>15.125</v>
      </c>
      <c r="R161" s="598">
        <v>13.75</v>
      </c>
      <c r="S161" s="598">
        <v>12.25</v>
      </c>
      <c r="T161" s="598">
        <v>12.25</v>
      </c>
      <c r="U161" s="598">
        <v>12.25</v>
      </c>
      <c r="V161" s="598">
        <v>12.25</v>
      </c>
      <c r="W161" s="598">
        <v>6.1275000000000004</v>
      </c>
      <c r="X161" s="598">
        <v>5.0000000000000001E-3</v>
      </c>
      <c r="Y161" s="598">
        <v>5.0000000000000001E-3</v>
      </c>
      <c r="Z161" s="598">
        <v>5.0000000000000001E-3</v>
      </c>
      <c r="AA161" s="598">
        <v>5.0000000000000001E-3</v>
      </c>
      <c r="AB161" s="598">
        <v>5.0000000000000001E-3</v>
      </c>
      <c r="AC161" s="598">
        <v>5.0000000000000001E-3</v>
      </c>
      <c r="AD161" s="598">
        <v>5.0000000000000001E-3</v>
      </c>
      <c r="AE161" s="598">
        <v>5.0000000000000001E-3</v>
      </c>
      <c r="AF161" s="598">
        <v>5.0000000000000001E-3</v>
      </c>
      <c r="AG161" s="598">
        <v>5.0000000000000001E-3</v>
      </c>
      <c r="AH161" s="598">
        <v>5.0000000000000001E-3</v>
      </c>
      <c r="AI161" s="598">
        <v>5.0000000000000001E-3</v>
      </c>
      <c r="AJ161" s="598">
        <v>5.0000000000000001E-3</v>
      </c>
      <c r="AK161" s="598">
        <v>5.0000000000000001E-3</v>
      </c>
      <c r="AL161" s="598"/>
      <c r="AM161" s="598"/>
      <c r="AN161" s="598"/>
      <c r="AO161" s="598"/>
      <c r="AP161" s="598"/>
      <c r="AQ161" s="598"/>
      <c r="AR161" s="598"/>
      <c r="AS161" s="598"/>
      <c r="AT161" s="598"/>
      <c r="AU161" s="598"/>
      <c r="AV161" s="598"/>
      <c r="AW161" s="598"/>
      <c r="AX161" s="598"/>
      <c r="AY161" s="598"/>
      <c r="AZ161" s="598"/>
      <c r="BA161" s="598"/>
      <c r="BB161" s="598"/>
      <c r="BC161" s="598"/>
      <c r="BD161" s="598"/>
      <c r="BE161" s="598"/>
      <c r="BF161" s="598"/>
      <c r="BG161" s="598"/>
      <c r="BH161" s="598"/>
      <c r="BI161" s="598"/>
      <c r="BJ161" s="598"/>
      <c r="BK161" s="598"/>
      <c r="BL161" s="598"/>
      <c r="BM161" s="598"/>
      <c r="BN161" s="598"/>
      <c r="BO161" s="598"/>
      <c r="BP161" s="598"/>
      <c r="BQ161" s="598"/>
      <c r="BR161" s="598"/>
      <c r="BS161" s="598"/>
      <c r="BT161" s="598"/>
      <c r="BU161" s="598"/>
      <c r="BV161" s="598"/>
      <c r="BW161" s="598"/>
      <c r="BX161" s="598"/>
      <c r="BY161" s="598"/>
      <c r="BZ161" s="598"/>
      <c r="CA161" s="598"/>
      <c r="CB161" s="598"/>
      <c r="CC161" s="598"/>
      <c r="CD161" s="598"/>
      <c r="CE161" s="598"/>
      <c r="CF161" s="598"/>
      <c r="CG161" s="598"/>
      <c r="CH161" s="598"/>
      <c r="CI161" s="599"/>
      <c r="CK161" s="1296"/>
    </row>
    <row r="162" spans="2:89" ht="28.5" x14ac:dyDescent="0.2">
      <c r="B162" s="766" t="s">
        <v>750</v>
      </c>
      <c r="C162" s="767" t="s">
        <v>556</v>
      </c>
      <c r="D162" s="602" t="s">
        <v>557</v>
      </c>
      <c r="E162" s="603" t="s">
        <v>344</v>
      </c>
      <c r="F162" s="604">
        <v>2</v>
      </c>
      <c r="G162" s="597"/>
      <c r="H162" s="597"/>
      <c r="I162" s="597">
        <v>0</v>
      </c>
      <c r="J162" s="597">
        <v>-0.18746067302242864</v>
      </c>
      <c r="K162" s="597">
        <v>-0.57356054791011957</v>
      </c>
      <c r="L162" s="597">
        <v>-0.68912976827317607</v>
      </c>
      <c r="M162" s="598">
        <v>-1.4097385276255068</v>
      </c>
      <c r="N162" s="598">
        <v>-41.983716897337899</v>
      </c>
      <c r="O162" s="598">
        <v>-24.949401662570608</v>
      </c>
      <c r="P162" s="598">
        <v>-14.524301692276936</v>
      </c>
      <c r="Q162" s="598">
        <v>-15.872994863776398</v>
      </c>
      <c r="R162" s="598">
        <v>-14.429858029704405</v>
      </c>
      <c r="S162" s="598">
        <v>-12.860202404983625</v>
      </c>
      <c r="T162" s="598">
        <v>-12.843388005942643</v>
      </c>
      <c r="U162" s="598">
        <v>-12.818892055165293</v>
      </c>
      <c r="V162" s="598">
        <v>-12.837735246006218</v>
      </c>
      <c r="W162" s="598">
        <v>-6.563561531352434</v>
      </c>
      <c r="X162" s="598">
        <v>-0.26218574907261427</v>
      </c>
      <c r="Y162" s="598">
        <v>-0.26585061089303963</v>
      </c>
      <c r="Z162" s="598">
        <v>-0.26917550699977255</v>
      </c>
      <c r="AA162" s="598">
        <v>-0.27252944101087451</v>
      </c>
      <c r="AB162" s="598">
        <v>-0.2757784982522935</v>
      </c>
      <c r="AC162" s="598">
        <v>-0.27928104853106106</v>
      </c>
      <c r="AD162" s="598">
        <v>-0.2827169719913627</v>
      </c>
      <c r="AE162" s="598">
        <v>-0.28613349181944159</v>
      </c>
      <c r="AF162" s="598">
        <v>-0.28957393627945294</v>
      </c>
      <c r="AG162" s="598">
        <v>-0.2928059178049125</v>
      </c>
      <c r="AH162" s="598">
        <v>-0.29609581828196951</v>
      </c>
      <c r="AI162" s="598">
        <v>-0.29935613427232965</v>
      </c>
      <c r="AJ162" s="598">
        <v>-0.30257962280268202</v>
      </c>
      <c r="AK162" s="598">
        <v>-0.30574235928554572</v>
      </c>
      <c r="AL162" s="598"/>
      <c r="AM162" s="598"/>
      <c r="AN162" s="598"/>
      <c r="AO162" s="598"/>
      <c r="AP162" s="598"/>
      <c r="AQ162" s="598"/>
      <c r="AR162" s="598"/>
      <c r="AS162" s="598"/>
      <c r="AT162" s="598"/>
      <c r="AU162" s="598"/>
      <c r="AV162" s="598"/>
      <c r="AW162" s="598"/>
      <c r="AX162" s="598"/>
      <c r="AY162" s="598"/>
      <c r="AZ162" s="598"/>
      <c r="BA162" s="598"/>
      <c r="BB162" s="598"/>
      <c r="BC162" s="598"/>
      <c r="BD162" s="598"/>
      <c r="BE162" s="598"/>
      <c r="BF162" s="598"/>
      <c r="BG162" s="598"/>
      <c r="BH162" s="598"/>
      <c r="BI162" s="598"/>
      <c r="BJ162" s="598"/>
      <c r="BK162" s="598"/>
      <c r="BL162" s="598"/>
      <c r="BM162" s="598"/>
      <c r="BN162" s="598"/>
      <c r="BO162" s="598"/>
      <c r="BP162" s="598"/>
      <c r="BQ162" s="598"/>
      <c r="BR162" s="598"/>
      <c r="BS162" s="598"/>
      <c r="BT162" s="598"/>
      <c r="BU162" s="598"/>
      <c r="BV162" s="598"/>
      <c r="BW162" s="598"/>
      <c r="BX162" s="598"/>
      <c r="BY162" s="598"/>
      <c r="BZ162" s="598"/>
      <c r="CA162" s="598"/>
      <c r="CB162" s="598"/>
      <c r="CC162" s="598"/>
      <c r="CD162" s="598"/>
      <c r="CE162" s="598"/>
      <c r="CF162" s="598"/>
      <c r="CG162" s="598"/>
      <c r="CH162" s="598"/>
      <c r="CI162" s="599"/>
      <c r="CK162" s="1296"/>
    </row>
    <row r="163" spans="2:89" x14ac:dyDescent="0.2">
      <c r="B163" s="766" t="s">
        <v>751</v>
      </c>
      <c r="C163" s="767" t="s">
        <v>559</v>
      </c>
      <c r="D163" s="690" t="s">
        <v>86</v>
      </c>
      <c r="E163" s="748" t="s">
        <v>344</v>
      </c>
      <c r="F163" s="749">
        <v>2</v>
      </c>
      <c r="G163" s="597"/>
      <c r="H163" s="597"/>
      <c r="I163" s="597">
        <v>12.55</v>
      </c>
      <c r="J163" s="597">
        <v>12.692460673022437</v>
      </c>
      <c r="K163" s="597">
        <v>13.221021220932577</v>
      </c>
      <c r="L163" s="597">
        <v>13.865150989205761</v>
      </c>
      <c r="M163" s="598">
        <v>15.214889516831285</v>
      </c>
      <c r="N163" s="598">
        <v>16.886806414169097</v>
      </c>
      <c r="O163" s="598">
        <v>17.926208076739787</v>
      </c>
      <c r="P163" s="598">
        <v>18.640509769016631</v>
      </c>
      <c r="Q163" s="598">
        <v>19.32850463279301</v>
      </c>
      <c r="R163" s="598">
        <v>19.938362662497305</v>
      </c>
      <c r="S163" s="598">
        <v>20.478565067480858</v>
      </c>
      <c r="T163" s="598">
        <v>21.0019530734235</v>
      </c>
      <c r="U163" s="598">
        <v>21.500845128588775</v>
      </c>
      <c r="V163" s="598">
        <v>22.018580374595007</v>
      </c>
      <c r="W163" s="598">
        <v>22.354641905947492</v>
      </c>
      <c r="X163" s="598">
        <v>22.511827655020078</v>
      </c>
      <c r="Y163" s="598">
        <v>22.672678265913195</v>
      </c>
      <c r="Z163" s="598">
        <v>22.836853772912814</v>
      </c>
      <c r="AA163" s="598">
        <v>23.004383213923798</v>
      </c>
      <c r="AB163" s="598">
        <v>23.175161712176028</v>
      </c>
      <c r="AC163" s="598">
        <v>23.349442760707131</v>
      </c>
      <c r="AD163" s="598">
        <v>23.527159732698486</v>
      </c>
      <c r="AE163" s="598">
        <v>23.708293224517945</v>
      </c>
      <c r="AF163" s="598">
        <v>23.892867160797326</v>
      </c>
      <c r="AG163" s="598">
        <v>24.080673078602302</v>
      </c>
      <c r="AH163" s="598">
        <v>24.271768896884197</v>
      </c>
      <c r="AI163" s="598">
        <v>24.46612503115659</v>
      </c>
      <c r="AJ163" s="598">
        <v>24.663704653959218</v>
      </c>
      <c r="AK163" s="598">
        <v>24.86444701324471</v>
      </c>
      <c r="AL163" s="598"/>
      <c r="AM163" s="598"/>
      <c r="AN163" s="598"/>
      <c r="AO163" s="598"/>
      <c r="AP163" s="598"/>
      <c r="AQ163" s="598"/>
      <c r="AR163" s="598"/>
      <c r="AS163" s="598"/>
      <c r="AT163" s="598"/>
      <c r="AU163" s="598"/>
      <c r="AV163" s="598"/>
      <c r="AW163" s="598"/>
      <c r="AX163" s="598"/>
      <c r="AY163" s="598"/>
      <c r="AZ163" s="598"/>
      <c r="BA163" s="598"/>
      <c r="BB163" s="598"/>
      <c r="BC163" s="598"/>
      <c r="BD163" s="598"/>
      <c r="BE163" s="598"/>
      <c r="BF163" s="598"/>
      <c r="BG163" s="598"/>
      <c r="BH163" s="598"/>
      <c r="BI163" s="598"/>
      <c r="BJ163" s="598"/>
      <c r="BK163" s="598"/>
      <c r="BL163" s="598"/>
      <c r="BM163" s="598"/>
      <c r="BN163" s="598"/>
      <c r="BO163" s="598"/>
      <c r="BP163" s="598"/>
      <c r="BQ163" s="598"/>
      <c r="BR163" s="598"/>
      <c r="BS163" s="598"/>
      <c r="BT163" s="598"/>
      <c r="BU163" s="598"/>
      <c r="BV163" s="598"/>
      <c r="BW163" s="598"/>
      <c r="BX163" s="598"/>
      <c r="BY163" s="598"/>
      <c r="BZ163" s="598"/>
      <c r="CA163" s="598"/>
      <c r="CB163" s="598"/>
      <c r="CC163" s="598"/>
      <c r="CD163" s="598"/>
      <c r="CE163" s="598"/>
      <c r="CF163" s="598"/>
      <c r="CG163" s="598"/>
      <c r="CH163" s="598"/>
      <c r="CI163" s="599"/>
      <c r="CK163" s="1296"/>
    </row>
    <row r="164" spans="2:89" ht="28.5" x14ac:dyDescent="0.2">
      <c r="B164" s="766" t="s">
        <v>752</v>
      </c>
      <c r="C164" s="767" t="s">
        <v>561</v>
      </c>
      <c r="D164" s="690" t="s">
        <v>86</v>
      </c>
      <c r="E164" s="748" t="s">
        <v>344</v>
      </c>
      <c r="F164" s="749">
        <v>2</v>
      </c>
      <c r="G164" s="597"/>
      <c r="H164" s="597"/>
      <c r="I164" s="597">
        <v>233.90899999999999</v>
      </c>
      <c r="J164" s="597">
        <v>227.57353333413573</v>
      </c>
      <c r="K164" s="597">
        <v>219.08561474238056</v>
      </c>
      <c r="L164" s="597">
        <v>207.81539260456512</v>
      </c>
      <c r="M164" s="598">
        <v>174.47605851179978</v>
      </c>
      <c r="N164" s="598">
        <v>130.72810334866514</v>
      </c>
      <c r="O164" s="598">
        <v>107.29627005115408</v>
      </c>
      <c r="P164" s="598">
        <v>93.662850801702163</v>
      </c>
      <c r="Q164" s="598">
        <v>78.696149086532159</v>
      </c>
      <c r="R164" s="598">
        <v>65.130606035335077</v>
      </c>
      <c r="S164" s="598">
        <v>53.077732545243521</v>
      </c>
      <c r="T164" s="598">
        <v>41.024859055151957</v>
      </c>
      <c r="U164" s="598">
        <v>28.971985565060397</v>
      </c>
      <c r="V164" s="598">
        <v>16.919112074968833</v>
      </c>
      <c r="W164" s="598">
        <v>10.880554580234708</v>
      </c>
      <c r="X164" s="598">
        <v>10.817526681855306</v>
      </c>
      <c r="Y164" s="598">
        <v>10.754498783475906</v>
      </c>
      <c r="Z164" s="598">
        <v>10.691470885096505</v>
      </c>
      <c r="AA164" s="598">
        <v>10.628442986717104</v>
      </c>
      <c r="AB164" s="598">
        <v>10.565415088337705</v>
      </c>
      <c r="AC164" s="598">
        <v>10.502387189958302</v>
      </c>
      <c r="AD164" s="598">
        <v>10.439359291578901</v>
      </c>
      <c r="AE164" s="598">
        <v>10.376331393199502</v>
      </c>
      <c r="AF164" s="598">
        <v>10.313303494820101</v>
      </c>
      <c r="AG164" s="598">
        <v>10.2502755964407</v>
      </c>
      <c r="AH164" s="598">
        <v>10.187247698061299</v>
      </c>
      <c r="AI164" s="598">
        <v>10.124219799681898</v>
      </c>
      <c r="AJ164" s="598">
        <v>10.061191901302498</v>
      </c>
      <c r="AK164" s="598">
        <v>9.9981640029230974</v>
      </c>
      <c r="AL164" s="598"/>
      <c r="AM164" s="598"/>
      <c r="AN164" s="598"/>
      <c r="AO164" s="598"/>
      <c r="AP164" s="598"/>
      <c r="AQ164" s="598"/>
      <c r="AR164" s="598"/>
      <c r="AS164" s="598"/>
      <c r="AT164" s="598"/>
      <c r="AU164" s="598"/>
      <c r="AV164" s="598"/>
      <c r="AW164" s="598"/>
      <c r="AX164" s="598"/>
      <c r="AY164" s="598"/>
      <c r="AZ164" s="598"/>
      <c r="BA164" s="598"/>
      <c r="BB164" s="598"/>
      <c r="BC164" s="598"/>
      <c r="BD164" s="598"/>
      <c r="BE164" s="598"/>
      <c r="BF164" s="598"/>
      <c r="BG164" s="598"/>
      <c r="BH164" s="598"/>
      <c r="BI164" s="598"/>
      <c r="BJ164" s="598"/>
      <c r="BK164" s="598"/>
      <c r="BL164" s="598"/>
      <c r="BM164" s="598"/>
      <c r="BN164" s="598"/>
      <c r="BO164" s="598"/>
      <c r="BP164" s="598"/>
      <c r="BQ164" s="598"/>
      <c r="BR164" s="598"/>
      <c r="BS164" s="598"/>
      <c r="BT164" s="598"/>
      <c r="BU164" s="598"/>
      <c r="BV164" s="598"/>
      <c r="BW164" s="598"/>
      <c r="BX164" s="598"/>
      <c r="BY164" s="598"/>
      <c r="BZ164" s="598"/>
      <c r="CA164" s="598"/>
      <c r="CB164" s="598"/>
      <c r="CC164" s="598"/>
      <c r="CD164" s="598"/>
      <c r="CE164" s="598"/>
      <c r="CF164" s="598"/>
      <c r="CG164" s="598"/>
      <c r="CH164" s="598"/>
      <c r="CI164" s="599"/>
      <c r="CK164" s="1296"/>
    </row>
    <row r="165" spans="2:89" x14ac:dyDescent="0.2">
      <c r="B165" s="766" t="s">
        <v>753</v>
      </c>
      <c r="C165" s="767" t="s">
        <v>563</v>
      </c>
      <c r="D165" s="690" t="s">
        <v>86</v>
      </c>
      <c r="E165" s="748" t="s">
        <v>344</v>
      </c>
      <c r="F165" s="749">
        <v>2</v>
      </c>
      <c r="G165" s="597"/>
      <c r="H165" s="597"/>
      <c r="I165" s="597">
        <v>7.0529999999999999</v>
      </c>
      <c r="J165" s="597">
        <v>7.120626665864247</v>
      </c>
      <c r="K165" s="597">
        <v>6.8550452576193948</v>
      </c>
      <c r="L165" s="597">
        <v>6.5024073954348083</v>
      </c>
      <c r="M165" s="598">
        <v>5.4592414882001439</v>
      </c>
      <c r="N165" s="598">
        <v>4.0903966513347338</v>
      </c>
      <c r="O165" s="598">
        <v>3.3572299488458035</v>
      </c>
      <c r="P165" s="598">
        <v>2.9306491982977225</v>
      </c>
      <c r="Q165" s="598">
        <v>2.462350913467735</v>
      </c>
      <c r="R165" s="598">
        <v>2.0378939646649186</v>
      </c>
      <c r="S165" s="598">
        <v>1.6607674547564801</v>
      </c>
      <c r="T165" s="598">
        <v>1.2836409448480419</v>
      </c>
      <c r="U165" s="598">
        <v>0.90651443493960371</v>
      </c>
      <c r="V165" s="598">
        <v>0.52938792503116539</v>
      </c>
      <c r="W165" s="598">
        <v>0.34044541976529252</v>
      </c>
      <c r="X165" s="598">
        <v>0.33847331814469328</v>
      </c>
      <c r="Y165" s="598">
        <v>0.33650121652409404</v>
      </c>
      <c r="Z165" s="598">
        <v>0.3345291149034948</v>
      </c>
      <c r="AA165" s="598">
        <v>0.33255701328289561</v>
      </c>
      <c r="AB165" s="598">
        <v>0.33058491166229637</v>
      </c>
      <c r="AC165" s="598">
        <v>0.32861281004169712</v>
      </c>
      <c r="AD165" s="598">
        <v>0.32664070842109788</v>
      </c>
      <c r="AE165" s="598">
        <v>0.32466860680049864</v>
      </c>
      <c r="AF165" s="598">
        <v>0.3226965051798994</v>
      </c>
      <c r="AG165" s="598">
        <v>0.32072440355930021</v>
      </c>
      <c r="AH165" s="598">
        <v>0.31875230193870097</v>
      </c>
      <c r="AI165" s="598">
        <v>0.31678020031810172</v>
      </c>
      <c r="AJ165" s="598">
        <v>0.31480809869750248</v>
      </c>
      <c r="AK165" s="598">
        <v>0.31283599707690324</v>
      </c>
      <c r="AL165" s="598"/>
      <c r="AM165" s="598"/>
      <c r="AN165" s="598"/>
      <c r="AO165" s="598"/>
      <c r="AP165" s="598"/>
      <c r="AQ165" s="598"/>
      <c r="AR165" s="598"/>
      <c r="AS165" s="598"/>
      <c r="AT165" s="598"/>
      <c r="AU165" s="598"/>
      <c r="AV165" s="598"/>
      <c r="AW165" s="598"/>
      <c r="AX165" s="598"/>
      <c r="AY165" s="598"/>
      <c r="AZ165" s="598"/>
      <c r="BA165" s="598"/>
      <c r="BB165" s="598"/>
      <c r="BC165" s="598"/>
      <c r="BD165" s="598"/>
      <c r="BE165" s="598"/>
      <c r="BF165" s="598"/>
      <c r="BG165" s="598"/>
      <c r="BH165" s="598"/>
      <c r="BI165" s="598"/>
      <c r="BJ165" s="598"/>
      <c r="BK165" s="598"/>
      <c r="BL165" s="598"/>
      <c r="BM165" s="598"/>
      <c r="BN165" s="598"/>
      <c r="BO165" s="598"/>
      <c r="BP165" s="598"/>
      <c r="BQ165" s="598"/>
      <c r="BR165" s="598"/>
      <c r="BS165" s="598"/>
      <c r="BT165" s="598"/>
      <c r="BU165" s="598"/>
      <c r="BV165" s="598"/>
      <c r="BW165" s="598"/>
      <c r="BX165" s="598"/>
      <c r="BY165" s="598"/>
      <c r="BZ165" s="598"/>
      <c r="CA165" s="598"/>
      <c r="CB165" s="598"/>
      <c r="CC165" s="598"/>
      <c r="CD165" s="598"/>
      <c r="CE165" s="598"/>
      <c r="CF165" s="598"/>
      <c r="CG165" s="598"/>
      <c r="CH165" s="598"/>
      <c r="CI165" s="599"/>
      <c r="CK165" s="1296"/>
    </row>
    <row r="166" spans="2:89" ht="29.25" thickBot="1" x14ac:dyDescent="0.25">
      <c r="B166" s="768" t="s">
        <v>754</v>
      </c>
      <c r="C166" s="769" t="s">
        <v>565</v>
      </c>
      <c r="D166" s="770" t="s">
        <v>755</v>
      </c>
      <c r="E166" s="771" t="s">
        <v>344</v>
      </c>
      <c r="F166" s="772">
        <v>2</v>
      </c>
      <c r="G166" s="729">
        <f>SUM(G153:G156)+G163+G164+G165</f>
        <v>0</v>
      </c>
      <c r="H166" s="729">
        <f t="shared" ref="H166:AK166" si="76">SUM(H153:H156)+H163+H164+H165</f>
        <v>0</v>
      </c>
      <c r="I166" s="729">
        <f t="shared" si="76"/>
        <v>688.19199999999989</v>
      </c>
      <c r="J166" s="729">
        <f t="shared" si="76"/>
        <v>693.80618450432473</v>
      </c>
      <c r="K166" s="729">
        <f t="shared" si="76"/>
        <v>702.90313708816313</v>
      </c>
      <c r="L166" s="729">
        <f t="shared" si="76"/>
        <v>713.01731410369416</v>
      </c>
      <c r="M166" s="729">
        <f t="shared" si="76"/>
        <v>724.10142211009861</v>
      </c>
      <c r="N166" s="729">
        <f t="shared" si="76"/>
        <v>735.29606513588237</v>
      </c>
      <c r="O166" s="729">
        <f t="shared" si="76"/>
        <v>746.17106705882065</v>
      </c>
      <c r="P166" s="729">
        <f t="shared" si="76"/>
        <v>756.21798074841604</v>
      </c>
      <c r="Q166" s="729">
        <f t="shared" si="76"/>
        <v>764.01019771879908</v>
      </c>
      <c r="R166" s="729">
        <f t="shared" si="76"/>
        <v>770.61967867182091</v>
      </c>
      <c r="S166" s="729">
        <f t="shared" si="76"/>
        <v>776.45064605791731</v>
      </c>
      <c r="T166" s="729">
        <f t="shared" si="76"/>
        <v>781.71614643354667</v>
      </c>
      <c r="U166" s="729">
        <f t="shared" si="76"/>
        <v>786.15784977540068</v>
      </c>
      <c r="V166" s="729">
        <f t="shared" si="76"/>
        <v>791.23324824763438</v>
      </c>
      <c r="W166" s="729">
        <f t="shared" si="76"/>
        <v>796.39647297799365</v>
      </c>
      <c r="X166" s="729">
        <f t="shared" si="76"/>
        <v>801.70661822765749</v>
      </c>
      <c r="Y166" s="729">
        <f t="shared" si="76"/>
        <v>807.14001251241245</v>
      </c>
      <c r="Z166" s="729">
        <f t="shared" si="76"/>
        <v>812.68522281015009</v>
      </c>
      <c r="AA166" s="729">
        <f t="shared" si="76"/>
        <v>818.3432256634884</v>
      </c>
      <c r="AB166" s="729">
        <f t="shared" si="76"/>
        <v>824.11049407431517</v>
      </c>
      <c r="AC166" s="729">
        <f t="shared" si="76"/>
        <v>829.99555299495353</v>
      </c>
      <c r="AD166" s="729">
        <f t="shared" si="76"/>
        <v>835.99616177036432</v>
      </c>
      <c r="AE166" s="729">
        <f t="shared" si="76"/>
        <v>842.11166785781688</v>
      </c>
      <c r="AF166" s="729">
        <f t="shared" si="76"/>
        <v>848.34287584093033</v>
      </c>
      <c r="AG166" s="729">
        <f t="shared" si="76"/>
        <v>854.68277512646341</v>
      </c>
      <c r="AH166" s="729">
        <f t="shared" si="76"/>
        <v>861.13331352451496</v>
      </c>
      <c r="AI166" s="729">
        <f t="shared" si="76"/>
        <v>867.69349611096925</v>
      </c>
      <c r="AJ166" s="729">
        <f t="shared" si="76"/>
        <v>874.36208438103051</v>
      </c>
      <c r="AK166" s="729">
        <f t="shared" si="76"/>
        <v>881.13703524778657</v>
      </c>
      <c r="AL166" s="729"/>
      <c r="AM166" s="729"/>
      <c r="AN166" s="729"/>
      <c r="AO166" s="729"/>
      <c r="AP166" s="729"/>
      <c r="AQ166" s="729"/>
      <c r="AR166" s="729"/>
      <c r="AS166" s="729"/>
      <c r="AT166" s="729"/>
      <c r="AU166" s="729"/>
      <c r="AV166" s="729"/>
      <c r="AW166" s="729"/>
      <c r="AX166" s="729"/>
      <c r="AY166" s="729"/>
      <c r="AZ166" s="729"/>
      <c r="BA166" s="729"/>
      <c r="BB166" s="729"/>
      <c r="BC166" s="729"/>
      <c r="BD166" s="729"/>
      <c r="BE166" s="729"/>
      <c r="BF166" s="729"/>
      <c r="BG166" s="729"/>
      <c r="BH166" s="729"/>
      <c r="BI166" s="729"/>
      <c r="BJ166" s="729"/>
      <c r="BK166" s="729"/>
      <c r="BL166" s="729"/>
      <c r="BM166" s="729"/>
      <c r="BN166" s="729"/>
      <c r="BO166" s="729"/>
      <c r="BP166" s="729"/>
      <c r="BQ166" s="729"/>
      <c r="BR166" s="729"/>
      <c r="BS166" s="729"/>
      <c r="BT166" s="729"/>
      <c r="BU166" s="729"/>
      <c r="BV166" s="729"/>
      <c r="BW166" s="729"/>
      <c r="BX166" s="729"/>
      <c r="BY166" s="729"/>
      <c r="BZ166" s="729"/>
      <c r="CA166" s="729"/>
      <c r="CB166" s="729"/>
      <c r="CC166" s="729"/>
      <c r="CD166" s="729"/>
      <c r="CE166" s="729"/>
      <c r="CF166" s="729"/>
      <c r="CG166" s="729"/>
      <c r="CH166" s="729"/>
      <c r="CI166" s="729"/>
      <c r="CK166" s="1296"/>
    </row>
    <row r="167" spans="2:89" x14ac:dyDescent="0.2">
      <c r="B167" s="708" t="s">
        <v>756</v>
      </c>
      <c r="C167" s="709" t="s">
        <v>568</v>
      </c>
      <c r="D167" s="710" t="s">
        <v>86</v>
      </c>
      <c r="E167" s="773" t="s">
        <v>344</v>
      </c>
      <c r="F167" s="774">
        <v>2</v>
      </c>
      <c r="G167" s="593"/>
      <c r="H167" s="593"/>
      <c r="I167" s="593">
        <v>10.781803200000001</v>
      </c>
      <c r="J167" s="593">
        <v>10.942820442277659</v>
      </c>
      <c r="K167" s="593">
        <v>11.093407616786745</v>
      </c>
      <c r="L167" s="593">
        <v>11.238826151297735</v>
      </c>
      <c r="M167" s="594">
        <v>11.343505573498152</v>
      </c>
      <c r="N167" s="594">
        <v>11.482651970256969</v>
      </c>
      <c r="O167" s="594">
        <v>11.67303040144331</v>
      </c>
      <c r="P167" s="594">
        <v>11.858143096468337</v>
      </c>
      <c r="Q167" s="594">
        <v>12.0421134688367</v>
      </c>
      <c r="R167" s="594">
        <v>12.200608820192237</v>
      </c>
      <c r="S167" s="594">
        <v>12.465927397754955</v>
      </c>
      <c r="T167" s="594">
        <v>12.737960521939707</v>
      </c>
      <c r="U167" s="594">
        <v>12.92890597539092</v>
      </c>
      <c r="V167" s="594">
        <v>13.076142503072429</v>
      </c>
      <c r="W167" s="594">
        <v>13.200798668552975</v>
      </c>
      <c r="X167" s="594">
        <v>13.315829281182362</v>
      </c>
      <c r="Y167" s="594">
        <v>13.438034912625971</v>
      </c>
      <c r="Z167" s="594">
        <v>13.572742551574198</v>
      </c>
      <c r="AA167" s="594">
        <v>13.715286397511594</v>
      </c>
      <c r="AB167" s="594">
        <v>13.872836830855436</v>
      </c>
      <c r="AC167" s="594">
        <v>14.052500792259041</v>
      </c>
      <c r="AD167" s="594">
        <v>14.259165021232462</v>
      </c>
      <c r="AE167" s="594">
        <v>14.486297905748376</v>
      </c>
      <c r="AF167" s="594">
        <v>14.723659729506204</v>
      </c>
      <c r="AG167" s="594">
        <v>14.987646603090074</v>
      </c>
      <c r="AH167" s="594">
        <v>15.259857617945277</v>
      </c>
      <c r="AI167" s="594">
        <v>15.53765616484252</v>
      </c>
      <c r="AJ167" s="594">
        <v>15.823044154822815</v>
      </c>
      <c r="AK167" s="594">
        <v>16.103505934103755</v>
      </c>
      <c r="AL167" s="594"/>
      <c r="AM167" s="594"/>
      <c r="AN167" s="594"/>
      <c r="AO167" s="594"/>
      <c r="AP167" s="594"/>
      <c r="AQ167" s="594"/>
      <c r="AR167" s="594"/>
      <c r="AS167" s="594"/>
      <c r="AT167" s="594"/>
      <c r="AU167" s="594"/>
      <c r="AV167" s="594"/>
      <c r="AW167" s="594"/>
      <c r="AX167" s="594"/>
      <c r="AY167" s="594"/>
      <c r="AZ167" s="594"/>
      <c r="BA167" s="594"/>
      <c r="BB167" s="594"/>
      <c r="BC167" s="594"/>
      <c r="BD167" s="594"/>
      <c r="BE167" s="594"/>
      <c r="BF167" s="594"/>
      <c r="BG167" s="594"/>
      <c r="BH167" s="594"/>
      <c r="BI167" s="594"/>
      <c r="BJ167" s="594"/>
      <c r="BK167" s="594"/>
      <c r="BL167" s="594"/>
      <c r="BM167" s="594"/>
      <c r="BN167" s="594"/>
      <c r="BO167" s="594"/>
      <c r="BP167" s="594"/>
      <c r="BQ167" s="594"/>
      <c r="BR167" s="594"/>
      <c r="BS167" s="594"/>
      <c r="BT167" s="594"/>
      <c r="BU167" s="594"/>
      <c r="BV167" s="594"/>
      <c r="BW167" s="594"/>
      <c r="BX167" s="594"/>
      <c r="BY167" s="594"/>
      <c r="BZ167" s="594"/>
      <c r="CA167" s="594"/>
      <c r="CB167" s="594"/>
      <c r="CC167" s="594"/>
      <c r="CD167" s="594"/>
      <c r="CE167" s="594"/>
      <c r="CF167" s="594"/>
      <c r="CG167" s="594"/>
      <c r="CH167" s="594"/>
      <c r="CI167" s="595"/>
      <c r="CK167" s="1296"/>
    </row>
    <row r="168" spans="2:89" x14ac:dyDescent="0.2">
      <c r="B168" s="720" t="s">
        <v>757</v>
      </c>
      <c r="C168" s="721" t="s">
        <v>570</v>
      </c>
      <c r="D168" s="715" t="s">
        <v>86</v>
      </c>
      <c r="E168" s="775" t="s">
        <v>344</v>
      </c>
      <c r="F168" s="776">
        <v>2</v>
      </c>
      <c r="G168" s="597"/>
      <c r="H168" s="597"/>
      <c r="I168" s="597">
        <v>2.0536767999999999</v>
      </c>
      <c r="J168" s="597">
        <v>2.0843467509100311</v>
      </c>
      <c r="K168" s="597">
        <v>2.1130300222450948</v>
      </c>
      <c r="L168" s="597">
        <v>2.1407287907233776</v>
      </c>
      <c r="M168" s="598">
        <v>2.1606677282853628</v>
      </c>
      <c r="N168" s="598">
        <v>2.1871718038584707</v>
      </c>
      <c r="O168" s="598">
        <v>2.2234343621796775</v>
      </c>
      <c r="P168" s="598">
        <v>2.2586939231368266</v>
      </c>
      <c r="Q168" s="598">
        <v>2.2937358988260392</v>
      </c>
      <c r="R168" s="598">
        <v>2.3239254895604269</v>
      </c>
      <c r="S168" s="598">
        <v>2.3744623614771339</v>
      </c>
      <c r="T168" s="598">
        <v>2.4262781946551826</v>
      </c>
      <c r="U168" s="598">
        <v>2.4626487572173179</v>
      </c>
      <c r="V168" s="598">
        <v>2.4906938101090343</v>
      </c>
      <c r="W168" s="598">
        <v>2.5144378416291389</v>
      </c>
      <c r="X168" s="598">
        <v>2.5363484345109271</v>
      </c>
      <c r="Y168" s="598">
        <v>2.5596256976430425</v>
      </c>
      <c r="Z168" s="598">
        <v>2.5852842955379423</v>
      </c>
      <c r="AA168" s="598">
        <v>2.612435504287923</v>
      </c>
      <c r="AB168" s="598">
        <v>2.642445110639132</v>
      </c>
      <c r="AC168" s="598">
        <v>2.6766668175731514</v>
      </c>
      <c r="AD168" s="598">
        <v>2.7160314326157078</v>
      </c>
      <c r="AE168" s="598">
        <v>2.7592948391901686</v>
      </c>
      <c r="AF168" s="598">
        <v>2.8045066151440405</v>
      </c>
      <c r="AG168" s="598">
        <v>2.8547898291600156</v>
      </c>
      <c r="AH168" s="598">
        <v>2.9066395462752919</v>
      </c>
      <c r="AI168" s="598">
        <v>2.9595535552080996</v>
      </c>
      <c r="AJ168" s="598">
        <v>3.0139131723472037</v>
      </c>
      <c r="AK168" s="598">
        <v>3.0673344636388116</v>
      </c>
      <c r="AL168" s="598"/>
      <c r="AM168" s="598"/>
      <c r="AN168" s="598"/>
      <c r="AO168" s="598"/>
      <c r="AP168" s="598"/>
      <c r="AQ168" s="598"/>
      <c r="AR168" s="598"/>
      <c r="AS168" s="598"/>
      <c r="AT168" s="598"/>
      <c r="AU168" s="598"/>
      <c r="AV168" s="598"/>
      <c r="AW168" s="598"/>
      <c r="AX168" s="598"/>
      <c r="AY168" s="598"/>
      <c r="AZ168" s="598"/>
      <c r="BA168" s="598"/>
      <c r="BB168" s="598"/>
      <c r="BC168" s="598"/>
      <c r="BD168" s="598"/>
      <c r="BE168" s="598"/>
      <c r="BF168" s="598"/>
      <c r="BG168" s="598"/>
      <c r="BH168" s="598"/>
      <c r="BI168" s="598"/>
      <c r="BJ168" s="598"/>
      <c r="BK168" s="598"/>
      <c r="BL168" s="598"/>
      <c r="BM168" s="598"/>
      <c r="BN168" s="598"/>
      <c r="BO168" s="598"/>
      <c r="BP168" s="598"/>
      <c r="BQ168" s="598"/>
      <c r="BR168" s="598"/>
      <c r="BS168" s="598"/>
      <c r="BT168" s="598"/>
      <c r="BU168" s="598"/>
      <c r="BV168" s="598"/>
      <c r="BW168" s="598"/>
      <c r="BX168" s="598"/>
      <c r="BY168" s="598"/>
      <c r="BZ168" s="598"/>
      <c r="CA168" s="598"/>
      <c r="CB168" s="598"/>
      <c r="CC168" s="598"/>
      <c r="CD168" s="598"/>
      <c r="CE168" s="598"/>
      <c r="CF168" s="598"/>
      <c r="CG168" s="598"/>
      <c r="CH168" s="598"/>
      <c r="CI168" s="599"/>
      <c r="CK168" s="1296"/>
    </row>
    <row r="169" spans="2:89" x14ac:dyDescent="0.2">
      <c r="B169" s="713" t="s">
        <v>758</v>
      </c>
      <c r="C169" s="777" t="s">
        <v>572</v>
      </c>
      <c r="D169" s="715" t="s">
        <v>86</v>
      </c>
      <c r="E169" s="775" t="s">
        <v>344</v>
      </c>
      <c r="F169" s="776">
        <v>2</v>
      </c>
      <c r="G169" s="597"/>
      <c r="H169" s="597"/>
      <c r="I169" s="597">
        <v>934.73429742747101</v>
      </c>
      <c r="J169" s="597">
        <v>962.93082656687795</v>
      </c>
      <c r="K169" s="597">
        <v>1005.2433813269001</v>
      </c>
      <c r="L169" s="597">
        <v>1057.0704988221341</v>
      </c>
      <c r="M169" s="598">
        <v>1189.9087735915871</v>
      </c>
      <c r="N169" s="598">
        <v>1368.3283574943107</v>
      </c>
      <c r="O169" s="598">
        <v>1482.6876056883195</v>
      </c>
      <c r="P169" s="598">
        <v>1555.6556272804376</v>
      </c>
      <c r="Q169" s="598">
        <v>1628.305701942832</v>
      </c>
      <c r="R169" s="598">
        <v>1688.9015419548125</v>
      </c>
      <c r="S169" s="598">
        <v>1745.1238956798884</v>
      </c>
      <c r="T169" s="598">
        <v>1796.7647090731434</v>
      </c>
      <c r="U169" s="598">
        <v>1849.4598131865375</v>
      </c>
      <c r="V169" s="598">
        <v>1900.8850958736598</v>
      </c>
      <c r="W169" s="598">
        <v>1932.3230181366034</v>
      </c>
      <c r="X169" s="598">
        <v>1941.3387822402694</v>
      </c>
      <c r="Y169" s="598">
        <v>1951.232839716547</v>
      </c>
      <c r="Z169" s="598">
        <v>1961.8902642086086</v>
      </c>
      <c r="AA169" s="598">
        <v>1973.25909092289</v>
      </c>
      <c r="AB169" s="598">
        <v>1984.5565524565704</v>
      </c>
      <c r="AC169" s="598">
        <v>1996.1385872848621</v>
      </c>
      <c r="AD169" s="598">
        <v>2008.1989475915755</v>
      </c>
      <c r="AE169" s="598">
        <v>2021.1920911703507</v>
      </c>
      <c r="AF169" s="598">
        <v>2034.9975864339863</v>
      </c>
      <c r="AG169" s="598">
        <v>2049.1652673143567</v>
      </c>
      <c r="AH169" s="598">
        <v>2063.6217997836452</v>
      </c>
      <c r="AI169" s="598">
        <v>2078.844812027161</v>
      </c>
      <c r="AJ169" s="598">
        <v>2094.6269345428504</v>
      </c>
      <c r="AK169" s="598">
        <v>2110.7070072730107</v>
      </c>
      <c r="AL169" s="598"/>
      <c r="AM169" s="598"/>
      <c r="AN169" s="598"/>
      <c r="AO169" s="598"/>
      <c r="AP169" s="598"/>
      <c r="AQ169" s="598"/>
      <c r="AR169" s="598"/>
      <c r="AS169" s="598"/>
      <c r="AT169" s="598"/>
      <c r="AU169" s="598"/>
      <c r="AV169" s="598"/>
      <c r="AW169" s="598"/>
      <c r="AX169" s="598"/>
      <c r="AY169" s="598"/>
      <c r="AZ169" s="598"/>
      <c r="BA169" s="598"/>
      <c r="BB169" s="598"/>
      <c r="BC169" s="598"/>
      <c r="BD169" s="598"/>
      <c r="BE169" s="598"/>
      <c r="BF169" s="598"/>
      <c r="BG169" s="598"/>
      <c r="BH169" s="598"/>
      <c r="BI169" s="598"/>
      <c r="BJ169" s="598"/>
      <c r="BK169" s="598"/>
      <c r="BL169" s="598"/>
      <c r="BM169" s="598"/>
      <c r="BN169" s="598"/>
      <c r="BO169" s="598"/>
      <c r="BP169" s="598"/>
      <c r="BQ169" s="598"/>
      <c r="BR169" s="598"/>
      <c r="BS169" s="598"/>
      <c r="BT169" s="598"/>
      <c r="BU169" s="598"/>
      <c r="BV169" s="598"/>
      <c r="BW169" s="598"/>
      <c r="BX169" s="598"/>
      <c r="BY169" s="598"/>
      <c r="BZ169" s="598"/>
      <c r="CA169" s="598"/>
      <c r="CB169" s="598"/>
      <c r="CC169" s="598"/>
      <c r="CD169" s="598"/>
      <c r="CE169" s="598"/>
      <c r="CF169" s="598"/>
      <c r="CG169" s="598"/>
      <c r="CH169" s="598"/>
      <c r="CI169" s="599"/>
      <c r="CK169" s="1296"/>
    </row>
    <row r="170" spans="2:89" x14ac:dyDescent="0.2">
      <c r="B170" s="713" t="s">
        <v>759</v>
      </c>
      <c r="C170" s="777" t="s">
        <v>574</v>
      </c>
      <c r="D170" s="715" t="s">
        <v>86</v>
      </c>
      <c r="E170" s="775" t="s">
        <v>344</v>
      </c>
      <c r="F170" s="776">
        <v>2</v>
      </c>
      <c r="G170" s="597"/>
      <c r="H170" s="597"/>
      <c r="I170" s="597">
        <v>830.37405965039977</v>
      </c>
      <c r="J170" s="597">
        <v>812.50386746058291</v>
      </c>
      <c r="K170" s="597">
        <v>789.06800492470791</v>
      </c>
      <c r="L170" s="597">
        <v>759.14454312399619</v>
      </c>
      <c r="M170" s="598">
        <v>652.12466181840125</v>
      </c>
      <c r="N170" s="598">
        <v>497.8147325528322</v>
      </c>
      <c r="O170" s="598">
        <v>409.37717967209829</v>
      </c>
      <c r="P170" s="598">
        <v>357.09742729398295</v>
      </c>
      <c r="Q170" s="598">
        <v>300.24369595468312</v>
      </c>
      <c r="R170" s="598">
        <v>248.71132267129317</v>
      </c>
      <c r="S170" s="598">
        <v>202.94259143445163</v>
      </c>
      <c r="T170" s="598">
        <v>157.40759276253652</v>
      </c>
      <c r="U170" s="598">
        <v>112.02991798273233</v>
      </c>
      <c r="V170" s="598">
        <v>66.643114879959668</v>
      </c>
      <c r="W170" s="598">
        <v>43.469001335976472</v>
      </c>
      <c r="X170" s="598">
        <v>43.089615875202988</v>
      </c>
      <c r="Y170" s="598">
        <v>42.713791132788216</v>
      </c>
      <c r="Z170" s="598">
        <v>42.341683030368841</v>
      </c>
      <c r="AA170" s="598">
        <v>41.973405597184545</v>
      </c>
      <c r="AB170" s="598">
        <v>41.609044313871983</v>
      </c>
      <c r="AC170" s="598">
        <v>41.2484110228026</v>
      </c>
      <c r="AD170" s="598">
        <v>40.891439958321818</v>
      </c>
      <c r="AE170" s="598">
        <v>40.538133642551372</v>
      </c>
      <c r="AF170" s="598">
        <v>40.188642138099212</v>
      </c>
      <c r="AG170" s="598">
        <v>39.843063060770632</v>
      </c>
      <c r="AH170" s="598">
        <v>39.501345792847019</v>
      </c>
      <c r="AI170" s="598">
        <v>39.163414858043701</v>
      </c>
      <c r="AJ170" s="598">
        <v>38.829346069261554</v>
      </c>
      <c r="AK170" s="598">
        <v>38.499143908989339</v>
      </c>
      <c r="AL170" s="598"/>
      <c r="AM170" s="598"/>
      <c r="AN170" s="598"/>
      <c r="AO170" s="598"/>
      <c r="AP170" s="598"/>
      <c r="AQ170" s="598"/>
      <c r="AR170" s="598"/>
      <c r="AS170" s="598"/>
      <c r="AT170" s="598"/>
      <c r="AU170" s="598"/>
      <c r="AV170" s="598"/>
      <c r="AW170" s="598"/>
      <c r="AX170" s="598"/>
      <c r="AY170" s="598"/>
      <c r="AZ170" s="598"/>
      <c r="BA170" s="598"/>
      <c r="BB170" s="598"/>
      <c r="BC170" s="598"/>
      <c r="BD170" s="598"/>
      <c r="BE170" s="598"/>
      <c r="BF170" s="598"/>
      <c r="BG170" s="598"/>
      <c r="BH170" s="598"/>
      <c r="BI170" s="598"/>
      <c r="BJ170" s="598"/>
      <c r="BK170" s="598"/>
      <c r="BL170" s="598"/>
      <c r="BM170" s="598"/>
      <c r="BN170" s="598"/>
      <c r="BO170" s="598"/>
      <c r="BP170" s="598"/>
      <c r="BQ170" s="598"/>
      <c r="BR170" s="598"/>
      <c r="BS170" s="598"/>
      <c r="BT170" s="598"/>
      <c r="BU170" s="598"/>
      <c r="BV170" s="598"/>
      <c r="BW170" s="598"/>
      <c r="BX170" s="598"/>
      <c r="BY170" s="598"/>
      <c r="BZ170" s="598"/>
      <c r="CA170" s="598"/>
      <c r="CB170" s="598"/>
      <c r="CC170" s="598"/>
      <c r="CD170" s="598"/>
      <c r="CE170" s="598"/>
      <c r="CF170" s="598"/>
      <c r="CG170" s="598"/>
      <c r="CH170" s="598"/>
      <c r="CI170" s="598"/>
      <c r="CK170" s="1296"/>
    </row>
    <row r="171" spans="2:89" x14ac:dyDescent="0.2">
      <c r="B171" s="778" t="s">
        <v>760</v>
      </c>
      <c r="C171" s="777" t="s">
        <v>576</v>
      </c>
      <c r="D171" s="779" t="s">
        <v>761</v>
      </c>
      <c r="E171" s="775" t="s">
        <v>344</v>
      </c>
      <c r="F171" s="776">
        <v>2</v>
      </c>
      <c r="G171" s="569">
        <f>SUM(G167:G170)</f>
        <v>0</v>
      </c>
      <c r="H171" s="569">
        <f t="shared" ref="H171:AK171" si="77">SUM(H167:H170)</f>
        <v>0</v>
      </c>
      <c r="I171" s="569">
        <f t="shared" si="77"/>
        <v>1777.9438370778707</v>
      </c>
      <c r="J171" s="569">
        <f t="shared" si="77"/>
        <v>1788.4618612206486</v>
      </c>
      <c r="K171" s="569">
        <f t="shared" si="77"/>
        <v>1807.5178238906399</v>
      </c>
      <c r="L171" s="569">
        <f t="shared" si="77"/>
        <v>1829.5945968881515</v>
      </c>
      <c r="M171" s="718">
        <f t="shared" si="77"/>
        <v>1855.537608711772</v>
      </c>
      <c r="N171" s="718">
        <f t="shared" si="77"/>
        <v>1879.8129138212585</v>
      </c>
      <c r="O171" s="718">
        <f t="shared" si="77"/>
        <v>1905.9612501240408</v>
      </c>
      <c r="P171" s="718">
        <f t="shared" si="77"/>
        <v>1926.8698915940256</v>
      </c>
      <c r="Q171" s="718">
        <f t="shared" si="77"/>
        <v>1942.8852472651779</v>
      </c>
      <c r="R171" s="718">
        <f t="shared" si="77"/>
        <v>1952.1373989358583</v>
      </c>
      <c r="S171" s="718">
        <f t="shared" si="77"/>
        <v>1962.9068768735719</v>
      </c>
      <c r="T171" s="718">
        <f t="shared" si="77"/>
        <v>1969.3365405522748</v>
      </c>
      <c r="U171" s="718">
        <f t="shared" si="77"/>
        <v>1976.8812859018781</v>
      </c>
      <c r="V171" s="718">
        <f t="shared" si="77"/>
        <v>1983.095047066801</v>
      </c>
      <c r="W171" s="718">
        <f t="shared" si="77"/>
        <v>1991.507255982762</v>
      </c>
      <c r="X171" s="718">
        <f t="shared" si="77"/>
        <v>2000.2805758311656</v>
      </c>
      <c r="Y171" s="718">
        <f t="shared" si="77"/>
        <v>2009.9442914596043</v>
      </c>
      <c r="Z171" s="718">
        <f t="shared" si="77"/>
        <v>2020.3899740860895</v>
      </c>
      <c r="AA171" s="718">
        <f t="shared" si="77"/>
        <v>2031.5602184218742</v>
      </c>
      <c r="AB171" s="718">
        <f t="shared" si="77"/>
        <v>2042.6808787119369</v>
      </c>
      <c r="AC171" s="718">
        <f t="shared" si="77"/>
        <v>2054.1161659174968</v>
      </c>
      <c r="AD171" s="718">
        <f t="shared" si="77"/>
        <v>2066.0655840037452</v>
      </c>
      <c r="AE171" s="718">
        <f t="shared" si="77"/>
        <v>2078.9758175578404</v>
      </c>
      <c r="AF171" s="718">
        <f t="shared" si="77"/>
        <v>2092.7143949167357</v>
      </c>
      <c r="AG171" s="718">
        <f t="shared" si="77"/>
        <v>2106.8507668073771</v>
      </c>
      <c r="AH171" s="718">
        <f t="shared" si="77"/>
        <v>2121.2896427407127</v>
      </c>
      <c r="AI171" s="718">
        <f t="shared" si="77"/>
        <v>2136.5054366052555</v>
      </c>
      <c r="AJ171" s="718">
        <f t="shared" si="77"/>
        <v>2152.2932379392823</v>
      </c>
      <c r="AK171" s="718">
        <f t="shared" si="77"/>
        <v>2168.3769915797429</v>
      </c>
      <c r="AL171" s="718"/>
      <c r="AM171" s="718"/>
      <c r="AN171" s="718"/>
      <c r="AO171" s="718"/>
      <c r="AP171" s="718"/>
      <c r="AQ171" s="718"/>
      <c r="AR171" s="718"/>
      <c r="AS171" s="718"/>
      <c r="AT171" s="718"/>
      <c r="AU171" s="718"/>
      <c r="AV171" s="718"/>
      <c r="AW171" s="718"/>
      <c r="AX171" s="718"/>
      <c r="AY171" s="718"/>
      <c r="AZ171" s="718"/>
      <c r="BA171" s="718"/>
      <c r="BB171" s="718"/>
      <c r="BC171" s="718"/>
      <c r="BD171" s="718"/>
      <c r="BE171" s="718"/>
      <c r="BF171" s="718"/>
      <c r="BG171" s="718"/>
      <c r="BH171" s="718"/>
      <c r="BI171" s="718"/>
      <c r="BJ171" s="718"/>
      <c r="BK171" s="718"/>
      <c r="BL171" s="718"/>
      <c r="BM171" s="718"/>
      <c r="BN171" s="718"/>
      <c r="BO171" s="718"/>
      <c r="BP171" s="718"/>
      <c r="BQ171" s="718"/>
      <c r="BR171" s="718"/>
      <c r="BS171" s="718"/>
      <c r="BT171" s="718"/>
      <c r="BU171" s="718"/>
      <c r="BV171" s="718"/>
      <c r="BW171" s="718"/>
      <c r="BX171" s="718"/>
      <c r="BY171" s="718"/>
      <c r="BZ171" s="718"/>
      <c r="CA171" s="718"/>
      <c r="CB171" s="718"/>
      <c r="CC171" s="718"/>
      <c r="CD171" s="718"/>
      <c r="CE171" s="718"/>
      <c r="CF171" s="718"/>
      <c r="CG171" s="718"/>
      <c r="CH171" s="718"/>
      <c r="CI171" s="718"/>
      <c r="CK171" s="1296"/>
    </row>
    <row r="172" spans="2:89" ht="28.5" x14ac:dyDescent="0.2">
      <c r="B172" s="778" t="s">
        <v>762</v>
      </c>
      <c r="C172" s="777" t="s">
        <v>579</v>
      </c>
      <c r="D172" s="779" t="s">
        <v>763</v>
      </c>
      <c r="E172" s="775" t="s">
        <v>581</v>
      </c>
      <c r="F172" s="776">
        <v>1</v>
      </c>
      <c r="G172" s="750" t="e">
        <f>(G170+G169)/(G156+G164)</f>
        <v>#DIV/0!</v>
      </c>
      <c r="H172" s="750" t="e">
        <f t="shared" ref="H172:AK172" si="78">(H170+H169)/(H156+H164)</f>
        <v>#DIV/0!</v>
      </c>
      <c r="I172" s="750">
        <f t="shared" si="78"/>
        <v>2.7735919300152907</v>
      </c>
      <c r="J172" s="750">
        <f t="shared" si="78"/>
        <v>2.7666484998770464</v>
      </c>
      <c r="K172" s="750">
        <f t="shared" si="78"/>
        <v>2.7584141891969391</v>
      </c>
      <c r="L172" s="750">
        <f t="shared" si="78"/>
        <v>2.7508646002745061</v>
      </c>
      <c r="M172" s="750">
        <f t="shared" si="78"/>
        <v>2.7454649377269429</v>
      </c>
      <c r="N172" s="750">
        <f t="shared" si="78"/>
        <v>2.7373102458671168</v>
      </c>
      <c r="O172" s="750">
        <f t="shared" si="78"/>
        <v>2.7333005396695111</v>
      </c>
      <c r="P172" s="750">
        <f t="shared" si="78"/>
        <v>2.7251025111631586</v>
      </c>
      <c r="Q172" s="750">
        <f t="shared" si="78"/>
        <v>2.718626057214943</v>
      </c>
      <c r="R172" s="750">
        <f t="shared" si="78"/>
        <v>2.7072297688043703</v>
      </c>
      <c r="S172" s="750">
        <f t="shared" si="78"/>
        <v>2.7008021587894753</v>
      </c>
      <c r="T172" s="750">
        <f t="shared" si="78"/>
        <v>2.6905224038693958</v>
      </c>
      <c r="U172" s="750">
        <f t="shared" si="78"/>
        <v>2.6849750903781828</v>
      </c>
      <c r="V172" s="750">
        <f t="shared" si="78"/>
        <v>2.6755121127266697</v>
      </c>
      <c r="W172" s="750">
        <f t="shared" si="78"/>
        <v>2.6688679820393673</v>
      </c>
      <c r="X172" s="750">
        <f t="shared" si="78"/>
        <v>2.66231569345674</v>
      </c>
      <c r="Y172" s="750">
        <f t="shared" si="78"/>
        <v>2.6566036464951446</v>
      </c>
      <c r="Z172" s="750">
        <f t="shared" si="78"/>
        <v>2.6516043345550528</v>
      </c>
      <c r="AA172" s="750">
        <f t="shared" si="78"/>
        <v>2.6472336186327445</v>
      </c>
      <c r="AB172" s="750">
        <f t="shared" si="78"/>
        <v>2.6424711261014755</v>
      </c>
      <c r="AC172" s="750">
        <f t="shared" si="78"/>
        <v>2.6377595409357584</v>
      </c>
      <c r="AD172" s="750">
        <f t="shared" si="78"/>
        <v>2.6333561051180165</v>
      </c>
      <c r="AE172" s="750">
        <f t="shared" si="78"/>
        <v>2.6298377539575677</v>
      </c>
      <c r="AF172" s="750">
        <f t="shared" si="78"/>
        <v>2.6270314582376195</v>
      </c>
      <c r="AG172" s="750">
        <f t="shared" si="78"/>
        <v>2.6243794310345145</v>
      </c>
      <c r="AH172" s="750">
        <f t="shared" si="78"/>
        <v>2.6217815597911964</v>
      </c>
      <c r="AI172" s="750">
        <f t="shared" si="78"/>
        <v>2.6198314665511933</v>
      </c>
      <c r="AJ172" s="750">
        <f t="shared" si="78"/>
        <v>2.6182644029842703</v>
      </c>
      <c r="AK172" s="750">
        <f t="shared" si="78"/>
        <v>2.6167603867625693</v>
      </c>
      <c r="AL172" s="750"/>
      <c r="AM172" s="750"/>
      <c r="AN172" s="750"/>
      <c r="AO172" s="750"/>
      <c r="AP172" s="750"/>
      <c r="AQ172" s="750"/>
      <c r="AR172" s="750"/>
      <c r="AS172" s="750"/>
      <c r="AT172" s="750"/>
      <c r="AU172" s="750"/>
      <c r="AV172" s="750"/>
      <c r="AW172" s="750"/>
      <c r="AX172" s="750"/>
      <c r="AY172" s="750"/>
      <c r="AZ172" s="750"/>
      <c r="BA172" s="750"/>
      <c r="BB172" s="750"/>
      <c r="BC172" s="750"/>
      <c r="BD172" s="750"/>
      <c r="BE172" s="750"/>
      <c r="BF172" s="750"/>
      <c r="BG172" s="750"/>
      <c r="BH172" s="750"/>
      <c r="BI172" s="750"/>
      <c r="BJ172" s="750"/>
      <c r="BK172" s="750"/>
      <c r="BL172" s="750"/>
      <c r="BM172" s="750"/>
      <c r="BN172" s="750"/>
      <c r="BO172" s="750"/>
      <c r="BP172" s="750"/>
      <c r="BQ172" s="750"/>
      <c r="BR172" s="750"/>
      <c r="BS172" s="750"/>
      <c r="BT172" s="750"/>
      <c r="BU172" s="750"/>
      <c r="BV172" s="750"/>
      <c r="BW172" s="750"/>
      <c r="BX172" s="750"/>
      <c r="BY172" s="750"/>
      <c r="BZ172" s="750"/>
      <c r="CA172" s="750"/>
      <c r="CB172" s="750"/>
      <c r="CC172" s="750"/>
      <c r="CD172" s="750"/>
      <c r="CE172" s="750"/>
      <c r="CF172" s="750"/>
      <c r="CG172" s="750"/>
      <c r="CH172" s="750"/>
      <c r="CI172" s="751"/>
      <c r="CK172" s="1296"/>
    </row>
    <row r="173" spans="2:89" ht="28.5" x14ac:dyDescent="0.2">
      <c r="B173" s="778" t="s">
        <v>764</v>
      </c>
      <c r="C173" s="777" t="s">
        <v>583</v>
      </c>
      <c r="D173" s="779" t="s">
        <v>765</v>
      </c>
      <c r="E173" s="775" t="s">
        <v>375</v>
      </c>
      <c r="F173" s="776">
        <v>1</v>
      </c>
      <c r="G173" s="743" t="e">
        <f>G156/(G156+G164)</f>
        <v>#DIV/0!</v>
      </c>
      <c r="H173" s="743" t="e">
        <f t="shared" ref="H173:AK173" si="79">H156/(H156+H164)</f>
        <v>#DIV/0!</v>
      </c>
      <c r="I173" s="743">
        <f t="shared" si="79"/>
        <v>0.63244856206336286</v>
      </c>
      <c r="J173" s="743">
        <f t="shared" si="79"/>
        <v>0.64537362217341721</v>
      </c>
      <c r="K173" s="743">
        <f t="shared" si="79"/>
        <v>0.66319732852123003</v>
      </c>
      <c r="L173" s="743">
        <f t="shared" si="79"/>
        <v>0.68523991173672782</v>
      </c>
      <c r="M173" s="744">
        <f t="shared" si="79"/>
        <v>0.73995157096031539</v>
      </c>
      <c r="N173" s="744">
        <f t="shared" si="79"/>
        <v>0.80824440600102287</v>
      </c>
      <c r="O173" s="744">
        <f t="shared" si="79"/>
        <v>0.84499846141395218</v>
      </c>
      <c r="P173" s="744">
        <f t="shared" si="79"/>
        <v>0.86655837808649649</v>
      </c>
      <c r="Q173" s="744">
        <f t="shared" si="79"/>
        <v>0.88906408010997318</v>
      </c>
      <c r="R173" s="744">
        <f t="shared" si="79"/>
        <v>0.9089996155897978</v>
      </c>
      <c r="S173" s="744">
        <f t="shared" si="79"/>
        <v>0.92641295582565497</v>
      </c>
      <c r="T173" s="744">
        <f t="shared" si="79"/>
        <v>0.94351659661751153</v>
      </c>
      <c r="U173" s="744">
        <f t="shared" si="79"/>
        <v>0.9603418471558286</v>
      </c>
      <c r="V173" s="744">
        <f t="shared" si="79"/>
        <v>0.97699281309119301</v>
      </c>
      <c r="W173" s="744">
        <f t="shared" si="79"/>
        <v>0.98530272242228623</v>
      </c>
      <c r="X173" s="744">
        <f t="shared" si="79"/>
        <v>0.98548717047345213</v>
      </c>
      <c r="Y173" s="744">
        <f t="shared" si="79"/>
        <v>0.98567141154011728</v>
      </c>
      <c r="Z173" s="744">
        <f t="shared" si="79"/>
        <v>0.98585515484834718</v>
      </c>
      <c r="AA173" s="744">
        <f t="shared" si="79"/>
        <v>0.98603834960147552</v>
      </c>
      <c r="AB173" s="744">
        <f t="shared" si="79"/>
        <v>0.98622086745984161</v>
      </c>
      <c r="AC173" s="744">
        <f t="shared" si="79"/>
        <v>0.98640279336428227</v>
      </c>
      <c r="AD173" s="744">
        <f t="shared" si="79"/>
        <v>0.98658402250528821</v>
      </c>
      <c r="AE173" s="744">
        <f t="shared" si="79"/>
        <v>0.9867644817362623</v>
      </c>
      <c r="AF173" s="744">
        <f t="shared" si="79"/>
        <v>0.98694412465435122</v>
      </c>
      <c r="AG173" s="744">
        <f t="shared" si="79"/>
        <v>0.98712278354921479</v>
      </c>
      <c r="AH173" s="744">
        <f t="shared" si="79"/>
        <v>0.98730044019724705</v>
      </c>
      <c r="AI173" s="744">
        <f t="shared" si="79"/>
        <v>0.98747703183169699</v>
      </c>
      <c r="AJ173" s="744">
        <f t="shared" si="79"/>
        <v>0.98765249569622493</v>
      </c>
      <c r="AK173" s="744">
        <f t="shared" si="79"/>
        <v>0.98782676129564595</v>
      </c>
      <c r="AL173" s="744"/>
      <c r="AM173" s="744"/>
      <c r="AN173" s="744"/>
      <c r="AO173" s="744"/>
      <c r="AP173" s="744"/>
      <c r="AQ173" s="744"/>
      <c r="AR173" s="744"/>
      <c r="AS173" s="744"/>
      <c r="AT173" s="744"/>
      <c r="AU173" s="744"/>
      <c r="AV173" s="744"/>
      <c r="AW173" s="744"/>
      <c r="AX173" s="744"/>
      <c r="AY173" s="744"/>
      <c r="AZ173" s="744"/>
      <c r="BA173" s="744"/>
      <c r="BB173" s="744"/>
      <c r="BC173" s="744"/>
      <c r="BD173" s="744"/>
      <c r="BE173" s="744"/>
      <c r="BF173" s="744"/>
      <c r="BG173" s="744"/>
      <c r="BH173" s="744"/>
      <c r="BI173" s="744"/>
      <c r="BJ173" s="744"/>
      <c r="BK173" s="744"/>
      <c r="BL173" s="744"/>
      <c r="BM173" s="744"/>
      <c r="BN173" s="744"/>
      <c r="BO173" s="744"/>
      <c r="BP173" s="744"/>
      <c r="BQ173" s="744"/>
      <c r="BR173" s="744"/>
      <c r="BS173" s="744"/>
      <c r="BT173" s="744"/>
      <c r="BU173" s="744"/>
      <c r="BV173" s="744"/>
      <c r="BW173" s="744"/>
      <c r="BX173" s="744"/>
      <c r="BY173" s="744"/>
      <c r="BZ173" s="744"/>
      <c r="CA173" s="744"/>
      <c r="CB173" s="744"/>
      <c r="CC173" s="744"/>
      <c r="CD173" s="744"/>
      <c r="CE173" s="744"/>
      <c r="CF173" s="744"/>
      <c r="CG173" s="744"/>
      <c r="CH173" s="744"/>
      <c r="CI173" s="744"/>
      <c r="CK173" s="1296"/>
    </row>
    <row r="174" spans="2:89" ht="29.25" thickBot="1" x14ac:dyDescent="0.25">
      <c r="B174" s="780" t="s">
        <v>766</v>
      </c>
      <c r="C174" s="781" t="s">
        <v>586</v>
      </c>
      <c r="D174" s="782" t="s">
        <v>767</v>
      </c>
      <c r="E174" s="783" t="s">
        <v>375</v>
      </c>
      <c r="F174" s="784">
        <v>1</v>
      </c>
      <c r="G174" s="785" t="e">
        <f>(G156)/(G156+G165+G164+G163)</f>
        <v>#DIV/0!</v>
      </c>
      <c r="H174" s="785" t="e">
        <f t="shared" ref="H174:AK174" si="80">(H156)/(H156+H165+H164+H163)</f>
        <v>#DIV/0!</v>
      </c>
      <c r="I174" s="785">
        <f t="shared" si="80"/>
        <v>0.61354936958937556</v>
      </c>
      <c r="J174" s="785">
        <f t="shared" si="80"/>
        <v>0.62604473697882579</v>
      </c>
      <c r="K174" s="785">
        <f t="shared" si="80"/>
        <v>0.64334177302293027</v>
      </c>
      <c r="L174" s="785">
        <f t="shared" si="80"/>
        <v>0.66473355453848304</v>
      </c>
      <c r="M174" s="785">
        <f t="shared" si="80"/>
        <v>0.71783240651921787</v>
      </c>
      <c r="N174" s="785">
        <f t="shared" si="80"/>
        <v>0.78411716699249545</v>
      </c>
      <c r="O174" s="785">
        <f t="shared" si="80"/>
        <v>0.81979284678745368</v>
      </c>
      <c r="P174" s="785">
        <f t="shared" si="80"/>
        <v>0.84072094953797072</v>
      </c>
      <c r="Q174" s="785">
        <f t="shared" si="80"/>
        <v>0.86256772157693151</v>
      </c>
      <c r="R174" s="785">
        <f t="shared" si="80"/>
        <v>0.8819200894070649</v>
      </c>
      <c r="S174" s="785">
        <f t="shared" si="80"/>
        <v>0.8988244365785274</v>
      </c>
      <c r="T174" s="785">
        <f t="shared" si="80"/>
        <v>0.91542849417505567</v>
      </c>
      <c r="U174" s="785">
        <f t="shared" si="80"/>
        <v>0.93176263860702779</v>
      </c>
      <c r="V174" s="785">
        <f t="shared" si="80"/>
        <v>0.94792792297480044</v>
      </c>
      <c r="W174" s="785">
        <f t="shared" si="80"/>
        <v>0.95599557133884216</v>
      </c>
      <c r="X174" s="785">
        <f t="shared" si="80"/>
        <v>0.95617464307600397</v>
      </c>
      <c r="Y174" s="785">
        <f t="shared" si="80"/>
        <v>0.95635351390299361</v>
      </c>
      <c r="Z174" s="785">
        <f t="shared" si="80"/>
        <v>0.9565319015210898</v>
      </c>
      <c r="AA174" s="785">
        <f t="shared" si="80"/>
        <v>0.9567097566138818</v>
      </c>
      <c r="AB174" s="785">
        <f t="shared" si="80"/>
        <v>0.9568869545820754</v>
      </c>
      <c r="AC174" s="785">
        <f t="shared" si="80"/>
        <v>0.95706357789029695</v>
      </c>
      <c r="AD174" s="785">
        <f t="shared" si="80"/>
        <v>0.95723952478349494</v>
      </c>
      <c r="AE174" s="785">
        <f t="shared" si="80"/>
        <v>0.95741472424657836</v>
      </c>
      <c r="AF174" s="785">
        <f t="shared" si="80"/>
        <v>0.95758913122865796</v>
      </c>
      <c r="AG174" s="785">
        <f t="shared" si="80"/>
        <v>0.95776258290695149</v>
      </c>
      <c r="AH174" s="785">
        <f t="shared" si="80"/>
        <v>0.95793506158835651</v>
      </c>
      <c r="AI174" s="785">
        <f t="shared" si="80"/>
        <v>0.95810650633484951</v>
      </c>
      <c r="AJ174" s="785">
        <f t="shared" si="80"/>
        <v>0.95827685621846548</v>
      </c>
      <c r="AK174" s="785">
        <f t="shared" si="80"/>
        <v>0.95844604279789591</v>
      </c>
      <c r="AL174" s="785"/>
      <c r="AM174" s="785"/>
      <c r="AN174" s="785"/>
      <c r="AO174" s="785"/>
      <c r="AP174" s="785"/>
      <c r="AQ174" s="785"/>
      <c r="AR174" s="785"/>
      <c r="AS174" s="785"/>
      <c r="AT174" s="785"/>
      <c r="AU174" s="785"/>
      <c r="AV174" s="785"/>
      <c r="AW174" s="785"/>
      <c r="AX174" s="785"/>
      <c r="AY174" s="785"/>
      <c r="AZ174" s="785"/>
      <c r="BA174" s="785"/>
      <c r="BB174" s="785"/>
      <c r="BC174" s="785"/>
      <c r="BD174" s="785"/>
      <c r="BE174" s="785"/>
      <c r="BF174" s="785"/>
      <c r="BG174" s="785"/>
      <c r="BH174" s="785"/>
      <c r="BI174" s="785"/>
      <c r="BJ174" s="785"/>
      <c r="BK174" s="785"/>
      <c r="BL174" s="785"/>
      <c r="BM174" s="785"/>
      <c r="BN174" s="785"/>
      <c r="BO174" s="785"/>
      <c r="BP174" s="785"/>
      <c r="BQ174" s="785"/>
      <c r="BR174" s="785"/>
      <c r="BS174" s="785"/>
      <c r="BT174" s="785"/>
      <c r="BU174" s="785"/>
      <c r="BV174" s="785"/>
      <c r="BW174" s="785"/>
      <c r="BX174" s="785"/>
      <c r="BY174" s="785"/>
      <c r="BZ174" s="785"/>
      <c r="CA174" s="785"/>
      <c r="CB174" s="785"/>
      <c r="CC174" s="785"/>
      <c r="CD174" s="785"/>
      <c r="CE174" s="785"/>
      <c r="CF174" s="785"/>
      <c r="CG174" s="785"/>
      <c r="CH174" s="785"/>
      <c r="CI174" s="1529"/>
      <c r="CK174" s="1296"/>
    </row>
    <row r="175" spans="2:89" ht="29.25" thickBot="1" x14ac:dyDescent="0.25">
      <c r="B175" s="786" t="s">
        <v>768</v>
      </c>
      <c r="C175" s="787" t="s">
        <v>245</v>
      </c>
      <c r="D175" s="787" t="s">
        <v>769</v>
      </c>
      <c r="E175" s="787" t="s">
        <v>236</v>
      </c>
      <c r="F175" s="788">
        <v>2</v>
      </c>
      <c r="G175" s="629">
        <f>SUM(G135:G137)+G133+G144+G149+G150+G143</f>
        <v>0</v>
      </c>
      <c r="H175" s="648">
        <f t="shared" ref="H175:AK175" si="81">SUM(H135:H137)+H133+H144+H149+H150+H143</f>
        <v>0</v>
      </c>
      <c r="I175" s="648">
        <f t="shared" si="81"/>
        <v>406.98381297246362</v>
      </c>
      <c r="J175" s="648">
        <f t="shared" si="81"/>
        <v>402.6407564640927</v>
      </c>
      <c r="K175" s="648">
        <f t="shared" si="81"/>
        <v>401.31590887598645</v>
      </c>
      <c r="L175" s="648">
        <f t="shared" si="81"/>
        <v>398.70266082426417</v>
      </c>
      <c r="M175" s="648">
        <f t="shared" si="81"/>
        <v>398.95203720939986</v>
      </c>
      <c r="N175" s="648">
        <f t="shared" si="81"/>
        <v>396.82164574885525</v>
      </c>
      <c r="O175" s="648">
        <f t="shared" si="81"/>
        <v>393.80422560241522</v>
      </c>
      <c r="P175" s="648">
        <f t="shared" si="81"/>
        <v>392.5362697363945</v>
      </c>
      <c r="Q175" s="648">
        <f t="shared" si="81"/>
        <v>390.17889141282194</v>
      </c>
      <c r="R175" s="648">
        <f t="shared" si="81"/>
        <v>386.75046100343741</v>
      </c>
      <c r="S175" s="648">
        <f t="shared" si="81"/>
        <v>383.13802372658517</v>
      </c>
      <c r="T175" s="648">
        <f t="shared" si="81"/>
        <v>379.4875933805842</v>
      </c>
      <c r="U175" s="648">
        <f t="shared" si="81"/>
        <v>375.13971440123163</v>
      </c>
      <c r="V175" s="648">
        <f t="shared" si="81"/>
        <v>370.54254601993932</v>
      </c>
      <c r="W175" s="648">
        <f t="shared" si="81"/>
        <v>367.32849017615086</v>
      </c>
      <c r="X175" s="648">
        <f t="shared" si="81"/>
        <v>364.01095919929048</v>
      </c>
      <c r="Y175" s="648">
        <f t="shared" si="81"/>
        <v>360.76048547177464</v>
      </c>
      <c r="Z175" s="648">
        <f t="shared" si="81"/>
        <v>358.16105622987652</v>
      </c>
      <c r="AA175" s="648">
        <f t="shared" si="81"/>
        <v>356.13254487442958</v>
      </c>
      <c r="AB175" s="648">
        <f t="shared" si="81"/>
        <v>351.0653835953741</v>
      </c>
      <c r="AC175" s="648">
        <f t="shared" si="81"/>
        <v>349.15246126933323</v>
      </c>
      <c r="AD175" s="648">
        <f t="shared" si="81"/>
        <v>347.35177799914243</v>
      </c>
      <c r="AE175" s="648">
        <f t="shared" si="81"/>
        <v>346.41637766550048</v>
      </c>
      <c r="AF175" s="648">
        <f t="shared" si="81"/>
        <v>345.56830296130778</v>
      </c>
      <c r="AG175" s="648">
        <f t="shared" si="81"/>
        <v>346.20439058897301</v>
      </c>
      <c r="AH175" s="648">
        <f t="shared" si="81"/>
        <v>342.72381310706169</v>
      </c>
      <c r="AI175" s="648">
        <f t="shared" si="81"/>
        <v>343.5322652006148</v>
      </c>
      <c r="AJ175" s="648">
        <f t="shared" si="81"/>
        <v>342.24900157721424</v>
      </c>
      <c r="AK175" s="648">
        <f t="shared" si="81"/>
        <v>343.12763993201725</v>
      </c>
      <c r="AL175" s="648"/>
      <c r="AM175" s="648"/>
      <c r="AN175" s="648"/>
      <c r="AO175" s="648"/>
      <c r="AP175" s="648"/>
      <c r="AQ175" s="648"/>
      <c r="AR175" s="648"/>
      <c r="AS175" s="648"/>
      <c r="AT175" s="648"/>
      <c r="AU175" s="648"/>
      <c r="AV175" s="648"/>
      <c r="AW175" s="648"/>
      <c r="AX175" s="648"/>
      <c r="AY175" s="648"/>
      <c r="AZ175" s="648"/>
      <c r="BA175" s="648"/>
      <c r="BB175" s="648"/>
      <c r="BC175" s="648"/>
      <c r="BD175" s="648"/>
      <c r="BE175" s="648"/>
      <c r="BF175" s="648"/>
      <c r="BG175" s="648"/>
      <c r="BH175" s="648"/>
      <c r="BI175" s="648"/>
      <c r="BJ175" s="648"/>
      <c r="BK175" s="648"/>
      <c r="BL175" s="648"/>
      <c r="BM175" s="648"/>
      <c r="BN175" s="648"/>
      <c r="BO175" s="648"/>
      <c r="BP175" s="648"/>
      <c r="BQ175" s="648"/>
      <c r="BR175" s="648"/>
      <c r="BS175" s="648"/>
      <c r="BT175" s="648"/>
      <c r="BU175" s="648"/>
      <c r="BV175" s="648"/>
      <c r="BW175" s="648"/>
      <c r="BX175" s="648"/>
      <c r="BY175" s="648"/>
      <c r="BZ175" s="648"/>
      <c r="CA175" s="648"/>
      <c r="CB175" s="648"/>
      <c r="CC175" s="648"/>
      <c r="CD175" s="648"/>
      <c r="CE175" s="648"/>
      <c r="CF175" s="648"/>
      <c r="CG175" s="648"/>
      <c r="CH175" s="648"/>
      <c r="CI175" s="1528"/>
      <c r="CK175" s="1296"/>
    </row>
    <row r="176" spans="2:89" ht="28.5" x14ac:dyDescent="0.2">
      <c r="B176" s="789" t="s">
        <v>770</v>
      </c>
      <c r="C176" s="790" t="s">
        <v>591</v>
      </c>
      <c r="D176" s="710" t="s">
        <v>86</v>
      </c>
      <c r="E176" s="790" t="s">
        <v>236</v>
      </c>
      <c r="F176" s="791">
        <v>2</v>
      </c>
      <c r="G176" s="633"/>
      <c r="H176" s="1527"/>
      <c r="I176" s="1527">
        <v>0</v>
      </c>
      <c r="J176" s="1527">
        <v>2.4796835336910128E-2</v>
      </c>
      <c r="K176" s="1527">
        <v>0.27916406786673775</v>
      </c>
      <c r="L176" s="1527">
        <v>0.6056513448728662</v>
      </c>
      <c r="M176" s="598">
        <v>0.83879904825309737</v>
      </c>
      <c r="N176" s="598">
        <v>0.82765107506865476</v>
      </c>
      <c r="O176" s="598">
        <v>0.86215979797371034</v>
      </c>
      <c r="P176" s="598">
        <v>0.76620767149694391</v>
      </c>
      <c r="Q176" s="598">
        <v>0.8621994143312639</v>
      </c>
      <c r="R176" s="598">
        <v>0.88858954959166958</v>
      </c>
      <c r="S176" s="598">
        <v>0.87067419513815025</v>
      </c>
      <c r="T176" s="598">
        <v>0.8835794154509955</v>
      </c>
      <c r="U176" s="598">
        <v>0.85384743246603545</v>
      </c>
      <c r="V176" s="598">
        <v>0.8918699564438386</v>
      </c>
      <c r="W176" s="598">
        <v>0.88513556387562087</v>
      </c>
      <c r="X176" s="598">
        <v>0.89433319277804735</v>
      </c>
      <c r="Y176" s="598">
        <v>1.0189807899990297</v>
      </c>
      <c r="Z176" s="598">
        <v>0.94409203082830651</v>
      </c>
      <c r="AA176" s="598">
        <v>1.0142616135376077</v>
      </c>
      <c r="AB176" s="598">
        <v>2.7369520777123952</v>
      </c>
      <c r="AC176" s="598">
        <v>1.1589124701998528</v>
      </c>
      <c r="AD176" s="598">
        <v>1.1237782826250062</v>
      </c>
      <c r="AE176" s="598">
        <v>1.1656323927365029</v>
      </c>
      <c r="AF176" s="598">
        <v>1.2172766305146925</v>
      </c>
      <c r="AG176" s="598">
        <v>1.6287866003922451</v>
      </c>
      <c r="AH176" s="598">
        <v>4.1147569922551872</v>
      </c>
      <c r="AI176" s="598">
        <v>1.2684016406687868</v>
      </c>
      <c r="AJ176" s="598">
        <v>2.8055989355516204</v>
      </c>
      <c r="AK176" s="598">
        <v>1.4229582622896517</v>
      </c>
      <c r="AL176" s="598"/>
      <c r="AM176" s="598"/>
      <c r="AN176" s="598"/>
      <c r="AO176" s="598"/>
      <c r="AP176" s="598"/>
      <c r="AQ176" s="598"/>
      <c r="AR176" s="598"/>
      <c r="AS176" s="598"/>
      <c r="AT176" s="598"/>
      <c r="AU176" s="598"/>
      <c r="AV176" s="598"/>
      <c r="AW176" s="598"/>
      <c r="AX176" s="598"/>
      <c r="AY176" s="598"/>
      <c r="AZ176" s="598"/>
      <c r="BA176" s="598"/>
      <c r="BB176" s="598"/>
      <c r="BC176" s="598"/>
      <c r="BD176" s="598"/>
      <c r="BE176" s="598"/>
      <c r="BF176" s="598"/>
      <c r="BG176" s="598"/>
      <c r="BH176" s="598"/>
      <c r="BI176" s="598"/>
      <c r="BJ176" s="598"/>
      <c r="BK176" s="598"/>
      <c r="BL176" s="598"/>
      <c r="BM176" s="598"/>
      <c r="BN176" s="598"/>
      <c r="BO176" s="598"/>
      <c r="BP176" s="598"/>
      <c r="BQ176" s="598"/>
      <c r="BR176" s="598"/>
      <c r="BS176" s="598"/>
      <c r="BT176" s="598"/>
      <c r="BU176" s="598"/>
      <c r="BV176" s="598"/>
      <c r="BW176" s="598"/>
      <c r="BX176" s="598"/>
      <c r="BY176" s="598"/>
      <c r="BZ176" s="598"/>
      <c r="CA176" s="598"/>
      <c r="CB176" s="598"/>
      <c r="CC176" s="598"/>
      <c r="CD176" s="598"/>
      <c r="CE176" s="598"/>
      <c r="CF176" s="598"/>
      <c r="CG176" s="598"/>
      <c r="CH176" s="598"/>
      <c r="CI176" s="598"/>
    </row>
    <row r="177" spans="2:87" x14ac:dyDescent="0.2">
      <c r="B177" s="792" t="s">
        <v>771</v>
      </c>
      <c r="C177" s="793" t="s">
        <v>593</v>
      </c>
      <c r="D177" s="715" t="s">
        <v>86</v>
      </c>
      <c r="E177" s="793" t="s">
        <v>236</v>
      </c>
      <c r="F177" s="794">
        <v>2</v>
      </c>
      <c r="G177" s="637"/>
      <c r="H177" s="1527"/>
      <c r="I177" s="1527">
        <v>6.2602578355715988</v>
      </c>
      <c r="J177" s="1527">
        <v>6.940372318040076</v>
      </c>
      <c r="K177" s="1527">
        <v>6.8397092901808776</v>
      </c>
      <c r="L177" s="1527">
        <v>6.8615915885974319</v>
      </c>
      <c r="M177" s="598">
        <v>6.8386459177692238</v>
      </c>
      <c r="N177" s="598">
        <v>6.2294426715092266</v>
      </c>
      <c r="O177" s="598">
        <v>8.008180682720603</v>
      </c>
      <c r="P177" s="598">
        <v>7.5360895087138067</v>
      </c>
      <c r="Q177" s="598">
        <v>6.9784613126637183</v>
      </c>
      <c r="R177" s="598">
        <v>6.2337930674793558</v>
      </c>
      <c r="S177" s="598">
        <v>5.5431416691947177</v>
      </c>
      <c r="T177" s="598">
        <v>5.1211248453421909</v>
      </c>
      <c r="U177" s="598">
        <v>4.9719963671456702</v>
      </c>
      <c r="V177" s="598">
        <v>4.518673590721213</v>
      </c>
      <c r="W177" s="598">
        <v>4.2339047558479423</v>
      </c>
      <c r="X177" s="598">
        <v>4.0127432111530297</v>
      </c>
      <c r="Y177" s="598">
        <v>3.7934459546040822</v>
      </c>
      <c r="Z177" s="598">
        <v>3.6461570632478999</v>
      </c>
      <c r="AA177" s="598">
        <v>3.4003179576056519</v>
      </c>
      <c r="AB177" s="598">
        <v>3.2663088142323522</v>
      </c>
      <c r="AC177" s="598">
        <v>3.211771847242852</v>
      </c>
      <c r="AD177" s="598">
        <v>3.2072876328689728</v>
      </c>
      <c r="AE177" s="598">
        <v>3.233332462499098</v>
      </c>
      <c r="AF177" s="598">
        <v>3.2565326435151039</v>
      </c>
      <c r="AG177" s="598">
        <v>3.2332436035503731</v>
      </c>
      <c r="AH177" s="598">
        <v>3.2489802424153229</v>
      </c>
      <c r="AI177" s="598">
        <v>3.2374841582809819</v>
      </c>
      <c r="AJ177" s="598">
        <v>3.2052710117267051</v>
      </c>
      <c r="AK177" s="598">
        <v>3.2273982499351979</v>
      </c>
      <c r="AL177" s="598"/>
      <c r="AM177" s="598"/>
      <c r="AN177" s="598"/>
      <c r="AO177" s="598"/>
      <c r="AP177" s="598"/>
      <c r="AQ177" s="598"/>
      <c r="AR177" s="598"/>
      <c r="AS177" s="598"/>
      <c r="AT177" s="598"/>
      <c r="AU177" s="598"/>
      <c r="AV177" s="598"/>
      <c r="AW177" s="598"/>
      <c r="AX177" s="598"/>
      <c r="AY177" s="598"/>
      <c r="AZ177" s="598"/>
      <c r="BA177" s="598"/>
      <c r="BB177" s="598"/>
      <c r="BC177" s="598"/>
      <c r="BD177" s="598"/>
      <c r="BE177" s="598"/>
      <c r="BF177" s="598"/>
      <c r="BG177" s="598"/>
      <c r="BH177" s="598"/>
      <c r="BI177" s="598"/>
      <c r="BJ177" s="598"/>
      <c r="BK177" s="598"/>
      <c r="BL177" s="598"/>
      <c r="BM177" s="598"/>
      <c r="BN177" s="598"/>
      <c r="BO177" s="598"/>
      <c r="BP177" s="598"/>
      <c r="BQ177" s="598"/>
      <c r="BR177" s="598"/>
      <c r="BS177" s="598"/>
      <c r="BT177" s="598"/>
      <c r="BU177" s="598"/>
      <c r="BV177" s="598"/>
      <c r="BW177" s="598"/>
      <c r="BX177" s="598"/>
      <c r="BY177" s="598"/>
      <c r="BZ177" s="598"/>
      <c r="CA177" s="598"/>
      <c r="CB177" s="598"/>
      <c r="CC177" s="598"/>
      <c r="CD177" s="598"/>
      <c r="CE177" s="598"/>
      <c r="CF177" s="598"/>
      <c r="CG177" s="598"/>
      <c r="CH177" s="598"/>
      <c r="CI177" s="598"/>
    </row>
    <row r="178" spans="2:87" x14ac:dyDescent="0.2">
      <c r="B178" s="792" t="s">
        <v>772</v>
      </c>
      <c r="C178" s="793" t="s">
        <v>384</v>
      </c>
      <c r="D178" s="715" t="s">
        <v>773</v>
      </c>
      <c r="E178" s="793" t="s">
        <v>236</v>
      </c>
      <c r="F178" s="794">
        <v>2</v>
      </c>
      <c r="G178" s="795">
        <f t="shared" ref="G178:AK178" si="82">G176+G177</f>
        <v>0</v>
      </c>
      <c r="H178" s="795">
        <f t="shared" si="82"/>
        <v>0</v>
      </c>
      <c r="I178" s="795">
        <f t="shared" si="82"/>
        <v>6.2602578355715988</v>
      </c>
      <c r="J178" s="795">
        <f t="shared" si="82"/>
        <v>6.9651691533769862</v>
      </c>
      <c r="K178" s="795">
        <f t="shared" si="82"/>
        <v>7.1188733580476153</v>
      </c>
      <c r="L178" s="795">
        <f t="shared" si="82"/>
        <v>7.4672429334702981</v>
      </c>
      <c r="M178" s="796">
        <f t="shared" si="82"/>
        <v>7.6774449660223212</v>
      </c>
      <c r="N178" s="796">
        <f t="shared" si="82"/>
        <v>7.0570937465778814</v>
      </c>
      <c r="O178" s="796">
        <f t="shared" si="82"/>
        <v>8.8703404806943134</v>
      </c>
      <c r="P178" s="796">
        <f t="shared" si="82"/>
        <v>8.3022971802107506</v>
      </c>
      <c r="Q178" s="796">
        <f t="shared" si="82"/>
        <v>7.8406607269949822</v>
      </c>
      <c r="R178" s="796">
        <f t="shared" si="82"/>
        <v>7.1223826170710254</v>
      </c>
      <c r="S178" s="796">
        <f t="shared" si="82"/>
        <v>6.413815864332868</v>
      </c>
      <c r="T178" s="796">
        <f t="shared" si="82"/>
        <v>6.0047042607931864</v>
      </c>
      <c r="U178" s="796">
        <f t="shared" si="82"/>
        <v>5.8258437996117056</v>
      </c>
      <c r="V178" s="796">
        <f t="shared" si="82"/>
        <v>5.4105435471650516</v>
      </c>
      <c r="W178" s="796">
        <f t="shared" si="82"/>
        <v>5.1190403197235632</v>
      </c>
      <c r="X178" s="796">
        <f t="shared" si="82"/>
        <v>4.907076403931077</v>
      </c>
      <c r="Y178" s="796">
        <f t="shared" si="82"/>
        <v>4.8124267446031119</v>
      </c>
      <c r="Z178" s="796">
        <f t="shared" si="82"/>
        <v>4.5902490940762064</v>
      </c>
      <c r="AA178" s="796">
        <f t="shared" si="82"/>
        <v>4.4145795711432596</v>
      </c>
      <c r="AB178" s="796">
        <f t="shared" si="82"/>
        <v>6.0032608919447474</v>
      </c>
      <c r="AC178" s="796">
        <f t="shared" si="82"/>
        <v>4.3706843174427048</v>
      </c>
      <c r="AD178" s="796">
        <f t="shared" si="82"/>
        <v>4.331065915493979</v>
      </c>
      <c r="AE178" s="796">
        <f t="shared" si="82"/>
        <v>4.3989648552356009</v>
      </c>
      <c r="AF178" s="796">
        <f t="shared" si="82"/>
        <v>4.4738092740297963</v>
      </c>
      <c r="AG178" s="796">
        <f t="shared" si="82"/>
        <v>4.8620302039426182</v>
      </c>
      <c r="AH178" s="796">
        <f t="shared" si="82"/>
        <v>7.3637372346705101</v>
      </c>
      <c r="AI178" s="796">
        <f t="shared" si="82"/>
        <v>4.5058857989497687</v>
      </c>
      <c r="AJ178" s="796">
        <f t="shared" si="82"/>
        <v>6.0108699472783256</v>
      </c>
      <c r="AK178" s="796">
        <f t="shared" si="82"/>
        <v>4.6503565122248496</v>
      </c>
      <c r="AL178" s="796"/>
      <c r="AM178" s="796"/>
      <c r="AN178" s="796"/>
      <c r="AO178" s="796"/>
      <c r="AP178" s="796"/>
      <c r="AQ178" s="796"/>
      <c r="AR178" s="796"/>
      <c r="AS178" s="796"/>
      <c r="AT178" s="796"/>
      <c r="AU178" s="796"/>
      <c r="AV178" s="796"/>
      <c r="AW178" s="796"/>
      <c r="AX178" s="796"/>
      <c r="AY178" s="796"/>
      <c r="AZ178" s="796"/>
      <c r="BA178" s="796"/>
      <c r="BB178" s="796"/>
      <c r="BC178" s="796"/>
      <c r="BD178" s="796"/>
      <c r="BE178" s="796"/>
      <c r="BF178" s="796"/>
      <c r="BG178" s="796"/>
      <c r="BH178" s="796"/>
      <c r="BI178" s="796"/>
      <c r="BJ178" s="796"/>
      <c r="BK178" s="796"/>
      <c r="BL178" s="796"/>
      <c r="BM178" s="796"/>
      <c r="BN178" s="796"/>
      <c r="BO178" s="796"/>
      <c r="BP178" s="796"/>
      <c r="BQ178" s="796"/>
      <c r="BR178" s="796"/>
      <c r="BS178" s="796"/>
      <c r="BT178" s="796"/>
      <c r="BU178" s="796"/>
      <c r="BV178" s="796"/>
      <c r="BW178" s="796"/>
      <c r="BX178" s="796"/>
      <c r="BY178" s="796"/>
      <c r="BZ178" s="796"/>
      <c r="CA178" s="796"/>
      <c r="CB178" s="796"/>
      <c r="CC178" s="796"/>
      <c r="CD178" s="796"/>
      <c r="CE178" s="796"/>
      <c r="CF178" s="796"/>
      <c r="CG178" s="796"/>
      <c r="CH178" s="796"/>
      <c r="CI178" s="796"/>
    </row>
    <row r="179" spans="2:87" x14ac:dyDescent="0.2">
      <c r="B179" s="1059" t="s">
        <v>774</v>
      </c>
      <c r="C179" s="1060" t="s">
        <v>597</v>
      </c>
      <c r="D179" s="1061" t="s">
        <v>775</v>
      </c>
      <c r="E179" s="1060" t="s">
        <v>236</v>
      </c>
      <c r="F179" s="1062">
        <v>2</v>
      </c>
      <c r="G179" s="798" t="e">
        <f>G132-G175</f>
        <v>#REF!</v>
      </c>
      <c r="H179" s="798">
        <f t="shared" ref="H179:AK179" si="83">H132-H175</f>
        <v>0</v>
      </c>
      <c r="I179" s="798">
        <f>I132-I175</f>
        <v>4.0944075376733622</v>
      </c>
      <c r="J179" s="798">
        <f>J132-J175</f>
        <v>7.8824959060442552</v>
      </c>
      <c r="K179" s="798">
        <f t="shared" si="83"/>
        <v>8.649183344150515</v>
      </c>
      <c r="L179" s="798">
        <f t="shared" si="83"/>
        <v>10.363146890429334</v>
      </c>
      <c r="M179" s="799">
        <f t="shared" si="83"/>
        <v>9.2133078130277113</v>
      </c>
      <c r="N179" s="799">
        <f t="shared" si="83"/>
        <v>10.456076723316016</v>
      </c>
      <c r="O179" s="799">
        <f>O132-O175</f>
        <v>17.242747077022898</v>
      </c>
      <c r="P179" s="799">
        <f t="shared" si="83"/>
        <v>17.606420687868876</v>
      </c>
      <c r="Q179" s="799">
        <f>Q132-Q175</f>
        <v>22.908137451149912</v>
      </c>
      <c r="R179" s="799">
        <f t="shared" si="83"/>
        <v>28.42865539853733</v>
      </c>
      <c r="S179" s="799">
        <f t="shared" si="83"/>
        <v>16.779125278509241</v>
      </c>
      <c r="T179" s="799">
        <f t="shared" si="83"/>
        <v>23.017073184954768</v>
      </c>
      <c r="U179" s="799">
        <f t="shared" si="83"/>
        <v>26.448053781574174</v>
      </c>
      <c r="V179" s="799">
        <f t="shared" si="83"/>
        <v>31.786389162866499</v>
      </c>
      <c r="W179" s="799">
        <f t="shared" si="83"/>
        <v>54.411475518126906</v>
      </c>
      <c r="X179" s="799">
        <f t="shared" si="83"/>
        <v>57.135296204987299</v>
      </c>
      <c r="Y179" s="799">
        <f t="shared" si="83"/>
        <v>59.789686352503111</v>
      </c>
      <c r="Z179" s="799">
        <f t="shared" si="83"/>
        <v>61.790700034401254</v>
      </c>
      <c r="AA179" s="799">
        <f t="shared" si="83"/>
        <v>63.218503619848207</v>
      </c>
      <c r="AB179" s="799">
        <f t="shared" si="83"/>
        <v>65.685027710375721</v>
      </c>
      <c r="AC179" s="799">
        <f t="shared" si="83"/>
        <v>66.992771246416567</v>
      </c>
      <c r="AD179" s="799">
        <f t="shared" si="83"/>
        <v>68.186094216607387</v>
      </c>
      <c r="AE179" s="799">
        <f t="shared" si="83"/>
        <v>68.511987060249339</v>
      </c>
      <c r="AF179" s="799">
        <f t="shared" si="83"/>
        <v>68.748440224442049</v>
      </c>
      <c r="AG179" s="799">
        <f t="shared" si="83"/>
        <v>67.498649036776783</v>
      </c>
      <c r="AH179" s="799">
        <f t="shared" si="83"/>
        <v>70.363471898688147</v>
      </c>
      <c r="AI179" s="799">
        <f t="shared" si="83"/>
        <v>68.939568626607013</v>
      </c>
      <c r="AJ179" s="799">
        <f t="shared" si="83"/>
        <v>69.60306442000757</v>
      </c>
      <c r="AK179" s="799">
        <f t="shared" si="83"/>
        <v>68.102694235204524</v>
      </c>
      <c r="AL179" s="799"/>
      <c r="AM179" s="799"/>
      <c r="AN179" s="799"/>
      <c r="AO179" s="799"/>
      <c r="AP179" s="799"/>
      <c r="AQ179" s="799"/>
      <c r="AR179" s="799"/>
      <c r="AS179" s="799"/>
      <c r="AT179" s="799"/>
      <c r="AU179" s="799"/>
      <c r="AV179" s="799"/>
      <c r="AW179" s="799"/>
      <c r="AX179" s="799"/>
      <c r="AY179" s="799"/>
      <c r="AZ179" s="799"/>
      <c r="BA179" s="799"/>
      <c r="BB179" s="799"/>
      <c r="BC179" s="799"/>
      <c r="BD179" s="799"/>
      <c r="BE179" s="799"/>
      <c r="BF179" s="799"/>
      <c r="BG179" s="799"/>
      <c r="BH179" s="799"/>
      <c r="BI179" s="799"/>
      <c r="BJ179" s="799"/>
      <c r="BK179" s="799"/>
      <c r="BL179" s="799"/>
      <c r="BM179" s="799"/>
      <c r="BN179" s="799"/>
      <c r="BO179" s="799"/>
      <c r="BP179" s="799"/>
      <c r="BQ179" s="799"/>
      <c r="BR179" s="799"/>
      <c r="BS179" s="799"/>
      <c r="BT179" s="799"/>
      <c r="BU179" s="799"/>
      <c r="BV179" s="799"/>
      <c r="BW179" s="799"/>
      <c r="BX179" s="799"/>
      <c r="BY179" s="799"/>
      <c r="BZ179" s="799"/>
      <c r="CA179" s="799"/>
      <c r="CB179" s="799"/>
      <c r="CC179" s="799"/>
      <c r="CD179" s="799"/>
      <c r="CE179" s="799"/>
      <c r="CF179" s="799"/>
      <c r="CG179" s="799"/>
      <c r="CH179" s="799"/>
      <c r="CI179" s="796"/>
    </row>
    <row r="180" spans="2:87" ht="15" thickBot="1" x14ac:dyDescent="0.25">
      <c r="B180" s="1059" t="s">
        <v>776</v>
      </c>
      <c r="C180" s="1060" t="s">
        <v>600</v>
      </c>
      <c r="D180" s="1061" t="s">
        <v>777</v>
      </c>
      <c r="E180" s="1060" t="s">
        <v>236</v>
      </c>
      <c r="F180" s="1062">
        <v>2</v>
      </c>
      <c r="G180" s="798" t="e">
        <f t="shared" ref="G180:AK180" si="84">G123-G134</f>
        <v>#REF!</v>
      </c>
      <c r="H180" s="798">
        <f t="shared" si="84"/>
        <v>0</v>
      </c>
      <c r="I180" s="798">
        <f t="shared" si="84"/>
        <v>0</v>
      </c>
      <c r="J180" s="798">
        <f t="shared" si="84"/>
        <v>0</v>
      </c>
      <c r="K180" s="798">
        <f t="shared" si="84"/>
        <v>0</v>
      </c>
      <c r="L180" s="798">
        <f t="shared" si="84"/>
        <v>0</v>
      </c>
      <c r="M180" s="798">
        <f t="shared" si="84"/>
        <v>0</v>
      </c>
      <c r="N180" s="798">
        <f t="shared" si="84"/>
        <v>0</v>
      </c>
      <c r="O180" s="798">
        <f t="shared" si="84"/>
        <v>0</v>
      </c>
      <c r="P180" s="798">
        <f t="shared" si="84"/>
        <v>0</v>
      </c>
      <c r="Q180" s="798">
        <f t="shared" si="84"/>
        <v>0</v>
      </c>
      <c r="R180" s="798">
        <f t="shared" si="84"/>
        <v>0</v>
      </c>
      <c r="S180" s="798">
        <f t="shared" si="84"/>
        <v>0</v>
      </c>
      <c r="T180" s="798">
        <f t="shared" si="84"/>
        <v>0</v>
      </c>
      <c r="U180" s="798">
        <f t="shared" si="84"/>
        <v>0</v>
      </c>
      <c r="V180" s="798">
        <f t="shared" si="84"/>
        <v>0</v>
      </c>
      <c r="W180" s="798">
        <f t="shared" si="84"/>
        <v>0</v>
      </c>
      <c r="X180" s="798">
        <f t="shared" si="84"/>
        <v>0</v>
      </c>
      <c r="Y180" s="798">
        <f t="shared" si="84"/>
        <v>0</v>
      </c>
      <c r="Z180" s="798">
        <f t="shared" si="84"/>
        <v>0</v>
      </c>
      <c r="AA180" s="798">
        <f t="shared" si="84"/>
        <v>0</v>
      </c>
      <c r="AB180" s="798">
        <f t="shared" si="84"/>
        <v>0</v>
      </c>
      <c r="AC180" s="798">
        <f t="shared" si="84"/>
        <v>0</v>
      </c>
      <c r="AD180" s="798">
        <f t="shared" si="84"/>
        <v>0</v>
      </c>
      <c r="AE180" s="798">
        <f t="shared" si="84"/>
        <v>0</v>
      </c>
      <c r="AF180" s="798">
        <f t="shared" si="84"/>
        <v>0</v>
      </c>
      <c r="AG180" s="798">
        <f t="shared" si="84"/>
        <v>0</v>
      </c>
      <c r="AH180" s="798">
        <f t="shared" si="84"/>
        <v>0</v>
      </c>
      <c r="AI180" s="798">
        <f t="shared" si="84"/>
        <v>0</v>
      </c>
      <c r="AJ180" s="798">
        <f t="shared" si="84"/>
        <v>0</v>
      </c>
      <c r="AK180" s="798">
        <f t="shared" si="84"/>
        <v>0</v>
      </c>
      <c r="AL180" s="798"/>
      <c r="AM180" s="798"/>
      <c r="AN180" s="798"/>
      <c r="AO180" s="798"/>
      <c r="AP180" s="798"/>
      <c r="AQ180" s="798"/>
      <c r="AR180" s="798"/>
      <c r="AS180" s="798"/>
      <c r="AT180" s="798"/>
      <c r="AU180" s="798"/>
      <c r="AV180" s="798"/>
      <c r="AW180" s="798"/>
      <c r="AX180" s="798"/>
      <c r="AY180" s="798"/>
      <c r="AZ180" s="798"/>
      <c r="BA180" s="798"/>
      <c r="BB180" s="798"/>
      <c r="BC180" s="798"/>
      <c r="BD180" s="798"/>
      <c r="BE180" s="798"/>
      <c r="BF180" s="798"/>
      <c r="BG180" s="798"/>
      <c r="BH180" s="798"/>
      <c r="BI180" s="798"/>
      <c r="BJ180" s="798"/>
      <c r="BK180" s="798"/>
      <c r="BL180" s="798"/>
      <c r="BM180" s="798"/>
      <c r="BN180" s="798"/>
      <c r="BO180" s="798"/>
      <c r="BP180" s="798"/>
      <c r="BQ180" s="798"/>
      <c r="BR180" s="798"/>
      <c r="BS180" s="798"/>
      <c r="BT180" s="798"/>
      <c r="BU180" s="798"/>
      <c r="BV180" s="798"/>
      <c r="BW180" s="798"/>
      <c r="BX180" s="798"/>
      <c r="BY180" s="798"/>
      <c r="BZ180" s="798"/>
      <c r="CA180" s="798"/>
      <c r="CB180" s="798"/>
      <c r="CC180" s="798"/>
      <c r="CD180" s="798"/>
      <c r="CE180" s="798"/>
      <c r="CF180" s="798"/>
      <c r="CG180" s="798"/>
      <c r="CH180" s="798"/>
      <c r="CI180" s="798"/>
    </row>
    <row r="181" spans="2:87" ht="32.450000000000003" customHeight="1" x14ac:dyDescent="0.2">
      <c r="B181" s="801" t="s">
        <v>778</v>
      </c>
      <c r="C181" s="802" t="s">
        <v>393</v>
      </c>
      <c r="D181" s="803" t="s">
        <v>779</v>
      </c>
      <c r="E181" s="802" t="s">
        <v>236</v>
      </c>
      <c r="F181" s="804">
        <v>2</v>
      </c>
      <c r="G181" s="805" t="e">
        <f>G179-G178</f>
        <v>#REF!</v>
      </c>
      <c r="H181" s="805">
        <f t="shared" ref="H181:AK181" si="85">H179-H178</f>
        <v>0</v>
      </c>
      <c r="I181" s="805">
        <f t="shared" si="85"/>
        <v>-2.1658502978982366</v>
      </c>
      <c r="J181" s="805">
        <f t="shared" si="85"/>
        <v>0.91732675266726904</v>
      </c>
      <c r="K181" s="805">
        <f t="shared" si="85"/>
        <v>1.5303099861028997</v>
      </c>
      <c r="L181" s="805">
        <f t="shared" si="85"/>
        <v>2.8959039569590361</v>
      </c>
      <c r="M181" s="805">
        <f t="shared" si="85"/>
        <v>1.5358628470053901</v>
      </c>
      <c r="N181" s="805">
        <f t="shared" si="85"/>
        <v>3.398982976738135</v>
      </c>
      <c r="O181" s="805">
        <f>O179-O178</f>
        <v>8.3724065963285845</v>
      </c>
      <c r="P181" s="806">
        <f t="shared" si="85"/>
        <v>9.3041235076581259</v>
      </c>
      <c r="Q181" s="806">
        <f t="shared" si="85"/>
        <v>15.067476724154929</v>
      </c>
      <c r="R181" s="806">
        <f t="shared" si="85"/>
        <v>21.306272781466305</v>
      </c>
      <c r="S181" s="806">
        <f t="shared" si="85"/>
        <v>10.365309414176373</v>
      </c>
      <c r="T181" s="806">
        <f t="shared" si="85"/>
        <v>17.012368924161581</v>
      </c>
      <c r="U181" s="806">
        <f t="shared" si="85"/>
        <v>20.62220998196247</v>
      </c>
      <c r="V181" s="806">
        <f t="shared" si="85"/>
        <v>26.375845615701447</v>
      </c>
      <c r="W181" s="806">
        <f t="shared" si="85"/>
        <v>49.292435198403339</v>
      </c>
      <c r="X181" s="806">
        <f t="shared" si="85"/>
        <v>52.22821980105622</v>
      </c>
      <c r="Y181" s="806">
        <f t="shared" si="85"/>
        <v>54.977259607899995</v>
      </c>
      <c r="Z181" s="806">
        <f t="shared" si="85"/>
        <v>57.200450940325048</v>
      </c>
      <c r="AA181" s="806">
        <f t="shared" si="85"/>
        <v>58.80392404870495</v>
      </c>
      <c r="AB181" s="806">
        <f t="shared" si="85"/>
        <v>59.681766818430972</v>
      </c>
      <c r="AC181" s="806">
        <f t="shared" si="85"/>
        <v>62.622086928973864</v>
      </c>
      <c r="AD181" s="806">
        <f t="shared" si="85"/>
        <v>63.855028301113407</v>
      </c>
      <c r="AE181" s="806">
        <f t="shared" si="85"/>
        <v>64.113022205013735</v>
      </c>
      <c r="AF181" s="806">
        <f t="shared" si="85"/>
        <v>64.274630950412259</v>
      </c>
      <c r="AG181" s="806">
        <f t="shared" si="85"/>
        <v>62.636618832834166</v>
      </c>
      <c r="AH181" s="806">
        <f t="shared" si="85"/>
        <v>62.999734664017637</v>
      </c>
      <c r="AI181" s="806">
        <f t="shared" si="85"/>
        <v>64.43368282765725</v>
      </c>
      <c r="AJ181" s="806">
        <f t="shared" si="85"/>
        <v>63.592194472729247</v>
      </c>
      <c r="AK181" s="806">
        <f t="shared" si="85"/>
        <v>63.452337722979678</v>
      </c>
      <c r="AL181" s="806"/>
      <c r="AM181" s="806"/>
      <c r="AN181" s="806"/>
      <c r="AO181" s="806"/>
      <c r="AP181" s="806"/>
      <c r="AQ181" s="806"/>
      <c r="AR181" s="806"/>
      <c r="AS181" s="806"/>
      <c r="AT181" s="806"/>
      <c r="AU181" s="806"/>
      <c r="AV181" s="806"/>
      <c r="AW181" s="806"/>
      <c r="AX181" s="806"/>
      <c r="AY181" s="806"/>
      <c r="AZ181" s="806"/>
      <c r="BA181" s="806"/>
      <c r="BB181" s="806"/>
      <c r="BC181" s="806"/>
      <c r="BD181" s="806"/>
      <c r="BE181" s="806"/>
      <c r="BF181" s="806"/>
      <c r="BG181" s="806"/>
      <c r="BH181" s="806"/>
      <c r="BI181" s="806"/>
      <c r="BJ181" s="806"/>
      <c r="BK181" s="806"/>
      <c r="BL181" s="806"/>
      <c r="BM181" s="806"/>
      <c r="BN181" s="806"/>
      <c r="BO181" s="806"/>
      <c r="BP181" s="806"/>
      <c r="BQ181" s="806"/>
      <c r="BR181" s="806"/>
      <c r="BS181" s="806"/>
      <c r="BT181" s="806"/>
      <c r="BU181" s="806"/>
      <c r="BV181" s="806"/>
      <c r="BW181" s="806"/>
      <c r="BX181" s="806"/>
      <c r="BY181" s="806"/>
      <c r="BZ181" s="806"/>
      <c r="CA181" s="806"/>
      <c r="CB181" s="806"/>
      <c r="CC181" s="806"/>
      <c r="CD181" s="806"/>
      <c r="CE181" s="806"/>
      <c r="CF181" s="806"/>
      <c r="CG181" s="806"/>
      <c r="CH181" s="806"/>
      <c r="CI181" s="807"/>
    </row>
    <row r="182" spans="2:87" x14ac:dyDescent="0.2">
      <c r="B182" s="1404"/>
      <c r="C182" s="1405"/>
      <c r="D182" s="1406"/>
      <c r="E182" s="1405"/>
      <c r="F182" s="1407"/>
      <c r="G182" s="798"/>
      <c r="H182" s="798"/>
      <c r="I182" s="798"/>
      <c r="J182" s="798"/>
      <c r="K182" s="798"/>
      <c r="L182" s="798"/>
      <c r="M182" s="799"/>
      <c r="N182" s="799"/>
      <c r="O182" s="799"/>
      <c r="P182" s="799"/>
      <c r="Q182" s="799"/>
      <c r="R182" s="799"/>
      <c r="S182" s="799"/>
      <c r="T182" s="799"/>
      <c r="U182" s="799"/>
      <c r="V182" s="799"/>
      <c r="W182" s="799"/>
      <c r="X182" s="799"/>
      <c r="Y182" s="799"/>
      <c r="Z182" s="799"/>
      <c r="AA182" s="799"/>
      <c r="AB182" s="799"/>
      <c r="AC182" s="799"/>
      <c r="AD182" s="799"/>
      <c r="AE182" s="799"/>
      <c r="AF182" s="799"/>
      <c r="AG182" s="799"/>
      <c r="AH182" s="799"/>
      <c r="AI182" s="799"/>
      <c r="AJ182" s="799"/>
      <c r="AK182" s="799"/>
      <c r="AL182" s="799"/>
      <c r="AM182" s="799"/>
      <c r="AN182" s="799"/>
      <c r="AO182" s="799"/>
      <c r="AP182" s="799"/>
      <c r="AQ182" s="799"/>
      <c r="AR182" s="799"/>
      <c r="AS182" s="799"/>
      <c r="AT182" s="799"/>
      <c r="AU182" s="799"/>
      <c r="AV182" s="799"/>
      <c r="AW182" s="799"/>
      <c r="AX182" s="799"/>
      <c r="AY182" s="799"/>
      <c r="AZ182" s="799"/>
      <c r="BA182" s="799"/>
      <c r="BB182" s="799"/>
      <c r="BC182" s="799"/>
      <c r="BD182" s="799"/>
      <c r="BE182" s="799"/>
      <c r="BF182" s="799"/>
      <c r="BG182" s="799"/>
      <c r="BH182" s="799"/>
      <c r="BI182" s="799"/>
      <c r="BJ182" s="799"/>
      <c r="BK182" s="799"/>
      <c r="BL182" s="799"/>
      <c r="BM182" s="799"/>
      <c r="BN182" s="799"/>
      <c r="BO182" s="799"/>
      <c r="BP182" s="799"/>
      <c r="BQ182" s="799"/>
      <c r="BR182" s="799"/>
      <c r="BS182" s="799"/>
      <c r="BT182" s="799"/>
      <c r="BU182" s="799"/>
      <c r="BV182" s="799"/>
      <c r="BW182" s="799"/>
      <c r="BX182" s="799"/>
      <c r="BY182" s="799"/>
      <c r="BZ182" s="799"/>
      <c r="CA182" s="799"/>
      <c r="CB182" s="799"/>
      <c r="CC182" s="799"/>
      <c r="CD182" s="799"/>
      <c r="CE182" s="799"/>
      <c r="CF182" s="799"/>
      <c r="CG182" s="799"/>
      <c r="CH182" s="799"/>
      <c r="CI182" s="800"/>
    </row>
    <row r="183" spans="2:87" ht="44.1" customHeight="1" thickBot="1" x14ac:dyDescent="0.25"/>
    <row r="184" spans="2:87" ht="28.5" x14ac:dyDescent="0.2">
      <c r="B184" s="1287" t="s">
        <v>64</v>
      </c>
      <c r="C184" s="1284" t="s">
        <v>444</v>
      </c>
      <c r="D184" s="1287" t="s">
        <v>2</v>
      </c>
      <c r="E184" s="1468">
        <f>E13</f>
        <v>16</v>
      </c>
    </row>
    <row r="185" spans="2:87" ht="15" thickBot="1" x14ac:dyDescent="0.25">
      <c r="B185" s="1289" t="s">
        <v>445</v>
      </c>
      <c r="C185" s="1284" t="s">
        <v>88</v>
      </c>
      <c r="D185" s="1291" t="s">
        <v>200</v>
      </c>
      <c r="E185" s="1290" t="s">
        <v>780</v>
      </c>
    </row>
    <row r="186" spans="2:87" x14ac:dyDescent="0.2">
      <c r="B186" s="1296"/>
    </row>
    <row r="187" spans="2:87" x14ac:dyDescent="0.2">
      <c r="B187" s="1296"/>
    </row>
    <row r="188" spans="2:87" x14ac:dyDescent="0.2">
      <c r="B188" s="1296"/>
    </row>
    <row r="189" spans="2:87" x14ac:dyDescent="0.2">
      <c r="B189" s="1296"/>
    </row>
    <row r="190" spans="2:87" x14ac:dyDescent="0.2">
      <c r="B190" s="1296"/>
    </row>
    <row r="191" spans="2:87" x14ac:dyDescent="0.2">
      <c r="B191" s="1296"/>
    </row>
    <row r="192" spans="2:87" x14ac:dyDescent="0.2">
      <c r="B192" s="1296"/>
    </row>
    <row r="193" spans="1:89" x14ac:dyDescent="0.2">
      <c r="B193" s="1296"/>
    </row>
    <row r="194" spans="1:89" x14ac:dyDescent="0.2">
      <c r="B194" s="1296"/>
    </row>
    <row r="195" spans="1:89" x14ac:dyDescent="0.2">
      <c r="B195" s="1296"/>
    </row>
    <row r="196" spans="1:89" x14ac:dyDescent="0.2">
      <c r="B196" s="1296"/>
    </row>
    <row r="197" spans="1:89" x14ac:dyDescent="0.2">
      <c r="B197" s="1296"/>
    </row>
    <row r="198" spans="1:89" x14ac:dyDescent="0.2">
      <c r="B198" s="1296"/>
    </row>
    <row r="199" spans="1:89" x14ac:dyDescent="0.2">
      <c r="B199" s="1296"/>
    </row>
    <row r="200" spans="1:89" x14ac:dyDescent="0.2">
      <c r="B200" s="1296"/>
    </row>
    <row r="201" spans="1:89" x14ac:dyDescent="0.2">
      <c r="B201" s="1296"/>
    </row>
    <row r="202" spans="1:89" ht="15.75" thickBot="1" x14ac:dyDescent="0.25">
      <c r="CJ202" s="523"/>
    </row>
    <row r="203" spans="1:89" ht="45.75" thickBot="1" x14ac:dyDescent="0.25">
      <c r="B203" s="810" t="s">
        <v>441</v>
      </c>
      <c r="C203" s="1306" t="s">
        <v>204</v>
      </c>
      <c r="D203" s="523"/>
      <c r="E203" s="523"/>
      <c r="F203" s="523"/>
      <c r="G203" s="523"/>
      <c r="H203" s="523"/>
      <c r="I203" s="523"/>
      <c r="J203" s="523"/>
      <c r="K203" s="523"/>
      <c r="L203" s="523"/>
      <c r="M203" s="523"/>
      <c r="N203" s="523"/>
      <c r="O203" s="523"/>
      <c r="P203" s="523"/>
      <c r="Q203" s="523"/>
      <c r="R203" s="523"/>
      <c r="S203" s="523"/>
      <c r="T203" s="523"/>
      <c r="U203" s="523"/>
      <c r="V203" s="523"/>
      <c r="W203" s="523"/>
      <c r="X203" s="523"/>
      <c r="Y203" s="523"/>
      <c r="Z203" s="523"/>
      <c r="AA203" s="523"/>
      <c r="AB203" s="523"/>
      <c r="AC203" s="523"/>
      <c r="AD203" s="523"/>
      <c r="AE203" s="523"/>
      <c r="AF203" s="523"/>
      <c r="AG203" s="523"/>
      <c r="AH203" s="523"/>
      <c r="AI203" s="523"/>
      <c r="AJ203" s="523"/>
      <c r="AK203" s="523"/>
      <c r="AL203" s="523"/>
      <c r="AM203" s="523"/>
      <c r="AN203" s="523"/>
      <c r="AO203" s="523"/>
      <c r="AP203" s="523"/>
      <c r="AQ203" s="523"/>
      <c r="AR203" s="523"/>
      <c r="AS203" s="523"/>
      <c r="AT203" s="523"/>
      <c r="AU203" s="523"/>
      <c r="AV203" s="523"/>
      <c r="AW203" s="523"/>
      <c r="AX203" s="523"/>
      <c r="AY203" s="523"/>
      <c r="AZ203" s="523"/>
      <c r="BA203" s="523"/>
      <c r="BB203" s="523"/>
      <c r="BC203" s="523"/>
      <c r="BD203" s="523"/>
      <c r="BE203" s="523"/>
      <c r="BF203" s="523"/>
      <c r="BG203" s="523"/>
      <c r="BH203" s="523"/>
      <c r="BI203" s="523"/>
      <c r="BJ203" s="523"/>
      <c r="BK203" s="523"/>
      <c r="BL203" s="523"/>
      <c r="BM203" s="523"/>
      <c r="BN203" s="523"/>
      <c r="BO203" s="523"/>
      <c r="BP203" s="523"/>
      <c r="BQ203" s="523"/>
      <c r="BR203" s="523"/>
      <c r="BS203" s="523"/>
      <c r="BT203" s="523"/>
      <c r="BU203" s="523"/>
      <c r="BV203" s="523"/>
      <c r="BW203" s="523"/>
      <c r="BX203" s="523"/>
      <c r="BY203" s="523"/>
      <c r="BZ203" s="523"/>
      <c r="CA203" s="523"/>
      <c r="CB203" s="523"/>
      <c r="CC203" s="523"/>
      <c r="CD203" s="523"/>
      <c r="CE203" s="523"/>
      <c r="CF203" s="523"/>
      <c r="CG203" s="523"/>
      <c r="CH203" s="523"/>
      <c r="CI203" s="523"/>
    </row>
    <row r="204" spans="1:89" s="1292" customFormat="1" ht="30.75" thickBot="1" x14ac:dyDescent="0.25">
      <c r="A204" s="1284"/>
      <c r="B204" s="811" t="s">
        <v>446</v>
      </c>
      <c r="C204" s="812" t="s">
        <v>205</v>
      </c>
      <c r="D204" s="812" t="s">
        <v>71</v>
      </c>
      <c r="E204" s="812" t="s">
        <v>206</v>
      </c>
      <c r="F204" s="813" t="s">
        <v>207</v>
      </c>
      <c r="G204" s="811" t="s">
        <v>208</v>
      </c>
      <c r="H204" s="811" t="s">
        <v>209</v>
      </c>
      <c r="I204" s="811" t="s">
        <v>210</v>
      </c>
      <c r="J204" s="811" t="s">
        <v>211</v>
      </c>
      <c r="K204" s="811" t="s">
        <v>212</v>
      </c>
      <c r="L204" s="811" t="s">
        <v>213</v>
      </c>
      <c r="M204" s="812" t="s">
        <v>214</v>
      </c>
      <c r="N204" s="812" t="s">
        <v>215</v>
      </c>
      <c r="O204" s="812" t="s">
        <v>216</v>
      </c>
      <c r="P204" s="812" t="s">
        <v>217</v>
      </c>
      <c r="Q204" s="812" t="s">
        <v>218</v>
      </c>
      <c r="R204" s="812" t="s">
        <v>247</v>
      </c>
      <c r="S204" s="812" t="s">
        <v>248</v>
      </c>
      <c r="T204" s="812" t="s">
        <v>249</v>
      </c>
      <c r="U204" s="812" t="s">
        <v>250</v>
      </c>
      <c r="V204" s="812" t="s">
        <v>219</v>
      </c>
      <c r="W204" s="812" t="s">
        <v>251</v>
      </c>
      <c r="X204" s="812" t="s">
        <v>252</v>
      </c>
      <c r="Y204" s="812" t="s">
        <v>253</v>
      </c>
      <c r="Z204" s="812" t="s">
        <v>254</v>
      </c>
      <c r="AA204" s="812" t="s">
        <v>220</v>
      </c>
      <c r="AB204" s="812" t="s">
        <v>255</v>
      </c>
      <c r="AC204" s="812" t="s">
        <v>256</v>
      </c>
      <c r="AD204" s="812" t="s">
        <v>257</v>
      </c>
      <c r="AE204" s="812" t="s">
        <v>258</v>
      </c>
      <c r="AF204" s="812" t="s">
        <v>221</v>
      </c>
      <c r="AG204" s="812" t="s">
        <v>259</v>
      </c>
      <c r="AH204" s="812" t="s">
        <v>260</v>
      </c>
      <c r="AI204" s="812" t="s">
        <v>261</v>
      </c>
      <c r="AJ204" s="812" t="s">
        <v>262</v>
      </c>
      <c r="AK204" s="812" t="s">
        <v>222</v>
      </c>
      <c r="AL204" s="812" t="s">
        <v>263</v>
      </c>
      <c r="AM204" s="812" t="s">
        <v>264</v>
      </c>
      <c r="AN204" s="812" t="s">
        <v>265</v>
      </c>
      <c r="AO204" s="812" t="s">
        <v>266</v>
      </c>
      <c r="AP204" s="812" t="s">
        <v>223</v>
      </c>
      <c r="AQ204" s="812" t="s">
        <v>267</v>
      </c>
      <c r="AR204" s="812" t="s">
        <v>268</v>
      </c>
      <c r="AS204" s="812" t="s">
        <v>269</v>
      </c>
      <c r="AT204" s="812" t="s">
        <v>270</v>
      </c>
      <c r="AU204" s="812" t="s">
        <v>224</v>
      </c>
      <c r="AV204" s="812" t="s">
        <v>271</v>
      </c>
      <c r="AW204" s="812" t="s">
        <v>272</v>
      </c>
      <c r="AX204" s="812" t="s">
        <v>273</v>
      </c>
      <c r="AY204" s="812" t="s">
        <v>274</v>
      </c>
      <c r="AZ204" s="812" t="s">
        <v>225</v>
      </c>
      <c r="BA204" s="812" t="s">
        <v>275</v>
      </c>
      <c r="BB204" s="812" t="s">
        <v>276</v>
      </c>
      <c r="BC204" s="812" t="s">
        <v>277</v>
      </c>
      <c r="BD204" s="812" t="s">
        <v>278</v>
      </c>
      <c r="BE204" s="812" t="s">
        <v>226</v>
      </c>
      <c r="BF204" s="812" t="s">
        <v>279</v>
      </c>
      <c r="BG204" s="812" t="s">
        <v>280</v>
      </c>
      <c r="BH204" s="812" t="s">
        <v>281</v>
      </c>
      <c r="BI204" s="812" t="s">
        <v>282</v>
      </c>
      <c r="BJ204" s="812" t="s">
        <v>227</v>
      </c>
      <c r="BK204" s="812" t="s">
        <v>283</v>
      </c>
      <c r="BL204" s="812" t="s">
        <v>284</v>
      </c>
      <c r="BM204" s="812" t="s">
        <v>285</v>
      </c>
      <c r="BN204" s="812" t="s">
        <v>286</v>
      </c>
      <c r="BO204" s="812" t="s">
        <v>228</v>
      </c>
      <c r="BP204" s="812" t="s">
        <v>287</v>
      </c>
      <c r="BQ204" s="812" t="s">
        <v>288</v>
      </c>
      <c r="BR204" s="812" t="s">
        <v>289</v>
      </c>
      <c r="BS204" s="812" t="s">
        <v>290</v>
      </c>
      <c r="BT204" s="812" t="s">
        <v>229</v>
      </c>
      <c r="BU204" s="812" t="s">
        <v>291</v>
      </c>
      <c r="BV204" s="812" t="s">
        <v>292</v>
      </c>
      <c r="BW204" s="812" t="s">
        <v>293</v>
      </c>
      <c r="BX204" s="812" t="s">
        <v>294</v>
      </c>
      <c r="BY204" s="812" t="s">
        <v>230</v>
      </c>
      <c r="BZ204" s="812" t="s">
        <v>295</v>
      </c>
      <c r="CA204" s="812" t="s">
        <v>296</v>
      </c>
      <c r="CB204" s="812" t="s">
        <v>297</v>
      </c>
      <c r="CC204" s="812" t="s">
        <v>298</v>
      </c>
      <c r="CD204" s="812" t="s">
        <v>231</v>
      </c>
      <c r="CE204" s="812" t="s">
        <v>299</v>
      </c>
      <c r="CF204" s="812" t="s">
        <v>300</v>
      </c>
      <c r="CG204" s="812" t="s">
        <v>301</v>
      </c>
      <c r="CH204" s="812" t="s">
        <v>302</v>
      </c>
      <c r="CI204" s="813" t="s">
        <v>232</v>
      </c>
      <c r="CK204" s="1293"/>
    </row>
    <row r="205" spans="1:89" s="1292" customFormat="1" x14ac:dyDescent="0.2">
      <c r="A205" s="1284"/>
      <c r="B205" s="814" t="s">
        <v>447</v>
      </c>
      <c r="C205" s="815" t="s">
        <v>448</v>
      </c>
      <c r="D205" s="816" t="s">
        <v>86</v>
      </c>
      <c r="E205" s="817" t="s">
        <v>236</v>
      </c>
      <c r="F205" s="818">
        <v>2</v>
      </c>
      <c r="G205" s="532"/>
      <c r="H205" s="540"/>
      <c r="I205" s="540">
        <v>474.28972905191324</v>
      </c>
      <c r="J205" s="540">
        <v>465.85325766671326</v>
      </c>
      <c r="K205" s="540">
        <v>465.6877815374628</v>
      </c>
      <c r="L205" s="540">
        <v>459.68248355186677</v>
      </c>
      <c r="M205" s="541">
        <v>475.3644084701366</v>
      </c>
      <c r="N205" s="541">
        <v>475.73006608766826</v>
      </c>
      <c r="O205" s="541">
        <v>475.51278534540427</v>
      </c>
      <c r="P205" s="541">
        <v>476.3540849810139</v>
      </c>
      <c r="Q205" s="541">
        <v>476.91606766531515</v>
      </c>
      <c r="R205" s="541">
        <v>477.35366738769437</v>
      </c>
      <c r="S205" s="541">
        <v>477.31828528370318</v>
      </c>
      <c r="T205" s="541">
        <v>477.7201573773977</v>
      </c>
      <c r="U205" s="541">
        <v>477.2116979607261</v>
      </c>
      <c r="V205" s="541">
        <v>476.64186825014059</v>
      </c>
      <c r="W205" s="541">
        <v>476.11860187942881</v>
      </c>
      <c r="X205" s="541">
        <v>475.30446109261817</v>
      </c>
      <c r="Y205" s="541">
        <v>474.58115052640107</v>
      </c>
      <c r="Z205" s="541">
        <v>474.0584005072634</v>
      </c>
      <c r="AA205" s="541">
        <v>474.06825098030879</v>
      </c>
      <c r="AB205" s="541">
        <v>473.93532882299786</v>
      </c>
      <c r="AC205" s="541">
        <v>473.91921913012538</v>
      </c>
      <c r="AD205" s="541">
        <v>473.99546897023811</v>
      </c>
      <c r="AE205" s="541">
        <v>475.04678955949231</v>
      </c>
      <c r="AF205" s="541">
        <v>476.21185375249121</v>
      </c>
      <c r="AG205" s="541">
        <v>477.3826940078128</v>
      </c>
      <c r="AH205" s="541">
        <v>478.57591889765672</v>
      </c>
      <c r="AI205" s="541">
        <v>479.75612448742726</v>
      </c>
      <c r="AJ205" s="541">
        <v>481.02981075604185</v>
      </c>
      <c r="AK205" s="541">
        <v>482.31221449804872</v>
      </c>
      <c r="AL205" s="541"/>
      <c r="AM205" s="541"/>
      <c r="AN205" s="541"/>
      <c r="AO205" s="541"/>
      <c r="AP205" s="541"/>
      <c r="AQ205" s="541"/>
      <c r="AR205" s="541"/>
      <c r="AS205" s="541"/>
      <c r="AT205" s="541"/>
      <c r="AU205" s="541"/>
      <c r="AV205" s="541"/>
      <c r="AW205" s="541"/>
      <c r="AX205" s="541"/>
      <c r="AY205" s="541"/>
      <c r="AZ205" s="541"/>
      <c r="BA205" s="541"/>
      <c r="BB205" s="541"/>
      <c r="BC205" s="541"/>
      <c r="BD205" s="541"/>
      <c r="BE205" s="541"/>
      <c r="BF205" s="541"/>
      <c r="BG205" s="541"/>
      <c r="BH205" s="541"/>
      <c r="BI205" s="541"/>
      <c r="BJ205" s="541"/>
      <c r="BK205" s="541"/>
      <c r="BL205" s="541"/>
      <c r="BM205" s="541"/>
      <c r="BN205" s="541"/>
      <c r="BO205" s="541"/>
      <c r="BP205" s="541"/>
      <c r="BQ205" s="541"/>
      <c r="BR205" s="541"/>
      <c r="BS205" s="541"/>
      <c r="BT205" s="541"/>
      <c r="BU205" s="541"/>
      <c r="BV205" s="541"/>
      <c r="BW205" s="541"/>
      <c r="BX205" s="541"/>
      <c r="BY205" s="541"/>
      <c r="BZ205" s="541"/>
      <c r="CA205" s="541"/>
      <c r="CB205" s="541"/>
      <c r="CC205" s="541"/>
      <c r="CD205" s="541"/>
      <c r="CE205" s="541"/>
      <c r="CF205" s="541"/>
      <c r="CG205" s="541"/>
      <c r="CH205" s="541"/>
      <c r="CI205" s="541"/>
      <c r="CK205" s="1293"/>
    </row>
    <row r="206" spans="1:89" s="1292" customFormat="1" x14ac:dyDescent="0.2">
      <c r="A206" s="1284"/>
      <c r="B206" s="819" t="s">
        <v>449</v>
      </c>
      <c r="C206" s="820" t="s">
        <v>681</v>
      </c>
      <c r="D206" s="821" t="s">
        <v>86</v>
      </c>
      <c r="E206" s="822" t="s">
        <v>236</v>
      </c>
      <c r="F206" s="823">
        <v>2</v>
      </c>
      <c r="G206" s="1008"/>
      <c r="H206" s="540"/>
      <c r="I206" s="540">
        <v>0</v>
      </c>
      <c r="J206" s="540">
        <v>0</v>
      </c>
      <c r="K206" s="540">
        <v>0</v>
      </c>
      <c r="L206" s="540">
        <v>0</v>
      </c>
      <c r="M206" s="541">
        <v>0</v>
      </c>
      <c r="N206" s="541">
        <v>0</v>
      </c>
      <c r="O206" s="541">
        <v>0</v>
      </c>
      <c r="P206" s="541">
        <v>0</v>
      </c>
      <c r="Q206" s="541">
        <v>0</v>
      </c>
      <c r="R206" s="541">
        <v>0</v>
      </c>
      <c r="S206" s="541">
        <v>0</v>
      </c>
      <c r="T206" s="541">
        <v>0</v>
      </c>
      <c r="U206" s="541">
        <v>0</v>
      </c>
      <c r="V206" s="541">
        <v>0</v>
      </c>
      <c r="W206" s="541">
        <v>0</v>
      </c>
      <c r="X206" s="541">
        <v>0</v>
      </c>
      <c r="Y206" s="541">
        <v>0</v>
      </c>
      <c r="Z206" s="541">
        <v>0</v>
      </c>
      <c r="AA206" s="541">
        <v>0</v>
      </c>
      <c r="AB206" s="541">
        <v>0</v>
      </c>
      <c r="AC206" s="541">
        <v>0</v>
      </c>
      <c r="AD206" s="541">
        <v>0</v>
      </c>
      <c r="AE206" s="541">
        <v>0</v>
      </c>
      <c r="AF206" s="541">
        <v>0</v>
      </c>
      <c r="AG206" s="541">
        <v>0</v>
      </c>
      <c r="AH206" s="541">
        <v>0</v>
      </c>
      <c r="AI206" s="541">
        <v>0</v>
      </c>
      <c r="AJ206" s="541">
        <v>0</v>
      </c>
      <c r="AK206" s="541">
        <v>0</v>
      </c>
      <c r="AL206" s="541"/>
      <c r="AM206" s="541"/>
      <c r="AN206" s="541"/>
      <c r="AO206" s="541"/>
      <c r="AP206" s="541"/>
      <c r="AQ206" s="541"/>
      <c r="AR206" s="541"/>
      <c r="AS206" s="541"/>
      <c r="AT206" s="541"/>
      <c r="AU206" s="541"/>
      <c r="AV206" s="541"/>
      <c r="AW206" s="541"/>
      <c r="AX206" s="541"/>
      <c r="AY206" s="541"/>
      <c r="AZ206" s="541"/>
      <c r="BA206" s="541"/>
      <c r="BB206" s="541"/>
      <c r="BC206" s="541"/>
      <c r="BD206" s="541"/>
      <c r="BE206" s="541"/>
      <c r="BF206" s="541"/>
      <c r="BG206" s="541"/>
      <c r="BH206" s="541"/>
      <c r="BI206" s="541"/>
      <c r="BJ206" s="541"/>
      <c r="BK206" s="541"/>
      <c r="BL206" s="541"/>
      <c r="BM206" s="541"/>
      <c r="BN206" s="541"/>
      <c r="BO206" s="541"/>
      <c r="BP206" s="541"/>
      <c r="BQ206" s="541"/>
      <c r="BR206" s="541"/>
      <c r="BS206" s="541"/>
      <c r="BT206" s="541"/>
      <c r="BU206" s="541"/>
      <c r="BV206" s="541"/>
      <c r="BW206" s="541"/>
      <c r="BX206" s="541"/>
      <c r="BY206" s="541"/>
      <c r="BZ206" s="541"/>
      <c r="CA206" s="541"/>
      <c r="CB206" s="541"/>
      <c r="CC206" s="541"/>
      <c r="CD206" s="541"/>
      <c r="CE206" s="541"/>
      <c r="CF206" s="541"/>
      <c r="CG206" s="541"/>
      <c r="CH206" s="541"/>
      <c r="CI206" s="541"/>
      <c r="CK206" s="1293"/>
    </row>
    <row r="207" spans="1:89" s="1292" customFormat="1" x14ac:dyDescent="0.2">
      <c r="A207" s="1284"/>
      <c r="B207" s="819" t="s">
        <v>451</v>
      </c>
      <c r="C207" s="820" t="s">
        <v>452</v>
      </c>
      <c r="D207" s="821" t="s">
        <v>86</v>
      </c>
      <c r="E207" s="822" t="s">
        <v>236</v>
      </c>
      <c r="F207" s="823">
        <v>2</v>
      </c>
      <c r="G207" s="540"/>
      <c r="H207" s="540"/>
      <c r="I207" s="540">
        <v>0</v>
      </c>
      <c r="J207" s="540">
        <v>0</v>
      </c>
      <c r="K207" s="540">
        <v>0</v>
      </c>
      <c r="L207" s="540">
        <v>0</v>
      </c>
      <c r="M207" s="541">
        <v>0</v>
      </c>
      <c r="N207" s="541">
        <v>0</v>
      </c>
      <c r="O207" s="541">
        <v>0</v>
      </c>
      <c r="P207" s="541">
        <v>0</v>
      </c>
      <c r="Q207" s="541">
        <v>0</v>
      </c>
      <c r="R207" s="541">
        <v>0</v>
      </c>
      <c r="S207" s="541">
        <v>0</v>
      </c>
      <c r="T207" s="541">
        <v>0</v>
      </c>
      <c r="U207" s="541">
        <v>0</v>
      </c>
      <c r="V207" s="541">
        <v>0</v>
      </c>
      <c r="W207" s="541">
        <v>0</v>
      </c>
      <c r="X207" s="541">
        <v>0</v>
      </c>
      <c r="Y207" s="541">
        <v>0</v>
      </c>
      <c r="Z207" s="541">
        <v>0</v>
      </c>
      <c r="AA207" s="541">
        <v>0</v>
      </c>
      <c r="AB207" s="541">
        <v>0</v>
      </c>
      <c r="AC207" s="541">
        <v>0</v>
      </c>
      <c r="AD207" s="541">
        <v>0</v>
      </c>
      <c r="AE207" s="541">
        <v>0</v>
      </c>
      <c r="AF207" s="541">
        <v>0</v>
      </c>
      <c r="AG207" s="541">
        <v>0</v>
      </c>
      <c r="AH207" s="541">
        <v>0</v>
      </c>
      <c r="AI207" s="541">
        <v>0</v>
      </c>
      <c r="AJ207" s="541">
        <v>0</v>
      </c>
      <c r="AK207" s="541">
        <v>0</v>
      </c>
      <c r="AL207" s="541"/>
      <c r="AM207" s="541"/>
      <c r="AN207" s="541"/>
      <c r="AO207" s="541"/>
      <c r="AP207" s="541"/>
      <c r="AQ207" s="541"/>
      <c r="AR207" s="541"/>
      <c r="AS207" s="541"/>
      <c r="AT207" s="541"/>
      <c r="AU207" s="541"/>
      <c r="AV207" s="541"/>
      <c r="AW207" s="541"/>
      <c r="AX207" s="541"/>
      <c r="AY207" s="541"/>
      <c r="AZ207" s="541"/>
      <c r="BA207" s="541"/>
      <c r="BB207" s="541"/>
      <c r="BC207" s="541"/>
      <c r="BD207" s="541"/>
      <c r="BE207" s="541"/>
      <c r="BF207" s="541"/>
      <c r="BG207" s="541"/>
      <c r="BH207" s="541"/>
      <c r="BI207" s="541"/>
      <c r="BJ207" s="541"/>
      <c r="BK207" s="541"/>
      <c r="BL207" s="541"/>
      <c r="BM207" s="541"/>
      <c r="BN207" s="541"/>
      <c r="BO207" s="541"/>
      <c r="BP207" s="541"/>
      <c r="BQ207" s="541"/>
      <c r="BR207" s="541"/>
      <c r="BS207" s="541"/>
      <c r="BT207" s="541"/>
      <c r="BU207" s="541"/>
      <c r="BV207" s="541"/>
      <c r="BW207" s="541"/>
      <c r="BX207" s="541"/>
      <c r="BY207" s="541"/>
      <c r="BZ207" s="541"/>
      <c r="CA207" s="541"/>
      <c r="CB207" s="541"/>
      <c r="CC207" s="541"/>
      <c r="CD207" s="541"/>
      <c r="CE207" s="541"/>
      <c r="CF207" s="541"/>
      <c r="CG207" s="541"/>
      <c r="CH207" s="541"/>
      <c r="CI207" s="541"/>
      <c r="CK207" s="1293"/>
    </row>
    <row r="208" spans="1:89" s="1292" customFormat="1" x14ac:dyDescent="0.2">
      <c r="A208" s="1284"/>
      <c r="B208" s="819" t="s">
        <v>453</v>
      </c>
      <c r="C208" s="820" t="s">
        <v>454</v>
      </c>
      <c r="D208" s="821" t="s">
        <v>86</v>
      </c>
      <c r="E208" s="822" t="s">
        <v>236</v>
      </c>
      <c r="F208" s="823">
        <v>2</v>
      </c>
      <c r="G208" s="540"/>
      <c r="H208" s="540"/>
      <c r="I208" s="540">
        <v>1</v>
      </c>
      <c r="J208" s="540">
        <v>1</v>
      </c>
      <c r="K208" s="540">
        <v>1</v>
      </c>
      <c r="L208" s="540">
        <v>1</v>
      </c>
      <c r="M208" s="541">
        <v>1</v>
      </c>
      <c r="N208" s="541">
        <v>1</v>
      </c>
      <c r="O208" s="541">
        <v>1</v>
      </c>
      <c r="P208" s="541">
        <v>1</v>
      </c>
      <c r="Q208" s="541">
        <v>1</v>
      </c>
      <c r="R208" s="541">
        <v>1</v>
      </c>
      <c r="S208" s="541">
        <v>1</v>
      </c>
      <c r="T208" s="541">
        <v>1</v>
      </c>
      <c r="U208" s="541">
        <v>1</v>
      </c>
      <c r="V208" s="541">
        <v>1</v>
      </c>
      <c r="W208" s="541">
        <v>1</v>
      </c>
      <c r="X208" s="541">
        <v>1</v>
      </c>
      <c r="Y208" s="541">
        <v>1</v>
      </c>
      <c r="Z208" s="541">
        <v>1</v>
      </c>
      <c r="AA208" s="541">
        <v>1</v>
      </c>
      <c r="AB208" s="541">
        <v>1</v>
      </c>
      <c r="AC208" s="541">
        <v>1</v>
      </c>
      <c r="AD208" s="541">
        <v>1</v>
      </c>
      <c r="AE208" s="541">
        <v>1</v>
      </c>
      <c r="AF208" s="541">
        <v>1</v>
      </c>
      <c r="AG208" s="541">
        <v>1</v>
      </c>
      <c r="AH208" s="541">
        <v>1</v>
      </c>
      <c r="AI208" s="541">
        <v>1</v>
      </c>
      <c r="AJ208" s="541">
        <v>1</v>
      </c>
      <c r="AK208" s="541">
        <v>1</v>
      </c>
      <c r="AL208" s="541"/>
      <c r="AM208" s="541"/>
      <c r="AN208" s="541"/>
      <c r="AO208" s="541"/>
      <c r="AP208" s="541"/>
      <c r="AQ208" s="541"/>
      <c r="AR208" s="541"/>
      <c r="AS208" s="541"/>
      <c r="AT208" s="541"/>
      <c r="AU208" s="541"/>
      <c r="AV208" s="541"/>
      <c r="AW208" s="541"/>
      <c r="AX208" s="541"/>
      <c r="AY208" s="541"/>
      <c r="AZ208" s="541"/>
      <c r="BA208" s="541"/>
      <c r="BB208" s="541"/>
      <c r="BC208" s="541"/>
      <c r="BD208" s="541"/>
      <c r="BE208" s="541"/>
      <c r="BF208" s="541"/>
      <c r="BG208" s="541"/>
      <c r="BH208" s="541"/>
      <c r="BI208" s="541"/>
      <c r="BJ208" s="541"/>
      <c r="BK208" s="541"/>
      <c r="BL208" s="541"/>
      <c r="BM208" s="541"/>
      <c r="BN208" s="541"/>
      <c r="BO208" s="541"/>
      <c r="BP208" s="541"/>
      <c r="BQ208" s="541"/>
      <c r="BR208" s="541"/>
      <c r="BS208" s="541"/>
      <c r="BT208" s="541"/>
      <c r="BU208" s="541"/>
      <c r="BV208" s="541"/>
      <c r="BW208" s="541"/>
      <c r="BX208" s="541"/>
      <c r="BY208" s="541"/>
      <c r="BZ208" s="541"/>
      <c r="CA208" s="541"/>
      <c r="CB208" s="541"/>
      <c r="CC208" s="541"/>
      <c r="CD208" s="541"/>
      <c r="CE208" s="541"/>
      <c r="CF208" s="541"/>
      <c r="CG208" s="541"/>
      <c r="CH208" s="541"/>
      <c r="CI208" s="541"/>
      <c r="CK208" s="1293"/>
    </row>
    <row r="209" spans="1:89" s="1292" customFormat="1" x14ac:dyDescent="0.2">
      <c r="A209" s="1284"/>
      <c r="B209" s="824" t="s">
        <v>455</v>
      </c>
      <c r="C209" s="820" t="s">
        <v>456</v>
      </c>
      <c r="D209" s="821" t="s">
        <v>86</v>
      </c>
      <c r="E209" s="822" t="s">
        <v>236</v>
      </c>
      <c r="F209" s="823">
        <v>2</v>
      </c>
      <c r="G209" s="540"/>
      <c r="H209" s="540"/>
      <c r="I209" s="540">
        <v>-20</v>
      </c>
      <c r="J209" s="540">
        <v>-20</v>
      </c>
      <c r="K209" s="540">
        <v>-20</v>
      </c>
      <c r="L209" s="540">
        <v>-20</v>
      </c>
      <c r="M209" s="541">
        <v>-20</v>
      </c>
      <c r="N209" s="541">
        <v>-20</v>
      </c>
      <c r="O209" s="541">
        <v>-20</v>
      </c>
      <c r="P209" s="541">
        <v>-20</v>
      </c>
      <c r="Q209" s="541">
        <v>-20</v>
      </c>
      <c r="R209" s="541">
        <v>-20</v>
      </c>
      <c r="S209" s="541">
        <v>-20</v>
      </c>
      <c r="T209" s="541">
        <v>-20</v>
      </c>
      <c r="U209" s="541">
        <v>-20</v>
      </c>
      <c r="V209" s="541">
        <v>-20</v>
      </c>
      <c r="W209" s="541">
        <v>0</v>
      </c>
      <c r="X209" s="541">
        <v>0</v>
      </c>
      <c r="Y209" s="541">
        <v>0</v>
      </c>
      <c r="Z209" s="541">
        <v>0</v>
      </c>
      <c r="AA209" s="541">
        <v>0</v>
      </c>
      <c r="AB209" s="541">
        <v>0</v>
      </c>
      <c r="AC209" s="541">
        <v>0</v>
      </c>
      <c r="AD209" s="541">
        <v>0</v>
      </c>
      <c r="AE209" s="541">
        <v>0</v>
      </c>
      <c r="AF209" s="541">
        <v>0</v>
      </c>
      <c r="AG209" s="541">
        <v>0</v>
      </c>
      <c r="AH209" s="541">
        <v>0</v>
      </c>
      <c r="AI209" s="541">
        <v>0</v>
      </c>
      <c r="AJ209" s="541">
        <v>0</v>
      </c>
      <c r="AK209" s="541">
        <v>0</v>
      </c>
      <c r="AL209" s="541"/>
      <c r="AM209" s="541"/>
      <c r="AN209" s="541"/>
      <c r="AO209" s="541"/>
      <c r="AP209" s="541"/>
      <c r="AQ209" s="541"/>
      <c r="AR209" s="541"/>
      <c r="AS209" s="541"/>
      <c r="AT209" s="541"/>
      <c r="AU209" s="541"/>
      <c r="AV209" s="541"/>
      <c r="AW209" s="541"/>
      <c r="AX209" s="541"/>
      <c r="AY209" s="541"/>
      <c r="AZ209" s="541"/>
      <c r="BA209" s="541"/>
      <c r="BB209" s="541"/>
      <c r="BC209" s="541"/>
      <c r="BD209" s="541"/>
      <c r="BE209" s="541"/>
      <c r="BF209" s="541"/>
      <c r="BG209" s="541"/>
      <c r="BH209" s="541"/>
      <c r="BI209" s="541"/>
      <c r="BJ209" s="541"/>
      <c r="BK209" s="541"/>
      <c r="BL209" s="541"/>
      <c r="BM209" s="541"/>
      <c r="BN209" s="541"/>
      <c r="BO209" s="541"/>
      <c r="BP209" s="541"/>
      <c r="BQ209" s="541"/>
      <c r="BR209" s="541"/>
      <c r="BS209" s="541"/>
      <c r="BT209" s="541"/>
      <c r="BU209" s="541"/>
      <c r="BV209" s="541"/>
      <c r="BW209" s="541"/>
      <c r="BX209" s="541"/>
      <c r="BY209" s="541"/>
      <c r="BZ209" s="541"/>
      <c r="CA209" s="541"/>
      <c r="CB209" s="541"/>
      <c r="CC209" s="541"/>
      <c r="CD209" s="541"/>
      <c r="CE209" s="541"/>
      <c r="CF209" s="541"/>
      <c r="CG209" s="541"/>
      <c r="CH209" s="541"/>
      <c r="CI209" s="541"/>
      <c r="CK209" s="1293"/>
    </row>
    <row r="210" spans="1:89" s="1292" customFormat="1" x14ac:dyDescent="0.2">
      <c r="A210" s="1284"/>
      <c r="B210" s="824" t="s">
        <v>457</v>
      </c>
      <c r="C210" s="820" t="s">
        <v>458</v>
      </c>
      <c r="D210" s="821" t="s">
        <v>86</v>
      </c>
      <c r="E210" s="822" t="s">
        <v>236</v>
      </c>
      <c r="F210" s="823">
        <v>2</v>
      </c>
      <c r="G210" s="540"/>
      <c r="H210" s="540"/>
      <c r="I210" s="540">
        <v>-8.0013510958904099</v>
      </c>
      <c r="J210" s="540">
        <v>-8.0013510958904099</v>
      </c>
      <c r="K210" s="540">
        <v>-8.0013510958904099</v>
      </c>
      <c r="L210" s="540">
        <v>-8.3393626713339302</v>
      </c>
      <c r="M210" s="541">
        <v>-8.6755146135998498</v>
      </c>
      <c r="N210" s="541">
        <v>-10.49585967385617</v>
      </c>
      <c r="O210" s="541">
        <v>-10.826432716589292</v>
      </c>
      <c r="P210" s="541">
        <v>-11.157703121764012</v>
      </c>
      <c r="Q210" s="541">
        <v>-11.487578802055531</v>
      </c>
      <c r="R210" s="541">
        <v>-11.81698957405265</v>
      </c>
      <c r="S210" s="541">
        <v>-12.14779507093297</v>
      </c>
      <c r="T210" s="541">
        <v>-12.476508480488491</v>
      </c>
      <c r="U210" s="541">
        <v>-12.807081523221608</v>
      </c>
      <c r="V210" s="541">
        <v>-11.307081523221608</v>
      </c>
      <c r="W210" s="541">
        <v>-11.304756981749609</v>
      </c>
      <c r="X210" s="541">
        <v>-11.304756981749609</v>
      </c>
      <c r="Y210" s="541">
        <v>-11.304756981749609</v>
      </c>
      <c r="Z210" s="541">
        <v>-11.304756981749609</v>
      </c>
      <c r="AA210" s="541">
        <v>-11.304756981749609</v>
      </c>
      <c r="AB210" s="541">
        <v>-11.30243244027761</v>
      </c>
      <c r="AC210" s="541">
        <v>-11.30243244027761</v>
      </c>
      <c r="AD210" s="541">
        <v>-11.30243244027761</v>
      </c>
      <c r="AE210" s="541">
        <v>-11.30243244027761</v>
      </c>
      <c r="AF210" s="541">
        <v>-11.30243244027761</v>
      </c>
      <c r="AG210" s="541">
        <v>-11.30243244027761</v>
      </c>
      <c r="AH210" s="541">
        <v>-11.30243244027761</v>
      </c>
      <c r="AI210" s="541">
        <v>-11.30010789880561</v>
      </c>
      <c r="AJ210" s="541">
        <v>-11.30010789880561</v>
      </c>
      <c r="AK210" s="541">
        <v>-11.30010789880561</v>
      </c>
      <c r="AL210" s="541"/>
      <c r="AM210" s="541"/>
      <c r="AN210" s="541"/>
      <c r="AO210" s="541"/>
      <c r="AP210" s="541"/>
      <c r="AQ210" s="541"/>
      <c r="AR210" s="541"/>
      <c r="AS210" s="541"/>
      <c r="AT210" s="541"/>
      <c r="AU210" s="541"/>
      <c r="AV210" s="541"/>
      <c r="AW210" s="541"/>
      <c r="AX210" s="541"/>
      <c r="AY210" s="541"/>
      <c r="AZ210" s="541"/>
      <c r="BA210" s="541"/>
      <c r="BB210" s="541"/>
      <c r="BC210" s="541"/>
      <c r="BD210" s="541"/>
      <c r="BE210" s="541"/>
      <c r="BF210" s="541"/>
      <c r="BG210" s="541"/>
      <c r="BH210" s="541"/>
      <c r="BI210" s="541"/>
      <c r="BJ210" s="541"/>
      <c r="BK210" s="541"/>
      <c r="BL210" s="541"/>
      <c r="BM210" s="541"/>
      <c r="BN210" s="541"/>
      <c r="BO210" s="541"/>
      <c r="BP210" s="541"/>
      <c r="BQ210" s="541"/>
      <c r="BR210" s="541"/>
      <c r="BS210" s="541"/>
      <c r="BT210" s="541"/>
      <c r="BU210" s="541"/>
      <c r="BV210" s="541"/>
      <c r="BW210" s="541"/>
      <c r="BX210" s="541"/>
      <c r="BY210" s="541"/>
      <c r="BZ210" s="541"/>
      <c r="CA210" s="541"/>
      <c r="CB210" s="541"/>
      <c r="CC210" s="541"/>
      <c r="CD210" s="541"/>
      <c r="CE210" s="541"/>
      <c r="CF210" s="541"/>
      <c r="CG210" s="541"/>
      <c r="CH210" s="541"/>
      <c r="CI210" s="541"/>
      <c r="CK210" s="1293"/>
    </row>
    <row r="211" spans="1:89" s="1292" customFormat="1" x14ac:dyDescent="0.2">
      <c r="A211" s="1284"/>
      <c r="B211" s="824" t="s">
        <v>459</v>
      </c>
      <c r="C211" s="820" t="s">
        <v>460</v>
      </c>
      <c r="D211" s="821" t="s">
        <v>86</v>
      </c>
      <c r="E211" s="822" t="s">
        <v>236</v>
      </c>
      <c r="F211" s="823">
        <v>2</v>
      </c>
      <c r="G211" s="540"/>
      <c r="H211" s="540"/>
      <c r="I211" s="540">
        <v>601.5</v>
      </c>
      <c r="J211" s="540">
        <v>601.5</v>
      </c>
      <c r="K211" s="540">
        <v>601.5</v>
      </c>
      <c r="L211" s="540">
        <v>601.5</v>
      </c>
      <c r="M211" s="541">
        <v>601.5</v>
      </c>
      <c r="N211" s="541">
        <v>601.5</v>
      </c>
      <c r="O211" s="541">
        <v>601.5</v>
      </c>
      <c r="P211" s="541">
        <v>601.5</v>
      </c>
      <c r="Q211" s="541">
        <v>601.5</v>
      </c>
      <c r="R211" s="541">
        <v>601.5</v>
      </c>
      <c r="S211" s="541">
        <v>601.5</v>
      </c>
      <c r="T211" s="541">
        <v>601.5</v>
      </c>
      <c r="U211" s="541">
        <v>601.5</v>
      </c>
      <c r="V211" s="541">
        <v>601.5</v>
      </c>
      <c r="W211" s="541">
        <v>601.5</v>
      </c>
      <c r="X211" s="541">
        <v>601.5</v>
      </c>
      <c r="Y211" s="541">
        <v>601.5</v>
      </c>
      <c r="Z211" s="541">
        <v>601.5</v>
      </c>
      <c r="AA211" s="541">
        <v>601.5</v>
      </c>
      <c r="AB211" s="541">
        <v>601.5</v>
      </c>
      <c r="AC211" s="541">
        <v>601.5</v>
      </c>
      <c r="AD211" s="541">
        <v>601.5</v>
      </c>
      <c r="AE211" s="541">
        <v>601.5</v>
      </c>
      <c r="AF211" s="541">
        <v>601.5</v>
      </c>
      <c r="AG211" s="541">
        <v>601.5</v>
      </c>
      <c r="AH211" s="541">
        <v>601.5</v>
      </c>
      <c r="AI211" s="541">
        <v>601.5</v>
      </c>
      <c r="AJ211" s="541">
        <v>601.5</v>
      </c>
      <c r="AK211" s="541">
        <v>601.5</v>
      </c>
      <c r="AL211" s="541"/>
      <c r="AM211" s="541"/>
      <c r="AN211" s="541"/>
      <c r="AO211" s="541"/>
      <c r="AP211" s="541"/>
      <c r="AQ211" s="541"/>
      <c r="AR211" s="541"/>
      <c r="AS211" s="541"/>
      <c r="AT211" s="541"/>
      <c r="AU211" s="541"/>
      <c r="AV211" s="541"/>
      <c r="AW211" s="541"/>
      <c r="AX211" s="541"/>
      <c r="AY211" s="541"/>
      <c r="AZ211" s="541"/>
      <c r="BA211" s="541"/>
      <c r="BB211" s="541"/>
      <c r="BC211" s="541"/>
      <c r="BD211" s="541"/>
      <c r="BE211" s="541"/>
      <c r="BF211" s="541"/>
      <c r="BG211" s="541"/>
      <c r="BH211" s="541"/>
      <c r="BI211" s="541"/>
      <c r="BJ211" s="541"/>
      <c r="BK211" s="541"/>
      <c r="BL211" s="541"/>
      <c r="BM211" s="541"/>
      <c r="BN211" s="541"/>
      <c r="BO211" s="541"/>
      <c r="BP211" s="541"/>
      <c r="BQ211" s="541"/>
      <c r="BR211" s="541"/>
      <c r="BS211" s="541"/>
      <c r="BT211" s="541"/>
      <c r="BU211" s="541"/>
      <c r="BV211" s="541"/>
      <c r="BW211" s="541"/>
      <c r="BX211" s="541"/>
      <c r="BY211" s="541"/>
      <c r="BZ211" s="541"/>
      <c r="CA211" s="541"/>
      <c r="CB211" s="541"/>
      <c r="CC211" s="541"/>
      <c r="CD211" s="541"/>
      <c r="CE211" s="541"/>
      <c r="CF211" s="541"/>
      <c r="CG211" s="541"/>
      <c r="CH211" s="541"/>
      <c r="CI211" s="541"/>
      <c r="CK211" s="1293"/>
    </row>
    <row r="212" spans="1:89" s="1292" customFormat="1" x14ac:dyDescent="0.2">
      <c r="A212" s="1284"/>
      <c r="B212" s="824" t="s">
        <v>461</v>
      </c>
      <c r="C212" s="825" t="s">
        <v>462</v>
      </c>
      <c r="D212" s="821" t="s">
        <v>463</v>
      </c>
      <c r="E212" s="822" t="s">
        <v>236</v>
      </c>
      <c r="F212" s="823">
        <v>2</v>
      </c>
      <c r="G212" s="547">
        <f>G211+G213</f>
        <v>0</v>
      </c>
      <c r="H212" s="547">
        <f t="shared" ref="H212:AK212" si="86">H211+H213</f>
        <v>0</v>
      </c>
      <c r="I212" s="547">
        <f t="shared" si="86"/>
        <v>601.5</v>
      </c>
      <c r="J212" s="547">
        <f t="shared" si="86"/>
        <v>601.5</v>
      </c>
      <c r="K212" s="547">
        <f t="shared" si="86"/>
        <v>601.5</v>
      </c>
      <c r="L212" s="547">
        <f t="shared" si="86"/>
        <v>601.5</v>
      </c>
      <c r="M212" s="552">
        <f t="shared" si="86"/>
        <v>601.5</v>
      </c>
      <c r="N212" s="552">
        <f t="shared" si="86"/>
        <v>601.5</v>
      </c>
      <c r="O212" s="552">
        <f t="shared" si="86"/>
        <v>601.5</v>
      </c>
      <c r="P212" s="552">
        <f t="shared" si="86"/>
        <v>601.5</v>
      </c>
      <c r="Q212" s="552">
        <f t="shared" si="86"/>
        <v>601.5</v>
      </c>
      <c r="R212" s="552">
        <f t="shared" si="86"/>
        <v>596.5</v>
      </c>
      <c r="S212" s="552">
        <f t="shared" si="86"/>
        <v>596.5</v>
      </c>
      <c r="T212" s="552">
        <f t="shared" si="86"/>
        <v>596.5</v>
      </c>
      <c r="U212" s="552">
        <f t="shared" si="86"/>
        <v>596.5</v>
      </c>
      <c r="V212" s="552">
        <f t="shared" si="86"/>
        <v>596.5</v>
      </c>
      <c r="W212" s="552">
        <f t="shared" si="86"/>
        <v>596.5</v>
      </c>
      <c r="X212" s="552">
        <f t="shared" si="86"/>
        <v>596.5</v>
      </c>
      <c r="Y212" s="552">
        <f t="shared" si="86"/>
        <v>596.5</v>
      </c>
      <c r="Z212" s="552">
        <f t="shared" si="86"/>
        <v>596.5</v>
      </c>
      <c r="AA212" s="552">
        <f t="shared" si="86"/>
        <v>596.5</v>
      </c>
      <c r="AB212" s="552">
        <f t="shared" si="86"/>
        <v>594.5</v>
      </c>
      <c r="AC212" s="552">
        <f t="shared" si="86"/>
        <v>594.5</v>
      </c>
      <c r="AD212" s="552">
        <f t="shared" si="86"/>
        <v>594.5</v>
      </c>
      <c r="AE212" s="552">
        <f t="shared" si="86"/>
        <v>594.5</v>
      </c>
      <c r="AF212" s="552">
        <f t="shared" si="86"/>
        <v>594.5</v>
      </c>
      <c r="AG212" s="552">
        <f t="shared" si="86"/>
        <v>594.5</v>
      </c>
      <c r="AH212" s="552">
        <f t="shared" si="86"/>
        <v>594.5</v>
      </c>
      <c r="AI212" s="552">
        <f t="shared" si="86"/>
        <v>594.5</v>
      </c>
      <c r="AJ212" s="552">
        <f t="shared" si="86"/>
        <v>594.5</v>
      </c>
      <c r="AK212" s="552">
        <f t="shared" si="86"/>
        <v>594.5</v>
      </c>
      <c r="AL212" s="552"/>
      <c r="AM212" s="552"/>
      <c r="AN212" s="552"/>
      <c r="AO212" s="552"/>
      <c r="AP212" s="552"/>
      <c r="AQ212" s="552"/>
      <c r="AR212" s="552"/>
      <c r="AS212" s="552"/>
      <c r="AT212" s="552"/>
      <c r="AU212" s="552"/>
      <c r="AV212" s="552"/>
      <c r="AW212" s="552"/>
      <c r="AX212" s="552"/>
      <c r="AY212" s="552"/>
      <c r="AZ212" s="552"/>
      <c r="BA212" s="552"/>
      <c r="BB212" s="552"/>
      <c r="BC212" s="552"/>
      <c r="BD212" s="552"/>
      <c r="BE212" s="552"/>
      <c r="BF212" s="552"/>
      <c r="BG212" s="552"/>
      <c r="BH212" s="552"/>
      <c r="BI212" s="552"/>
      <c r="BJ212" s="552"/>
      <c r="BK212" s="552"/>
      <c r="BL212" s="552"/>
      <c r="BM212" s="552"/>
      <c r="BN212" s="552"/>
      <c r="BO212" s="552"/>
      <c r="BP212" s="552"/>
      <c r="BQ212" s="552"/>
      <c r="BR212" s="552"/>
      <c r="BS212" s="552"/>
      <c r="BT212" s="552"/>
      <c r="BU212" s="552"/>
      <c r="BV212" s="552"/>
      <c r="BW212" s="552"/>
      <c r="BX212" s="552"/>
      <c r="BY212" s="552"/>
      <c r="BZ212" s="552"/>
      <c r="CA212" s="552"/>
      <c r="CB212" s="552"/>
      <c r="CC212" s="552"/>
      <c r="CD212" s="552"/>
      <c r="CE212" s="552"/>
      <c r="CF212" s="552"/>
      <c r="CG212" s="552"/>
      <c r="CH212" s="552"/>
      <c r="CI212" s="548"/>
      <c r="CK212" s="1293"/>
    </row>
    <row r="213" spans="1:89" s="1292" customFormat="1" ht="28.5" x14ac:dyDescent="0.2">
      <c r="A213" s="1284"/>
      <c r="B213" s="826" t="s">
        <v>464</v>
      </c>
      <c r="C213" s="827" t="s">
        <v>465</v>
      </c>
      <c r="D213" s="827" t="s">
        <v>466</v>
      </c>
      <c r="E213" s="828" t="s">
        <v>236</v>
      </c>
      <c r="F213" s="823">
        <v>2</v>
      </c>
      <c r="G213" s="547">
        <f>SUM(G214:G219)</f>
        <v>0</v>
      </c>
      <c r="H213" s="547">
        <f t="shared" ref="H213:AK213" si="87">SUM(H214:H219)</f>
        <v>0</v>
      </c>
      <c r="I213" s="547">
        <f t="shared" si="87"/>
        <v>0</v>
      </c>
      <c r="J213" s="547">
        <f t="shared" si="87"/>
        <v>0</v>
      </c>
      <c r="K213" s="547">
        <f t="shared" si="87"/>
        <v>0</v>
      </c>
      <c r="L213" s="547">
        <f t="shared" si="87"/>
        <v>0</v>
      </c>
      <c r="M213" s="552">
        <f t="shared" si="87"/>
        <v>0</v>
      </c>
      <c r="N213" s="552">
        <f t="shared" si="87"/>
        <v>0</v>
      </c>
      <c r="O213" s="552">
        <f t="shared" si="87"/>
        <v>0</v>
      </c>
      <c r="P213" s="552">
        <f t="shared" si="87"/>
        <v>0</v>
      </c>
      <c r="Q213" s="552">
        <f t="shared" si="87"/>
        <v>0</v>
      </c>
      <c r="R213" s="552">
        <f t="shared" si="87"/>
        <v>-5</v>
      </c>
      <c r="S213" s="552">
        <f t="shared" si="87"/>
        <v>-5</v>
      </c>
      <c r="T213" s="552">
        <f t="shared" si="87"/>
        <v>-5</v>
      </c>
      <c r="U213" s="552">
        <f t="shared" si="87"/>
        <v>-5</v>
      </c>
      <c r="V213" s="552">
        <f t="shared" si="87"/>
        <v>-5</v>
      </c>
      <c r="W213" s="552">
        <f t="shared" si="87"/>
        <v>-5</v>
      </c>
      <c r="X213" s="552">
        <f t="shared" si="87"/>
        <v>-5</v>
      </c>
      <c r="Y213" s="552">
        <f t="shared" si="87"/>
        <v>-5</v>
      </c>
      <c r="Z213" s="552">
        <f t="shared" si="87"/>
        <v>-5</v>
      </c>
      <c r="AA213" s="552">
        <f t="shared" si="87"/>
        <v>-5</v>
      </c>
      <c r="AB213" s="552">
        <f t="shared" si="87"/>
        <v>-7</v>
      </c>
      <c r="AC213" s="552">
        <f t="shared" si="87"/>
        <v>-7</v>
      </c>
      <c r="AD213" s="552">
        <f t="shared" si="87"/>
        <v>-7</v>
      </c>
      <c r="AE213" s="552">
        <f t="shared" si="87"/>
        <v>-7</v>
      </c>
      <c r="AF213" s="552">
        <f t="shared" si="87"/>
        <v>-7</v>
      </c>
      <c r="AG213" s="552">
        <f t="shared" si="87"/>
        <v>-7</v>
      </c>
      <c r="AH213" s="552">
        <f t="shared" si="87"/>
        <v>-7</v>
      </c>
      <c r="AI213" s="552">
        <f t="shared" si="87"/>
        <v>-7</v>
      </c>
      <c r="AJ213" s="552">
        <f t="shared" si="87"/>
        <v>-7</v>
      </c>
      <c r="AK213" s="552">
        <f t="shared" si="87"/>
        <v>-7</v>
      </c>
      <c r="AL213" s="552"/>
      <c r="AM213" s="552"/>
      <c r="AN213" s="552"/>
      <c r="AO213" s="552"/>
      <c r="AP213" s="552"/>
      <c r="AQ213" s="552"/>
      <c r="AR213" s="552"/>
      <c r="AS213" s="552"/>
      <c r="AT213" s="552"/>
      <c r="AU213" s="552"/>
      <c r="AV213" s="552"/>
      <c r="AW213" s="552"/>
      <c r="AX213" s="552"/>
      <c r="AY213" s="552"/>
      <c r="AZ213" s="552"/>
      <c r="BA213" s="552"/>
      <c r="BB213" s="552"/>
      <c r="BC213" s="552"/>
      <c r="BD213" s="552"/>
      <c r="BE213" s="552"/>
      <c r="BF213" s="552"/>
      <c r="BG213" s="552"/>
      <c r="BH213" s="552"/>
      <c r="BI213" s="552"/>
      <c r="BJ213" s="552"/>
      <c r="BK213" s="552"/>
      <c r="BL213" s="552"/>
      <c r="BM213" s="552"/>
      <c r="BN213" s="552"/>
      <c r="BO213" s="552"/>
      <c r="BP213" s="552"/>
      <c r="BQ213" s="552"/>
      <c r="BR213" s="552"/>
      <c r="BS213" s="552"/>
      <c r="BT213" s="552"/>
      <c r="BU213" s="552"/>
      <c r="BV213" s="552"/>
      <c r="BW213" s="552"/>
      <c r="BX213" s="552"/>
      <c r="BY213" s="552"/>
      <c r="BZ213" s="552"/>
      <c r="CA213" s="552"/>
      <c r="CB213" s="552"/>
      <c r="CC213" s="552"/>
      <c r="CD213" s="552"/>
      <c r="CE213" s="552"/>
      <c r="CF213" s="552"/>
      <c r="CG213" s="552"/>
      <c r="CH213" s="552"/>
      <c r="CI213" s="548"/>
      <c r="CK213" s="1293"/>
    </row>
    <row r="214" spans="1:89" s="1292" customFormat="1" x14ac:dyDescent="0.2">
      <c r="A214" s="1284"/>
      <c r="B214" s="824" t="s">
        <v>467</v>
      </c>
      <c r="C214" s="825" t="s">
        <v>468</v>
      </c>
      <c r="D214" s="821" t="s">
        <v>86</v>
      </c>
      <c r="E214" s="822" t="s">
        <v>236</v>
      </c>
      <c r="F214" s="823">
        <v>2</v>
      </c>
      <c r="G214" s="540"/>
      <c r="H214" s="540"/>
      <c r="I214" s="540">
        <v>0</v>
      </c>
      <c r="J214" s="540">
        <v>0</v>
      </c>
      <c r="K214" s="540">
        <v>0</v>
      </c>
      <c r="L214" s="540">
        <v>0</v>
      </c>
      <c r="M214" s="541">
        <v>0</v>
      </c>
      <c r="N214" s="541">
        <v>0</v>
      </c>
      <c r="O214" s="541">
        <v>0</v>
      </c>
      <c r="P214" s="541">
        <v>0</v>
      </c>
      <c r="Q214" s="541">
        <v>0</v>
      </c>
      <c r="R214" s="541">
        <v>0</v>
      </c>
      <c r="S214" s="541">
        <v>0</v>
      </c>
      <c r="T214" s="541">
        <v>0</v>
      </c>
      <c r="U214" s="541">
        <v>0</v>
      </c>
      <c r="V214" s="541">
        <v>0</v>
      </c>
      <c r="W214" s="541">
        <v>0</v>
      </c>
      <c r="X214" s="541">
        <v>0</v>
      </c>
      <c r="Y214" s="541">
        <v>0</v>
      </c>
      <c r="Z214" s="541">
        <v>0</v>
      </c>
      <c r="AA214" s="541">
        <v>0</v>
      </c>
      <c r="AB214" s="541">
        <v>0</v>
      </c>
      <c r="AC214" s="541">
        <v>0</v>
      </c>
      <c r="AD214" s="541">
        <v>0</v>
      </c>
      <c r="AE214" s="541">
        <v>0</v>
      </c>
      <c r="AF214" s="541">
        <v>0</v>
      </c>
      <c r="AG214" s="541">
        <v>0</v>
      </c>
      <c r="AH214" s="541">
        <v>0</v>
      </c>
      <c r="AI214" s="541">
        <v>0</v>
      </c>
      <c r="AJ214" s="541">
        <v>0</v>
      </c>
      <c r="AK214" s="541">
        <v>0</v>
      </c>
      <c r="AL214" s="541"/>
      <c r="AM214" s="541"/>
      <c r="AN214" s="541"/>
      <c r="AO214" s="541"/>
      <c r="AP214" s="541"/>
      <c r="AQ214" s="541"/>
      <c r="AR214" s="541"/>
      <c r="AS214" s="541"/>
      <c r="AT214" s="541"/>
      <c r="AU214" s="541"/>
      <c r="AV214" s="541"/>
      <c r="AW214" s="541"/>
      <c r="AX214" s="541"/>
      <c r="AY214" s="541"/>
      <c r="AZ214" s="541"/>
      <c r="BA214" s="541"/>
      <c r="BB214" s="541"/>
      <c r="BC214" s="541"/>
      <c r="BD214" s="541"/>
      <c r="BE214" s="541"/>
      <c r="BF214" s="541"/>
      <c r="BG214" s="541"/>
      <c r="BH214" s="541"/>
      <c r="BI214" s="541"/>
      <c r="BJ214" s="541"/>
      <c r="BK214" s="541"/>
      <c r="BL214" s="541"/>
      <c r="BM214" s="541"/>
      <c r="BN214" s="541"/>
      <c r="BO214" s="541"/>
      <c r="BP214" s="541"/>
      <c r="BQ214" s="541"/>
      <c r="BR214" s="541"/>
      <c r="BS214" s="541"/>
      <c r="BT214" s="541"/>
      <c r="BU214" s="541"/>
      <c r="BV214" s="541"/>
      <c r="BW214" s="541"/>
      <c r="BX214" s="541"/>
      <c r="BY214" s="541"/>
      <c r="BZ214" s="541"/>
      <c r="CA214" s="541"/>
      <c r="CB214" s="541"/>
      <c r="CC214" s="541"/>
      <c r="CD214" s="541"/>
      <c r="CE214" s="541"/>
      <c r="CF214" s="541"/>
      <c r="CG214" s="541"/>
      <c r="CH214" s="541"/>
      <c r="CI214" s="541"/>
      <c r="CK214" s="1293"/>
    </row>
    <row r="215" spans="1:89" s="1292" customFormat="1" ht="28.5" x14ac:dyDescent="0.2">
      <c r="A215" s="1586"/>
      <c r="B215" s="824" t="s">
        <v>469</v>
      </c>
      <c r="C215" s="825" t="s">
        <v>470</v>
      </c>
      <c r="D215" s="821" t="s">
        <v>86</v>
      </c>
      <c r="E215" s="822" t="s">
        <v>236</v>
      </c>
      <c r="F215" s="823">
        <v>2</v>
      </c>
      <c r="G215" s="540"/>
      <c r="H215" s="540"/>
      <c r="I215" s="540">
        <v>0</v>
      </c>
      <c r="J215" s="540">
        <v>0</v>
      </c>
      <c r="K215" s="540">
        <v>0</v>
      </c>
      <c r="L215" s="540">
        <v>0</v>
      </c>
      <c r="M215" s="541">
        <v>0</v>
      </c>
      <c r="N215" s="541">
        <v>0</v>
      </c>
      <c r="O215" s="541">
        <v>0</v>
      </c>
      <c r="P215" s="541">
        <v>0</v>
      </c>
      <c r="Q215" s="541">
        <v>0</v>
      </c>
      <c r="R215" s="1526">
        <v>-5</v>
      </c>
      <c r="S215" s="541">
        <v>-5</v>
      </c>
      <c r="T215" s="541">
        <v>-5</v>
      </c>
      <c r="U215" s="541">
        <v>-5</v>
      </c>
      <c r="V215" s="541">
        <v>-5</v>
      </c>
      <c r="W215" s="541">
        <v>-5</v>
      </c>
      <c r="X215" s="541">
        <v>-5</v>
      </c>
      <c r="Y215" s="541">
        <v>-5</v>
      </c>
      <c r="Z215" s="541">
        <v>-5</v>
      </c>
      <c r="AA215" s="541">
        <v>-5</v>
      </c>
      <c r="AB215" s="541">
        <v>-5</v>
      </c>
      <c r="AC215" s="541">
        <v>-5</v>
      </c>
      <c r="AD215" s="541">
        <v>-5</v>
      </c>
      <c r="AE215" s="541">
        <v>-5</v>
      </c>
      <c r="AF215" s="541">
        <v>-5</v>
      </c>
      <c r="AG215" s="541">
        <v>-5</v>
      </c>
      <c r="AH215" s="541">
        <v>-5</v>
      </c>
      <c r="AI215" s="541">
        <v>-5</v>
      </c>
      <c r="AJ215" s="541">
        <v>-5</v>
      </c>
      <c r="AK215" s="541">
        <v>-5</v>
      </c>
      <c r="AL215" s="541"/>
      <c r="AM215" s="541"/>
      <c r="AN215" s="541"/>
      <c r="AO215" s="541"/>
      <c r="AP215" s="541"/>
      <c r="AQ215" s="541"/>
      <c r="AR215" s="541"/>
      <c r="AS215" s="541"/>
      <c r="AT215" s="541"/>
      <c r="AU215" s="541"/>
      <c r="AV215" s="541"/>
      <c r="AW215" s="541"/>
      <c r="AX215" s="541"/>
      <c r="AY215" s="541"/>
      <c r="AZ215" s="541"/>
      <c r="BA215" s="541"/>
      <c r="BB215" s="541"/>
      <c r="BC215" s="541"/>
      <c r="BD215" s="541"/>
      <c r="BE215" s="541"/>
      <c r="BF215" s="541"/>
      <c r="BG215" s="541"/>
      <c r="BH215" s="541"/>
      <c r="BI215" s="541"/>
      <c r="BJ215" s="541"/>
      <c r="BK215" s="541"/>
      <c r="BL215" s="541"/>
      <c r="BM215" s="541"/>
      <c r="BN215" s="541"/>
      <c r="BO215" s="541"/>
      <c r="BP215" s="541"/>
      <c r="BQ215" s="541"/>
      <c r="BR215" s="541"/>
      <c r="BS215" s="541"/>
      <c r="BT215" s="541"/>
      <c r="BU215" s="541"/>
      <c r="BV215" s="541"/>
      <c r="BW215" s="541"/>
      <c r="BX215" s="541"/>
      <c r="BY215" s="541"/>
      <c r="BZ215" s="541"/>
      <c r="CA215" s="541"/>
      <c r="CB215" s="541"/>
      <c r="CC215" s="541"/>
      <c r="CD215" s="541"/>
      <c r="CE215" s="541"/>
      <c r="CF215" s="541"/>
      <c r="CG215" s="541"/>
      <c r="CH215" s="541"/>
      <c r="CI215" s="541"/>
      <c r="CK215" s="1293"/>
    </row>
    <row r="216" spans="1:89" s="1292" customFormat="1" ht="57" x14ac:dyDescent="0.2">
      <c r="A216" s="1586"/>
      <c r="B216" s="824" t="s">
        <v>471</v>
      </c>
      <c r="C216" s="825" t="s">
        <v>781</v>
      </c>
      <c r="D216" s="821" t="s">
        <v>86</v>
      </c>
      <c r="E216" s="822" t="s">
        <v>236</v>
      </c>
      <c r="F216" s="823">
        <v>2</v>
      </c>
      <c r="G216" s="540"/>
      <c r="H216" s="540"/>
      <c r="I216" s="540">
        <v>0</v>
      </c>
      <c r="J216" s="540">
        <v>0</v>
      </c>
      <c r="K216" s="540">
        <v>0</v>
      </c>
      <c r="L216" s="540">
        <v>0</v>
      </c>
      <c r="M216" s="541">
        <v>0</v>
      </c>
      <c r="N216" s="541">
        <v>0</v>
      </c>
      <c r="O216" s="541">
        <v>0</v>
      </c>
      <c r="P216" s="541">
        <v>0</v>
      </c>
      <c r="Q216" s="541">
        <v>0</v>
      </c>
      <c r="R216" s="541">
        <v>0</v>
      </c>
      <c r="S216" s="541">
        <v>0</v>
      </c>
      <c r="T216" s="541">
        <v>0</v>
      </c>
      <c r="U216" s="541">
        <v>0</v>
      </c>
      <c r="V216" s="541">
        <v>0</v>
      </c>
      <c r="W216" s="541">
        <v>0</v>
      </c>
      <c r="X216" s="541">
        <v>0</v>
      </c>
      <c r="Y216" s="541">
        <v>0</v>
      </c>
      <c r="Z216" s="541">
        <v>0</v>
      </c>
      <c r="AA216" s="541">
        <v>0</v>
      </c>
      <c r="AB216" s="1526">
        <v>-2</v>
      </c>
      <c r="AC216" s="541">
        <v>-2</v>
      </c>
      <c r="AD216" s="541">
        <v>-2</v>
      </c>
      <c r="AE216" s="541">
        <v>-2</v>
      </c>
      <c r="AF216" s="541">
        <v>-2</v>
      </c>
      <c r="AG216" s="541">
        <v>-2</v>
      </c>
      <c r="AH216" s="541">
        <v>-2</v>
      </c>
      <c r="AI216" s="541">
        <v>-2</v>
      </c>
      <c r="AJ216" s="541">
        <v>-2</v>
      </c>
      <c r="AK216" s="541">
        <v>-2</v>
      </c>
      <c r="AL216" s="541"/>
      <c r="AM216" s="541"/>
      <c r="AN216" s="541"/>
      <c r="AO216" s="541"/>
      <c r="AP216" s="541"/>
      <c r="AQ216" s="541"/>
      <c r="AR216" s="541"/>
      <c r="AS216" s="541"/>
      <c r="AT216" s="541"/>
      <c r="AU216" s="541"/>
      <c r="AV216" s="541"/>
      <c r="AW216" s="541"/>
      <c r="AX216" s="541"/>
      <c r="AY216" s="541"/>
      <c r="AZ216" s="541"/>
      <c r="BA216" s="541"/>
      <c r="BB216" s="541"/>
      <c r="BC216" s="541"/>
      <c r="BD216" s="541"/>
      <c r="BE216" s="541"/>
      <c r="BF216" s="541"/>
      <c r="BG216" s="541"/>
      <c r="BH216" s="541"/>
      <c r="BI216" s="541"/>
      <c r="BJ216" s="541"/>
      <c r="BK216" s="541"/>
      <c r="BL216" s="541"/>
      <c r="BM216" s="541"/>
      <c r="BN216" s="541"/>
      <c r="BO216" s="541"/>
      <c r="BP216" s="541"/>
      <c r="BQ216" s="541"/>
      <c r="BR216" s="541"/>
      <c r="BS216" s="541"/>
      <c r="BT216" s="541"/>
      <c r="BU216" s="541"/>
      <c r="BV216" s="541"/>
      <c r="BW216" s="541"/>
      <c r="BX216" s="541"/>
      <c r="BY216" s="541"/>
      <c r="BZ216" s="541"/>
      <c r="CA216" s="541"/>
      <c r="CB216" s="541"/>
      <c r="CC216" s="541"/>
      <c r="CD216" s="541"/>
      <c r="CE216" s="541"/>
      <c r="CF216" s="541"/>
      <c r="CG216" s="541"/>
      <c r="CH216" s="541"/>
      <c r="CI216" s="541"/>
      <c r="CK216" s="1293"/>
    </row>
    <row r="217" spans="1:89" s="1292" customFormat="1" ht="28.5" x14ac:dyDescent="0.2">
      <c r="A217" s="1284"/>
      <c r="B217" s="824" t="s">
        <v>473</v>
      </c>
      <c r="C217" s="825" t="s">
        <v>474</v>
      </c>
      <c r="D217" s="821" t="s">
        <v>86</v>
      </c>
      <c r="E217" s="822" t="s">
        <v>236</v>
      </c>
      <c r="F217" s="823">
        <v>2</v>
      </c>
      <c r="G217" s="540"/>
      <c r="H217" s="540"/>
      <c r="I217" s="540">
        <v>0</v>
      </c>
      <c r="J217" s="540">
        <v>0</v>
      </c>
      <c r="K217" s="540">
        <v>0</v>
      </c>
      <c r="L217" s="540">
        <v>0</v>
      </c>
      <c r="M217" s="541">
        <v>0</v>
      </c>
      <c r="N217" s="541">
        <v>0</v>
      </c>
      <c r="O217" s="541">
        <v>0</v>
      </c>
      <c r="P217" s="541">
        <v>0</v>
      </c>
      <c r="Q217" s="541">
        <v>0</v>
      </c>
      <c r="R217" s="541">
        <v>0</v>
      </c>
      <c r="S217" s="541">
        <v>0</v>
      </c>
      <c r="T217" s="541">
        <v>0</v>
      </c>
      <c r="U217" s="541">
        <v>0</v>
      </c>
      <c r="V217" s="541">
        <v>0</v>
      </c>
      <c r="W217" s="541">
        <v>0</v>
      </c>
      <c r="X217" s="541">
        <v>0</v>
      </c>
      <c r="Y217" s="541">
        <v>0</v>
      </c>
      <c r="Z217" s="541">
        <v>0</v>
      </c>
      <c r="AA217" s="541">
        <v>0</v>
      </c>
      <c r="AB217" s="541">
        <v>0</v>
      </c>
      <c r="AC217" s="541">
        <v>0</v>
      </c>
      <c r="AD217" s="541">
        <v>0</v>
      </c>
      <c r="AE217" s="541">
        <v>0</v>
      </c>
      <c r="AF217" s="541">
        <v>0</v>
      </c>
      <c r="AG217" s="541">
        <v>0</v>
      </c>
      <c r="AH217" s="541">
        <v>0</v>
      </c>
      <c r="AI217" s="541">
        <v>0</v>
      </c>
      <c r="AJ217" s="541">
        <v>0</v>
      </c>
      <c r="AK217" s="541">
        <v>0</v>
      </c>
      <c r="AL217" s="541"/>
      <c r="AM217" s="541"/>
      <c r="AN217" s="541"/>
      <c r="AO217" s="541"/>
      <c r="AP217" s="541"/>
      <c r="AQ217" s="541"/>
      <c r="AR217" s="541"/>
      <c r="AS217" s="541"/>
      <c r="AT217" s="541"/>
      <c r="AU217" s="541"/>
      <c r="AV217" s="541"/>
      <c r="AW217" s="541"/>
      <c r="AX217" s="541"/>
      <c r="AY217" s="541"/>
      <c r="AZ217" s="541"/>
      <c r="BA217" s="541"/>
      <c r="BB217" s="541"/>
      <c r="BC217" s="541"/>
      <c r="BD217" s="541"/>
      <c r="BE217" s="541"/>
      <c r="BF217" s="541"/>
      <c r="BG217" s="541"/>
      <c r="BH217" s="541"/>
      <c r="BI217" s="541"/>
      <c r="BJ217" s="541"/>
      <c r="BK217" s="541"/>
      <c r="BL217" s="541"/>
      <c r="BM217" s="541"/>
      <c r="BN217" s="541"/>
      <c r="BO217" s="541"/>
      <c r="BP217" s="541"/>
      <c r="BQ217" s="541"/>
      <c r="BR217" s="541"/>
      <c r="BS217" s="541"/>
      <c r="BT217" s="541"/>
      <c r="BU217" s="541"/>
      <c r="BV217" s="541"/>
      <c r="BW217" s="541"/>
      <c r="BX217" s="541"/>
      <c r="BY217" s="541"/>
      <c r="BZ217" s="541"/>
      <c r="CA217" s="541"/>
      <c r="CB217" s="541"/>
      <c r="CC217" s="541"/>
      <c r="CD217" s="541"/>
      <c r="CE217" s="541"/>
      <c r="CF217" s="541"/>
      <c r="CG217" s="541"/>
      <c r="CH217" s="541"/>
      <c r="CI217" s="541"/>
      <c r="CK217" s="1293"/>
    </row>
    <row r="218" spans="1:89" s="1292" customFormat="1" x14ac:dyDescent="0.2">
      <c r="A218" s="1284"/>
      <c r="B218" s="824" t="s">
        <v>475</v>
      </c>
      <c r="C218" s="825" t="s">
        <v>476</v>
      </c>
      <c r="D218" s="821" t="s">
        <v>477</v>
      </c>
      <c r="E218" s="822" t="s">
        <v>236</v>
      </c>
      <c r="F218" s="823">
        <v>2</v>
      </c>
      <c r="G218" s="540"/>
      <c r="H218" s="540"/>
      <c r="I218" s="540">
        <v>0</v>
      </c>
      <c r="J218" s="540">
        <v>0</v>
      </c>
      <c r="K218" s="540">
        <v>0</v>
      </c>
      <c r="L218" s="540">
        <v>0</v>
      </c>
      <c r="M218" s="541">
        <v>0</v>
      </c>
      <c r="N218" s="541">
        <v>0</v>
      </c>
      <c r="O218" s="541">
        <v>0</v>
      </c>
      <c r="P218" s="541">
        <v>0</v>
      </c>
      <c r="Q218" s="541">
        <v>0</v>
      </c>
      <c r="R218" s="541">
        <v>0</v>
      </c>
      <c r="S218" s="541">
        <v>0</v>
      </c>
      <c r="T218" s="541">
        <v>0</v>
      </c>
      <c r="U218" s="541">
        <v>0</v>
      </c>
      <c r="V218" s="541">
        <v>0</v>
      </c>
      <c r="W218" s="541">
        <v>0</v>
      </c>
      <c r="X218" s="541">
        <v>0</v>
      </c>
      <c r="Y218" s="541">
        <v>0</v>
      </c>
      <c r="Z218" s="541">
        <v>0</v>
      </c>
      <c r="AA218" s="541">
        <v>0</v>
      </c>
      <c r="AB218" s="541">
        <v>0</v>
      </c>
      <c r="AC218" s="541">
        <v>0</v>
      </c>
      <c r="AD218" s="541">
        <v>0</v>
      </c>
      <c r="AE218" s="541">
        <v>0</v>
      </c>
      <c r="AF218" s="541">
        <v>0</v>
      </c>
      <c r="AG218" s="541">
        <v>0</v>
      </c>
      <c r="AH218" s="541">
        <v>0</v>
      </c>
      <c r="AI218" s="541">
        <v>0</v>
      </c>
      <c r="AJ218" s="541">
        <v>0</v>
      </c>
      <c r="AK218" s="541">
        <v>0</v>
      </c>
      <c r="AL218" s="541"/>
      <c r="AM218" s="541"/>
      <c r="AN218" s="541"/>
      <c r="AO218" s="541"/>
      <c r="AP218" s="541"/>
      <c r="AQ218" s="541"/>
      <c r="AR218" s="541"/>
      <c r="AS218" s="541"/>
      <c r="AT218" s="541"/>
      <c r="AU218" s="541"/>
      <c r="AV218" s="541"/>
      <c r="AW218" s="541"/>
      <c r="AX218" s="541"/>
      <c r="AY218" s="541"/>
      <c r="AZ218" s="541"/>
      <c r="BA218" s="541"/>
      <c r="BB218" s="541"/>
      <c r="BC218" s="541"/>
      <c r="BD218" s="541"/>
      <c r="BE218" s="541"/>
      <c r="BF218" s="541"/>
      <c r="BG218" s="541"/>
      <c r="BH218" s="541"/>
      <c r="BI218" s="541"/>
      <c r="BJ218" s="541"/>
      <c r="BK218" s="541"/>
      <c r="BL218" s="541"/>
      <c r="BM218" s="541"/>
      <c r="BN218" s="541"/>
      <c r="BO218" s="541"/>
      <c r="BP218" s="541"/>
      <c r="BQ218" s="541"/>
      <c r="BR218" s="541"/>
      <c r="BS218" s="541"/>
      <c r="BT218" s="541"/>
      <c r="BU218" s="541"/>
      <c r="BV218" s="541"/>
      <c r="BW218" s="541"/>
      <c r="BX218" s="541"/>
      <c r="BY218" s="541"/>
      <c r="BZ218" s="541"/>
      <c r="CA218" s="541"/>
      <c r="CB218" s="541"/>
      <c r="CC218" s="541"/>
      <c r="CD218" s="541"/>
      <c r="CE218" s="541"/>
      <c r="CF218" s="541"/>
      <c r="CG218" s="541"/>
      <c r="CH218" s="541"/>
      <c r="CI218" s="542"/>
      <c r="CK218" s="1293"/>
    </row>
    <row r="219" spans="1:89" s="1292" customFormat="1" ht="28.5" x14ac:dyDescent="0.2">
      <c r="A219" s="1284"/>
      <c r="B219" s="824" t="s">
        <v>478</v>
      </c>
      <c r="C219" s="825" t="s">
        <v>782</v>
      </c>
      <c r="D219" s="821" t="s">
        <v>86</v>
      </c>
      <c r="E219" s="822" t="s">
        <v>236</v>
      </c>
      <c r="F219" s="823">
        <v>2</v>
      </c>
      <c r="G219" s="540"/>
      <c r="H219" s="540"/>
      <c r="I219" s="540">
        <v>0</v>
      </c>
      <c r="J219" s="540">
        <v>0</v>
      </c>
      <c r="K219" s="540">
        <v>0</v>
      </c>
      <c r="L219" s="540">
        <v>0</v>
      </c>
      <c r="M219" s="541">
        <v>0</v>
      </c>
      <c r="N219" s="541">
        <v>0</v>
      </c>
      <c r="O219" s="541">
        <v>0</v>
      </c>
      <c r="P219" s="541">
        <v>0</v>
      </c>
      <c r="Q219" s="541">
        <v>0</v>
      </c>
      <c r="R219" s="541">
        <v>0</v>
      </c>
      <c r="S219" s="541">
        <v>0</v>
      </c>
      <c r="T219" s="541">
        <v>0</v>
      </c>
      <c r="U219" s="541">
        <v>0</v>
      </c>
      <c r="V219" s="541">
        <v>0</v>
      </c>
      <c r="W219" s="541">
        <v>0</v>
      </c>
      <c r="X219" s="541">
        <v>0</v>
      </c>
      <c r="Y219" s="541">
        <v>0</v>
      </c>
      <c r="Z219" s="541">
        <v>0</v>
      </c>
      <c r="AA219" s="541">
        <v>0</v>
      </c>
      <c r="AB219" s="541">
        <v>0</v>
      </c>
      <c r="AC219" s="541">
        <v>0</v>
      </c>
      <c r="AD219" s="541">
        <v>0</v>
      </c>
      <c r="AE219" s="541">
        <v>0</v>
      </c>
      <c r="AF219" s="541">
        <v>0</v>
      </c>
      <c r="AG219" s="541">
        <v>0</v>
      </c>
      <c r="AH219" s="541">
        <v>0</v>
      </c>
      <c r="AI219" s="541">
        <v>0</v>
      </c>
      <c r="AJ219" s="541">
        <v>0</v>
      </c>
      <c r="AK219" s="541">
        <v>0</v>
      </c>
      <c r="AL219" s="541"/>
      <c r="AM219" s="541"/>
      <c r="AN219" s="541"/>
      <c r="AO219" s="541"/>
      <c r="AP219" s="541"/>
      <c r="AQ219" s="541"/>
      <c r="AR219" s="541"/>
      <c r="AS219" s="541"/>
      <c r="AT219" s="541"/>
      <c r="AU219" s="541"/>
      <c r="AV219" s="541"/>
      <c r="AW219" s="541"/>
      <c r="AX219" s="541"/>
      <c r="AY219" s="541"/>
      <c r="AZ219" s="541"/>
      <c r="BA219" s="541"/>
      <c r="BB219" s="541"/>
      <c r="BC219" s="541"/>
      <c r="BD219" s="541"/>
      <c r="BE219" s="541"/>
      <c r="BF219" s="541"/>
      <c r="BG219" s="541"/>
      <c r="BH219" s="541"/>
      <c r="BI219" s="541"/>
      <c r="BJ219" s="541"/>
      <c r="BK219" s="541"/>
      <c r="BL219" s="541"/>
      <c r="BM219" s="541"/>
      <c r="BN219" s="541"/>
      <c r="BO219" s="541"/>
      <c r="BP219" s="541"/>
      <c r="BQ219" s="541"/>
      <c r="BR219" s="541"/>
      <c r="BS219" s="541"/>
      <c r="BT219" s="541"/>
      <c r="BU219" s="541"/>
      <c r="BV219" s="541"/>
      <c r="BW219" s="541"/>
      <c r="BX219" s="541"/>
      <c r="BY219" s="541"/>
      <c r="BZ219" s="541"/>
      <c r="CA219" s="541"/>
      <c r="CB219" s="541"/>
      <c r="CC219" s="541"/>
      <c r="CD219" s="541"/>
      <c r="CE219" s="541"/>
      <c r="CF219" s="541"/>
      <c r="CG219" s="541"/>
      <c r="CH219" s="541"/>
      <c r="CI219" s="541"/>
      <c r="CK219" s="1293"/>
    </row>
    <row r="220" spans="1:89" s="1292" customFormat="1" ht="28.5" x14ac:dyDescent="0.2">
      <c r="A220" s="1284"/>
      <c r="B220" s="824" t="s">
        <v>480</v>
      </c>
      <c r="C220" s="825" t="s">
        <v>694</v>
      </c>
      <c r="D220" s="821" t="s">
        <v>86</v>
      </c>
      <c r="E220" s="822" t="s">
        <v>236</v>
      </c>
      <c r="F220" s="823">
        <v>2</v>
      </c>
      <c r="G220" s="540"/>
      <c r="H220" s="540"/>
      <c r="I220" s="540">
        <v>0.14288658305525045</v>
      </c>
      <c r="J220" s="540">
        <v>0.14288658305525045</v>
      </c>
      <c r="K220" s="540">
        <v>0.14288658305525045</v>
      </c>
      <c r="L220" s="540">
        <v>0.14288658305525045</v>
      </c>
      <c r="M220" s="541">
        <v>0.14288658305525045</v>
      </c>
      <c r="N220" s="541">
        <v>0.14288658305525045</v>
      </c>
      <c r="O220" s="541">
        <v>0.14288658305525045</v>
      </c>
      <c r="P220" s="541">
        <v>0.14288658305525045</v>
      </c>
      <c r="Q220" s="541">
        <v>0.14288658305525045</v>
      </c>
      <c r="R220" s="541">
        <v>0.14288658305525045</v>
      </c>
      <c r="S220" s="541">
        <v>0.14288658305525045</v>
      </c>
      <c r="T220" s="541">
        <v>0.14288658305525045</v>
      </c>
      <c r="U220" s="541">
        <v>0.14288658305525045</v>
      </c>
      <c r="V220" s="541">
        <v>0.14288658305525045</v>
      </c>
      <c r="W220" s="541">
        <v>0.14288658305525045</v>
      </c>
      <c r="X220" s="541">
        <v>0.14288658305525045</v>
      </c>
      <c r="Y220" s="541">
        <v>0.14288658305525045</v>
      </c>
      <c r="Z220" s="541">
        <v>0.14288658305525045</v>
      </c>
      <c r="AA220" s="541">
        <v>0.14288658305525045</v>
      </c>
      <c r="AB220" s="541">
        <v>0.14288658305525045</v>
      </c>
      <c r="AC220" s="541">
        <v>0.14288658305525045</v>
      </c>
      <c r="AD220" s="541">
        <v>0.14288658305525045</v>
      </c>
      <c r="AE220" s="541">
        <v>0.14288658305525045</v>
      </c>
      <c r="AF220" s="541">
        <v>0.14288658305525045</v>
      </c>
      <c r="AG220" s="541">
        <v>0.14288658305525045</v>
      </c>
      <c r="AH220" s="541">
        <v>0.14288658305525045</v>
      </c>
      <c r="AI220" s="541">
        <v>0.14288658305525045</v>
      </c>
      <c r="AJ220" s="541">
        <v>0.14288658305525045</v>
      </c>
      <c r="AK220" s="541">
        <v>0.14288658305525045</v>
      </c>
      <c r="AL220" s="541"/>
      <c r="AM220" s="541"/>
      <c r="AN220" s="541"/>
      <c r="AO220" s="541"/>
      <c r="AP220" s="541"/>
      <c r="AQ220" s="541"/>
      <c r="AR220" s="541"/>
      <c r="AS220" s="541"/>
      <c r="AT220" s="541"/>
      <c r="AU220" s="541"/>
      <c r="AV220" s="541"/>
      <c r="AW220" s="541"/>
      <c r="AX220" s="541"/>
      <c r="AY220" s="541"/>
      <c r="AZ220" s="541"/>
      <c r="BA220" s="541"/>
      <c r="BB220" s="541"/>
      <c r="BC220" s="541"/>
      <c r="BD220" s="541"/>
      <c r="BE220" s="541"/>
      <c r="BF220" s="541"/>
      <c r="BG220" s="541"/>
      <c r="BH220" s="541"/>
      <c r="BI220" s="541"/>
      <c r="BJ220" s="541"/>
      <c r="BK220" s="541"/>
      <c r="BL220" s="541"/>
      <c r="BM220" s="541"/>
      <c r="BN220" s="541"/>
      <c r="BO220" s="541"/>
      <c r="BP220" s="541"/>
      <c r="BQ220" s="541"/>
      <c r="BR220" s="541"/>
      <c r="BS220" s="541"/>
      <c r="BT220" s="541"/>
      <c r="BU220" s="541"/>
      <c r="BV220" s="541"/>
      <c r="BW220" s="541"/>
      <c r="BX220" s="541"/>
      <c r="BY220" s="541"/>
      <c r="BZ220" s="541"/>
      <c r="CA220" s="541"/>
      <c r="CB220" s="541"/>
      <c r="CC220" s="541"/>
      <c r="CD220" s="541"/>
      <c r="CE220" s="541"/>
      <c r="CF220" s="541"/>
      <c r="CG220" s="541"/>
      <c r="CH220" s="541"/>
      <c r="CI220" s="541"/>
      <c r="CK220" s="1293"/>
    </row>
    <row r="221" spans="1:89" s="1292" customFormat="1" x14ac:dyDescent="0.2">
      <c r="A221" s="1284"/>
      <c r="B221" s="824" t="s">
        <v>482</v>
      </c>
      <c r="C221" s="825" t="s">
        <v>483</v>
      </c>
      <c r="D221" s="821" t="s">
        <v>86</v>
      </c>
      <c r="E221" s="822" t="s">
        <v>236</v>
      </c>
      <c r="F221" s="823">
        <v>2</v>
      </c>
      <c r="G221" s="540"/>
      <c r="H221" s="540"/>
      <c r="I221" s="540">
        <v>88.04</v>
      </c>
      <c r="J221" s="540">
        <v>88.04</v>
      </c>
      <c r="K221" s="540">
        <v>88.04</v>
      </c>
      <c r="L221" s="540">
        <v>88.04</v>
      </c>
      <c r="M221" s="1342">
        <v>88.04</v>
      </c>
      <c r="N221" s="1342">
        <v>88.04</v>
      </c>
      <c r="O221" s="1342">
        <v>88.04</v>
      </c>
      <c r="P221" s="1342">
        <v>88.04</v>
      </c>
      <c r="Q221" s="1342">
        <v>88.04</v>
      </c>
      <c r="R221" s="1342">
        <v>88.04</v>
      </c>
      <c r="S221" s="1342">
        <v>88.04</v>
      </c>
      <c r="T221" s="1342">
        <v>88.04</v>
      </c>
      <c r="U221" s="1342">
        <v>88.04</v>
      </c>
      <c r="V221" s="1342">
        <v>88.04</v>
      </c>
      <c r="W221" s="1342">
        <v>88.04</v>
      </c>
      <c r="X221" s="1342">
        <v>88.04</v>
      </c>
      <c r="Y221" s="1342">
        <v>88.04</v>
      </c>
      <c r="Z221" s="1342">
        <v>88.04</v>
      </c>
      <c r="AA221" s="1342">
        <v>88.04</v>
      </c>
      <c r="AB221" s="1342">
        <v>88.04</v>
      </c>
      <c r="AC221" s="1342">
        <v>88.04</v>
      </c>
      <c r="AD221" s="1342">
        <v>88.04</v>
      </c>
      <c r="AE221" s="1342">
        <v>88.04</v>
      </c>
      <c r="AF221" s="1342">
        <v>88.04</v>
      </c>
      <c r="AG221" s="1342">
        <v>88.04</v>
      </c>
      <c r="AH221" s="1342">
        <v>88.04</v>
      </c>
      <c r="AI221" s="1342">
        <v>88.04</v>
      </c>
      <c r="AJ221" s="1342">
        <v>88.04</v>
      </c>
      <c r="AK221" s="1342">
        <v>88.04</v>
      </c>
      <c r="AL221" s="1342"/>
      <c r="AM221" s="1342"/>
      <c r="AN221" s="1342"/>
      <c r="AO221" s="1342"/>
      <c r="AP221" s="1342"/>
      <c r="AQ221" s="1342"/>
      <c r="AR221" s="1342"/>
      <c r="AS221" s="1342"/>
      <c r="AT221" s="1342"/>
      <c r="AU221" s="1342"/>
      <c r="AV221" s="1342"/>
      <c r="AW221" s="1342"/>
      <c r="AX221" s="1342"/>
      <c r="AY221" s="1342"/>
      <c r="AZ221" s="1342"/>
      <c r="BA221" s="1342"/>
      <c r="BB221" s="1342"/>
      <c r="BC221" s="1342"/>
      <c r="BD221" s="1342"/>
      <c r="BE221" s="1342"/>
      <c r="BF221" s="1342"/>
      <c r="BG221" s="1342"/>
      <c r="BH221" s="1342"/>
      <c r="BI221" s="1342"/>
      <c r="BJ221" s="1342"/>
      <c r="BK221" s="1342"/>
      <c r="BL221" s="1342"/>
      <c r="BM221" s="1342"/>
      <c r="BN221" s="1342"/>
      <c r="BO221" s="1342"/>
      <c r="BP221" s="1342"/>
      <c r="BQ221" s="1342"/>
      <c r="BR221" s="1342"/>
      <c r="BS221" s="1342"/>
      <c r="BT221" s="1342"/>
      <c r="BU221" s="1342"/>
      <c r="BV221" s="1342"/>
      <c r="BW221" s="1342"/>
      <c r="BX221" s="1342"/>
      <c r="BY221" s="1342"/>
      <c r="BZ221" s="1342"/>
      <c r="CA221" s="1342"/>
      <c r="CB221" s="1342"/>
      <c r="CC221" s="1342"/>
      <c r="CD221" s="1342"/>
      <c r="CE221" s="1342"/>
      <c r="CF221" s="1342"/>
      <c r="CG221" s="1342"/>
      <c r="CH221" s="1342"/>
      <c r="CI221" s="1342"/>
      <c r="CK221" s="1293"/>
    </row>
    <row r="222" spans="1:89" s="1292" customFormat="1" x14ac:dyDescent="0.2">
      <c r="A222" s="1284"/>
      <c r="B222" s="826" t="s">
        <v>484</v>
      </c>
      <c r="C222" s="827" t="s">
        <v>387</v>
      </c>
      <c r="D222" s="827" t="s">
        <v>485</v>
      </c>
      <c r="E222" s="828" t="s">
        <v>236</v>
      </c>
      <c r="F222" s="823">
        <v>2</v>
      </c>
      <c r="G222" s="547">
        <f>(G211+G213)-(G220+G221)</f>
        <v>0</v>
      </c>
      <c r="H222" s="547">
        <f t="shared" ref="H222:AK222" si="88">(H211+H213)-(H220+H221)</f>
        <v>0</v>
      </c>
      <c r="I222" s="547">
        <f>(I211+I213)-(I220+I221)</f>
        <v>513.31711341694472</v>
      </c>
      <c r="J222" s="547">
        <f t="shared" si="88"/>
        <v>513.31711341694472</v>
      </c>
      <c r="K222" s="547">
        <f t="shared" si="88"/>
        <v>513.31711341694472</v>
      </c>
      <c r="L222" s="547">
        <f t="shared" si="88"/>
        <v>513.31711341694472</v>
      </c>
      <c r="M222" s="552">
        <f t="shared" si="88"/>
        <v>513.31711341694472</v>
      </c>
      <c r="N222" s="552">
        <f t="shared" si="88"/>
        <v>513.31711341694472</v>
      </c>
      <c r="O222" s="552">
        <f t="shared" si="88"/>
        <v>513.31711341694472</v>
      </c>
      <c r="P222" s="552">
        <f t="shared" si="88"/>
        <v>513.31711341694472</v>
      </c>
      <c r="Q222" s="552">
        <f t="shared" si="88"/>
        <v>513.31711341694472</v>
      </c>
      <c r="R222" s="552">
        <f t="shared" si="88"/>
        <v>508.31711341694472</v>
      </c>
      <c r="S222" s="552">
        <f t="shared" si="88"/>
        <v>508.31711341694472</v>
      </c>
      <c r="T222" s="552">
        <f t="shared" si="88"/>
        <v>508.31711341694472</v>
      </c>
      <c r="U222" s="552">
        <f t="shared" si="88"/>
        <v>508.31711341694472</v>
      </c>
      <c r="V222" s="552">
        <f t="shared" si="88"/>
        <v>508.31711341694472</v>
      </c>
      <c r="W222" s="552">
        <f t="shared" si="88"/>
        <v>508.31711341694472</v>
      </c>
      <c r="X222" s="552">
        <f t="shared" si="88"/>
        <v>508.31711341694472</v>
      </c>
      <c r="Y222" s="552">
        <f t="shared" si="88"/>
        <v>508.31711341694472</v>
      </c>
      <c r="Z222" s="552">
        <f t="shared" si="88"/>
        <v>508.31711341694472</v>
      </c>
      <c r="AA222" s="552">
        <f t="shared" si="88"/>
        <v>508.31711341694472</v>
      </c>
      <c r="AB222" s="552">
        <f t="shared" si="88"/>
        <v>506.31711341694472</v>
      </c>
      <c r="AC222" s="552">
        <f t="shared" si="88"/>
        <v>506.31711341694472</v>
      </c>
      <c r="AD222" s="552">
        <f t="shared" si="88"/>
        <v>506.31711341694472</v>
      </c>
      <c r="AE222" s="552">
        <f t="shared" si="88"/>
        <v>506.31711341694472</v>
      </c>
      <c r="AF222" s="552">
        <f t="shared" si="88"/>
        <v>506.31711341694472</v>
      </c>
      <c r="AG222" s="552">
        <f t="shared" si="88"/>
        <v>506.31711341694472</v>
      </c>
      <c r="AH222" s="552">
        <f t="shared" si="88"/>
        <v>506.31711341694472</v>
      </c>
      <c r="AI222" s="552">
        <f t="shared" si="88"/>
        <v>506.31711341694472</v>
      </c>
      <c r="AJ222" s="552">
        <f t="shared" si="88"/>
        <v>506.31711341694472</v>
      </c>
      <c r="AK222" s="552">
        <f t="shared" si="88"/>
        <v>506.31711341694472</v>
      </c>
      <c r="AL222" s="552"/>
      <c r="AM222" s="552"/>
      <c r="AN222" s="552"/>
      <c r="AO222" s="552"/>
      <c r="AP222" s="552"/>
      <c r="AQ222" s="552"/>
      <c r="AR222" s="552"/>
      <c r="AS222" s="552"/>
      <c r="AT222" s="552"/>
      <c r="AU222" s="552"/>
      <c r="AV222" s="552"/>
      <c r="AW222" s="552"/>
      <c r="AX222" s="552"/>
      <c r="AY222" s="552"/>
      <c r="AZ222" s="552"/>
      <c r="BA222" s="552"/>
      <c r="BB222" s="552"/>
      <c r="BC222" s="552"/>
      <c r="BD222" s="552"/>
      <c r="BE222" s="552"/>
      <c r="BF222" s="552"/>
      <c r="BG222" s="552"/>
      <c r="BH222" s="552"/>
      <c r="BI222" s="552"/>
      <c r="BJ222" s="552"/>
      <c r="BK222" s="552"/>
      <c r="BL222" s="552"/>
      <c r="BM222" s="552"/>
      <c r="BN222" s="552"/>
      <c r="BO222" s="552"/>
      <c r="BP222" s="552"/>
      <c r="BQ222" s="552"/>
      <c r="BR222" s="552"/>
      <c r="BS222" s="552"/>
      <c r="BT222" s="552"/>
      <c r="BU222" s="552"/>
      <c r="BV222" s="552"/>
      <c r="BW222" s="552"/>
      <c r="BX222" s="552"/>
      <c r="BY222" s="552"/>
      <c r="BZ222" s="552"/>
      <c r="CA222" s="552"/>
      <c r="CB222" s="552"/>
      <c r="CC222" s="552"/>
      <c r="CD222" s="552"/>
      <c r="CE222" s="552"/>
      <c r="CF222" s="552"/>
      <c r="CG222" s="552"/>
      <c r="CH222" s="552"/>
      <c r="CI222" s="548"/>
      <c r="CK222" s="1293"/>
    </row>
    <row r="223" spans="1:89" s="1292" customFormat="1" ht="32.85" customHeight="1" thickBot="1" x14ac:dyDescent="0.25">
      <c r="A223" s="1284"/>
      <c r="B223" s="829" t="s">
        <v>486</v>
      </c>
      <c r="C223" s="830" t="s">
        <v>390</v>
      </c>
      <c r="D223" s="830" t="s">
        <v>487</v>
      </c>
      <c r="E223" s="831" t="s">
        <v>236</v>
      </c>
      <c r="F223" s="832">
        <v>2</v>
      </c>
      <c r="G223" s="559">
        <f>G222+SUM(G207:G210)</f>
        <v>0</v>
      </c>
      <c r="H223" s="559">
        <f t="shared" ref="H223:AK223" si="89">H222+SUM(H207:H210)</f>
        <v>0</v>
      </c>
      <c r="I223" s="559">
        <f t="shared" si="89"/>
        <v>486.31576232105431</v>
      </c>
      <c r="J223" s="559">
        <f t="shared" si="89"/>
        <v>486.31576232105431</v>
      </c>
      <c r="K223" s="559">
        <f t="shared" si="89"/>
        <v>486.31576232105431</v>
      </c>
      <c r="L223" s="559">
        <f t="shared" si="89"/>
        <v>485.97775074561082</v>
      </c>
      <c r="M223" s="559">
        <f t="shared" si="89"/>
        <v>485.64159880334489</v>
      </c>
      <c r="N223" s="559">
        <f t="shared" si="89"/>
        <v>483.82125374308856</v>
      </c>
      <c r="O223" s="559">
        <f t="shared" si="89"/>
        <v>483.49068070035543</v>
      </c>
      <c r="P223" s="559">
        <f t="shared" si="89"/>
        <v>483.15941029518069</v>
      </c>
      <c r="Q223" s="559">
        <f t="shared" si="89"/>
        <v>482.82953461488921</v>
      </c>
      <c r="R223" s="559">
        <f t="shared" si="89"/>
        <v>477.50012384289209</v>
      </c>
      <c r="S223" s="559">
        <f t="shared" si="89"/>
        <v>477.16931834601178</v>
      </c>
      <c r="T223" s="559">
        <f t="shared" si="89"/>
        <v>476.8406049364562</v>
      </c>
      <c r="U223" s="559">
        <f t="shared" si="89"/>
        <v>476.51003189372312</v>
      </c>
      <c r="V223" s="559">
        <f t="shared" si="89"/>
        <v>478.01003189372312</v>
      </c>
      <c r="W223" s="559">
        <f t="shared" si="89"/>
        <v>498.0123564351951</v>
      </c>
      <c r="X223" s="559">
        <f t="shared" si="89"/>
        <v>498.0123564351951</v>
      </c>
      <c r="Y223" s="559">
        <f t="shared" si="89"/>
        <v>498.0123564351951</v>
      </c>
      <c r="Z223" s="559">
        <f t="shared" si="89"/>
        <v>498.0123564351951</v>
      </c>
      <c r="AA223" s="559">
        <f t="shared" si="89"/>
        <v>498.0123564351951</v>
      </c>
      <c r="AB223" s="559">
        <f t="shared" si="89"/>
        <v>496.01468097666714</v>
      </c>
      <c r="AC223" s="559">
        <f t="shared" si="89"/>
        <v>496.01468097666714</v>
      </c>
      <c r="AD223" s="559">
        <f t="shared" si="89"/>
        <v>496.01468097666714</v>
      </c>
      <c r="AE223" s="559">
        <f t="shared" si="89"/>
        <v>496.01468097666714</v>
      </c>
      <c r="AF223" s="559">
        <f t="shared" si="89"/>
        <v>496.01468097666714</v>
      </c>
      <c r="AG223" s="559">
        <f t="shared" si="89"/>
        <v>496.01468097666714</v>
      </c>
      <c r="AH223" s="559">
        <f t="shared" si="89"/>
        <v>496.01468097666714</v>
      </c>
      <c r="AI223" s="559">
        <f t="shared" si="89"/>
        <v>496.01700551813911</v>
      </c>
      <c r="AJ223" s="559">
        <f t="shared" si="89"/>
        <v>496.01700551813911</v>
      </c>
      <c r="AK223" s="559">
        <f t="shared" si="89"/>
        <v>496.01700551813911</v>
      </c>
      <c r="AL223" s="559"/>
      <c r="AM223" s="559"/>
      <c r="AN223" s="559"/>
      <c r="AO223" s="559"/>
      <c r="AP223" s="559"/>
      <c r="AQ223" s="559"/>
      <c r="AR223" s="559"/>
      <c r="AS223" s="559"/>
      <c r="AT223" s="559"/>
      <c r="AU223" s="559"/>
      <c r="AV223" s="559"/>
      <c r="AW223" s="559"/>
      <c r="AX223" s="559"/>
      <c r="AY223" s="559"/>
      <c r="AZ223" s="559"/>
      <c r="BA223" s="559"/>
      <c r="BB223" s="559"/>
      <c r="BC223" s="559"/>
      <c r="BD223" s="559"/>
      <c r="BE223" s="559"/>
      <c r="BF223" s="559"/>
      <c r="BG223" s="559"/>
      <c r="BH223" s="559"/>
      <c r="BI223" s="559"/>
      <c r="BJ223" s="559"/>
      <c r="BK223" s="559"/>
      <c r="BL223" s="559"/>
      <c r="BM223" s="559"/>
      <c r="BN223" s="559"/>
      <c r="BO223" s="559"/>
      <c r="BP223" s="559"/>
      <c r="BQ223" s="559"/>
      <c r="BR223" s="559"/>
      <c r="BS223" s="559"/>
      <c r="BT223" s="559"/>
      <c r="BU223" s="559"/>
      <c r="BV223" s="559"/>
      <c r="BW223" s="559"/>
      <c r="BX223" s="559"/>
      <c r="BY223" s="559"/>
      <c r="BZ223" s="559"/>
      <c r="CA223" s="559"/>
      <c r="CB223" s="559"/>
      <c r="CC223" s="559"/>
      <c r="CD223" s="559"/>
      <c r="CE223" s="559"/>
      <c r="CF223" s="559"/>
      <c r="CG223" s="559"/>
      <c r="CH223" s="559"/>
      <c r="CI223" s="559"/>
      <c r="CK223" s="1293"/>
    </row>
    <row r="224" spans="1:89" s="1292" customFormat="1" x14ac:dyDescent="0.2">
      <c r="A224" s="1284"/>
      <c r="B224" s="833" t="s">
        <v>488</v>
      </c>
      <c r="C224" s="834" t="s">
        <v>489</v>
      </c>
      <c r="D224" s="839" t="s">
        <v>783</v>
      </c>
      <c r="E224" s="835" t="s">
        <v>236</v>
      </c>
      <c r="F224" s="836">
        <v>2</v>
      </c>
      <c r="G224" s="532"/>
      <c r="H224" s="532"/>
      <c r="I224" s="532">
        <v>51.907506962385213</v>
      </c>
      <c r="J224" s="532">
        <v>51.097466225332852</v>
      </c>
      <c r="K224" s="532">
        <v>53.590736314624273</v>
      </c>
      <c r="L224" s="532">
        <v>56.041172291154297</v>
      </c>
      <c r="M224" s="533">
        <v>60.424651380089699</v>
      </c>
      <c r="N224" s="533">
        <v>61.243612584331785</v>
      </c>
      <c r="O224" s="533">
        <v>60.438699875500376</v>
      </c>
      <c r="P224" s="533">
        <v>61.839929022221277</v>
      </c>
      <c r="Q224" s="533">
        <v>62.715269667141939</v>
      </c>
      <c r="R224" s="533">
        <v>63.179060276590882</v>
      </c>
      <c r="S224" s="533">
        <v>63.17906369442278</v>
      </c>
      <c r="T224" s="533">
        <v>63.523012264678641</v>
      </c>
      <c r="U224" s="533">
        <v>63.704944397958755</v>
      </c>
      <c r="V224" s="533">
        <v>63.568788304224014</v>
      </c>
      <c r="W224" s="533">
        <v>63.296328590047281</v>
      </c>
      <c r="X224" s="533">
        <v>62.685975698455472</v>
      </c>
      <c r="Y224" s="533">
        <v>62.119658404129019</v>
      </c>
      <c r="Z224" s="533">
        <v>61.597634417163135</v>
      </c>
      <c r="AA224" s="533">
        <v>61.590187059702139</v>
      </c>
      <c r="AB224" s="533">
        <v>61.582677127841528</v>
      </c>
      <c r="AC224" s="533">
        <v>61.573501286338242</v>
      </c>
      <c r="AD224" s="533">
        <v>61.563450913029939</v>
      </c>
      <c r="AE224" s="533">
        <v>61.553843667017546</v>
      </c>
      <c r="AF224" s="533">
        <v>61.54681870166354</v>
      </c>
      <c r="AG224" s="533">
        <v>61.541454839883521</v>
      </c>
      <c r="AH224" s="533">
        <v>61.536742202107824</v>
      </c>
      <c r="AI224" s="533">
        <v>61.532595400404389</v>
      </c>
      <c r="AJ224" s="533">
        <v>61.529364740911753</v>
      </c>
      <c r="AK224" s="533">
        <v>61.526472854751923</v>
      </c>
      <c r="AL224" s="533"/>
      <c r="AM224" s="533"/>
      <c r="AN224" s="533"/>
      <c r="AO224" s="533"/>
      <c r="AP224" s="533"/>
      <c r="AQ224" s="533"/>
      <c r="AR224" s="533"/>
      <c r="AS224" s="533"/>
      <c r="AT224" s="533"/>
      <c r="AU224" s="533"/>
      <c r="AV224" s="533"/>
      <c r="AW224" s="533"/>
      <c r="AX224" s="533"/>
      <c r="AY224" s="533"/>
      <c r="AZ224" s="533"/>
      <c r="BA224" s="533"/>
      <c r="BB224" s="533"/>
      <c r="BC224" s="533"/>
      <c r="BD224" s="533"/>
      <c r="BE224" s="533"/>
      <c r="BF224" s="533"/>
      <c r="BG224" s="533"/>
      <c r="BH224" s="533"/>
      <c r="BI224" s="533"/>
      <c r="BJ224" s="533"/>
      <c r="BK224" s="533"/>
      <c r="BL224" s="533"/>
      <c r="BM224" s="533"/>
      <c r="BN224" s="533"/>
      <c r="BO224" s="533"/>
      <c r="BP224" s="533"/>
      <c r="BQ224" s="533"/>
      <c r="BR224" s="533"/>
      <c r="BS224" s="533"/>
      <c r="BT224" s="533"/>
      <c r="BU224" s="533"/>
      <c r="BV224" s="533"/>
      <c r="BW224" s="533"/>
      <c r="BX224" s="533"/>
      <c r="BY224" s="533"/>
      <c r="BZ224" s="533"/>
      <c r="CA224" s="533"/>
      <c r="CB224" s="533"/>
      <c r="CC224" s="533"/>
      <c r="CD224" s="533"/>
      <c r="CE224" s="533"/>
      <c r="CF224" s="533"/>
      <c r="CG224" s="533"/>
      <c r="CH224" s="533"/>
      <c r="CI224" s="534"/>
      <c r="CK224" s="1293"/>
    </row>
    <row r="225" spans="1:89" s="1292" customFormat="1" x14ac:dyDescent="0.2">
      <c r="A225" s="1284"/>
      <c r="B225" s="837" t="s">
        <v>490</v>
      </c>
      <c r="C225" s="838" t="s">
        <v>705</v>
      </c>
      <c r="D225" s="839" t="s">
        <v>86</v>
      </c>
      <c r="E225" s="840" t="s">
        <v>236</v>
      </c>
      <c r="F225" s="841">
        <v>2</v>
      </c>
      <c r="G225" s="1008"/>
      <c r="H225" s="1008"/>
      <c r="I225" s="1008"/>
      <c r="J225" s="1008"/>
      <c r="K225" s="1008"/>
      <c r="L225" s="1008"/>
      <c r="M225" s="1009"/>
      <c r="N225" s="1009"/>
      <c r="O225" s="1009"/>
      <c r="P225" s="1009"/>
      <c r="Q225" s="1009"/>
      <c r="R225" s="1009"/>
      <c r="S225" s="1009"/>
      <c r="T225" s="1009"/>
      <c r="U225" s="1009"/>
      <c r="V225" s="1009"/>
      <c r="W225" s="1009"/>
      <c r="X225" s="1009"/>
      <c r="Y225" s="1009"/>
      <c r="Z225" s="1009"/>
      <c r="AA225" s="1009"/>
      <c r="AB225" s="1009"/>
      <c r="AC225" s="1009"/>
      <c r="AD225" s="1009"/>
      <c r="AE225" s="1009"/>
      <c r="AF225" s="1009"/>
      <c r="AG225" s="1009"/>
      <c r="AH225" s="1009"/>
      <c r="AI225" s="1009"/>
      <c r="AJ225" s="1009"/>
      <c r="AK225" s="1009"/>
      <c r="AL225" s="1009"/>
      <c r="AM225" s="1009"/>
      <c r="AN225" s="1009"/>
      <c r="AO225" s="1009"/>
      <c r="AP225" s="1009"/>
      <c r="AQ225" s="1009"/>
      <c r="AR225" s="1009"/>
      <c r="AS225" s="1009"/>
      <c r="AT225" s="1009"/>
      <c r="AU225" s="1009"/>
      <c r="AV225" s="1009"/>
      <c r="AW225" s="1009"/>
      <c r="AX225" s="1009"/>
      <c r="AY225" s="1009"/>
      <c r="AZ225" s="1009"/>
      <c r="BA225" s="1009"/>
      <c r="BB225" s="1009"/>
      <c r="BC225" s="1009"/>
      <c r="BD225" s="1009"/>
      <c r="BE225" s="1009"/>
      <c r="BF225" s="1009"/>
      <c r="BG225" s="1009"/>
      <c r="BH225" s="1009"/>
      <c r="BI225" s="1009"/>
      <c r="BJ225" s="1009"/>
      <c r="BK225" s="1009"/>
      <c r="BL225" s="1009"/>
      <c r="BM225" s="1009"/>
      <c r="BN225" s="1009"/>
      <c r="BO225" s="1009"/>
      <c r="BP225" s="1009"/>
      <c r="BQ225" s="1009"/>
      <c r="BR225" s="1009"/>
      <c r="BS225" s="1009"/>
      <c r="BT225" s="1009"/>
      <c r="BU225" s="1009"/>
      <c r="BV225" s="1009"/>
      <c r="BW225" s="1009"/>
      <c r="BX225" s="1009"/>
      <c r="BY225" s="1009"/>
      <c r="BZ225" s="1009"/>
      <c r="CA225" s="1009"/>
      <c r="CB225" s="1009"/>
      <c r="CC225" s="1009"/>
      <c r="CD225" s="1009"/>
      <c r="CE225" s="1009"/>
      <c r="CF225" s="1009"/>
      <c r="CG225" s="1009"/>
      <c r="CH225" s="1009"/>
      <c r="CI225" s="1010"/>
      <c r="CK225" s="1293"/>
    </row>
    <row r="226" spans="1:89" s="1292" customFormat="1" x14ac:dyDescent="0.2">
      <c r="A226" s="1284"/>
      <c r="B226" s="837" t="s">
        <v>492</v>
      </c>
      <c r="C226" s="838" t="s">
        <v>493</v>
      </c>
      <c r="D226" s="839" t="s">
        <v>783</v>
      </c>
      <c r="E226" s="840" t="s">
        <v>236</v>
      </c>
      <c r="F226" s="841">
        <v>2</v>
      </c>
      <c r="G226" s="540"/>
      <c r="H226" s="540"/>
      <c r="I226" s="540">
        <v>0.96834019650590819</v>
      </c>
      <c r="J226" s="540">
        <v>0.96149187075335063</v>
      </c>
      <c r="K226" s="540">
        <v>0.94933810018513609</v>
      </c>
      <c r="L226" s="540">
        <v>0.93721838003333457</v>
      </c>
      <c r="M226" s="544">
        <v>1.0810664533764061</v>
      </c>
      <c r="N226" s="544">
        <v>1.0734583323058002</v>
      </c>
      <c r="O226" s="544">
        <v>1.0658502112351944</v>
      </c>
      <c r="P226" s="544">
        <v>1.0582420901645884</v>
      </c>
      <c r="Q226" s="544">
        <v>1.0530115069285468</v>
      </c>
      <c r="R226" s="544">
        <v>1.0477809236925053</v>
      </c>
      <c r="S226" s="544">
        <v>1.0444523707241153</v>
      </c>
      <c r="T226" s="544">
        <v>1.0411238177557252</v>
      </c>
      <c r="U226" s="544">
        <v>1.0377952647873352</v>
      </c>
      <c r="V226" s="544">
        <v>1.034466711818945</v>
      </c>
      <c r="W226" s="544">
        <v>1.031138158850555</v>
      </c>
      <c r="X226" s="544">
        <v>1.0278096058821649</v>
      </c>
      <c r="Y226" s="544">
        <v>1.0244810529137749</v>
      </c>
      <c r="Z226" s="544">
        <v>1.0211524999453847</v>
      </c>
      <c r="AA226" s="544">
        <v>1.0178239469769947</v>
      </c>
      <c r="AB226" s="544">
        <v>1.0144953940086046</v>
      </c>
      <c r="AC226" s="544">
        <v>1.0111668410402146</v>
      </c>
      <c r="AD226" s="544">
        <v>1.0078382880718244</v>
      </c>
      <c r="AE226" s="544">
        <v>1.0045097351034344</v>
      </c>
      <c r="AF226" s="544">
        <v>1.0011811821350443</v>
      </c>
      <c r="AG226" s="544">
        <v>0.99785262916665418</v>
      </c>
      <c r="AH226" s="544">
        <v>0.99452407619826411</v>
      </c>
      <c r="AI226" s="544">
        <v>0.99119552322987403</v>
      </c>
      <c r="AJ226" s="544">
        <v>0.98786697026148396</v>
      </c>
      <c r="AK226" s="544">
        <v>0.98453841729309388</v>
      </c>
      <c r="AL226" s="544"/>
      <c r="AM226" s="544"/>
      <c r="AN226" s="544"/>
      <c r="AO226" s="544"/>
      <c r="AP226" s="544"/>
      <c r="AQ226" s="544"/>
      <c r="AR226" s="544"/>
      <c r="AS226" s="544"/>
      <c r="AT226" s="544"/>
      <c r="AU226" s="544"/>
      <c r="AV226" s="544"/>
      <c r="AW226" s="544"/>
      <c r="AX226" s="544"/>
      <c r="AY226" s="544"/>
      <c r="AZ226" s="544"/>
      <c r="BA226" s="544"/>
      <c r="BB226" s="544"/>
      <c r="BC226" s="544"/>
      <c r="BD226" s="544"/>
      <c r="BE226" s="544"/>
      <c r="BF226" s="544"/>
      <c r="BG226" s="544"/>
      <c r="BH226" s="544"/>
      <c r="BI226" s="544"/>
      <c r="BJ226" s="544"/>
      <c r="BK226" s="544"/>
      <c r="BL226" s="544"/>
      <c r="BM226" s="544"/>
      <c r="BN226" s="544"/>
      <c r="BO226" s="544"/>
      <c r="BP226" s="544"/>
      <c r="BQ226" s="544"/>
      <c r="BR226" s="544"/>
      <c r="BS226" s="544"/>
      <c r="BT226" s="544"/>
      <c r="BU226" s="544"/>
      <c r="BV226" s="544"/>
      <c r="BW226" s="544"/>
      <c r="BX226" s="544"/>
      <c r="BY226" s="544"/>
      <c r="BZ226" s="544"/>
      <c r="CA226" s="544"/>
      <c r="CB226" s="544"/>
      <c r="CC226" s="544"/>
      <c r="CD226" s="544"/>
      <c r="CE226" s="544"/>
      <c r="CF226" s="544"/>
      <c r="CG226" s="544"/>
      <c r="CH226" s="544"/>
      <c r="CI226" s="545"/>
      <c r="CK226" s="1293"/>
    </row>
    <row r="227" spans="1:89" s="1292" customFormat="1" x14ac:dyDescent="0.2">
      <c r="A227" s="1284"/>
      <c r="B227" s="837" t="s">
        <v>494</v>
      </c>
      <c r="C227" s="838" t="s">
        <v>495</v>
      </c>
      <c r="D227" s="839" t="s">
        <v>783</v>
      </c>
      <c r="E227" s="840" t="s">
        <v>236</v>
      </c>
      <c r="F227" s="841">
        <v>2</v>
      </c>
      <c r="G227" s="540"/>
      <c r="H227" s="540"/>
      <c r="I227" s="540">
        <v>193.06968281289173</v>
      </c>
      <c r="J227" s="540">
        <v>193.84528002434783</v>
      </c>
      <c r="K227" s="540">
        <v>198.50959180268279</v>
      </c>
      <c r="L227" s="540">
        <v>203.48618848930997</v>
      </c>
      <c r="M227" s="544">
        <v>216.84900982493556</v>
      </c>
      <c r="N227" s="544">
        <v>233.79179320823701</v>
      </c>
      <c r="O227" s="544">
        <v>244.43180396424782</v>
      </c>
      <c r="P227" s="544">
        <v>249.60748808083309</v>
      </c>
      <c r="Q227" s="544">
        <v>253.99281421519098</v>
      </c>
      <c r="R227" s="544">
        <v>257.09303340937919</v>
      </c>
      <c r="S227" s="544">
        <v>259.95960417997685</v>
      </c>
      <c r="T227" s="544">
        <v>262.21534107592436</v>
      </c>
      <c r="U227" s="544">
        <v>264.57153567300026</v>
      </c>
      <c r="V227" s="544">
        <v>266.84418074431835</v>
      </c>
      <c r="W227" s="544">
        <v>269.08012180018915</v>
      </c>
      <c r="X227" s="544">
        <v>271.07564798355429</v>
      </c>
      <c r="Y227" s="544">
        <v>273.26297122088437</v>
      </c>
      <c r="Z227" s="544">
        <v>275.59877230854363</v>
      </c>
      <c r="AA227" s="544">
        <v>278.00825466342809</v>
      </c>
      <c r="AB227" s="544">
        <v>280.05128524621148</v>
      </c>
      <c r="AC227" s="544">
        <v>282.47680474036758</v>
      </c>
      <c r="AD227" s="544">
        <v>285.01546943414718</v>
      </c>
      <c r="AE227" s="544">
        <v>287.65977913603024</v>
      </c>
      <c r="AF227" s="544">
        <v>290.41590750824594</v>
      </c>
      <c r="AG227" s="544">
        <v>293.20213671872853</v>
      </c>
      <c r="AH227" s="544">
        <v>296.07539827980054</v>
      </c>
      <c r="AI227" s="544">
        <v>299.03157081759258</v>
      </c>
      <c r="AJ227" s="544">
        <v>302.06555152125918</v>
      </c>
      <c r="AK227" s="544">
        <v>305.12112909310088</v>
      </c>
      <c r="AL227" s="544"/>
      <c r="AM227" s="544"/>
      <c r="AN227" s="544"/>
      <c r="AO227" s="544"/>
      <c r="AP227" s="544"/>
      <c r="AQ227" s="544"/>
      <c r="AR227" s="544"/>
      <c r="AS227" s="544"/>
      <c r="AT227" s="544"/>
      <c r="AU227" s="544"/>
      <c r="AV227" s="544"/>
      <c r="AW227" s="544"/>
      <c r="AX227" s="544"/>
      <c r="AY227" s="544"/>
      <c r="AZ227" s="544"/>
      <c r="BA227" s="544"/>
      <c r="BB227" s="544"/>
      <c r="BC227" s="544"/>
      <c r="BD227" s="544"/>
      <c r="BE227" s="544"/>
      <c r="BF227" s="544"/>
      <c r="BG227" s="544"/>
      <c r="BH227" s="544"/>
      <c r="BI227" s="544"/>
      <c r="BJ227" s="544"/>
      <c r="BK227" s="544"/>
      <c r="BL227" s="544"/>
      <c r="BM227" s="544"/>
      <c r="BN227" s="544"/>
      <c r="BO227" s="544"/>
      <c r="BP227" s="544"/>
      <c r="BQ227" s="544"/>
      <c r="BR227" s="544"/>
      <c r="BS227" s="544"/>
      <c r="BT227" s="544"/>
      <c r="BU227" s="544"/>
      <c r="BV227" s="544"/>
      <c r="BW227" s="544"/>
      <c r="BX227" s="544"/>
      <c r="BY227" s="544"/>
      <c r="BZ227" s="544"/>
      <c r="CA227" s="544"/>
      <c r="CB227" s="544"/>
      <c r="CC227" s="544"/>
      <c r="CD227" s="544"/>
      <c r="CE227" s="544"/>
      <c r="CF227" s="544"/>
      <c r="CG227" s="544"/>
      <c r="CH227" s="544"/>
      <c r="CI227" s="545"/>
      <c r="CK227" s="1293"/>
    </row>
    <row r="228" spans="1:89" s="1294" customFormat="1" x14ac:dyDescent="0.2">
      <c r="A228" s="1284"/>
      <c r="B228" s="837" t="s">
        <v>496</v>
      </c>
      <c r="C228" s="838" t="s">
        <v>497</v>
      </c>
      <c r="D228" s="839" t="s">
        <v>783</v>
      </c>
      <c r="E228" s="840" t="s">
        <v>236</v>
      </c>
      <c r="F228" s="841">
        <v>2</v>
      </c>
      <c r="G228" s="540"/>
      <c r="H228" s="540"/>
      <c r="I228" s="540">
        <v>199.62638002621438</v>
      </c>
      <c r="J228" s="540">
        <v>191.66163825975897</v>
      </c>
      <c r="K228" s="540">
        <v>183.75781518889193</v>
      </c>
      <c r="L228" s="540">
        <v>173.81241925387025</v>
      </c>
      <c r="M228" s="544">
        <v>157.59649324766599</v>
      </c>
      <c r="N228" s="544">
        <v>138.59727051115908</v>
      </c>
      <c r="O228" s="544">
        <v>129.02712110436693</v>
      </c>
      <c r="P228" s="544">
        <v>125.75239623322157</v>
      </c>
      <c r="Q228" s="544">
        <v>122.48085470081423</v>
      </c>
      <c r="R228" s="544">
        <v>119.81699253627205</v>
      </c>
      <c r="S228" s="544">
        <v>117.7362949507464</v>
      </c>
      <c r="T228" s="544">
        <v>115.68028546551972</v>
      </c>
      <c r="U228" s="544">
        <v>113.62984465092964</v>
      </c>
      <c r="V228" s="544">
        <v>111.61338667312273</v>
      </c>
      <c r="W228" s="544">
        <v>110.06339315977601</v>
      </c>
      <c r="X228" s="544">
        <v>108.98666657959869</v>
      </c>
      <c r="Y228" s="544">
        <v>107.92093457336958</v>
      </c>
      <c r="Z228" s="544">
        <v>106.88455536336789</v>
      </c>
      <c r="AA228" s="544">
        <v>105.85100664790799</v>
      </c>
      <c r="AB228" s="544">
        <v>104.83671098856037</v>
      </c>
      <c r="AC228" s="544">
        <v>103.83214691147755</v>
      </c>
      <c r="AD228" s="544">
        <v>102.86313323778222</v>
      </c>
      <c r="AE228" s="544">
        <v>101.90292869665851</v>
      </c>
      <c r="AF228" s="544">
        <v>100.96017253277888</v>
      </c>
      <c r="AG228" s="544">
        <v>100.02586621818384</v>
      </c>
      <c r="AH228" s="544">
        <v>99.125940148208315</v>
      </c>
      <c r="AI228" s="544">
        <v>98.233568779482837</v>
      </c>
      <c r="AJ228" s="544">
        <v>97.357340938676202</v>
      </c>
      <c r="AK228" s="544">
        <v>96.48815299872939</v>
      </c>
      <c r="AL228" s="544"/>
      <c r="AM228" s="544"/>
      <c r="AN228" s="544"/>
      <c r="AO228" s="544"/>
      <c r="AP228" s="544"/>
      <c r="AQ228" s="544"/>
      <c r="AR228" s="544"/>
      <c r="AS228" s="544"/>
      <c r="AT228" s="544"/>
      <c r="AU228" s="544"/>
      <c r="AV228" s="544"/>
      <c r="AW228" s="544"/>
      <c r="AX228" s="544"/>
      <c r="AY228" s="544"/>
      <c r="AZ228" s="544"/>
      <c r="BA228" s="544"/>
      <c r="BB228" s="544"/>
      <c r="BC228" s="544"/>
      <c r="BD228" s="544"/>
      <c r="BE228" s="544"/>
      <c r="BF228" s="544"/>
      <c r="BG228" s="544"/>
      <c r="BH228" s="544"/>
      <c r="BI228" s="544"/>
      <c r="BJ228" s="544"/>
      <c r="BK228" s="544"/>
      <c r="BL228" s="544"/>
      <c r="BM228" s="544"/>
      <c r="BN228" s="544"/>
      <c r="BO228" s="544"/>
      <c r="BP228" s="544"/>
      <c r="BQ228" s="544"/>
      <c r="BR228" s="544"/>
      <c r="BS228" s="544"/>
      <c r="BT228" s="544"/>
      <c r="BU228" s="544"/>
      <c r="BV228" s="544"/>
      <c r="BW228" s="544"/>
      <c r="BX228" s="544"/>
      <c r="BY228" s="544"/>
      <c r="BZ228" s="544"/>
      <c r="CA228" s="544"/>
      <c r="CB228" s="544"/>
      <c r="CC228" s="544"/>
      <c r="CD228" s="544"/>
      <c r="CE228" s="544"/>
      <c r="CF228" s="544"/>
      <c r="CG228" s="544"/>
      <c r="CH228" s="544"/>
      <c r="CI228" s="545"/>
      <c r="CK228" s="1295"/>
    </row>
    <row r="229" spans="1:89" s="1292" customFormat="1" ht="28.5" x14ac:dyDescent="0.2">
      <c r="A229" s="1284"/>
      <c r="B229" s="837" t="s">
        <v>498</v>
      </c>
      <c r="C229" s="838" t="s">
        <v>499</v>
      </c>
      <c r="D229" s="839" t="s">
        <v>86</v>
      </c>
      <c r="E229" s="840" t="s">
        <v>375</v>
      </c>
      <c r="F229" s="841">
        <v>1</v>
      </c>
      <c r="G229" s="568"/>
      <c r="H229" s="1326"/>
      <c r="I229" s="1326">
        <v>0</v>
      </c>
      <c r="J229" s="1326">
        <v>6.0040738255189791E-3</v>
      </c>
      <c r="K229" s="1326">
        <v>6.3175735574846122E-3</v>
      </c>
      <c r="L229" s="1326">
        <v>6.5399105400153036E-3</v>
      </c>
      <c r="M229" s="1327">
        <v>7.8436317936706416E-3</v>
      </c>
      <c r="N229" s="1327">
        <v>8.379022642860872E-3</v>
      </c>
      <c r="O229" s="1327">
        <v>8.9492659263386756E-3</v>
      </c>
      <c r="P229" s="1327">
        <v>9.4764133656212671E-3</v>
      </c>
      <c r="Q229" s="1327">
        <v>1.0014007828358292E-2</v>
      </c>
      <c r="R229" s="1327">
        <v>1.0636488036491308E-2</v>
      </c>
      <c r="S229" s="1327">
        <v>1.1193168524105793E-2</v>
      </c>
      <c r="T229" s="1327">
        <v>1.1732202706692542E-2</v>
      </c>
      <c r="U229" s="1327">
        <v>1.2282825214065441E-2</v>
      </c>
      <c r="V229" s="1327">
        <v>1.28375889581837E-2</v>
      </c>
      <c r="W229" s="1327">
        <v>1.3474564702301343E-2</v>
      </c>
      <c r="X229" s="1327">
        <v>1.4045149259711939E-2</v>
      </c>
      <c r="Y229" s="1327">
        <v>1.4607834279659688E-2</v>
      </c>
      <c r="Z229" s="1327">
        <v>1.5177274361388824E-2</v>
      </c>
      <c r="AA229" s="1327">
        <v>1.5728705540969588E-2</v>
      </c>
      <c r="AB229" s="1327">
        <v>1.6350566483696153E-2</v>
      </c>
      <c r="AC229" s="1327">
        <v>1.6881959792681357E-2</v>
      </c>
      <c r="AD229" s="1327">
        <v>1.7442552370564971E-2</v>
      </c>
      <c r="AE229" s="1327">
        <v>1.8002163044699954E-2</v>
      </c>
      <c r="AF229" s="1327">
        <v>1.8560877708068448E-2</v>
      </c>
      <c r="AG229" s="1327">
        <v>1.9117847285735363E-2</v>
      </c>
      <c r="AH229" s="1327">
        <v>1.9673961707977129E-2</v>
      </c>
      <c r="AI229" s="1327">
        <v>2.022897895865446E-2</v>
      </c>
      <c r="AJ229" s="1327">
        <v>2.0782931254873852E-2</v>
      </c>
      <c r="AK229" s="1327">
        <v>2.1335093118910058E-2</v>
      </c>
      <c r="AL229" s="1327"/>
      <c r="AM229" s="1327"/>
      <c r="AN229" s="1327"/>
      <c r="AO229" s="1327"/>
      <c r="AP229" s="1327"/>
      <c r="AQ229" s="1327"/>
      <c r="AR229" s="1327"/>
      <c r="AS229" s="1327"/>
      <c r="AT229" s="1327"/>
      <c r="AU229" s="1327"/>
      <c r="AV229" s="1327"/>
      <c r="AW229" s="1327"/>
      <c r="AX229" s="1327"/>
      <c r="AY229" s="1327"/>
      <c r="AZ229" s="1327"/>
      <c r="BA229" s="1327"/>
      <c r="BB229" s="1327"/>
      <c r="BC229" s="1327"/>
      <c r="BD229" s="1327"/>
      <c r="BE229" s="1327"/>
      <c r="BF229" s="1327"/>
      <c r="BG229" s="1327"/>
      <c r="BH229" s="1327"/>
      <c r="BI229" s="1327"/>
      <c r="BJ229" s="1327"/>
      <c r="BK229" s="1327"/>
      <c r="BL229" s="1327"/>
      <c r="BM229" s="1327"/>
      <c r="BN229" s="1327"/>
      <c r="BO229" s="1327"/>
      <c r="BP229" s="1327"/>
      <c r="BQ229" s="1327"/>
      <c r="BR229" s="1327"/>
      <c r="BS229" s="1327"/>
      <c r="BT229" s="1327"/>
      <c r="BU229" s="1327"/>
      <c r="BV229" s="1327"/>
      <c r="BW229" s="1327"/>
      <c r="BX229" s="1327"/>
      <c r="BY229" s="1327"/>
      <c r="BZ229" s="1327"/>
      <c r="CA229" s="1327"/>
      <c r="CB229" s="1327"/>
      <c r="CC229" s="1327"/>
      <c r="CD229" s="1327"/>
      <c r="CE229" s="1327"/>
      <c r="CF229" s="1327"/>
      <c r="CG229" s="1327"/>
      <c r="CH229" s="1327"/>
      <c r="CI229" s="1328"/>
      <c r="CK229" s="1293"/>
    </row>
    <row r="230" spans="1:89" s="1292" customFormat="1" ht="28.5" x14ac:dyDescent="0.2">
      <c r="A230" s="1284"/>
      <c r="B230" s="837" t="s">
        <v>500</v>
      </c>
      <c r="C230" s="838" t="s">
        <v>501</v>
      </c>
      <c r="D230" s="839" t="s">
        <v>502</v>
      </c>
      <c r="E230" s="840" t="s">
        <v>236</v>
      </c>
      <c r="F230" s="841">
        <v>2</v>
      </c>
      <c r="G230" s="569">
        <f>G229*(G224+SUM(G226:G228)-SUM(G236:G239))</f>
        <v>0</v>
      </c>
      <c r="H230" s="569">
        <f t="shared" ref="H230:M230" si="90">H229*(SUM(H224:H228)-SUM(H236:H239))</f>
        <v>0</v>
      </c>
      <c r="I230" s="569">
        <f t="shared" si="90"/>
        <v>0</v>
      </c>
      <c r="J230" s="569">
        <f t="shared" si="90"/>
        <v>2.5562228328667249</v>
      </c>
      <c r="K230" s="569">
        <f t="shared" si="90"/>
        <v>2.687679128972372</v>
      </c>
      <c r="L230" s="569">
        <f t="shared" si="90"/>
        <v>2.7686823655636963</v>
      </c>
      <c r="M230" s="569">
        <f t="shared" si="90"/>
        <v>3.3345800851834593</v>
      </c>
      <c r="N230" s="569">
        <f t="shared" ref="N230:AK230" si="91">N229*(SUM(N224:N228)-SUM(N236:N239))</f>
        <v>3.5534749475489051</v>
      </c>
      <c r="O230" s="569">
        <f t="shared" si="91"/>
        <v>3.7980314840915113</v>
      </c>
      <c r="P230" s="569">
        <f t="shared" si="91"/>
        <v>4.0524086085985678</v>
      </c>
      <c r="Q230" s="569">
        <f t="shared" si="91"/>
        <v>4.3017914609074399</v>
      </c>
      <c r="R230" s="569">
        <f t="shared" si="91"/>
        <v>4.5783394983891021</v>
      </c>
      <c r="S230" s="569">
        <f t="shared" si="91"/>
        <v>4.8263038242617613</v>
      </c>
      <c r="T230" s="569">
        <f t="shared" si="91"/>
        <v>5.064699465870663</v>
      </c>
      <c r="U230" s="569">
        <f t="shared" si="91"/>
        <v>5.3080630440825995</v>
      </c>
      <c r="V230" s="569">
        <f t="shared" si="91"/>
        <v>5.5489271384243306</v>
      </c>
      <c r="W230" s="569">
        <f t="shared" si="91"/>
        <v>5.8292707644363784</v>
      </c>
      <c r="X230" s="569">
        <f t="shared" si="91"/>
        <v>6.0797445774648926</v>
      </c>
      <c r="Y230" s="569">
        <f t="shared" si="91"/>
        <v>6.3306799959696063</v>
      </c>
      <c r="Z230" s="569">
        <f t="shared" si="91"/>
        <v>6.5884683928427714</v>
      </c>
      <c r="AA230" s="569">
        <f t="shared" si="91"/>
        <v>6.8485317512333008</v>
      </c>
      <c r="AB230" s="569">
        <f t="shared" si="91"/>
        <v>7.1351091515394662</v>
      </c>
      <c r="AC230" s="569">
        <f t="shared" si="91"/>
        <v>7.3898970184472565</v>
      </c>
      <c r="AD230" s="569">
        <f t="shared" si="91"/>
        <v>7.6615063260438028</v>
      </c>
      <c r="AE230" s="569">
        <f t="shared" si="91"/>
        <v>7.9364162157098557</v>
      </c>
      <c r="AF230" s="569">
        <f t="shared" si="91"/>
        <v>8.2151654496279747</v>
      </c>
      <c r="AG230" s="569">
        <f t="shared" si="91"/>
        <v>8.4958404246894617</v>
      </c>
      <c r="AH230" s="569">
        <f t="shared" si="91"/>
        <v>8.7805042880562567</v>
      </c>
      <c r="AI230" s="569">
        <f t="shared" si="91"/>
        <v>9.06861792753371</v>
      </c>
      <c r="AJ230" s="569">
        <f t="shared" si="91"/>
        <v>9.3604190466425159</v>
      </c>
      <c r="AK230" s="569">
        <f t="shared" si="91"/>
        <v>9.6543231323209557</v>
      </c>
      <c r="AL230" s="569"/>
      <c r="AM230" s="569"/>
      <c r="AN230" s="569"/>
      <c r="AO230" s="569"/>
      <c r="AP230" s="569"/>
      <c r="AQ230" s="569"/>
      <c r="AR230" s="569"/>
      <c r="AS230" s="569"/>
      <c r="AT230" s="569"/>
      <c r="AU230" s="569"/>
      <c r="AV230" s="569"/>
      <c r="AW230" s="569"/>
      <c r="AX230" s="569"/>
      <c r="AY230" s="569"/>
      <c r="AZ230" s="569"/>
      <c r="BA230" s="569"/>
      <c r="BB230" s="569"/>
      <c r="BC230" s="569"/>
      <c r="BD230" s="569"/>
      <c r="BE230" s="569"/>
      <c r="BF230" s="569"/>
      <c r="BG230" s="569"/>
      <c r="BH230" s="569"/>
      <c r="BI230" s="569"/>
      <c r="BJ230" s="569"/>
      <c r="BK230" s="569"/>
      <c r="BL230" s="569"/>
      <c r="BM230" s="569"/>
      <c r="BN230" s="569"/>
      <c r="BO230" s="569"/>
      <c r="BP230" s="569"/>
      <c r="BQ230" s="569"/>
      <c r="BR230" s="569"/>
      <c r="BS230" s="569"/>
      <c r="BT230" s="569"/>
      <c r="BU230" s="569"/>
      <c r="BV230" s="569"/>
      <c r="BW230" s="569"/>
      <c r="BX230" s="569"/>
      <c r="BY230" s="569"/>
      <c r="BZ230" s="569"/>
      <c r="CA230" s="569"/>
      <c r="CB230" s="569"/>
      <c r="CC230" s="569"/>
      <c r="CD230" s="569"/>
      <c r="CE230" s="569"/>
      <c r="CF230" s="569"/>
      <c r="CG230" s="569"/>
      <c r="CH230" s="569"/>
      <c r="CI230" s="569"/>
      <c r="CK230" s="1293"/>
    </row>
    <row r="231" spans="1:89" s="1292" customFormat="1" x14ac:dyDescent="0.2">
      <c r="A231" s="1284"/>
      <c r="B231" s="837" t="s">
        <v>503</v>
      </c>
      <c r="C231" s="842" t="s">
        <v>305</v>
      </c>
      <c r="D231" s="843" t="s">
        <v>504</v>
      </c>
      <c r="E231" s="844" t="s">
        <v>239</v>
      </c>
      <c r="F231" s="845">
        <v>1</v>
      </c>
      <c r="G231" s="575" t="e">
        <f>(((G227-G238))*1000000)/((G260)*1000)</f>
        <v>#DIV/0!</v>
      </c>
      <c r="H231" s="575" t="e">
        <f t="shared" ref="H231:M232" si="92">(((H227-H238))*1000000)/((H260)*1000)</f>
        <v>#DIV/0!</v>
      </c>
      <c r="I231" s="575">
        <f t="shared" si="92"/>
        <v>200.60904002592829</v>
      </c>
      <c r="J231" s="575">
        <f t="shared" si="92"/>
        <v>195.58574777593554</v>
      </c>
      <c r="K231" s="575">
        <f t="shared" si="92"/>
        <v>191.97417276545164</v>
      </c>
      <c r="L231" s="575">
        <f t="shared" si="92"/>
        <v>187.21791882831505</v>
      </c>
      <c r="M231" s="576">
        <f t="shared" si="92"/>
        <v>183.91301880587361</v>
      </c>
      <c r="N231" s="576">
        <f t="shared" ref="N231:AK231" si="93">(((N227-N238))*1000000)/((N260)*1000)</f>
        <v>181.70583626458765</v>
      </c>
      <c r="O231" s="576">
        <f t="shared" si="93"/>
        <v>180.22753856472679</v>
      </c>
      <c r="P231" s="576">
        <f t="shared" si="93"/>
        <v>179.30288018055231</v>
      </c>
      <c r="Q231" s="576">
        <f t="shared" si="93"/>
        <v>178.50410988093003</v>
      </c>
      <c r="R231" s="576">
        <f t="shared" si="93"/>
        <v>177.97762593296704</v>
      </c>
      <c r="S231" s="576">
        <f t="shared" si="93"/>
        <v>177.42415351267539</v>
      </c>
      <c r="T231" s="576">
        <f t="shared" si="93"/>
        <v>177.00865966605113</v>
      </c>
      <c r="U231" s="576">
        <f t="shared" si="93"/>
        <v>176.53681451128145</v>
      </c>
      <c r="V231" s="576">
        <f t="shared" si="93"/>
        <v>176.17654786639145</v>
      </c>
      <c r="W231" s="576">
        <f t="shared" si="93"/>
        <v>175.76245014348743</v>
      </c>
      <c r="X231" s="576">
        <f t="shared" si="93"/>
        <v>175.37944537712468</v>
      </c>
      <c r="Y231" s="576">
        <f t="shared" si="93"/>
        <v>175.03823597501523</v>
      </c>
      <c r="Z231" s="576">
        <f t="shared" si="93"/>
        <v>174.72301932500898</v>
      </c>
      <c r="AA231" s="576">
        <f t="shared" si="93"/>
        <v>174.39091168668742</v>
      </c>
      <c r="AB231" s="576">
        <f t="shared" si="93"/>
        <v>173.84853869827097</v>
      </c>
      <c r="AC231" s="576">
        <f t="shared" si="93"/>
        <v>173.53662216651966</v>
      </c>
      <c r="AD231" s="576">
        <f t="shared" si="93"/>
        <v>173.25835159754556</v>
      </c>
      <c r="AE231" s="576">
        <f t="shared" si="93"/>
        <v>172.95943409287261</v>
      </c>
      <c r="AF231" s="576">
        <f t="shared" si="93"/>
        <v>172.65752900937198</v>
      </c>
      <c r="AG231" s="576">
        <f t="shared" si="93"/>
        <v>172.3506511764206</v>
      </c>
      <c r="AH231" s="576">
        <f t="shared" si="93"/>
        <v>172.08055615983835</v>
      </c>
      <c r="AI231" s="576">
        <f t="shared" si="93"/>
        <v>171.79495169194743</v>
      </c>
      <c r="AJ231" s="576">
        <f t="shared" si="93"/>
        <v>171.51248843464981</v>
      </c>
      <c r="AK231" s="576">
        <f t="shared" si="93"/>
        <v>171.22656630474492</v>
      </c>
      <c r="AL231" s="576"/>
      <c r="AM231" s="576"/>
      <c r="AN231" s="576"/>
      <c r="AO231" s="576"/>
      <c r="AP231" s="576"/>
      <c r="AQ231" s="576"/>
      <c r="AR231" s="576"/>
      <c r="AS231" s="576"/>
      <c r="AT231" s="576"/>
      <c r="AU231" s="576"/>
      <c r="AV231" s="576"/>
      <c r="AW231" s="576"/>
      <c r="AX231" s="576"/>
      <c r="AY231" s="576"/>
      <c r="AZ231" s="576"/>
      <c r="BA231" s="576"/>
      <c r="BB231" s="576"/>
      <c r="BC231" s="576"/>
      <c r="BD231" s="576"/>
      <c r="BE231" s="576"/>
      <c r="BF231" s="576"/>
      <c r="BG231" s="576"/>
      <c r="BH231" s="576"/>
      <c r="BI231" s="576"/>
      <c r="BJ231" s="576"/>
      <c r="BK231" s="576"/>
      <c r="BL231" s="576"/>
      <c r="BM231" s="576"/>
      <c r="BN231" s="576"/>
      <c r="BO231" s="576"/>
      <c r="BP231" s="576"/>
      <c r="BQ231" s="576"/>
      <c r="BR231" s="576"/>
      <c r="BS231" s="576"/>
      <c r="BT231" s="576"/>
      <c r="BU231" s="576"/>
      <c r="BV231" s="576"/>
      <c r="BW231" s="576"/>
      <c r="BX231" s="576"/>
      <c r="BY231" s="576"/>
      <c r="BZ231" s="576"/>
      <c r="CA231" s="576"/>
      <c r="CB231" s="576"/>
      <c r="CC231" s="576"/>
      <c r="CD231" s="576"/>
      <c r="CE231" s="576"/>
      <c r="CF231" s="576"/>
      <c r="CG231" s="576"/>
      <c r="CH231" s="576"/>
      <c r="CI231" s="576"/>
      <c r="CK231" s="1293"/>
    </row>
    <row r="232" spans="1:89" s="1292" customFormat="1" x14ac:dyDescent="0.2">
      <c r="A232" s="1284"/>
      <c r="B232" s="837" t="s">
        <v>505</v>
      </c>
      <c r="C232" s="842" t="s">
        <v>324</v>
      </c>
      <c r="D232" s="843" t="s">
        <v>506</v>
      </c>
      <c r="E232" s="844" t="s">
        <v>239</v>
      </c>
      <c r="F232" s="845">
        <v>1</v>
      </c>
      <c r="G232" s="575" t="e">
        <f>(((G228-G239))*1000000)/((G261)*1000)</f>
        <v>#DIV/0!</v>
      </c>
      <c r="H232" s="575" t="e">
        <f t="shared" si="92"/>
        <v>#DIV/0!</v>
      </c>
      <c r="I232" s="575">
        <f t="shared" si="92"/>
        <v>232.78113735608719</v>
      </c>
      <c r="J232" s="575">
        <f t="shared" si="92"/>
        <v>228.59455514734466</v>
      </c>
      <c r="K232" s="575">
        <f t="shared" si="92"/>
        <v>225.93032052483429</v>
      </c>
      <c r="L232" s="575">
        <f t="shared" si="92"/>
        <v>222.38551889209984</v>
      </c>
      <c r="M232" s="576">
        <f t="shared" si="92"/>
        <v>220.15465385781113</v>
      </c>
      <c r="N232" s="576">
        <f t="shared" ref="N232:AK232" si="94">(((N228-N239))*1000000)/((N261)*1000)</f>
        <v>219.12339225019684</v>
      </c>
      <c r="O232" s="576">
        <f t="shared" si="94"/>
        <v>218.96041868326344</v>
      </c>
      <c r="P232" s="576">
        <f t="shared" si="94"/>
        <v>218.80077438230387</v>
      </c>
      <c r="Q232" s="576">
        <f t="shared" si="94"/>
        <v>218.62655712435046</v>
      </c>
      <c r="R232" s="576">
        <f t="shared" si="94"/>
        <v>218.62291815086229</v>
      </c>
      <c r="S232" s="576">
        <f t="shared" si="94"/>
        <v>218.75134496490824</v>
      </c>
      <c r="T232" s="576">
        <f t="shared" si="94"/>
        <v>218.90211689221849</v>
      </c>
      <c r="U232" s="576">
        <f t="shared" si="94"/>
        <v>219.0438354621983</v>
      </c>
      <c r="V232" s="576">
        <f t="shared" si="94"/>
        <v>219.22730287669822</v>
      </c>
      <c r="W232" s="576">
        <f t="shared" si="94"/>
        <v>219.50037361643808</v>
      </c>
      <c r="X232" s="576">
        <f t="shared" si="94"/>
        <v>219.86842587261816</v>
      </c>
      <c r="Y232" s="576">
        <f t="shared" si="94"/>
        <v>220.22574125816371</v>
      </c>
      <c r="Z232" s="576">
        <f t="shared" si="94"/>
        <v>220.6104998107607</v>
      </c>
      <c r="AA232" s="576">
        <f t="shared" si="94"/>
        <v>220.96675793838975</v>
      </c>
      <c r="AB232" s="576">
        <f t="shared" si="94"/>
        <v>221.32909141667847</v>
      </c>
      <c r="AC232" s="576">
        <f t="shared" si="94"/>
        <v>221.67822180612652</v>
      </c>
      <c r="AD232" s="576">
        <f t="shared" si="94"/>
        <v>222.07163822496724</v>
      </c>
      <c r="AE232" s="576">
        <f t="shared" si="94"/>
        <v>222.4513396032404</v>
      </c>
      <c r="AF232" s="576">
        <f t="shared" si="94"/>
        <v>222.83602748805899</v>
      </c>
      <c r="AG232" s="576">
        <f t="shared" si="94"/>
        <v>223.20511683293114</v>
      </c>
      <c r="AH232" s="576">
        <f t="shared" si="94"/>
        <v>223.61877827030986</v>
      </c>
      <c r="AI232" s="576">
        <f t="shared" si="94"/>
        <v>224.01645683770982</v>
      </c>
      <c r="AJ232" s="576">
        <f t="shared" si="94"/>
        <v>224.41786930861261</v>
      </c>
      <c r="AK232" s="576">
        <f t="shared" si="94"/>
        <v>224.80166371450514</v>
      </c>
      <c r="AL232" s="576"/>
      <c r="AM232" s="576"/>
      <c r="AN232" s="576"/>
      <c r="AO232" s="576"/>
      <c r="AP232" s="576"/>
      <c r="AQ232" s="576"/>
      <c r="AR232" s="576"/>
      <c r="AS232" s="576"/>
      <c r="AT232" s="576"/>
      <c r="AU232" s="576"/>
      <c r="AV232" s="576"/>
      <c r="AW232" s="576"/>
      <c r="AX232" s="576"/>
      <c r="AY232" s="576"/>
      <c r="AZ232" s="576"/>
      <c r="BA232" s="576"/>
      <c r="BB232" s="576"/>
      <c r="BC232" s="576"/>
      <c r="BD232" s="576"/>
      <c r="BE232" s="576"/>
      <c r="BF232" s="576"/>
      <c r="BG232" s="576"/>
      <c r="BH232" s="576"/>
      <c r="BI232" s="576"/>
      <c r="BJ232" s="576"/>
      <c r="BK232" s="576"/>
      <c r="BL232" s="576"/>
      <c r="BM232" s="576"/>
      <c r="BN232" s="576"/>
      <c r="BO232" s="576"/>
      <c r="BP232" s="576"/>
      <c r="BQ232" s="576"/>
      <c r="BR232" s="576"/>
      <c r="BS232" s="576"/>
      <c r="BT232" s="576"/>
      <c r="BU232" s="576"/>
      <c r="BV232" s="576"/>
      <c r="BW232" s="576"/>
      <c r="BX232" s="576"/>
      <c r="BY232" s="576"/>
      <c r="BZ232" s="576"/>
      <c r="CA232" s="576"/>
      <c r="CB232" s="576"/>
      <c r="CC232" s="576"/>
      <c r="CD232" s="576"/>
      <c r="CE232" s="576"/>
      <c r="CF232" s="576"/>
      <c r="CG232" s="576"/>
      <c r="CH232" s="576"/>
      <c r="CI232" s="576"/>
      <c r="CK232" s="1293"/>
    </row>
    <row r="233" spans="1:89" s="1292" customFormat="1" ht="28.5" x14ac:dyDescent="0.2">
      <c r="A233" s="1284"/>
      <c r="B233" s="837" t="s">
        <v>507</v>
      </c>
      <c r="C233" s="842" t="s">
        <v>238</v>
      </c>
      <c r="D233" s="843" t="s">
        <v>508</v>
      </c>
      <c r="E233" s="844" t="s">
        <v>239</v>
      </c>
      <c r="F233" s="845">
        <v>1</v>
      </c>
      <c r="G233" s="575" t="e">
        <f>(((G227-G238)+(G228-G239))*1000000)/((G260+G261)*1000)</f>
        <v>#DIV/0!</v>
      </c>
      <c r="H233" s="575" t="e">
        <f t="shared" ref="H233:M233" si="95">(((H227-H238)+(H228-H239))*1000000)/((H260+H261)*1000)</f>
        <v>#DIV/0!</v>
      </c>
      <c r="I233" s="575">
        <f t="shared" si="95"/>
        <v>215.74401741153093</v>
      </c>
      <c r="J233" s="575">
        <f t="shared" si="95"/>
        <v>210.69178560416583</v>
      </c>
      <c r="K233" s="575">
        <f t="shared" si="95"/>
        <v>206.90675914523152</v>
      </c>
      <c r="L233" s="575">
        <f t="shared" si="95"/>
        <v>201.91733000298652</v>
      </c>
      <c r="M233" s="576">
        <f t="shared" si="95"/>
        <v>197.60713501980678</v>
      </c>
      <c r="N233" s="576">
        <f t="shared" ref="N233:AK233" si="96">(((N227-N238)+(N228-N239))*1000000)/((N260+N261)*1000)</f>
        <v>194.06233225241562</v>
      </c>
      <c r="O233" s="576">
        <f t="shared" si="96"/>
        <v>191.99420353694569</v>
      </c>
      <c r="P233" s="576">
        <f t="shared" si="96"/>
        <v>190.88081053385471</v>
      </c>
      <c r="Q233" s="576">
        <f t="shared" si="96"/>
        <v>189.8758747060028</v>
      </c>
      <c r="R233" s="576">
        <f t="shared" si="96"/>
        <v>189.19522059473775</v>
      </c>
      <c r="S233" s="576">
        <f t="shared" si="96"/>
        <v>188.56504544965375</v>
      </c>
      <c r="T233" s="576">
        <f t="shared" si="96"/>
        <v>188.06260962793417</v>
      </c>
      <c r="U233" s="576">
        <f t="shared" si="96"/>
        <v>187.50557901147675</v>
      </c>
      <c r="V233" s="576">
        <f t="shared" si="96"/>
        <v>187.04589059575912</v>
      </c>
      <c r="W233" s="576">
        <f t="shared" si="96"/>
        <v>186.59205947487155</v>
      </c>
      <c r="X233" s="576">
        <f t="shared" si="96"/>
        <v>186.22000905358922</v>
      </c>
      <c r="Y233" s="576">
        <f t="shared" si="96"/>
        <v>185.87008872739156</v>
      </c>
      <c r="Z233" s="576">
        <f t="shared" si="96"/>
        <v>185.54067122382511</v>
      </c>
      <c r="AA233" s="576">
        <f t="shared" si="96"/>
        <v>185.18630339283229</v>
      </c>
      <c r="AB233" s="576">
        <f t="shared" si="96"/>
        <v>184.67005295440026</v>
      </c>
      <c r="AC233" s="576">
        <f t="shared" si="96"/>
        <v>184.32523223658904</v>
      </c>
      <c r="AD233" s="576">
        <f t="shared" si="96"/>
        <v>184.01292898361561</v>
      </c>
      <c r="AE233" s="576">
        <f t="shared" si="96"/>
        <v>183.67570367753703</v>
      </c>
      <c r="AF233" s="576">
        <f t="shared" si="96"/>
        <v>183.33222770305665</v>
      </c>
      <c r="AG233" s="576">
        <f t="shared" si="96"/>
        <v>182.97905428216691</v>
      </c>
      <c r="AH233" s="576">
        <f t="shared" si="96"/>
        <v>182.66232150256232</v>
      </c>
      <c r="AI233" s="576">
        <f t="shared" si="96"/>
        <v>182.32570318259661</v>
      </c>
      <c r="AJ233" s="576">
        <f t="shared" si="96"/>
        <v>181.98930044313494</v>
      </c>
      <c r="AK233" s="576">
        <f t="shared" si="96"/>
        <v>181.64506506748026</v>
      </c>
      <c r="AL233" s="576"/>
      <c r="AM233" s="576"/>
      <c r="AN233" s="576"/>
      <c r="AO233" s="576"/>
      <c r="AP233" s="576"/>
      <c r="AQ233" s="576"/>
      <c r="AR233" s="576"/>
      <c r="AS233" s="576"/>
      <c r="AT233" s="576"/>
      <c r="AU233" s="576"/>
      <c r="AV233" s="576"/>
      <c r="AW233" s="576"/>
      <c r="AX233" s="576"/>
      <c r="AY233" s="576"/>
      <c r="AZ233" s="576"/>
      <c r="BA233" s="576"/>
      <c r="BB233" s="576"/>
      <c r="BC233" s="576"/>
      <c r="BD233" s="576"/>
      <c r="BE233" s="576"/>
      <c r="BF233" s="576"/>
      <c r="BG233" s="576"/>
      <c r="BH233" s="576"/>
      <c r="BI233" s="576"/>
      <c r="BJ233" s="576"/>
      <c r="BK233" s="576"/>
      <c r="BL233" s="576"/>
      <c r="BM233" s="576"/>
      <c r="BN233" s="576"/>
      <c r="BO233" s="576"/>
      <c r="BP233" s="576"/>
      <c r="BQ233" s="576"/>
      <c r="BR233" s="576"/>
      <c r="BS233" s="576"/>
      <c r="BT233" s="576"/>
      <c r="BU233" s="576"/>
      <c r="BV233" s="576"/>
      <c r="BW233" s="576"/>
      <c r="BX233" s="576"/>
      <c r="BY233" s="576"/>
      <c r="BZ233" s="576"/>
      <c r="CA233" s="576"/>
      <c r="CB233" s="576"/>
      <c r="CC233" s="576"/>
      <c r="CD233" s="576"/>
      <c r="CE233" s="576"/>
      <c r="CF233" s="576"/>
      <c r="CG233" s="576"/>
      <c r="CH233" s="576"/>
      <c r="CI233" s="576"/>
      <c r="CK233" s="1293"/>
    </row>
    <row r="234" spans="1:89" s="1292" customFormat="1" x14ac:dyDescent="0.2">
      <c r="A234" s="1284"/>
      <c r="B234" s="837" t="s">
        <v>509</v>
      </c>
      <c r="C234" s="842" t="s">
        <v>510</v>
      </c>
      <c r="D234" s="843" t="s">
        <v>86</v>
      </c>
      <c r="E234" s="844" t="s">
        <v>236</v>
      </c>
      <c r="F234" s="845">
        <v>2</v>
      </c>
      <c r="G234" s="540"/>
      <c r="H234" s="540"/>
      <c r="I234" s="540">
        <v>7.4300951761701972</v>
      </c>
      <c r="J234" s="540">
        <v>7.4306724420220513</v>
      </c>
      <c r="K234" s="540">
        <v>7.4232975624804132</v>
      </c>
      <c r="L234" s="540">
        <v>7.4151509587193125</v>
      </c>
      <c r="M234" s="541">
        <v>7.4425024902221537</v>
      </c>
      <c r="N234" s="541">
        <v>7.4338244028853122</v>
      </c>
      <c r="O234" s="541">
        <v>7.4251122559584699</v>
      </c>
      <c r="P234" s="541">
        <v>7.4168602974768651</v>
      </c>
      <c r="Q234" s="541">
        <v>7.4103931477139504</v>
      </c>
      <c r="R234" s="541">
        <v>7.4048613555367506</v>
      </c>
      <c r="S234" s="541">
        <v>7.399915913052113</v>
      </c>
      <c r="T234" s="541">
        <v>7.3954255677258125</v>
      </c>
      <c r="U234" s="541">
        <v>7.3915982278130512</v>
      </c>
      <c r="V234" s="541">
        <v>7.3872608796279247</v>
      </c>
      <c r="W234" s="541">
        <v>7.3828552950419812</v>
      </c>
      <c r="X234" s="541">
        <v>7.378318293231839</v>
      </c>
      <c r="Y234" s="541">
        <v>7.373682098569418</v>
      </c>
      <c r="Z234" s="541">
        <v>7.3689559125391142</v>
      </c>
      <c r="AA234" s="541">
        <v>7.364138949203352</v>
      </c>
      <c r="AB234" s="541">
        <v>7.3592340471482718</v>
      </c>
      <c r="AC234" s="541">
        <v>7.3542343453519123</v>
      </c>
      <c r="AD234" s="541">
        <v>7.3491416471303328</v>
      </c>
      <c r="AE234" s="541">
        <v>7.3439564776606652</v>
      </c>
      <c r="AF234" s="541">
        <v>7.3386781894007669</v>
      </c>
      <c r="AG234" s="541">
        <v>7.333312424591484</v>
      </c>
      <c r="AH234" s="541">
        <v>7.3278576156031843</v>
      </c>
      <c r="AI234" s="541">
        <v>7.3223145631671738</v>
      </c>
      <c r="AJ234" s="541">
        <v>7.3166842640524994</v>
      </c>
      <c r="AK234" s="541">
        <v>7.31096836256914</v>
      </c>
      <c r="AL234" s="541"/>
      <c r="AM234" s="541"/>
      <c r="AN234" s="541"/>
      <c r="AO234" s="541"/>
      <c r="AP234" s="541"/>
      <c r="AQ234" s="541"/>
      <c r="AR234" s="541"/>
      <c r="AS234" s="541"/>
      <c r="AT234" s="541"/>
      <c r="AU234" s="541"/>
      <c r="AV234" s="541"/>
      <c r="AW234" s="541"/>
      <c r="AX234" s="541"/>
      <c r="AY234" s="541"/>
      <c r="AZ234" s="541"/>
      <c r="BA234" s="541"/>
      <c r="BB234" s="541"/>
      <c r="BC234" s="541"/>
      <c r="BD234" s="541"/>
      <c r="BE234" s="541"/>
      <c r="BF234" s="541"/>
      <c r="BG234" s="541"/>
      <c r="BH234" s="541"/>
      <c r="BI234" s="541"/>
      <c r="BJ234" s="541"/>
      <c r="BK234" s="541"/>
      <c r="BL234" s="541"/>
      <c r="BM234" s="541"/>
      <c r="BN234" s="541"/>
      <c r="BO234" s="541"/>
      <c r="BP234" s="541"/>
      <c r="BQ234" s="541"/>
      <c r="BR234" s="541"/>
      <c r="BS234" s="541"/>
      <c r="BT234" s="541"/>
      <c r="BU234" s="541"/>
      <c r="BV234" s="541"/>
      <c r="BW234" s="541"/>
      <c r="BX234" s="541"/>
      <c r="BY234" s="541"/>
      <c r="BZ234" s="541"/>
      <c r="CA234" s="541"/>
      <c r="CB234" s="541"/>
      <c r="CC234" s="541"/>
      <c r="CD234" s="541"/>
      <c r="CE234" s="541"/>
      <c r="CF234" s="541"/>
      <c r="CG234" s="541"/>
      <c r="CH234" s="541"/>
      <c r="CI234" s="542"/>
      <c r="CK234" s="1293"/>
    </row>
    <row r="235" spans="1:89" s="1292" customFormat="1" ht="15" thickBot="1" x14ac:dyDescent="0.25">
      <c r="A235" s="1284"/>
      <c r="B235" s="846" t="s">
        <v>511</v>
      </c>
      <c r="C235" s="847" t="s">
        <v>512</v>
      </c>
      <c r="D235" s="848" t="s">
        <v>86</v>
      </c>
      <c r="E235" s="849" t="s">
        <v>236</v>
      </c>
      <c r="F235" s="850">
        <v>2</v>
      </c>
      <c r="G235" s="582"/>
      <c r="H235" s="582"/>
      <c r="I235" s="582">
        <v>2.3678128659663535</v>
      </c>
      <c r="J235" s="582">
        <v>2.3678128659663535</v>
      </c>
      <c r="K235" s="582">
        <v>2.3678128659663535</v>
      </c>
      <c r="L235" s="582">
        <v>2.3678128659663535</v>
      </c>
      <c r="M235" s="583">
        <v>2.3678128659663535</v>
      </c>
      <c r="N235" s="583">
        <v>2.3678128659663535</v>
      </c>
      <c r="O235" s="583">
        <v>2.3678128659663535</v>
      </c>
      <c r="P235" s="583">
        <v>2.3678128659663535</v>
      </c>
      <c r="Q235" s="583">
        <v>2.3678128659663535</v>
      </c>
      <c r="R235" s="583">
        <v>2.3678128659663535</v>
      </c>
      <c r="S235" s="583">
        <v>2.3678128659663535</v>
      </c>
      <c r="T235" s="583">
        <v>2.3678128659663535</v>
      </c>
      <c r="U235" s="583">
        <v>2.3678128659663535</v>
      </c>
      <c r="V235" s="583">
        <v>2.3678128659663535</v>
      </c>
      <c r="W235" s="583">
        <v>2.3678128659663535</v>
      </c>
      <c r="X235" s="583">
        <v>2.3678128659663535</v>
      </c>
      <c r="Y235" s="583">
        <v>2.3678128659663535</v>
      </c>
      <c r="Z235" s="583">
        <v>2.3678128659663535</v>
      </c>
      <c r="AA235" s="583">
        <v>2.3678128659663535</v>
      </c>
      <c r="AB235" s="583">
        <v>2.3678128659663535</v>
      </c>
      <c r="AC235" s="583">
        <v>2.3678128659663535</v>
      </c>
      <c r="AD235" s="583">
        <v>2.3678128659663535</v>
      </c>
      <c r="AE235" s="583">
        <v>2.3678128659663535</v>
      </c>
      <c r="AF235" s="583">
        <v>2.3678128659663535</v>
      </c>
      <c r="AG235" s="583">
        <v>2.3678128659663535</v>
      </c>
      <c r="AH235" s="583">
        <v>2.3678128659663535</v>
      </c>
      <c r="AI235" s="583">
        <v>2.3678128659663535</v>
      </c>
      <c r="AJ235" s="583">
        <v>2.3678128659663535</v>
      </c>
      <c r="AK235" s="583">
        <v>2.3678128659663535</v>
      </c>
      <c r="AL235" s="583"/>
      <c r="AM235" s="583"/>
      <c r="AN235" s="583"/>
      <c r="AO235" s="583"/>
      <c r="AP235" s="583"/>
      <c r="AQ235" s="583"/>
      <c r="AR235" s="583"/>
      <c r="AS235" s="583"/>
      <c r="AT235" s="583"/>
      <c r="AU235" s="583"/>
      <c r="AV235" s="583"/>
      <c r="AW235" s="583"/>
      <c r="AX235" s="583"/>
      <c r="AY235" s="583"/>
      <c r="AZ235" s="583"/>
      <c r="BA235" s="583"/>
      <c r="BB235" s="583"/>
      <c r="BC235" s="583"/>
      <c r="BD235" s="583"/>
      <c r="BE235" s="583"/>
      <c r="BF235" s="583"/>
      <c r="BG235" s="583"/>
      <c r="BH235" s="583"/>
      <c r="BI235" s="583"/>
      <c r="BJ235" s="583"/>
      <c r="BK235" s="583"/>
      <c r="BL235" s="583"/>
      <c r="BM235" s="583"/>
      <c r="BN235" s="583"/>
      <c r="BO235" s="583"/>
      <c r="BP235" s="583"/>
      <c r="BQ235" s="583"/>
      <c r="BR235" s="583"/>
      <c r="BS235" s="583"/>
      <c r="BT235" s="583"/>
      <c r="BU235" s="583"/>
      <c r="BV235" s="583"/>
      <c r="BW235" s="583"/>
      <c r="BX235" s="583"/>
      <c r="BY235" s="583"/>
      <c r="BZ235" s="583"/>
      <c r="CA235" s="583"/>
      <c r="CB235" s="583"/>
      <c r="CC235" s="583"/>
      <c r="CD235" s="583"/>
      <c r="CE235" s="583"/>
      <c r="CF235" s="583"/>
      <c r="CG235" s="583"/>
      <c r="CH235" s="583"/>
      <c r="CI235" s="584"/>
      <c r="CK235" s="1293"/>
    </row>
    <row r="236" spans="1:89" s="1292" customFormat="1" x14ac:dyDescent="0.2">
      <c r="A236" s="1284"/>
      <c r="B236" s="814" t="s">
        <v>513</v>
      </c>
      <c r="C236" s="815" t="s">
        <v>514</v>
      </c>
      <c r="D236" s="816" t="s">
        <v>86</v>
      </c>
      <c r="E236" s="817" t="s">
        <v>236</v>
      </c>
      <c r="F236" s="818">
        <v>2</v>
      </c>
      <c r="G236" s="532"/>
      <c r="H236" s="532"/>
      <c r="I236" s="532">
        <v>0.27326859627701372</v>
      </c>
      <c r="J236" s="532">
        <v>0.34102088752534926</v>
      </c>
      <c r="K236" s="532">
        <v>0.32879125252551122</v>
      </c>
      <c r="L236" s="532">
        <v>0.31647156355438932</v>
      </c>
      <c r="M236" s="533">
        <v>0.3315727036289377</v>
      </c>
      <c r="N236" s="533">
        <v>0.33268098185200823</v>
      </c>
      <c r="O236" s="533">
        <v>0.33378926007507881</v>
      </c>
      <c r="P236" s="533">
        <v>0.33489753829814933</v>
      </c>
      <c r="Q236" s="533">
        <v>0.33600581652121986</v>
      </c>
      <c r="R236" s="533">
        <v>0.33711409474429044</v>
      </c>
      <c r="S236" s="533">
        <v>0.33822237296736102</v>
      </c>
      <c r="T236" s="533">
        <v>0.3393306511904316</v>
      </c>
      <c r="U236" s="533">
        <v>0.34043892941350207</v>
      </c>
      <c r="V236" s="533">
        <v>0.34154720763657259</v>
      </c>
      <c r="W236" s="533">
        <v>0.34260062060107532</v>
      </c>
      <c r="X236" s="533">
        <v>0.343654033565578</v>
      </c>
      <c r="Y236" s="533">
        <v>0.34470744653008079</v>
      </c>
      <c r="Z236" s="533">
        <v>0.34576085949458341</v>
      </c>
      <c r="AA236" s="533">
        <v>0.34681427245908608</v>
      </c>
      <c r="AB236" s="533">
        <v>0.34786768542358887</v>
      </c>
      <c r="AC236" s="533">
        <v>0.34892109838809149</v>
      </c>
      <c r="AD236" s="533">
        <v>0.34997451135259416</v>
      </c>
      <c r="AE236" s="533">
        <v>0.35102792431709695</v>
      </c>
      <c r="AF236" s="533">
        <v>0.35208133728159957</v>
      </c>
      <c r="AG236" s="533">
        <v>0.3531347502461023</v>
      </c>
      <c r="AH236" s="533">
        <v>0.35418816321060498</v>
      </c>
      <c r="AI236" s="533">
        <v>0.35524157617510776</v>
      </c>
      <c r="AJ236" s="533">
        <v>0.35629498913961039</v>
      </c>
      <c r="AK236" s="533">
        <v>0.35734840210411301</v>
      </c>
      <c r="AL236" s="533"/>
      <c r="AM236" s="533"/>
      <c r="AN236" s="533"/>
      <c r="AO236" s="533"/>
      <c r="AP236" s="533"/>
      <c r="AQ236" s="533"/>
      <c r="AR236" s="533"/>
      <c r="AS236" s="533"/>
      <c r="AT236" s="533"/>
      <c r="AU236" s="533"/>
      <c r="AV236" s="533"/>
      <c r="AW236" s="533"/>
      <c r="AX236" s="533"/>
      <c r="AY236" s="533"/>
      <c r="AZ236" s="533"/>
      <c r="BA236" s="533"/>
      <c r="BB236" s="533"/>
      <c r="BC236" s="533"/>
      <c r="BD236" s="533"/>
      <c r="BE236" s="533"/>
      <c r="BF236" s="533"/>
      <c r="BG236" s="533"/>
      <c r="BH236" s="533"/>
      <c r="BI236" s="533"/>
      <c r="BJ236" s="533"/>
      <c r="BK236" s="533"/>
      <c r="BL236" s="533"/>
      <c r="BM236" s="533"/>
      <c r="BN236" s="533"/>
      <c r="BO236" s="533"/>
      <c r="BP236" s="533"/>
      <c r="BQ236" s="533"/>
      <c r="BR236" s="533"/>
      <c r="BS236" s="533"/>
      <c r="BT236" s="533"/>
      <c r="BU236" s="533"/>
      <c r="BV236" s="533"/>
      <c r="BW236" s="533"/>
      <c r="BX236" s="533"/>
      <c r="BY236" s="533"/>
      <c r="BZ236" s="533"/>
      <c r="CA236" s="533"/>
      <c r="CB236" s="533"/>
      <c r="CC236" s="533"/>
      <c r="CD236" s="533"/>
      <c r="CE236" s="533"/>
      <c r="CF236" s="533"/>
      <c r="CG236" s="533"/>
      <c r="CH236" s="533"/>
      <c r="CI236" s="534"/>
      <c r="CK236" s="1293"/>
    </row>
    <row r="237" spans="1:89" s="1292" customFormat="1" x14ac:dyDescent="0.2">
      <c r="A237" s="1284"/>
      <c r="B237" s="824" t="s">
        <v>515</v>
      </c>
      <c r="C237" s="825" t="s">
        <v>516</v>
      </c>
      <c r="D237" s="821" t="s">
        <v>86</v>
      </c>
      <c r="E237" s="822" t="s">
        <v>236</v>
      </c>
      <c r="F237" s="823">
        <v>2</v>
      </c>
      <c r="G237" s="540"/>
      <c r="H237" s="540"/>
      <c r="I237" s="540">
        <v>4.1140196505908201E-2</v>
      </c>
      <c r="J237" s="540">
        <v>3.9374863189543363E-2</v>
      </c>
      <c r="K237" s="540">
        <v>3.7416730383037784E-2</v>
      </c>
      <c r="L237" s="540">
        <v>3.549264799294536E-2</v>
      </c>
      <c r="M237" s="544">
        <v>4.0940203376406192E-2</v>
      </c>
      <c r="N237" s="544">
        <v>4.0652082305800301E-2</v>
      </c>
      <c r="O237" s="544">
        <v>4.0363961235194402E-2</v>
      </c>
      <c r="P237" s="544">
        <v>4.0075840164588511E-2</v>
      </c>
      <c r="Q237" s="544">
        <v>3.9877756928546955E-2</v>
      </c>
      <c r="R237" s="544">
        <v>3.9679673692505406E-2</v>
      </c>
      <c r="S237" s="544">
        <v>3.9553620724115321E-2</v>
      </c>
      <c r="T237" s="544">
        <v>3.942756775572525E-2</v>
      </c>
      <c r="U237" s="544">
        <v>3.9301514787335172E-2</v>
      </c>
      <c r="V237" s="544">
        <v>3.9175461818945094E-2</v>
      </c>
      <c r="W237" s="544">
        <v>3.9049408850555016E-2</v>
      </c>
      <c r="X237" s="544">
        <v>3.8923355882164938E-2</v>
      </c>
      <c r="Y237" s="544">
        <v>3.879730291377486E-2</v>
      </c>
      <c r="Z237" s="544">
        <v>3.8671249945384775E-2</v>
      </c>
      <c r="AA237" s="544">
        <v>3.8545196976994704E-2</v>
      </c>
      <c r="AB237" s="544">
        <v>3.8419144008604619E-2</v>
      </c>
      <c r="AC237" s="544">
        <v>3.8293091040214548E-2</v>
      </c>
      <c r="AD237" s="544">
        <v>3.8167038071824463E-2</v>
      </c>
      <c r="AE237" s="544">
        <v>3.8040985103434385E-2</v>
      </c>
      <c r="AF237" s="544">
        <v>3.7914932135044307E-2</v>
      </c>
      <c r="AG237" s="544">
        <v>3.778887916665423E-2</v>
      </c>
      <c r="AH237" s="544">
        <v>3.7662826198264152E-2</v>
      </c>
      <c r="AI237" s="544">
        <v>3.7536773229874074E-2</v>
      </c>
      <c r="AJ237" s="544">
        <v>3.7410720261483989E-2</v>
      </c>
      <c r="AK237" s="544">
        <v>3.7284667293093918E-2</v>
      </c>
      <c r="AL237" s="544"/>
      <c r="AM237" s="544"/>
      <c r="AN237" s="544"/>
      <c r="AO237" s="544"/>
      <c r="AP237" s="544"/>
      <c r="AQ237" s="544"/>
      <c r="AR237" s="544"/>
      <c r="AS237" s="544"/>
      <c r="AT237" s="544"/>
      <c r="AU237" s="544"/>
      <c r="AV237" s="544"/>
      <c r="AW237" s="544"/>
      <c r="AX237" s="544"/>
      <c r="AY237" s="544"/>
      <c r="AZ237" s="544"/>
      <c r="BA237" s="544"/>
      <c r="BB237" s="544"/>
      <c r="BC237" s="544"/>
      <c r="BD237" s="544"/>
      <c r="BE237" s="544"/>
      <c r="BF237" s="544"/>
      <c r="BG237" s="544"/>
      <c r="BH237" s="544"/>
      <c r="BI237" s="544"/>
      <c r="BJ237" s="544"/>
      <c r="BK237" s="544"/>
      <c r="BL237" s="544"/>
      <c r="BM237" s="544"/>
      <c r="BN237" s="544"/>
      <c r="BO237" s="544"/>
      <c r="BP237" s="544"/>
      <c r="BQ237" s="544"/>
      <c r="BR237" s="544"/>
      <c r="BS237" s="544"/>
      <c r="BT237" s="544"/>
      <c r="BU237" s="544"/>
      <c r="BV237" s="544"/>
      <c r="BW237" s="544"/>
      <c r="BX237" s="544"/>
      <c r="BY237" s="544"/>
      <c r="BZ237" s="544"/>
      <c r="CA237" s="544"/>
      <c r="CB237" s="544"/>
      <c r="CC237" s="544"/>
      <c r="CD237" s="544"/>
      <c r="CE237" s="544"/>
      <c r="CF237" s="544"/>
      <c r="CG237" s="544"/>
      <c r="CH237" s="544"/>
      <c r="CI237" s="545"/>
      <c r="CK237" s="1293"/>
    </row>
    <row r="238" spans="1:89" s="1292" customFormat="1" x14ac:dyDescent="0.2">
      <c r="A238" s="1284"/>
      <c r="B238" s="824" t="s">
        <v>517</v>
      </c>
      <c r="C238" s="825" t="s">
        <v>518</v>
      </c>
      <c r="D238" s="821" t="s">
        <v>86</v>
      </c>
      <c r="E238" s="822" t="s">
        <v>236</v>
      </c>
      <c r="F238" s="823">
        <v>2</v>
      </c>
      <c r="G238" s="540"/>
      <c r="H238" s="540"/>
      <c r="I238" s="540">
        <v>5.5535327266562371</v>
      </c>
      <c r="J238" s="540">
        <v>5.5097342537652931</v>
      </c>
      <c r="K238" s="540">
        <v>5.528825244505656</v>
      </c>
      <c r="L238" s="540">
        <v>5.5836496450211648</v>
      </c>
      <c r="M238" s="544">
        <v>6.0828135946338087</v>
      </c>
      <c r="N238" s="544">
        <v>6.6809671682339893</v>
      </c>
      <c r="O238" s="544">
        <v>7.0227061115506721</v>
      </c>
      <c r="P238" s="544">
        <v>7.1770873309298642</v>
      </c>
      <c r="Q238" s="544">
        <v>7.3095253782620428</v>
      </c>
      <c r="R238" s="544">
        <v>7.4160823351947744</v>
      </c>
      <c r="S238" s="544">
        <v>7.5008110041287654</v>
      </c>
      <c r="T238" s="544">
        <v>7.5800491660545806</v>
      </c>
      <c r="U238" s="544">
        <v>7.6512857418126812</v>
      </c>
      <c r="V238" s="544">
        <v>7.728681965979586</v>
      </c>
      <c r="W238" s="544">
        <v>7.7949287981553956</v>
      </c>
      <c r="X238" s="544">
        <v>7.8511492837273851</v>
      </c>
      <c r="Y238" s="544">
        <v>7.9085707226845781</v>
      </c>
      <c r="Z238" s="544">
        <v>7.9670821532805736</v>
      </c>
      <c r="AA238" s="544">
        <v>8.0266932022403896</v>
      </c>
      <c r="AB238" s="544">
        <v>8.0873697215987903</v>
      </c>
      <c r="AC238" s="544">
        <v>8.1491947080290572</v>
      </c>
      <c r="AD238" s="544">
        <v>8.2121465199951018</v>
      </c>
      <c r="AE238" s="544">
        <v>8.2762189484692872</v>
      </c>
      <c r="AF238" s="544">
        <v>8.3414199479797855</v>
      </c>
      <c r="AG238" s="544">
        <v>8.4076814853257265</v>
      </c>
      <c r="AH238" s="544">
        <v>8.4750226175007377</v>
      </c>
      <c r="AI238" s="544">
        <v>8.5434337882140809</v>
      </c>
      <c r="AJ238" s="544">
        <v>8.6129030680755747</v>
      </c>
      <c r="AK238" s="544">
        <v>8.6834106979409391</v>
      </c>
      <c r="AL238" s="544"/>
      <c r="AM238" s="544"/>
      <c r="AN238" s="544"/>
      <c r="AO238" s="544"/>
      <c r="AP238" s="544"/>
      <c r="AQ238" s="544"/>
      <c r="AR238" s="544"/>
      <c r="AS238" s="544"/>
      <c r="AT238" s="544"/>
      <c r="AU238" s="544"/>
      <c r="AV238" s="544"/>
      <c r="AW238" s="544"/>
      <c r="AX238" s="544"/>
      <c r="AY238" s="544"/>
      <c r="AZ238" s="544"/>
      <c r="BA238" s="544"/>
      <c r="BB238" s="544"/>
      <c r="BC238" s="544"/>
      <c r="BD238" s="544"/>
      <c r="BE238" s="544"/>
      <c r="BF238" s="544"/>
      <c r="BG238" s="544"/>
      <c r="BH238" s="544"/>
      <c r="BI238" s="544"/>
      <c r="BJ238" s="544"/>
      <c r="BK238" s="544"/>
      <c r="BL238" s="544"/>
      <c r="BM238" s="544"/>
      <c r="BN238" s="544"/>
      <c r="BO238" s="544"/>
      <c r="BP238" s="544"/>
      <c r="BQ238" s="544"/>
      <c r="BR238" s="544"/>
      <c r="BS238" s="544"/>
      <c r="BT238" s="544"/>
      <c r="BU238" s="544"/>
      <c r="BV238" s="544"/>
      <c r="BW238" s="544"/>
      <c r="BX238" s="544"/>
      <c r="BY238" s="544"/>
      <c r="BZ238" s="544"/>
      <c r="CA238" s="544"/>
      <c r="CB238" s="544"/>
      <c r="CC238" s="544"/>
      <c r="CD238" s="544"/>
      <c r="CE238" s="544"/>
      <c r="CF238" s="544"/>
      <c r="CG238" s="544"/>
      <c r="CH238" s="544"/>
      <c r="CI238" s="545"/>
      <c r="CK238" s="1293"/>
    </row>
    <row r="239" spans="1:89" s="1292" customFormat="1" x14ac:dyDescent="0.2">
      <c r="A239" s="1284"/>
      <c r="B239" s="824" t="s">
        <v>519</v>
      </c>
      <c r="C239" s="825" t="s">
        <v>520</v>
      </c>
      <c r="D239" s="821" t="s">
        <v>86</v>
      </c>
      <c r="E239" s="822" t="s">
        <v>236</v>
      </c>
      <c r="F239" s="823">
        <v>2</v>
      </c>
      <c r="G239" s="540"/>
      <c r="H239" s="540"/>
      <c r="I239" s="540">
        <v>6.3309619898029483</v>
      </c>
      <c r="J239" s="540">
        <v>5.9276781221099482</v>
      </c>
      <c r="K239" s="540">
        <v>5.4834279203611631</v>
      </c>
      <c r="L239" s="540">
        <v>4.9896661171342833</v>
      </c>
      <c r="M239" s="544">
        <v>4.3637396959076993</v>
      </c>
      <c r="N239" s="544">
        <v>3.560016179883895</v>
      </c>
      <c r="O239" s="544">
        <v>3.1707474514885599</v>
      </c>
      <c r="P239" s="544">
        <v>3.0749435748529859</v>
      </c>
      <c r="Q239" s="544">
        <v>2.9791396982174119</v>
      </c>
      <c r="R239" s="544">
        <v>2.9068502603186404</v>
      </c>
      <c r="S239" s="544">
        <v>2.8578424449315487</v>
      </c>
      <c r="T239" s="544">
        <v>2.8088346295444571</v>
      </c>
      <c r="U239" s="544">
        <v>2.759826814157365</v>
      </c>
      <c r="V239" s="544">
        <v>2.7108189987702729</v>
      </c>
      <c r="W239" s="544">
        <v>2.681484154405553</v>
      </c>
      <c r="X239" s="544">
        <v>2.6708910161627371</v>
      </c>
      <c r="Y239" s="544">
        <v>2.6602978779199216</v>
      </c>
      <c r="Z239" s="544">
        <v>2.6497047396771061</v>
      </c>
      <c r="AA239" s="544">
        <v>2.639111601434291</v>
      </c>
      <c r="AB239" s="544">
        <v>2.6285184631914751</v>
      </c>
      <c r="AC239" s="544">
        <v>2.6179253249486596</v>
      </c>
      <c r="AD239" s="544">
        <v>2.6073321867058441</v>
      </c>
      <c r="AE239" s="544">
        <v>2.5967390484630286</v>
      </c>
      <c r="AF239" s="544">
        <v>2.5861459102202127</v>
      </c>
      <c r="AG239" s="544">
        <v>2.5755527719773976</v>
      </c>
      <c r="AH239" s="544">
        <v>2.5649596337345817</v>
      </c>
      <c r="AI239" s="544">
        <v>2.5543664954917662</v>
      </c>
      <c r="AJ239" s="544">
        <v>2.5437733572489503</v>
      </c>
      <c r="AK239" s="544">
        <v>2.5331802190061352</v>
      </c>
      <c r="AL239" s="544"/>
      <c r="AM239" s="544"/>
      <c r="AN239" s="544"/>
      <c r="AO239" s="544"/>
      <c r="AP239" s="544"/>
      <c r="AQ239" s="544"/>
      <c r="AR239" s="544"/>
      <c r="AS239" s="544"/>
      <c r="AT239" s="544"/>
      <c r="AU239" s="544"/>
      <c r="AV239" s="544"/>
      <c r="AW239" s="544"/>
      <c r="AX239" s="544"/>
      <c r="AY239" s="544"/>
      <c r="AZ239" s="544"/>
      <c r="BA239" s="544"/>
      <c r="BB239" s="544"/>
      <c r="BC239" s="544"/>
      <c r="BD239" s="544"/>
      <c r="BE239" s="544"/>
      <c r="BF239" s="544"/>
      <c r="BG239" s="544"/>
      <c r="BH239" s="544"/>
      <c r="BI239" s="544"/>
      <c r="BJ239" s="544"/>
      <c r="BK239" s="544"/>
      <c r="BL239" s="544"/>
      <c r="BM239" s="544"/>
      <c r="BN239" s="544"/>
      <c r="BO239" s="544"/>
      <c r="BP239" s="544"/>
      <c r="BQ239" s="544"/>
      <c r="BR239" s="544"/>
      <c r="BS239" s="544"/>
      <c r="BT239" s="544"/>
      <c r="BU239" s="544"/>
      <c r="BV239" s="544"/>
      <c r="BW239" s="544"/>
      <c r="BX239" s="544"/>
      <c r="BY239" s="544"/>
      <c r="BZ239" s="544"/>
      <c r="CA239" s="544"/>
      <c r="CB239" s="544"/>
      <c r="CC239" s="544"/>
      <c r="CD239" s="544"/>
      <c r="CE239" s="544"/>
      <c r="CF239" s="544"/>
      <c r="CG239" s="544"/>
      <c r="CH239" s="544"/>
      <c r="CI239" s="545"/>
      <c r="CK239" s="1293"/>
    </row>
    <row r="240" spans="1:89" s="1292" customFormat="1" x14ac:dyDescent="0.2">
      <c r="A240" s="1284"/>
      <c r="B240" s="824" t="s">
        <v>521</v>
      </c>
      <c r="C240" s="825" t="s">
        <v>522</v>
      </c>
      <c r="D240" s="821" t="s">
        <v>86</v>
      </c>
      <c r="E240" s="822" t="s">
        <v>236</v>
      </c>
      <c r="F240" s="823">
        <v>2</v>
      </c>
      <c r="G240" s="540"/>
      <c r="H240" s="540"/>
      <c r="I240" s="540">
        <v>0.71015557626448644</v>
      </c>
      <c r="J240" s="540">
        <v>0.70957831041263186</v>
      </c>
      <c r="K240" s="540">
        <v>0.7169531899542706</v>
      </c>
      <c r="L240" s="540">
        <v>0.72509979371537092</v>
      </c>
      <c r="M240" s="544">
        <v>0.69774826221252928</v>
      </c>
      <c r="N240" s="544">
        <v>0.70642634954937089</v>
      </c>
      <c r="O240" s="544">
        <v>0.71513849647621386</v>
      </c>
      <c r="P240" s="544">
        <v>0.72339045495781829</v>
      </c>
      <c r="Q240" s="544">
        <v>0.72985760472073313</v>
      </c>
      <c r="R240" s="544">
        <v>0.73538939689793237</v>
      </c>
      <c r="S240" s="544">
        <v>0.74033483938257005</v>
      </c>
      <c r="T240" s="544">
        <v>0.74482518470887082</v>
      </c>
      <c r="U240" s="544">
        <v>0.74865252462163245</v>
      </c>
      <c r="V240" s="544">
        <v>0.752989872806759</v>
      </c>
      <c r="W240" s="544">
        <v>0.75739545739270209</v>
      </c>
      <c r="X240" s="544">
        <v>0.76193245920284425</v>
      </c>
      <c r="Y240" s="544">
        <v>0.76656865386526496</v>
      </c>
      <c r="Z240" s="544">
        <v>0.77129483989556935</v>
      </c>
      <c r="AA240" s="544">
        <v>0.77611180323133167</v>
      </c>
      <c r="AB240" s="544">
        <v>0.78101670528641165</v>
      </c>
      <c r="AC240" s="544">
        <v>0.78601640708277132</v>
      </c>
      <c r="AD240" s="544">
        <v>0.79110910530435075</v>
      </c>
      <c r="AE240" s="544">
        <v>0.79629427477401871</v>
      </c>
      <c r="AF240" s="544">
        <v>0.80157256303391622</v>
      </c>
      <c r="AG240" s="544">
        <v>0.80693832784319941</v>
      </c>
      <c r="AH240" s="544">
        <v>0.81239313683149939</v>
      </c>
      <c r="AI240" s="544">
        <v>0.81793618926750999</v>
      </c>
      <c r="AJ240" s="544">
        <v>0.82356648838218405</v>
      </c>
      <c r="AK240" s="544">
        <v>0.82928238986554337</v>
      </c>
      <c r="AL240" s="544"/>
      <c r="AM240" s="544"/>
      <c r="AN240" s="544"/>
      <c r="AO240" s="544"/>
      <c r="AP240" s="544"/>
      <c r="AQ240" s="544"/>
      <c r="AR240" s="544"/>
      <c r="AS240" s="544"/>
      <c r="AT240" s="544"/>
      <c r="AU240" s="544"/>
      <c r="AV240" s="544"/>
      <c r="AW240" s="544"/>
      <c r="AX240" s="544"/>
      <c r="AY240" s="544"/>
      <c r="AZ240" s="544"/>
      <c r="BA240" s="544"/>
      <c r="BB240" s="544"/>
      <c r="BC240" s="544"/>
      <c r="BD240" s="544"/>
      <c r="BE240" s="544"/>
      <c r="BF240" s="544"/>
      <c r="BG240" s="544"/>
      <c r="BH240" s="544"/>
      <c r="BI240" s="544"/>
      <c r="BJ240" s="544"/>
      <c r="BK240" s="544"/>
      <c r="BL240" s="544"/>
      <c r="BM240" s="544"/>
      <c r="BN240" s="544"/>
      <c r="BO240" s="544"/>
      <c r="BP240" s="544"/>
      <c r="BQ240" s="544"/>
      <c r="BR240" s="544"/>
      <c r="BS240" s="544"/>
      <c r="BT240" s="544"/>
      <c r="BU240" s="544"/>
      <c r="BV240" s="544"/>
      <c r="BW240" s="544"/>
      <c r="BX240" s="544"/>
      <c r="BY240" s="544"/>
      <c r="BZ240" s="544"/>
      <c r="CA240" s="544"/>
      <c r="CB240" s="544"/>
      <c r="CC240" s="544"/>
      <c r="CD240" s="544"/>
      <c r="CE240" s="544"/>
      <c r="CF240" s="544"/>
      <c r="CG240" s="544"/>
      <c r="CH240" s="544"/>
      <c r="CI240" s="545"/>
      <c r="CK240" s="1293"/>
    </row>
    <row r="241" spans="1:89" s="1292" customFormat="1" x14ac:dyDescent="0.2">
      <c r="A241" s="1284"/>
      <c r="B241" s="824" t="s">
        <v>523</v>
      </c>
      <c r="C241" s="820" t="s">
        <v>524</v>
      </c>
      <c r="D241" s="821" t="s">
        <v>86</v>
      </c>
      <c r="E241" s="822" t="s">
        <v>236</v>
      </c>
      <c r="F241" s="823">
        <v>2</v>
      </c>
      <c r="G241" s="540"/>
      <c r="H241" s="540"/>
      <c r="I241" s="540">
        <v>40.435810257655746</v>
      </c>
      <c r="J241" s="540">
        <v>40.329666762997235</v>
      </c>
      <c r="K241" s="540">
        <v>38.694603262270348</v>
      </c>
      <c r="L241" s="540">
        <v>37.072602232581843</v>
      </c>
      <c r="M241" s="544">
        <v>37.206167540240621</v>
      </c>
      <c r="N241" s="544">
        <v>37.402239238174936</v>
      </c>
      <c r="O241" s="544">
        <v>37.44023671917428</v>
      </c>
      <c r="P241" s="544">
        <v>37.372587260796593</v>
      </c>
      <c r="Q241" s="544">
        <v>37.328575745350051</v>
      </c>
      <c r="R241" s="544">
        <v>37.28786623915186</v>
      </c>
      <c r="S241" s="544">
        <v>37.24621771786564</v>
      </c>
      <c r="T241" s="544">
        <v>37.210514800745941</v>
      </c>
      <c r="U241" s="544">
        <v>37.183476475207485</v>
      </c>
      <c r="V241" s="544">
        <v>37.14976849298786</v>
      </c>
      <c r="W241" s="544">
        <v>37.107523560594721</v>
      </c>
      <c r="X241" s="544">
        <v>37.056431851459294</v>
      </c>
      <c r="Y241" s="544">
        <v>37.004039996086384</v>
      </c>
      <c r="Z241" s="544">
        <v>36.95046815770678</v>
      </c>
      <c r="AA241" s="544">
        <v>36.895705923657907</v>
      </c>
      <c r="AB241" s="544">
        <v>36.83979028049113</v>
      </c>
      <c r="AC241" s="544">
        <v>36.782631370511211</v>
      </c>
      <c r="AD241" s="544">
        <v>36.724252638570292</v>
      </c>
      <c r="AE241" s="544">
        <v>36.664660818873138</v>
      </c>
      <c r="AF241" s="544">
        <v>36.603847309349447</v>
      </c>
      <c r="AG241" s="544">
        <v>36.541885785440925</v>
      </c>
      <c r="AH241" s="544">
        <v>36.478755622524318</v>
      </c>
      <c r="AI241" s="544">
        <v>36.41446717762166</v>
      </c>
      <c r="AJ241" s="544">
        <v>36.349033376892194</v>
      </c>
      <c r="AK241" s="544">
        <v>36.282475623790177</v>
      </c>
      <c r="AL241" s="544"/>
      <c r="AM241" s="544"/>
      <c r="AN241" s="544"/>
      <c r="AO241" s="544"/>
      <c r="AP241" s="544"/>
      <c r="AQ241" s="544"/>
      <c r="AR241" s="544"/>
      <c r="AS241" s="544"/>
      <c r="AT241" s="544"/>
      <c r="AU241" s="544"/>
      <c r="AV241" s="544"/>
      <c r="AW241" s="544"/>
      <c r="AX241" s="544"/>
      <c r="AY241" s="544"/>
      <c r="AZ241" s="544"/>
      <c r="BA241" s="544"/>
      <c r="BB241" s="544"/>
      <c r="BC241" s="544"/>
      <c r="BD241" s="544"/>
      <c r="BE241" s="544"/>
      <c r="BF241" s="544"/>
      <c r="BG241" s="544"/>
      <c r="BH241" s="544"/>
      <c r="BI241" s="544"/>
      <c r="BJ241" s="544"/>
      <c r="BK241" s="544"/>
      <c r="BL241" s="544"/>
      <c r="BM241" s="544"/>
      <c r="BN241" s="544"/>
      <c r="BO241" s="544"/>
      <c r="BP241" s="544"/>
      <c r="BQ241" s="544"/>
      <c r="BR241" s="544"/>
      <c r="BS241" s="544"/>
      <c r="BT241" s="544"/>
      <c r="BU241" s="544"/>
      <c r="BV241" s="544"/>
      <c r="BW241" s="544"/>
      <c r="BX241" s="544"/>
      <c r="BY241" s="544"/>
      <c r="BZ241" s="544"/>
      <c r="CA241" s="544"/>
      <c r="CB241" s="544"/>
      <c r="CC241" s="544"/>
      <c r="CD241" s="544"/>
      <c r="CE241" s="544"/>
      <c r="CF241" s="544"/>
      <c r="CG241" s="544"/>
      <c r="CH241" s="544"/>
      <c r="CI241" s="545"/>
      <c r="CK241" s="1293"/>
    </row>
    <row r="242" spans="1:89" s="1292" customFormat="1" x14ac:dyDescent="0.2">
      <c r="A242" s="1284"/>
      <c r="B242" s="824" t="s">
        <v>525</v>
      </c>
      <c r="C242" s="820" t="s">
        <v>243</v>
      </c>
      <c r="D242" s="821" t="s">
        <v>526</v>
      </c>
      <c r="E242" s="822" t="s">
        <v>236</v>
      </c>
      <c r="F242" s="823">
        <v>2</v>
      </c>
      <c r="G242" s="547">
        <f>SUM(G236:G241)</f>
        <v>0</v>
      </c>
      <c r="H242" s="547">
        <f t="shared" ref="H242:AK242" si="97">SUM(H236:H241)</f>
        <v>0</v>
      </c>
      <c r="I242" s="547">
        <f t="shared" si="97"/>
        <v>53.344869343162344</v>
      </c>
      <c r="J242" s="547">
        <f t="shared" si="97"/>
        <v>52.857053199999996</v>
      </c>
      <c r="K242" s="547">
        <f t="shared" si="97"/>
        <v>50.790017599999985</v>
      </c>
      <c r="L242" s="547">
        <f t="shared" si="97"/>
        <v>48.722981999999995</v>
      </c>
      <c r="M242" s="552">
        <f t="shared" si="97"/>
        <v>48.722982000000002</v>
      </c>
      <c r="N242" s="552">
        <f t="shared" si="97"/>
        <v>48.722982000000002</v>
      </c>
      <c r="O242" s="552">
        <f t="shared" si="97"/>
        <v>48.722982000000002</v>
      </c>
      <c r="P242" s="552">
        <f t="shared" si="97"/>
        <v>48.722982000000002</v>
      </c>
      <c r="Q242" s="552">
        <f t="shared" si="97"/>
        <v>48.722982000000002</v>
      </c>
      <c r="R242" s="552">
        <f t="shared" si="97"/>
        <v>48.722982000000002</v>
      </c>
      <c r="S242" s="552">
        <f t="shared" si="97"/>
        <v>48.722982000000002</v>
      </c>
      <c r="T242" s="552">
        <f t="shared" si="97"/>
        <v>48.722982000000002</v>
      </c>
      <c r="U242" s="552">
        <f t="shared" si="97"/>
        <v>48.722982000000002</v>
      </c>
      <c r="V242" s="552">
        <f t="shared" si="97"/>
        <v>48.722981999999995</v>
      </c>
      <c r="W242" s="552">
        <f t="shared" si="97"/>
        <v>48.722982000000002</v>
      </c>
      <c r="X242" s="552">
        <f t="shared" si="97"/>
        <v>48.722982000000002</v>
      </c>
      <c r="Y242" s="552">
        <f t="shared" si="97"/>
        <v>48.722982000000002</v>
      </c>
      <c r="Z242" s="552">
        <f t="shared" si="97"/>
        <v>48.722981999999995</v>
      </c>
      <c r="AA242" s="552">
        <f t="shared" si="97"/>
        <v>48.722982000000002</v>
      </c>
      <c r="AB242" s="552">
        <f t="shared" si="97"/>
        <v>48.722982000000002</v>
      </c>
      <c r="AC242" s="552">
        <f t="shared" si="97"/>
        <v>48.722982000000002</v>
      </c>
      <c r="AD242" s="552">
        <f t="shared" si="97"/>
        <v>48.722982000000002</v>
      </c>
      <c r="AE242" s="552">
        <f t="shared" si="97"/>
        <v>48.722982000000002</v>
      </c>
      <c r="AF242" s="552">
        <f t="shared" si="97"/>
        <v>48.722982000000002</v>
      </c>
      <c r="AG242" s="552">
        <f t="shared" si="97"/>
        <v>48.722982000000002</v>
      </c>
      <c r="AH242" s="552">
        <f t="shared" si="97"/>
        <v>48.722982000000002</v>
      </c>
      <c r="AI242" s="552">
        <f t="shared" si="97"/>
        <v>48.722982000000002</v>
      </c>
      <c r="AJ242" s="552">
        <f t="shared" si="97"/>
        <v>48.722982000000002</v>
      </c>
      <c r="AK242" s="552">
        <f t="shared" si="97"/>
        <v>48.722982000000002</v>
      </c>
      <c r="AL242" s="552"/>
      <c r="AM242" s="552"/>
      <c r="AN242" s="552"/>
      <c r="AO242" s="552"/>
      <c r="AP242" s="552"/>
      <c r="AQ242" s="552"/>
      <c r="AR242" s="552"/>
      <c r="AS242" s="552"/>
      <c r="AT242" s="552"/>
      <c r="AU242" s="552"/>
      <c r="AV242" s="552"/>
      <c r="AW242" s="552"/>
      <c r="AX242" s="552"/>
      <c r="AY242" s="552"/>
      <c r="AZ242" s="552"/>
      <c r="BA242" s="552"/>
      <c r="BB242" s="552"/>
      <c r="BC242" s="552"/>
      <c r="BD242" s="552"/>
      <c r="BE242" s="552"/>
      <c r="BF242" s="552"/>
      <c r="BG242" s="552"/>
      <c r="BH242" s="552"/>
      <c r="BI242" s="552"/>
      <c r="BJ242" s="552"/>
      <c r="BK242" s="552"/>
      <c r="BL242" s="552"/>
      <c r="BM242" s="552"/>
      <c r="BN242" s="552"/>
      <c r="BO242" s="552"/>
      <c r="BP242" s="552"/>
      <c r="BQ242" s="552"/>
      <c r="BR242" s="552"/>
      <c r="BS242" s="552"/>
      <c r="BT242" s="552"/>
      <c r="BU242" s="552"/>
      <c r="BV242" s="552"/>
      <c r="BW242" s="552"/>
      <c r="BX242" s="552"/>
      <c r="BY242" s="552"/>
      <c r="BZ242" s="552"/>
      <c r="CA242" s="552"/>
      <c r="CB242" s="552"/>
      <c r="CC242" s="552"/>
      <c r="CD242" s="552"/>
      <c r="CE242" s="552"/>
      <c r="CF242" s="552"/>
      <c r="CG242" s="552"/>
      <c r="CH242" s="552"/>
      <c r="CI242" s="548"/>
      <c r="CK242" s="1293"/>
    </row>
    <row r="243" spans="1:89" s="1292" customFormat="1" ht="15" thickBot="1" x14ac:dyDescent="0.25">
      <c r="A243" s="1284"/>
      <c r="B243" s="851" t="s">
        <v>527</v>
      </c>
      <c r="C243" s="852" t="s">
        <v>528</v>
      </c>
      <c r="D243" s="853" t="s">
        <v>529</v>
      </c>
      <c r="E243" s="854" t="s">
        <v>530</v>
      </c>
      <c r="F243" s="832">
        <v>2</v>
      </c>
      <c r="G243" s="559" t="e">
        <f>(G242*1000000)/(G257*1000)</f>
        <v>#DIV/0!</v>
      </c>
      <c r="H243" s="559" t="e">
        <f t="shared" ref="H243:AK243" si="98">(H242*1000000)/(H257*1000)</f>
        <v>#DIV/0!</v>
      </c>
      <c r="I243" s="559">
        <f t="shared" si="98"/>
        <v>77.514515343337834</v>
      </c>
      <c r="J243" s="559">
        <f t="shared" si="98"/>
        <v>76.184177051927861</v>
      </c>
      <c r="K243" s="559">
        <f t="shared" si="98"/>
        <v>72.257491708462155</v>
      </c>
      <c r="L243" s="559">
        <f t="shared" si="98"/>
        <v>68.333518746662875</v>
      </c>
      <c r="M243" s="589">
        <f t="shared" si="98"/>
        <v>67.287510440204244</v>
      </c>
      <c r="N243" s="589">
        <f t="shared" si="98"/>
        <v>66.263080016613472</v>
      </c>
      <c r="O243" s="589">
        <f t="shared" si="98"/>
        <v>65.29733482169334</v>
      </c>
      <c r="P243" s="589">
        <f t="shared" si="98"/>
        <v>64.429811562771476</v>
      </c>
      <c r="Q243" s="589">
        <f t="shared" si="98"/>
        <v>63.772685424197626</v>
      </c>
      <c r="R243" s="589">
        <f t="shared" si="98"/>
        <v>63.225717365503904</v>
      </c>
      <c r="S243" s="589">
        <f t="shared" si="98"/>
        <v>62.750906638263842</v>
      </c>
      <c r="T243" s="589">
        <f t="shared" si="98"/>
        <v>62.328227736232279</v>
      </c>
      <c r="U243" s="589">
        <f t="shared" si="98"/>
        <v>61.976080266729873</v>
      </c>
      <c r="V243" s="589">
        <f t="shared" si="98"/>
        <v>61.578532130579809</v>
      </c>
      <c r="W243" s="589">
        <f t="shared" si="98"/>
        <v>61.179304094364483</v>
      </c>
      <c r="X243" s="589">
        <f t="shared" si="98"/>
        <v>60.774079809534918</v>
      </c>
      <c r="Y243" s="589">
        <f t="shared" si="98"/>
        <v>60.364969205699893</v>
      </c>
      <c r="Z243" s="589">
        <f t="shared" si="98"/>
        <v>59.953079781028663</v>
      </c>
      <c r="AA243" s="589">
        <f t="shared" si="98"/>
        <v>59.53856581448067</v>
      </c>
      <c r="AB243" s="589">
        <f t="shared" si="98"/>
        <v>59.121904587234084</v>
      </c>
      <c r="AC243" s="589">
        <f t="shared" si="98"/>
        <v>58.702702471342334</v>
      </c>
      <c r="AD243" s="589">
        <f t="shared" si="98"/>
        <v>58.281346527740972</v>
      </c>
      <c r="AE243" s="589">
        <f t="shared" si="98"/>
        <v>57.858101080516597</v>
      </c>
      <c r="AF243" s="589">
        <f t="shared" si="98"/>
        <v>57.433124491913404</v>
      </c>
      <c r="AG243" s="589">
        <f t="shared" si="98"/>
        <v>57.007094816893549</v>
      </c>
      <c r="AH243" s="589">
        <f t="shared" si="98"/>
        <v>56.580068654622949</v>
      </c>
      <c r="AI243" s="589">
        <f t="shared" si="98"/>
        <v>56.152295964390667</v>
      </c>
      <c r="AJ243" s="589">
        <f t="shared" si="98"/>
        <v>55.72403340715703</v>
      </c>
      <c r="AK243" s="589">
        <f t="shared" si="98"/>
        <v>55.295578384466047</v>
      </c>
      <c r="AL243" s="589"/>
      <c r="AM243" s="589"/>
      <c r="AN243" s="589"/>
      <c r="AO243" s="589"/>
      <c r="AP243" s="589"/>
      <c r="AQ243" s="589"/>
      <c r="AR243" s="589"/>
      <c r="AS243" s="589"/>
      <c r="AT243" s="589"/>
      <c r="AU243" s="589"/>
      <c r="AV243" s="589"/>
      <c r="AW243" s="589"/>
      <c r="AX243" s="589"/>
      <c r="AY243" s="589"/>
      <c r="AZ243" s="589"/>
      <c r="BA243" s="589"/>
      <c r="BB243" s="589"/>
      <c r="BC243" s="589"/>
      <c r="BD243" s="589"/>
      <c r="BE243" s="589"/>
      <c r="BF243" s="589"/>
      <c r="BG243" s="589"/>
      <c r="BH243" s="589"/>
      <c r="BI243" s="589"/>
      <c r="BJ243" s="589"/>
      <c r="BK243" s="589"/>
      <c r="BL243" s="589"/>
      <c r="BM243" s="589"/>
      <c r="BN243" s="589"/>
      <c r="BO243" s="589"/>
      <c r="BP243" s="589"/>
      <c r="BQ243" s="589"/>
      <c r="BR243" s="589"/>
      <c r="BS243" s="589"/>
      <c r="BT243" s="589"/>
      <c r="BU243" s="589"/>
      <c r="BV243" s="589"/>
      <c r="BW243" s="589"/>
      <c r="BX243" s="589"/>
      <c r="BY243" s="589"/>
      <c r="BZ243" s="589"/>
      <c r="CA243" s="589"/>
      <c r="CB243" s="589"/>
      <c r="CC243" s="589"/>
      <c r="CD243" s="589"/>
      <c r="CE243" s="589"/>
      <c r="CF243" s="589"/>
      <c r="CG243" s="589"/>
      <c r="CH243" s="589"/>
      <c r="CI243" s="560"/>
      <c r="CK243" s="1293"/>
    </row>
    <row r="244" spans="1:89" s="1292" customFormat="1" x14ac:dyDescent="0.2">
      <c r="A244" s="1284"/>
      <c r="B244" s="833" t="s">
        <v>531</v>
      </c>
      <c r="C244" s="834" t="s">
        <v>532</v>
      </c>
      <c r="D244" s="855" t="s">
        <v>86</v>
      </c>
      <c r="E244" s="856" t="s">
        <v>344</v>
      </c>
      <c r="F244" s="857">
        <v>2</v>
      </c>
      <c r="G244" s="593"/>
      <c r="H244" s="593"/>
      <c r="I244" s="593">
        <v>24.036000000000001</v>
      </c>
      <c r="J244" s="593">
        <v>24.350248258819796</v>
      </c>
      <c r="K244" s="593">
        <v>24.432463110532737</v>
      </c>
      <c r="L244" s="593">
        <v>24.514677962245671</v>
      </c>
      <c r="M244" s="594">
        <v>25.684450000000002</v>
      </c>
      <c r="N244" s="594">
        <v>25.770299999999999</v>
      </c>
      <c r="O244" s="594">
        <v>25.856150000000003</v>
      </c>
      <c r="P244" s="594">
        <v>25.942</v>
      </c>
      <c r="Q244" s="594">
        <v>26.027849999999997</v>
      </c>
      <c r="R244" s="594">
        <v>26.113700000000001</v>
      </c>
      <c r="S244" s="594">
        <v>26.199549999999999</v>
      </c>
      <c r="T244" s="594">
        <v>26.285400000000003</v>
      </c>
      <c r="U244" s="594">
        <v>26.37125</v>
      </c>
      <c r="V244" s="594">
        <v>26.457099999999997</v>
      </c>
      <c r="W244" s="594">
        <v>26.538700000000002</v>
      </c>
      <c r="X244" s="594">
        <v>26.6203</v>
      </c>
      <c r="Y244" s="594">
        <v>26.701900000000002</v>
      </c>
      <c r="Z244" s="594">
        <v>26.7835</v>
      </c>
      <c r="AA244" s="594">
        <v>26.865099999999998</v>
      </c>
      <c r="AB244" s="594">
        <v>26.9467</v>
      </c>
      <c r="AC244" s="594">
        <v>27.028299999999998</v>
      </c>
      <c r="AD244" s="594">
        <v>27.109900000000003</v>
      </c>
      <c r="AE244" s="594">
        <v>27.191500000000001</v>
      </c>
      <c r="AF244" s="594">
        <v>27.273099999999999</v>
      </c>
      <c r="AG244" s="594">
        <v>27.354700000000001</v>
      </c>
      <c r="AH244" s="594">
        <v>27.436299999999999</v>
      </c>
      <c r="AI244" s="594">
        <v>27.517900000000001</v>
      </c>
      <c r="AJ244" s="594">
        <v>27.599499999999999</v>
      </c>
      <c r="AK244" s="594">
        <v>27.681099999999997</v>
      </c>
      <c r="AL244" s="594"/>
      <c r="AM244" s="594"/>
      <c r="AN244" s="594"/>
      <c r="AO244" s="594"/>
      <c r="AP244" s="594"/>
      <c r="AQ244" s="594"/>
      <c r="AR244" s="594"/>
      <c r="AS244" s="594"/>
      <c r="AT244" s="594"/>
      <c r="AU244" s="594"/>
      <c r="AV244" s="594"/>
      <c r="AW244" s="594"/>
      <c r="AX244" s="594"/>
      <c r="AY244" s="594"/>
      <c r="AZ244" s="594"/>
      <c r="BA244" s="594"/>
      <c r="BB244" s="594"/>
      <c r="BC244" s="594"/>
      <c r="BD244" s="594"/>
      <c r="BE244" s="594"/>
      <c r="BF244" s="594"/>
      <c r="BG244" s="594"/>
      <c r="BH244" s="594"/>
      <c r="BI244" s="594"/>
      <c r="BJ244" s="594"/>
      <c r="BK244" s="594"/>
      <c r="BL244" s="594"/>
      <c r="BM244" s="594"/>
      <c r="BN244" s="594"/>
      <c r="BO244" s="594"/>
      <c r="BP244" s="594"/>
      <c r="BQ244" s="594"/>
      <c r="BR244" s="594"/>
      <c r="BS244" s="594"/>
      <c r="BT244" s="594"/>
      <c r="BU244" s="594"/>
      <c r="BV244" s="594"/>
      <c r="BW244" s="594"/>
      <c r="BX244" s="594"/>
      <c r="BY244" s="594"/>
      <c r="BZ244" s="594"/>
      <c r="CA244" s="594"/>
      <c r="CB244" s="594"/>
      <c r="CC244" s="594"/>
      <c r="CD244" s="594"/>
      <c r="CE244" s="594"/>
      <c r="CF244" s="594"/>
      <c r="CG244" s="594"/>
      <c r="CH244" s="594"/>
      <c r="CI244" s="595"/>
      <c r="CK244" s="1293"/>
    </row>
    <row r="245" spans="1:89" s="1292" customFormat="1" x14ac:dyDescent="0.2">
      <c r="A245" s="1284"/>
      <c r="B245" s="837" t="s">
        <v>533</v>
      </c>
      <c r="C245" s="838" t="s">
        <v>534</v>
      </c>
      <c r="D245" s="858" t="s">
        <v>86</v>
      </c>
      <c r="E245" s="844" t="s">
        <v>344</v>
      </c>
      <c r="F245" s="845">
        <v>2</v>
      </c>
      <c r="G245" s="597"/>
      <c r="H245" s="597"/>
      <c r="I245" s="597">
        <v>1.52</v>
      </c>
      <c r="J245" s="597">
        <v>1.5116672255144381</v>
      </c>
      <c r="K245" s="597">
        <v>1.4949530652493412</v>
      </c>
      <c r="L245" s="597">
        <v>1.4782389049842446</v>
      </c>
      <c r="M245" s="598">
        <v>1.705125</v>
      </c>
      <c r="N245" s="598">
        <v>1.693125</v>
      </c>
      <c r="O245" s="598">
        <v>1.681125</v>
      </c>
      <c r="P245" s="598">
        <v>1.669125</v>
      </c>
      <c r="Q245" s="598">
        <v>1.6608750000000001</v>
      </c>
      <c r="R245" s="598">
        <v>1.652625</v>
      </c>
      <c r="S245" s="598">
        <v>1.647375</v>
      </c>
      <c r="T245" s="598">
        <v>1.6421250000000001</v>
      </c>
      <c r="U245" s="598">
        <v>1.6368750000000001</v>
      </c>
      <c r="V245" s="598">
        <v>1.6316250000000001</v>
      </c>
      <c r="W245" s="598">
        <v>1.6263749999999999</v>
      </c>
      <c r="X245" s="598">
        <v>1.6211249999999999</v>
      </c>
      <c r="Y245" s="598">
        <v>1.615875</v>
      </c>
      <c r="Z245" s="598">
        <v>1.610625</v>
      </c>
      <c r="AA245" s="598">
        <v>1.605375</v>
      </c>
      <c r="AB245" s="598">
        <v>1.600125</v>
      </c>
      <c r="AC245" s="598">
        <v>1.594875</v>
      </c>
      <c r="AD245" s="598">
        <v>1.5896250000000001</v>
      </c>
      <c r="AE245" s="598">
        <v>1.5843750000000001</v>
      </c>
      <c r="AF245" s="598">
        <v>1.5791249999999999</v>
      </c>
      <c r="AG245" s="598">
        <v>1.5738749999999999</v>
      </c>
      <c r="AH245" s="598">
        <v>1.5686249999999999</v>
      </c>
      <c r="AI245" s="598">
        <v>1.563375</v>
      </c>
      <c r="AJ245" s="598">
        <v>1.558125</v>
      </c>
      <c r="AK245" s="598">
        <v>1.552875</v>
      </c>
      <c r="AL245" s="598"/>
      <c r="AM245" s="598"/>
      <c r="AN245" s="598"/>
      <c r="AO245" s="598"/>
      <c r="AP245" s="598"/>
      <c r="AQ245" s="598"/>
      <c r="AR245" s="598"/>
      <c r="AS245" s="598"/>
      <c r="AT245" s="598"/>
      <c r="AU245" s="598"/>
      <c r="AV245" s="598"/>
      <c r="AW245" s="598"/>
      <c r="AX245" s="598"/>
      <c r="AY245" s="598"/>
      <c r="AZ245" s="598"/>
      <c r="BA245" s="598"/>
      <c r="BB245" s="598"/>
      <c r="BC245" s="598"/>
      <c r="BD245" s="598"/>
      <c r="BE245" s="598"/>
      <c r="BF245" s="598"/>
      <c r="BG245" s="598"/>
      <c r="BH245" s="598"/>
      <c r="BI245" s="598"/>
      <c r="BJ245" s="598"/>
      <c r="BK245" s="598"/>
      <c r="BL245" s="598"/>
      <c r="BM245" s="598"/>
      <c r="BN245" s="598"/>
      <c r="BO245" s="598"/>
      <c r="BP245" s="598"/>
      <c r="BQ245" s="598"/>
      <c r="BR245" s="598"/>
      <c r="BS245" s="598"/>
      <c r="BT245" s="598"/>
      <c r="BU245" s="598"/>
      <c r="BV245" s="598"/>
      <c r="BW245" s="598"/>
      <c r="BX245" s="598"/>
      <c r="BY245" s="598"/>
      <c r="BZ245" s="598"/>
      <c r="CA245" s="598"/>
      <c r="CB245" s="598"/>
      <c r="CC245" s="598"/>
      <c r="CD245" s="598"/>
      <c r="CE245" s="598"/>
      <c r="CF245" s="598"/>
      <c r="CG245" s="598"/>
      <c r="CH245" s="598"/>
      <c r="CI245" s="599"/>
      <c r="CK245" s="1293"/>
    </row>
    <row r="246" spans="1:89" s="1292" customFormat="1" x14ac:dyDescent="0.2">
      <c r="A246" s="1284"/>
      <c r="B246" s="859" t="s">
        <v>535</v>
      </c>
      <c r="C246" s="860" t="s">
        <v>536</v>
      </c>
      <c r="D246" s="858" t="s">
        <v>86</v>
      </c>
      <c r="E246" s="844" t="s">
        <v>344</v>
      </c>
      <c r="F246" s="845">
        <v>2</v>
      </c>
      <c r="G246" s="597"/>
      <c r="H246" s="597"/>
      <c r="I246" s="597">
        <v>6.6349999999999998</v>
      </c>
      <c r="J246" s="597">
        <v>6.4035845156657647</v>
      </c>
      <c r="K246" s="597">
        <v>6.4130838242179253</v>
      </c>
      <c r="L246" s="597">
        <v>6.4225831327700851</v>
      </c>
      <c r="M246" s="598">
        <v>5.1009250000000002</v>
      </c>
      <c r="N246" s="598">
        <v>5.1120749999999999</v>
      </c>
      <c r="O246" s="598">
        <v>5.1232249999999997</v>
      </c>
      <c r="P246" s="598">
        <v>5.1343750000000004</v>
      </c>
      <c r="Q246" s="598">
        <v>5.1467749999999999</v>
      </c>
      <c r="R246" s="598">
        <v>5.1591750000000003</v>
      </c>
      <c r="S246" s="598">
        <v>5.1725750000000001</v>
      </c>
      <c r="T246" s="598">
        <v>5.1859749999999991</v>
      </c>
      <c r="U246" s="598">
        <v>5.1993749999999999</v>
      </c>
      <c r="V246" s="598">
        <v>5.2127749999999997</v>
      </c>
      <c r="W246" s="598">
        <v>5.2254250000000004</v>
      </c>
      <c r="X246" s="598">
        <v>5.2380750000000003</v>
      </c>
      <c r="Y246" s="598">
        <v>5.2507249999999992</v>
      </c>
      <c r="Z246" s="598">
        <v>5.2633749999999999</v>
      </c>
      <c r="AA246" s="598">
        <v>5.2760249999999997</v>
      </c>
      <c r="AB246" s="598">
        <v>5.2886750000000005</v>
      </c>
      <c r="AC246" s="598">
        <v>5.3013249999999994</v>
      </c>
      <c r="AD246" s="598">
        <v>5.3139749999999992</v>
      </c>
      <c r="AE246" s="598">
        <v>5.3266249999999999</v>
      </c>
      <c r="AF246" s="598">
        <v>5.3392749999999998</v>
      </c>
      <c r="AG246" s="598">
        <v>5.3519250000000005</v>
      </c>
      <c r="AH246" s="598">
        <v>5.3645749999999994</v>
      </c>
      <c r="AI246" s="598">
        <v>5.3772249999999993</v>
      </c>
      <c r="AJ246" s="598">
        <v>5.389875</v>
      </c>
      <c r="AK246" s="598">
        <v>5.4025249999999998</v>
      </c>
      <c r="AL246" s="598"/>
      <c r="AM246" s="598"/>
      <c r="AN246" s="598"/>
      <c r="AO246" s="598"/>
      <c r="AP246" s="598"/>
      <c r="AQ246" s="598"/>
      <c r="AR246" s="598"/>
      <c r="AS246" s="598"/>
      <c r="AT246" s="598"/>
      <c r="AU246" s="598"/>
      <c r="AV246" s="598"/>
      <c r="AW246" s="598"/>
      <c r="AX246" s="598"/>
      <c r="AY246" s="598"/>
      <c r="AZ246" s="598"/>
      <c r="BA246" s="598"/>
      <c r="BB246" s="598"/>
      <c r="BC246" s="598"/>
      <c r="BD246" s="598"/>
      <c r="BE246" s="598"/>
      <c r="BF246" s="598"/>
      <c r="BG246" s="598"/>
      <c r="BH246" s="598"/>
      <c r="BI246" s="598"/>
      <c r="BJ246" s="598"/>
      <c r="BK246" s="598"/>
      <c r="BL246" s="598"/>
      <c r="BM246" s="598"/>
      <c r="BN246" s="598"/>
      <c r="BO246" s="598"/>
      <c r="BP246" s="598"/>
      <c r="BQ246" s="598"/>
      <c r="BR246" s="598"/>
      <c r="BS246" s="598"/>
      <c r="BT246" s="598"/>
      <c r="BU246" s="598"/>
      <c r="BV246" s="598"/>
      <c r="BW246" s="598"/>
      <c r="BX246" s="598"/>
      <c r="BY246" s="598"/>
      <c r="BZ246" s="598"/>
      <c r="CA246" s="598"/>
      <c r="CB246" s="598"/>
      <c r="CC246" s="598"/>
      <c r="CD246" s="598"/>
      <c r="CE246" s="598"/>
      <c r="CF246" s="598"/>
      <c r="CG246" s="598"/>
      <c r="CH246" s="598"/>
      <c r="CI246" s="599"/>
      <c r="CK246" s="1293"/>
    </row>
    <row r="247" spans="1:89" s="1292" customFormat="1" ht="28.5" x14ac:dyDescent="0.2">
      <c r="A247" s="1284"/>
      <c r="B247" s="859" t="s">
        <v>537</v>
      </c>
      <c r="C247" s="860" t="s">
        <v>538</v>
      </c>
      <c r="D247" s="602" t="s">
        <v>539</v>
      </c>
      <c r="E247" s="603" t="s">
        <v>344</v>
      </c>
      <c r="F247" s="604">
        <v>2</v>
      </c>
      <c r="G247" s="597"/>
      <c r="H247" s="597"/>
      <c r="I247" s="597">
        <v>402.48899999999998</v>
      </c>
      <c r="J247" s="552">
        <f t="shared" ref="J247:M247" si="99">I247+SUM(J248:J253)</f>
        <v>414.15406383130227</v>
      </c>
      <c r="K247" s="552">
        <f t="shared" si="99"/>
        <v>431.40095586723061</v>
      </c>
      <c r="L247" s="552">
        <f t="shared" si="99"/>
        <v>452.41886311448849</v>
      </c>
      <c r="M247" s="552">
        <f t="shared" si="99"/>
        <v>489.18617390456541</v>
      </c>
      <c r="N247" s="552">
        <f t="shared" ref="N247" si="100">M247+SUM(N248:N253)</f>
        <v>533.46074680769652</v>
      </c>
      <c r="O247" s="552">
        <f t="shared" ref="O247" si="101">N247+SUM(O248:O253)</f>
        <v>560.15272726981323</v>
      </c>
      <c r="P247" s="552">
        <f t="shared" ref="P247" si="102">O247+SUM(P248:P253)</f>
        <v>573.81105801883029</v>
      </c>
      <c r="Q247" s="552">
        <f t="shared" ref="Q247" si="103">P247+SUM(Q248:Q253)</f>
        <v>585.27688507960727</v>
      </c>
      <c r="R247" s="552">
        <f t="shared" ref="R247" si="104">Q247+SUM(R248:R253)</f>
        <v>594.61517804940422</v>
      </c>
      <c r="S247" s="552">
        <f t="shared" ref="S247" si="105">R247+SUM(S248:S253)</f>
        <v>602.2239612418075</v>
      </c>
      <c r="T247" s="552">
        <f t="shared" ref="T247" si="106">S247+SUM(T248:T253)</f>
        <v>609.28409182278494</v>
      </c>
      <c r="U247" s="552">
        <f t="shared" ref="U247" si="107">T247+SUM(U248:U253)</f>
        <v>615.54492132076427</v>
      </c>
      <c r="V247" s="552">
        <f t="shared" ref="V247" si="108">U247+SUM(V248:V253)</f>
        <v>622.42060275828248</v>
      </c>
      <c r="W247" s="552">
        <f t="shared" ref="W247" si="109">V247+SUM(W248:W253)</f>
        <v>628.5664766560385</v>
      </c>
      <c r="X247" s="552">
        <f t="shared" ref="X247" si="110">W247+SUM(X248:X253)</f>
        <v>634.07383934283769</v>
      </c>
      <c r="Y247" s="552">
        <f t="shared" ref="Y247" si="111">X247+SUM(Y248:Y253)</f>
        <v>639.70078620290747</v>
      </c>
      <c r="Z247" s="552">
        <f t="shared" ref="Z247" si="112">Y247+SUM(Z248:Z253)</f>
        <v>645.43622417985341</v>
      </c>
      <c r="AA247" s="552">
        <f t="shared" ref="AA247" si="113">Z247+SUM(AA248:AA253)</f>
        <v>651.28110077838858</v>
      </c>
      <c r="AB247" s="552">
        <f t="shared" ref="AB247" si="114">AA247+SUM(AB248:AB253)</f>
        <v>657.23199387717102</v>
      </c>
      <c r="AC247" s="552">
        <f t="shared" ref="AC247" si="115">AB247+SUM(AC248:AC253)</f>
        <v>663.29717493548628</v>
      </c>
      <c r="AD247" s="552">
        <f t="shared" ref="AD247" si="116">AC247+SUM(AD248:AD253)</f>
        <v>669.47446992511357</v>
      </c>
      <c r="AE247" s="552">
        <f t="shared" ref="AE247" si="117">AD247+SUM(AE248:AE253)</f>
        <v>675.76324570695465</v>
      </c>
      <c r="AF247" s="552">
        <f t="shared" ref="AF247" si="118">AE247+SUM(AF248:AF253)</f>
        <v>682.16428293999661</v>
      </c>
      <c r="AG247" s="552">
        <f t="shared" ref="AG247" si="119">AF247+SUM(AG248:AG253)</f>
        <v>688.67077949393251</v>
      </c>
      <c r="AH247" s="552">
        <f t="shared" ref="AH247" si="120">AG247+SUM(AH248:AH253)</f>
        <v>695.28462525991017</v>
      </c>
      <c r="AI247" s="552">
        <f t="shared" ref="AI247" si="121">AH247+SUM(AI248:AI253)</f>
        <v>702.00485489829987</v>
      </c>
      <c r="AJ247" s="552">
        <f t="shared" ref="AJ247" si="122">AI247+SUM(AJ248:AJ253)</f>
        <v>708.83026673176641</v>
      </c>
      <c r="AK247" s="552">
        <f t="shared" ref="AK247" si="123">AJ247+SUM(AK248:AK253)</f>
        <v>715.758878425445</v>
      </c>
      <c r="AL247" s="552"/>
      <c r="AM247" s="552"/>
      <c r="AN247" s="552"/>
      <c r="AO247" s="552"/>
      <c r="AP247" s="552"/>
      <c r="AQ247" s="552"/>
      <c r="AR247" s="552"/>
      <c r="AS247" s="552"/>
      <c r="AT247" s="552"/>
      <c r="AU247" s="552"/>
      <c r="AV247" s="552"/>
      <c r="AW247" s="552"/>
      <c r="AX247" s="552"/>
      <c r="AY247" s="552"/>
      <c r="AZ247" s="552"/>
      <c r="BA247" s="552"/>
      <c r="BB247" s="552"/>
      <c r="BC247" s="552"/>
      <c r="BD247" s="552"/>
      <c r="BE247" s="552"/>
      <c r="BF247" s="552"/>
      <c r="BG247" s="552"/>
      <c r="BH247" s="552"/>
      <c r="BI247" s="552"/>
      <c r="BJ247" s="552"/>
      <c r="BK247" s="552"/>
      <c r="BL247" s="552"/>
      <c r="BM247" s="552"/>
      <c r="BN247" s="552"/>
      <c r="BO247" s="552"/>
      <c r="BP247" s="552"/>
      <c r="BQ247" s="552"/>
      <c r="BR247" s="552"/>
      <c r="BS247" s="552"/>
      <c r="BT247" s="552"/>
      <c r="BU247" s="552"/>
      <c r="BV247" s="552"/>
      <c r="BW247" s="552"/>
      <c r="BX247" s="552"/>
      <c r="BY247" s="552"/>
      <c r="BZ247" s="552"/>
      <c r="CA247" s="552"/>
      <c r="CB247" s="552"/>
      <c r="CC247" s="552"/>
      <c r="CD247" s="552"/>
      <c r="CE247" s="552"/>
      <c r="CF247" s="552"/>
      <c r="CG247" s="552"/>
      <c r="CH247" s="552"/>
      <c r="CI247" s="552"/>
      <c r="CK247" s="1293"/>
    </row>
    <row r="248" spans="1:89" s="1292" customFormat="1" x14ac:dyDescent="0.2">
      <c r="A248" s="1284"/>
      <c r="B248" s="859" t="s">
        <v>540</v>
      </c>
      <c r="C248" s="860" t="s">
        <v>541</v>
      </c>
      <c r="D248" s="602" t="s">
        <v>542</v>
      </c>
      <c r="E248" s="603" t="s">
        <v>344</v>
      </c>
      <c r="F248" s="604">
        <v>2</v>
      </c>
      <c r="G248" s="597"/>
      <c r="H248" s="597"/>
      <c r="I248" s="597">
        <v>4.5919999999999996</v>
      </c>
      <c r="J248" s="597">
        <v>5.7446845043247095</v>
      </c>
      <c r="K248" s="597">
        <v>9.2269525838384805</v>
      </c>
      <c r="L248" s="597">
        <v>10.244177015531042</v>
      </c>
      <c r="M248" s="598">
        <v>11.189108006404449</v>
      </c>
      <c r="N248" s="598">
        <v>11.284643025783842</v>
      </c>
      <c r="O248" s="598">
        <v>10.965001922938214</v>
      </c>
      <c r="P248" s="598">
        <v>10.131913689595585</v>
      </c>
      <c r="Q248" s="598">
        <v>7.8722169703828948</v>
      </c>
      <c r="R248" s="598">
        <v>6.6894809530219641</v>
      </c>
      <c r="S248" s="598">
        <v>5.9069673860963032</v>
      </c>
      <c r="T248" s="598">
        <v>5.3415003756294608</v>
      </c>
      <c r="U248" s="598">
        <v>4.5177033418539763</v>
      </c>
      <c r="V248" s="598">
        <v>5.1513984722337911</v>
      </c>
      <c r="W248" s="598">
        <v>5.2342247303592746</v>
      </c>
      <c r="X248" s="598">
        <v>5.3811452496638514</v>
      </c>
      <c r="Y248" s="598">
        <v>5.5043942847548761</v>
      </c>
      <c r="Z248" s="598">
        <v>5.6162102977377373</v>
      </c>
      <c r="AA248" s="598">
        <v>5.7290028533382582</v>
      </c>
      <c r="AB248" s="598">
        <v>5.8382684108267977</v>
      </c>
      <c r="AC248" s="598">
        <v>5.9560589206384043</v>
      </c>
      <c r="AD248" s="598">
        <v>6.0716087754108017</v>
      </c>
      <c r="AE248" s="598">
        <v>6.1865060874525231</v>
      </c>
      <c r="AF248" s="598">
        <v>6.302207983113477</v>
      </c>
      <c r="AG248" s="598">
        <v>6.4108992855329969</v>
      </c>
      <c r="AH248" s="598">
        <v>6.5215383980515194</v>
      </c>
      <c r="AI248" s="598">
        <v>6.6311825864543215</v>
      </c>
      <c r="AJ248" s="598">
        <v>6.7395882700611844</v>
      </c>
      <c r="AK248" s="598">
        <v>6.8459508667562634</v>
      </c>
      <c r="AL248" s="598"/>
      <c r="AM248" s="598"/>
      <c r="AN248" s="598"/>
      <c r="AO248" s="598"/>
      <c r="AP248" s="598"/>
      <c r="AQ248" s="598"/>
      <c r="AR248" s="598"/>
      <c r="AS248" s="598"/>
      <c r="AT248" s="598"/>
      <c r="AU248" s="598"/>
      <c r="AV248" s="598"/>
      <c r="AW248" s="598"/>
      <c r="AX248" s="598"/>
      <c r="AY248" s="598"/>
      <c r="AZ248" s="598"/>
      <c r="BA248" s="598"/>
      <c r="BB248" s="598"/>
      <c r="BC248" s="598"/>
      <c r="BD248" s="598"/>
      <c r="BE248" s="598"/>
      <c r="BF248" s="598"/>
      <c r="BG248" s="598"/>
      <c r="BH248" s="598"/>
      <c r="BI248" s="598"/>
      <c r="BJ248" s="598"/>
      <c r="BK248" s="598"/>
      <c r="BL248" s="598"/>
      <c r="BM248" s="598"/>
      <c r="BN248" s="598"/>
      <c r="BO248" s="598"/>
      <c r="BP248" s="598"/>
      <c r="BQ248" s="598"/>
      <c r="BR248" s="598"/>
      <c r="BS248" s="598"/>
      <c r="BT248" s="598"/>
      <c r="BU248" s="598"/>
      <c r="BV248" s="598"/>
      <c r="BW248" s="598"/>
      <c r="BX248" s="598"/>
      <c r="BY248" s="598"/>
      <c r="BZ248" s="598"/>
      <c r="CA248" s="598"/>
      <c r="CB248" s="598"/>
      <c r="CC248" s="598"/>
      <c r="CD248" s="598"/>
      <c r="CE248" s="598"/>
      <c r="CF248" s="598"/>
      <c r="CG248" s="598"/>
      <c r="CH248" s="598"/>
      <c r="CI248" s="599"/>
      <c r="CK248" s="1293"/>
    </row>
    <row r="249" spans="1:89" s="1292" customFormat="1" x14ac:dyDescent="0.2">
      <c r="A249" s="1284"/>
      <c r="B249" s="859" t="s">
        <v>543</v>
      </c>
      <c r="C249" s="860" t="s">
        <v>544</v>
      </c>
      <c r="D249" s="602" t="s">
        <v>545</v>
      </c>
      <c r="E249" s="603" t="s">
        <v>344</v>
      </c>
      <c r="F249" s="604">
        <v>2</v>
      </c>
      <c r="G249" s="597"/>
      <c r="H249" s="597"/>
      <c r="I249" s="597">
        <v>0</v>
      </c>
      <c r="J249" s="597">
        <v>5.96828</v>
      </c>
      <c r="K249" s="597">
        <v>8.3375000000000004</v>
      </c>
      <c r="L249" s="597">
        <v>11.050369999999999</v>
      </c>
      <c r="M249" s="598">
        <v>26.468449999999997</v>
      </c>
      <c r="N249" s="598">
        <v>34.401800000000001</v>
      </c>
      <c r="O249" s="598">
        <v>16.600000000000001</v>
      </c>
      <c r="P249" s="598">
        <v>4</v>
      </c>
      <c r="Q249" s="598">
        <v>4</v>
      </c>
      <c r="R249" s="598">
        <v>3</v>
      </c>
      <c r="S249" s="598">
        <v>2</v>
      </c>
      <c r="T249" s="598">
        <v>2</v>
      </c>
      <c r="U249" s="598">
        <v>2</v>
      </c>
      <c r="V249" s="598">
        <v>2</v>
      </c>
      <c r="W249" s="598">
        <v>1.1950000000000001</v>
      </c>
      <c r="X249" s="598">
        <v>0.39</v>
      </c>
      <c r="Y249" s="598">
        <v>0.39</v>
      </c>
      <c r="Z249" s="598">
        <v>0.39</v>
      </c>
      <c r="AA249" s="598">
        <v>0.39</v>
      </c>
      <c r="AB249" s="598">
        <v>0.39</v>
      </c>
      <c r="AC249" s="598">
        <v>0.39</v>
      </c>
      <c r="AD249" s="598">
        <v>0.39</v>
      </c>
      <c r="AE249" s="598">
        <v>0.39</v>
      </c>
      <c r="AF249" s="598">
        <v>0.39</v>
      </c>
      <c r="AG249" s="598">
        <v>0.39</v>
      </c>
      <c r="AH249" s="598">
        <v>0.39</v>
      </c>
      <c r="AI249" s="598">
        <v>0.39</v>
      </c>
      <c r="AJ249" s="598">
        <v>0.39</v>
      </c>
      <c r="AK249" s="598">
        <v>0.39</v>
      </c>
      <c r="AL249" s="598"/>
      <c r="AM249" s="598"/>
      <c r="AN249" s="598"/>
      <c r="AO249" s="598"/>
      <c r="AP249" s="598"/>
      <c r="AQ249" s="598"/>
      <c r="AR249" s="598"/>
      <c r="AS249" s="598"/>
      <c r="AT249" s="598"/>
      <c r="AU249" s="598"/>
      <c r="AV249" s="598"/>
      <c r="AW249" s="598"/>
      <c r="AX249" s="598"/>
      <c r="AY249" s="598"/>
      <c r="AZ249" s="598"/>
      <c r="BA249" s="598"/>
      <c r="BB249" s="598"/>
      <c r="BC249" s="598"/>
      <c r="BD249" s="598"/>
      <c r="BE249" s="598"/>
      <c r="BF249" s="598"/>
      <c r="BG249" s="598"/>
      <c r="BH249" s="598"/>
      <c r="BI249" s="598"/>
      <c r="BJ249" s="598"/>
      <c r="BK249" s="598"/>
      <c r="BL249" s="598"/>
      <c r="BM249" s="598"/>
      <c r="BN249" s="598"/>
      <c r="BO249" s="598"/>
      <c r="BP249" s="598"/>
      <c r="BQ249" s="598"/>
      <c r="BR249" s="598"/>
      <c r="BS249" s="598"/>
      <c r="BT249" s="598"/>
      <c r="BU249" s="598"/>
      <c r="BV249" s="598"/>
      <c r="BW249" s="598"/>
      <c r="BX249" s="598"/>
      <c r="BY249" s="598"/>
      <c r="BZ249" s="598"/>
      <c r="CA249" s="598"/>
      <c r="CB249" s="598"/>
      <c r="CC249" s="598"/>
      <c r="CD249" s="598"/>
      <c r="CE249" s="598"/>
      <c r="CF249" s="598"/>
      <c r="CG249" s="598"/>
      <c r="CH249" s="598"/>
      <c r="CI249" s="599"/>
      <c r="CK249" s="1293"/>
    </row>
    <row r="250" spans="1:89" s="1292" customFormat="1" x14ac:dyDescent="0.2">
      <c r="A250" s="1284"/>
      <c r="B250" s="859" t="s">
        <v>546</v>
      </c>
      <c r="C250" s="860" t="s">
        <v>547</v>
      </c>
      <c r="D250" s="602" t="s">
        <v>548</v>
      </c>
      <c r="E250" s="603" t="s">
        <v>344</v>
      </c>
      <c r="F250" s="604">
        <v>2</v>
      </c>
      <c r="G250" s="597"/>
      <c r="H250" s="597"/>
      <c r="I250" s="597">
        <v>0</v>
      </c>
      <c r="J250" s="597">
        <v>0</v>
      </c>
      <c r="K250" s="597">
        <v>0</v>
      </c>
      <c r="L250" s="597">
        <v>0</v>
      </c>
      <c r="M250" s="598">
        <v>0</v>
      </c>
      <c r="N250" s="598">
        <v>5.0000000000000001E-3</v>
      </c>
      <c r="O250" s="598">
        <v>5.0000000000000001E-3</v>
      </c>
      <c r="P250" s="598">
        <v>5.0000000000000001E-3</v>
      </c>
      <c r="Q250" s="598">
        <v>5.0000000000000001E-3</v>
      </c>
      <c r="R250" s="598">
        <v>5.0000000000000001E-3</v>
      </c>
      <c r="S250" s="598">
        <v>5.0000000000000001E-3</v>
      </c>
      <c r="T250" s="598">
        <v>5.0000000000000001E-3</v>
      </c>
      <c r="U250" s="598">
        <v>5.0000000000000001E-3</v>
      </c>
      <c r="V250" s="598">
        <v>5.0000000000000001E-3</v>
      </c>
      <c r="W250" s="598">
        <v>5.0000000000000001E-3</v>
      </c>
      <c r="X250" s="598">
        <v>5.0000000000000001E-3</v>
      </c>
      <c r="Y250" s="598">
        <v>5.0000000000000001E-3</v>
      </c>
      <c r="Z250" s="598">
        <v>5.0000000000000001E-3</v>
      </c>
      <c r="AA250" s="598">
        <v>5.0000000000000001E-3</v>
      </c>
      <c r="AB250" s="598">
        <v>5.0000000000000001E-3</v>
      </c>
      <c r="AC250" s="598">
        <v>5.0000000000000001E-3</v>
      </c>
      <c r="AD250" s="598">
        <v>5.0000000000000001E-3</v>
      </c>
      <c r="AE250" s="598">
        <v>5.0000000000000001E-3</v>
      </c>
      <c r="AF250" s="598">
        <v>5.0000000000000001E-3</v>
      </c>
      <c r="AG250" s="598">
        <v>5.0000000000000001E-3</v>
      </c>
      <c r="AH250" s="598">
        <v>5.0000000000000001E-3</v>
      </c>
      <c r="AI250" s="598">
        <v>5.0000000000000001E-3</v>
      </c>
      <c r="AJ250" s="598">
        <v>5.0000000000000001E-3</v>
      </c>
      <c r="AK250" s="598">
        <v>5.0000000000000001E-3</v>
      </c>
      <c r="AL250" s="598"/>
      <c r="AM250" s="598"/>
      <c r="AN250" s="598"/>
      <c r="AO250" s="598"/>
      <c r="AP250" s="598"/>
      <c r="AQ250" s="598"/>
      <c r="AR250" s="598"/>
      <c r="AS250" s="598"/>
      <c r="AT250" s="598"/>
      <c r="AU250" s="598"/>
      <c r="AV250" s="598"/>
      <c r="AW250" s="598"/>
      <c r="AX250" s="598"/>
      <c r="AY250" s="598"/>
      <c r="AZ250" s="598"/>
      <c r="BA250" s="598"/>
      <c r="BB250" s="598"/>
      <c r="BC250" s="598"/>
      <c r="BD250" s="598"/>
      <c r="BE250" s="598"/>
      <c r="BF250" s="598"/>
      <c r="BG250" s="598"/>
      <c r="BH250" s="598"/>
      <c r="BI250" s="598"/>
      <c r="BJ250" s="598"/>
      <c r="BK250" s="598"/>
      <c r="BL250" s="598"/>
      <c r="BM250" s="598"/>
      <c r="BN250" s="598"/>
      <c r="BO250" s="598"/>
      <c r="BP250" s="598"/>
      <c r="BQ250" s="598"/>
      <c r="BR250" s="598"/>
      <c r="BS250" s="598"/>
      <c r="BT250" s="598"/>
      <c r="BU250" s="598"/>
      <c r="BV250" s="598"/>
      <c r="BW250" s="598"/>
      <c r="BX250" s="598"/>
      <c r="BY250" s="598"/>
      <c r="BZ250" s="598"/>
      <c r="CA250" s="598"/>
      <c r="CB250" s="598"/>
      <c r="CC250" s="598"/>
      <c r="CD250" s="598"/>
      <c r="CE250" s="598"/>
      <c r="CF250" s="598"/>
      <c r="CG250" s="598"/>
      <c r="CH250" s="598"/>
      <c r="CI250" s="599"/>
      <c r="CK250" s="1293"/>
    </row>
    <row r="251" spans="1:89" s="1292" customFormat="1" ht="28.5" x14ac:dyDescent="0.2">
      <c r="A251" s="1284"/>
      <c r="B251" s="859" t="s">
        <v>549</v>
      </c>
      <c r="C251" s="860" t="s">
        <v>550</v>
      </c>
      <c r="D251" s="602" t="s">
        <v>551</v>
      </c>
      <c r="E251" s="603" t="s">
        <v>344</v>
      </c>
      <c r="F251" s="604">
        <v>2</v>
      </c>
      <c r="G251" s="597"/>
      <c r="H251" s="597"/>
      <c r="I251" s="597">
        <v>0</v>
      </c>
      <c r="J251" s="597">
        <v>0</v>
      </c>
      <c r="K251" s="597">
        <v>0</v>
      </c>
      <c r="L251" s="597">
        <v>0</v>
      </c>
      <c r="M251" s="598">
        <v>0</v>
      </c>
      <c r="N251" s="598">
        <v>0</v>
      </c>
      <c r="O251" s="598">
        <v>0</v>
      </c>
      <c r="P251" s="598">
        <v>0</v>
      </c>
      <c r="Q251" s="598">
        <v>0</v>
      </c>
      <c r="R251" s="598">
        <v>0</v>
      </c>
      <c r="S251" s="598">
        <v>0</v>
      </c>
      <c r="T251" s="598">
        <v>0</v>
      </c>
      <c r="U251" s="598">
        <v>0</v>
      </c>
      <c r="V251" s="598">
        <v>0</v>
      </c>
      <c r="W251" s="598">
        <v>0</v>
      </c>
      <c r="X251" s="598">
        <v>0</v>
      </c>
      <c r="Y251" s="598">
        <v>0</v>
      </c>
      <c r="Z251" s="598">
        <v>0</v>
      </c>
      <c r="AA251" s="598">
        <v>0</v>
      </c>
      <c r="AB251" s="598">
        <v>0</v>
      </c>
      <c r="AC251" s="598">
        <v>0</v>
      </c>
      <c r="AD251" s="598">
        <v>0</v>
      </c>
      <c r="AE251" s="598">
        <v>0</v>
      </c>
      <c r="AF251" s="598">
        <v>0</v>
      </c>
      <c r="AG251" s="598">
        <v>0</v>
      </c>
      <c r="AH251" s="598">
        <v>0</v>
      </c>
      <c r="AI251" s="598">
        <v>0</v>
      </c>
      <c r="AJ251" s="598">
        <v>0</v>
      </c>
      <c r="AK251" s="598">
        <v>0</v>
      </c>
      <c r="AL251" s="598"/>
      <c r="AM251" s="598"/>
      <c r="AN251" s="598"/>
      <c r="AO251" s="598"/>
      <c r="AP251" s="598"/>
      <c r="AQ251" s="598"/>
      <c r="AR251" s="598"/>
      <c r="AS251" s="598"/>
      <c r="AT251" s="598"/>
      <c r="AU251" s="598"/>
      <c r="AV251" s="598"/>
      <c r="AW251" s="598"/>
      <c r="AX251" s="598"/>
      <c r="AY251" s="598"/>
      <c r="AZ251" s="598"/>
      <c r="BA251" s="598"/>
      <c r="BB251" s="598"/>
      <c r="BC251" s="598"/>
      <c r="BD251" s="598"/>
      <c r="BE251" s="598"/>
      <c r="BF251" s="598"/>
      <c r="BG251" s="598"/>
      <c r="BH251" s="598"/>
      <c r="BI251" s="598"/>
      <c r="BJ251" s="598"/>
      <c r="BK251" s="598"/>
      <c r="BL251" s="598"/>
      <c r="BM251" s="598"/>
      <c r="BN251" s="598"/>
      <c r="BO251" s="598"/>
      <c r="BP251" s="598"/>
      <c r="BQ251" s="598"/>
      <c r="BR251" s="598"/>
      <c r="BS251" s="598"/>
      <c r="BT251" s="598"/>
      <c r="BU251" s="598"/>
      <c r="BV251" s="598"/>
      <c r="BW251" s="598"/>
      <c r="BX251" s="598"/>
      <c r="BY251" s="598"/>
      <c r="BZ251" s="598"/>
      <c r="CA251" s="598"/>
      <c r="CB251" s="598"/>
      <c r="CC251" s="598"/>
      <c r="CD251" s="598"/>
      <c r="CE251" s="598"/>
      <c r="CF251" s="598"/>
      <c r="CG251" s="598"/>
      <c r="CH251" s="598"/>
      <c r="CI251" s="599"/>
      <c r="CK251" s="1293"/>
    </row>
    <row r="252" spans="1:89" s="1292" customFormat="1" x14ac:dyDescent="0.2">
      <c r="A252" s="1284"/>
      <c r="B252" s="859" t="s">
        <v>552</v>
      </c>
      <c r="C252" s="860" t="s">
        <v>553</v>
      </c>
      <c r="D252" s="602" t="s">
        <v>554</v>
      </c>
      <c r="E252" s="603" t="s">
        <v>344</v>
      </c>
      <c r="F252" s="604">
        <v>2</v>
      </c>
      <c r="G252" s="597"/>
      <c r="H252" s="597"/>
      <c r="I252" s="597">
        <v>4.0000000000000001E-3</v>
      </c>
      <c r="J252" s="597">
        <v>0.13955999999999999</v>
      </c>
      <c r="K252" s="597">
        <v>0.25600000000000001</v>
      </c>
      <c r="L252" s="597">
        <v>0.41249000000000002</v>
      </c>
      <c r="M252" s="598">
        <v>0.29655000000000004</v>
      </c>
      <c r="N252" s="598">
        <v>5.0000000000000001E-3</v>
      </c>
      <c r="O252" s="598">
        <v>5.0000000000000001E-3</v>
      </c>
      <c r="P252" s="598">
        <v>5.0000000000000001E-3</v>
      </c>
      <c r="Q252" s="598">
        <v>5.0000000000000001E-3</v>
      </c>
      <c r="R252" s="598">
        <v>5.0000000000000001E-3</v>
      </c>
      <c r="S252" s="598">
        <v>5.0000000000000001E-3</v>
      </c>
      <c r="T252" s="598">
        <v>5.0000000000000001E-3</v>
      </c>
      <c r="U252" s="598">
        <v>5.0000000000000001E-3</v>
      </c>
      <c r="V252" s="598">
        <v>5.0000000000000001E-3</v>
      </c>
      <c r="W252" s="598">
        <v>5.0000000000000001E-3</v>
      </c>
      <c r="X252" s="598">
        <v>5.0000000000000001E-3</v>
      </c>
      <c r="Y252" s="598">
        <v>5.0000000000000001E-3</v>
      </c>
      <c r="Z252" s="598">
        <v>5.0000000000000001E-3</v>
      </c>
      <c r="AA252" s="598">
        <v>5.0000000000000001E-3</v>
      </c>
      <c r="AB252" s="598">
        <v>5.0000000000000001E-3</v>
      </c>
      <c r="AC252" s="598">
        <v>5.0000000000000001E-3</v>
      </c>
      <c r="AD252" s="598">
        <v>5.0000000000000001E-3</v>
      </c>
      <c r="AE252" s="598">
        <v>5.0000000000000001E-3</v>
      </c>
      <c r="AF252" s="598">
        <v>5.0000000000000001E-3</v>
      </c>
      <c r="AG252" s="598">
        <v>5.0000000000000001E-3</v>
      </c>
      <c r="AH252" s="598">
        <v>5.0000000000000001E-3</v>
      </c>
      <c r="AI252" s="598">
        <v>5.0000000000000001E-3</v>
      </c>
      <c r="AJ252" s="598">
        <v>5.0000000000000001E-3</v>
      </c>
      <c r="AK252" s="598">
        <v>5.0000000000000001E-3</v>
      </c>
      <c r="AL252" s="598"/>
      <c r="AM252" s="598"/>
      <c r="AN252" s="598"/>
      <c r="AO252" s="598"/>
      <c r="AP252" s="598"/>
      <c r="AQ252" s="598"/>
      <c r="AR252" s="598"/>
      <c r="AS252" s="598"/>
      <c r="AT252" s="598"/>
      <c r="AU252" s="598"/>
      <c r="AV252" s="598"/>
      <c r="AW252" s="598"/>
      <c r="AX252" s="598"/>
      <c r="AY252" s="598"/>
      <c r="AZ252" s="598"/>
      <c r="BA252" s="598"/>
      <c r="BB252" s="598"/>
      <c r="BC252" s="598"/>
      <c r="BD252" s="598"/>
      <c r="BE252" s="598"/>
      <c r="BF252" s="598"/>
      <c r="BG252" s="598"/>
      <c r="BH252" s="598"/>
      <c r="BI252" s="598"/>
      <c r="BJ252" s="598"/>
      <c r="BK252" s="598"/>
      <c r="BL252" s="598"/>
      <c r="BM252" s="598"/>
      <c r="BN252" s="598"/>
      <c r="BO252" s="598"/>
      <c r="BP252" s="598"/>
      <c r="BQ252" s="598"/>
      <c r="BR252" s="598"/>
      <c r="BS252" s="598"/>
      <c r="BT252" s="598"/>
      <c r="BU252" s="598"/>
      <c r="BV252" s="598"/>
      <c r="BW252" s="598"/>
      <c r="BX252" s="598"/>
      <c r="BY252" s="598"/>
      <c r="BZ252" s="598"/>
      <c r="CA252" s="598"/>
      <c r="CB252" s="598"/>
      <c r="CC252" s="598"/>
      <c r="CD252" s="598"/>
      <c r="CE252" s="598"/>
      <c r="CF252" s="598"/>
      <c r="CG252" s="598"/>
      <c r="CH252" s="598"/>
      <c r="CI252" s="599"/>
      <c r="CK252" s="1293"/>
    </row>
    <row r="253" spans="1:89" s="1292" customFormat="1" ht="28.5" x14ac:dyDescent="0.2">
      <c r="A253" s="1284"/>
      <c r="B253" s="859" t="s">
        <v>555</v>
      </c>
      <c r="C253" s="860" t="s">
        <v>556</v>
      </c>
      <c r="D253" s="602" t="s">
        <v>557</v>
      </c>
      <c r="E253" s="603" t="s">
        <v>344</v>
      </c>
      <c r="F253" s="604">
        <v>2</v>
      </c>
      <c r="G253" s="597"/>
      <c r="H253" s="597"/>
      <c r="I253" s="597">
        <v>0</v>
      </c>
      <c r="J253" s="597">
        <v>-0.18746067302242864</v>
      </c>
      <c r="K253" s="597">
        <v>-0.57356054791011957</v>
      </c>
      <c r="L253" s="597">
        <v>-0.68912976827317607</v>
      </c>
      <c r="M253" s="598">
        <v>-1.186797216327534</v>
      </c>
      <c r="N253" s="598">
        <v>-1.4218701226527628</v>
      </c>
      <c r="O253" s="598">
        <v>-0.88302146082151012</v>
      </c>
      <c r="P253" s="598">
        <v>-0.48358294057857165</v>
      </c>
      <c r="Q253" s="598">
        <v>-0.41638990960586852</v>
      </c>
      <c r="R253" s="598">
        <v>-0.36118798322502244</v>
      </c>
      <c r="S253" s="598">
        <v>-0.30818419369302319</v>
      </c>
      <c r="T253" s="598">
        <v>-0.29136979465204149</v>
      </c>
      <c r="U253" s="598">
        <v>-0.26687384387469137</v>
      </c>
      <c r="V253" s="598">
        <v>-0.28571703471561705</v>
      </c>
      <c r="W253" s="598">
        <v>-0.29335083260320971</v>
      </c>
      <c r="X253" s="598">
        <v>-0.2737825628646533</v>
      </c>
      <c r="Y253" s="598">
        <v>-0.27744742468507866</v>
      </c>
      <c r="Z253" s="598">
        <v>-0.28077232079181158</v>
      </c>
      <c r="AA253" s="598">
        <v>-0.28412625480314091</v>
      </c>
      <c r="AB253" s="598">
        <v>-0.28737531204433253</v>
      </c>
      <c r="AC253" s="598">
        <v>-0.29087786232310009</v>
      </c>
      <c r="AD253" s="598">
        <v>-0.29431378578351541</v>
      </c>
      <c r="AE253" s="598">
        <v>-0.29773030561148062</v>
      </c>
      <c r="AF253" s="598">
        <v>-0.30117075007149197</v>
      </c>
      <c r="AG253" s="598">
        <v>-0.30440273159706521</v>
      </c>
      <c r="AH253" s="598">
        <v>-0.30769263207389486</v>
      </c>
      <c r="AI253" s="598">
        <v>-0.31095294806459606</v>
      </c>
      <c r="AJ253" s="598">
        <v>-0.31417643659460737</v>
      </c>
      <c r="AK253" s="598">
        <v>-0.31733917307769843</v>
      </c>
      <c r="AL253" s="598"/>
      <c r="AM253" s="598"/>
      <c r="AN253" s="598"/>
      <c r="AO253" s="598"/>
      <c r="AP253" s="598"/>
      <c r="AQ253" s="598"/>
      <c r="AR253" s="598"/>
      <c r="AS253" s="598"/>
      <c r="AT253" s="598"/>
      <c r="AU253" s="598"/>
      <c r="AV253" s="598"/>
      <c r="AW253" s="598"/>
      <c r="AX253" s="598"/>
      <c r="AY253" s="598"/>
      <c r="AZ253" s="598"/>
      <c r="BA253" s="598"/>
      <c r="BB253" s="598"/>
      <c r="BC253" s="598"/>
      <c r="BD253" s="598"/>
      <c r="BE253" s="598"/>
      <c r="BF253" s="598"/>
      <c r="BG253" s="598"/>
      <c r="BH253" s="598"/>
      <c r="BI253" s="598"/>
      <c r="BJ253" s="598"/>
      <c r="BK253" s="598"/>
      <c r="BL253" s="598"/>
      <c r="BM253" s="598"/>
      <c r="BN253" s="598"/>
      <c r="BO253" s="598"/>
      <c r="BP253" s="598"/>
      <c r="BQ253" s="598"/>
      <c r="BR253" s="598"/>
      <c r="BS253" s="598"/>
      <c r="BT253" s="598"/>
      <c r="BU253" s="598"/>
      <c r="BV253" s="598"/>
      <c r="BW253" s="598"/>
      <c r="BX253" s="598"/>
      <c r="BY253" s="598"/>
      <c r="BZ253" s="598"/>
      <c r="CA253" s="598"/>
      <c r="CB253" s="598"/>
      <c r="CC253" s="598"/>
      <c r="CD253" s="598"/>
      <c r="CE253" s="598"/>
      <c r="CF253" s="598"/>
      <c r="CG253" s="598"/>
      <c r="CH253" s="598"/>
      <c r="CI253" s="599"/>
      <c r="CK253" s="1293"/>
    </row>
    <row r="254" spans="1:89" s="1292" customFormat="1" x14ac:dyDescent="0.2">
      <c r="A254" s="1284"/>
      <c r="B254" s="859" t="s">
        <v>558</v>
      </c>
      <c r="C254" s="860" t="s">
        <v>559</v>
      </c>
      <c r="D254" s="858" t="s">
        <v>86</v>
      </c>
      <c r="E254" s="844" t="s">
        <v>344</v>
      </c>
      <c r="F254" s="845">
        <v>2</v>
      </c>
      <c r="G254" s="597"/>
      <c r="H254" s="597"/>
      <c r="I254" s="597">
        <v>12.55</v>
      </c>
      <c r="J254" s="597">
        <v>12.692460673022437</v>
      </c>
      <c r="K254" s="597">
        <v>13.221021220932577</v>
      </c>
      <c r="L254" s="597">
        <v>13.865150989205761</v>
      </c>
      <c r="M254" s="598">
        <v>14.991948205533289</v>
      </c>
      <c r="N254" s="598">
        <v>16.348818328185903</v>
      </c>
      <c r="O254" s="598">
        <v>17.166839789007536</v>
      </c>
      <c r="P254" s="598">
        <v>17.585422729586011</v>
      </c>
      <c r="Q254" s="598">
        <v>17.936812639191889</v>
      </c>
      <c r="R254" s="598">
        <v>18.223000622416869</v>
      </c>
      <c r="S254" s="598">
        <v>18.456184816109751</v>
      </c>
      <c r="T254" s="598">
        <v>18.672554610761726</v>
      </c>
      <c r="U254" s="598">
        <v>18.864428454636336</v>
      </c>
      <c r="V254" s="598">
        <v>19.075145489351893</v>
      </c>
      <c r="W254" s="598">
        <v>19.263496321955092</v>
      </c>
      <c r="X254" s="598">
        <v>19.43227888481977</v>
      </c>
      <c r="Y254" s="598">
        <v>19.604726309504979</v>
      </c>
      <c r="Z254" s="598">
        <v>19.780498630296691</v>
      </c>
      <c r="AA254" s="598">
        <v>19.959624885099771</v>
      </c>
      <c r="AB254" s="598">
        <v>20.142000197144089</v>
      </c>
      <c r="AC254" s="598">
        <v>20.327878059467285</v>
      </c>
      <c r="AD254" s="598">
        <v>20.517191845250736</v>
      </c>
      <c r="AE254" s="598">
        <v>20.709922150862287</v>
      </c>
      <c r="AF254" s="598">
        <v>20.906092900933764</v>
      </c>
      <c r="AG254" s="598">
        <v>21.105495632530832</v>
      </c>
      <c r="AH254" s="598">
        <v>21.308188264604823</v>
      </c>
      <c r="AI254" s="598">
        <v>21.514141212669308</v>
      </c>
      <c r="AJ254" s="598">
        <v>21.723317649264025</v>
      </c>
      <c r="AK254" s="598">
        <v>21.93565682234161</v>
      </c>
      <c r="AL254" s="598"/>
      <c r="AM254" s="598"/>
      <c r="AN254" s="598"/>
      <c r="AO254" s="598"/>
      <c r="AP254" s="598"/>
      <c r="AQ254" s="598"/>
      <c r="AR254" s="598"/>
      <c r="AS254" s="598"/>
      <c r="AT254" s="598"/>
      <c r="AU254" s="598"/>
      <c r="AV254" s="598"/>
      <c r="AW254" s="598"/>
      <c r="AX254" s="598"/>
      <c r="AY254" s="598"/>
      <c r="AZ254" s="598"/>
      <c r="BA254" s="598"/>
      <c r="BB254" s="598"/>
      <c r="BC254" s="598"/>
      <c r="BD254" s="598"/>
      <c r="BE254" s="598"/>
      <c r="BF254" s="598"/>
      <c r="BG254" s="598"/>
      <c r="BH254" s="598"/>
      <c r="BI254" s="598"/>
      <c r="BJ254" s="598"/>
      <c r="BK254" s="598"/>
      <c r="BL254" s="598"/>
      <c r="BM254" s="598"/>
      <c r="BN254" s="598"/>
      <c r="BO254" s="598"/>
      <c r="BP254" s="598"/>
      <c r="BQ254" s="598"/>
      <c r="BR254" s="598"/>
      <c r="BS254" s="598"/>
      <c r="BT254" s="598"/>
      <c r="BU254" s="598"/>
      <c r="BV254" s="598"/>
      <c r="BW254" s="598"/>
      <c r="BX254" s="598"/>
      <c r="BY254" s="598"/>
      <c r="BZ254" s="598"/>
      <c r="CA254" s="598"/>
      <c r="CB254" s="598"/>
      <c r="CC254" s="598"/>
      <c r="CD254" s="598"/>
      <c r="CE254" s="598"/>
      <c r="CF254" s="598"/>
      <c r="CG254" s="598"/>
      <c r="CH254" s="598"/>
      <c r="CI254" s="599"/>
      <c r="CK254" s="1293"/>
    </row>
    <row r="255" spans="1:89" s="1292" customFormat="1" ht="28.5" x14ac:dyDescent="0.2">
      <c r="A255" s="1284"/>
      <c r="B255" s="859" t="s">
        <v>560</v>
      </c>
      <c r="C255" s="860" t="s">
        <v>561</v>
      </c>
      <c r="D255" s="858" t="s">
        <v>86</v>
      </c>
      <c r="E255" s="844" t="s">
        <v>344</v>
      </c>
      <c r="F255" s="845">
        <v>2</v>
      </c>
      <c r="G255" s="597"/>
      <c r="H255" s="597"/>
      <c r="I255" s="597">
        <v>233.90899999999999</v>
      </c>
      <c r="J255" s="597">
        <v>227.57353333413573</v>
      </c>
      <c r="K255" s="597">
        <v>219.08561474238056</v>
      </c>
      <c r="L255" s="597">
        <v>207.81539260456512</v>
      </c>
      <c r="M255" s="598">
        <v>181.74608417486996</v>
      </c>
      <c r="N255" s="598">
        <v>148.27167644757768</v>
      </c>
      <c r="O255" s="598">
        <v>132.05896166444558</v>
      </c>
      <c r="P255" s="598">
        <v>128.06881086704198</v>
      </c>
      <c r="Q255" s="598">
        <v>124.07866006963837</v>
      </c>
      <c r="R255" s="598">
        <v>121.06786584705326</v>
      </c>
      <c r="S255" s="598">
        <v>119.02673159953575</v>
      </c>
      <c r="T255" s="598">
        <v>116.98559735201823</v>
      </c>
      <c r="U255" s="598">
        <v>114.94446310450071</v>
      </c>
      <c r="V255" s="598">
        <v>112.90332885698319</v>
      </c>
      <c r="W255" s="598">
        <v>111.68155728839788</v>
      </c>
      <c r="X255" s="598">
        <v>111.24036199974208</v>
      </c>
      <c r="Y255" s="598">
        <v>110.79916671108627</v>
      </c>
      <c r="Z255" s="598">
        <v>110.35797142243047</v>
      </c>
      <c r="AA255" s="598">
        <v>109.91677613377466</v>
      </c>
      <c r="AB255" s="598">
        <v>109.47558084511887</v>
      </c>
      <c r="AC255" s="598">
        <v>109.03438555646305</v>
      </c>
      <c r="AD255" s="598">
        <v>108.59319026780724</v>
      </c>
      <c r="AE255" s="598">
        <v>108.15199497915144</v>
      </c>
      <c r="AF255" s="598">
        <v>107.71079969049563</v>
      </c>
      <c r="AG255" s="598">
        <v>107.26960440183984</v>
      </c>
      <c r="AH255" s="598">
        <v>106.82840911318402</v>
      </c>
      <c r="AI255" s="598">
        <v>106.38721382452823</v>
      </c>
      <c r="AJ255" s="598">
        <v>105.94601853587241</v>
      </c>
      <c r="AK255" s="598">
        <v>105.50482324721661</v>
      </c>
      <c r="AL255" s="598"/>
      <c r="AM255" s="598"/>
      <c r="AN255" s="598"/>
      <c r="AO255" s="598"/>
      <c r="AP255" s="598"/>
      <c r="AQ255" s="598"/>
      <c r="AR255" s="598"/>
      <c r="AS255" s="598"/>
      <c r="AT255" s="598"/>
      <c r="AU255" s="598"/>
      <c r="AV255" s="598"/>
      <c r="AW255" s="598"/>
      <c r="AX255" s="598"/>
      <c r="AY255" s="598"/>
      <c r="AZ255" s="598"/>
      <c r="BA255" s="598"/>
      <c r="BB255" s="598"/>
      <c r="BC255" s="598"/>
      <c r="BD255" s="598"/>
      <c r="BE255" s="598"/>
      <c r="BF255" s="598"/>
      <c r="BG255" s="598"/>
      <c r="BH255" s="598"/>
      <c r="BI255" s="598"/>
      <c r="BJ255" s="598"/>
      <c r="BK255" s="598"/>
      <c r="BL255" s="598"/>
      <c r="BM255" s="598"/>
      <c r="BN255" s="598"/>
      <c r="BO255" s="598"/>
      <c r="BP255" s="598"/>
      <c r="BQ255" s="598"/>
      <c r="BR255" s="598"/>
      <c r="BS255" s="598"/>
      <c r="BT255" s="598"/>
      <c r="BU255" s="598"/>
      <c r="BV255" s="598"/>
      <c r="BW255" s="598"/>
      <c r="BX255" s="598"/>
      <c r="BY255" s="598"/>
      <c r="BZ255" s="598"/>
      <c r="CA255" s="598"/>
      <c r="CB255" s="598"/>
      <c r="CC255" s="598"/>
      <c r="CD255" s="598"/>
      <c r="CE255" s="598"/>
      <c r="CF255" s="598"/>
      <c r="CG255" s="598"/>
      <c r="CH255" s="598"/>
      <c r="CI255" s="599"/>
      <c r="CK255" s="1293"/>
    </row>
    <row r="256" spans="1:89" s="1292" customFormat="1" x14ac:dyDescent="0.2">
      <c r="A256" s="1284"/>
      <c r="B256" s="859" t="s">
        <v>562</v>
      </c>
      <c r="C256" s="860" t="s">
        <v>563</v>
      </c>
      <c r="D256" s="858" t="s">
        <v>86</v>
      </c>
      <c r="E256" s="844" t="s">
        <v>344</v>
      </c>
      <c r="F256" s="845">
        <v>2</v>
      </c>
      <c r="G256" s="597"/>
      <c r="H256" s="597"/>
      <c r="I256" s="597">
        <v>7.0529999999999999</v>
      </c>
      <c r="J256" s="597">
        <v>7.120626665864247</v>
      </c>
      <c r="K256" s="597">
        <v>6.8550452576193948</v>
      </c>
      <c r="L256" s="597">
        <v>6.5024073954348083</v>
      </c>
      <c r="M256" s="598">
        <v>5.686715825130034</v>
      </c>
      <c r="N256" s="598">
        <v>4.6393235524223018</v>
      </c>
      <c r="O256" s="598">
        <v>4.1320383355543102</v>
      </c>
      <c r="P256" s="598">
        <v>4.0071891329579126</v>
      </c>
      <c r="Q256" s="598">
        <v>3.8823399303615145</v>
      </c>
      <c r="R256" s="598">
        <v>3.7881341529467396</v>
      </c>
      <c r="S256" s="598">
        <v>3.7242684004642563</v>
      </c>
      <c r="T256" s="598">
        <v>3.6604026479817735</v>
      </c>
      <c r="U256" s="598">
        <v>3.5965368954992911</v>
      </c>
      <c r="V256" s="598">
        <v>3.5326711430168078</v>
      </c>
      <c r="W256" s="598">
        <v>3.4944427116021153</v>
      </c>
      <c r="X256" s="598">
        <v>3.4806380002579203</v>
      </c>
      <c r="Y256" s="598">
        <v>3.4668332889137261</v>
      </c>
      <c r="Z256" s="598">
        <v>3.4530285775695311</v>
      </c>
      <c r="AA256" s="598">
        <v>3.439223866225336</v>
      </c>
      <c r="AB256" s="598">
        <v>3.4254191548811419</v>
      </c>
      <c r="AC256" s="598">
        <v>3.4116144435369469</v>
      </c>
      <c r="AD256" s="598">
        <v>3.3978097321927527</v>
      </c>
      <c r="AE256" s="598">
        <v>3.3840050208485577</v>
      </c>
      <c r="AF256" s="598">
        <v>3.3702003095043631</v>
      </c>
      <c r="AG256" s="598">
        <v>3.3563955981601685</v>
      </c>
      <c r="AH256" s="598">
        <v>3.3425908868159739</v>
      </c>
      <c r="AI256" s="598">
        <v>3.3287861754717794</v>
      </c>
      <c r="AJ256" s="598">
        <v>3.3149814641275848</v>
      </c>
      <c r="AK256" s="598">
        <v>3.3011767527833897</v>
      </c>
      <c r="AL256" s="598"/>
      <c r="AM256" s="598"/>
      <c r="AN256" s="598"/>
      <c r="AO256" s="598"/>
      <c r="AP256" s="598"/>
      <c r="AQ256" s="598"/>
      <c r="AR256" s="598"/>
      <c r="AS256" s="598"/>
      <c r="AT256" s="598"/>
      <c r="AU256" s="598"/>
      <c r="AV256" s="598"/>
      <c r="AW256" s="598"/>
      <c r="AX256" s="598"/>
      <c r="AY256" s="598"/>
      <c r="AZ256" s="598"/>
      <c r="BA256" s="598"/>
      <c r="BB256" s="598"/>
      <c r="BC256" s="598"/>
      <c r="BD256" s="598"/>
      <c r="BE256" s="598"/>
      <c r="BF256" s="598"/>
      <c r="BG256" s="598"/>
      <c r="BH256" s="598"/>
      <c r="BI256" s="598"/>
      <c r="BJ256" s="598"/>
      <c r="BK256" s="598"/>
      <c r="BL256" s="598"/>
      <c r="BM256" s="598"/>
      <c r="BN256" s="598"/>
      <c r="BO256" s="598"/>
      <c r="BP256" s="598"/>
      <c r="BQ256" s="598"/>
      <c r="BR256" s="598"/>
      <c r="BS256" s="598"/>
      <c r="BT256" s="598"/>
      <c r="BU256" s="598"/>
      <c r="BV256" s="598"/>
      <c r="BW256" s="598"/>
      <c r="BX256" s="598"/>
      <c r="BY256" s="598"/>
      <c r="BZ256" s="598"/>
      <c r="CA256" s="598"/>
      <c r="CB256" s="598"/>
      <c r="CC256" s="598"/>
      <c r="CD256" s="598"/>
      <c r="CE256" s="598"/>
      <c r="CF256" s="598"/>
      <c r="CG256" s="598"/>
      <c r="CH256" s="598"/>
      <c r="CI256" s="599"/>
      <c r="CK256" s="1293"/>
    </row>
    <row r="257" spans="1:89" s="1292" customFormat="1" ht="29.25" thickBot="1" x14ac:dyDescent="0.25">
      <c r="A257" s="1284"/>
      <c r="B257" s="861" t="s">
        <v>564</v>
      </c>
      <c r="C257" s="862" t="s">
        <v>565</v>
      </c>
      <c r="D257" s="863" t="s">
        <v>566</v>
      </c>
      <c r="E257" s="864" t="s">
        <v>344</v>
      </c>
      <c r="F257" s="865">
        <v>2</v>
      </c>
      <c r="G257" s="559">
        <f>SUM(G244:G247)+G254+G255+G256</f>
        <v>0</v>
      </c>
      <c r="H257" s="559">
        <f t="shared" ref="H257:AK257" si="124">SUM(H244:H247)+H254+H255+H256</f>
        <v>0</v>
      </c>
      <c r="I257" s="559">
        <f t="shared" si="124"/>
        <v>688.19199999999989</v>
      </c>
      <c r="J257" s="559">
        <f t="shared" si="124"/>
        <v>693.80618450432473</v>
      </c>
      <c r="K257" s="559">
        <f t="shared" si="124"/>
        <v>702.90313708816313</v>
      </c>
      <c r="L257" s="559">
        <f t="shared" si="124"/>
        <v>713.01731410369416</v>
      </c>
      <c r="M257" s="559">
        <f t="shared" si="124"/>
        <v>724.10142211009861</v>
      </c>
      <c r="N257" s="559">
        <f t="shared" si="124"/>
        <v>735.29606513588237</v>
      </c>
      <c r="O257" s="559">
        <f t="shared" si="124"/>
        <v>746.17106705882054</v>
      </c>
      <c r="P257" s="559">
        <f t="shared" si="124"/>
        <v>756.21798074841615</v>
      </c>
      <c r="Q257" s="559">
        <f t="shared" si="124"/>
        <v>764.01019771879896</v>
      </c>
      <c r="R257" s="559">
        <f t="shared" si="124"/>
        <v>770.61967867182113</v>
      </c>
      <c r="S257" s="559">
        <f t="shared" si="124"/>
        <v>776.4506460579172</v>
      </c>
      <c r="T257" s="559">
        <f t="shared" si="124"/>
        <v>781.71614643354667</v>
      </c>
      <c r="U257" s="559">
        <f t="shared" si="124"/>
        <v>786.15784977540068</v>
      </c>
      <c r="V257" s="559">
        <f t="shared" si="124"/>
        <v>791.23324824763449</v>
      </c>
      <c r="W257" s="559">
        <f t="shared" si="124"/>
        <v>796.39647297799365</v>
      </c>
      <c r="X257" s="559">
        <f t="shared" si="124"/>
        <v>801.70661822765749</v>
      </c>
      <c r="Y257" s="559">
        <f t="shared" si="124"/>
        <v>807.14001251241234</v>
      </c>
      <c r="Z257" s="559">
        <f t="shared" si="124"/>
        <v>812.68522281015021</v>
      </c>
      <c r="AA257" s="559">
        <f t="shared" si="124"/>
        <v>818.34322566348828</v>
      </c>
      <c r="AB257" s="559">
        <f t="shared" si="124"/>
        <v>824.11049407431517</v>
      </c>
      <c r="AC257" s="559">
        <f t="shared" si="124"/>
        <v>829.99555299495341</v>
      </c>
      <c r="AD257" s="559">
        <f t="shared" si="124"/>
        <v>835.99616177036432</v>
      </c>
      <c r="AE257" s="559">
        <f t="shared" si="124"/>
        <v>842.111667857817</v>
      </c>
      <c r="AF257" s="559">
        <f t="shared" si="124"/>
        <v>848.34287584093045</v>
      </c>
      <c r="AG257" s="559">
        <f t="shared" si="124"/>
        <v>854.6827751264633</v>
      </c>
      <c r="AH257" s="559">
        <f t="shared" si="124"/>
        <v>861.13331352451496</v>
      </c>
      <c r="AI257" s="559">
        <f t="shared" si="124"/>
        <v>867.69349611096914</v>
      </c>
      <c r="AJ257" s="559">
        <f t="shared" si="124"/>
        <v>874.36208438103051</v>
      </c>
      <c r="AK257" s="559">
        <f t="shared" si="124"/>
        <v>881.13703524778646</v>
      </c>
      <c r="AL257" s="559"/>
      <c r="AM257" s="559"/>
      <c r="AN257" s="559"/>
      <c r="AO257" s="559"/>
      <c r="AP257" s="559"/>
      <c r="AQ257" s="559"/>
      <c r="AR257" s="559"/>
      <c r="AS257" s="559"/>
      <c r="AT257" s="559"/>
      <c r="AU257" s="559"/>
      <c r="AV257" s="559"/>
      <c r="AW257" s="559"/>
      <c r="AX257" s="559"/>
      <c r="AY257" s="559"/>
      <c r="AZ257" s="559"/>
      <c r="BA257" s="559"/>
      <c r="BB257" s="559"/>
      <c r="BC257" s="559"/>
      <c r="BD257" s="559"/>
      <c r="BE257" s="559"/>
      <c r="BF257" s="559"/>
      <c r="BG257" s="559"/>
      <c r="BH257" s="559"/>
      <c r="BI257" s="559"/>
      <c r="BJ257" s="559"/>
      <c r="BK257" s="559"/>
      <c r="BL257" s="559"/>
      <c r="BM257" s="559"/>
      <c r="BN257" s="559"/>
      <c r="BO257" s="559"/>
      <c r="BP257" s="559"/>
      <c r="BQ257" s="559"/>
      <c r="BR257" s="559"/>
      <c r="BS257" s="559"/>
      <c r="BT257" s="559"/>
      <c r="BU257" s="559"/>
      <c r="BV257" s="559"/>
      <c r="BW257" s="559"/>
      <c r="BX257" s="559"/>
      <c r="BY257" s="559"/>
      <c r="BZ257" s="559"/>
      <c r="CA257" s="559"/>
      <c r="CB257" s="559"/>
      <c r="CC257" s="559"/>
      <c r="CD257" s="559"/>
      <c r="CE257" s="559"/>
      <c r="CF257" s="559"/>
      <c r="CG257" s="559"/>
      <c r="CH257" s="559"/>
      <c r="CI257" s="559"/>
      <c r="CK257" s="1293"/>
    </row>
    <row r="258" spans="1:89" s="1292" customFormat="1" x14ac:dyDescent="0.2">
      <c r="A258" s="1284"/>
      <c r="B258" s="814" t="s">
        <v>567</v>
      </c>
      <c r="C258" s="815" t="s">
        <v>568</v>
      </c>
      <c r="D258" s="816" t="s">
        <v>86</v>
      </c>
      <c r="E258" s="866" t="s">
        <v>344</v>
      </c>
      <c r="F258" s="867">
        <v>2</v>
      </c>
      <c r="G258" s="593"/>
      <c r="H258" s="593"/>
      <c r="I258" s="593">
        <v>10.781803200000001</v>
      </c>
      <c r="J258" s="593">
        <v>10.942820442277659</v>
      </c>
      <c r="K258" s="593">
        <v>11.093407616786745</v>
      </c>
      <c r="L258" s="593">
        <v>11.238826151297735</v>
      </c>
      <c r="M258" s="594">
        <v>11.343505573498152</v>
      </c>
      <c r="N258" s="594">
        <v>11.482651970256969</v>
      </c>
      <c r="O258" s="594">
        <v>11.67303040144331</v>
      </c>
      <c r="P258" s="594">
        <v>11.858143096468337</v>
      </c>
      <c r="Q258" s="594">
        <v>12.0421134688367</v>
      </c>
      <c r="R258" s="594">
        <v>12.200608820192237</v>
      </c>
      <c r="S258" s="594">
        <v>12.465927397754955</v>
      </c>
      <c r="T258" s="594">
        <v>12.737960521939707</v>
      </c>
      <c r="U258" s="594">
        <v>12.92890597539092</v>
      </c>
      <c r="V258" s="594">
        <v>13.076142503072429</v>
      </c>
      <c r="W258" s="594">
        <v>13.200798668552975</v>
      </c>
      <c r="X258" s="594">
        <v>13.315829281182362</v>
      </c>
      <c r="Y258" s="594">
        <v>13.438034912625971</v>
      </c>
      <c r="Z258" s="594">
        <v>13.572742551574198</v>
      </c>
      <c r="AA258" s="594">
        <v>13.715286397511594</v>
      </c>
      <c r="AB258" s="594">
        <v>13.872836830855436</v>
      </c>
      <c r="AC258" s="594">
        <v>14.052500792259041</v>
      </c>
      <c r="AD258" s="594">
        <v>14.259165021232462</v>
      </c>
      <c r="AE258" s="594">
        <v>14.486297905748376</v>
      </c>
      <c r="AF258" s="594">
        <v>14.723659729506204</v>
      </c>
      <c r="AG258" s="594">
        <v>14.987646603090074</v>
      </c>
      <c r="AH258" s="594">
        <v>15.259857617945277</v>
      </c>
      <c r="AI258" s="594">
        <v>15.53765616484252</v>
      </c>
      <c r="AJ258" s="594">
        <v>15.823044154822815</v>
      </c>
      <c r="AK258" s="594">
        <v>16.103505934103755</v>
      </c>
      <c r="AL258" s="594"/>
      <c r="AM258" s="594"/>
      <c r="AN258" s="594"/>
      <c r="AO258" s="594"/>
      <c r="AP258" s="594"/>
      <c r="AQ258" s="594"/>
      <c r="AR258" s="594"/>
      <c r="AS258" s="594"/>
      <c r="AT258" s="594"/>
      <c r="AU258" s="594"/>
      <c r="AV258" s="594"/>
      <c r="AW258" s="594"/>
      <c r="AX258" s="594"/>
      <c r="AY258" s="594"/>
      <c r="AZ258" s="594"/>
      <c r="BA258" s="594"/>
      <c r="BB258" s="594"/>
      <c r="BC258" s="594"/>
      <c r="BD258" s="594"/>
      <c r="BE258" s="594"/>
      <c r="BF258" s="594"/>
      <c r="BG258" s="594"/>
      <c r="BH258" s="594"/>
      <c r="BI258" s="594"/>
      <c r="BJ258" s="594"/>
      <c r="BK258" s="594"/>
      <c r="BL258" s="594"/>
      <c r="BM258" s="594"/>
      <c r="BN258" s="594"/>
      <c r="BO258" s="594"/>
      <c r="BP258" s="594"/>
      <c r="BQ258" s="594"/>
      <c r="BR258" s="594"/>
      <c r="BS258" s="594"/>
      <c r="BT258" s="594"/>
      <c r="BU258" s="594"/>
      <c r="BV258" s="594"/>
      <c r="BW258" s="594"/>
      <c r="BX258" s="594"/>
      <c r="BY258" s="594"/>
      <c r="BZ258" s="594"/>
      <c r="CA258" s="594"/>
      <c r="CB258" s="594"/>
      <c r="CC258" s="594"/>
      <c r="CD258" s="594"/>
      <c r="CE258" s="594"/>
      <c r="CF258" s="594"/>
      <c r="CG258" s="594"/>
      <c r="CH258" s="594"/>
      <c r="CI258" s="595"/>
      <c r="CK258" s="1293"/>
    </row>
    <row r="259" spans="1:89" s="1292" customFormat="1" x14ac:dyDescent="0.2">
      <c r="A259" s="1284"/>
      <c r="B259" s="824" t="s">
        <v>569</v>
      </c>
      <c r="C259" s="825" t="s">
        <v>570</v>
      </c>
      <c r="D259" s="821" t="s">
        <v>86</v>
      </c>
      <c r="E259" s="868" t="s">
        <v>344</v>
      </c>
      <c r="F259" s="869">
        <v>2</v>
      </c>
      <c r="G259" s="597"/>
      <c r="H259" s="597"/>
      <c r="I259" s="597">
        <v>2.0536767999999999</v>
      </c>
      <c r="J259" s="597">
        <v>2.0843467509100311</v>
      </c>
      <c r="K259" s="597">
        <v>2.1130300222450948</v>
      </c>
      <c r="L259" s="597">
        <v>2.1407287907233776</v>
      </c>
      <c r="M259" s="598">
        <v>2.1606677282853628</v>
      </c>
      <c r="N259" s="598">
        <v>2.1871718038584707</v>
      </c>
      <c r="O259" s="598">
        <v>2.2234343621796775</v>
      </c>
      <c r="P259" s="598">
        <v>2.2586939231368266</v>
      </c>
      <c r="Q259" s="598">
        <v>2.2937358988260392</v>
      </c>
      <c r="R259" s="598">
        <v>2.3239254895604269</v>
      </c>
      <c r="S259" s="598">
        <v>2.3744623614771339</v>
      </c>
      <c r="T259" s="598">
        <v>2.4262781946551826</v>
      </c>
      <c r="U259" s="598">
        <v>2.4626487572173179</v>
      </c>
      <c r="V259" s="598">
        <v>2.4906938101090343</v>
      </c>
      <c r="W259" s="598">
        <v>2.5144378416291389</v>
      </c>
      <c r="X259" s="598">
        <v>2.5363484345109271</v>
      </c>
      <c r="Y259" s="598">
        <v>2.5596256976430425</v>
      </c>
      <c r="Z259" s="598">
        <v>2.5852842955379423</v>
      </c>
      <c r="AA259" s="598">
        <v>2.612435504287923</v>
      </c>
      <c r="AB259" s="598">
        <v>2.642445110639132</v>
      </c>
      <c r="AC259" s="598">
        <v>2.6766668175731514</v>
      </c>
      <c r="AD259" s="598">
        <v>2.7160314326157078</v>
      </c>
      <c r="AE259" s="598">
        <v>2.7592948391901686</v>
      </c>
      <c r="AF259" s="598">
        <v>2.8045066151440405</v>
      </c>
      <c r="AG259" s="598">
        <v>2.8547898291600156</v>
      </c>
      <c r="AH259" s="598">
        <v>2.9066395462752919</v>
      </c>
      <c r="AI259" s="598">
        <v>2.9595535552080996</v>
      </c>
      <c r="AJ259" s="598">
        <v>3.0139131723472037</v>
      </c>
      <c r="AK259" s="598">
        <v>3.0673344636388116</v>
      </c>
      <c r="AL259" s="598"/>
      <c r="AM259" s="598"/>
      <c r="AN259" s="598"/>
      <c r="AO259" s="598"/>
      <c r="AP259" s="598"/>
      <c r="AQ259" s="598"/>
      <c r="AR259" s="598"/>
      <c r="AS259" s="598"/>
      <c r="AT259" s="598"/>
      <c r="AU259" s="598"/>
      <c r="AV259" s="598"/>
      <c r="AW259" s="598"/>
      <c r="AX259" s="598"/>
      <c r="AY259" s="598"/>
      <c r="AZ259" s="598"/>
      <c r="BA259" s="598"/>
      <c r="BB259" s="598"/>
      <c r="BC259" s="598"/>
      <c r="BD259" s="598"/>
      <c r="BE259" s="598"/>
      <c r="BF259" s="598"/>
      <c r="BG259" s="598"/>
      <c r="BH259" s="598"/>
      <c r="BI259" s="598"/>
      <c r="BJ259" s="598"/>
      <c r="BK259" s="598"/>
      <c r="BL259" s="598"/>
      <c r="BM259" s="598"/>
      <c r="BN259" s="598"/>
      <c r="BO259" s="598"/>
      <c r="BP259" s="598"/>
      <c r="BQ259" s="598"/>
      <c r="BR259" s="598"/>
      <c r="BS259" s="598"/>
      <c r="BT259" s="598"/>
      <c r="BU259" s="598"/>
      <c r="BV259" s="598"/>
      <c r="BW259" s="598"/>
      <c r="BX259" s="598"/>
      <c r="BY259" s="598"/>
      <c r="BZ259" s="598"/>
      <c r="CA259" s="598"/>
      <c r="CB259" s="598"/>
      <c r="CC259" s="598"/>
      <c r="CD259" s="598"/>
      <c r="CE259" s="598"/>
      <c r="CF259" s="598"/>
      <c r="CG259" s="598"/>
      <c r="CH259" s="598"/>
      <c r="CI259" s="599"/>
      <c r="CK259" s="1293"/>
    </row>
    <row r="260" spans="1:89" s="1292" customFormat="1" x14ac:dyDescent="0.2">
      <c r="A260" s="1284"/>
      <c r="B260" s="819" t="s">
        <v>571</v>
      </c>
      <c r="C260" s="870" t="s">
        <v>572</v>
      </c>
      <c r="D260" s="821" t="s">
        <v>86</v>
      </c>
      <c r="E260" s="868" t="s">
        <v>344</v>
      </c>
      <c r="F260" s="869">
        <v>2</v>
      </c>
      <c r="G260" s="597"/>
      <c r="H260" s="597"/>
      <c r="I260" s="597">
        <v>934.73429742747101</v>
      </c>
      <c r="J260" s="597">
        <v>962.93082656687795</v>
      </c>
      <c r="K260" s="597">
        <v>1005.2433813269001</v>
      </c>
      <c r="L260" s="597">
        <v>1057.0704988221341</v>
      </c>
      <c r="M260" s="598">
        <v>1146.0102041648968</v>
      </c>
      <c r="N260" s="598">
        <v>1249.88184589349</v>
      </c>
      <c r="O260" s="598">
        <v>1317.2742619876274</v>
      </c>
      <c r="P260" s="598">
        <v>1352.0719829251125</v>
      </c>
      <c r="Q260" s="598">
        <v>1381.9473904633196</v>
      </c>
      <c r="R260" s="598">
        <v>1402.8558351948238</v>
      </c>
      <c r="S260" s="598">
        <v>1422.9110759590696</v>
      </c>
      <c r="T260" s="598">
        <v>1438.5470879801642</v>
      </c>
      <c r="U260" s="598">
        <v>1455.3352548160387</v>
      </c>
      <c r="V260" s="598">
        <v>1470.7718020155921</v>
      </c>
      <c r="W260" s="598">
        <v>1486.5814216217855</v>
      </c>
      <c r="X260" s="598">
        <v>1500.8856832327522</v>
      </c>
      <c r="Y260" s="598">
        <v>1515.979631650745</v>
      </c>
      <c r="Z260" s="598">
        <v>1531.748313354356</v>
      </c>
      <c r="AA260" s="598">
        <v>1548.1400885514004</v>
      </c>
      <c r="AB260" s="598">
        <v>1564.3727440046496</v>
      </c>
      <c r="AC260" s="598">
        <v>1580.8052882872373</v>
      </c>
      <c r="AD260" s="598">
        <v>1597.6333629049336</v>
      </c>
      <c r="AE260" s="598">
        <v>1615.312640520913</v>
      </c>
      <c r="AF260" s="598">
        <v>1633.7224862343242</v>
      </c>
      <c r="AG260" s="598">
        <v>1652.4129922890927</v>
      </c>
      <c r="AH260" s="598">
        <v>1671.3124485439248</v>
      </c>
      <c r="AI260" s="598">
        <v>1690.9003097498735</v>
      </c>
      <c r="AJ260" s="598">
        <v>1710.9695692217524</v>
      </c>
      <c r="AK260" s="598">
        <v>1731.2600771749826</v>
      </c>
      <c r="AL260" s="598"/>
      <c r="AM260" s="598"/>
      <c r="AN260" s="598"/>
      <c r="AO260" s="598"/>
      <c r="AP260" s="598"/>
      <c r="AQ260" s="598"/>
      <c r="AR260" s="598"/>
      <c r="AS260" s="598"/>
      <c r="AT260" s="598"/>
      <c r="AU260" s="598"/>
      <c r="AV260" s="598"/>
      <c r="AW260" s="598"/>
      <c r="AX260" s="598"/>
      <c r="AY260" s="598"/>
      <c r="AZ260" s="598"/>
      <c r="BA260" s="598"/>
      <c r="BB260" s="598"/>
      <c r="BC260" s="598"/>
      <c r="BD260" s="598"/>
      <c r="BE260" s="598"/>
      <c r="BF260" s="598"/>
      <c r="BG260" s="598"/>
      <c r="BH260" s="598"/>
      <c r="BI260" s="598"/>
      <c r="BJ260" s="598"/>
      <c r="BK260" s="598"/>
      <c r="BL260" s="598"/>
      <c r="BM260" s="598"/>
      <c r="BN260" s="598"/>
      <c r="BO260" s="598"/>
      <c r="BP260" s="598"/>
      <c r="BQ260" s="598"/>
      <c r="BR260" s="598"/>
      <c r="BS260" s="598"/>
      <c r="BT260" s="598"/>
      <c r="BU260" s="598"/>
      <c r="BV260" s="598"/>
      <c r="BW260" s="598"/>
      <c r="BX260" s="598"/>
      <c r="BY260" s="598"/>
      <c r="BZ260" s="598"/>
      <c r="CA260" s="598"/>
      <c r="CB260" s="598"/>
      <c r="CC260" s="598"/>
      <c r="CD260" s="598"/>
      <c r="CE260" s="598"/>
      <c r="CF260" s="598"/>
      <c r="CG260" s="598"/>
      <c r="CH260" s="598"/>
      <c r="CI260" s="599"/>
      <c r="CK260" s="1293"/>
    </row>
    <row r="261" spans="1:89" s="1292" customFormat="1" x14ac:dyDescent="0.2">
      <c r="A261" s="1284"/>
      <c r="B261" s="819" t="s">
        <v>573</v>
      </c>
      <c r="C261" s="870" t="s">
        <v>574</v>
      </c>
      <c r="D261" s="821" t="s">
        <v>86</v>
      </c>
      <c r="E261" s="868" t="s">
        <v>344</v>
      </c>
      <c r="F261" s="869">
        <v>2</v>
      </c>
      <c r="G261" s="597"/>
      <c r="H261" s="597"/>
      <c r="I261" s="597">
        <v>830.37405965039977</v>
      </c>
      <c r="J261" s="597">
        <v>812.50386746058291</v>
      </c>
      <c r="K261" s="597">
        <v>789.06800492470791</v>
      </c>
      <c r="L261" s="597">
        <v>759.14454312399619</v>
      </c>
      <c r="M261" s="598">
        <v>696.02323124509121</v>
      </c>
      <c r="N261" s="598">
        <v>616.2612441536528</v>
      </c>
      <c r="O261" s="598">
        <v>574.79052337279063</v>
      </c>
      <c r="P261" s="598">
        <v>560.68107164930802</v>
      </c>
      <c r="Q261" s="598">
        <v>546.60200743419568</v>
      </c>
      <c r="R261" s="598">
        <v>534.75702943128192</v>
      </c>
      <c r="S261" s="598">
        <v>525.15541115527071</v>
      </c>
      <c r="T261" s="598">
        <v>515.62521385551577</v>
      </c>
      <c r="U261" s="598">
        <v>506.15447635323102</v>
      </c>
      <c r="V261" s="598">
        <v>496.75640873802752</v>
      </c>
      <c r="W261" s="598">
        <v>489.21059785079461</v>
      </c>
      <c r="X261" s="598">
        <v>483.54271488272036</v>
      </c>
      <c r="Y261" s="598">
        <v>477.96699919859014</v>
      </c>
      <c r="Z261" s="598">
        <v>472.48363388462133</v>
      </c>
      <c r="AA261" s="598">
        <v>467.09240796867454</v>
      </c>
      <c r="AB261" s="598">
        <v>461.79285276579282</v>
      </c>
      <c r="AC261" s="598">
        <v>456.58171002042764</v>
      </c>
      <c r="AD261" s="598">
        <v>451.45702464496316</v>
      </c>
      <c r="AE261" s="598">
        <v>446.41758429198916</v>
      </c>
      <c r="AF261" s="598">
        <v>441.46374233776089</v>
      </c>
      <c r="AG261" s="598">
        <v>436.59533808603464</v>
      </c>
      <c r="AH261" s="598">
        <v>431.81069703256776</v>
      </c>
      <c r="AI261" s="598">
        <v>427.10791713533121</v>
      </c>
      <c r="AJ261" s="598">
        <v>422.48671139035957</v>
      </c>
      <c r="AK261" s="598">
        <v>417.94607400701761</v>
      </c>
      <c r="AL261" s="598"/>
      <c r="AM261" s="598"/>
      <c r="AN261" s="598"/>
      <c r="AO261" s="598"/>
      <c r="AP261" s="598"/>
      <c r="AQ261" s="598"/>
      <c r="AR261" s="598"/>
      <c r="AS261" s="598"/>
      <c r="AT261" s="598"/>
      <c r="AU261" s="598"/>
      <c r="AV261" s="598"/>
      <c r="AW261" s="598"/>
      <c r="AX261" s="598"/>
      <c r="AY261" s="598"/>
      <c r="AZ261" s="598"/>
      <c r="BA261" s="598"/>
      <c r="BB261" s="598"/>
      <c r="BC261" s="598"/>
      <c r="BD261" s="598"/>
      <c r="BE261" s="598"/>
      <c r="BF261" s="598"/>
      <c r="BG261" s="598"/>
      <c r="BH261" s="598"/>
      <c r="BI261" s="598"/>
      <c r="BJ261" s="598"/>
      <c r="BK261" s="598"/>
      <c r="BL261" s="598"/>
      <c r="BM261" s="598"/>
      <c r="BN261" s="598"/>
      <c r="BO261" s="598"/>
      <c r="BP261" s="598"/>
      <c r="BQ261" s="598"/>
      <c r="BR261" s="598"/>
      <c r="BS261" s="598"/>
      <c r="BT261" s="598"/>
      <c r="BU261" s="598"/>
      <c r="BV261" s="598"/>
      <c r="BW261" s="598"/>
      <c r="BX261" s="598"/>
      <c r="BY261" s="598"/>
      <c r="BZ261" s="598"/>
      <c r="CA261" s="598"/>
      <c r="CB261" s="598"/>
      <c r="CC261" s="598"/>
      <c r="CD261" s="598"/>
      <c r="CE261" s="598"/>
      <c r="CF261" s="598"/>
      <c r="CG261" s="598"/>
      <c r="CH261" s="598"/>
      <c r="CI261" s="599"/>
      <c r="CK261" s="1293"/>
    </row>
    <row r="262" spans="1:89" s="1292" customFormat="1" x14ac:dyDescent="0.2">
      <c r="A262" s="1284"/>
      <c r="B262" s="871" t="s">
        <v>575</v>
      </c>
      <c r="C262" s="870" t="s">
        <v>576</v>
      </c>
      <c r="D262" s="872" t="s">
        <v>577</v>
      </c>
      <c r="E262" s="868" t="s">
        <v>344</v>
      </c>
      <c r="F262" s="869">
        <v>2</v>
      </c>
      <c r="G262" s="547">
        <f>SUM(G258:G261)</f>
        <v>0</v>
      </c>
      <c r="H262" s="547">
        <f t="shared" ref="H262:AK262" si="125">SUM(H258:H261)</f>
        <v>0</v>
      </c>
      <c r="I262" s="547">
        <f t="shared" si="125"/>
        <v>1777.9438370778707</v>
      </c>
      <c r="J262" s="547">
        <f t="shared" si="125"/>
        <v>1788.4618612206486</v>
      </c>
      <c r="K262" s="547">
        <f t="shared" si="125"/>
        <v>1807.5178238906399</v>
      </c>
      <c r="L262" s="547">
        <f t="shared" si="125"/>
        <v>1829.5945968881515</v>
      </c>
      <c r="M262" s="552">
        <f t="shared" si="125"/>
        <v>1855.5376087117716</v>
      </c>
      <c r="N262" s="552">
        <f t="shared" si="125"/>
        <v>1879.8129138212582</v>
      </c>
      <c r="O262" s="552">
        <f t="shared" si="125"/>
        <v>1905.961250124041</v>
      </c>
      <c r="P262" s="552">
        <f t="shared" si="125"/>
        <v>1926.8698915940256</v>
      </c>
      <c r="Q262" s="552">
        <f t="shared" si="125"/>
        <v>1942.8852472651781</v>
      </c>
      <c r="R262" s="552">
        <f t="shared" si="125"/>
        <v>1952.1373989358585</v>
      </c>
      <c r="S262" s="552">
        <f t="shared" si="125"/>
        <v>1962.9068768735724</v>
      </c>
      <c r="T262" s="552">
        <f t="shared" si="125"/>
        <v>1969.3365405522748</v>
      </c>
      <c r="U262" s="552">
        <f t="shared" si="125"/>
        <v>1976.8812859018781</v>
      </c>
      <c r="V262" s="552">
        <f t="shared" si="125"/>
        <v>1983.0950470668013</v>
      </c>
      <c r="W262" s="552">
        <f t="shared" si="125"/>
        <v>1991.5072559827622</v>
      </c>
      <c r="X262" s="552">
        <f t="shared" si="125"/>
        <v>2000.2805758311656</v>
      </c>
      <c r="Y262" s="552">
        <f t="shared" si="125"/>
        <v>2009.9442914596043</v>
      </c>
      <c r="Z262" s="552">
        <f t="shared" si="125"/>
        <v>2020.3899740860893</v>
      </c>
      <c r="AA262" s="552">
        <f t="shared" si="125"/>
        <v>2031.5602184218744</v>
      </c>
      <c r="AB262" s="552">
        <f t="shared" si="125"/>
        <v>2042.6808787119369</v>
      </c>
      <c r="AC262" s="552">
        <f t="shared" si="125"/>
        <v>2054.1161659174973</v>
      </c>
      <c r="AD262" s="552">
        <f t="shared" si="125"/>
        <v>2066.0655840037448</v>
      </c>
      <c r="AE262" s="552">
        <f t="shared" si="125"/>
        <v>2078.9758175578404</v>
      </c>
      <c r="AF262" s="552">
        <f t="shared" si="125"/>
        <v>2092.7143949167353</v>
      </c>
      <c r="AG262" s="552">
        <f t="shared" si="125"/>
        <v>2106.8507668073771</v>
      </c>
      <c r="AH262" s="552">
        <f t="shared" si="125"/>
        <v>2121.2896427407131</v>
      </c>
      <c r="AI262" s="552">
        <f t="shared" si="125"/>
        <v>2136.5054366052555</v>
      </c>
      <c r="AJ262" s="552">
        <f t="shared" si="125"/>
        <v>2152.2932379392819</v>
      </c>
      <c r="AK262" s="552">
        <f t="shared" si="125"/>
        <v>2168.3769915797429</v>
      </c>
      <c r="AL262" s="552"/>
      <c r="AM262" s="552"/>
      <c r="AN262" s="552"/>
      <c r="AO262" s="552"/>
      <c r="AP262" s="552"/>
      <c r="AQ262" s="552"/>
      <c r="AR262" s="552"/>
      <c r="AS262" s="552"/>
      <c r="AT262" s="552"/>
      <c r="AU262" s="552"/>
      <c r="AV262" s="552"/>
      <c r="AW262" s="552"/>
      <c r="AX262" s="552"/>
      <c r="AY262" s="552"/>
      <c r="AZ262" s="552"/>
      <c r="BA262" s="552"/>
      <c r="BB262" s="552"/>
      <c r="BC262" s="552"/>
      <c r="BD262" s="552"/>
      <c r="BE262" s="552"/>
      <c r="BF262" s="552"/>
      <c r="BG262" s="552"/>
      <c r="BH262" s="552"/>
      <c r="BI262" s="552"/>
      <c r="BJ262" s="552"/>
      <c r="BK262" s="552"/>
      <c r="BL262" s="552"/>
      <c r="BM262" s="552"/>
      <c r="BN262" s="552"/>
      <c r="BO262" s="552"/>
      <c r="BP262" s="552"/>
      <c r="BQ262" s="552"/>
      <c r="BR262" s="552"/>
      <c r="BS262" s="552"/>
      <c r="BT262" s="552"/>
      <c r="BU262" s="552"/>
      <c r="BV262" s="552"/>
      <c r="BW262" s="552"/>
      <c r="BX262" s="552"/>
      <c r="BY262" s="552"/>
      <c r="BZ262" s="552"/>
      <c r="CA262" s="552"/>
      <c r="CB262" s="552"/>
      <c r="CC262" s="552"/>
      <c r="CD262" s="552"/>
      <c r="CE262" s="552"/>
      <c r="CF262" s="552"/>
      <c r="CG262" s="552"/>
      <c r="CH262" s="552"/>
      <c r="CI262" s="548"/>
      <c r="CK262" s="1293"/>
    </row>
    <row r="263" spans="1:89" s="1292" customFormat="1" ht="28.5" x14ac:dyDescent="0.2">
      <c r="A263" s="1284"/>
      <c r="B263" s="871" t="s">
        <v>578</v>
      </c>
      <c r="C263" s="870" t="s">
        <v>579</v>
      </c>
      <c r="D263" s="872" t="s">
        <v>580</v>
      </c>
      <c r="E263" s="868" t="s">
        <v>581</v>
      </c>
      <c r="F263" s="869">
        <v>1</v>
      </c>
      <c r="G263" s="575" t="e">
        <f>(G261+G260)/(G247+G255)</f>
        <v>#DIV/0!</v>
      </c>
      <c r="H263" s="575" t="e">
        <f t="shared" ref="H263:AK263" si="126">(H261+H260)/(H247+H255)</f>
        <v>#DIV/0!</v>
      </c>
      <c r="I263" s="575">
        <f t="shared" si="126"/>
        <v>2.7735919300152907</v>
      </c>
      <c r="J263" s="575">
        <f t="shared" si="126"/>
        <v>2.7666484998770464</v>
      </c>
      <c r="K263" s="575">
        <f t="shared" si="126"/>
        <v>2.7584141891969391</v>
      </c>
      <c r="L263" s="575">
        <f t="shared" si="126"/>
        <v>2.7508646002745061</v>
      </c>
      <c r="M263" s="575">
        <f t="shared" si="126"/>
        <v>2.7454834869363216</v>
      </c>
      <c r="N263" s="575">
        <f t="shared" si="126"/>
        <v>2.7373541676898752</v>
      </c>
      <c r="O263" s="575">
        <f t="shared" si="126"/>
        <v>2.733361507190776</v>
      </c>
      <c r="P263" s="575">
        <f t="shared" si="126"/>
        <v>2.7251858036769536</v>
      </c>
      <c r="Q263" s="575">
        <f t="shared" si="126"/>
        <v>2.7187345063916513</v>
      </c>
      <c r="R263" s="575">
        <f t="shared" si="126"/>
        <v>2.7073617031318586</v>
      </c>
      <c r="S263" s="575">
        <f t="shared" si="126"/>
        <v>2.700956139729997</v>
      </c>
      <c r="T263" s="575">
        <f t="shared" si="126"/>
        <v>2.6906978646679245</v>
      </c>
      <c r="U263" s="575">
        <f t="shared" si="126"/>
        <v>2.6851721229495102</v>
      </c>
      <c r="V263" s="575">
        <f t="shared" si="126"/>
        <v>2.6757298738143946</v>
      </c>
      <c r="W263" s="575">
        <f t="shared" si="126"/>
        <v>2.6690945856951571</v>
      </c>
      <c r="X263" s="575">
        <f t="shared" si="126"/>
        <v>2.6625393619775406</v>
      </c>
      <c r="Y263" s="575">
        <f t="shared" si="126"/>
        <v>2.6568244582925891</v>
      </c>
      <c r="Z263" s="575">
        <f t="shared" si="126"/>
        <v>2.6518223597123911</v>
      </c>
      <c r="AA263" s="575">
        <f t="shared" si="126"/>
        <v>2.6474489191890092</v>
      </c>
      <c r="AB263" s="575">
        <f t="shared" si="126"/>
        <v>2.6426836822426623</v>
      </c>
      <c r="AC263" s="575">
        <f t="shared" si="126"/>
        <v>2.6379693677284375</v>
      </c>
      <c r="AD263" s="575">
        <f t="shared" si="126"/>
        <v>2.6335632392712833</v>
      </c>
      <c r="AE263" s="575">
        <f t="shared" si="126"/>
        <v>2.6300422772855061</v>
      </c>
      <c r="AF263" s="575">
        <f t="shared" si="126"/>
        <v>2.6272334375470709</v>
      </c>
      <c r="AG263" s="575">
        <f t="shared" si="126"/>
        <v>2.6245788913867711</v>
      </c>
      <c r="AH263" s="575">
        <f t="shared" si="126"/>
        <v>2.621978518551598</v>
      </c>
      <c r="AI263" s="575">
        <f t="shared" si="126"/>
        <v>2.6200259859444546</v>
      </c>
      <c r="AJ263" s="575">
        <f t="shared" si="126"/>
        <v>2.6184565250463954</v>
      </c>
      <c r="AK263" s="575">
        <f t="shared" si="126"/>
        <v>2.6169501303962761</v>
      </c>
      <c r="AL263" s="575"/>
      <c r="AM263" s="575"/>
      <c r="AN263" s="575"/>
      <c r="AO263" s="575"/>
      <c r="AP263" s="575"/>
      <c r="AQ263" s="575"/>
      <c r="AR263" s="575"/>
      <c r="AS263" s="575"/>
      <c r="AT263" s="575"/>
      <c r="AU263" s="575"/>
      <c r="AV263" s="575"/>
      <c r="AW263" s="575"/>
      <c r="AX263" s="575"/>
      <c r="AY263" s="575"/>
      <c r="AZ263" s="575"/>
      <c r="BA263" s="575"/>
      <c r="BB263" s="575"/>
      <c r="BC263" s="575"/>
      <c r="BD263" s="575"/>
      <c r="BE263" s="575"/>
      <c r="BF263" s="575"/>
      <c r="BG263" s="575"/>
      <c r="BH263" s="575"/>
      <c r="BI263" s="575"/>
      <c r="BJ263" s="575"/>
      <c r="BK263" s="575"/>
      <c r="BL263" s="575"/>
      <c r="BM263" s="575"/>
      <c r="BN263" s="575"/>
      <c r="BO263" s="575"/>
      <c r="BP263" s="575"/>
      <c r="BQ263" s="575"/>
      <c r="BR263" s="575"/>
      <c r="BS263" s="575"/>
      <c r="BT263" s="575"/>
      <c r="BU263" s="575"/>
      <c r="BV263" s="575"/>
      <c r="BW263" s="575"/>
      <c r="BX263" s="575"/>
      <c r="BY263" s="575"/>
      <c r="BZ263" s="575"/>
      <c r="CA263" s="575"/>
      <c r="CB263" s="575"/>
      <c r="CC263" s="575"/>
      <c r="CD263" s="575"/>
      <c r="CE263" s="575"/>
      <c r="CF263" s="575"/>
      <c r="CG263" s="575"/>
      <c r="CH263" s="575"/>
      <c r="CI263" s="575"/>
      <c r="CK263" s="1293"/>
    </row>
    <row r="264" spans="1:89" s="1292" customFormat="1" ht="28.5" x14ac:dyDescent="0.2">
      <c r="A264" s="1284"/>
      <c r="B264" s="871" t="s">
        <v>582</v>
      </c>
      <c r="C264" s="870" t="s">
        <v>583</v>
      </c>
      <c r="D264" s="872" t="s">
        <v>584</v>
      </c>
      <c r="E264" s="868" t="s">
        <v>375</v>
      </c>
      <c r="F264" s="869">
        <v>1</v>
      </c>
      <c r="G264" s="617" t="e">
        <f>G247/(G247+G255)</f>
        <v>#DIV/0!</v>
      </c>
      <c r="H264" s="617" t="e">
        <f t="shared" ref="H264:AK264" si="127">H247/(H247+H255)</f>
        <v>#DIV/0!</v>
      </c>
      <c r="I264" s="617">
        <f t="shared" si="127"/>
        <v>0.63244856206336286</v>
      </c>
      <c r="J264" s="617">
        <f t="shared" si="127"/>
        <v>0.64537362217341721</v>
      </c>
      <c r="K264" s="617">
        <f t="shared" si="127"/>
        <v>0.66319732852123003</v>
      </c>
      <c r="L264" s="617">
        <f t="shared" si="127"/>
        <v>0.68523991173672782</v>
      </c>
      <c r="M264" s="618">
        <f t="shared" si="127"/>
        <v>0.72911410654911157</v>
      </c>
      <c r="N264" s="618">
        <f t="shared" si="127"/>
        <v>0.78250751850765732</v>
      </c>
      <c r="O264" s="618">
        <f t="shared" si="127"/>
        <v>0.80922171096566453</v>
      </c>
      <c r="P264" s="618">
        <f t="shared" si="127"/>
        <v>0.81753457173471611</v>
      </c>
      <c r="Q264" s="618">
        <f t="shared" si="127"/>
        <v>0.8250825542732132</v>
      </c>
      <c r="R264" s="618">
        <f t="shared" si="127"/>
        <v>0.8308359169892966</v>
      </c>
      <c r="S264" s="618">
        <f t="shared" si="127"/>
        <v>0.8349717611630515</v>
      </c>
      <c r="T264" s="618">
        <f t="shared" si="127"/>
        <v>0.83892264940185135</v>
      </c>
      <c r="U264" s="618">
        <f t="shared" si="127"/>
        <v>0.84264731896831491</v>
      </c>
      <c r="V264" s="618">
        <f t="shared" si="127"/>
        <v>0.84645769843370722</v>
      </c>
      <c r="W264" s="618">
        <f t="shared" si="127"/>
        <v>0.84912954554799824</v>
      </c>
      <c r="X264" s="618">
        <f t="shared" si="127"/>
        <v>0.85074702481267894</v>
      </c>
      <c r="Y264" s="618">
        <f t="shared" si="127"/>
        <v>0.85236619098924349</v>
      </c>
      <c r="Z264" s="618">
        <f t="shared" si="127"/>
        <v>0.85398409770203709</v>
      </c>
      <c r="AA264" s="618">
        <f t="shared" si="127"/>
        <v>0.85560025918666838</v>
      </c>
      <c r="AB264" s="618">
        <f t="shared" si="127"/>
        <v>0.85721338297098193</v>
      </c>
      <c r="AC264" s="618">
        <f t="shared" si="127"/>
        <v>0.85882438173702014</v>
      </c>
      <c r="AD264" s="618">
        <f t="shared" si="127"/>
        <v>0.86043220169196888</v>
      </c>
      <c r="AE264" s="618">
        <f t="shared" si="127"/>
        <v>0.86203611134732672</v>
      </c>
      <c r="AF264" s="618">
        <f t="shared" si="127"/>
        <v>0.8636356532076056</v>
      </c>
      <c r="AG264" s="618">
        <f t="shared" si="127"/>
        <v>0.86522909683662097</v>
      </c>
      <c r="AH264" s="618">
        <f t="shared" si="127"/>
        <v>0.86681626586871552</v>
      </c>
      <c r="AI264" s="618">
        <f t="shared" si="127"/>
        <v>0.86839651458653166</v>
      </c>
      <c r="AJ264" s="618">
        <f t="shared" si="127"/>
        <v>0.8699691922168904</v>
      </c>
      <c r="AK264" s="618">
        <f t="shared" si="127"/>
        <v>0.87153356098371848</v>
      </c>
      <c r="AL264" s="618"/>
      <c r="AM264" s="618"/>
      <c r="AN264" s="618"/>
      <c r="AO264" s="618"/>
      <c r="AP264" s="618"/>
      <c r="AQ264" s="618"/>
      <c r="AR264" s="618"/>
      <c r="AS264" s="618"/>
      <c r="AT264" s="618"/>
      <c r="AU264" s="618"/>
      <c r="AV264" s="618"/>
      <c r="AW264" s="618"/>
      <c r="AX264" s="618"/>
      <c r="AY264" s="618"/>
      <c r="AZ264" s="618"/>
      <c r="BA264" s="618"/>
      <c r="BB264" s="618"/>
      <c r="BC264" s="618"/>
      <c r="BD264" s="618"/>
      <c r="BE264" s="618"/>
      <c r="BF264" s="618"/>
      <c r="BG264" s="618"/>
      <c r="BH264" s="618"/>
      <c r="BI264" s="618"/>
      <c r="BJ264" s="618"/>
      <c r="BK264" s="618"/>
      <c r="BL264" s="618"/>
      <c r="BM264" s="618"/>
      <c r="BN264" s="618"/>
      <c r="BO264" s="618"/>
      <c r="BP264" s="618"/>
      <c r="BQ264" s="618"/>
      <c r="BR264" s="618"/>
      <c r="BS264" s="618"/>
      <c r="BT264" s="618"/>
      <c r="BU264" s="618"/>
      <c r="BV264" s="618"/>
      <c r="BW264" s="618"/>
      <c r="BX264" s="618"/>
      <c r="BY264" s="618"/>
      <c r="BZ264" s="618"/>
      <c r="CA264" s="618"/>
      <c r="CB264" s="618"/>
      <c r="CC264" s="618"/>
      <c r="CD264" s="618"/>
      <c r="CE264" s="618"/>
      <c r="CF264" s="618"/>
      <c r="CG264" s="618"/>
      <c r="CH264" s="618"/>
      <c r="CI264" s="619"/>
      <c r="CK264" s="1293"/>
    </row>
    <row r="265" spans="1:89" s="1292" customFormat="1" ht="29.25" thickBot="1" x14ac:dyDescent="0.25">
      <c r="A265" s="1284"/>
      <c r="B265" s="873" t="s">
        <v>585</v>
      </c>
      <c r="C265" s="874" t="s">
        <v>586</v>
      </c>
      <c r="D265" s="875" t="s">
        <v>587</v>
      </c>
      <c r="E265" s="876" t="s">
        <v>375</v>
      </c>
      <c r="F265" s="877">
        <v>1</v>
      </c>
      <c r="G265" s="625" t="e">
        <f>(G247)/(G247+G256+G255+G254)</f>
        <v>#DIV/0!</v>
      </c>
      <c r="H265" s="625" t="e">
        <f t="shared" ref="H265:AK265" si="128">(H247)/(H247+H256+H255+H254)</f>
        <v>#DIV/0!</v>
      </c>
      <c r="I265" s="625">
        <f t="shared" si="128"/>
        <v>0.61354936958937556</v>
      </c>
      <c r="J265" s="625">
        <f t="shared" si="128"/>
        <v>0.62604473697882579</v>
      </c>
      <c r="K265" s="625">
        <f t="shared" si="128"/>
        <v>0.64334177302293027</v>
      </c>
      <c r="L265" s="625">
        <f t="shared" si="128"/>
        <v>0.66473355453848304</v>
      </c>
      <c r="M265" s="625">
        <f t="shared" si="128"/>
        <v>0.70731412455439957</v>
      </c>
      <c r="N265" s="625">
        <f t="shared" si="128"/>
        <v>0.75913638119377269</v>
      </c>
      <c r="O265" s="625">
        <f t="shared" si="128"/>
        <v>0.78506577636100394</v>
      </c>
      <c r="P265" s="625">
        <f t="shared" si="128"/>
        <v>0.79313460192049812</v>
      </c>
      <c r="Q265" s="625">
        <f t="shared" si="128"/>
        <v>0.8004610757259788</v>
      </c>
      <c r="R265" s="625">
        <f t="shared" si="128"/>
        <v>0.80604564227411557</v>
      </c>
      <c r="S265" s="625">
        <f t="shared" si="128"/>
        <v>0.81006017091849292</v>
      </c>
      <c r="T265" s="625">
        <f t="shared" si="128"/>
        <v>0.81389518822235563</v>
      </c>
      <c r="U265" s="625">
        <f t="shared" si="128"/>
        <v>0.81751063865549245</v>
      </c>
      <c r="V265" s="625">
        <f t="shared" si="128"/>
        <v>0.82120930307688178</v>
      </c>
      <c r="W265" s="625">
        <f t="shared" si="128"/>
        <v>0.82380282581898923</v>
      </c>
      <c r="X265" s="625">
        <f t="shared" si="128"/>
        <v>0.82537289337778286</v>
      </c>
      <c r="Y265" s="625">
        <f t="shared" si="128"/>
        <v>0.82694460157313909</v>
      </c>
      <c r="Z265" s="625">
        <f t="shared" si="128"/>
        <v>0.82851509038934013</v>
      </c>
      <c r="AA265" s="625">
        <f t="shared" si="128"/>
        <v>0.83008388829004809</v>
      </c>
      <c r="AB265" s="625">
        <f t="shared" si="128"/>
        <v>0.8316497406665595</v>
      </c>
      <c r="AC265" s="625">
        <f t="shared" si="128"/>
        <v>0.83321353344032612</v>
      </c>
      <c r="AD265" s="625">
        <f t="shared" si="128"/>
        <v>0.83477424368160158</v>
      </c>
      <c r="AE265" s="625">
        <f t="shared" si="128"/>
        <v>0.83633116131408392</v>
      </c>
      <c r="AF265" s="625">
        <f t="shared" si="128"/>
        <v>0.83788384222208623</v>
      </c>
      <c r="AG265" s="625">
        <f t="shared" si="128"/>
        <v>0.83943060663474556</v>
      </c>
      <c r="AH265" s="625">
        <f t="shared" si="128"/>
        <v>0.84097128331717164</v>
      </c>
      <c r="AI265" s="625">
        <f t="shared" si="128"/>
        <v>0.84250524542875505</v>
      </c>
      <c r="AJ265" s="625">
        <f t="shared" si="128"/>
        <v>0.84403186121636165</v>
      </c>
      <c r="AK265" s="625">
        <f t="shared" si="128"/>
        <v>0.8455504144671675</v>
      </c>
      <c r="AL265" s="625"/>
      <c r="AM265" s="625"/>
      <c r="AN265" s="625"/>
      <c r="AO265" s="625"/>
      <c r="AP265" s="625"/>
      <c r="AQ265" s="625"/>
      <c r="AR265" s="625"/>
      <c r="AS265" s="625"/>
      <c r="AT265" s="625"/>
      <c r="AU265" s="625"/>
      <c r="AV265" s="625"/>
      <c r="AW265" s="625"/>
      <c r="AX265" s="625"/>
      <c r="AY265" s="625"/>
      <c r="AZ265" s="625"/>
      <c r="BA265" s="625"/>
      <c r="BB265" s="625"/>
      <c r="BC265" s="625"/>
      <c r="BD265" s="625"/>
      <c r="BE265" s="625"/>
      <c r="BF265" s="625"/>
      <c r="BG265" s="625"/>
      <c r="BH265" s="625"/>
      <c r="BI265" s="625"/>
      <c r="BJ265" s="625"/>
      <c r="BK265" s="625"/>
      <c r="BL265" s="625"/>
      <c r="BM265" s="625"/>
      <c r="BN265" s="625"/>
      <c r="BO265" s="625"/>
      <c r="BP265" s="625"/>
      <c r="BQ265" s="625"/>
      <c r="BR265" s="625"/>
      <c r="BS265" s="625"/>
      <c r="BT265" s="625"/>
      <c r="BU265" s="625"/>
      <c r="BV265" s="625"/>
      <c r="BW265" s="625"/>
      <c r="BX265" s="625"/>
      <c r="BY265" s="625"/>
      <c r="BZ265" s="625"/>
      <c r="CA265" s="625"/>
      <c r="CB265" s="625"/>
      <c r="CC265" s="625"/>
      <c r="CD265" s="625"/>
      <c r="CE265" s="625"/>
      <c r="CF265" s="625"/>
      <c r="CG265" s="625"/>
      <c r="CH265" s="625"/>
      <c r="CI265" s="625"/>
      <c r="CK265" s="1293"/>
    </row>
    <row r="266" spans="1:89" s="1292" customFormat="1" ht="29.25" thickBot="1" x14ac:dyDescent="0.25">
      <c r="A266" s="1284"/>
      <c r="B266" s="878" t="s">
        <v>588</v>
      </c>
      <c r="C266" s="879" t="s">
        <v>245</v>
      </c>
      <c r="D266" s="879" t="s">
        <v>589</v>
      </c>
      <c r="E266" s="879" t="s">
        <v>236</v>
      </c>
      <c r="F266" s="880">
        <v>2</v>
      </c>
      <c r="G266" s="629">
        <f>SUM(G226:G228)+G224+G235+G240+G241+G234</f>
        <v>0</v>
      </c>
      <c r="H266" s="629">
        <f t="shared" ref="H266:AK266" si="129">SUM(H226:H228)+H224+H235+H240+H241+H234</f>
        <v>0</v>
      </c>
      <c r="I266" s="629">
        <f t="shared" si="129"/>
        <v>496.51578387405408</v>
      </c>
      <c r="J266" s="629">
        <f t="shared" si="129"/>
        <v>488.40360676159128</v>
      </c>
      <c r="K266" s="629">
        <f t="shared" si="129"/>
        <v>486.01014828705553</v>
      </c>
      <c r="L266" s="629">
        <f t="shared" si="129"/>
        <v>481.85766426535071</v>
      </c>
      <c r="M266" s="629">
        <f t="shared" si="129"/>
        <v>483.66545206470937</v>
      </c>
      <c r="N266" s="629">
        <f t="shared" si="129"/>
        <v>482.61643749260963</v>
      </c>
      <c r="O266" s="629">
        <f t="shared" si="129"/>
        <v>482.91177549292559</v>
      </c>
      <c r="P266" s="629">
        <f t="shared" si="129"/>
        <v>486.13870630563821</v>
      </c>
      <c r="Q266" s="629">
        <f t="shared" si="129"/>
        <v>488.07858945382674</v>
      </c>
      <c r="R266" s="629">
        <f t="shared" si="129"/>
        <v>488.93279700348751</v>
      </c>
      <c r="S266" s="629">
        <f t="shared" si="129"/>
        <v>489.67369653213683</v>
      </c>
      <c r="T266" s="629">
        <f t="shared" si="129"/>
        <v>490.1783410430254</v>
      </c>
      <c r="U266" s="629">
        <f t="shared" si="129"/>
        <v>490.63566008028448</v>
      </c>
      <c r="V266" s="629">
        <f t="shared" si="129"/>
        <v>490.71865454487295</v>
      </c>
      <c r="W266" s="629">
        <f t="shared" si="129"/>
        <v>491.08656888785873</v>
      </c>
      <c r="X266" s="629">
        <f t="shared" si="129"/>
        <v>491.34059533735098</v>
      </c>
      <c r="Y266" s="629">
        <f t="shared" si="129"/>
        <v>491.84014886578416</v>
      </c>
      <c r="Z266" s="629">
        <f t="shared" si="129"/>
        <v>492.56064636512787</v>
      </c>
      <c r="AA266" s="629">
        <f t="shared" si="129"/>
        <v>493.87104186007417</v>
      </c>
      <c r="AB266" s="629">
        <f t="shared" si="129"/>
        <v>494.83302265551407</v>
      </c>
      <c r="AC266" s="629">
        <f t="shared" si="129"/>
        <v>496.18431476813583</v>
      </c>
      <c r="AD266" s="629">
        <f t="shared" si="129"/>
        <v>497.68220813000255</v>
      </c>
      <c r="AE266" s="629">
        <f t="shared" si="129"/>
        <v>499.29378567208391</v>
      </c>
      <c r="AF266" s="629">
        <f t="shared" si="129"/>
        <v>501.03599085257383</v>
      </c>
      <c r="AG266" s="629">
        <f t="shared" si="129"/>
        <v>502.81725980980445</v>
      </c>
      <c r="AH266" s="629">
        <f t="shared" si="129"/>
        <v>504.71942394724027</v>
      </c>
      <c r="AI266" s="629">
        <f t="shared" si="129"/>
        <v>506.71146131673237</v>
      </c>
      <c r="AJ266" s="629">
        <f t="shared" si="129"/>
        <v>508.79722116640193</v>
      </c>
      <c r="AK266" s="629">
        <f t="shared" si="129"/>
        <v>510.91083260606655</v>
      </c>
      <c r="AL266" s="629"/>
      <c r="AM266" s="629"/>
      <c r="AN266" s="629"/>
      <c r="AO266" s="629"/>
      <c r="AP266" s="629"/>
      <c r="AQ266" s="629"/>
      <c r="AR266" s="629"/>
      <c r="AS266" s="629"/>
      <c r="AT266" s="629"/>
      <c r="AU266" s="629"/>
      <c r="AV266" s="629"/>
      <c r="AW266" s="629"/>
      <c r="AX266" s="629"/>
      <c r="AY266" s="629"/>
      <c r="AZ266" s="629"/>
      <c r="BA266" s="629"/>
      <c r="BB266" s="629"/>
      <c r="BC266" s="629"/>
      <c r="BD266" s="629"/>
      <c r="BE266" s="629"/>
      <c r="BF266" s="629"/>
      <c r="BG266" s="629"/>
      <c r="BH266" s="629"/>
      <c r="BI266" s="629"/>
      <c r="BJ266" s="629"/>
      <c r="BK266" s="629"/>
      <c r="BL266" s="629"/>
      <c r="BM266" s="629"/>
      <c r="BN266" s="629"/>
      <c r="BO266" s="629"/>
      <c r="BP266" s="629"/>
      <c r="BQ266" s="629"/>
      <c r="BR266" s="629"/>
      <c r="BS266" s="629"/>
      <c r="BT266" s="629"/>
      <c r="BU266" s="629"/>
      <c r="BV266" s="629"/>
      <c r="BW266" s="629"/>
      <c r="BX266" s="629"/>
      <c r="BY266" s="629"/>
      <c r="BZ266" s="629"/>
      <c r="CA266" s="629"/>
      <c r="CB266" s="629"/>
      <c r="CC266" s="629"/>
      <c r="CD266" s="629"/>
      <c r="CE266" s="629"/>
      <c r="CF266" s="629"/>
      <c r="CG266" s="629"/>
      <c r="CH266" s="629"/>
      <c r="CI266" s="629"/>
      <c r="CK266" s="1293"/>
    </row>
    <row r="267" spans="1:89" s="1292" customFormat="1" ht="28.5" x14ac:dyDescent="0.2">
      <c r="A267" s="1587"/>
      <c r="B267" s="881" t="s">
        <v>590</v>
      </c>
      <c r="C267" s="882" t="s">
        <v>591</v>
      </c>
      <c r="D267" s="816" t="s">
        <v>86</v>
      </c>
      <c r="E267" s="882" t="s">
        <v>236</v>
      </c>
      <c r="F267" s="883">
        <v>2</v>
      </c>
      <c r="G267" s="633"/>
      <c r="H267" s="540"/>
      <c r="I267" s="540">
        <v>0</v>
      </c>
      <c r="J267" s="540">
        <v>0</v>
      </c>
      <c r="K267" s="540">
        <v>0</v>
      </c>
      <c r="L267" s="540">
        <v>0</v>
      </c>
      <c r="M267" s="541">
        <v>0</v>
      </c>
      <c r="N267" s="541">
        <v>0</v>
      </c>
      <c r="O267" s="541">
        <v>0</v>
      </c>
      <c r="P267" s="541">
        <v>0</v>
      </c>
      <c r="Q267" s="541">
        <v>0</v>
      </c>
      <c r="R267" s="541">
        <v>0</v>
      </c>
      <c r="S267" s="541">
        <v>0</v>
      </c>
      <c r="T267" s="541">
        <v>0</v>
      </c>
      <c r="U267" s="541">
        <v>0</v>
      </c>
      <c r="V267" s="541">
        <v>0</v>
      </c>
      <c r="W267" s="541">
        <v>0</v>
      </c>
      <c r="X267" s="541">
        <v>0</v>
      </c>
      <c r="Y267" s="541">
        <v>0</v>
      </c>
      <c r="Z267" s="541">
        <v>0</v>
      </c>
      <c r="AA267" s="541">
        <v>0</v>
      </c>
      <c r="AB267" s="541">
        <v>0</v>
      </c>
      <c r="AC267" s="541">
        <v>0</v>
      </c>
      <c r="AD267" s="541">
        <v>0</v>
      </c>
      <c r="AE267" s="541">
        <v>0</v>
      </c>
      <c r="AF267" s="541">
        <v>0</v>
      </c>
      <c r="AG267" s="541">
        <v>0</v>
      </c>
      <c r="AH267" s="541">
        <v>0</v>
      </c>
      <c r="AI267" s="541">
        <v>0</v>
      </c>
      <c r="AJ267" s="541">
        <v>0</v>
      </c>
      <c r="AK267" s="541">
        <v>0</v>
      </c>
      <c r="AL267" s="541"/>
      <c r="AM267" s="541"/>
      <c r="AN267" s="541"/>
      <c r="AO267" s="541"/>
      <c r="AP267" s="541"/>
      <c r="AQ267" s="541"/>
      <c r="AR267" s="541"/>
      <c r="AS267" s="541"/>
      <c r="AT267" s="541"/>
      <c r="AU267" s="541"/>
      <c r="AV267" s="541"/>
      <c r="AW267" s="541"/>
      <c r="AX267" s="541"/>
      <c r="AY267" s="541"/>
      <c r="AZ267" s="541"/>
      <c r="BA267" s="541"/>
      <c r="BB267" s="541"/>
      <c r="BC267" s="541"/>
      <c r="BD267" s="541"/>
      <c r="BE267" s="541"/>
      <c r="BF267" s="541"/>
      <c r="BG267" s="541"/>
      <c r="BH267" s="541"/>
      <c r="BI267" s="541"/>
      <c r="BJ267" s="541"/>
      <c r="BK267" s="541"/>
      <c r="BL267" s="541"/>
      <c r="BM267" s="541"/>
      <c r="BN267" s="541"/>
      <c r="BO267" s="541"/>
      <c r="BP267" s="541"/>
      <c r="BQ267" s="541"/>
      <c r="BR267" s="541"/>
      <c r="BS267" s="541"/>
      <c r="BT267" s="541"/>
      <c r="BU267" s="541"/>
      <c r="BV267" s="541"/>
      <c r="BW267" s="541"/>
      <c r="BX267" s="541"/>
      <c r="BY267" s="541"/>
      <c r="BZ267" s="541"/>
      <c r="CA267" s="541"/>
      <c r="CB267" s="541"/>
      <c r="CC267" s="541"/>
      <c r="CD267" s="541"/>
      <c r="CE267" s="541"/>
      <c r="CF267" s="541"/>
      <c r="CG267" s="541"/>
      <c r="CH267" s="541"/>
      <c r="CI267" s="541"/>
    </row>
    <row r="268" spans="1:89" s="1292" customFormat="1" x14ac:dyDescent="0.2">
      <c r="A268" s="1284"/>
      <c r="B268" s="884" t="s">
        <v>592</v>
      </c>
      <c r="C268" s="885" t="s">
        <v>593</v>
      </c>
      <c r="D268" s="821" t="s">
        <v>86</v>
      </c>
      <c r="E268" s="885" t="s">
        <v>236</v>
      </c>
      <c r="F268" s="886">
        <v>2</v>
      </c>
      <c r="G268" s="637"/>
      <c r="H268" s="540"/>
      <c r="I268" s="540">
        <v>6.6340527828992801</v>
      </c>
      <c r="J268" s="540">
        <v>9.190668277609074</v>
      </c>
      <c r="K268" s="540">
        <v>9.3256469304710752</v>
      </c>
      <c r="L268" s="540">
        <v>9.4248911859991011</v>
      </c>
      <c r="M268" s="541">
        <v>9.7970405924190924</v>
      </c>
      <c r="N268" s="541">
        <v>9.4560841246007392</v>
      </c>
      <c r="O268" s="541">
        <v>9.1850162366586687</v>
      </c>
      <c r="P268" s="541">
        <v>8.9369632225507587</v>
      </c>
      <c r="Q268" s="541">
        <v>8.7385948563847347</v>
      </c>
      <c r="R268" s="541">
        <v>8.5546230875539546</v>
      </c>
      <c r="S268" s="541">
        <v>8.1179043566649565</v>
      </c>
      <c r="T268" s="541">
        <v>8.0020648976154352</v>
      </c>
      <c r="U268" s="541">
        <v>8.0096202348070911</v>
      </c>
      <c r="V268" s="541">
        <v>7.8453139388337796</v>
      </c>
      <c r="W268" s="541">
        <v>7.8421576771567283</v>
      </c>
      <c r="X268" s="541">
        <v>7.8717083525818268</v>
      </c>
      <c r="Y268" s="541">
        <v>7.946384941990944</v>
      </c>
      <c r="Z268" s="541">
        <v>8.0072071693870122</v>
      </c>
      <c r="AA268" s="541">
        <v>8.1342861755084872</v>
      </c>
      <c r="AB268" s="541">
        <v>8.201715736764184</v>
      </c>
      <c r="AC268" s="541">
        <v>8.3977851953285203</v>
      </c>
      <c r="AD268" s="541">
        <v>8.7274830204856926</v>
      </c>
      <c r="AE268" s="541">
        <v>9.0499362501734026</v>
      </c>
      <c r="AF268" s="541">
        <v>9.2591726469557294</v>
      </c>
      <c r="AG268" s="541">
        <v>9.6238368337961617</v>
      </c>
      <c r="AH268" s="541">
        <v>9.9153291405031165</v>
      </c>
      <c r="AI268" s="541">
        <v>10.182602524975632</v>
      </c>
      <c r="AJ268" s="541">
        <v>10.470488930882306</v>
      </c>
      <c r="AK268" s="541">
        <v>10.82413008076165</v>
      </c>
      <c r="AL268" s="541"/>
      <c r="AM268" s="541"/>
      <c r="AN268" s="541"/>
      <c r="AO268" s="541"/>
      <c r="AP268" s="541"/>
      <c r="AQ268" s="541"/>
      <c r="AR268" s="541"/>
      <c r="AS268" s="541"/>
      <c r="AT268" s="541"/>
      <c r="AU268" s="541"/>
      <c r="AV268" s="541"/>
      <c r="AW268" s="541"/>
      <c r="AX268" s="541"/>
      <c r="AY268" s="541"/>
      <c r="AZ268" s="541"/>
      <c r="BA268" s="541"/>
      <c r="BB268" s="541"/>
      <c r="BC268" s="541"/>
      <c r="BD268" s="541"/>
      <c r="BE268" s="541"/>
      <c r="BF268" s="541"/>
      <c r="BG268" s="541"/>
      <c r="BH268" s="541"/>
      <c r="BI268" s="541"/>
      <c r="BJ268" s="541"/>
      <c r="BK268" s="541"/>
      <c r="BL268" s="541"/>
      <c r="BM268" s="541"/>
      <c r="BN268" s="541"/>
      <c r="BO268" s="541"/>
      <c r="BP268" s="541"/>
      <c r="BQ268" s="541"/>
      <c r="BR268" s="541"/>
      <c r="BS268" s="541"/>
      <c r="BT268" s="541"/>
      <c r="BU268" s="541"/>
      <c r="BV268" s="541"/>
      <c r="BW268" s="541"/>
      <c r="BX268" s="541"/>
      <c r="BY268" s="541"/>
      <c r="BZ268" s="541"/>
      <c r="CA268" s="541"/>
      <c r="CB268" s="541"/>
      <c r="CC268" s="541"/>
      <c r="CD268" s="541"/>
      <c r="CE268" s="541"/>
      <c r="CF268" s="541"/>
      <c r="CG268" s="541"/>
      <c r="CH268" s="541"/>
      <c r="CI268" s="541"/>
    </row>
    <row r="269" spans="1:89" s="1292" customFormat="1" x14ac:dyDescent="0.2">
      <c r="A269" s="1284"/>
      <c r="B269" s="884" t="s">
        <v>594</v>
      </c>
      <c r="C269" s="885" t="s">
        <v>384</v>
      </c>
      <c r="D269" s="821" t="s">
        <v>595</v>
      </c>
      <c r="E269" s="885" t="s">
        <v>236</v>
      </c>
      <c r="F269" s="886">
        <v>2</v>
      </c>
      <c r="G269" s="638">
        <f>G267+G268</f>
        <v>0</v>
      </c>
      <c r="H269" s="638">
        <f t="shared" ref="H269:AK269" si="130">H267+H268</f>
        <v>0</v>
      </c>
      <c r="I269" s="638">
        <f t="shared" si="130"/>
        <v>6.6340527828992801</v>
      </c>
      <c r="J269" s="638">
        <f t="shared" si="130"/>
        <v>9.190668277609074</v>
      </c>
      <c r="K269" s="638">
        <f t="shared" si="130"/>
        <v>9.3256469304710752</v>
      </c>
      <c r="L269" s="638">
        <f t="shared" si="130"/>
        <v>9.4248911859991011</v>
      </c>
      <c r="M269" s="639">
        <f t="shared" si="130"/>
        <v>9.7970405924190924</v>
      </c>
      <c r="N269" s="639">
        <f t="shared" si="130"/>
        <v>9.4560841246007392</v>
      </c>
      <c r="O269" s="639">
        <f t="shared" si="130"/>
        <v>9.1850162366586687</v>
      </c>
      <c r="P269" s="639">
        <f t="shared" si="130"/>
        <v>8.9369632225507587</v>
      </c>
      <c r="Q269" s="639">
        <f t="shared" si="130"/>
        <v>8.7385948563847347</v>
      </c>
      <c r="R269" s="639">
        <f t="shared" si="130"/>
        <v>8.5546230875539546</v>
      </c>
      <c r="S269" s="639">
        <f t="shared" si="130"/>
        <v>8.1179043566649565</v>
      </c>
      <c r="T269" s="639">
        <f t="shared" si="130"/>
        <v>8.0020648976154352</v>
      </c>
      <c r="U269" s="639">
        <f t="shared" si="130"/>
        <v>8.0096202348070911</v>
      </c>
      <c r="V269" s="639">
        <f t="shared" si="130"/>
        <v>7.8453139388337796</v>
      </c>
      <c r="W269" s="639">
        <f t="shared" si="130"/>
        <v>7.8421576771567283</v>
      </c>
      <c r="X269" s="639">
        <f t="shared" si="130"/>
        <v>7.8717083525818268</v>
      </c>
      <c r="Y269" s="639">
        <f t="shared" si="130"/>
        <v>7.946384941990944</v>
      </c>
      <c r="Z269" s="639">
        <f t="shared" si="130"/>
        <v>8.0072071693870122</v>
      </c>
      <c r="AA269" s="639">
        <f t="shared" si="130"/>
        <v>8.1342861755084872</v>
      </c>
      <c r="AB269" s="639">
        <f t="shared" si="130"/>
        <v>8.201715736764184</v>
      </c>
      <c r="AC269" s="639">
        <f t="shared" si="130"/>
        <v>8.3977851953285203</v>
      </c>
      <c r="AD269" s="639">
        <f t="shared" si="130"/>
        <v>8.7274830204856926</v>
      </c>
      <c r="AE269" s="639">
        <f t="shared" si="130"/>
        <v>9.0499362501734026</v>
      </c>
      <c r="AF269" s="639">
        <f t="shared" si="130"/>
        <v>9.2591726469557294</v>
      </c>
      <c r="AG269" s="639">
        <f t="shared" si="130"/>
        <v>9.6238368337961617</v>
      </c>
      <c r="AH269" s="639">
        <f t="shared" si="130"/>
        <v>9.9153291405031165</v>
      </c>
      <c r="AI269" s="639">
        <f t="shared" si="130"/>
        <v>10.182602524975632</v>
      </c>
      <c r="AJ269" s="639">
        <f t="shared" si="130"/>
        <v>10.470488930882306</v>
      </c>
      <c r="AK269" s="639">
        <f t="shared" si="130"/>
        <v>10.82413008076165</v>
      </c>
      <c r="AL269" s="639"/>
      <c r="AM269" s="639"/>
      <c r="AN269" s="639"/>
      <c r="AO269" s="639"/>
      <c r="AP269" s="639"/>
      <c r="AQ269" s="639"/>
      <c r="AR269" s="639"/>
      <c r="AS269" s="639"/>
      <c r="AT269" s="639"/>
      <c r="AU269" s="639"/>
      <c r="AV269" s="639"/>
      <c r="AW269" s="639"/>
      <c r="AX269" s="639"/>
      <c r="AY269" s="639"/>
      <c r="AZ269" s="639"/>
      <c r="BA269" s="639"/>
      <c r="BB269" s="639"/>
      <c r="BC269" s="639"/>
      <c r="BD269" s="639"/>
      <c r="BE269" s="639"/>
      <c r="BF269" s="639"/>
      <c r="BG269" s="639"/>
      <c r="BH269" s="639"/>
      <c r="BI269" s="639"/>
      <c r="BJ269" s="639"/>
      <c r="BK269" s="639"/>
      <c r="BL269" s="639"/>
      <c r="BM269" s="639"/>
      <c r="BN269" s="639"/>
      <c r="BO269" s="639"/>
      <c r="BP269" s="639"/>
      <c r="BQ269" s="639"/>
      <c r="BR269" s="639"/>
      <c r="BS269" s="639"/>
      <c r="BT269" s="639"/>
      <c r="BU269" s="639"/>
      <c r="BV269" s="639"/>
      <c r="BW269" s="639"/>
      <c r="BX269" s="639"/>
      <c r="BY269" s="639"/>
      <c r="BZ269" s="639"/>
      <c r="CA269" s="639"/>
      <c r="CB269" s="639"/>
      <c r="CC269" s="639"/>
      <c r="CD269" s="639"/>
      <c r="CE269" s="639"/>
      <c r="CF269" s="639"/>
      <c r="CG269" s="639"/>
      <c r="CH269" s="639"/>
      <c r="CI269" s="640"/>
    </row>
    <row r="270" spans="1:89" s="1292" customFormat="1" x14ac:dyDescent="0.2">
      <c r="A270" s="1284"/>
      <c r="B270" s="1063" t="s">
        <v>596</v>
      </c>
      <c r="C270" s="1064" t="s">
        <v>597</v>
      </c>
      <c r="D270" s="1065" t="s">
        <v>598</v>
      </c>
      <c r="E270" s="1064" t="s">
        <v>236</v>
      </c>
      <c r="F270" s="1066">
        <v>2</v>
      </c>
      <c r="G270" s="1072">
        <f>G223-G266</f>
        <v>0</v>
      </c>
      <c r="H270" s="638">
        <f t="shared" ref="H270:AK270" si="131">H223-H266</f>
        <v>0</v>
      </c>
      <c r="I270" s="638">
        <f t="shared" si="131"/>
        <v>-10.200021552999772</v>
      </c>
      <c r="J270" s="638">
        <f t="shared" si="131"/>
        <v>-2.0878444405369692</v>
      </c>
      <c r="K270" s="638">
        <f t="shared" si="131"/>
        <v>0.30561403399877918</v>
      </c>
      <c r="L270" s="638">
        <f t="shared" si="131"/>
        <v>4.1200864802601131</v>
      </c>
      <c r="M270" s="639">
        <f t="shared" si="131"/>
        <v>1.9761467386355207</v>
      </c>
      <c r="N270" s="639">
        <f t="shared" si="131"/>
        <v>1.2048162504789275</v>
      </c>
      <c r="O270" s="639">
        <f t="shared" si="131"/>
        <v>0.57890520742984108</v>
      </c>
      <c r="P270" s="639">
        <f t="shared" si="131"/>
        <v>-2.9792960104575172</v>
      </c>
      <c r="Q270" s="639">
        <f t="shared" si="131"/>
        <v>-5.2490548389375249</v>
      </c>
      <c r="R270" s="639">
        <f t="shared" si="131"/>
        <v>-11.432673160595414</v>
      </c>
      <c r="S270" s="639">
        <f t="shared" si="131"/>
        <v>-12.504378186125052</v>
      </c>
      <c r="T270" s="639">
        <f t="shared" si="131"/>
        <v>-13.337736106569196</v>
      </c>
      <c r="U270" s="639">
        <f t="shared" si="131"/>
        <v>-14.125628186561357</v>
      </c>
      <c r="V270" s="639">
        <f t="shared" si="131"/>
        <v>-12.708622651149824</v>
      </c>
      <c r="W270" s="639">
        <f t="shared" si="131"/>
        <v>6.9257875473363697</v>
      </c>
      <c r="X270" s="639">
        <f t="shared" si="131"/>
        <v>6.6717610978441257</v>
      </c>
      <c r="Y270" s="639">
        <f t="shared" si="131"/>
        <v>6.1722075694109435</v>
      </c>
      <c r="Z270" s="639">
        <f t="shared" si="131"/>
        <v>5.4517100700672358</v>
      </c>
      <c r="AA270" s="639">
        <f t="shared" si="131"/>
        <v>4.1413145751209299</v>
      </c>
      <c r="AB270" s="639">
        <f t="shared" si="131"/>
        <v>1.1816583211530656</v>
      </c>
      <c r="AC270" s="639">
        <f t="shared" si="131"/>
        <v>-0.16963379146869784</v>
      </c>
      <c r="AD270" s="639">
        <f t="shared" si="131"/>
        <v>-1.6675271533354135</v>
      </c>
      <c r="AE270" s="639">
        <f t="shared" si="131"/>
        <v>-3.2791046954167768</v>
      </c>
      <c r="AF270" s="639">
        <f t="shared" si="131"/>
        <v>-5.0213098759066952</v>
      </c>
      <c r="AG270" s="639">
        <f t="shared" si="131"/>
        <v>-6.8025788331373178</v>
      </c>
      <c r="AH270" s="639">
        <f t="shared" si="131"/>
        <v>-8.7047429705731361</v>
      </c>
      <c r="AI270" s="639">
        <f t="shared" si="131"/>
        <v>-10.694455798593253</v>
      </c>
      <c r="AJ270" s="639">
        <f t="shared" si="131"/>
        <v>-12.780215648262811</v>
      </c>
      <c r="AK270" s="639">
        <f t="shared" si="131"/>
        <v>-14.893827087927434</v>
      </c>
      <c r="AL270" s="639"/>
      <c r="AM270" s="639"/>
      <c r="AN270" s="639"/>
      <c r="AO270" s="639"/>
      <c r="AP270" s="639"/>
      <c r="AQ270" s="639"/>
      <c r="AR270" s="639"/>
      <c r="AS270" s="639"/>
      <c r="AT270" s="639"/>
      <c r="AU270" s="639"/>
      <c r="AV270" s="639"/>
      <c r="AW270" s="639"/>
      <c r="AX270" s="639"/>
      <c r="AY270" s="639"/>
      <c r="AZ270" s="639"/>
      <c r="BA270" s="639"/>
      <c r="BB270" s="639"/>
      <c r="BC270" s="639"/>
      <c r="BD270" s="639"/>
      <c r="BE270" s="639"/>
      <c r="BF270" s="639"/>
      <c r="BG270" s="639"/>
      <c r="BH270" s="639"/>
      <c r="BI270" s="639"/>
      <c r="BJ270" s="639"/>
      <c r="BK270" s="639"/>
      <c r="BL270" s="639"/>
      <c r="BM270" s="639"/>
      <c r="BN270" s="639"/>
      <c r="BO270" s="639"/>
      <c r="BP270" s="639"/>
      <c r="BQ270" s="639"/>
      <c r="BR270" s="639"/>
      <c r="BS270" s="639"/>
      <c r="BT270" s="639"/>
      <c r="BU270" s="639"/>
      <c r="BV270" s="639"/>
      <c r="BW270" s="639"/>
      <c r="BX270" s="639"/>
      <c r="BY270" s="639"/>
      <c r="BZ270" s="639"/>
      <c r="CA270" s="639"/>
      <c r="CB270" s="639"/>
      <c r="CC270" s="639"/>
      <c r="CD270" s="639"/>
      <c r="CE270" s="639"/>
      <c r="CF270" s="639"/>
      <c r="CG270" s="639"/>
      <c r="CH270" s="639"/>
      <c r="CI270" s="640"/>
    </row>
    <row r="271" spans="1:89" s="1292" customFormat="1" ht="15" thickBot="1" x14ac:dyDescent="0.25">
      <c r="A271" s="1284"/>
      <c r="B271" s="1063" t="s">
        <v>599</v>
      </c>
      <c r="C271" s="1064" t="s">
        <v>600</v>
      </c>
      <c r="D271" s="1065" t="s">
        <v>601</v>
      </c>
      <c r="E271" s="1064" t="s">
        <v>236</v>
      </c>
      <c r="F271" s="1066">
        <v>2</v>
      </c>
      <c r="G271" s="1073">
        <f>G206-G225</f>
        <v>0</v>
      </c>
      <c r="H271" s="1074">
        <f t="shared" ref="H271:AK271" si="132">H206-H225</f>
        <v>0</v>
      </c>
      <c r="I271" s="1074">
        <f t="shared" si="132"/>
        <v>0</v>
      </c>
      <c r="J271" s="1074">
        <f t="shared" si="132"/>
        <v>0</v>
      </c>
      <c r="K271" s="1074">
        <f t="shared" si="132"/>
        <v>0</v>
      </c>
      <c r="L271" s="1074">
        <f t="shared" si="132"/>
        <v>0</v>
      </c>
      <c r="M271" s="1074">
        <f t="shared" si="132"/>
        <v>0</v>
      </c>
      <c r="N271" s="1074">
        <f t="shared" si="132"/>
        <v>0</v>
      </c>
      <c r="O271" s="1074">
        <f t="shared" si="132"/>
        <v>0</v>
      </c>
      <c r="P271" s="1074">
        <f t="shared" si="132"/>
        <v>0</v>
      </c>
      <c r="Q271" s="1074">
        <f t="shared" si="132"/>
        <v>0</v>
      </c>
      <c r="R271" s="1074">
        <f t="shared" si="132"/>
        <v>0</v>
      </c>
      <c r="S271" s="1074">
        <f t="shared" si="132"/>
        <v>0</v>
      </c>
      <c r="T271" s="1074">
        <f t="shared" si="132"/>
        <v>0</v>
      </c>
      <c r="U271" s="1074">
        <f t="shared" si="132"/>
        <v>0</v>
      </c>
      <c r="V271" s="1074">
        <f t="shared" si="132"/>
        <v>0</v>
      </c>
      <c r="W271" s="1074">
        <f t="shared" si="132"/>
        <v>0</v>
      </c>
      <c r="X271" s="1074">
        <f t="shared" si="132"/>
        <v>0</v>
      </c>
      <c r="Y271" s="1074">
        <f t="shared" si="132"/>
        <v>0</v>
      </c>
      <c r="Z271" s="1074">
        <f t="shared" si="132"/>
        <v>0</v>
      </c>
      <c r="AA271" s="1074">
        <f t="shared" si="132"/>
        <v>0</v>
      </c>
      <c r="AB271" s="1074">
        <f t="shared" si="132"/>
        <v>0</v>
      </c>
      <c r="AC271" s="1074">
        <f t="shared" si="132"/>
        <v>0</v>
      </c>
      <c r="AD271" s="1074">
        <f t="shared" si="132"/>
        <v>0</v>
      </c>
      <c r="AE271" s="1074">
        <f t="shared" si="132"/>
        <v>0</v>
      </c>
      <c r="AF271" s="1074">
        <f t="shared" si="132"/>
        <v>0</v>
      </c>
      <c r="AG271" s="1074">
        <f t="shared" si="132"/>
        <v>0</v>
      </c>
      <c r="AH271" s="1074">
        <f t="shared" si="132"/>
        <v>0</v>
      </c>
      <c r="AI271" s="1074">
        <f t="shared" si="132"/>
        <v>0</v>
      </c>
      <c r="AJ271" s="1074">
        <f t="shared" si="132"/>
        <v>0</v>
      </c>
      <c r="AK271" s="1074">
        <f t="shared" si="132"/>
        <v>0</v>
      </c>
      <c r="AL271" s="1074"/>
      <c r="AM271" s="1074"/>
      <c r="AN271" s="1074"/>
      <c r="AO271" s="1074"/>
      <c r="AP271" s="1074"/>
      <c r="AQ271" s="1074"/>
      <c r="AR271" s="1074"/>
      <c r="AS271" s="1074"/>
      <c r="AT271" s="1074"/>
      <c r="AU271" s="1074"/>
      <c r="AV271" s="1074"/>
      <c r="AW271" s="1074"/>
      <c r="AX271" s="1074"/>
      <c r="AY271" s="1074"/>
      <c r="AZ271" s="1074"/>
      <c r="BA271" s="1074"/>
      <c r="BB271" s="1074"/>
      <c r="BC271" s="1074"/>
      <c r="BD271" s="1074"/>
      <c r="BE271" s="1074"/>
      <c r="BF271" s="1074"/>
      <c r="BG271" s="1074"/>
      <c r="BH271" s="1074"/>
      <c r="BI271" s="1074"/>
      <c r="BJ271" s="1074"/>
      <c r="BK271" s="1074"/>
      <c r="BL271" s="1074"/>
      <c r="BM271" s="1074"/>
      <c r="BN271" s="1074"/>
      <c r="BO271" s="1074"/>
      <c r="BP271" s="1074"/>
      <c r="BQ271" s="1074"/>
      <c r="BR271" s="1074"/>
      <c r="BS271" s="1074"/>
      <c r="BT271" s="1074"/>
      <c r="BU271" s="1074"/>
      <c r="BV271" s="1074"/>
      <c r="BW271" s="1074"/>
      <c r="BX271" s="1074"/>
      <c r="BY271" s="1074"/>
      <c r="BZ271" s="1074"/>
      <c r="CA271" s="1074"/>
      <c r="CB271" s="1074"/>
      <c r="CC271" s="1074"/>
      <c r="CD271" s="1074"/>
      <c r="CE271" s="1074"/>
      <c r="CF271" s="1074"/>
      <c r="CG271" s="1074"/>
      <c r="CH271" s="1074"/>
      <c r="CI271" s="1074"/>
    </row>
    <row r="272" spans="1:89" s="1292" customFormat="1" ht="36.200000000000003" customHeight="1" thickBot="1" x14ac:dyDescent="0.25">
      <c r="A272" s="1284"/>
      <c r="B272" s="887" t="s">
        <v>602</v>
      </c>
      <c r="C272" s="888" t="s">
        <v>393</v>
      </c>
      <c r="D272" s="889" t="s">
        <v>784</v>
      </c>
      <c r="E272" s="888" t="s">
        <v>236</v>
      </c>
      <c r="F272" s="890">
        <v>2</v>
      </c>
      <c r="G272" s="648">
        <f>G270-G269</f>
        <v>0</v>
      </c>
      <c r="H272" s="648">
        <f t="shared" ref="H272:AK272" si="133">H270-H269</f>
        <v>0</v>
      </c>
      <c r="I272" s="648">
        <f t="shared" si="133"/>
        <v>-16.834074335899054</v>
      </c>
      <c r="J272" s="648">
        <f t="shared" si="133"/>
        <v>-11.278512718146043</v>
      </c>
      <c r="K272" s="648">
        <f t="shared" si="133"/>
        <v>-9.020032896472296</v>
      </c>
      <c r="L272" s="648">
        <f t="shared" si="133"/>
        <v>-5.304804705738988</v>
      </c>
      <c r="M272" s="649">
        <f t="shared" si="133"/>
        <v>-7.8208938537835717</v>
      </c>
      <c r="N272" s="649">
        <f t="shared" si="133"/>
        <v>-8.2512678741218117</v>
      </c>
      <c r="O272" s="649">
        <f t="shared" si="133"/>
        <v>-8.6061110292288276</v>
      </c>
      <c r="P272" s="649">
        <f t="shared" si="133"/>
        <v>-11.916259233008276</v>
      </c>
      <c r="Q272" s="649">
        <f t="shared" si="133"/>
        <v>-13.98764969532226</v>
      </c>
      <c r="R272" s="649">
        <f t="shared" si="133"/>
        <v>-19.98729624814937</v>
      </c>
      <c r="S272" s="649">
        <f t="shared" si="133"/>
        <v>-20.62228254279001</v>
      </c>
      <c r="T272" s="649">
        <f t="shared" si="133"/>
        <v>-21.339801004184629</v>
      </c>
      <c r="U272" s="649">
        <f t="shared" si="133"/>
        <v>-22.135248421368448</v>
      </c>
      <c r="V272" s="649">
        <f t="shared" si="133"/>
        <v>-20.553936589983604</v>
      </c>
      <c r="W272" s="649">
        <f t="shared" si="133"/>
        <v>-0.91637012982035859</v>
      </c>
      <c r="X272" s="649">
        <f t="shared" si="133"/>
        <v>-1.199947254737701</v>
      </c>
      <c r="Y272" s="649">
        <f t="shared" si="133"/>
        <v>-1.7741773725800005</v>
      </c>
      <c r="Z272" s="649">
        <f t="shared" si="133"/>
        <v>-2.5554970993197763</v>
      </c>
      <c r="AA272" s="649">
        <f t="shared" si="133"/>
        <v>-3.9929716003875573</v>
      </c>
      <c r="AB272" s="649">
        <f t="shared" si="133"/>
        <v>-7.0200574156111184</v>
      </c>
      <c r="AC272" s="649">
        <f t="shared" si="133"/>
        <v>-8.5674189867972181</v>
      </c>
      <c r="AD272" s="649">
        <f t="shared" si="133"/>
        <v>-10.395010173821106</v>
      </c>
      <c r="AE272" s="649">
        <f t="shared" si="133"/>
        <v>-12.329040945590179</v>
      </c>
      <c r="AF272" s="649">
        <f t="shared" si="133"/>
        <v>-14.280482522862425</v>
      </c>
      <c r="AG272" s="649">
        <f t="shared" si="133"/>
        <v>-16.42641566693348</v>
      </c>
      <c r="AH272" s="649">
        <f t="shared" si="133"/>
        <v>-18.620072111076254</v>
      </c>
      <c r="AI272" s="649">
        <f t="shared" si="133"/>
        <v>-20.877058323568885</v>
      </c>
      <c r="AJ272" s="649">
        <f t="shared" si="133"/>
        <v>-23.250704579145115</v>
      </c>
      <c r="AK272" s="649">
        <f t="shared" si="133"/>
        <v>-25.717957168689082</v>
      </c>
      <c r="AL272" s="649"/>
      <c r="AM272" s="649"/>
      <c r="AN272" s="649"/>
      <c r="AO272" s="649"/>
      <c r="AP272" s="649"/>
      <c r="AQ272" s="649"/>
      <c r="AR272" s="649"/>
      <c r="AS272" s="649"/>
      <c r="AT272" s="649"/>
      <c r="AU272" s="649"/>
      <c r="AV272" s="649"/>
      <c r="AW272" s="649"/>
      <c r="AX272" s="649"/>
      <c r="AY272" s="649"/>
      <c r="AZ272" s="649"/>
      <c r="BA272" s="649"/>
      <c r="BB272" s="649"/>
      <c r="BC272" s="649"/>
      <c r="BD272" s="649"/>
      <c r="BE272" s="649"/>
      <c r="BF272" s="649"/>
      <c r="BG272" s="649"/>
      <c r="BH272" s="649"/>
      <c r="BI272" s="649"/>
      <c r="BJ272" s="649"/>
      <c r="BK272" s="649"/>
      <c r="BL272" s="649"/>
      <c r="BM272" s="649"/>
      <c r="BN272" s="649"/>
      <c r="BO272" s="649"/>
      <c r="BP272" s="649"/>
      <c r="BQ272" s="649"/>
      <c r="BR272" s="649"/>
      <c r="BS272" s="649"/>
      <c r="BT272" s="649"/>
      <c r="BU272" s="649"/>
      <c r="BV272" s="649"/>
      <c r="BW272" s="649"/>
      <c r="BX272" s="649"/>
      <c r="BY272" s="649"/>
      <c r="BZ272" s="649"/>
      <c r="CA272" s="649"/>
      <c r="CB272" s="649"/>
      <c r="CC272" s="649"/>
      <c r="CD272" s="649"/>
      <c r="CE272" s="649"/>
      <c r="CF272" s="649"/>
      <c r="CG272" s="649"/>
      <c r="CH272" s="649"/>
      <c r="CI272" s="650"/>
    </row>
    <row r="273" spans="2:87" ht="15" thickBot="1" x14ac:dyDescent="0.25">
      <c r="B273" s="651"/>
      <c r="C273" s="652"/>
      <c r="D273" s="53"/>
      <c r="E273" s="652"/>
      <c r="F273" s="653"/>
      <c r="G273" s="654"/>
      <c r="H273" s="654"/>
      <c r="I273" s="654"/>
      <c r="J273" s="654"/>
      <c r="K273" s="654"/>
      <c r="L273" s="654"/>
      <c r="M273" s="654"/>
      <c r="N273" s="654"/>
      <c r="O273" s="654"/>
      <c r="P273" s="654"/>
      <c r="Q273" s="654"/>
      <c r="R273" s="654"/>
      <c r="S273" s="654"/>
      <c r="T273" s="654"/>
      <c r="U273" s="654"/>
      <c r="V273" s="654"/>
      <c r="W273" s="654"/>
      <c r="X273" s="654"/>
      <c r="Y273" s="654"/>
      <c r="Z273" s="654"/>
      <c r="AA273" s="654"/>
      <c r="AB273" s="654"/>
      <c r="AC273" s="654"/>
      <c r="AD273" s="654"/>
      <c r="AE273" s="654"/>
      <c r="AF273" s="654"/>
      <c r="AG273" s="654"/>
      <c r="AH273" s="654"/>
      <c r="AI273" s="654"/>
      <c r="AJ273" s="654"/>
      <c r="AK273" s="654"/>
      <c r="AL273" s="654"/>
      <c r="AM273" s="654"/>
      <c r="AN273" s="654"/>
      <c r="AO273" s="654"/>
      <c r="AP273" s="654"/>
      <c r="AQ273" s="654"/>
      <c r="AR273" s="654"/>
      <c r="AS273" s="654"/>
      <c r="AT273" s="654"/>
      <c r="AU273" s="654"/>
      <c r="AV273" s="654"/>
      <c r="AW273" s="654"/>
      <c r="AX273" s="654"/>
      <c r="AY273" s="654"/>
      <c r="AZ273" s="654"/>
      <c r="BA273" s="654"/>
      <c r="BB273" s="654"/>
      <c r="BC273" s="654"/>
      <c r="BD273" s="654"/>
      <c r="BE273" s="654"/>
      <c r="BF273" s="654"/>
      <c r="BG273" s="654"/>
      <c r="BH273" s="654"/>
      <c r="BI273" s="654"/>
      <c r="BJ273" s="654"/>
      <c r="BK273" s="654"/>
      <c r="BL273" s="654"/>
      <c r="BM273" s="654"/>
      <c r="BN273" s="654"/>
      <c r="BO273" s="654"/>
      <c r="BP273" s="654"/>
      <c r="BQ273" s="654"/>
      <c r="BR273" s="654"/>
      <c r="BS273" s="654"/>
      <c r="BT273" s="654"/>
      <c r="BU273" s="654"/>
      <c r="BV273" s="654"/>
      <c r="BW273" s="654"/>
      <c r="BX273" s="654"/>
      <c r="BY273" s="654"/>
      <c r="BZ273" s="654"/>
      <c r="CA273" s="654"/>
      <c r="CB273" s="654"/>
      <c r="CC273" s="654"/>
      <c r="CD273" s="654"/>
      <c r="CE273" s="654"/>
      <c r="CF273" s="654"/>
      <c r="CG273" s="654"/>
      <c r="CH273" s="654"/>
      <c r="CI273" s="654"/>
    </row>
    <row r="274" spans="2:87" ht="60.75" thickBot="1" x14ac:dyDescent="0.25">
      <c r="B274" s="891" t="s">
        <v>442</v>
      </c>
      <c r="C274" s="1307" t="s">
        <v>204</v>
      </c>
      <c r="D274" s="53"/>
      <c r="E274" s="652"/>
      <c r="F274" s="653"/>
      <c r="G274" s="654"/>
      <c r="H274" s="654"/>
      <c r="I274" s="654"/>
      <c r="J274" s="654"/>
      <c r="K274" s="654"/>
      <c r="L274" s="654"/>
      <c r="M274" s="654"/>
      <c r="N274" s="654"/>
      <c r="O274" s="654"/>
      <c r="P274" s="654"/>
      <c r="Q274" s="654"/>
      <c r="R274" s="654"/>
      <c r="S274" s="654"/>
      <c r="T274" s="654"/>
      <c r="U274" s="654"/>
      <c r="V274" s="654"/>
      <c r="W274" s="654"/>
      <c r="X274" s="654"/>
      <c r="Y274" s="654"/>
      <c r="Z274" s="654"/>
      <c r="AA274" s="654"/>
      <c r="AB274" s="654"/>
      <c r="AC274" s="654"/>
      <c r="AD274" s="654"/>
      <c r="AE274" s="654"/>
      <c r="AF274" s="654"/>
      <c r="AG274" s="654"/>
      <c r="AH274" s="654"/>
      <c r="AI274" s="654"/>
      <c r="AJ274" s="654"/>
      <c r="AK274" s="654"/>
      <c r="AL274" s="654"/>
      <c r="AM274" s="654"/>
      <c r="AN274" s="654"/>
      <c r="AO274" s="654"/>
      <c r="AP274" s="654"/>
      <c r="AQ274" s="654"/>
      <c r="AR274" s="654"/>
      <c r="AS274" s="654"/>
      <c r="AT274" s="654"/>
      <c r="AU274" s="654"/>
      <c r="AV274" s="654"/>
      <c r="AW274" s="654"/>
      <c r="AX274" s="654"/>
      <c r="AY274" s="654"/>
      <c r="AZ274" s="654"/>
      <c r="BA274" s="654"/>
      <c r="BB274" s="654"/>
      <c r="BC274" s="654"/>
      <c r="BD274" s="654"/>
      <c r="BE274" s="654"/>
      <c r="BF274" s="654"/>
      <c r="BG274" s="654"/>
      <c r="BH274" s="654"/>
      <c r="BI274" s="654"/>
      <c r="BJ274" s="654"/>
      <c r="BK274" s="654"/>
      <c r="BL274" s="654"/>
      <c r="BM274" s="654"/>
      <c r="BN274" s="654"/>
      <c r="BO274" s="654"/>
      <c r="BP274" s="654"/>
      <c r="BQ274" s="654"/>
      <c r="BR274" s="654"/>
      <c r="BS274" s="654"/>
      <c r="BT274" s="654"/>
      <c r="BU274" s="654"/>
      <c r="BV274" s="654"/>
      <c r="BW274" s="654"/>
      <c r="BX274" s="654"/>
      <c r="BY274" s="654"/>
      <c r="BZ274" s="654"/>
      <c r="CA274" s="654"/>
      <c r="CB274" s="654"/>
      <c r="CC274" s="654"/>
      <c r="CD274" s="654"/>
      <c r="CE274" s="654"/>
      <c r="CF274" s="654"/>
      <c r="CG274" s="654"/>
      <c r="CH274" s="654"/>
      <c r="CI274" s="654"/>
    </row>
    <row r="275" spans="2:87" ht="30.75" thickBot="1" x14ac:dyDescent="0.25">
      <c r="B275" s="892" t="s">
        <v>446</v>
      </c>
      <c r="C275" s="893" t="s">
        <v>604</v>
      </c>
      <c r="D275" s="893" t="s">
        <v>605</v>
      </c>
      <c r="E275" s="893" t="s">
        <v>206</v>
      </c>
      <c r="F275" s="894" t="s">
        <v>207</v>
      </c>
      <c r="G275" s="895" t="s">
        <v>208</v>
      </c>
      <c r="H275" s="895" t="s">
        <v>209</v>
      </c>
      <c r="I275" s="895" t="s">
        <v>210</v>
      </c>
      <c r="J275" s="895" t="s">
        <v>211</v>
      </c>
      <c r="K275" s="895" t="s">
        <v>212</v>
      </c>
      <c r="L275" s="895" t="s">
        <v>213</v>
      </c>
      <c r="M275" s="893" t="s">
        <v>214</v>
      </c>
      <c r="N275" s="893" t="s">
        <v>215</v>
      </c>
      <c r="O275" s="893" t="s">
        <v>216</v>
      </c>
      <c r="P275" s="893" t="s">
        <v>217</v>
      </c>
      <c r="Q275" s="893" t="s">
        <v>218</v>
      </c>
      <c r="R275" s="893" t="s">
        <v>247</v>
      </c>
      <c r="S275" s="893" t="s">
        <v>248</v>
      </c>
      <c r="T275" s="893" t="s">
        <v>249</v>
      </c>
      <c r="U275" s="893" t="s">
        <v>250</v>
      </c>
      <c r="V275" s="893" t="s">
        <v>219</v>
      </c>
      <c r="W275" s="893" t="s">
        <v>251</v>
      </c>
      <c r="X275" s="893" t="s">
        <v>252</v>
      </c>
      <c r="Y275" s="893" t="s">
        <v>253</v>
      </c>
      <c r="Z275" s="893" t="s">
        <v>254</v>
      </c>
      <c r="AA275" s="893" t="s">
        <v>220</v>
      </c>
      <c r="AB275" s="893" t="s">
        <v>255</v>
      </c>
      <c r="AC275" s="893" t="s">
        <v>256</v>
      </c>
      <c r="AD275" s="893" t="s">
        <v>257</v>
      </c>
      <c r="AE275" s="893" t="s">
        <v>258</v>
      </c>
      <c r="AF275" s="893" t="s">
        <v>221</v>
      </c>
      <c r="AG275" s="893" t="s">
        <v>259</v>
      </c>
      <c r="AH275" s="893" t="s">
        <v>260</v>
      </c>
      <c r="AI275" s="893" t="s">
        <v>261</v>
      </c>
      <c r="AJ275" s="893" t="s">
        <v>262</v>
      </c>
      <c r="AK275" s="893" t="s">
        <v>222</v>
      </c>
      <c r="AL275" s="893" t="s">
        <v>263</v>
      </c>
      <c r="AM275" s="893" t="s">
        <v>264</v>
      </c>
      <c r="AN275" s="893" t="s">
        <v>265</v>
      </c>
      <c r="AO275" s="893" t="s">
        <v>266</v>
      </c>
      <c r="AP275" s="893" t="s">
        <v>223</v>
      </c>
      <c r="AQ275" s="893" t="s">
        <v>267</v>
      </c>
      <c r="AR275" s="893" t="s">
        <v>268</v>
      </c>
      <c r="AS275" s="893" t="s">
        <v>269</v>
      </c>
      <c r="AT275" s="893" t="s">
        <v>270</v>
      </c>
      <c r="AU275" s="893" t="s">
        <v>224</v>
      </c>
      <c r="AV275" s="893" t="s">
        <v>271</v>
      </c>
      <c r="AW275" s="893" t="s">
        <v>272</v>
      </c>
      <c r="AX275" s="893" t="s">
        <v>273</v>
      </c>
      <c r="AY275" s="893" t="s">
        <v>274</v>
      </c>
      <c r="AZ275" s="893" t="s">
        <v>225</v>
      </c>
      <c r="BA275" s="893" t="s">
        <v>275</v>
      </c>
      <c r="BB275" s="893" t="s">
        <v>276</v>
      </c>
      <c r="BC275" s="893" t="s">
        <v>277</v>
      </c>
      <c r="BD275" s="893" t="s">
        <v>278</v>
      </c>
      <c r="BE275" s="893" t="s">
        <v>226</v>
      </c>
      <c r="BF275" s="893" t="s">
        <v>279</v>
      </c>
      <c r="BG275" s="893" t="s">
        <v>280</v>
      </c>
      <c r="BH275" s="893" t="s">
        <v>281</v>
      </c>
      <c r="BI275" s="893" t="s">
        <v>282</v>
      </c>
      <c r="BJ275" s="893" t="s">
        <v>227</v>
      </c>
      <c r="BK275" s="893" t="s">
        <v>283</v>
      </c>
      <c r="BL275" s="893" t="s">
        <v>284</v>
      </c>
      <c r="BM275" s="893" t="s">
        <v>285</v>
      </c>
      <c r="BN275" s="893" t="s">
        <v>286</v>
      </c>
      <c r="BO275" s="893" t="s">
        <v>228</v>
      </c>
      <c r="BP275" s="893" t="s">
        <v>287</v>
      </c>
      <c r="BQ275" s="893" t="s">
        <v>288</v>
      </c>
      <c r="BR275" s="893" t="s">
        <v>289</v>
      </c>
      <c r="BS275" s="893" t="s">
        <v>290</v>
      </c>
      <c r="BT275" s="893" t="s">
        <v>229</v>
      </c>
      <c r="BU275" s="893" t="s">
        <v>291</v>
      </c>
      <c r="BV275" s="893" t="s">
        <v>292</v>
      </c>
      <c r="BW275" s="893" t="s">
        <v>293</v>
      </c>
      <c r="BX275" s="893" t="s">
        <v>294</v>
      </c>
      <c r="BY275" s="893" t="s">
        <v>230</v>
      </c>
      <c r="BZ275" s="893" t="s">
        <v>295</v>
      </c>
      <c r="CA275" s="893" t="s">
        <v>296</v>
      </c>
      <c r="CB275" s="893" t="s">
        <v>297</v>
      </c>
      <c r="CC275" s="893" t="s">
        <v>298</v>
      </c>
      <c r="CD275" s="893" t="s">
        <v>231</v>
      </c>
      <c r="CE275" s="893" t="s">
        <v>299</v>
      </c>
      <c r="CF275" s="893" t="s">
        <v>300</v>
      </c>
      <c r="CG275" s="893" t="s">
        <v>301</v>
      </c>
      <c r="CH275" s="893" t="s">
        <v>302</v>
      </c>
      <c r="CI275" s="896" t="s">
        <v>232</v>
      </c>
    </row>
    <row r="276" spans="2:87" ht="28.5" x14ac:dyDescent="0.2">
      <c r="B276" s="900" t="s">
        <v>607</v>
      </c>
      <c r="C276" s="901" t="s">
        <v>608</v>
      </c>
      <c r="D276" s="901" t="s">
        <v>609</v>
      </c>
      <c r="E276" s="901" t="s">
        <v>236</v>
      </c>
      <c r="F276" s="902">
        <v>2</v>
      </c>
      <c r="G276" s="670"/>
      <c r="H276" s="671"/>
      <c r="I276" s="671">
        <v>0</v>
      </c>
      <c r="J276" s="671">
        <v>0</v>
      </c>
      <c r="K276" s="671">
        <v>0</v>
      </c>
      <c r="L276" s="671">
        <v>0</v>
      </c>
      <c r="M276" s="666">
        <v>0</v>
      </c>
      <c r="N276" s="666">
        <v>0</v>
      </c>
      <c r="O276" s="666">
        <v>0</v>
      </c>
      <c r="P276" s="666">
        <v>0</v>
      </c>
      <c r="Q276" s="666">
        <v>0</v>
      </c>
      <c r="R276" s="666">
        <v>0</v>
      </c>
      <c r="S276" s="666">
        <v>0</v>
      </c>
      <c r="T276" s="666">
        <v>0</v>
      </c>
      <c r="U276" s="666">
        <v>0</v>
      </c>
      <c r="V276" s="666">
        <v>0</v>
      </c>
      <c r="W276" s="666">
        <v>0</v>
      </c>
      <c r="X276" s="666">
        <v>0</v>
      </c>
      <c r="Y276" s="666">
        <v>0</v>
      </c>
      <c r="Z276" s="666">
        <v>0</v>
      </c>
      <c r="AA276" s="666">
        <v>0</v>
      </c>
      <c r="AB276" s="666">
        <v>0</v>
      </c>
      <c r="AC276" s="666">
        <v>0</v>
      </c>
      <c r="AD276" s="666">
        <v>0</v>
      </c>
      <c r="AE276" s="666">
        <v>0</v>
      </c>
      <c r="AF276" s="666">
        <v>0</v>
      </c>
      <c r="AG276" s="666">
        <v>0</v>
      </c>
      <c r="AH276" s="666">
        <v>0</v>
      </c>
      <c r="AI276" s="666">
        <v>0</v>
      </c>
      <c r="AJ276" s="666">
        <v>0</v>
      </c>
      <c r="AK276" s="666">
        <v>0</v>
      </c>
      <c r="AL276" s="666"/>
      <c r="AM276" s="666"/>
      <c r="AN276" s="666"/>
      <c r="AO276" s="666"/>
      <c r="AP276" s="666"/>
      <c r="AQ276" s="666"/>
      <c r="AR276" s="666"/>
      <c r="AS276" s="666"/>
      <c r="AT276" s="666"/>
      <c r="AU276" s="666"/>
      <c r="AV276" s="666"/>
      <c r="AW276" s="666"/>
      <c r="AX276" s="666"/>
      <c r="AY276" s="666"/>
      <c r="AZ276" s="666"/>
      <c r="BA276" s="666"/>
      <c r="BB276" s="666"/>
      <c r="BC276" s="666"/>
      <c r="BD276" s="666"/>
      <c r="BE276" s="666"/>
      <c r="BF276" s="666"/>
      <c r="BG276" s="666"/>
      <c r="BH276" s="666"/>
      <c r="BI276" s="666"/>
      <c r="BJ276" s="666"/>
      <c r="BK276" s="666"/>
      <c r="BL276" s="666"/>
      <c r="BM276" s="666"/>
      <c r="BN276" s="666"/>
      <c r="BO276" s="666"/>
      <c r="BP276" s="666"/>
      <c r="BQ276" s="666"/>
      <c r="BR276" s="666"/>
      <c r="BS276" s="666"/>
      <c r="BT276" s="666"/>
      <c r="BU276" s="666"/>
      <c r="BV276" s="666"/>
      <c r="BW276" s="666"/>
      <c r="BX276" s="666"/>
      <c r="BY276" s="666"/>
      <c r="BZ276" s="666"/>
      <c r="CA276" s="666"/>
      <c r="CB276" s="666"/>
      <c r="CC276" s="666"/>
      <c r="CD276" s="666"/>
      <c r="CE276" s="666"/>
      <c r="CF276" s="666"/>
      <c r="CG276" s="666"/>
      <c r="CH276" s="666"/>
      <c r="CI276" s="666"/>
    </row>
    <row r="277" spans="2:87" x14ac:dyDescent="0.2">
      <c r="B277" s="897" t="s">
        <v>610</v>
      </c>
      <c r="C277" s="898" t="s">
        <v>785</v>
      </c>
      <c r="D277" s="898" t="s">
        <v>612</v>
      </c>
      <c r="E277" s="898" t="s">
        <v>236</v>
      </c>
      <c r="F277" s="899">
        <v>2</v>
      </c>
      <c r="G277" s="670"/>
      <c r="H277" s="671"/>
      <c r="I277" s="671">
        <v>0</v>
      </c>
      <c r="J277" s="671">
        <v>0</v>
      </c>
      <c r="K277" s="671">
        <v>0</v>
      </c>
      <c r="L277" s="671">
        <v>0</v>
      </c>
      <c r="M277" s="666">
        <v>0</v>
      </c>
      <c r="N277" s="666">
        <v>0</v>
      </c>
      <c r="O277" s="666">
        <v>0</v>
      </c>
      <c r="P277" s="666">
        <v>0</v>
      </c>
      <c r="Q277" s="666">
        <v>0</v>
      </c>
      <c r="R277" s="666">
        <v>0</v>
      </c>
      <c r="S277" s="666">
        <v>0</v>
      </c>
      <c r="T277" s="666">
        <v>0</v>
      </c>
      <c r="U277" s="666">
        <v>0</v>
      </c>
      <c r="V277" s="666">
        <v>0</v>
      </c>
      <c r="W277" s="666">
        <v>0</v>
      </c>
      <c r="X277" s="666">
        <v>0</v>
      </c>
      <c r="Y277" s="666">
        <v>0</v>
      </c>
      <c r="Z277" s="666">
        <v>0</v>
      </c>
      <c r="AA277" s="666">
        <v>0</v>
      </c>
      <c r="AB277" s="666">
        <v>0</v>
      </c>
      <c r="AC277" s="666">
        <v>0</v>
      </c>
      <c r="AD277" s="666">
        <v>0</v>
      </c>
      <c r="AE277" s="666">
        <v>0</v>
      </c>
      <c r="AF277" s="666">
        <v>0</v>
      </c>
      <c r="AG277" s="666">
        <v>0</v>
      </c>
      <c r="AH277" s="666">
        <v>0</v>
      </c>
      <c r="AI277" s="666">
        <v>0</v>
      </c>
      <c r="AJ277" s="666">
        <v>0</v>
      </c>
      <c r="AK277" s="666">
        <v>0</v>
      </c>
      <c r="AL277" s="666"/>
      <c r="AM277" s="666"/>
      <c r="AN277" s="666"/>
      <c r="AO277" s="666"/>
      <c r="AP277" s="666"/>
      <c r="AQ277" s="666"/>
      <c r="AR277" s="666"/>
      <c r="AS277" s="666"/>
      <c r="AT277" s="666"/>
      <c r="AU277" s="666"/>
      <c r="AV277" s="666"/>
      <c r="AW277" s="666"/>
      <c r="AX277" s="666"/>
      <c r="AY277" s="666"/>
      <c r="AZ277" s="666"/>
      <c r="BA277" s="666"/>
      <c r="BB277" s="666"/>
      <c r="BC277" s="666"/>
      <c r="BD277" s="666"/>
      <c r="BE277" s="666"/>
      <c r="BF277" s="666"/>
      <c r="BG277" s="666"/>
      <c r="BH277" s="666"/>
      <c r="BI277" s="666"/>
      <c r="BJ277" s="666"/>
      <c r="BK277" s="666"/>
      <c r="BL277" s="666"/>
      <c r="BM277" s="666"/>
      <c r="BN277" s="666"/>
      <c r="BO277" s="666"/>
      <c r="BP277" s="666"/>
      <c r="BQ277" s="666"/>
      <c r="BR277" s="666"/>
      <c r="BS277" s="666"/>
      <c r="BT277" s="666"/>
      <c r="BU277" s="666"/>
      <c r="BV277" s="666"/>
      <c r="BW277" s="666"/>
      <c r="BX277" s="666"/>
      <c r="BY277" s="666"/>
      <c r="BZ277" s="666"/>
      <c r="CA277" s="666"/>
      <c r="CB277" s="666"/>
      <c r="CC277" s="666"/>
      <c r="CD277" s="666"/>
      <c r="CE277" s="666"/>
      <c r="CF277" s="666"/>
      <c r="CG277" s="666"/>
      <c r="CH277" s="666"/>
      <c r="CI277" s="666"/>
    </row>
    <row r="278" spans="2:87" ht="28.5" x14ac:dyDescent="0.2">
      <c r="B278" s="900" t="s">
        <v>613</v>
      </c>
      <c r="C278" s="901" t="s">
        <v>614</v>
      </c>
      <c r="D278" s="901" t="s">
        <v>615</v>
      </c>
      <c r="E278" s="901" t="s">
        <v>236</v>
      </c>
      <c r="F278" s="902">
        <v>2</v>
      </c>
      <c r="G278" s="670"/>
      <c r="H278" s="671"/>
      <c r="I278" s="671">
        <v>0</v>
      </c>
      <c r="J278" s="671">
        <v>0</v>
      </c>
      <c r="K278" s="671">
        <v>0</v>
      </c>
      <c r="L278" s="671">
        <v>0</v>
      </c>
      <c r="M278" s="666">
        <v>0</v>
      </c>
      <c r="N278" s="666">
        <v>0</v>
      </c>
      <c r="O278" s="666">
        <v>0</v>
      </c>
      <c r="P278" s="666">
        <v>0</v>
      </c>
      <c r="Q278" s="666">
        <v>0</v>
      </c>
      <c r="R278" s="666">
        <v>0</v>
      </c>
      <c r="S278" s="666">
        <v>0</v>
      </c>
      <c r="T278" s="666">
        <v>0</v>
      </c>
      <c r="U278" s="666">
        <v>0</v>
      </c>
      <c r="V278" s="666">
        <v>0</v>
      </c>
      <c r="W278" s="666">
        <v>0</v>
      </c>
      <c r="X278" s="666">
        <v>0</v>
      </c>
      <c r="Y278" s="666">
        <v>0</v>
      </c>
      <c r="Z278" s="666">
        <v>0</v>
      </c>
      <c r="AA278" s="666">
        <v>0</v>
      </c>
      <c r="AB278" s="666">
        <v>0</v>
      </c>
      <c r="AC278" s="666">
        <v>0</v>
      </c>
      <c r="AD278" s="666">
        <v>0</v>
      </c>
      <c r="AE278" s="666">
        <v>0</v>
      </c>
      <c r="AF278" s="666">
        <v>0</v>
      </c>
      <c r="AG278" s="666">
        <v>0</v>
      </c>
      <c r="AH278" s="666">
        <v>0</v>
      </c>
      <c r="AI278" s="666">
        <v>0</v>
      </c>
      <c r="AJ278" s="666">
        <v>0</v>
      </c>
      <c r="AK278" s="666">
        <v>0</v>
      </c>
      <c r="AL278" s="666"/>
      <c r="AM278" s="666"/>
      <c r="AN278" s="666"/>
      <c r="AO278" s="666"/>
      <c r="AP278" s="666"/>
      <c r="AQ278" s="666"/>
      <c r="AR278" s="666"/>
      <c r="AS278" s="666"/>
      <c r="AT278" s="666"/>
      <c r="AU278" s="666"/>
      <c r="AV278" s="666"/>
      <c r="AW278" s="666"/>
      <c r="AX278" s="666"/>
      <c r="AY278" s="666"/>
      <c r="AZ278" s="666"/>
      <c r="BA278" s="666"/>
      <c r="BB278" s="666"/>
      <c r="BC278" s="666"/>
      <c r="BD278" s="666"/>
      <c r="BE278" s="666"/>
      <c r="BF278" s="666"/>
      <c r="BG278" s="666"/>
      <c r="BH278" s="666"/>
      <c r="BI278" s="666"/>
      <c r="BJ278" s="666"/>
      <c r="BK278" s="666"/>
      <c r="BL278" s="666"/>
      <c r="BM278" s="666"/>
      <c r="BN278" s="666"/>
      <c r="BO278" s="666"/>
      <c r="BP278" s="666"/>
      <c r="BQ278" s="666"/>
      <c r="BR278" s="666"/>
      <c r="BS278" s="666"/>
      <c r="BT278" s="666"/>
      <c r="BU278" s="666"/>
      <c r="BV278" s="666"/>
      <c r="BW278" s="666"/>
      <c r="BX278" s="666"/>
      <c r="BY278" s="666"/>
      <c r="BZ278" s="666"/>
      <c r="CA278" s="666"/>
      <c r="CB278" s="666"/>
      <c r="CC278" s="666"/>
      <c r="CD278" s="666"/>
      <c r="CE278" s="666"/>
      <c r="CF278" s="666"/>
      <c r="CG278" s="666"/>
      <c r="CH278" s="666"/>
      <c r="CI278" s="666"/>
    </row>
    <row r="279" spans="2:87" ht="28.5" x14ac:dyDescent="0.2">
      <c r="B279" s="900" t="s">
        <v>616</v>
      </c>
      <c r="C279" s="901" t="s">
        <v>617</v>
      </c>
      <c r="D279" s="901" t="s">
        <v>618</v>
      </c>
      <c r="E279" s="901" t="s">
        <v>236</v>
      </c>
      <c r="F279" s="902">
        <v>2</v>
      </c>
      <c r="G279" s="670"/>
      <c r="H279" s="671"/>
      <c r="I279" s="671">
        <v>0</v>
      </c>
      <c r="J279" s="671">
        <v>0</v>
      </c>
      <c r="K279" s="671">
        <v>0</v>
      </c>
      <c r="L279" s="671">
        <v>0</v>
      </c>
      <c r="M279" s="666">
        <v>0</v>
      </c>
      <c r="N279" s="666">
        <v>0</v>
      </c>
      <c r="O279" s="1512">
        <v>-3.5</v>
      </c>
      <c r="P279" s="1512">
        <v>-3.5</v>
      </c>
      <c r="Q279" s="1512">
        <v>-3.5</v>
      </c>
      <c r="R279" s="1512">
        <v>-3.5</v>
      </c>
      <c r="S279" s="1512">
        <v>-3.5</v>
      </c>
      <c r="T279" s="1512">
        <v>-3.5</v>
      </c>
      <c r="U279" s="1512">
        <v>-3.5</v>
      </c>
      <c r="V279" s="666">
        <v>0</v>
      </c>
      <c r="W279" s="666">
        <v>0</v>
      </c>
      <c r="X279" s="666">
        <v>0</v>
      </c>
      <c r="Y279" s="666">
        <v>0</v>
      </c>
      <c r="Z279" s="666">
        <v>0</v>
      </c>
      <c r="AA279" s="666">
        <v>0</v>
      </c>
      <c r="AB279" s="666">
        <v>0</v>
      </c>
      <c r="AC279" s="666">
        <v>0</v>
      </c>
      <c r="AD279" s="666">
        <v>0</v>
      </c>
      <c r="AE279" s="666">
        <v>0</v>
      </c>
      <c r="AF279" s="666">
        <v>0</v>
      </c>
      <c r="AG279" s="666">
        <v>0</v>
      </c>
      <c r="AH279" s="666">
        <v>0</v>
      </c>
      <c r="AI279" s="666">
        <v>0</v>
      </c>
      <c r="AJ279" s="666">
        <v>0</v>
      </c>
      <c r="AK279" s="666">
        <v>0</v>
      </c>
      <c r="AL279" s="666"/>
      <c r="AM279" s="666"/>
      <c r="AN279" s="666"/>
      <c r="AO279" s="666"/>
      <c r="AP279" s="666"/>
      <c r="AQ279" s="666"/>
      <c r="AR279" s="666"/>
      <c r="AS279" s="666"/>
      <c r="AT279" s="666"/>
      <c r="AU279" s="666"/>
      <c r="AV279" s="666"/>
      <c r="AW279" s="666"/>
      <c r="AX279" s="666"/>
      <c r="AY279" s="666"/>
      <c r="AZ279" s="666"/>
      <c r="BA279" s="666"/>
      <c r="BB279" s="666"/>
      <c r="BC279" s="666"/>
      <c r="BD279" s="666"/>
      <c r="BE279" s="666"/>
      <c r="BF279" s="666"/>
      <c r="BG279" s="666"/>
      <c r="BH279" s="666"/>
      <c r="BI279" s="666"/>
      <c r="BJ279" s="666"/>
      <c r="BK279" s="666"/>
      <c r="BL279" s="666"/>
      <c r="BM279" s="666"/>
      <c r="BN279" s="666"/>
      <c r="BO279" s="666"/>
      <c r="BP279" s="666"/>
      <c r="BQ279" s="666"/>
      <c r="BR279" s="666"/>
      <c r="BS279" s="666"/>
      <c r="BT279" s="666"/>
      <c r="BU279" s="666"/>
      <c r="BV279" s="666"/>
      <c r="BW279" s="666"/>
      <c r="BX279" s="666"/>
      <c r="BY279" s="666"/>
      <c r="BZ279" s="666"/>
      <c r="CA279" s="666"/>
      <c r="CB279" s="666"/>
      <c r="CC279" s="666"/>
      <c r="CD279" s="666"/>
      <c r="CE279" s="666"/>
      <c r="CF279" s="666"/>
      <c r="CG279" s="666"/>
      <c r="CH279" s="666"/>
      <c r="CI279" s="666"/>
    </row>
    <row r="280" spans="2:87" ht="28.5" x14ac:dyDescent="0.2">
      <c r="B280" s="900" t="s">
        <v>619</v>
      </c>
      <c r="C280" s="901" t="s">
        <v>620</v>
      </c>
      <c r="D280" s="901" t="s">
        <v>621</v>
      </c>
      <c r="E280" s="901" t="s">
        <v>236</v>
      </c>
      <c r="F280" s="902">
        <v>2</v>
      </c>
      <c r="G280" s="670"/>
      <c r="H280" s="671"/>
      <c r="I280" s="671">
        <v>0</v>
      </c>
      <c r="J280" s="671">
        <v>0</v>
      </c>
      <c r="K280" s="671">
        <v>0</v>
      </c>
      <c r="L280" s="671">
        <v>0</v>
      </c>
      <c r="M280" s="666">
        <v>0</v>
      </c>
      <c r="N280" s="666">
        <v>0</v>
      </c>
      <c r="O280" s="666">
        <v>0</v>
      </c>
      <c r="P280" s="666">
        <v>0</v>
      </c>
      <c r="Q280" s="666">
        <v>0</v>
      </c>
      <c r="R280" s="666">
        <v>0</v>
      </c>
      <c r="S280" s="666">
        <v>0</v>
      </c>
      <c r="T280" s="666">
        <v>0</v>
      </c>
      <c r="U280" s="666">
        <v>0</v>
      </c>
      <c r="V280" s="666">
        <v>0</v>
      </c>
      <c r="W280" s="666">
        <v>0</v>
      </c>
      <c r="X280" s="666">
        <v>0</v>
      </c>
      <c r="Y280" s="666">
        <v>0</v>
      </c>
      <c r="Z280" s="666">
        <v>0</v>
      </c>
      <c r="AA280" s="666">
        <v>0</v>
      </c>
      <c r="AB280" s="666">
        <v>0</v>
      </c>
      <c r="AC280" s="666">
        <v>0</v>
      </c>
      <c r="AD280" s="666">
        <v>0</v>
      </c>
      <c r="AE280" s="666">
        <v>0</v>
      </c>
      <c r="AF280" s="666">
        <v>0</v>
      </c>
      <c r="AG280" s="666">
        <v>0</v>
      </c>
      <c r="AH280" s="666">
        <v>0</v>
      </c>
      <c r="AI280" s="666">
        <v>0</v>
      </c>
      <c r="AJ280" s="666">
        <v>0</v>
      </c>
      <c r="AK280" s="666">
        <v>0</v>
      </c>
      <c r="AL280" s="666"/>
      <c r="AM280" s="666"/>
      <c r="AN280" s="666"/>
      <c r="AO280" s="666"/>
      <c r="AP280" s="666"/>
      <c r="AQ280" s="666"/>
      <c r="AR280" s="666"/>
      <c r="AS280" s="666"/>
      <c r="AT280" s="666"/>
      <c r="AU280" s="666"/>
      <c r="AV280" s="666"/>
      <c r="AW280" s="666"/>
      <c r="AX280" s="666"/>
      <c r="AY280" s="666"/>
      <c r="AZ280" s="666"/>
      <c r="BA280" s="666"/>
      <c r="BB280" s="666"/>
      <c r="BC280" s="666"/>
      <c r="BD280" s="666"/>
      <c r="BE280" s="666"/>
      <c r="BF280" s="666"/>
      <c r="BG280" s="666"/>
      <c r="BH280" s="666"/>
      <c r="BI280" s="666"/>
      <c r="BJ280" s="666"/>
      <c r="BK280" s="666"/>
      <c r="BL280" s="666"/>
      <c r="BM280" s="666"/>
      <c r="BN280" s="666"/>
      <c r="BO280" s="666"/>
      <c r="BP280" s="666"/>
      <c r="BQ280" s="666"/>
      <c r="BR280" s="666"/>
      <c r="BS280" s="666"/>
      <c r="BT280" s="666"/>
      <c r="BU280" s="666"/>
      <c r="BV280" s="666"/>
      <c r="BW280" s="666"/>
      <c r="BX280" s="666"/>
      <c r="BY280" s="666"/>
      <c r="BZ280" s="666"/>
      <c r="CA280" s="666"/>
      <c r="CB280" s="666"/>
      <c r="CC280" s="666"/>
      <c r="CD280" s="666"/>
      <c r="CE280" s="666"/>
      <c r="CF280" s="666"/>
      <c r="CG280" s="666"/>
      <c r="CH280" s="666"/>
      <c r="CI280" s="666"/>
    </row>
    <row r="281" spans="2:87" ht="28.5" x14ac:dyDescent="0.2">
      <c r="B281" s="903" t="s">
        <v>622</v>
      </c>
      <c r="C281" s="904" t="s">
        <v>623</v>
      </c>
      <c r="D281" s="904" t="s">
        <v>624</v>
      </c>
      <c r="E281" s="904" t="s">
        <v>236</v>
      </c>
      <c r="F281" s="902">
        <v>2</v>
      </c>
      <c r="G281" s="670"/>
      <c r="H281" s="671"/>
      <c r="I281" s="671">
        <v>0</v>
      </c>
      <c r="J281" s="671">
        <v>0</v>
      </c>
      <c r="K281" s="671">
        <v>0</v>
      </c>
      <c r="L281" s="671">
        <v>0</v>
      </c>
      <c r="M281" s="666">
        <v>0</v>
      </c>
      <c r="N281" s="666">
        <v>0</v>
      </c>
      <c r="O281" s="666">
        <v>0</v>
      </c>
      <c r="P281" s="666">
        <v>0</v>
      </c>
      <c r="Q281" s="666">
        <v>0</v>
      </c>
      <c r="R281" s="666">
        <v>0</v>
      </c>
      <c r="S281" s="666">
        <v>0</v>
      </c>
      <c r="T281" s="666">
        <v>0</v>
      </c>
      <c r="U281" s="666">
        <v>0</v>
      </c>
      <c r="V281" s="666">
        <v>0</v>
      </c>
      <c r="W281" s="666">
        <v>0</v>
      </c>
      <c r="X281" s="666">
        <v>0</v>
      </c>
      <c r="Y281" s="666">
        <v>0</v>
      </c>
      <c r="Z281" s="666">
        <v>0</v>
      </c>
      <c r="AA281" s="666">
        <v>0</v>
      </c>
      <c r="AB281" s="666">
        <v>0</v>
      </c>
      <c r="AC281" s="666">
        <v>0</v>
      </c>
      <c r="AD281" s="666">
        <v>0</v>
      </c>
      <c r="AE281" s="666">
        <v>0</v>
      </c>
      <c r="AF281" s="666">
        <v>0</v>
      </c>
      <c r="AG281" s="666">
        <v>0</v>
      </c>
      <c r="AH281" s="666">
        <v>0</v>
      </c>
      <c r="AI281" s="666">
        <v>0</v>
      </c>
      <c r="AJ281" s="666">
        <v>0</v>
      </c>
      <c r="AK281" s="666">
        <v>0</v>
      </c>
      <c r="AL281" s="666"/>
      <c r="AM281" s="666"/>
      <c r="AN281" s="666"/>
      <c r="AO281" s="666"/>
      <c r="AP281" s="666"/>
      <c r="AQ281" s="666"/>
      <c r="AR281" s="666"/>
      <c r="AS281" s="666"/>
      <c r="AT281" s="666"/>
      <c r="AU281" s="666"/>
      <c r="AV281" s="666"/>
      <c r="AW281" s="666"/>
      <c r="AX281" s="666"/>
      <c r="AY281" s="666"/>
      <c r="AZ281" s="666"/>
      <c r="BA281" s="666"/>
      <c r="BB281" s="666"/>
      <c r="BC281" s="666"/>
      <c r="BD281" s="666"/>
      <c r="BE281" s="666"/>
      <c r="BF281" s="666"/>
      <c r="BG281" s="666"/>
      <c r="BH281" s="666"/>
      <c r="BI281" s="666"/>
      <c r="BJ281" s="666"/>
      <c r="BK281" s="666"/>
      <c r="BL281" s="666"/>
      <c r="BM281" s="666"/>
      <c r="BN281" s="666"/>
      <c r="BO281" s="666"/>
      <c r="BP281" s="666"/>
      <c r="BQ281" s="666"/>
      <c r="BR281" s="666"/>
      <c r="BS281" s="666"/>
      <c r="BT281" s="666"/>
      <c r="BU281" s="666"/>
      <c r="BV281" s="666"/>
      <c r="BW281" s="666"/>
      <c r="BX281" s="666"/>
      <c r="BY281" s="666"/>
      <c r="BZ281" s="666"/>
      <c r="CA281" s="666"/>
      <c r="CB281" s="666"/>
      <c r="CC281" s="666"/>
      <c r="CD281" s="666"/>
      <c r="CE281" s="666"/>
      <c r="CF281" s="666"/>
      <c r="CG281" s="666"/>
      <c r="CH281" s="666"/>
      <c r="CI281" s="666"/>
    </row>
    <row r="282" spans="2:87" ht="15" x14ac:dyDescent="0.2">
      <c r="B282" s="900" t="s">
        <v>625</v>
      </c>
      <c r="C282" s="901" t="s">
        <v>626</v>
      </c>
      <c r="D282" s="901" t="s">
        <v>627</v>
      </c>
      <c r="E282" s="901" t="s">
        <v>236</v>
      </c>
      <c r="F282" s="902">
        <v>2</v>
      </c>
      <c r="G282" s="670"/>
      <c r="H282" s="671"/>
      <c r="I282" s="671">
        <v>0</v>
      </c>
      <c r="J282" s="671">
        <v>0</v>
      </c>
      <c r="K282" s="671">
        <v>0</v>
      </c>
      <c r="L282" s="671">
        <v>0</v>
      </c>
      <c r="M282" s="666">
        <v>0</v>
      </c>
      <c r="N282" s="666">
        <v>0</v>
      </c>
      <c r="O282" s="1512">
        <v>10</v>
      </c>
      <c r="P282" s="1522">
        <v>10</v>
      </c>
      <c r="Q282" s="1522">
        <v>10</v>
      </c>
      <c r="R282" s="1522">
        <v>10</v>
      </c>
      <c r="S282" s="1522">
        <v>10</v>
      </c>
      <c r="T282" s="1522">
        <v>10</v>
      </c>
      <c r="U282" s="1522">
        <v>10</v>
      </c>
      <c r="V282" s="1522">
        <v>10</v>
      </c>
      <c r="W282" s="1522">
        <v>10</v>
      </c>
      <c r="X282" s="1522">
        <v>10</v>
      </c>
      <c r="Y282" s="1522">
        <v>10</v>
      </c>
      <c r="Z282" s="1522">
        <v>10</v>
      </c>
      <c r="AA282" s="1522">
        <v>10</v>
      </c>
      <c r="AB282" s="1522">
        <v>10</v>
      </c>
      <c r="AC282" s="1522">
        <v>10</v>
      </c>
      <c r="AD282" s="1522">
        <v>10</v>
      </c>
      <c r="AE282" s="1522">
        <v>10</v>
      </c>
      <c r="AF282" s="1522">
        <v>10</v>
      </c>
      <c r="AG282" s="1522">
        <v>10</v>
      </c>
      <c r="AH282" s="1522">
        <v>10</v>
      </c>
      <c r="AI282" s="1522">
        <v>10</v>
      </c>
      <c r="AJ282" s="1522">
        <v>10</v>
      </c>
      <c r="AK282" s="1522">
        <v>10</v>
      </c>
      <c r="AL282" s="666"/>
      <c r="AM282" s="666"/>
      <c r="AN282" s="666"/>
      <c r="AO282" s="666"/>
      <c r="AP282" s="666"/>
      <c r="AQ282" s="666"/>
      <c r="AR282" s="666"/>
      <c r="AS282" s="666"/>
      <c r="AT282" s="666"/>
      <c r="AU282" s="666"/>
      <c r="AV282" s="666"/>
      <c r="AW282" s="666"/>
      <c r="AX282" s="666"/>
      <c r="AY282" s="666"/>
      <c r="AZ282" s="666"/>
      <c r="BA282" s="666"/>
      <c r="BB282" s="666"/>
      <c r="BC282" s="666"/>
      <c r="BD282" s="666"/>
      <c r="BE282" s="666"/>
      <c r="BF282" s="666"/>
      <c r="BG282" s="666"/>
      <c r="BH282" s="666"/>
      <c r="BI282" s="666"/>
      <c r="BJ282" s="666"/>
      <c r="BK282" s="666"/>
      <c r="BL282" s="666"/>
      <c r="BM282" s="666"/>
      <c r="BN282" s="666"/>
      <c r="BO282" s="666"/>
      <c r="BP282" s="666"/>
      <c r="BQ282" s="666"/>
      <c r="BR282" s="666"/>
      <c r="BS282" s="666"/>
      <c r="BT282" s="666"/>
      <c r="BU282" s="666"/>
      <c r="BV282" s="666"/>
      <c r="BW282" s="666"/>
      <c r="BX282" s="666"/>
      <c r="BY282" s="666"/>
      <c r="BZ282" s="666"/>
      <c r="CA282" s="666"/>
      <c r="CB282" s="666"/>
      <c r="CC282" s="666"/>
      <c r="CD282" s="666"/>
      <c r="CE282" s="666"/>
      <c r="CF282" s="666"/>
      <c r="CG282" s="666"/>
      <c r="CH282" s="666"/>
      <c r="CI282" s="666"/>
    </row>
    <row r="283" spans="2:87" ht="38.25" customHeight="1" x14ac:dyDescent="0.2">
      <c r="B283" s="905" t="s">
        <v>628</v>
      </c>
      <c r="C283" s="906" t="s">
        <v>629</v>
      </c>
      <c r="D283" s="907" t="s">
        <v>630</v>
      </c>
      <c r="E283" s="906" t="s">
        <v>236</v>
      </c>
      <c r="F283" s="908">
        <v>2</v>
      </c>
      <c r="G283" s="670"/>
      <c r="H283" s="671"/>
      <c r="I283" s="671">
        <v>0</v>
      </c>
      <c r="J283" s="671">
        <v>0</v>
      </c>
      <c r="K283" s="671">
        <v>0</v>
      </c>
      <c r="L283" s="671">
        <v>0</v>
      </c>
      <c r="M283" s="666">
        <v>0</v>
      </c>
      <c r="N283" s="666">
        <v>0</v>
      </c>
      <c r="O283" s="666">
        <v>0</v>
      </c>
      <c r="P283" s="666">
        <v>0</v>
      </c>
      <c r="Q283" s="666">
        <v>0</v>
      </c>
      <c r="R283" s="666">
        <v>0</v>
      </c>
      <c r="S283" s="666">
        <v>0</v>
      </c>
      <c r="T283" s="666">
        <v>0</v>
      </c>
      <c r="U283" s="666">
        <v>0</v>
      </c>
      <c r="V283" s="666">
        <v>0</v>
      </c>
      <c r="W283" s="666">
        <v>0</v>
      </c>
      <c r="X283" s="666">
        <v>0</v>
      </c>
      <c r="Y283" s="666">
        <v>0</v>
      </c>
      <c r="Z283" s="666">
        <v>0</v>
      </c>
      <c r="AA283" s="666">
        <v>0</v>
      </c>
      <c r="AB283" s="666">
        <v>0</v>
      </c>
      <c r="AC283" s="666">
        <v>0</v>
      </c>
      <c r="AD283" s="666">
        <v>0</v>
      </c>
      <c r="AE283" s="666">
        <v>0</v>
      </c>
      <c r="AF283" s="666">
        <v>0</v>
      </c>
      <c r="AG283" s="666">
        <v>0</v>
      </c>
      <c r="AH283" s="666">
        <v>0</v>
      </c>
      <c r="AI283" s="666">
        <v>0</v>
      </c>
      <c r="AJ283" s="666">
        <v>0</v>
      </c>
      <c r="AK283" s="666">
        <v>0</v>
      </c>
      <c r="AL283" s="666"/>
      <c r="AM283" s="666"/>
      <c r="AN283" s="666"/>
      <c r="AO283" s="666"/>
      <c r="AP283" s="666"/>
      <c r="AQ283" s="666"/>
      <c r="AR283" s="666"/>
      <c r="AS283" s="666"/>
      <c r="AT283" s="666"/>
      <c r="AU283" s="666"/>
      <c r="AV283" s="666"/>
      <c r="AW283" s="666"/>
      <c r="AX283" s="666"/>
      <c r="AY283" s="666"/>
      <c r="AZ283" s="666"/>
      <c r="BA283" s="666"/>
      <c r="BB283" s="666"/>
      <c r="BC283" s="666"/>
      <c r="BD283" s="666"/>
      <c r="BE283" s="666"/>
      <c r="BF283" s="666"/>
      <c r="BG283" s="666"/>
      <c r="BH283" s="666"/>
      <c r="BI283" s="666"/>
      <c r="BJ283" s="666"/>
      <c r="BK283" s="666"/>
      <c r="BL283" s="666"/>
      <c r="BM283" s="666"/>
      <c r="BN283" s="666"/>
      <c r="BO283" s="666"/>
      <c r="BP283" s="666"/>
      <c r="BQ283" s="666"/>
      <c r="BR283" s="666"/>
      <c r="BS283" s="666"/>
      <c r="BT283" s="666"/>
      <c r="BU283" s="666"/>
      <c r="BV283" s="666"/>
      <c r="BW283" s="666"/>
      <c r="BX283" s="666"/>
      <c r="BY283" s="666"/>
      <c r="BZ283" s="666"/>
      <c r="CA283" s="666"/>
      <c r="CB283" s="666"/>
      <c r="CC283" s="666"/>
      <c r="CD283" s="666"/>
      <c r="CE283" s="666"/>
      <c r="CF283" s="666"/>
      <c r="CG283" s="666"/>
      <c r="CH283" s="666"/>
      <c r="CI283" s="666"/>
    </row>
    <row r="284" spans="2:87" ht="38.25" customHeight="1" x14ac:dyDescent="0.2">
      <c r="B284" s="905" t="s">
        <v>631</v>
      </c>
      <c r="C284" s="906" t="s">
        <v>786</v>
      </c>
      <c r="D284" s="907" t="s">
        <v>633</v>
      </c>
      <c r="E284" s="906" t="s">
        <v>236</v>
      </c>
      <c r="F284" s="908">
        <v>2</v>
      </c>
      <c r="G284" s="670"/>
      <c r="H284" s="671"/>
      <c r="I284" s="1521">
        <v>16</v>
      </c>
      <c r="J284" s="1521">
        <v>16</v>
      </c>
      <c r="K284" s="1521">
        <v>16</v>
      </c>
      <c r="L284" s="1521">
        <v>16</v>
      </c>
      <c r="M284" s="1522">
        <v>16</v>
      </c>
      <c r="N284" s="1522">
        <v>16</v>
      </c>
      <c r="O284" s="1522">
        <v>16</v>
      </c>
      <c r="P284" s="1522">
        <v>16</v>
      </c>
      <c r="Q284" s="1522">
        <v>16</v>
      </c>
      <c r="R284" s="1522">
        <v>16</v>
      </c>
      <c r="S284" s="1522">
        <v>16</v>
      </c>
      <c r="T284" s="1522">
        <v>16</v>
      </c>
      <c r="U284" s="1522">
        <v>16</v>
      </c>
      <c r="V284" s="1522">
        <v>16</v>
      </c>
      <c r="W284" s="1522">
        <v>16</v>
      </c>
      <c r="X284" s="1522">
        <v>16</v>
      </c>
      <c r="Y284" s="1522">
        <v>16</v>
      </c>
      <c r="Z284" s="1522">
        <v>16</v>
      </c>
      <c r="AA284" s="1522">
        <v>16</v>
      </c>
      <c r="AB284" s="1522">
        <v>16</v>
      </c>
      <c r="AC284" s="1522">
        <v>16</v>
      </c>
      <c r="AD284" s="1522">
        <v>16</v>
      </c>
      <c r="AE284" s="1522">
        <v>16</v>
      </c>
      <c r="AF284" s="1522">
        <v>16</v>
      </c>
      <c r="AG284" s="1522">
        <v>16</v>
      </c>
      <c r="AH284" s="1522">
        <v>16</v>
      </c>
      <c r="AI284" s="1522">
        <v>16</v>
      </c>
      <c r="AJ284" s="1522">
        <v>16</v>
      </c>
      <c r="AK284" s="1522">
        <v>16</v>
      </c>
      <c r="AL284" s="666"/>
      <c r="AM284" s="666"/>
      <c r="AN284" s="666"/>
      <c r="AO284" s="666"/>
      <c r="AP284" s="666"/>
      <c r="AQ284" s="666"/>
      <c r="AR284" s="666"/>
      <c r="AS284" s="666"/>
      <c r="AT284" s="666"/>
      <c r="AU284" s="666"/>
      <c r="AV284" s="666"/>
      <c r="AW284" s="666"/>
      <c r="AX284" s="666"/>
      <c r="AY284" s="666"/>
      <c r="AZ284" s="666"/>
      <c r="BA284" s="666"/>
      <c r="BB284" s="666"/>
      <c r="BC284" s="666"/>
      <c r="BD284" s="666"/>
      <c r="BE284" s="666"/>
      <c r="BF284" s="666"/>
      <c r="BG284" s="666"/>
      <c r="BH284" s="666"/>
      <c r="BI284" s="666"/>
      <c r="BJ284" s="666"/>
      <c r="BK284" s="666"/>
      <c r="BL284" s="666"/>
      <c r="BM284" s="666"/>
      <c r="BN284" s="666"/>
      <c r="BO284" s="666"/>
      <c r="BP284" s="666"/>
      <c r="BQ284" s="666"/>
      <c r="BR284" s="666"/>
      <c r="BS284" s="666"/>
      <c r="BT284" s="666"/>
      <c r="BU284" s="666"/>
      <c r="BV284" s="666"/>
      <c r="BW284" s="666"/>
      <c r="BX284" s="666"/>
      <c r="BY284" s="666"/>
      <c r="BZ284" s="666"/>
      <c r="CA284" s="666"/>
      <c r="CB284" s="666"/>
      <c r="CC284" s="666"/>
      <c r="CD284" s="666"/>
      <c r="CE284" s="666"/>
      <c r="CF284" s="666"/>
      <c r="CG284" s="666"/>
      <c r="CH284" s="666"/>
      <c r="CI284" s="666"/>
    </row>
    <row r="285" spans="2:87" ht="42.75" x14ac:dyDescent="0.2">
      <c r="B285" s="900" t="s">
        <v>634</v>
      </c>
      <c r="C285" s="901" t="s">
        <v>635</v>
      </c>
      <c r="D285" s="901" t="s">
        <v>636</v>
      </c>
      <c r="E285" s="901" t="s">
        <v>236</v>
      </c>
      <c r="F285" s="902">
        <v>2</v>
      </c>
      <c r="G285" s="670"/>
      <c r="H285" s="671"/>
      <c r="I285" s="671">
        <v>0</v>
      </c>
      <c r="J285" s="671">
        <v>0</v>
      </c>
      <c r="K285" s="671">
        <v>0</v>
      </c>
      <c r="L285" s="671">
        <v>0</v>
      </c>
      <c r="M285" s="666">
        <v>0</v>
      </c>
      <c r="N285" s="666">
        <v>0</v>
      </c>
      <c r="O285" s="666">
        <v>0</v>
      </c>
      <c r="P285" s="666">
        <v>0</v>
      </c>
      <c r="Q285" s="666">
        <v>0</v>
      </c>
      <c r="R285" s="666">
        <v>0</v>
      </c>
      <c r="S285" s="666">
        <v>0</v>
      </c>
      <c r="T285" s="666">
        <v>0</v>
      </c>
      <c r="U285" s="666">
        <v>0</v>
      </c>
      <c r="V285" s="666">
        <v>0</v>
      </c>
      <c r="W285" s="666">
        <v>0</v>
      </c>
      <c r="X285" s="666">
        <v>0</v>
      </c>
      <c r="Y285" s="666">
        <v>0</v>
      </c>
      <c r="Z285" s="666">
        <v>0</v>
      </c>
      <c r="AA285" s="666">
        <v>0</v>
      </c>
      <c r="AB285" s="666">
        <v>0</v>
      </c>
      <c r="AC285" s="666">
        <v>0</v>
      </c>
      <c r="AD285" s="666">
        <v>0</v>
      </c>
      <c r="AE285" s="666">
        <v>0</v>
      </c>
      <c r="AF285" s="666">
        <v>0</v>
      </c>
      <c r="AG285" s="666">
        <v>0</v>
      </c>
      <c r="AH285" s="666">
        <v>0</v>
      </c>
      <c r="AI285" s="666">
        <v>0</v>
      </c>
      <c r="AJ285" s="666">
        <v>0</v>
      </c>
      <c r="AK285" s="666">
        <v>0</v>
      </c>
      <c r="AL285" s="666"/>
      <c r="AM285" s="666"/>
      <c r="AN285" s="666"/>
      <c r="AO285" s="666"/>
      <c r="AP285" s="666"/>
      <c r="AQ285" s="666"/>
      <c r="AR285" s="666"/>
      <c r="AS285" s="666"/>
      <c r="AT285" s="666"/>
      <c r="AU285" s="666"/>
      <c r="AV285" s="666"/>
      <c r="AW285" s="666"/>
      <c r="AX285" s="666"/>
      <c r="AY285" s="666"/>
      <c r="AZ285" s="666"/>
      <c r="BA285" s="666"/>
      <c r="BB285" s="666"/>
      <c r="BC285" s="666"/>
      <c r="BD285" s="666"/>
      <c r="BE285" s="666"/>
      <c r="BF285" s="666"/>
      <c r="BG285" s="666"/>
      <c r="BH285" s="666"/>
      <c r="BI285" s="666"/>
      <c r="BJ285" s="666"/>
      <c r="BK285" s="666"/>
      <c r="BL285" s="666"/>
      <c r="BM285" s="666"/>
      <c r="BN285" s="666"/>
      <c r="BO285" s="666"/>
      <c r="BP285" s="666"/>
      <c r="BQ285" s="666"/>
      <c r="BR285" s="666"/>
      <c r="BS285" s="666"/>
      <c r="BT285" s="666"/>
      <c r="BU285" s="666"/>
      <c r="BV285" s="666"/>
      <c r="BW285" s="666"/>
      <c r="BX285" s="666"/>
      <c r="BY285" s="666"/>
      <c r="BZ285" s="666"/>
      <c r="CA285" s="666"/>
      <c r="CB285" s="666"/>
      <c r="CC285" s="666"/>
      <c r="CD285" s="666"/>
      <c r="CE285" s="666"/>
      <c r="CF285" s="666"/>
      <c r="CG285" s="666"/>
      <c r="CH285" s="666"/>
      <c r="CI285" s="666"/>
    </row>
    <row r="286" spans="2:87" x14ac:dyDescent="0.2">
      <c r="B286" s="900" t="s">
        <v>637</v>
      </c>
      <c r="C286" s="901" t="s">
        <v>638</v>
      </c>
      <c r="D286" s="901" t="s">
        <v>639</v>
      </c>
      <c r="E286" s="901" t="s">
        <v>236</v>
      </c>
      <c r="F286" s="902">
        <v>2</v>
      </c>
      <c r="G286" s="670"/>
      <c r="H286" s="671"/>
      <c r="I286" s="671">
        <v>0</v>
      </c>
      <c r="J286" s="671">
        <v>0</v>
      </c>
      <c r="K286" s="671">
        <v>0</v>
      </c>
      <c r="L286" s="671">
        <v>0</v>
      </c>
      <c r="M286" s="666">
        <v>0</v>
      </c>
      <c r="N286" s="666">
        <v>0</v>
      </c>
      <c r="O286" s="1511">
        <v>0.33</v>
      </c>
      <c r="P286" s="666">
        <v>0.33</v>
      </c>
      <c r="Q286" s="666">
        <v>0.33</v>
      </c>
      <c r="R286" s="666">
        <v>0.33</v>
      </c>
      <c r="S286" s="666">
        <v>0.33</v>
      </c>
      <c r="T286" s="666">
        <v>0.33</v>
      </c>
      <c r="U286" s="666">
        <v>0.33</v>
      </c>
      <c r="V286" s="666">
        <v>0.5</v>
      </c>
      <c r="W286" s="666">
        <v>0.5</v>
      </c>
      <c r="X286" s="666">
        <v>0.5</v>
      </c>
      <c r="Y286" s="666">
        <v>0.5</v>
      </c>
      <c r="Z286" s="666">
        <v>0.5</v>
      </c>
      <c r="AA286" s="666">
        <v>0.5</v>
      </c>
      <c r="AB286" s="666">
        <v>0.5</v>
      </c>
      <c r="AC286" s="666">
        <v>0.5</v>
      </c>
      <c r="AD286" s="666">
        <v>0.5</v>
      </c>
      <c r="AE286" s="666">
        <v>0.5</v>
      </c>
      <c r="AF286" s="666">
        <v>0.5</v>
      </c>
      <c r="AG286" s="666">
        <v>0.5</v>
      </c>
      <c r="AH286" s="666">
        <v>0.5</v>
      </c>
      <c r="AI286" s="666">
        <v>0.5</v>
      </c>
      <c r="AJ286" s="666">
        <v>0.5</v>
      </c>
      <c r="AK286" s="666">
        <v>0.5</v>
      </c>
      <c r="AL286" s="666"/>
      <c r="AM286" s="666"/>
      <c r="AN286" s="666"/>
      <c r="AO286" s="666"/>
      <c r="AP286" s="666"/>
      <c r="AQ286" s="666"/>
      <c r="AR286" s="666"/>
      <c r="AS286" s="666"/>
      <c r="AT286" s="666"/>
      <c r="AU286" s="666"/>
      <c r="AV286" s="666"/>
      <c r="AW286" s="666"/>
      <c r="AX286" s="666"/>
      <c r="AY286" s="666"/>
      <c r="AZ286" s="666"/>
      <c r="BA286" s="666"/>
      <c r="BB286" s="666"/>
      <c r="BC286" s="666"/>
      <c r="BD286" s="666"/>
      <c r="BE286" s="666"/>
      <c r="BF286" s="666"/>
      <c r="BG286" s="666"/>
      <c r="BH286" s="666"/>
      <c r="BI286" s="666"/>
      <c r="BJ286" s="666"/>
      <c r="BK286" s="666"/>
      <c r="BL286" s="666"/>
      <c r="BM286" s="666"/>
      <c r="BN286" s="666"/>
      <c r="BO286" s="666"/>
      <c r="BP286" s="666"/>
      <c r="BQ286" s="666"/>
      <c r="BR286" s="666"/>
      <c r="BS286" s="666"/>
      <c r="BT286" s="666"/>
      <c r="BU286" s="666"/>
      <c r="BV286" s="666"/>
      <c r="BW286" s="666"/>
      <c r="BX286" s="666"/>
      <c r="BY286" s="666"/>
      <c r="BZ286" s="666"/>
      <c r="CA286" s="666"/>
      <c r="CB286" s="666"/>
      <c r="CC286" s="666"/>
      <c r="CD286" s="666"/>
      <c r="CE286" s="666"/>
      <c r="CF286" s="666"/>
      <c r="CG286" s="666"/>
      <c r="CH286" s="666"/>
      <c r="CI286" s="666"/>
    </row>
    <row r="287" spans="2:87" ht="15" thickBot="1" x14ac:dyDescent="0.25">
      <c r="B287" s="909" t="s">
        <v>640</v>
      </c>
      <c r="C287" s="910" t="s">
        <v>641</v>
      </c>
      <c r="D287" s="910" t="s">
        <v>642</v>
      </c>
      <c r="E287" s="910" t="s">
        <v>236</v>
      </c>
      <c r="F287" s="911">
        <v>2</v>
      </c>
      <c r="G287" s="681"/>
      <c r="H287" s="682"/>
      <c r="I287" s="682">
        <v>0</v>
      </c>
      <c r="J287" s="682">
        <v>0</v>
      </c>
      <c r="K287" s="682">
        <v>0</v>
      </c>
      <c r="L287" s="682">
        <v>0</v>
      </c>
      <c r="M287" s="666">
        <v>0</v>
      </c>
      <c r="N287" s="666">
        <v>0</v>
      </c>
      <c r="O287" s="666">
        <v>0</v>
      </c>
      <c r="P287" s="666">
        <v>0</v>
      </c>
      <c r="Q287" s="666">
        <v>0</v>
      </c>
      <c r="R287" s="666">
        <v>0</v>
      </c>
      <c r="S287" s="666">
        <v>0</v>
      </c>
      <c r="T287" s="666">
        <v>0</v>
      </c>
      <c r="U287" s="666">
        <v>0</v>
      </c>
      <c r="V287" s="666">
        <v>0</v>
      </c>
      <c r="W287" s="666">
        <v>0</v>
      </c>
      <c r="X287" s="666">
        <v>0</v>
      </c>
      <c r="Y287" s="666">
        <v>0</v>
      </c>
      <c r="Z287" s="666">
        <v>0</v>
      </c>
      <c r="AA287" s="666">
        <v>0</v>
      </c>
      <c r="AB287" s="666">
        <v>0</v>
      </c>
      <c r="AC287" s="666">
        <v>0</v>
      </c>
      <c r="AD287" s="666">
        <v>0</v>
      </c>
      <c r="AE287" s="666">
        <v>0</v>
      </c>
      <c r="AF287" s="666">
        <v>0</v>
      </c>
      <c r="AG287" s="666">
        <v>0</v>
      </c>
      <c r="AH287" s="666">
        <v>0</v>
      </c>
      <c r="AI287" s="666">
        <v>0</v>
      </c>
      <c r="AJ287" s="666">
        <v>0</v>
      </c>
      <c r="AK287" s="666">
        <v>0</v>
      </c>
      <c r="AL287" s="666"/>
      <c r="AM287" s="666"/>
      <c r="AN287" s="666"/>
      <c r="AO287" s="666"/>
      <c r="AP287" s="666"/>
      <c r="AQ287" s="666"/>
      <c r="AR287" s="666"/>
      <c r="AS287" s="666"/>
      <c r="AT287" s="666"/>
      <c r="AU287" s="666"/>
      <c r="AV287" s="666"/>
      <c r="AW287" s="666"/>
      <c r="AX287" s="666"/>
      <c r="AY287" s="666"/>
      <c r="AZ287" s="666"/>
      <c r="BA287" s="666"/>
      <c r="BB287" s="666"/>
      <c r="BC287" s="666"/>
      <c r="BD287" s="666"/>
      <c r="BE287" s="666"/>
      <c r="BF287" s="666"/>
      <c r="BG287" s="666"/>
      <c r="BH287" s="666"/>
      <c r="BI287" s="666"/>
      <c r="BJ287" s="666"/>
      <c r="BK287" s="666"/>
      <c r="BL287" s="666"/>
      <c r="BM287" s="666"/>
      <c r="BN287" s="666"/>
      <c r="BO287" s="666"/>
      <c r="BP287" s="666"/>
      <c r="BQ287" s="666"/>
      <c r="BR287" s="666"/>
      <c r="BS287" s="666"/>
      <c r="BT287" s="666"/>
      <c r="BU287" s="666"/>
      <c r="BV287" s="666"/>
      <c r="BW287" s="666"/>
      <c r="BX287" s="666"/>
      <c r="BY287" s="666"/>
      <c r="BZ287" s="666"/>
      <c r="CA287" s="666"/>
      <c r="CB287" s="666"/>
      <c r="CC287" s="666"/>
      <c r="CD287" s="666"/>
      <c r="CE287" s="666"/>
      <c r="CF287" s="666"/>
      <c r="CG287" s="666"/>
      <c r="CH287" s="666"/>
      <c r="CI287" s="666"/>
    </row>
    <row r="288" spans="2:87" ht="57" x14ac:dyDescent="0.2">
      <c r="B288" s="912" t="s">
        <v>643</v>
      </c>
      <c r="C288" s="913" t="s">
        <v>644</v>
      </c>
      <c r="D288" s="914" t="s">
        <v>645</v>
      </c>
      <c r="E288" s="913" t="s">
        <v>236</v>
      </c>
      <c r="F288" s="915">
        <v>2</v>
      </c>
      <c r="G288" s="664"/>
      <c r="H288" s="1513"/>
      <c r="I288" s="1513">
        <v>0</v>
      </c>
      <c r="J288" s="1513">
        <v>0</v>
      </c>
      <c r="K288" s="1513">
        <v>0</v>
      </c>
      <c r="L288" s="1513">
        <v>0</v>
      </c>
      <c r="M288" s="665">
        <v>-0.22041776690254267</v>
      </c>
      <c r="N288" s="665">
        <v>-0.43846421024449711</v>
      </c>
      <c r="O288" s="665">
        <v>-0.65666608941904769</v>
      </c>
      <c r="P288" s="665">
        <v>-0.8749969291084625</v>
      </c>
      <c r="Q288" s="665">
        <v>-1.0946627226990344</v>
      </c>
      <c r="R288" s="665">
        <v>-1.5959032847635726</v>
      </c>
      <c r="S288" s="665">
        <v>-2.0983756323173495</v>
      </c>
      <c r="T288" s="665">
        <v>-2.600873771974122</v>
      </c>
      <c r="U288" s="665">
        <v>-3.1033977037338545</v>
      </c>
      <c r="V288" s="665">
        <v>-3.6059474275965613</v>
      </c>
      <c r="W288" s="665">
        <v>-4.0812049070480114</v>
      </c>
      <c r="X288" s="665">
        <v>-4.556486821123336</v>
      </c>
      <c r="Y288" s="665">
        <v>-5.0317931698224996</v>
      </c>
      <c r="Z288" s="665">
        <v>-5.0365313283122219</v>
      </c>
      <c r="AA288" s="665">
        <v>-5.0412939214258188</v>
      </c>
      <c r="AB288" s="665">
        <v>-5.046080949163283</v>
      </c>
      <c r="AC288" s="665">
        <v>-5.0508924115246145</v>
      </c>
      <c r="AD288" s="665">
        <v>-5.0557283085097993</v>
      </c>
      <c r="AE288" s="665">
        <v>-5.0605886401188656</v>
      </c>
      <c r="AF288" s="665">
        <v>-5.0654734063518063</v>
      </c>
      <c r="AG288" s="665">
        <v>-5.0703826072086144</v>
      </c>
      <c r="AH288" s="665">
        <v>-5.075316242689297</v>
      </c>
      <c r="AI288" s="665">
        <v>-5.0802743127938541</v>
      </c>
      <c r="AJ288" s="665">
        <v>-5.0852568175222714</v>
      </c>
      <c r="AK288" s="665">
        <v>-5.090263756874549</v>
      </c>
      <c r="AL288" s="665"/>
      <c r="AM288" s="665"/>
      <c r="AN288" s="665"/>
      <c r="AO288" s="665"/>
      <c r="AP288" s="665"/>
      <c r="AQ288" s="665"/>
      <c r="AR288" s="665"/>
      <c r="AS288" s="665"/>
      <c r="AT288" s="665"/>
      <c r="AU288" s="665"/>
      <c r="AV288" s="665"/>
      <c r="AW288" s="665"/>
      <c r="AX288" s="665"/>
      <c r="AY288" s="665"/>
      <c r="AZ288" s="665"/>
      <c r="BA288" s="665"/>
      <c r="BB288" s="665"/>
      <c r="BC288" s="665"/>
      <c r="BD288" s="665"/>
      <c r="BE288" s="665"/>
      <c r="BF288" s="665"/>
      <c r="BG288" s="665"/>
      <c r="BH288" s="665"/>
      <c r="BI288" s="665"/>
      <c r="BJ288" s="665"/>
      <c r="BK288" s="665"/>
      <c r="BL288" s="665"/>
      <c r="BM288" s="665"/>
      <c r="BN288" s="665"/>
      <c r="BO288" s="665"/>
      <c r="BP288" s="665"/>
      <c r="BQ288" s="665"/>
      <c r="BR288" s="665"/>
      <c r="BS288" s="665"/>
      <c r="BT288" s="665"/>
      <c r="BU288" s="665"/>
      <c r="BV288" s="665"/>
      <c r="BW288" s="665"/>
      <c r="BX288" s="665"/>
      <c r="BY288" s="665"/>
      <c r="BZ288" s="665"/>
      <c r="CA288" s="665"/>
      <c r="CB288" s="665"/>
      <c r="CC288" s="665"/>
      <c r="CD288" s="665"/>
      <c r="CE288" s="665"/>
      <c r="CF288" s="665"/>
      <c r="CG288" s="665"/>
      <c r="CH288" s="665"/>
      <c r="CI288" s="665"/>
    </row>
    <row r="289" spans="2:89" ht="57" x14ac:dyDescent="0.2">
      <c r="B289" s="916" t="s">
        <v>646</v>
      </c>
      <c r="C289" s="917" t="s">
        <v>647</v>
      </c>
      <c r="D289" s="918" t="s">
        <v>648</v>
      </c>
      <c r="E289" s="917" t="s">
        <v>236</v>
      </c>
      <c r="F289" s="919">
        <v>2</v>
      </c>
      <c r="G289" s="670"/>
      <c r="H289" s="671"/>
      <c r="I289" s="671">
        <v>0</v>
      </c>
      <c r="J289" s="671">
        <v>0</v>
      </c>
      <c r="K289" s="671">
        <v>0</v>
      </c>
      <c r="L289" s="671">
        <v>0</v>
      </c>
      <c r="M289" s="666">
        <v>-9.02519503767516E-2</v>
      </c>
      <c r="N289" s="666">
        <v>-0.26928051048413149</v>
      </c>
      <c r="O289" s="666">
        <v>-0.44721584689970484</v>
      </c>
      <c r="P289" s="666">
        <v>-0.62500860918259815</v>
      </c>
      <c r="Q289" s="666">
        <v>-0.75757697215088404</v>
      </c>
      <c r="R289" s="666">
        <v>-0.79990125832149506</v>
      </c>
      <c r="S289" s="666">
        <v>-0.79714243979873145</v>
      </c>
      <c r="T289" s="666">
        <v>-0.79438325570126844</v>
      </c>
      <c r="U289" s="666">
        <v>-0.79162370602910637</v>
      </c>
      <c r="V289" s="666">
        <v>-0.788863790782245</v>
      </c>
      <c r="W289" s="666">
        <v>-0.78610350996068457</v>
      </c>
      <c r="X289" s="666">
        <v>-0.78334286356442484</v>
      </c>
      <c r="Y289" s="666">
        <v>-0.78058185159346616</v>
      </c>
      <c r="Z289" s="666">
        <v>-0.77782047404780807</v>
      </c>
      <c r="AA289" s="666">
        <v>-0.77505873092745092</v>
      </c>
      <c r="AB289" s="666">
        <v>-0.77229662223239448</v>
      </c>
      <c r="AC289" s="666">
        <v>-0.76953414796263908</v>
      </c>
      <c r="AD289" s="666">
        <v>-0.76677130811818417</v>
      </c>
      <c r="AE289" s="666">
        <v>-0.76400810269903041</v>
      </c>
      <c r="AF289" s="666">
        <v>-0.76124453170517725</v>
      </c>
      <c r="AG289" s="666">
        <v>-0.75848059513662491</v>
      </c>
      <c r="AH289" s="666">
        <v>-0.75571629299337351</v>
      </c>
      <c r="AI289" s="666">
        <v>-0.75295162527542292</v>
      </c>
      <c r="AJ289" s="666">
        <v>-0.75018659198277304</v>
      </c>
      <c r="AK289" s="666">
        <v>-0.7474211931154241</v>
      </c>
      <c r="AL289" s="666"/>
      <c r="AM289" s="666"/>
      <c r="AN289" s="666"/>
      <c r="AO289" s="666"/>
      <c r="AP289" s="666"/>
      <c r="AQ289" s="666"/>
      <c r="AR289" s="666"/>
      <c r="AS289" s="666"/>
      <c r="AT289" s="666"/>
      <c r="AU289" s="666"/>
      <c r="AV289" s="666"/>
      <c r="AW289" s="666"/>
      <c r="AX289" s="666"/>
      <c r="AY289" s="666"/>
      <c r="AZ289" s="666"/>
      <c r="BA289" s="666"/>
      <c r="BB289" s="666"/>
      <c r="BC289" s="666"/>
      <c r="BD289" s="666"/>
      <c r="BE289" s="666"/>
      <c r="BF289" s="666"/>
      <c r="BG289" s="666"/>
      <c r="BH289" s="666"/>
      <c r="BI289" s="666"/>
      <c r="BJ289" s="666"/>
      <c r="BK289" s="666"/>
      <c r="BL289" s="666"/>
      <c r="BM289" s="666"/>
      <c r="BN289" s="666"/>
      <c r="BO289" s="666"/>
      <c r="BP289" s="666"/>
      <c r="BQ289" s="666"/>
      <c r="BR289" s="666"/>
      <c r="BS289" s="666"/>
      <c r="BT289" s="666"/>
      <c r="BU289" s="666"/>
      <c r="BV289" s="666"/>
      <c r="BW289" s="666"/>
      <c r="BX289" s="666"/>
      <c r="BY289" s="666"/>
      <c r="BZ289" s="666"/>
      <c r="CA289" s="666"/>
      <c r="CB289" s="666"/>
      <c r="CC289" s="666"/>
      <c r="CD289" s="666"/>
      <c r="CE289" s="666"/>
      <c r="CF289" s="666"/>
      <c r="CG289" s="666"/>
      <c r="CH289" s="666"/>
      <c r="CI289" s="666"/>
    </row>
    <row r="290" spans="2:89" ht="57" x14ac:dyDescent="0.2">
      <c r="B290" s="916" t="s">
        <v>649</v>
      </c>
      <c r="C290" s="917" t="s">
        <v>650</v>
      </c>
      <c r="D290" s="918" t="s">
        <v>651</v>
      </c>
      <c r="E290" s="917" t="s">
        <v>236</v>
      </c>
      <c r="F290" s="919">
        <v>2</v>
      </c>
      <c r="G290" s="670"/>
      <c r="H290" s="671"/>
      <c r="I290" s="671">
        <v>0</v>
      </c>
      <c r="J290" s="671">
        <v>0</v>
      </c>
      <c r="K290" s="671">
        <v>0</v>
      </c>
      <c r="L290" s="671">
        <v>0</v>
      </c>
      <c r="M290" s="666">
        <v>6.8393975306483128</v>
      </c>
      <c r="N290" s="666">
        <v>19.943484336193535</v>
      </c>
      <c r="O290" s="666">
        <v>26.280069743374213</v>
      </c>
      <c r="P290" s="666">
        <v>30.061039993067482</v>
      </c>
      <c r="Q290" s="666">
        <v>34.505826253957849</v>
      </c>
      <c r="R290" s="666">
        <v>38.321241213151325</v>
      </c>
      <c r="S290" s="666">
        <v>41.322612652673683</v>
      </c>
      <c r="T290" s="666">
        <v>44.227440260316939</v>
      </c>
      <c r="U290" s="666">
        <v>46.204342221308309</v>
      </c>
      <c r="V290" s="666">
        <v>48.135289405982746</v>
      </c>
      <c r="W290" s="666">
        <v>47.713476029069398</v>
      </c>
      <c r="X290" s="666">
        <v>43.659751323548164</v>
      </c>
      <c r="Y290" s="666">
        <v>39.441406144248731</v>
      </c>
      <c r="Z290" s="666">
        <v>35.240701003045274</v>
      </c>
      <c r="AA290" s="666">
        <v>31.035446544818853</v>
      </c>
      <c r="AB290" s="666">
        <v>26.953407212626189</v>
      </c>
      <c r="AC290" s="666">
        <v>22.853493480305985</v>
      </c>
      <c r="AD290" s="666">
        <v>18.779031332146531</v>
      </c>
      <c r="AE290" s="666">
        <v>15.660581809931728</v>
      </c>
      <c r="AF290" s="666">
        <v>12.535121061537041</v>
      </c>
      <c r="AG290" s="666">
        <v>11.25827515871697</v>
      </c>
      <c r="AH290" s="666">
        <v>10.008253215952095</v>
      </c>
      <c r="AI290" s="666">
        <v>8.7430252353017863</v>
      </c>
      <c r="AJ290" s="666">
        <v>7.4784133698288997</v>
      </c>
      <c r="AK290" s="666">
        <v>6.2172707284615853</v>
      </c>
      <c r="AL290" s="666"/>
      <c r="AM290" s="666"/>
      <c r="AN290" s="666"/>
      <c r="AO290" s="666"/>
      <c r="AP290" s="666"/>
      <c r="AQ290" s="666"/>
      <c r="AR290" s="666"/>
      <c r="AS290" s="666"/>
      <c r="AT290" s="666"/>
      <c r="AU290" s="666"/>
      <c r="AV290" s="666"/>
      <c r="AW290" s="666"/>
      <c r="AX290" s="666"/>
      <c r="AY290" s="666"/>
      <c r="AZ290" s="666"/>
      <c r="BA290" s="666"/>
      <c r="BB290" s="666"/>
      <c r="BC290" s="666"/>
      <c r="BD290" s="666"/>
      <c r="BE290" s="666"/>
      <c r="BF290" s="666"/>
      <c r="BG290" s="666"/>
      <c r="BH290" s="666"/>
      <c r="BI290" s="666"/>
      <c r="BJ290" s="666"/>
      <c r="BK290" s="666"/>
      <c r="BL290" s="666"/>
      <c r="BM290" s="666"/>
      <c r="BN290" s="666"/>
      <c r="BO290" s="666"/>
      <c r="BP290" s="666"/>
      <c r="BQ290" s="666"/>
      <c r="BR290" s="666"/>
      <c r="BS290" s="666"/>
      <c r="BT290" s="666"/>
      <c r="BU290" s="666"/>
      <c r="BV290" s="666"/>
      <c r="BW290" s="666"/>
      <c r="BX290" s="666"/>
      <c r="BY290" s="666"/>
      <c r="BZ290" s="666"/>
      <c r="CA290" s="666"/>
      <c r="CB290" s="666"/>
      <c r="CC290" s="666"/>
      <c r="CD290" s="666"/>
      <c r="CE290" s="666"/>
      <c r="CF290" s="666"/>
      <c r="CG290" s="666"/>
      <c r="CH290" s="666"/>
      <c r="CI290" s="666"/>
    </row>
    <row r="291" spans="2:89" ht="57" x14ac:dyDescent="0.2">
      <c r="B291" s="916" t="s">
        <v>652</v>
      </c>
      <c r="C291" s="917" t="s">
        <v>653</v>
      </c>
      <c r="D291" s="918" t="s">
        <v>654</v>
      </c>
      <c r="E291" s="917" t="s">
        <v>236</v>
      </c>
      <c r="F291" s="919">
        <v>2</v>
      </c>
      <c r="G291" s="670"/>
      <c r="H291" s="671"/>
      <c r="I291" s="671">
        <v>0</v>
      </c>
      <c r="J291" s="671">
        <v>0</v>
      </c>
      <c r="K291" s="671">
        <v>0</v>
      </c>
      <c r="L291" s="671">
        <v>0</v>
      </c>
      <c r="M291" s="666">
        <v>-10.950827456058875</v>
      </c>
      <c r="N291" s="666">
        <v>-28.117006053198764</v>
      </c>
      <c r="O291" s="666">
        <v>-39.175634177404504</v>
      </c>
      <c r="P291" s="666">
        <v>-48.265220757322936</v>
      </c>
      <c r="Q291" s="666">
        <v>-58.086947694669149</v>
      </c>
      <c r="R291" s="666">
        <v>-67.05291195255748</v>
      </c>
      <c r="S291" s="666">
        <v>-75.126942870559986</v>
      </c>
      <c r="T291" s="666">
        <v>-82.974905826722093</v>
      </c>
      <c r="U291" s="666">
        <v>-90.657262558491539</v>
      </c>
      <c r="V291" s="666">
        <v>-98.129874272492174</v>
      </c>
      <c r="W291" s="666">
        <v>-101.35876038371701</v>
      </c>
      <c r="X291" s="666">
        <v>-100.43938965099987</v>
      </c>
      <c r="Y291" s="666">
        <v>-99.529305784689925</v>
      </c>
      <c r="Z291" s="666">
        <v>-98.64528720726851</v>
      </c>
      <c r="AA291" s="666">
        <v>-97.76318931456035</v>
      </c>
      <c r="AB291" s="666">
        <v>-96.896407911145403</v>
      </c>
      <c r="AC291" s="666">
        <v>-96.037868701538642</v>
      </c>
      <c r="AD291" s="666">
        <v>-95.211112952507705</v>
      </c>
      <c r="AE291" s="666">
        <v>-94.365923616933387</v>
      </c>
      <c r="AF291" s="666">
        <v>-93.536502801158292</v>
      </c>
      <c r="AG291" s="666">
        <v>-92.666256871959675</v>
      </c>
      <c r="AH291" s="666">
        <v>-91.827936502674746</v>
      </c>
      <c r="AI291" s="666">
        <v>-90.997145925996705</v>
      </c>
      <c r="AJ291" s="666">
        <v>-90.181677678123137</v>
      </c>
      <c r="AK291" s="666">
        <v>-89.373252193622889</v>
      </c>
      <c r="AL291" s="666"/>
      <c r="AM291" s="666"/>
      <c r="AN291" s="666"/>
      <c r="AO291" s="666"/>
      <c r="AP291" s="666"/>
      <c r="AQ291" s="666"/>
      <c r="AR291" s="666"/>
      <c r="AS291" s="666"/>
      <c r="AT291" s="666"/>
      <c r="AU291" s="666"/>
      <c r="AV291" s="666"/>
      <c r="AW291" s="666"/>
      <c r="AX291" s="666"/>
      <c r="AY291" s="666"/>
      <c r="AZ291" s="666"/>
      <c r="BA291" s="666"/>
      <c r="BB291" s="666"/>
      <c r="BC291" s="666"/>
      <c r="BD291" s="666"/>
      <c r="BE291" s="666"/>
      <c r="BF291" s="666"/>
      <c r="BG291" s="666"/>
      <c r="BH291" s="666"/>
      <c r="BI291" s="666"/>
      <c r="BJ291" s="666"/>
      <c r="BK291" s="666"/>
      <c r="BL291" s="666"/>
      <c r="BM291" s="666"/>
      <c r="BN291" s="666"/>
      <c r="BO291" s="666"/>
      <c r="BP291" s="666"/>
      <c r="BQ291" s="666"/>
      <c r="BR291" s="666"/>
      <c r="BS291" s="666"/>
      <c r="BT291" s="666"/>
      <c r="BU291" s="666"/>
      <c r="BV291" s="666"/>
      <c r="BW291" s="666"/>
      <c r="BX291" s="666"/>
      <c r="BY291" s="666"/>
      <c r="BZ291" s="666"/>
      <c r="CA291" s="666"/>
      <c r="CB291" s="666"/>
      <c r="CC291" s="666"/>
      <c r="CD291" s="666"/>
      <c r="CE291" s="666"/>
      <c r="CF291" s="666"/>
      <c r="CG291" s="666"/>
      <c r="CH291" s="666"/>
      <c r="CI291" s="666"/>
    </row>
    <row r="292" spans="2:89" ht="28.5" x14ac:dyDescent="0.2">
      <c r="B292" s="916" t="s">
        <v>655</v>
      </c>
      <c r="C292" s="917" t="s">
        <v>656</v>
      </c>
      <c r="D292" s="918" t="s">
        <v>657</v>
      </c>
      <c r="E292" s="917" t="s">
        <v>236</v>
      </c>
      <c r="F292" s="919">
        <v>2</v>
      </c>
      <c r="G292" s="670"/>
      <c r="H292" s="671"/>
      <c r="I292" s="671">
        <v>0</v>
      </c>
      <c r="J292" s="671">
        <v>0</v>
      </c>
      <c r="K292" s="671">
        <v>0</v>
      </c>
      <c r="L292" s="671">
        <v>0</v>
      </c>
      <c r="M292" s="666">
        <v>6.3423636791082316E-4</v>
      </c>
      <c r="N292" s="666">
        <v>1.8252934904738893E-3</v>
      </c>
      <c r="O292" s="666">
        <v>2.9593902354330126E-3</v>
      </c>
      <c r="P292" s="666">
        <v>4.1343974517040749E-3</v>
      </c>
      <c r="Q292" s="666">
        <v>5.0747791990346514E-3</v>
      </c>
      <c r="R292" s="666">
        <v>5.4937900680336327E-3</v>
      </c>
      <c r="S292" s="666">
        <v>5.646510763296142E-3</v>
      </c>
      <c r="T292" s="666">
        <v>5.7992314585586513E-3</v>
      </c>
      <c r="U292" s="666">
        <v>5.9519521538211606E-3</v>
      </c>
      <c r="V292" s="666">
        <v>6.1046728490836699E-3</v>
      </c>
      <c r="W292" s="666">
        <v>6.1697224043264498E-3</v>
      </c>
      <c r="X292" s="666">
        <v>6.1471008195503885E-3</v>
      </c>
      <c r="Y292" s="666">
        <v>6.1244792347734389E-3</v>
      </c>
      <c r="Z292" s="666">
        <v>6.1018576499956012E-3</v>
      </c>
      <c r="AA292" s="666">
        <v>6.0792360652195399E-3</v>
      </c>
      <c r="AB292" s="666">
        <v>6.0566144804425903E-3</v>
      </c>
      <c r="AC292" s="666">
        <v>6.0339928956656408E-3</v>
      </c>
      <c r="AD292" s="666">
        <v>6.0113713108886913E-3</v>
      </c>
      <c r="AE292" s="666">
        <v>5.9887497261117417E-3</v>
      </c>
      <c r="AF292" s="666">
        <v>5.9661281413356804E-3</v>
      </c>
      <c r="AG292" s="666">
        <v>5.9435065565578427E-3</v>
      </c>
      <c r="AH292" s="666">
        <v>5.9208849717808931E-3</v>
      </c>
      <c r="AI292" s="666">
        <v>5.8982633870039436E-3</v>
      </c>
      <c r="AJ292" s="666">
        <v>5.8756418022269941E-3</v>
      </c>
      <c r="AK292" s="666">
        <v>5.8530202174509327E-3</v>
      </c>
      <c r="AL292" s="666"/>
      <c r="AM292" s="666"/>
      <c r="AN292" s="666"/>
      <c r="AO292" s="666"/>
      <c r="AP292" s="666"/>
      <c r="AQ292" s="666"/>
      <c r="AR292" s="666"/>
      <c r="AS292" s="666"/>
      <c r="AT292" s="666"/>
      <c r="AU292" s="666"/>
      <c r="AV292" s="666"/>
      <c r="AW292" s="666"/>
      <c r="AX292" s="666"/>
      <c r="AY292" s="666"/>
      <c r="AZ292" s="666"/>
      <c r="BA292" s="666"/>
      <c r="BB292" s="666"/>
      <c r="BC292" s="666"/>
      <c r="BD292" s="666"/>
      <c r="BE292" s="666"/>
      <c r="BF292" s="666"/>
      <c r="BG292" s="666"/>
      <c r="BH292" s="666"/>
      <c r="BI292" s="666"/>
      <c r="BJ292" s="666"/>
      <c r="BK292" s="666"/>
      <c r="BL292" s="666"/>
      <c r="BM292" s="666"/>
      <c r="BN292" s="666"/>
      <c r="BO292" s="666"/>
      <c r="BP292" s="666"/>
      <c r="BQ292" s="666"/>
      <c r="BR292" s="666"/>
      <c r="BS292" s="666"/>
      <c r="BT292" s="666"/>
      <c r="BU292" s="666"/>
      <c r="BV292" s="666"/>
      <c r="BW292" s="666"/>
      <c r="BX292" s="666"/>
      <c r="BY292" s="666"/>
      <c r="BZ292" s="666"/>
      <c r="CA292" s="666"/>
      <c r="CB292" s="666"/>
      <c r="CC292" s="666"/>
      <c r="CD292" s="666"/>
      <c r="CE292" s="666"/>
      <c r="CF292" s="666"/>
      <c r="CG292" s="666"/>
      <c r="CH292" s="666"/>
      <c r="CI292" s="666"/>
    </row>
    <row r="293" spans="2:89" ht="29.25" thickBot="1" x14ac:dyDescent="0.25">
      <c r="B293" s="920" t="s">
        <v>658</v>
      </c>
      <c r="C293" s="921" t="s">
        <v>659</v>
      </c>
      <c r="D293" s="921" t="s">
        <v>660</v>
      </c>
      <c r="E293" s="921" t="s">
        <v>236</v>
      </c>
      <c r="F293" s="922">
        <v>2</v>
      </c>
      <c r="G293" s="695"/>
      <c r="H293" s="682"/>
      <c r="I293" s="682">
        <v>0</v>
      </c>
      <c r="J293" s="682">
        <v>0</v>
      </c>
      <c r="K293" s="682">
        <v>0</v>
      </c>
      <c r="L293" s="682">
        <v>0</v>
      </c>
      <c r="M293" s="696">
        <v>0</v>
      </c>
      <c r="N293" s="696">
        <v>0</v>
      </c>
      <c r="O293" s="696">
        <v>0</v>
      </c>
      <c r="P293" s="696">
        <v>0</v>
      </c>
      <c r="Q293" s="696">
        <v>0</v>
      </c>
      <c r="R293" s="696">
        <v>0</v>
      </c>
      <c r="S293" s="696">
        <v>0</v>
      </c>
      <c r="T293" s="696">
        <v>0</v>
      </c>
      <c r="U293" s="696">
        <v>0</v>
      </c>
      <c r="V293" s="696">
        <v>0</v>
      </c>
      <c r="W293" s="696">
        <v>0</v>
      </c>
      <c r="X293" s="696">
        <v>0</v>
      </c>
      <c r="Y293" s="696">
        <v>0</v>
      </c>
      <c r="Z293" s="696">
        <v>0</v>
      </c>
      <c r="AA293" s="696">
        <v>0</v>
      </c>
      <c r="AB293" s="696">
        <v>0</v>
      </c>
      <c r="AC293" s="696">
        <v>0</v>
      </c>
      <c r="AD293" s="696">
        <v>0</v>
      </c>
      <c r="AE293" s="696">
        <v>0</v>
      </c>
      <c r="AF293" s="696">
        <v>0</v>
      </c>
      <c r="AG293" s="696">
        <v>0</v>
      </c>
      <c r="AH293" s="696">
        <v>0</v>
      </c>
      <c r="AI293" s="696">
        <v>0</v>
      </c>
      <c r="AJ293" s="696">
        <v>0</v>
      </c>
      <c r="AK293" s="696">
        <v>0</v>
      </c>
      <c r="AL293" s="696"/>
      <c r="AM293" s="696"/>
      <c r="AN293" s="696"/>
      <c r="AO293" s="696"/>
      <c r="AP293" s="696"/>
      <c r="AQ293" s="696"/>
      <c r="AR293" s="696"/>
      <c r="AS293" s="696"/>
      <c r="AT293" s="696"/>
      <c r="AU293" s="696"/>
      <c r="AV293" s="696"/>
      <c r="AW293" s="696"/>
      <c r="AX293" s="696"/>
      <c r="AY293" s="696"/>
      <c r="AZ293" s="696"/>
      <c r="BA293" s="696"/>
      <c r="BB293" s="696"/>
      <c r="BC293" s="696"/>
      <c r="BD293" s="696"/>
      <c r="BE293" s="696"/>
      <c r="BF293" s="696"/>
      <c r="BG293" s="696"/>
      <c r="BH293" s="696"/>
      <c r="BI293" s="696"/>
      <c r="BJ293" s="696"/>
      <c r="BK293" s="696"/>
      <c r="BL293" s="696"/>
      <c r="BM293" s="696"/>
      <c r="BN293" s="696"/>
      <c r="BO293" s="696"/>
      <c r="BP293" s="696"/>
      <c r="BQ293" s="696"/>
      <c r="BR293" s="696"/>
      <c r="BS293" s="696"/>
      <c r="BT293" s="696"/>
      <c r="BU293" s="696"/>
      <c r="BV293" s="696"/>
      <c r="BW293" s="696"/>
      <c r="BX293" s="696"/>
      <c r="BY293" s="696"/>
      <c r="BZ293" s="696"/>
      <c r="CA293" s="696"/>
      <c r="CB293" s="696"/>
      <c r="CC293" s="696"/>
      <c r="CD293" s="696"/>
      <c r="CE293" s="696"/>
      <c r="CF293" s="696"/>
      <c r="CG293" s="696"/>
      <c r="CH293" s="696"/>
      <c r="CI293" s="696"/>
    </row>
    <row r="294" spans="2:89" ht="28.5" x14ac:dyDescent="0.2">
      <c r="B294" s="923" t="s">
        <v>661</v>
      </c>
      <c r="C294" s="924" t="s">
        <v>662</v>
      </c>
      <c r="D294" s="925" t="s">
        <v>663</v>
      </c>
      <c r="E294" s="924" t="s">
        <v>236</v>
      </c>
      <c r="F294" s="926">
        <v>2</v>
      </c>
      <c r="G294" s="664"/>
      <c r="H294" s="671"/>
      <c r="I294" s="671">
        <v>0</v>
      </c>
      <c r="J294" s="671">
        <v>0</v>
      </c>
      <c r="K294" s="671">
        <v>0</v>
      </c>
      <c r="L294" s="671">
        <v>0</v>
      </c>
      <c r="M294" s="665">
        <v>-1.312801708751643E-3</v>
      </c>
      <c r="N294" s="665">
        <v>-6.7990203445683628E-4</v>
      </c>
      <c r="O294" s="665">
        <v>-1.7453945357548406E-4</v>
      </c>
      <c r="P294" s="665">
        <v>2.2500937151814782E-4</v>
      </c>
      <c r="Q294" s="665">
        <v>-4.7078859407123641E-4</v>
      </c>
      <c r="R294" s="665">
        <v>-3.2091408829239554E-3</v>
      </c>
      <c r="S294" s="665">
        <v>-6.9581889578292921E-3</v>
      </c>
      <c r="T294" s="665">
        <v>-1.0728399783892284E-2</v>
      </c>
      <c r="U294" s="665">
        <v>-1.4519773361112764E-2</v>
      </c>
      <c r="V294" s="665">
        <v>-1.8332309689490789E-2</v>
      </c>
      <c r="W294" s="665">
        <v>-2.2159882709480827E-2</v>
      </c>
      <c r="X294" s="665">
        <v>-2.6007504651620161E-2</v>
      </c>
      <c r="Y294" s="665">
        <v>-2.9875175515908792E-2</v>
      </c>
      <c r="Z294" s="665">
        <v>-3.3762895302346607E-2</v>
      </c>
      <c r="AA294" s="665">
        <v>-3.7670664010933719E-2</v>
      </c>
      <c r="AB294" s="665">
        <v>-4.1598481641670182E-2</v>
      </c>
      <c r="AC294" s="665">
        <v>-4.554634819455583E-2</v>
      </c>
      <c r="AD294" s="665">
        <v>-4.9514263669590775E-2</v>
      </c>
      <c r="AE294" s="665">
        <v>-5.3502228066775182E-2</v>
      </c>
      <c r="AF294" s="665">
        <v>-5.7510241386108552E-2</v>
      </c>
      <c r="AG294" s="665">
        <v>-6.153830362759144E-2</v>
      </c>
      <c r="AH294" s="665">
        <v>-6.5586414791223457E-2</v>
      </c>
      <c r="AI294" s="665">
        <v>-6.9654574877004993E-2</v>
      </c>
      <c r="AJ294" s="665">
        <v>-7.3742783884935548E-2</v>
      </c>
      <c r="AK294" s="665">
        <v>-7.7851041815015121E-2</v>
      </c>
      <c r="AL294" s="665"/>
      <c r="AM294" s="665"/>
      <c r="AN294" s="665"/>
      <c r="AO294" s="665"/>
      <c r="AP294" s="665"/>
      <c r="AQ294" s="665"/>
      <c r="AR294" s="665"/>
      <c r="AS294" s="665"/>
      <c r="AT294" s="665"/>
      <c r="AU294" s="665"/>
      <c r="AV294" s="665"/>
      <c r="AW294" s="665"/>
      <c r="AX294" s="665"/>
      <c r="AY294" s="665"/>
      <c r="AZ294" s="665"/>
      <c r="BA294" s="665"/>
      <c r="BB294" s="665"/>
      <c r="BC294" s="665"/>
      <c r="BD294" s="665"/>
      <c r="BE294" s="665"/>
      <c r="BF294" s="665"/>
      <c r="BG294" s="665"/>
      <c r="BH294" s="665"/>
      <c r="BI294" s="665"/>
      <c r="BJ294" s="665"/>
      <c r="BK294" s="665"/>
      <c r="BL294" s="665"/>
      <c r="BM294" s="665"/>
      <c r="BN294" s="665"/>
      <c r="BO294" s="665"/>
      <c r="BP294" s="665"/>
      <c r="BQ294" s="665"/>
      <c r="BR294" s="665"/>
      <c r="BS294" s="665"/>
      <c r="BT294" s="665"/>
      <c r="BU294" s="665"/>
      <c r="BV294" s="665"/>
      <c r="BW294" s="665"/>
      <c r="BX294" s="665"/>
      <c r="BY294" s="665"/>
      <c r="BZ294" s="665"/>
      <c r="CA294" s="665"/>
      <c r="CB294" s="665"/>
      <c r="CC294" s="665"/>
      <c r="CD294" s="665"/>
      <c r="CE294" s="665"/>
      <c r="CF294" s="665"/>
      <c r="CG294" s="665"/>
      <c r="CH294" s="665"/>
      <c r="CI294" s="665"/>
    </row>
    <row r="295" spans="2:89" ht="28.5" x14ac:dyDescent="0.2">
      <c r="B295" s="905" t="s">
        <v>664</v>
      </c>
      <c r="C295" s="906" t="s">
        <v>665</v>
      </c>
      <c r="D295" s="907" t="s">
        <v>666</v>
      </c>
      <c r="E295" s="906" t="s">
        <v>236</v>
      </c>
      <c r="F295" s="908">
        <v>2</v>
      </c>
      <c r="G295" s="670"/>
      <c r="H295" s="671"/>
      <c r="I295" s="671">
        <v>0</v>
      </c>
      <c r="J295" s="671">
        <v>0</v>
      </c>
      <c r="K295" s="671">
        <v>0</v>
      </c>
      <c r="L295" s="671">
        <v>0</v>
      </c>
      <c r="M295" s="666">
        <v>-3.784450376751701E-3</v>
      </c>
      <c r="N295" s="666">
        <v>-1.0793010484131515E-2</v>
      </c>
      <c r="O295" s="666">
        <v>-1.7623346899704857E-2</v>
      </c>
      <c r="P295" s="666">
        <v>-2.4311109182598288E-2</v>
      </c>
      <c r="Q295" s="666">
        <v>-2.9236972150884125E-2</v>
      </c>
      <c r="R295" s="666">
        <v>-3.084375832149518E-2</v>
      </c>
      <c r="S295" s="666">
        <v>-3.0829939798731415E-2</v>
      </c>
      <c r="T295" s="666">
        <v>-3.0815755701268488E-2</v>
      </c>
      <c r="U295" s="666">
        <v>-3.0801206029106375E-2</v>
      </c>
      <c r="V295" s="666">
        <v>-3.0786290782245082E-2</v>
      </c>
      <c r="W295" s="666">
        <v>-3.077100996068461E-2</v>
      </c>
      <c r="X295" s="666">
        <v>-3.0755363564424959E-2</v>
      </c>
      <c r="Y295" s="666">
        <v>-3.0739351593466122E-2</v>
      </c>
      <c r="Z295" s="666">
        <v>-3.0722974047808105E-2</v>
      </c>
      <c r="AA295" s="666">
        <v>-3.0706230927450923E-2</v>
      </c>
      <c r="AB295" s="666">
        <v>-3.0689122232394547E-2</v>
      </c>
      <c r="AC295" s="666">
        <v>-3.0671647962639007E-2</v>
      </c>
      <c r="AD295" s="666">
        <v>-3.0653808118184273E-2</v>
      </c>
      <c r="AE295" s="666">
        <v>-3.0635602699030366E-2</v>
      </c>
      <c r="AF295" s="666">
        <v>-3.0617031705177277E-2</v>
      </c>
      <c r="AG295" s="666">
        <v>-3.0598095136625012E-2</v>
      </c>
      <c r="AH295" s="666">
        <v>-3.0578792993373568E-2</v>
      </c>
      <c r="AI295" s="666">
        <v>-3.0559125275422944E-2</v>
      </c>
      <c r="AJ295" s="666">
        <v>-3.0539091982773135E-2</v>
      </c>
      <c r="AK295" s="666">
        <v>-3.0518693115424152E-2</v>
      </c>
      <c r="AL295" s="666"/>
      <c r="AM295" s="666"/>
      <c r="AN295" s="666"/>
      <c r="AO295" s="666"/>
      <c r="AP295" s="666"/>
      <c r="AQ295" s="666"/>
      <c r="AR295" s="666"/>
      <c r="AS295" s="666"/>
      <c r="AT295" s="666"/>
      <c r="AU295" s="666"/>
      <c r="AV295" s="666"/>
      <c r="AW295" s="666"/>
      <c r="AX295" s="666"/>
      <c r="AY295" s="666"/>
      <c r="AZ295" s="666"/>
      <c r="BA295" s="666"/>
      <c r="BB295" s="666"/>
      <c r="BC295" s="666"/>
      <c r="BD295" s="666"/>
      <c r="BE295" s="666"/>
      <c r="BF295" s="666"/>
      <c r="BG295" s="666"/>
      <c r="BH295" s="666"/>
      <c r="BI295" s="666"/>
      <c r="BJ295" s="666"/>
      <c r="BK295" s="666"/>
      <c r="BL295" s="666"/>
      <c r="BM295" s="666"/>
      <c r="BN295" s="666"/>
      <c r="BO295" s="666"/>
      <c r="BP295" s="666"/>
      <c r="BQ295" s="666"/>
      <c r="BR295" s="666"/>
      <c r="BS295" s="666"/>
      <c r="BT295" s="666"/>
      <c r="BU295" s="666"/>
      <c r="BV295" s="666"/>
      <c r="BW295" s="666"/>
      <c r="BX295" s="666"/>
      <c r="BY295" s="666"/>
      <c r="BZ295" s="666"/>
      <c r="CA295" s="666"/>
      <c r="CB295" s="666"/>
      <c r="CC295" s="666"/>
      <c r="CD295" s="666"/>
      <c r="CE295" s="666"/>
      <c r="CF295" s="666"/>
      <c r="CG295" s="666"/>
      <c r="CH295" s="666"/>
      <c r="CI295" s="666"/>
    </row>
    <row r="296" spans="2:89" ht="28.5" x14ac:dyDescent="0.2">
      <c r="B296" s="905" t="s">
        <v>667</v>
      </c>
      <c r="C296" s="906" t="s">
        <v>668</v>
      </c>
      <c r="D296" s="907" t="s">
        <v>669</v>
      </c>
      <c r="E296" s="906" t="s">
        <v>236</v>
      </c>
      <c r="F296" s="908">
        <v>2</v>
      </c>
      <c r="G296" s="670"/>
      <c r="H296" s="671"/>
      <c r="I296" s="671">
        <v>0</v>
      </c>
      <c r="J296" s="671">
        <v>0</v>
      </c>
      <c r="K296" s="671">
        <v>0</v>
      </c>
      <c r="L296" s="671">
        <v>0</v>
      </c>
      <c r="M296" s="666">
        <v>-7.1021031630576381E-2</v>
      </c>
      <c r="N296" s="666">
        <v>-0.19287650781801169</v>
      </c>
      <c r="O296" s="666">
        <v>-0.27802807895861292</v>
      </c>
      <c r="P296" s="666">
        <v>-0.28205419176334523</v>
      </c>
      <c r="Q296" s="666">
        <v>-0.27728893270731092</v>
      </c>
      <c r="R296" s="666">
        <v>-0.27500915850481178</v>
      </c>
      <c r="S296" s="666">
        <v>-0.27583049130389092</v>
      </c>
      <c r="T296" s="666">
        <v>-0.27972031433186118</v>
      </c>
      <c r="U296" s="666">
        <v>-0.2862904826005721</v>
      </c>
      <c r="V296" s="666">
        <v>-0.29670142550815193</v>
      </c>
      <c r="W296" s="666">
        <v>-0.35104847351277524</v>
      </c>
      <c r="X296" s="666">
        <v>-0.44770319785914392</v>
      </c>
      <c r="Y296" s="666">
        <v>-0.54554637345649937</v>
      </c>
      <c r="Z296" s="666">
        <v>-0.64459916899843073</v>
      </c>
      <c r="AA296" s="666">
        <v>-0.74489631063151407</v>
      </c>
      <c r="AB296" s="666">
        <v>-0.84646590156657808</v>
      </c>
      <c r="AC296" s="666">
        <v>-0.94935460987664211</v>
      </c>
      <c r="AD296" s="666">
        <v>-1.0535935895734125</v>
      </c>
      <c r="AE296" s="666">
        <v>-1.1592160530696294</v>
      </c>
      <c r="AF296" s="666">
        <v>-1.2662578031566056</v>
      </c>
      <c r="AG296" s="666">
        <v>-1.374738916837221</v>
      </c>
      <c r="AH296" s="666">
        <v>-1.4846959731779332</v>
      </c>
      <c r="AI296" s="666">
        <v>-1.5961596997814294</v>
      </c>
      <c r="AJ296" s="666">
        <v>-1.7091598581454104</v>
      </c>
      <c r="AK296" s="666">
        <v>-1.8237237479702388</v>
      </c>
      <c r="AL296" s="666"/>
      <c r="AM296" s="666"/>
      <c r="AN296" s="666"/>
      <c r="AO296" s="666"/>
      <c r="AP296" s="666"/>
      <c r="AQ296" s="666"/>
      <c r="AR296" s="666"/>
      <c r="AS296" s="666"/>
      <c r="AT296" s="666"/>
      <c r="AU296" s="666"/>
      <c r="AV296" s="666"/>
      <c r="AW296" s="666"/>
      <c r="AX296" s="666"/>
      <c r="AY296" s="666"/>
      <c r="AZ296" s="666"/>
      <c r="BA296" s="666"/>
      <c r="BB296" s="666"/>
      <c r="BC296" s="666"/>
      <c r="BD296" s="666"/>
      <c r="BE296" s="666"/>
      <c r="BF296" s="666"/>
      <c r="BG296" s="666"/>
      <c r="BH296" s="666"/>
      <c r="BI296" s="666"/>
      <c r="BJ296" s="666"/>
      <c r="BK296" s="666"/>
      <c r="BL296" s="666"/>
      <c r="BM296" s="666"/>
      <c r="BN296" s="666"/>
      <c r="BO296" s="666"/>
      <c r="BP296" s="666"/>
      <c r="BQ296" s="666"/>
      <c r="BR296" s="666"/>
      <c r="BS296" s="666"/>
      <c r="BT296" s="666"/>
      <c r="BU296" s="666"/>
      <c r="BV296" s="666"/>
      <c r="BW296" s="666"/>
      <c r="BX296" s="666"/>
      <c r="BY296" s="666"/>
      <c r="BZ296" s="666"/>
      <c r="CA296" s="666"/>
      <c r="CB296" s="666"/>
      <c r="CC296" s="666"/>
      <c r="CD296" s="666"/>
      <c r="CE296" s="666"/>
      <c r="CF296" s="666"/>
      <c r="CG296" s="666"/>
      <c r="CH296" s="666"/>
      <c r="CI296" s="666"/>
    </row>
    <row r="297" spans="2:89" ht="28.5" x14ac:dyDescent="0.2">
      <c r="B297" s="905" t="s">
        <v>670</v>
      </c>
      <c r="C297" s="906" t="s">
        <v>671</v>
      </c>
      <c r="D297" s="907" t="s">
        <v>672</v>
      </c>
      <c r="E297" s="906" t="s">
        <v>236</v>
      </c>
      <c r="F297" s="908">
        <v>2</v>
      </c>
      <c r="G297" s="670"/>
      <c r="H297" s="671"/>
      <c r="I297" s="671">
        <v>0</v>
      </c>
      <c r="J297" s="671">
        <v>0</v>
      </c>
      <c r="K297" s="671">
        <v>0</v>
      </c>
      <c r="L297" s="671">
        <v>0</v>
      </c>
      <c r="M297" s="666">
        <v>-0.21707665318429825</v>
      </c>
      <c r="N297" s="666">
        <v>-0.48494393803390379</v>
      </c>
      <c r="O297" s="666">
        <v>-0.67300403818610866</v>
      </c>
      <c r="P297" s="666">
        <v>-0.91739888678705439</v>
      </c>
      <c r="Q297" s="666">
        <v>-1.1855358743659403</v>
      </c>
      <c r="R297" s="666">
        <v>-1.4382990054776106</v>
      </c>
      <c r="S297" s="666">
        <v>-1.6739927729147528</v>
      </c>
      <c r="T297" s="666">
        <v>-1.903811572884714</v>
      </c>
      <c r="U297" s="666">
        <v>-2.1277554053874934</v>
      </c>
      <c r="V297" s="666">
        <v>-2.3458242704230918</v>
      </c>
      <c r="W297" s="666">
        <v>-2.4494105416308298</v>
      </c>
      <c r="X297" s="666">
        <v>-2.4427981479230692</v>
      </c>
      <c r="Y297" s="666">
        <v>-2.4361550323419885</v>
      </c>
      <c r="Z297" s="666">
        <v>-2.4294811948875883</v>
      </c>
      <c r="AA297" s="666">
        <v>-2.4227766355598681</v>
      </c>
      <c r="AB297" s="666">
        <v>-2.4160413543588275</v>
      </c>
      <c r="AC297" s="666">
        <v>-2.4092753512844673</v>
      </c>
      <c r="AD297" s="666">
        <v>-2.4024786263367872</v>
      </c>
      <c r="AE297" s="666">
        <v>-2.3956511795157871</v>
      </c>
      <c r="AF297" s="666">
        <v>-2.3887930108214666</v>
      </c>
      <c r="AG297" s="666">
        <v>-2.3819041202538274</v>
      </c>
      <c r="AH297" s="666">
        <v>-2.3749845078128669</v>
      </c>
      <c r="AI297" s="666">
        <v>-2.3680341734985872</v>
      </c>
      <c r="AJ297" s="666">
        <v>-2.3610531173109868</v>
      </c>
      <c r="AK297" s="666">
        <v>-2.3540413392500676</v>
      </c>
      <c r="AL297" s="666"/>
      <c r="AM297" s="666"/>
      <c r="AN297" s="666"/>
      <c r="AO297" s="666"/>
      <c r="AP297" s="666"/>
      <c r="AQ297" s="666"/>
      <c r="AR297" s="666"/>
      <c r="AS297" s="666"/>
      <c r="AT297" s="666"/>
      <c r="AU297" s="666"/>
      <c r="AV297" s="666"/>
      <c r="AW297" s="666"/>
      <c r="AX297" s="666"/>
      <c r="AY297" s="666"/>
      <c r="AZ297" s="666"/>
      <c r="BA297" s="666"/>
      <c r="BB297" s="666"/>
      <c r="BC297" s="666"/>
      <c r="BD297" s="666"/>
      <c r="BE297" s="666"/>
      <c r="BF297" s="666"/>
      <c r="BG297" s="666"/>
      <c r="BH297" s="666"/>
      <c r="BI297" s="666"/>
      <c r="BJ297" s="666"/>
      <c r="BK297" s="666"/>
      <c r="BL297" s="666"/>
      <c r="BM297" s="666"/>
      <c r="BN297" s="666"/>
      <c r="BO297" s="666"/>
      <c r="BP297" s="666"/>
      <c r="BQ297" s="666"/>
      <c r="BR297" s="666"/>
      <c r="BS297" s="666"/>
      <c r="BT297" s="666"/>
      <c r="BU297" s="666"/>
      <c r="BV297" s="666"/>
      <c r="BW297" s="666"/>
      <c r="BX297" s="666"/>
      <c r="BY297" s="666"/>
      <c r="BZ297" s="666"/>
      <c r="CA297" s="666"/>
      <c r="CB297" s="666"/>
      <c r="CC297" s="666"/>
      <c r="CD297" s="666"/>
      <c r="CE297" s="666"/>
      <c r="CF297" s="666"/>
      <c r="CG297" s="666"/>
      <c r="CH297" s="666"/>
      <c r="CI297" s="666"/>
    </row>
    <row r="298" spans="2:89" ht="28.5" x14ac:dyDescent="0.2">
      <c r="B298" s="905" t="s">
        <v>673</v>
      </c>
      <c r="C298" s="906" t="s">
        <v>674</v>
      </c>
      <c r="D298" s="907" t="s">
        <v>675</v>
      </c>
      <c r="E298" s="906" t="s">
        <v>236</v>
      </c>
      <c r="F298" s="908">
        <v>2</v>
      </c>
      <c r="G298" s="670"/>
      <c r="H298" s="671"/>
      <c r="I298" s="671">
        <v>0</v>
      </c>
      <c r="J298" s="671">
        <v>0</v>
      </c>
      <c r="K298" s="671">
        <v>0</v>
      </c>
      <c r="L298" s="671">
        <v>0</v>
      </c>
      <c r="M298" s="666">
        <v>-6.3423636791060112E-4</v>
      </c>
      <c r="N298" s="666">
        <v>-1.8252934904733342E-3</v>
      </c>
      <c r="O298" s="666">
        <v>-2.9593902354330126E-3</v>
      </c>
      <c r="P298" s="666">
        <v>-4.134397451704408E-3</v>
      </c>
      <c r="Q298" s="666">
        <v>-5.0747791990345403E-3</v>
      </c>
      <c r="R298" s="666">
        <v>-5.4937900680329665E-3</v>
      </c>
      <c r="S298" s="666">
        <v>-5.6465107632958089E-3</v>
      </c>
      <c r="T298" s="666">
        <v>-5.7992314585584293E-3</v>
      </c>
      <c r="U298" s="666">
        <v>-5.9519521538213827E-3</v>
      </c>
      <c r="V298" s="666">
        <v>-6.104672849083892E-3</v>
      </c>
      <c r="W298" s="666">
        <v>-6.1697224043267829E-3</v>
      </c>
      <c r="X298" s="666">
        <v>-6.1471008195499444E-3</v>
      </c>
      <c r="Y298" s="666">
        <v>-6.1244792347731059E-3</v>
      </c>
      <c r="Z298" s="666">
        <v>-6.1018576499960453E-3</v>
      </c>
      <c r="AA298" s="666">
        <v>-6.0792360652195399E-3</v>
      </c>
      <c r="AB298" s="666">
        <v>-6.0566144804424793E-3</v>
      </c>
      <c r="AC298" s="666">
        <v>-6.0339928956656408E-3</v>
      </c>
      <c r="AD298" s="666">
        <v>-6.0113713108888023E-3</v>
      </c>
      <c r="AE298" s="666">
        <v>-5.9887497261119638E-3</v>
      </c>
      <c r="AF298" s="666">
        <v>-5.9661281413351253E-3</v>
      </c>
      <c r="AG298" s="666">
        <v>-5.9435065565582867E-3</v>
      </c>
      <c r="AH298" s="666">
        <v>-5.9208849717813372E-3</v>
      </c>
      <c r="AI298" s="666">
        <v>-5.8982633870043877E-3</v>
      </c>
      <c r="AJ298" s="666">
        <v>-5.8756418022274381E-3</v>
      </c>
      <c r="AK298" s="666">
        <v>-5.8530202174507107E-3</v>
      </c>
      <c r="AL298" s="666"/>
      <c r="AM298" s="666"/>
      <c r="AN298" s="666"/>
      <c r="AO298" s="666"/>
      <c r="AP298" s="666"/>
      <c r="AQ298" s="666"/>
      <c r="AR298" s="666"/>
      <c r="AS298" s="666"/>
      <c r="AT298" s="666"/>
      <c r="AU298" s="666"/>
      <c r="AV298" s="666"/>
      <c r="AW298" s="666"/>
      <c r="AX298" s="666"/>
      <c r="AY298" s="666"/>
      <c r="AZ298" s="666"/>
      <c r="BA298" s="666"/>
      <c r="BB298" s="666"/>
      <c r="BC298" s="666"/>
      <c r="BD298" s="666"/>
      <c r="BE298" s="666"/>
      <c r="BF298" s="666"/>
      <c r="BG298" s="666"/>
      <c r="BH298" s="666"/>
      <c r="BI298" s="666"/>
      <c r="BJ298" s="666"/>
      <c r="BK298" s="666"/>
      <c r="BL298" s="666"/>
      <c r="BM298" s="666"/>
      <c r="BN298" s="666"/>
      <c r="BO298" s="666"/>
      <c r="BP298" s="666"/>
      <c r="BQ298" s="666"/>
      <c r="BR298" s="666"/>
      <c r="BS298" s="666"/>
      <c r="BT298" s="666"/>
      <c r="BU298" s="666"/>
      <c r="BV298" s="666"/>
      <c r="BW298" s="666"/>
      <c r="BX298" s="666"/>
      <c r="BY298" s="666"/>
      <c r="BZ298" s="666"/>
      <c r="CA298" s="666"/>
      <c r="CB298" s="666"/>
      <c r="CC298" s="666"/>
      <c r="CD298" s="666"/>
      <c r="CE298" s="666"/>
      <c r="CF298" s="666"/>
      <c r="CG298" s="666"/>
      <c r="CH298" s="666"/>
      <c r="CI298" s="666"/>
    </row>
    <row r="299" spans="2:89" x14ac:dyDescent="0.2">
      <c r="B299" s="927" t="s">
        <v>676</v>
      </c>
      <c r="C299" s="928" t="s">
        <v>677</v>
      </c>
      <c r="D299" s="928" t="s">
        <v>678</v>
      </c>
      <c r="E299" s="928" t="s">
        <v>236</v>
      </c>
      <c r="F299" s="929">
        <v>2</v>
      </c>
      <c r="G299" s="695"/>
      <c r="H299" s="671"/>
      <c r="I299" s="671">
        <v>0</v>
      </c>
      <c r="J299" s="671">
        <v>0</v>
      </c>
      <c r="K299" s="671">
        <v>0</v>
      </c>
      <c r="L299" s="671">
        <v>0</v>
      </c>
      <c r="M299" s="696">
        <v>-0.20073762673171558</v>
      </c>
      <c r="N299" s="696">
        <v>-0.29801494813901996</v>
      </c>
      <c r="O299" s="696">
        <v>-0.51191100626656549</v>
      </c>
      <c r="P299" s="696">
        <v>-0.75059362418681985</v>
      </c>
      <c r="Q299" s="696">
        <v>-0.97522665298276934</v>
      </c>
      <c r="R299" s="696">
        <v>-1.2145459467451332</v>
      </c>
      <c r="S299" s="696">
        <v>-1.4687096962615058</v>
      </c>
      <c r="T299" s="696">
        <v>-1.7256591258397194</v>
      </c>
      <c r="U299" s="696">
        <v>-1.9857823804679029</v>
      </c>
      <c r="V299" s="696">
        <v>-2.2479190307479442</v>
      </c>
      <c r="W299" s="696">
        <v>-2.5806751697819195</v>
      </c>
      <c r="X299" s="696">
        <v>-2.9813902851822078</v>
      </c>
      <c r="Y299" s="696">
        <v>-3.3809279878573832</v>
      </c>
      <c r="Z299" s="696">
        <v>-3.7792671091138459</v>
      </c>
      <c r="AA299" s="696">
        <v>-4.1763729228050295</v>
      </c>
      <c r="AB299" s="696">
        <v>-4.5722173257201035</v>
      </c>
      <c r="AC299" s="696">
        <v>-4.9667536497860567</v>
      </c>
      <c r="AD299" s="696">
        <v>-5.3599507409911631</v>
      </c>
      <c r="AE299" s="696">
        <v>-5.751775386922688</v>
      </c>
      <c r="AF299" s="696">
        <v>-6.1421917847893326</v>
      </c>
      <c r="AG299" s="696">
        <v>-6.5311798575882065</v>
      </c>
      <c r="AH299" s="696">
        <v>-6.9187030262528495</v>
      </c>
      <c r="AI299" s="696">
        <v>-7.304730563180577</v>
      </c>
      <c r="AJ299" s="696">
        <v>-7.689232706873689</v>
      </c>
      <c r="AK299" s="696">
        <v>-8.0721821576318078</v>
      </c>
      <c r="AL299" s="696"/>
      <c r="AM299" s="696"/>
      <c r="AN299" s="696"/>
      <c r="AO299" s="696"/>
      <c r="AP299" s="696"/>
      <c r="AQ299" s="696"/>
      <c r="AR299" s="696"/>
      <c r="AS299" s="696"/>
      <c r="AT299" s="696"/>
      <c r="AU299" s="696"/>
      <c r="AV299" s="696"/>
      <c r="AW299" s="696"/>
      <c r="AX299" s="696"/>
      <c r="AY299" s="696"/>
      <c r="AZ299" s="696"/>
      <c r="BA299" s="696"/>
      <c r="BB299" s="696"/>
      <c r="BC299" s="696"/>
      <c r="BD299" s="696"/>
      <c r="BE299" s="696"/>
      <c r="BF299" s="696"/>
      <c r="BG299" s="696"/>
      <c r="BH299" s="696"/>
      <c r="BI299" s="696"/>
      <c r="BJ299" s="696"/>
      <c r="BK299" s="696"/>
      <c r="BL299" s="696"/>
      <c r="BM299" s="696"/>
      <c r="BN299" s="696"/>
      <c r="BO299" s="696"/>
      <c r="BP299" s="696"/>
      <c r="BQ299" s="696"/>
      <c r="BR299" s="696"/>
      <c r="BS299" s="696"/>
      <c r="BT299" s="696"/>
      <c r="BU299" s="696"/>
      <c r="BV299" s="696"/>
      <c r="BW299" s="696"/>
      <c r="BX299" s="696"/>
      <c r="BY299" s="696"/>
      <c r="BZ299" s="696"/>
      <c r="CA299" s="696"/>
      <c r="CB299" s="696"/>
      <c r="CC299" s="696"/>
      <c r="CD299" s="696"/>
      <c r="CE299" s="696"/>
      <c r="CF299" s="696"/>
      <c r="CG299" s="696"/>
      <c r="CH299" s="696"/>
      <c r="CI299" s="696"/>
    </row>
    <row r="300" spans="2:89" ht="15.75" thickBot="1" x14ac:dyDescent="0.25">
      <c r="B300" s="704"/>
      <c r="C300" s="704"/>
      <c r="D300" s="704"/>
      <c r="E300" s="704"/>
      <c r="F300" s="653"/>
      <c r="G300" s="654"/>
      <c r="H300" s="654"/>
      <c r="I300" s="654"/>
      <c r="J300" s="654"/>
      <c r="K300" s="654"/>
      <c r="L300" s="654"/>
      <c r="M300" s="654"/>
      <c r="N300" s="654"/>
      <c r="O300" s="654"/>
      <c r="P300" s="654"/>
      <c r="Q300" s="654"/>
      <c r="R300" s="654"/>
      <c r="S300" s="654"/>
      <c r="T300" s="654"/>
      <c r="U300" s="654"/>
      <c r="V300" s="654"/>
      <c r="W300" s="654"/>
      <c r="X300" s="654"/>
      <c r="Y300" s="654"/>
      <c r="Z300" s="654"/>
      <c r="AA300" s="654"/>
      <c r="AB300" s="654"/>
      <c r="AC300" s="654"/>
      <c r="AD300" s="654"/>
      <c r="AE300" s="654"/>
      <c r="AF300" s="654"/>
      <c r="AG300" s="654"/>
      <c r="AH300" s="654"/>
      <c r="AI300" s="654"/>
      <c r="AJ300" s="654"/>
      <c r="AK300" s="654"/>
      <c r="AL300" s="654"/>
      <c r="AM300" s="654"/>
      <c r="AN300" s="654"/>
      <c r="AO300" s="654"/>
      <c r="AP300" s="654"/>
      <c r="AQ300" s="654"/>
      <c r="AR300" s="654"/>
      <c r="AS300" s="654"/>
      <c r="AT300" s="654"/>
      <c r="AU300" s="654"/>
      <c r="AV300" s="654"/>
      <c r="AW300" s="654"/>
      <c r="AX300" s="654"/>
      <c r="AY300" s="654"/>
      <c r="AZ300" s="654"/>
      <c r="BA300" s="654"/>
      <c r="BB300" s="654"/>
      <c r="BC300" s="654"/>
      <c r="BD300" s="654"/>
      <c r="BE300" s="654"/>
      <c r="BF300" s="654"/>
      <c r="BG300" s="654"/>
      <c r="BH300" s="654"/>
      <c r="BI300" s="654"/>
      <c r="BJ300" s="654"/>
      <c r="BK300" s="654"/>
      <c r="BL300" s="654"/>
      <c r="BM300" s="654"/>
      <c r="BN300" s="654"/>
      <c r="BO300" s="654"/>
      <c r="BP300" s="654"/>
      <c r="BQ300" s="654"/>
      <c r="BR300" s="654"/>
      <c r="BS300" s="654"/>
      <c r="BT300" s="654"/>
      <c r="BU300" s="654"/>
      <c r="BV300" s="654"/>
      <c r="BW300" s="654"/>
      <c r="BX300" s="654"/>
      <c r="BY300" s="654"/>
      <c r="BZ300" s="654"/>
      <c r="CA300" s="654"/>
      <c r="CB300" s="654"/>
      <c r="CC300" s="654"/>
      <c r="CD300" s="654"/>
      <c r="CE300" s="654"/>
      <c r="CF300" s="654"/>
      <c r="CG300" s="654"/>
      <c r="CH300" s="654"/>
      <c r="CI300" s="654"/>
      <c r="CJ300" s="1071"/>
    </row>
    <row r="301" spans="2:89" ht="45.75" thickBot="1" x14ac:dyDescent="0.25">
      <c r="B301" s="891" t="s">
        <v>443</v>
      </c>
      <c r="C301" s="1306" t="s">
        <v>204</v>
      </c>
      <c r="D301" s="523"/>
      <c r="E301" s="523"/>
      <c r="F301" s="523"/>
      <c r="G301" s="523"/>
      <c r="H301" s="523"/>
      <c r="I301" s="523"/>
      <c r="J301" s="523"/>
      <c r="K301" s="523"/>
      <c r="L301" s="523"/>
      <c r="M301" s="523"/>
      <c r="N301" s="523"/>
      <c r="O301" s="523"/>
      <c r="P301" s="523"/>
      <c r="Q301" s="523"/>
      <c r="R301" s="523"/>
      <c r="S301" s="523"/>
      <c r="T301" s="523"/>
      <c r="U301" s="523"/>
      <c r="V301" s="523"/>
      <c r="W301" s="523"/>
      <c r="X301" s="523"/>
      <c r="Y301" s="523"/>
      <c r="Z301" s="523"/>
      <c r="AA301" s="523"/>
      <c r="AB301" s="523"/>
      <c r="AC301" s="523"/>
      <c r="AD301" s="523"/>
      <c r="AE301" s="523"/>
      <c r="AF301" s="523"/>
      <c r="AG301" s="523"/>
      <c r="AH301" s="523"/>
      <c r="AI301" s="523"/>
      <c r="AJ301" s="523"/>
      <c r="AK301" s="523"/>
      <c r="AL301" s="523"/>
      <c r="AM301" s="523"/>
      <c r="AN301" s="523"/>
      <c r="AO301" s="523"/>
      <c r="AP301" s="523"/>
      <c r="AQ301" s="523"/>
      <c r="AR301" s="523"/>
      <c r="AS301" s="523"/>
      <c r="AT301" s="523"/>
      <c r="AU301" s="523"/>
      <c r="AV301" s="523"/>
      <c r="AW301" s="523"/>
      <c r="AX301" s="523"/>
      <c r="AY301" s="523"/>
      <c r="AZ301" s="523"/>
      <c r="BA301" s="523"/>
      <c r="BB301" s="523"/>
      <c r="BC301" s="523"/>
      <c r="BD301" s="523"/>
      <c r="BE301" s="523"/>
      <c r="BF301" s="523"/>
      <c r="BG301" s="523"/>
      <c r="BH301" s="523"/>
      <c r="BI301" s="523"/>
      <c r="BJ301" s="523"/>
      <c r="BK301" s="523"/>
      <c r="BL301" s="523"/>
      <c r="BM301" s="523"/>
      <c r="BN301" s="523"/>
      <c r="BO301" s="523"/>
      <c r="BP301" s="523"/>
      <c r="BQ301" s="523"/>
      <c r="BR301" s="523"/>
      <c r="BS301" s="523"/>
      <c r="BT301" s="523"/>
      <c r="BU301" s="523"/>
      <c r="BV301" s="523"/>
      <c r="BW301" s="523"/>
      <c r="BX301" s="523"/>
      <c r="BY301" s="523"/>
      <c r="BZ301" s="523"/>
      <c r="CA301" s="523"/>
      <c r="CB301" s="523"/>
      <c r="CC301" s="523"/>
      <c r="CD301" s="523"/>
      <c r="CE301" s="523"/>
      <c r="CF301" s="523"/>
      <c r="CG301" s="523"/>
      <c r="CH301" s="523"/>
      <c r="CI301" s="523"/>
    </row>
    <row r="302" spans="2:89" ht="30.75" thickBot="1" x14ac:dyDescent="0.25">
      <c r="B302" s="930" t="s">
        <v>446</v>
      </c>
      <c r="C302" s="931" t="s">
        <v>205</v>
      </c>
      <c r="D302" s="931" t="s">
        <v>71</v>
      </c>
      <c r="E302" s="931" t="s">
        <v>206</v>
      </c>
      <c r="F302" s="932" t="s">
        <v>207</v>
      </c>
      <c r="G302" s="930" t="s">
        <v>208</v>
      </c>
      <c r="H302" s="930" t="s">
        <v>209</v>
      </c>
      <c r="I302" s="930" t="s">
        <v>210</v>
      </c>
      <c r="J302" s="930" t="s">
        <v>211</v>
      </c>
      <c r="K302" s="930" t="s">
        <v>212</v>
      </c>
      <c r="L302" s="930" t="s">
        <v>213</v>
      </c>
      <c r="M302" s="931" t="s">
        <v>214</v>
      </c>
      <c r="N302" s="931" t="s">
        <v>215</v>
      </c>
      <c r="O302" s="931" t="s">
        <v>216</v>
      </c>
      <c r="P302" s="931" t="s">
        <v>217</v>
      </c>
      <c r="Q302" s="931" t="s">
        <v>218</v>
      </c>
      <c r="R302" s="931" t="s">
        <v>247</v>
      </c>
      <c r="S302" s="931" t="s">
        <v>248</v>
      </c>
      <c r="T302" s="931" t="s">
        <v>249</v>
      </c>
      <c r="U302" s="931" t="s">
        <v>250</v>
      </c>
      <c r="V302" s="931" t="s">
        <v>219</v>
      </c>
      <c r="W302" s="931" t="s">
        <v>251</v>
      </c>
      <c r="X302" s="931" t="s">
        <v>252</v>
      </c>
      <c r="Y302" s="931" t="s">
        <v>253</v>
      </c>
      <c r="Z302" s="931" t="s">
        <v>254</v>
      </c>
      <c r="AA302" s="931" t="s">
        <v>220</v>
      </c>
      <c r="AB302" s="931" t="s">
        <v>255</v>
      </c>
      <c r="AC302" s="931" t="s">
        <v>256</v>
      </c>
      <c r="AD302" s="931" t="s">
        <v>257</v>
      </c>
      <c r="AE302" s="931" t="s">
        <v>258</v>
      </c>
      <c r="AF302" s="931" t="s">
        <v>221</v>
      </c>
      <c r="AG302" s="931" t="s">
        <v>259</v>
      </c>
      <c r="AH302" s="931" t="s">
        <v>260</v>
      </c>
      <c r="AI302" s="931" t="s">
        <v>261</v>
      </c>
      <c r="AJ302" s="931" t="s">
        <v>262</v>
      </c>
      <c r="AK302" s="931" t="s">
        <v>222</v>
      </c>
      <c r="AL302" s="931" t="s">
        <v>263</v>
      </c>
      <c r="AM302" s="931" t="s">
        <v>264</v>
      </c>
      <c r="AN302" s="931" t="s">
        <v>265</v>
      </c>
      <c r="AO302" s="931" t="s">
        <v>266</v>
      </c>
      <c r="AP302" s="931" t="s">
        <v>223</v>
      </c>
      <c r="AQ302" s="931" t="s">
        <v>267</v>
      </c>
      <c r="AR302" s="931" t="s">
        <v>268</v>
      </c>
      <c r="AS302" s="931" t="s">
        <v>269</v>
      </c>
      <c r="AT302" s="931" t="s">
        <v>270</v>
      </c>
      <c r="AU302" s="931" t="s">
        <v>224</v>
      </c>
      <c r="AV302" s="931" t="s">
        <v>271</v>
      </c>
      <c r="AW302" s="931" t="s">
        <v>272</v>
      </c>
      <c r="AX302" s="931" t="s">
        <v>273</v>
      </c>
      <c r="AY302" s="931" t="s">
        <v>274</v>
      </c>
      <c r="AZ302" s="931" t="s">
        <v>225</v>
      </c>
      <c r="BA302" s="931" t="s">
        <v>275</v>
      </c>
      <c r="BB302" s="931" t="s">
        <v>276</v>
      </c>
      <c r="BC302" s="931" t="s">
        <v>277</v>
      </c>
      <c r="BD302" s="931" t="s">
        <v>278</v>
      </c>
      <c r="BE302" s="931" t="s">
        <v>226</v>
      </c>
      <c r="BF302" s="931" t="s">
        <v>279</v>
      </c>
      <c r="BG302" s="931" t="s">
        <v>280</v>
      </c>
      <c r="BH302" s="931" t="s">
        <v>281</v>
      </c>
      <c r="BI302" s="931" t="s">
        <v>282</v>
      </c>
      <c r="BJ302" s="931" t="s">
        <v>227</v>
      </c>
      <c r="BK302" s="931" t="s">
        <v>283</v>
      </c>
      <c r="BL302" s="931" t="s">
        <v>284</v>
      </c>
      <c r="BM302" s="931" t="s">
        <v>285</v>
      </c>
      <c r="BN302" s="931" t="s">
        <v>286</v>
      </c>
      <c r="BO302" s="931" t="s">
        <v>228</v>
      </c>
      <c r="BP302" s="931" t="s">
        <v>287</v>
      </c>
      <c r="BQ302" s="931" t="s">
        <v>288</v>
      </c>
      <c r="BR302" s="931" t="s">
        <v>289</v>
      </c>
      <c r="BS302" s="931" t="s">
        <v>290</v>
      </c>
      <c r="BT302" s="931" t="s">
        <v>229</v>
      </c>
      <c r="BU302" s="931" t="s">
        <v>291</v>
      </c>
      <c r="BV302" s="931" t="s">
        <v>292</v>
      </c>
      <c r="BW302" s="931" t="s">
        <v>293</v>
      </c>
      <c r="BX302" s="931" t="s">
        <v>294</v>
      </c>
      <c r="BY302" s="931" t="s">
        <v>230</v>
      </c>
      <c r="BZ302" s="931" t="s">
        <v>295</v>
      </c>
      <c r="CA302" s="931" t="s">
        <v>296</v>
      </c>
      <c r="CB302" s="931" t="s">
        <v>297</v>
      </c>
      <c r="CC302" s="931" t="s">
        <v>298</v>
      </c>
      <c r="CD302" s="931" t="s">
        <v>231</v>
      </c>
      <c r="CE302" s="931" t="s">
        <v>299</v>
      </c>
      <c r="CF302" s="931" t="s">
        <v>300</v>
      </c>
      <c r="CG302" s="931" t="s">
        <v>301</v>
      </c>
      <c r="CH302" s="931" t="s">
        <v>302</v>
      </c>
      <c r="CI302" s="932" t="s">
        <v>232</v>
      </c>
      <c r="CK302" s="1296"/>
    </row>
    <row r="303" spans="2:89" x14ac:dyDescent="0.2">
      <c r="B303" s="933" t="s">
        <v>679</v>
      </c>
      <c r="C303" s="934" t="s">
        <v>448</v>
      </c>
      <c r="D303" s="925" t="s">
        <v>86</v>
      </c>
      <c r="E303" s="935" t="s">
        <v>236</v>
      </c>
      <c r="F303" s="936">
        <v>2</v>
      </c>
      <c r="G303" s="532"/>
      <c r="H303" s="593"/>
      <c r="I303" s="593">
        <v>474.28972905191324</v>
      </c>
      <c r="J303" s="593">
        <v>465.69759271671808</v>
      </c>
      <c r="K303" s="593">
        <v>465.46181193543936</v>
      </c>
      <c r="L303" s="593">
        <v>459.37447811980314</v>
      </c>
      <c r="M303" s="594">
        <v>455.70028266966483</v>
      </c>
      <c r="N303" s="594">
        <v>452.25122147085926</v>
      </c>
      <c r="O303" s="594">
        <v>448.27117071242282</v>
      </c>
      <c r="P303" s="594">
        <v>445.46180296344198</v>
      </c>
      <c r="Q303" s="594">
        <v>442.3994141965739</v>
      </c>
      <c r="R303" s="594">
        <v>439.15849160099964</v>
      </c>
      <c r="S303" s="594">
        <v>435.43128333879565</v>
      </c>
      <c r="T303" s="594">
        <v>432.1826279044522</v>
      </c>
      <c r="U303" s="594">
        <v>428.14401682371931</v>
      </c>
      <c r="V303" s="594">
        <v>424.12329730680727</v>
      </c>
      <c r="W303" s="594">
        <v>421.08316329180138</v>
      </c>
      <c r="X303" s="594">
        <v>418.30804978538231</v>
      </c>
      <c r="Y303" s="594">
        <v>415.6223924430862</v>
      </c>
      <c r="Z303" s="594">
        <v>413.11858651859131</v>
      </c>
      <c r="AA303" s="594">
        <v>411.1473143564981</v>
      </c>
      <c r="AB303" s="594">
        <v>409.05920935558703</v>
      </c>
      <c r="AC303" s="594">
        <v>407.0844276556823</v>
      </c>
      <c r="AD303" s="594">
        <v>405.19524027915816</v>
      </c>
      <c r="AE303" s="594">
        <v>404.19543094783324</v>
      </c>
      <c r="AF303" s="594">
        <v>403.2851522570125</v>
      </c>
      <c r="AG303" s="594">
        <v>404.12840380314736</v>
      </c>
      <c r="AH303" s="594">
        <v>404.99986854369814</v>
      </c>
      <c r="AI303" s="594">
        <v>405.85663189958916</v>
      </c>
      <c r="AJ303" s="594">
        <v>406.78739581118077</v>
      </c>
      <c r="AK303" s="594">
        <v>407.72367905396646</v>
      </c>
      <c r="AL303" s="594"/>
      <c r="AM303" s="594"/>
      <c r="AN303" s="594"/>
      <c r="AO303" s="594"/>
      <c r="AP303" s="594"/>
      <c r="AQ303" s="594"/>
      <c r="AR303" s="594"/>
      <c r="AS303" s="594"/>
      <c r="AT303" s="594"/>
      <c r="AU303" s="594"/>
      <c r="AV303" s="594"/>
      <c r="AW303" s="594"/>
      <c r="AX303" s="594"/>
      <c r="AY303" s="594"/>
      <c r="AZ303" s="594"/>
      <c r="BA303" s="594"/>
      <c r="BB303" s="594"/>
      <c r="BC303" s="594"/>
      <c r="BD303" s="594"/>
      <c r="BE303" s="594"/>
      <c r="BF303" s="594"/>
      <c r="BG303" s="594"/>
      <c r="BH303" s="594"/>
      <c r="BI303" s="594"/>
      <c r="BJ303" s="594"/>
      <c r="BK303" s="594"/>
      <c r="BL303" s="594"/>
      <c r="BM303" s="594"/>
      <c r="BN303" s="594"/>
      <c r="BO303" s="594"/>
      <c r="BP303" s="594"/>
      <c r="BQ303" s="594"/>
      <c r="BR303" s="594"/>
      <c r="BS303" s="594"/>
      <c r="BT303" s="594"/>
      <c r="BU303" s="594"/>
      <c r="BV303" s="594"/>
      <c r="BW303" s="594"/>
      <c r="BX303" s="594"/>
      <c r="BY303" s="594"/>
      <c r="BZ303" s="594"/>
      <c r="CA303" s="594"/>
      <c r="CB303" s="594"/>
      <c r="CC303" s="594"/>
      <c r="CD303" s="594"/>
      <c r="CE303" s="594"/>
      <c r="CF303" s="594"/>
      <c r="CG303" s="594"/>
      <c r="CH303" s="594"/>
      <c r="CI303" s="594"/>
      <c r="CK303" s="1296"/>
    </row>
    <row r="304" spans="2:89" x14ac:dyDescent="0.2">
      <c r="B304" s="937" t="s">
        <v>680</v>
      </c>
      <c r="C304" s="904" t="s">
        <v>681</v>
      </c>
      <c r="D304" s="907" t="s">
        <v>682</v>
      </c>
      <c r="E304" s="938" t="s">
        <v>236</v>
      </c>
      <c r="F304" s="939">
        <v>2</v>
      </c>
      <c r="G304" s="798">
        <f t="shared" ref="G304:AK307" si="134">G206+G276</f>
        <v>0</v>
      </c>
      <c r="H304" s="798">
        <f t="shared" si="134"/>
        <v>0</v>
      </c>
      <c r="I304" s="798">
        <f t="shared" si="134"/>
        <v>0</v>
      </c>
      <c r="J304" s="798">
        <f t="shared" si="134"/>
        <v>0</v>
      </c>
      <c r="K304" s="798">
        <f t="shared" si="134"/>
        <v>0</v>
      </c>
      <c r="L304" s="798">
        <f t="shared" si="134"/>
        <v>0</v>
      </c>
      <c r="M304" s="798">
        <f t="shared" si="134"/>
        <v>0</v>
      </c>
      <c r="N304" s="798">
        <f t="shared" si="134"/>
        <v>0</v>
      </c>
      <c r="O304" s="798">
        <f t="shared" si="134"/>
        <v>0</v>
      </c>
      <c r="P304" s="798">
        <f t="shared" si="134"/>
        <v>0</v>
      </c>
      <c r="Q304" s="798">
        <f t="shared" si="134"/>
        <v>0</v>
      </c>
      <c r="R304" s="798">
        <f t="shared" si="134"/>
        <v>0</v>
      </c>
      <c r="S304" s="798">
        <f t="shared" si="134"/>
        <v>0</v>
      </c>
      <c r="T304" s="798">
        <f t="shared" si="134"/>
        <v>0</v>
      </c>
      <c r="U304" s="798">
        <f t="shared" si="134"/>
        <v>0</v>
      </c>
      <c r="V304" s="798">
        <f t="shared" si="134"/>
        <v>0</v>
      </c>
      <c r="W304" s="798">
        <f t="shared" si="134"/>
        <v>0</v>
      </c>
      <c r="X304" s="798">
        <f t="shared" si="134"/>
        <v>0</v>
      </c>
      <c r="Y304" s="798">
        <f t="shared" si="134"/>
        <v>0</v>
      </c>
      <c r="Z304" s="798">
        <f t="shared" si="134"/>
        <v>0</v>
      </c>
      <c r="AA304" s="798">
        <f t="shared" si="134"/>
        <v>0</v>
      </c>
      <c r="AB304" s="798">
        <f t="shared" si="134"/>
        <v>0</v>
      </c>
      <c r="AC304" s="798">
        <f t="shared" si="134"/>
        <v>0</v>
      </c>
      <c r="AD304" s="798">
        <f t="shared" si="134"/>
        <v>0</v>
      </c>
      <c r="AE304" s="798">
        <f t="shared" si="134"/>
        <v>0</v>
      </c>
      <c r="AF304" s="798">
        <f t="shared" si="134"/>
        <v>0</v>
      </c>
      <c r="AG304" s="798">
        <f t="shared" si="134"/>
        <v>0</v>
      </c>
      <c r="AH304" s="798">
        <f t="shared" si="134"/>
        <v>0</v>
      </c>
      <c r="AI304" s="798">
        <f t="shared" si="134"/>
        <v>0</v>
      </c>
      <c r="AJ304" s="798">
        <f t="shared" si="134"/>
        <v>0</v>
      </c>
      <c r="AK304" s="798">
        <f t="shared" si="134"/>
        <v>0</v>
      </c>
      <c r="AL304" s="798"/>
      <c r="AM304" s="798"/>
      <c r="AN304" s="798"/>
      <c r="AO304" s="798"/>
      <c r="AP304" s="798"/>
      <c r="AQ304" s="798"/>
      <c r="AR304" s="798"/>
      <c r="AS304" s="798"/>
      <c r="AT304" s="798"/>
      <c r="AU304" s="798"/>
      <c r="AV304" s="798"/>
      <c r="AW304" s="798"/>
      <c r="AX304" s="798"/>
      <c r="AY304" s="798"/>
      <c r="AZ304" s="798"/>
      <c r="BA304" s="798"/>
      <c r="BB304" s="798"/>
      <c r="BC304" s="798"/>
      <c r="BD304" s="798"/>
      <c r="BE304" s="798"/>
      <c r="BF304" s="798"/>
      <c r="BG304" s="798"/>
      <c r="BH304" s="798"/>
      <c r="BI304" s="798"/>
      <c r="BJ304" s="798"/>
      <c r="BK304" s="798"/>
      <c r="BL304" s="798"/>
      <c r="BM304" s="798"/>
      <c r="BN304" s="798"/>
      <c r="BO304" s="798"/>
      <c r="BP304" s="798"/>
      <c r="BQ304" s="798"/>
      <c r="BR304" s="798"/>
      <c r="BS304" s="798"/>
      <c r="BT304" s="798"/>
      <c r="BU304" s="798"/>
      <c r="BV304" s="798"/>
      <c r="BW304" s="798"/>
      <c r="BX304" s="798"/>
      <c r="BY304" s="798"/>
      <c r="BZ304" s="798"/>
      <c r="CA304" s="798"/>
      <c r="CB304" s="798"/>
      <c r="CC304" s="798"/>
      <c r="CD304" s="798"/>
      <c r="CE304" s="798"/>
      <c r="CF304" s="798"/>
      <c r="CG304" s="798"/>
      <c r="CH304" s="798"/>
      <c r="CI304" s="719"/>
      <c r="CK304" s="1296"/>
    </row>
    <row r="305" spans="2:89" x14ac:dyDescent="0.2">
      <c r="B305" s="937" t="s">
        <v>683</v>
      </c>
      <c r="C305" s="904" t="s">
        <v>452</v>
      </c>
      <c r="D305" s="907" t="s">
        <v>684</v>
      </c>
      <c r="E305" s="938" t="s">
        <v>236</v>
      </c>
      <c r="F305" s="939">
        <v>2</v>
      </c>
      <c r="G305" s="569">
        <f t="shared" si="134"/>
        <v>0</v>
      </c>
      <c r="H305" s="569">
        <f t="shared" si="134"/>
        <v>0</v>
      </c>
      <c r="I305" s="569">
        <f t="shared" si="134"/>
        <v>0</v>
      </c>
      <c r="J305" s="569">
        <f t="shared" si="134"/>
        <v>0</v>
      </c>
      <c r="K305" s="569">
        <f t="shared" si="134"/>
        <v>0</v>
      </c>
      <c r="L305" s="569">
        <f t="shared" si="134"/>
        <v>0</v>
      </c>
      <c r="M305" s="718">
        <f t="shared" si="134"/>
        <v>0</v>
      </c>
      <c r="N305" s="718">
        <f t="shared" si="134"/>
        <v>0</v>
      </c>
      <c r="O305" s="718">
        <f t="shared" si="134"/>
        <v>0</v>
      </c>
      <c r="P305" s="718">
        <f t="shared" si="134"/>
        <v>0</v>
      </c>
      <c r="Q305" s="718">
        <f t="shared" si="134"/>
        <v>0</v>
      </c>
      <c r="R305" s="718">
        <f t="shared" si="134"/>
        <v>0</v>
      </c>
      <c r="S305" s="718">
        <f t="shared" si="134"/>
        <v>0</v>
      </c>
      <c r="T305" s="718">
        <f t="shared" si="134"/>
        <v>0</v>
      </c>
      <c r="U305" s="718">
        <f t="shared" si="134"/>
        <v>0</v>
      </c>
      <c r="V305" s="718">
        <f t="shared" si="134"/>
        <v>0</v>
      </c>
      <c r="W305" s="718">
        <f t="shared" si="134"/>
        <v>0</v>
      </c>
      <c r="X305" s="718">
        <f t="shared" si="134"/>
        <v>0</v>
      </c>
      <c r="Y305" s="718">
        <f t="shared" si="134"/>
        <v>0</v>
      </c>
      <c r="Z305" s="718">
        <f t="shared" si="134"/>
        <v>0</v>
      </c>
      <c r="AA305" s="718">
        <f t="shared" si="134"/>
        <v>0</v>
      </c>
      <c r="AB305" s="718">
        <f t="shared" si="134"/>
        <v>0</v>
      </c>
      <c r="AC305" s="718">
        <f t="shared" si="134"/>
        <v>0</v>
      </c>
      <c r="AD305" s="718">
        <f t="shared" si="134"/>
        <v>0</v>
      </c>
      <c r="AE305" s="718">
        <f t="shared" si="134"/>
        <v>0</v>
      </c>
      <c r="AF305" s="718">
        <f t="shared" si="134"/>
        <v>0</v>
      </c>
      <c r="AG305" s="718">
        <f t="shared" si="134"/>
        <v>0</v>
      </c>
      <c r="AH305" s="718">
        <f t="shared" si="134"/>
        <v>0</v>
      </c>
      <c r="AI305" s="718">
        <f t="shared" si="134"/>
        <v>0</v>
      </c>
      <c r="AJ305" s="718">
        <f t="shared" si="134"/>
        <v>0</v>
      </c>
      <c r="AK305" s="718">
        <f t="shared" si="134"/>
        <v>0</v>
      </c>
      <c r="AL305" s="718"/>
      <c r="AM305" s="718"/>
      <c r="AN305" s="718"/>
      <c r="AO305" s="718"/>
      <c r="AP305" s="718"/>
      <c r="AQ305" s="718"/>
      <c r="AR305" s="718"/>
      <c r="AS305" s="718"/>
      <c r="AT305" s="718"/>
      <c r="AU305" s="718"/>
      <c r="AV305" s="718"/>
      <c r="AW305" s="718"/>
      <c r="AX305" s="718"/>
      <c r="AY305" s="718"/>
      <c r="AZ305" s="718"/>
      <c r="BA305" s="718"/>
      <c r="BB305" s="718"/>
      <c r="BC305" s="718"/>
      <c r="BD305" s="718"/>
      <c r="BE305" s="718"/>
      <c r="BF305" s="718"/>
      <c r="BG305" s="718"/>
      <c r="BH305" s="718"/>
      <c r="BI305" s="718"/>
      <c r="BJ305" s="718"/>
      <c r="BK305" s="718"/>
      <c r="BL305" s="718"/>
      <c r="BM305" s="718"/>
      <c r="BN305" s="718"/>
      <c r="BO305" s="718"/>
      <c r="BP305" s="718"/>
      <c r="BQ305" s="718"/>
      <c r="BR305" s="718"/>
      <c r="BS305" s="718"/>
      <c r="BT305" s="718"/>
      <c r="BU305" s="718"/>
      <c r="BV305" s="718"/>
      <c r="BW305" s="718"/>
      <c r="BX305" s="718"/>
      <c r="BY305" s="718"/>
      <c r="BZ305" s="718"/>
      <c r="CA305" s="718"/>
      <c r="CB305" s="718"/>
      <c r="CC305" s="718"/>
      <c r="CD305" s="718"/>
      <c r="CE305" s="718"/>
      <c r="CF305" s="718"/>
      <c r="CG305" s="718"/>
      <c r="CH305" s="718"/>
      <c r="CI305" s="719"/>
      <c r="CK305" s="1296"/>
    </row>
    <row r="306" spans="2:89" x14ac:dyDescent="0.2">
      <c r="B306" s="937" t="s">
        <v>685</v>
      </c>
      <c r="C306" s="904" t="s">
        <v>454</v>
      </c>
      <c r="D306" s="907" t="s">
        <v>686</v>
      </c>
      <c r="E306" s="938" t="s">
        <v>236</v>
      </c>
      <c r="F306" s="939">
        <v>2</v>
      </c>
      <c r="G306" s="569">
        <f t="shared" si="134"/>
        <v>0</v>
      </c>
      <c r="H306" s="569">
        <f t="shared" si="134"/>
        <v>0</v>
      </c>
      <c r="I306" s="569">
        <f t="shared" si="134"/>
        <v>1</v>
      </c>
      <c r="J306" s="569">
        <f t="shared" si="134"/>
        <v>1</v>
      </c>
      <c r="K306" s="569">
        <f t="shared" si="134"/>
        <v>1</v>
      </c>
      <c r="L306" s="569">
        <f t="shared" si="134"/>
        <v>1</v>
      </c>
      <c r="M306" s="718">
        <f t="shared" si="134"/>
        <v>1</v>
      </c>
      <c r="N306" s="718">
        <f t="shared" si="134"/>
        <v>1</v>
      </c>
      <c r="O306" s="718">
        <f t="shared" si="134"/>
        <v>1</v>
      </c>
      <c r="P306" s="718">
        <f t="shared" si="134"/>
        <v>1</v>
      </c>
      <c r="Q306" s="718">
        <f t="shared" si="134"/>
        <v>1</v>
      </c>
      <c r="R306" s="718">
        <f t="shared" si="134"/>
        <v>1</v>
      </c>
      <c r="S306" s="718">
        <f t="shared" si="134"/>
        <v>1</v>
      </c>
      <c r="T306" s="718">
        <f t="shared" si="134"/>
        <v>1</v>
      </c>
      <c r="U306" s="718">
        <f t="shared" si="134"/>
        <v>1</v>
      </c>
      <c r="V306" s="718">
        <f t="shared" si="134"/>
        <v>1</v>
      </c>
      <c r="W306" s="718">
        <f t="shared" si="134"/>
        <v>1</v>
      </c>
      <c r="X306" s="718">
        <f t="shared" si="134"/>
        <v>1</v>
      </c>
      <c r="Y306" s="718">
        <f t="shared" si="134"/>
        <v>1</v>
      </c>
      <c r="Z306" s="718">
        <f t="shared" si="134"/>
        <v>1</v>
      </c>
      <c r="AA306" s="718">
        <f t="shared" si="134"/>
        <v>1</v>
      </c>
      <c r="AB306" s="718">
        <f t="shared" si="134"/>
        <v>1</v>
      </c>
      <c r="AC306" s="718">
        <f t="shared" si="134"/>
        <v>1</v>
      </c>
      <c r="AD306" s="718">
        <f t="shared" si="134"/>
        <v>1</v>
      </c>
      <c r="AE306" s="718">
        <f t="shared" si="134"/>
        <v>1</v>
      </c>
      <c r="AF306" s="718">
        <f t="shared" si="134"/>
        <v>1</v>
      </c>
      <c r="AG306" s="718">
        <f t="shared" si="134"/>
        <v>1</v>
      </c>
      <c r="AH306" s="718">
        <f t="shared" si="134"/>
        <v>1</v>
      </c>
      <c r="AI306" s="718">
        <f t="shared" si="134"/>
        <v>1</v>
      </c>
      <c r="AJ306" s="718">
        <f t="shared" si="134"/>
        <v>1</v>
      </c>
      <c r="AK306" s="718">
        <f t="shared" si="134"/>
        <v>1</v>
      </c>
      <c r="AL306" s="718"/>
      <c r="AM306" s="718"/>
      <c r="AN306" s="718"/>
      <c r="AO306" s="718"/>
      <c r="AP306" s="718"/>
      <c r="AQ306" s="718"/>
      <c r="AR306" s="718"/>
      <c r="AS306" s="718"/>
      <c r="AT306" s="718"/>
      <c r="AU306" s="718"/>
      <c r="AV306" s="718"/>
      <c r="AW306" s="718"/>
      <c r="AX306" s="718"/>
      <c r="AY306" s="718"/>
      <c r="AZ306" s="718"/>
      <c r="BA306" s="718"/>
      <c r="BB306" s="718"/>
      <c r="BC306" s="718"/>
      <c r="BD306" s="718"/>
      <c r="BE306" s="718"/>
      <c r="BF306" s="718"/>
      <c r="BG306" s="718"/>
      <c r="BH306" s="718"/>
      <c r="BI306" s="718"/>
      <c r="BJ306" s="718"/>
      <c r="BK306" s="718"/>
      <c r="BL306" s="718"/>
      <c r="BM306" s="718"/>
      <c r="BN306" s="718"/>
      <c r="BO306" s="718"/>
      <c r="BP306" s="718"/>
      <c r="BQ306" s="718"/>
      <c r="BR306" s="718"/>
      <c r="BS306" s="718"/>
      <c r="BT306" s="718"/>
      <c r="BU306" s="718"/>
      <c r="BV306" s="718"/>
      <c r="BW306" s="718"/>
      <c r="BX306" s="718"/>
      <c r="BY306" s="718"/>
      <c r="BZ306" s="718"/>
      <c r="CA306" s="718"/>
      <c r="CB306" s="718"/>
      <c r="CC306" s="718"/>
      <c r="CD306" s="718"/>
      <c r="CE306" s="718"/>
      <c r="CF306" s="718"/>
      <c r="CG306" s="718"/>
      <c r="CH306" s="718"/>
      <c r="CI306" s="719"/>
      <c r="CK306" s="1296"/>
    </row>
    <row r="307" spans="2:89" x14ac:dyDescent="0.2">
      <c r="B307" s="940" t="s">
        <v>687</v>
      </c>
      <c r="C307" s="904" t="s">
        <v>456</v>
      </c>
      <c r="D307" s="907" t="s">
        <v>688</v>
      </c>
      <c r="E307" s="938" t="s">
        <v>236</v>
      </c>
      <c r="F307" s="939">
        <v>2</v>
      </c>
      <c r="G307" s="569">
        <f>G209+G279</f>
        <v>0</v>
      </c>
      <c r="H307" s="569">
        <f t="shared" si="134"/>
        <v>0</v>
      </c>
      <c r="I307" s="569">
        <f t="shared" si="134"/>
        <v>-20</v>
      </c>
      <c r="J307" s="569">
        <f t="shared" si="134"/>
        <v>-20</v>
      </c>
      <c r="K307" s="569">
        <f t="shared" si="134"/>
        <v>-20</v>
      </c>
      <c r="L307" s="569">
        <f t="shared" si="134"/>
        <v>-20</v>
      </c>
      <c r="M307" s="569">
        <f t="shared" si="134"/>
        <v>-20</v>
      </c>
      <c r="N307" s="569">
        <f t="shared" si="134"/>
        <v>-20</v>
      </c>
      <c r="O307" s="569">
        <f t="shared" si="134"/>
        <v>-23.5</v>
      </c>
      <c r="P307" s="569">
        <f t="shared" si="134"/>
        <v>-23.5</v>
      </c>
      <c r="Q307" s="569">
        <f t="shared" si="134"/>
        <v>-23.5</v>
      </c>
      <c r="R307" s="569">
        <f t="shared" si="134"/>
        <v>-23.5</v>
      </c>
      <c r="S307" s="569">
        <f t="shared" si="134"/>
        <v>-23.5</v>
      </c>
      <c r="T307" s="569">
        <f t="shared" si="134"/>
        <v>-23.5</v>
      </c>
      <c r="U307" s="569">
        <f t="shared" si="134"/>
        <v>-23.5</v>
      </c>
      <c r="V307" s="569">
        <f t="shared" si="134"/>
        <v>-20</v>
      </c>
      <c r="W307" s="569">
        <f t="shared" si="134"/>
        <v>0</v>
      </c>
      <c r="X307" s="569">
        <f t="shared" si="134"/>
        <v>0</v>
      </c>
      <c r="Y307" s="569">
        <f t="shared" si="134"/>
        <v>0</v>
      </c>
      <c r="Z307" s="569">
        <f t="shared" si="134"/>
        <v>0</v>
      </c>
      <c r="AA307" s="569">
        <f t="shared" si="134"/>
        <v>0</v>
      </c>
      <c r="AB307" s="569">
        <f t="shared" si="134"/>
        <v>0</v>
      </c>
      <c r="AC307" s="569">
        <f t="shared" si="134"/>
        <v>0</v>
      </c>
      <c r="AD307" s="569">
        <f t="shared" si="134"/>
        <v>0</v>
      </c>
      <c r="AE307" s="569">
        <f t="shared" si="134"/>
        <v>0</v>
      </c>
      <c r="AF307" s="569">
        <f t="shared" si="134"/>
        <v>0</v>
      </c>
      <c r="AG307" s="569">
        <f t="shared" si="134"/>
        <v>0</v>
      </c>
      <c r="AH307" s="569">
        <f t="shared" si="134"/>
        <v>0</v>
      </c>
      <c r="AI307" s="569">
        <f t="shared" si="134"/>
        <v>0</v>
      </c>
      <c r="AJ307" s="569">
        <f t="shared" si="134"/>
        <v>0</v>
      </c>
      <c r="AK307" s="569">
        <f t="shared" si="134"/>
        <v>0</v>
      </c>
      <c r="AL307" s="569"/>
      <c r="AM307" s="569"/>
      <c r="AN307" s="569"/>
      <c r="AO307" s="569"/>
      <c r="AP307" s="569"/>
      <c r="AQ307" s="569"/>
      <c r="AR307" s="569"/>
      <c r="AS307" s="569"/>
      <c r="AT307" s="569"/>
      <c r="AU307" s="569"/>
      <c r="AV307" s="569"/>
      <c r="AW307" s="569"/>
      <c r="AX307" s="569"/>
      <c r="AY307" s="569"/>
      <c r="AZ307" s="569"/>
      <c r="BA307" s="569"/>
      <c r="BB307" s="569"/>
      <c r="BC307" s="569"/>
      <c r="BD307" s="569"/>
      <c r="BE307" s="569"/>
      <c r="BF307" s="569"/>
      <c r="BG307" s="569"/>
      <c r="BH307" s="569"/>
      <c r="BI307" s="569"/>
      <c r="BJ307" s="569"/>
      <c r="BK307" s="569"/>
      <c r="BL307" s="569"/>
      <c r="BM307" s="569"/>
      <c r="BN307" s="569"/>
      <c r="BO307" s="569"/>
      <c r="BP307" s="569"/>
      <c r="BQ307" s="569"/>
      <c r="BR307" s="569"/>
      <c r="BS307" s="569"/>
      <c r="BT307" s="569"/>
      <c r="BU307" s="569"/>
      <c r="BV307" s="569"/>
      <c r="BW307" s="569"/>
      <c r="BX307" s="569"/>
      <c r="BY307" s="569"/>
      <c r="BZ307" s="569"/>
      <c r="CA307" s="569"/>
      <c r="CB307" s="569"/>
      <c r="CC307" s="569"/>
      <c r="CD307" s="569"/>
      <c r="CE307" s="569"/>
      <c r="CF307" s="569"/>
      <c r="CG307" s="569"/>
      <c r="CH307" s="569"/>
      <c r="CI307" s="719"/>
      <c r="CK307" s="1296"/>
    </row>
    <row r="308" spans="2:89" x14ac:dyDescent="0.2">
      <c r="B308" s="940" t="s">
        <v>689</v>
      </c>
      <c r="C308" s="904" t="s">
        <v>458</v>
      </c>
      <c r="D308" s="907" t="s">
        <v>690</v>
      </c>
      <c r="E308" s="938" t="s">
        <v>236</v>
      </c>
      <c r="F308" s="939">
        <v>2</v>
      </c>
      <c r="G308" s="569">
        <f>G210+G280</f>
        <v>0</v>
      </c>
      <c r="H308" s="569">
        <f t="shared" ref="H308:AK308" si="135">H210+H280</f>
        <v>0</v>
      </c>
      <c r="I308" s="569">
        <f t="shared" si="135"/>
        <v>-8.0013510958904099</v>
      </c>
      <c r="J308" s="569">
        <f t="shared" si="135"/>
        <v>-8.0013510958904099</v>
      </c>
      <c r="K308" s="569">
        <f t="shared" si="135"/>
        <v>-8.0013510958904099</v>
      </c>
      <c r="L308" s="569">
        <f t="shared" si="135"/>
        <v>-8.3393626713339302</v>
      </c>
      <c r="M308" s="718">
        <f t="shared" si="135"/>
        <v>-8.6755146135998498</v>
      </c>
      <c r="N308" s="718">
        <f t="shared" si="135"/>
        <v>-10.49585967385617</v>
      </c>
      <c r="O308" s="718">
        <f t="shared" si="135"/>
        <v>-10.826432716589292</v>
      </c>
      <c r="P308" s="718">
        <f t="shared" si="135"/>
        <v>-11.157703121764012</v>
      </c>
      <c r="Q308" s="718">
        <f t="shared" si="135"/>
        <v>-11.487578802055531</v>
      </c>
      <c r="R308" s="718">
        <f t="shared" si="135"/>
        <v>-11.81698957405265</v>
      </c>
      <c r="S308" s="718">
        <f t="shared" si="135"/>
        <v>-12.14779507093297</v>
      </c>
      <c r="T308" s="718">
        <f t="shared" si="135"/>
        <v>-12.476508480488491</v>
      </c>
      <c r="U308" s="718">
        <f t="shared" si="135"/>
        <v>-12.807081523221608</v>
      </c>
      <c r="V308" s="718">
        <f t="shared" si="135"/>
        <v>-11.307081523221608</v>
      </c>
      <c r="W308" s="718">
        <f t="shared" si="135"/>
        <v>-11.304756981749609</v>
      </c>
      <c r="X308" s="718">
        <f t="shared" si="135"/>
        <v>-11.304756981749609</v>
      </c>
      <c r="Y308" s="718">
        <f t="shared" si="135"/>
        <v>-11.304756981749609</v>
      </c>
      <c r="Z308" s="718">
        <f t="shared" si="135"/>
        <v>-11.304756981749609</v>
      </c>
      <c r="AA308" s="718">
        <f t="shared" si="135"/>
        <v>-11.304756981749609</v>
      </c>
      <c r="AB308" s="718">
        <f t="shared" si="135"/>
        <v>-11.30243244027761</v>
      </c>
      <c r="AC308" s="718">
        <f t="shared" si="135"/>
        <v>-11.30243244027761</v>
      </c>
      <c r="AD308" s="718">
        <f t="shared" si="135"/>
        <v>-11.30243244027761</v>
      </c>
      <c r="AE308" s="718">
        <f t="shared" si="135"/>
        <v>-11.30243244027761</v>
      </c>
      <c r="AF308" s="718">
        <f t="shared" si="135"/>
        <v>-11.30243244027761</v>
      </c>
      <c r="AG308" s="718">
        <f t="shared" si="135"/>
        <v>-11.30243244027761</v>
      </c>
      <c r="AH308" s="718">
        <f t="shared" si="135"/>
        <v>-11.30243244027761</v>
      </c>
      <c r="AI308" s="718">
        <f t="shared" si="135"/>
        <v>-11.30010789880561</v>
      </c>
      <c r="AJ308" s="718">
        <f t="shared" si="135"/>
        <v>-11.30010789880561</v>
      </c>
      <c r="AK308" s="718">
        <f t="shared" si="135"/>
        <v>-11.30010789880561</v>
      </c>
      <c r="AL308" s="718"/>
      <c r="AM308" s="718"/>
      <c r="AN308" s="718"/>
      <c r="AO308" s="718"/>
      <c r="AP308" s="718"/>
      <c r="AQ308" s="718"/>
      <c r="AR308" s="718"/>
      <c r="AS308" s="718"/>
      <c r="AT308" s="718"/>
      <c r="AU308" s="718"/>
      <c r="AV308" s="718"/>
      <c r="AW308" s="718"/>
      <c r="AX308" s="718"/>
      <c r="AY308" s="718"/>
      <c r="AZ308" s="718"/>
      <c r="BA308" s="718"/>
      <c r="BB308" s="718"/>
      <c r="BC308" s="718"/>
      <c r="BD308" s="718"/>
      <c r="BE308" s="718"/>
      <c r="BF308" s="718"/>
      <c r="BG308" s="718"/>
      <c r="BH308" s="718"/>
      <c r="BI308" s="718"/>
      <c r="BJ308" s="718"/>
      <c r="BK308" s="718"/>
      <c r="BL308" s="718"/>
      <c r="BM308" s="718"/>
      <c r="BN308" s="718"/>
      <c r="BO308" s="718"/>
      <c r="BP308" s="718"/>
      <c r="BQ308" s="718"/>
      <c r="BR308" s="718"/>
      <c r="BS308" s="718"/>
      <c r="BT308" s="718"/>
      <c r="BU308" s="718"/>
      <c r="BV308" s="718"/>
      <c r="BW308" s="718"/>
      <c r="BX308" s="718"/>
      <c r="BY308" s="718"/>
      <c r="BZ308" s="718"/>
      <c r="CA308" s="718"/>
      <c r="CB308" s="718"/>
      <c r="CC308" s="718"/>
      <c r="CD308" s="718"/>
      <c r="CE308" s="718"/>
      <c r="CF308" s="718"/>
      <c r="CG308" s="718"/>
      <c r="CH308" s="718"/>
      <c r="CI308" s="719"/>
      <c r="CK308" s="1296"/>
    </row>
    <row r="309" spans="2:89" x14ac:dyDescent="0.2">
      <c r="B309" s="940" t="s">
        <v>691</v>
      </c>
      <c r="C309" s="901" t="s">
        <v>462</v>
      </c>
      <c r="D309" s="907" t="s">
        <v>692</v>
      </c>
      <c r="E309" s="938" t="s">
        <v>236</v>
      </c>
      <c r="F309" s="939">
        <v>2</v>
      </c>
      <c r="G309" s="569">
        <f>G212+G281+G282+G283+G284</f>
        <v>0</v>
      </c>
      <c r="H309" s="569">
        <f t="shared" ref="H309:AK309" si="136">H212+H281+H282+H283+H284</f>
        <v>0</v>
      </c>
      <c r="I309" s="569">
        <f t="shared" si="136"/>
        <v>617.5</v>
      </c>
      <c r="J309" s="569">
        <f t="shared" si="136"/>
        <v>617.5</v>
      </c>
      <c r="K309" s="569">
        <f t="shared" si="136"/>
        <v>617.5</v>
      </c>
      <c r="L309" s="569">
        <f t="shared" si="136"/>
        <v>617.5</v>
      </c>
      <c r="M309" s="569">
        <f>M212+M281+M282+M283+M284</f>
        <v>617.5</v>
      </c>
      <c r="N309" s="569">
        <f t="shared" si="136"/>
        <v>617.5</v>
      </c>
      <c r="O309" s="569">
        <f t="shared" si="136"/>
        <v>627.5</v>
      </c>
      <c r="P309" s="569">
        <f t="shared" si="136"/>
        <v>627.5</v>
      </c>
      <c r="Q309" s="569">
        <f t="shared" si="136"/>
        <v>627.5</v>
      </c>
      <c r="R309" s="569">
        <f t="shared" si="136"/>
        <v>622.5</v>
      </c>
      <c r="S309" s="569">
        <f t="shared" si="136"/>
        <v>622.5</v>
      </c>
      <c r="T309" s="569">
        <f t="shared" si="136"/>
        <v>622.5</v>
      </c>
      <c r="U309" s="569">
        <f t="shared" si="136"/>
        <v>622.5</v>
      </c>
      <c r="V309" s="569">
        <f t="shared" si="136"/>
        <v>622.5</v>
      </c>
      <c r="W309" s="569">
        <f t="shared" si="136"/>
        <v>622.5</v>
      </c>
      <c r="X309" s="569">
        <f t="shared" si="136"/>
        <v>622.5</v>
      </c>
      <c r="Y309" s="569">
        <f t="shared" si="136"/>
        <v>622.5</v>
      </c>
      <c r="Z309" s="569">
        <f t="shared" si="136"/>
        <v>622.5</v>
      </c>
      <c r="AA309" s="569">
        <f t="shared" si="136"/>
        <v>622.5</v>
      </c>
      <c r="AB309" s="569">
        <f t="shared" si="136"/>
        <v>620.5</v>
      </c>
      <c r="AC309" s="569">
        <f t="shared" si="136"/>
        <v>620.5</v>
      </c>
      <c r="AD309" s="569">
        <f t="shared" si="136"/>
        <v>620.5</v>
      </c>
      <c r="AE309" s="569">
        <f t="shared" si="136"/>
        <v>620.5</v>
      </c>
      <c r="AF309" s="569">
        <f t="shared" si="136"/>
        <v>620.5</v>
      </c>
      <c r="AG309" s="569">
        <f t="shared" si="136"/>
        <v>620.5</v>
      </c>
      <c r="AH309" s="569">
        <f t="shared" si="136"/>
        <v>620.5</v>
      </c>
      <c r="AI309" s="569">
        <f t="shared" si="136"/>
        <v>620.5</v>
      </c>
      <c r="AJ309" s="569">
        <f t="shared" si="136"/>
        <v>620.5</v>
      </c>
      <c r="AK309" s="569">
        <f t="shared" si="136"/>
        <v>620.5</v>
      </c>
      <c r="AL309" s="569"/>
      <c r="AM309" s="569"/>
      <c r="AN309" s="569"/>
      <c r="AO309" s="569"/>
      <c r="AP309" s="569"/>
      <c r="AQ309" s="569"/>
      <c r="AR309" s="569"/>
      <c r="AS309" s="569"/>
      <c r="AT309" s="569"/>
      <c r="AU309" s="569"/>
      <c r="AV309" s="569"/>
      <c r="AW309" s="569"/>
      <c r="AX309" s="569"/>
      <c r="AY309" s="569"/>
      <c r="AZ309" s="569"/>
      <c r="BA309" s="569"/>
      <c r="BB309" s="569"/>
      <c r="BC309" s="569"/>
      <c r="BD309" s="569"/>
      <c r="BE309" s="569"/>
      <c r="BF309" s="569"/>
      <c r="BG309" s="569"/>
      <c r="BH309" s="569"/>
      <c r="BI309" s="569"/>
      <c r="BJ309" s="569"/>
      <c r="BK309" s="569"/>
      <c r="BL309" s="569"/>
      <c r="BM309" s="569"/>
      <c r="BN309" s="569"/>
      <c r="BO309" s="569"/>
      <c r="BP309" s="569"/>
      <c r="BQ309" s="569"/>
      <c r="BR309" s="569"/>
      <c r="BS309" s="569"/>
      <c r="BT309" s="569"/>
      <c r="BU309" s="569"/>
      <c r="BV309" s="569"/>
      <c r="BW309" s="569"/>
      <c r="BX309" s="569"/>
      <c r="BY309" s="569"/>
      <c r="BZ309" s="569"/>
      <c r="CA309" s="569"/>
      <c r="CB309" s="569"/>
      <c r="CC309" s="569"/>
      <c r="CD309" s="569"/>
      <c r="CE309" s="569"/>
      <c r="CF309" s="569"/>
      <c r="CG309" s="569"/>
      <c r="CH309" s="569"/>
      <c r="CI309" s="719"/>
      <c r="CK309" s="1296"/>
    </row>
    <row r="310" spans="2:89" ht="28.5" x14ac:dyDescent="0.2">
      <c r="B310" s="940" t="s">
        <v>693</v>
      </c>
      <c r="C310" s="901" t="s">
        <v>694</v>
      </c>
      <c r="D310" s="907" t="s">
        <v>695</v>
      </c>
      <c r="E310" s="938" t="s">
        <v>236</v>
      </c>
      <c r="F310" s="939">
        <v>2</v>
      </c>
      <c r="G310" s="569">
        <f t="shared" ref="G310:AK310" si="137">G220+G285+G286</f>
        <v>0</v>
      </c>
      <c r="H310" s="569">
        <f t="shared" si="137"/>
        <v>0</v>
      </c>
      <c r="I310" s="569">
        <f t="shared" si="137"/>
        <v>0.14288658305525045</v>
      </c>
      <c r="J310" s="569">
        <f t="shared" si="137"/>
        <v>0.14288658305525045</v>
      </c>
      <c r="K310" s="569">
        <f t="shared" si="137"/>
        <v>0.14288658305525045</v>
      </c>
      <c r="L310" s="569">
        <f t="shared" si="137"/>
        <v>0.14288658305525045</v>
      </c>
      <c r="M310" s="718">
        <f t="shared" si="137"/>
        <v>0.14288658305525045</v>
      </c>
      <c r="N310" s="718">
        <f t="shared" si="137"/>
        <v>0.14288658305525045</v>
      </c>
      <c r="O310" s="718">
        <f t="shared" si="137"/>
        <v>0.47288658305525044</v>
      </c>
      <c r="P310" s="718">
        <f t="shared" si="137"/>
        <v>0.47288658305525044</v>
      </c>
      <c r="Q310" s="718">
        <f t="shared" si="137"/>
        <v>0.47288658305525044</v>
      </c>
      <c r="R310" s="718">
        <f t="shared" si="137"/>
        <v>0.47288658305525044</v>
      </c>
      <c r="S310" s="718">
        <f t="shared" si="137"/>
        <v>0.47288658305525044</v>
      </c>
      <c r="T310" s="718">
        <f t="shared" si="137"/>
        <v>0.47288658305525044</v>
      </c>
      <c r="U310" s="718">
        <f t="shared" si="137"/>
        <v>0.47288658305525044</v>
      </c>
      <c r="V310" s="718">
        <f t="shared" si="137"/>
        <v>0.64288658305525048</v>
      </c>
      <c r="W310" s="718">
        <f t="shared" si="137"/>
        <v>0.64288658305525048</v>
      </c>
      <c r="X310" s="718">
        <f t="shared" si="137"/>
        <v>0.64288658305525048</v>
      </c>
      <c r="Y310" s="718">
        <f t="shared" si="137"/>
        <v>0.64288658305525048</v>
      </c>
      <c r="Z310" s="718">
        <f t="shared" si="137"/>
        <v>0.64288658305525048</v>
      </c>
      <c r="AA310" s="718">
        <f t="shared" si="137"/>
        <v>0.64288658305525048</v>
      </c>
      <c r="AB310" s="718">
        <f t="shared" si="137"/>
        <v>0.64288658305525048</v>
      </c>
      <c r="AC310" s="718">
        <f t="shared" si="137"/>
        <v>0.64288658305525048</v>
      </c>
      <c r="AD310" s="718">
        <f t="shared" si="137"/>
        <v>0.64288658305525048</v>
      </c>
      <c r="AE310" s="718">
        <f t="shared" si="137"/>
        <v>0.64288658305525048</v>
      </c>
      <c r="AF310" s="718">
        <f t="shared" si="137"/>
        <v>0.64288658305525048</v>
      </c>
      <c r="AG310" s="718">
        <f t="shared" si="137"/>
        <v>0.64288658305525048</v>
      </c>
      <c r="AH310" s="718">
        <f t="shared" si="137"/>
        <v>0.64288658305525048</v>
      </c>
      <c r="AI310" s="718">
        <f t="shared" si="137"/>
        <v>0.64288658305525048</v>
      </c>
      <c r="AJ310" s="718">
        <f t="shared" si="137"/>
        <v>0.64288658305525048</v>
      </c>
      <c r="AK310" s="718">
        <f t="shared" si="137"/>
        <v>0.64288658305525048</v>
      </c>
      <c r="AL310" s="718"/>
      <c r="AM310" s="718"/>
      <c r="AN310" s="718"/>
      <c r="AO310" s="718"/>
      <c r="AP310" s="718"/>
      <c r="AQ310" s="718"/>
      <c r="AR310" s="718"/>
      <c r="AS310" s="718"/>
      <c r="AT310" s="718"/>
      <c r="AU310" s="718"/>
      <c r="AV310" s="718"/>
      <c r="AW310" s="718"/>
      <c r="AX310" s="718"/>
      <c r="AY310" s="718"/>
      <c r="AZ310" s="718"/>
      <c r="BA310" s="718"/>
      <c r="BB310" s="718"/>
      <c r="BC310" s="718"/>
      <c r="BD310" s="718"/>
      <c r="BE310" s="718"/>
      <c r="BF310" s="718"/>
      <c r="BG310" s="718"/>
      <c r="BH310" s="718"/>
      <c r="BI310" s="718"/>
      <c r="BJ310" s="718"/>
      <c r="BK310" s="718"/>
      <c r="BL310" s="718"/>
      <c r="BM310" s="718"/>
      <c r="BN310" s="718"/>
      <c r="BO310" s="718"/>
      <c r="BP310" s="718"/>
      <c r="BQ310" s="718"/>
      <c r="BR310" s="718"/>
      <c r="BS310" s="718"/>
      <c r="BT310" s="718"/>
      <c r="BU310" s="718"/>
      <c r="BV310" s="718"/>
      <c r="BW310" s="718"/>
      <c r="BX310" s="718"/>
      <c r="BY310" s="718"/>
      <c r="BZ310" s="718"/>
      <c r="CA310" s="718"/>
      <c r="CB310" s="718"/>
      <c r="CC310" s="718"/>
      <c r="CD310" s="718"/>
      <c r="CE310" s="718"/>
      <c r="CF310" s="718"/>
      <c r="CG310" s="718"/>
      <c r="CH310" s="718"/>
      <c r="CI310" s="719"/>
      <c r="CK310" s="1296"/>
    </row>
    <row r="311" spans="2:89" x14ac:dyDescent="0.2">
      <c r="B311" s="940" t="s">
        <v>696</v>
      </c>
      <c r="C311" s="901" t="s">
        <v>483</v>
      </c>
      <c r="D311" s="907" t="s">
        <v>697</v>
      </c>
      <c r="E311" s="938" t="s">
        <v>236</v>
      </c>
      <c r="F311" s="939">
        <v>2</v>
      </c>
      <c r="G311" s="569">
        <f t="shared" ref="G311:AK311" si="138">G221+G287</f>
        <v>0</v>
      </c>
      <c r="H311" s="569">
        <f t="shared" si="138"/>
        <v>0</v>
      </c>
      <c r="I311" s="569">
        <f t="shared" si="138"/>
        <v>88.04</v>
      </c>
      <c r="J311" s="569">
        <f t="shared" si="138"/>
        <v>88.04</v>
      </c>
      <c r="K311" s="569">
        <f t="shared" si="138"/>
        <v>88.04</v>
      </c>
      <c r="L311" s="569">
        <f t="shared" si="138"/>
        <v>88.04</v>
      </c>
      <c r="M311" s="718">
        <f t="shared" si="138"/>
        <v>88.04</v>
      </c>
      <c r="N311" s="718">
        <f t="shared" si="138"/>
        <v>88.04</v>
      </c>
      <c r="O311" s="718">
        <f t="shared" si="138"/>
        <v>88.04</v>
      </c>
      <c r="P311" s="718">
        <f t="shared" si="138"/>
        <v>88.04</v>
      </c>
      <c r="Q311" s="718">
        <f t="shared" si="138"/>
        <v>88.04</v>
      </c>
      <c r="R311" s="718">
        <f t="shared" si="138"/>
        <v>88.04</v>
      </c>
      <c r="S311" s="718">
        <f t="shared" si="138"/>
        <v>88.04</v>
      </c>
      <c r="T311" s="718">
        <f t="shared" si="138"/>
        <v>88.04</v>
      </c>
      <c r="U311" s="718">
        <f t="shared" si="138"/>
        <v>88.04</v>
      </c>
      <c r="V311" s="718">
        <f t="shared" si="138"/>
        <v>88.04</v>
      </c>
      <c r="W311" s="718">
        <f t="shared" si="138"/>
        <v>88.04</v>
      </c>
      <c r="X311" s="718">
        <f t="shared" si="138"/>
        <v>88.04</v>
      </c>
      <c r="Y311" s="718">
        <f t="shared" si="138"/>
        <v>88.04</v>
      </c>
      <c r="Z311" s="718">
        <f t="shared" si="138"/>
        <v>88.04</v>
      </c>
      <c r="AA311" s="718">
        <f t="shared" si="138"/>
        <v>88.04</v>
      </c>
      <c r="AB311" s="718">
        <f t="shared" si="138"/>
        <v>88.04</v>
      </c>
      <c r="AC311" s="718">
        <f t="shared" si="138"/>
        <v>88.04</v>
      </c>
      <c r="AD311" s="718">
        <f t="shared" si="138"/>
        <v>88.04</v>
      </c>
      <c r="AE311" s="718">
        <f t="shared" si="138"/>
        <v>88.04</v>
      </c>
      <c r="AF311" s="718">
        <f t="shared" si="138"/>
        <v>88.04</v>
      </c>
      <c r="AG311" s="718">
        <f t="shared" si="138"/>
        <v>88.04</v>
      </c>
      <c r="AH311" s="718">
        <f t="shared" si="138"/>
        <v>88.04</v>
      </c>
      <c r="AI311" s="718">
        <f t="shared" si="138"/>
        <v>88.04</v>
      </c>
      <c r="AJ311" s="718">
        <f t="shared" si="138"/>
        <v>88.04</v>
      </c>
      <c r="AK311" s="718">
        <f t="shared" si="138"/>
        <v>88.04</v>
      </c>
      <c r="AL311" s="718"/>
      <c r="AM311" s="718"/>
      <c r="AN311" s="718"/>
      <c r="AO311" s="718"/>
      <c r="AP311" s="718"/>
      <c r="AQ311" s="718"/>
      <c r="AR311" s="718"/>
      <c r="AS311" s="718"/>
      <c r="AT311" s="718"/>
      <c r="AU311" s="718"/>
      <c r="AV311" s="718"/>
      <c r="AW311" s="718"/>
      <c r="AX311" s="718"/>
      <c r="AY311" s="718"/>
      <c r="AZ311" s="718"/>
      <c r="BA311" s="718"/>
      <c r="BB311" s="718"/>
      <c r="BC311" s="718"/>
      <c r="BD311" s="718"/>
      <c r="BE311" s="718"/>
      <c r="BF311" s="718"/>
      <c r="BG311" s="718"/>
      <c r="BH311" s="718"/>
      <c r="BI311" s="718"/>
      <c r="BJ311" s="718"/>
      <c r="BK311" s="718"/>
      <c r="BL311" s="718"/>
      <c r="BM311" s="718"/>
      <c r="BN311" s="718"/>
      <c r="BO311" s="718"/>
      <c r="BP311" s="718"/>
      <c r="BQ311" s="718"/>
      <c r="BR311" s="718"/>
      <c r="BS311" s="718"/>
      <c r="BT311" s="718"/>
      <c r="BU311" s="718"/>
      <c r="BV311" s="718"/>
      <c r="BW311" s="718"/>
      <c r="BX311" s="718"/>
      <c r="BY311" s="718"/>
      <c r="BZ311" s="718"/>
      <c r="CA311" s="718"/>
      <c r="CB311" s="718"/>
      <c r="CC311" s="718"/>
      <c r="CD311" s="718"/>
      <c r="CE311" s="718"/>
      <c r="CF311" s="718"/>
      <c r="CG311" s="718"/>
      <c r="CH311" s="718"/>
      <c r="CI311" s="719"/>
      <c r="CK311" s="1296"/>
    </row>
    <row r="312" spans="2:89" x14ac:dyDescent="0.2">
      <c r="B312" s="941" t="s">
        <v>698</v>
      </c>
      <c r="C312" s="942" t="s">
        <v>387</v>
      </c>
      <c r="D312" s="942" t="s">
        <v>699</v>
      </c>
      <c r="E312" s="943" t="s">
        <v>236</v>
      </c>
      <c r="F312" s="939">
        <v>2</v>
      </c>
      <c r="G312" s="569">
        <f>(G309)-(G310+G311)</f>
        <v>0</v>
      </c>
      <c r="H312" s="569">
        <f t="shared" ref="H312:AK312" si="139">(H309)-(H310+H311)</f>
        <v>0</v>
      </c>
      <c r="I312" s="569">
        <f t="shared" si="139"/>
        <v>529.31711341694472</v>
      </c>
      <c r="J312" s="569">
        <f t="shared" si="139"/>
        <v>529.31711341694472</v>
      </c>
      <c r="K312" s="569">
        <f t="shared" si="139"/>
        <v>529.31711341694472</v>
      </c>
      <c r="L312" s="569">
        <f t="shared" si="139"/>
        <v>529.31711341694472</v>
      </c>
      <c r="M312" s="569">
        <f t="shared" si="139"/>
        <v>529.31711341694472</v>
      </c>
      <c r="N312" s="569">
        <f t="shared" si="139"/>
        <v>529.31711341694472</v>
      </c>
      <c r="O312" s="569">
        <f t="shared" si="139"/>
        <v>538.98711341694479</v>
      </c>
      <c r="P312" s="569">
        <f t="shared" si="139"/>
        <v>538.98711341694479</v>
      </c>
      <c r="Q312" s="569">
        <f t="shared" si="139"/>
        <v>538.98711341694479</v>
      </c>
      <c r="R312" s="569">
        <f t="shared" si="139"/>
        <v>533.98711341694479</v>
      </c>
      <c r="S312" s="569">
        <f t="shared" si="139"/>
        <v>533.98711341694479</v>
      </c>
      <c r="T312" s="569">
        <f t="shared" si="139"/>
        <v>533.98711341694479</v>
      </c>
      <c r="U312" s="569">
        <f t="shared" si="139"/>
        <v>533.98711341694479</v>
      </c>
      <c r="V312" s="569">
        <f t="shared" si="139"/>
        <v>533.81711341694472</v>
      </c>
      <c r="W312" s="569">
        <f t="shared" si="139"/>
        <v>533.81711341694472</v>
      </c>
      <c r="X312" s="569">
        <f t="shared" si="139"/>
        <v>533.81711341694472</v>
      </c>
      <c r="Y312" s="569">
        <f t="shared" si="139"/>
        <v>533.81711341694472</v>
      </c>
      <c r="Z312" s="569">
        <f t="shared" si="139"/>
        <v>533.81711341694472</v>
      </c>
      <c r="AA312" s="569">
        <f t="shared" si="139"/>
        <v>533.81711341694472</v>
      </c>
      <c r="AB312" s="569">
        <f t="shared" si="139"/>
        <v>531.81711341694472</v>
      </c>
      <c r="AC312" s="569">
        <f t="shared" si="139"/>
        <v>531.81711341694472</v>
      </c>
      <c r="AD312" s="569">
        <f t="shared" si="139"/>
        <v>531.81711341694472</v>
      </c>
      <c r="AE312" s="569">
        <f t="shared" si="139"/>
        <v>531.81711341694472</v>
      </c>
      <c r="AF312" s="569">
        <f t="shared" si="139"/>
        <v>531.81711341694472</v>
      </c>
      <c r="AG312" s="569">
        <f t="shared" si="139"/>
        <v>531.81711341694472</v>
      </c>
      <c r="AH312" s="569">
        <f t="shared" si="139"/>
        <v>531.81711341694472</v>
      </c>
      <c r="AI312" s="569">
        <f t="shared" si="139"/>
        <v>531.81711341694472</v>
      </c>
      <c r="AJ312" s="569">
        <f t="shared" si="139"/>
        <v>531.81711341694472</v>
      </c>
      <c r="AK312" s="569">
        <f t="shared" si="139"/>
        <v>531.81711341694472</v>
      </c>
      <c r="AL312" s="569"/>
      <c r="AM312" s="569"/>
      <c r="AN312" s="569"/>
      <c r="AO312" s="569"/>
      <c r="AP312" s="569"/>
      <c r="AQ312" s="569"/>
      <c r="AR312" s="569"/>
      <c r="AS312" s="569"/>
      <c r="AT312" s="569"/>
      <c r="AU312" s="569"/>
      <c r="AV312" s="569"/>
      <c r="AW312" s="569"/>
      <c r="AX312" s="569"/>
      <c r="AY312" s="569"/>
      <c r="AZ312" s="569"/>
      <c r="BA312" s="569"/>
      <c r="BB312" s="569"/>
      <c r="BC312" s="569"/>
      <c r="BD312" s="569"/>
      <c r="BE312" s="569"/>
      <c r="BF312" s="569"/>
      <c r="BG312" s="569"/>
      <c r="BH312" s="569"/>
      <c r="BI312" s="569"/>
      <c r="BJ312" s="569"/>
      <c r="BK312" s="569"/>
      <c r="BL312" s="569"/>
      <c r="BM312" s="569"/>
      <c r="BN312" s="569"/>
      <c r="BO312" s="569"/>
      <c r="BP312" s="569"/>
      <c r="BQ312" s="569"/>
      <c r="BR312" s="569"/>
      <c r="BS312" s="569"/>
      <c r="BT312" s="569"/>
      <c r="BU312" s="569"/>
      <c r="BV312" s="569"/>
      <c r="BW312" s="569"/>
      <c r="BX312" s="569"/>
      <c r="BY312" s="569"/>
      <c r="BZ312" s="569"/>
      <c r="CA312" s="569"/>
      <c r="CB312" s="569"/>
      <c r="CC312" s="569"/>
      <c r="CD312" s="569"/>
      <c r="CE312" s="569"/>
      <c r="CF312" s="569"/>
      <c r="CG312" s="569"/>
      <c r="CH312" s="569"/>
      <c r="CI312" s="719"/>
      <c r="CK312" s="1296"/>
    </row>
    <row r="313" spans="2:89" ht="32.85" customHeight="1" thickBot="1" x14ac:dyDescent="0.25">
      <c r="B313" s="944" t="s">
        <v>700</v>
      </c>
      <c r="C313" s="945" t="s">
        <v>390</v>
      </c>
      <c r="D313" s="945" t="s">
        <v>701</v>
      </c>
      <c r="E313" s="946" t="s">
        <v>236</v>
      </c>
      <c r="F313" s="947">
        <v>2</v>
      </c>
      <c r="G313" s="729">
        <f t="shared" ref="G313:AK313" si="140">G312+SUM(G305:G308)</f>
        <v>0</v>
      </c>
      <c r="H313" s="729">
        <f t="shared" si="140"/>
        <v>0</v>
      </c>
      <c r="I313" s="729">
        <f t="shared" si="140"/>
        <v>502.31576232105431</v>
      </c>
      <c r="J313" s="729">
        <f t="shared" si="140"/>
        <v>502.31576232105431</v>
      </c>
      <c r="K313" s="729">
        <f t="shared" si="140"/>
        <v>502.31576232105431</v>
      </c>
      <c r="L313" s="729">
        <f t="shared" si="140"/>
        <v>501.97775074561082</v>
      </c>
      <c r="M313" s="729">
        <f t="shared" si="140"/>
        <v>501.64159880334489</v>
      </c>
      <c r="N313" s="729">
        <f t="shared" si="140"/>
        <v>499.82125374308856</v>
      </c>
      <c r="O313" s="729">
        <f t="shared" si="140"/>
        <v>505.6606807003555</v>
      </c>
      <c r="P313" s="729">
        <f t="shared" si="140"/>
        <v>505.32941029518076</v>
      </c>
      <c r="Q313" s="729">
        <f t="shared" si="140"/>
        <v>504.99953461488928</v>
      </c>
      <c r="R313" s="729">
        <f t="shared" si="140"/>
        <v>499.67012384289217</v>
      </c>
      <c r="S313" s="729">
        <f t="shared" si="140"/>
        <v>499.33931834601185</v>
      </c>
      <c r="T313" s="729">
        <f t="shared" si="140"/>
        <v>499.01060493645628</v>
      </c>
      <c r="U313" s="729">
        <f t="shared" si="140"/>
        <v>498.6800318937232</v>
      </c>
      <c r="V313" s="729">
        <f t="shared" si="140"/>
        <v>503.51003189372312</v>
      </c>
      <c r="W313" s="729">
        <f t="shared" si="140"/>
        <v>523.5123564351951</v>
      </c>
      <c r="X313" s="729">
        <f t="shared" si="140"/>
        <v>523.5123564351951</v>
      </c>
      <c r="Y313" s="729">
        <f t="shared" si="140"/>
        <v>523.5123564351951</v>
      </c>
      <c r="Z313" s="729">
        <f t="shared" si="140"/>
        <v>523.5123564351951</v>
      </c>
      <c r="AA313" s="729">
        <f t="shared" si="140"/>
        <v>523.5123564351951</v>
      </c>
      <c r="AB313" s="729">
        <f t="shared" si="140"/>
        <v>521.51468097666714</v>
      </c>
      <c r="AC313" s="729">
        <f t="shared" si="140"/>
        <v>521.51468097666714</v>
      </c>
      <c r="AD313" s="729">
        <f t="shared" si="140"/>
        <v>521.51468097666714</v>
      </c>
      <c r="AE313" s="729">
        <f t="shared" si="140"/>
        <v>521.51468097666714</v>
      </c>
      <c r="AF313" s="729">
        <f t="shared" si="140"/>
        <v>521.51468097666714</v>
      </c>
      <c r="AG313" s="729">
        <f t="shared" si="140"/>
        <v>521.51468097666714</v>
      </c>
      <c r="AH313" s="729">
        <f t="shared" si="140"/>
        <v>521.51468097666714</v>
      </c>
      <c r="AI313" s="729">
        <f t="shared" si="140"/>
        <v>521.51700551813906</v>
      </c>
      <c r="AJ313" s="729">
        <f t="shared" si="140"/>
        <v>521.51700551813906</v>
      </c>
      <c r="AK313" s="729">
        <f t="shared" si="140"/>
        <v>521.51700551813906</v>
      </c>
      <c r="AL313" s="729"/>
      <c r="AM313" s="729"/>
      <c r="AN313" s="729"/>
      <c r="AO313" s="729"/>
      <c r="AP313" s="729"/>
      <c r="AQ313" s="729"/>
      <c r="AR313" s="729"/>
      <c r="AS313" s="729"/>
      <c r="AT313" s="729"/>
      <c r="AU313" s="729"/>
      <c r="AV313" s="729"/>
      <c r="AW313" s="729"/>
      <c r="AX313" s="729"/>
      <c r="AY313" s="729"/>
      <c r="AZ313" s="729"/>
      <c r="BA313" s="729"/>
      <c r="BB313" s="729"/>
      <c r="BC313" s="729"/>
      <c r="BD313" s="729"/>
      <c r="BE313" s="729"/>
      <c r="BF313" s="729"/>
      <c r="BG313" s="729"/>
      <c r="BH313" s="729"/>
      <c r="BI313" s="729"/>
      <c r="BJ313" s="729"/>
      <c r="BK313" s="729"/>
      <c r="BL313" s="729"/>
      <c r="BM313" s="729"/>
      <c r="BN313" s="729"/>
      <c r="BO313" s="729"/>
      <c r="BP313" s="729"/>
      <c r="BQ313" s="729"/>
      <c r="BR313" s="729"/>
      <c r="BS313" s="729"/>
      <c r="BT313" s="729"/>
      <c r="BU313" s="729"/>
      <c r="BV313" s="729"/>
      <c r="BW313" s="729"/>
      <c r="BX313" s="729"/>
      <c r="BY313" s="729"/>
      <c r="BZ313" s="729"/>
      <c r="CA313" s="729"/>
      <c r="CB313" s="729"/>
      <c r="CC313" s="729"/>
      <c r="CD313" s="729"/>
      <c r="CE313" s="729"/>
      <c r="CF313" s="729"/>
      <c r="CG313" s="729"/>
      <c r="CH313" s="729"/>
      <c r="CI313" s="729"/>
      <c r="CK313" s="1296"/>
    </row>
    <row r="314" spans="2:89" x14ac:dyDescent="0.2">
      <c r="B314" s="948" t="s">
        <v>702</v>
      </c>
      <c r="C314" s="949" t="s">
        <v>489</v>
      </c>
      <c r="D314" s="950" t="s">
        <v>703</v>
      </c>
      <c r="E314" s="951" t="s">
        <v>236</v>
      </c>
      <c r="F314" s="952">
        <v>2</v>
      </c>
      <c r="G314" s="735">
        <f t="shared" ref="G314:AK314" si="141">G224+G288</f>
        <v>0</v>
      </c>
      <c r="H314" s="735">
        <f t="shared" si="141"/>
        <v>0</v>
      </c>
      <c r="I314" s="735">
        <f t="shared" si="141"/>
        <v>51.907506962385213</v>
      </c>
      <c r="J314" s="735">
        <f t="shared" si="141"/>
        <v>51.097466225332852</v>
      </c>
      <c r="K314" s="735">
        <f t="shared" si="141"/>
        <v>53.590736314624273</v>
      </c>
      <c r="L314" s="735">
        <f t="shared" si="141"/>
        <v>56.041172291154297</v>
      </c>
      <c r="M314" s="736">
        <f t="shared" si="141"/>
        <v>60.204233613187156</v>
      </c>
      <c r="N314" s="736">
        <f t="shared" si="141"/>
        <v>60.805148374087288</v>
      </c>
      <c r="O314" s="736">
        <f t="shared" si="141"/>
        <v>59.782033786081328</v>
      </c>
      <c r="P314" s="736">
        <f t="shared" si="141"/>
        <v>60.964932093112814</v>
      </c>
      <c r="Q314" s="736">
        <f t="shared" si="141"/>
        <v>61.620606944442905</v>
      </c>
      <c r="R314" s="736">
        <f t="shared" si="141"/>
        <v>61.583156991827309</v>
      </c>
      <c r="S314" s="736">
        <f t="shared" si="141"/>
        <v>61.08068806210543</v>
      </c>
      <c r="T314" s="736">
        <f t="shared" si="141"/>
        <v>60.922138492704519</v>
      </c>
      <c r="U314" s="736">
        <f t="shared" si="141"/>
        <v>60.601546694224901</v>
      </c>
      <c r="V314" s="736">
        <f t="shared" si="141"/>
        <v>59.962840876627453</v>
      </c>
      <c r="W314" s="736">
        <f t="shared" si="141"/>
        <v>59.21512368299927</v>
      </c>
      <c r="X314" s="736">
        <f t="shared" si="141"/>
        <v>58.129488877332136</v>
      </c>
      <c r="Y314" s="736">
        <f t="shared" si="141"/>
        <v>57.08786523430652</v>
      </c>
      <c r="Z314" s="736">
        <f t="shared" si="141"/>
        <v>56.561103088850913</v>
      </c>
      <c r="AA314" s="736">
        <f t="shared" si="141"/>
        <v>56.54889313827632</v>
      </c>
      <c r="AB314" s="736">
        <f t="shared" si="141"/>
        <v>56.536596178678245</v>
      </c>
      <c r="AC314" s="736">
        <f t="shared" si="141"/>
        <v>56.522608874813628</v>
      </c>
      <c r="AD314" s="736">
        <f t="shared" si="141"/>
        <v>56.50772260452014</v>
      </c>
      <c r="AE314" s="736">
        <f t="shared" si="141"/>
        <v>56.49325502689868</v>
      </c>
      <c r="AF314" s="736">
        <f t="shared" si="141"/>
        <v>56.481345295311733</v>
      </c>
      <c r="AG314" s="736">
        <f t="shared" si="141"/>
        <v>56.471072232674906</v>
      </c>
      <c r="AH314" s="736">
        <f t="shared" si="141"/>
        <v>56.461425959418527</v>
      </c>
      <c r="AI314" s="736">
        <f t="shared" si="141"/>
        <v>56.452321087610535</v>
      </c>
      <c r="AJ314" s="736">
        <f t="shared" si="141"/>
        <v>56.444107923389481</v>
      </c>
      <c r="AK314" s="736">
        <f t="shared" si="141"/>
        <v>56.436209097877374</v>
      </c>
      <c r="AL314" s="736"/>
      <c r="AM314" s="736"/>
      <c r="AN314" s="736"/>
      <c r="AO314" s="736"/>
      <c r="AP314" s="736"/>
      <c r="AQ314" s="736"/>
      <c r="AR314" s="736"/>
      <c r="AS314" s="736"/>
      <c r="AT314" s="736"/>
      <c r="AU314" s="736"/>
      <c r="AV314" s="736"/>
      <c r="AW314" s="736"/>
      <c r="AX314" s="736"/>
      <c r="AY314" s="736"/>
      <c r="AZ314" s="736"/>
      <c r="BA314" s="736"/>
      <c r="BB314" s="736"/>
      <c r="BC314" s="736"/>
      <c r="BD314" s="736"/>
      <c r="BE314" s="736"/>
      <c r="BF314" s="736"/>
      <c r="BG314" s="736"/>
      <c r="BH314" s="736"/>
      <c r="BI314" s="736"/>
      <c r="BJ314" s="736"/>
      <c r="BK314" s="736"/>
      <c r="BL314" s="736"/>
      <c r="BM314" s="736"/>
      <c r="BN314" s="736"/>
      <c r="BO314" s="736"/>
      <c r="BP314" s="736"/>
      <c r="BQ314" s="736"/>
      <c r="BR314" s="736"/>
      <c r="BS314" s="736"/>
      <c r="BT314" s="736"/>
      <c r="BU314" s="736"/>
      <c r="BV314" s="736"/>
      <c r="BW314" s="736"/>
      <c r="BX314" s="736"/>
      <c r="BY314" s="736"/>
      <c r="BZ314" s="736"/>
      <c r="CA314" s="736"/>
      <c r="CB314" s="736"/>
      <c r="CC314" s="736"/>
      <c r="CD314" s="736"/>
      <c r="CE314" s="736"/>
      <c r="CF314" s="736"/>
      <c r="CG314" s="736"/>
      <c r="CH314" s="736"/>
      <c r="CI314" s="737"/>
      <c r="CK314" s="1296"/>
    </row>
    <row r="315" spans="2:89" x14ac:dyDescent="0.2">
      <c r="B315" s="953" t="s">
        <v>704</v>
      </c>
      <c r="C315" s="954" t="s">
        <v>705</v>
      </c>
      <c r="D315" s="955" t="s">
        <v>86</v>
      </c>
      <c r="E315" s="956" t="s">
        <v>236</v>
      </c>
      <c r="F315" s="957">
        <v>2</v>
      </c>
      <c r="G315" s="540"/>
      <c r="H315" s="1008"/>
      <c r="I315" s="1008">
        <v>0</v>
      </c>
      <c r="J315" s="1008">
        <v>0</v>
      </c>
      <c r="K315" s="1008">
        <v>0</v>
      </c>
      <c r="L315" s="1008">
        <v>0</v>
      </c>
      <c r="M315" s="1344">
        <v>0</v>
      </c>
      <c r="N315" s="1344">
        <v>0</v>
      </c>
      <c r="O315" s="1344">
        <v>0</v>
      </c>
      <c r="P315" s="1344">
        <v>0</v>
      </c>
      <c r="Q315" s="1344">
        <v>0</v>
      </c>
      <c r="R315" s="1344">
        <v>0</v>
      </c>
      <c r="S315" s="1344">
        <v>0</v>
      </c>
      <c r="T315" s="1344">
        <v>0</v>
      </c>
      <c r="U315" s="1344">
        <v>0</v>
      </c>
      <c r="V315" s="1344">
        <v>0</v>
      </c>
      <c r="W315" s="1344">
        <v>0</v>
      </c>
      <c r="X315" s="1344">
        <v>0</v>
      </c>
      <c r="Y315" s="1344">
        <v>0</v>
      </c>
      <c r="Z315" s="1344">
        <v>0</v>
      </c>
      <c r="AA315" s="1344">
        <v>0</v>
      </c>
      <c r="AB315" s="1344">
        <v>0</v>
      </c>
      <c r="AC315" s="1344">
        <v>0</v>
      </c>
      <c r="AD315" s="1344">
        <v>0</v>
      </c>
      <c r="AE315" s="1344">
        <v>0</v>
      </c>
      <c r="AF315" s="1344">
        <v>0</v>
      </c>
      <c r="AG315" s="1344">
        <v>0</v>
      </c>
      <c r="AH315" s="1344">
        <v>0</v>
      </c>
      <c r="AI315" s="1344">
        <v>0</v>
      </c>
      <c r="AJ315" s="1344">
        <v>0</v>
      </c>
      <c r="AK315" s="1344">
        <v>0</v>
      </c>
      <c r="AL315" s="1344"/>
      <c r="AM315" s="1344"/>
      <c r="AN315" s="1344"/>
      <c r="AO315" s="1344"/>
      <c r="AP315" s="1344"/>
      <c r="AQ315" s="1344"/>
      <c r="AR315" s="1344"/>
      <c r="AS315" s="1344"/>
      <c r="AT315" s="1344"/>
      <c r="AU315" s="1344"/>
      <c r="AV315" s="1344"/>
      <c r="AW315" s="1344"/>
      <c r="AX315" s="1344"/>
      <c r="AY315" s="1344"/>
      <c r="AZ315" s="1344"/>
      <c r="BA315" s="1344"/>
      <c r="BB315" s="1344"/>
      <c r="BC315" s="1344"/>
      <c r="BD315" s="1344"/>
      <c r="BE315" s="1344"/>
      <c r="BF315" s="1344"/>
      <c r="BG315" s="1344"/>
      <c r="BH315" s="1344"/>
      <c r="BI315" s="1344"/>
      <c r="BJ315" s="1344"/>
      <c r="BK315" s="1344"/>
      <c r="BL315" s="1344"/>
      <c r="BM315" s="1344"/>
      <c r="BN315" s="1344"/>
      <c r="BO315" s="1344"/>
      <c r="BP315" s="1344"/>
      <c r="BQ315" s="1344"/>
      <c r="BR315" s="1344"/>
      <c r="BS315" s="1344"/>
      <c r="BT315" s="1344"/>
      <c r="BU315" s="1344"/>
      <c r="BV315" s="1344"/>
      <c r="BW315" s="1344"/>
      <c r="BX315" s="1344"/>
      <c r="BY315" s="1344"/>
      <c r="BZ315" s="1344"/>
      <c r="CA315" s="1344"/>
      <c r="CB315" s="1344"/>
      <c r="CC315" s="1344"/>
      <c r="CD315" s="1344"/>
      <c r="CE315" s="1344"/>
      <c r="CF315" s="1344"/>
      <c r="CG315" s="1344"/>
      <c r="CH315" s="1344"/>
      <c r="CI315" s="1344"/>
      <c r="CK315" s="1296"/>
    </row>
    <row r="316" spans="2:89" x14ac:dyDescent="0.2">
      <c r="B316" s="953" t="s">
        <v>706</v>
      </c>
      <c r="C316" s="954" t="s">
        <v>493</v>
      </c>
      <c r="D316" s="955" t="s">
        <v>707</v>
      </c>
      <c r="E316" s="956" t="s">
        <v>236</v>
      </c>
      <c r="F316" s="957">
        <v>2</v>
      </c>
      <c r="G316" s="569">
        <f t="shared" ref="G316:AK318" si="142">G226+G289</f>
        <v>0</v>
      </c>
      <c r="H316" s="569">
        <f t="shared" si="142"/>
        <v>0</v>
      </c>
      <c r="I316" s="569">
        <f t="shared" si="142"/>
        <v>0.96834019650590819</v>
      </c>
      <c r="J316" s="569">
        <f t="shared" si="142"/>
        <v>0.96149187075335063</v>
      </c>
      <c r="K316" s="569">
        <f t="shared" si="142"/>
        <v>0.94933810018513609</v>
      </c>
      <c r="L316" s="569">
        <f t="shared" si="142"/>
        <v>0.93721838003333457</v>
      </c>
      <c r="M316" s="718">
        <f t="shared" si="142"/>
        <v>0.99081450299965446</v>
      </c>
      <c r="N316" s="718">
        <f t="shared" si="142"/>
        <v>0.80417782182166875</v>
      </c>
      <c r="O316" s="718">
        <f t="shared" si="142"/>
        <v>0.61863436433548957</v>
      </c>
      <c r="P316" s="718">
        <f t="shared" si="142"/>
        <v>0.43323348098199022</v>
      </c>
      <c r="Q316" s="718">
        <f t="shared" si="142"/>
        <v>0.29543453477766279</v>
      </c>
      <c r="R316" s="718">
        <f t="shared" si="142"/>
        <v>0.24787966537101025</v>
      </c>
      <c r="S316" s="718">
        <f t="shared" si="142"/>
        <v>0.24730993092538389</v>
      </c>
      <c r="T316" s="718">
        <f t="shared" si="142"/>
        <v>0.24674056205445671</v>
      </c>
      <c r="U316" s="718">
        <f t="shared" si="142"/>
        <v>0.24617155875822883</v>
      </c>
      <c r="V316" s="718">
        <f t="shared" si="142"/>
        <v>0.24560292103670001</v>
      </c>
      <c r="W316" s="718">
        <f t="shared" si="142"/>
        <v>0.24503464888987048</v>
      </c>
      <c r="X316" s="718">
        <f t="shared" si="142"/>
        <v>0.24446674231774002</v>
      </c>
      <c r="Y316" s="718">
        <f t="shared" si="142"/>
        <v>0.24389920132030873</v>
      </c>
      <c r="Z316" s="718">
        <f t="shared" si="142"/>
        <v>0.24333202589757663</v>
      </c>
      <c r="AA316" s="718">
        <f t="shared" si="142"/>
        <v>0.24276521604954382</v>
      </c>
      <c r="AB316" s="718">
        <f t="shared" si="142"/>
        <v>0.24219877177621008</v>
      </c>
      <c r="AC316" s="718">
        <f t="shared" si="142"/>
        <v>0.24163269307757551</v>
      </c>
      <c r="AD316" s="718">
        <f t="shared" si="142"/>
        <v>0.24106697995364024</v>
      </c>
      <c r="AE316" s="718">
        <f t="shared" si="142"/>
        <v>0.24050163240440403</v>
      </c>
      <c r="AF316" s="718">
        <f t="shared" si="142"/>
        <v>0.239936650429867</v>
      </c>
      <c r="AG316" s="718">
        <f t="shared" si="142"/>
        <v>0.23937203403002927</v>
      </c>
      <c r="AH316" s="718">
        <f t="shared" si="142"/>
        <v>0.2388077832048906</v>
      </c>
      <c r="AI316" s="718">
        <f t="shared" si="142"/>
        <v>0.23824389795445111</v>
      </c>
      <c r="AJ316" s="718">
        <f t="shared" si="142"/>
        <v>0.23768037827871091</v>
      </c>
      <c r="AK316" s="718">
        <f t="shared" si="142"/>
        <v>0.23711722417766978</v>
      </c>
      <c r="AL316" s="718"/>
      <c r="AM316" s="718"/>
      <c r="AN316" s="718"/>
      <c r="AO316" s="718"/>
      <c r="AP316" s="718"/>
      <c r="AQ316" s="718"/>
      <c r="AR316" s="718"/>
      <c r="AS316" s="718"/>
      <c r="AT316" s="718"/>
      <c r="AU316" s="718"/>
      <c r="AV316" s="718"/>
      <c r="AW316" s="718"/>
      <c r="AX316" s="718"/>
      <c r="AY316" s="718"/>
      <c r="AZ316" s="718"/>
      <c r="BA316" s="718"/>
      <c r="BB316" s="718"/>
      <c r="BC316" s="718"/>
      <c r="BD316" s="718"/>
      <c r="BE316" s="718"/>
      <c r="BF316" s="718"/>
      <c r="BG316" s="718"/>
      <c r="BH316" s="718"/>
      <c r="BI316" s="718"/>
      <c r="BJ316" s="718"/>
      <c r="BK316" s="718"/>
      <c r="BL316" s="718"/>
      <c r="BM316" s="718"/>
      <c r="BN316" s="718"/>
      <c r="BO316" s="718"/>
      <c r="BP316" s="718"/>
      <c r="BQ316" s="718"/>
      <c r="BR316" s="718"/>
      <c r="BS316" s="718"/>
      <c r="BT316" s="718"/>
      <c r="BU316" s="718"/>
      <c r="BV316" s="718"/>
      <c r="BW316" s="718"/>
      <c r="BX316" s="718"/>
      <c r="BY316" s="718"/>
      <c r="BZ316" s="718"/>
      <c r="CA316" s="718"/>
      <c r="CB316" s="718"/>
      <c r="CC316" s="718"/>
      <c r="CD316" s="718"/>
      <c r="CE316" s="718"/>
      <c r="CF316" s="718"/>
      <c r="CG316" s="718"/>
      <c r="CH316" s="718"/>
      <c r="CI316" s="719"/>
      <c r="CK316" s="1296"/>
    </row>
    <row r="317" spans="2:89" x14ac:dyDescent="0.2">
      <c r="B317" s="953" t="s">
        <v>708</v>
      </c>
      <c r="C317" s="954" t="s">
        <v>495</v>
      </c>
      <c r="D317" s="955" t="s">
        <v>709</v>
      </c>
      <c r="E317" s="956" t="s">
        <v>236</v>
      </c>
      <c r="F317" s="957">
        <v>2</v>
      </c>
      <c r="G317" s="569">
        <f t="shared" si="142"/>
        <v>0</v>
      </c>
      <c r="H317" s="569">
        <f t="shared" si="142"/>
        <v>0</v>
      </c>
      <c r="I317" s="569">
        <f t="shared" si="142"/>
        <v>193.06968281289173</v>
      </c>
      <c r="J317" s="569">
        <f t="shared" si="142"/>
        <v>193.84528002434783</v>
      </c>
      <c r="K317" s="569">
        <f t="shared" si="142"/>
        <v>198.50959180268279</v>
      </c>
      <c r="L317" s="569">
        <f t="shared" si="142"/>
        <v>203.48618848930997</v>
      </c>
      <c r="M317" s="718">
        <f t="shared" si="142"/>
        <v>223.68840735558388</v>
      </c>
      <c r="N317" s="718">
        <f t="shared" si="142"/>
        <v>253.73527754443055</v>
      </c>
      <c r="O317" s="718">
        <f t="shared" si="142"/>
        <v>270.71187370762203</v>
      </c>
      <c r="P317" s="718">
        <f t="shared" si="142"/>
        <v>279.66852807390057</v>
      </c>
      <c r="Q317" s="718">
        <f t="shared" si="142"/>
        <v>288.49864046914882</v>
      </c>
      <c r="R317" s="718">
        <f t="shared" si="142"/>
        <v>295.41427462253051</v>
      </c>
      <c r="S317" s="718">
        <f t="shared" si="142"/>
        <v>301.28221683265053</v>
      </c>
      <c r="T317" s="718">
        <f t="shared" si="142"/>
        <v>306.4427813362413</v>
      </c>
      <c r="U317" s="718">
        <f t="shared" si="142"/>
        <v>310.77587789430856</v>
      </c>
      <c r="V317" s="718">
        <f t="shared" si="142"/>
        <v>314.9794701503011</v>
      </c>
      <c r="W317" s="718">
        <f t="shared" si="142"/>
        <v>316.79359782925854</v>
      </c>
      <c r="X317" s="718">
        <f t="shared" si="142"/>
        <v>314.73539930710245</v>
      </c>
      <c r="Y317" s="718">
        <f t="shared" si="142"/>
        <v>312.7043773651331</v>
      </c>
      <c r="Z317" s="718">
        <f t="shared" si="142"/>
        <v>310.8394733115889</v>
      </c>
      <c r="AA317" s="718">
        <f t="shared" si="142"/>
        <v>309.04370120824694</v>
      </c>
      <c r="AB317" s="718">
        <f t="shared" si="142"/>
        <v>307.00469245883767</v>
      </c>
      <c r="AC317" s="718">
        <f t="shared" si="142"/>
        <v>305.33029822067357</v>
      </c>
      <c r="AD317" s="718">
        <f t="shared" si="142"/>
        <v>303.79450076629371</v>
      </c>
      <c r="AE317" s="718">
        <f t="shared" si="142"/>
        <v>303.32036094596197</v>
      </c>
      <c r="AF317" s="718">
        <f t="shared" si="142"/>
        <v>302.95102856978298</v>
      </c>
      <c r="AG317" s="718">
        <f t="shared" si="142"/>
        <v>304.46041187744549</v>
      </c>
      <c r="AH317" s="718">
        <f t="shared" si="142"/>
        <v>306.08365149575263</v>
      </c>
      <c r="AI317" s="718">
        <f t="shared" si="142"/>
        <v>307.77459605289437</v>
      </c>
      <c r="AJ317" s="718">
        <f t="shared" si="142"/>
        <v>309.54396489108808</v>
      </c>
      <c r="AK317" s="718">
        <f t="shared" si="142"/>
        <v>311.33839982156246</v>
      </c>
      <c r="AL317" s="718"/>
      <c r="AM317" s="718"/>
      <c r="AN317" s="718"/>
      <c r="AO317" s="718"/>
      <c r="AP317" s="718"/>
      <c r="AQ317" s="718"/>
      <c r="AR317" s="718"/>
      <c r="AS317" s="718"/>
      <c r="AT317" s="718"/>
      <c r="AU317" s="718"/>
      <c r="AV317" s="718"/>
      <c r="AW317" s="718"/>
      <c r="AX317" s="718"/>
      <c r="AY317" s="718"/>
      <c r="AZ317" s="718"/>
      <c r="BA317" s="718"/>
      <c r="BB317" s="718"/>
      <c r="BC317" s="718"/>
      <c r="BD317" s="718"/>
      <c r="BE317" s="718"/>
      <c r="BF317" s="718"/>
      <c r="BG317" s="718"/>
      <c r="BH317" s="718"/>
      <c r="BI317" s="718"/>
      <c r="BJ317" s="718"/>
      <c r="BK317" s="718"/>
      <c r="BL317" s="718"/>
      <c r="BM317" s="718"/>
      <c r="BN317" s="718"/>
      <c r="BO317" s="718"/>
      <c r="BP317" s="718"/>
      <c r="BQ317" s="718"/>
      <c r="BR317" s="718"/>
      <c r="BS317" s="718"/>
      <c r="BT317" s="718"/>
      <c r="BU317" s="718"/>
      <c r="BV317" s="718"/>
      <c r="BW317" s="718"/>
      <c r="BX317" s="718"/>
      <c r="BY317" s="718"/>
      <c r="BZ317" s="718"/>
      <c r="CA317" s="718"/>
      <c r="CB317" s="718"/>
      <c r="CC317" s="718"/>
      <c r="CD317" s="718"/>
      <c r="CE317" s="718"/>
      <c r="CF317" s="718"/>
      <c r="CG317" s="718"/>
      <c r="CH317" s="718"/>
      <c r="CI317" s="719"/>
      <c r="CK317" s="1296"/>
    </row>
    <row r="318" spans="2:89" x14ac:dyDescent="0.2">
      <c r="B318" s="953" t="s">
        <v>710</v>
      </c>
      <c r="C318" s="954" t="s">
        <v>497</v>
      </c>
      <c r="D318" s="955" t="s">
        <v>711</v>
      </c>
      <c r="E318" s="956" t="s">
        <v>236</v>
      </c>
      <c r="F318" s="957">
        <v>2</v>
      </c>
      <c r="G318" s="569">
        <f t="shared" si="142"/>
        <v>0</v>
      </c>
      <c r="H318" s="569">
        <f t="shared" si="142"/>
        <v>0</v>
      </c>
      <c r="I318" s="569">
        <f t="shared" si="142"/>
        <v>199.62638002621438</v>
      </c>
      <c r="J318" s="569">
        <f t="shared" si="142"/>
        <v>191.66163825975897</v>
      </c>
      <c r="K318" s="569">
        <f t="shared" si="142"/>
        <v>183.75781518889193</v>
      </c>
      <c r="L318" s="569">
        <f t="shared" si="142"/>
        <v>173.81241925387025</v>
      </c>
      <c r="M318" s="718">
        <f t="shared" si="142"/>
        <v>146.64566579160712</v>
      </c>
      <c r="N318" s="718">
        <f t="shared" si="142"/>
        <v>110.48026445796032</v>
      </c>
      <c r="O318" s="718">
        <f t="shared" si="142"/>
        <v>89.851486926962423</v>
      </c>
      <c r="P318" s="718">
        <f t="shared" si="142"/>
        <v>77.487175475898638</v>
      </c>
      <c r="Q318" s="718">
        <f t="shared" si="142"/>
        <v>64.393907006145085</v>
      </c>
      <c r="R318" s="718">
        <f t="shared" si="142"/>
        <v>52.764080583714573</v>
      </c>
      <c r="S318" s="718">
        <f t="shared" si="142"/>
        <v>42.609352080186412</v>
      </c>
      <c r="T318" s="718">
        <f t="shared" si="142"/>
        <v>32.705379638797623</v>
      </c>
      <c r="U318" s="718">
        <f t="shared" si="142"/>
        <v>22.972582092438103</v>
      </c>
      <c r="V318" s="718">
        <f t="shared" si="142"/>
        <v>13.483512400630559</v>
      </c>
      <c r="W318" s="718">
        <f t="shared" si="142"/>
        <v>8.7046327760590003</v>
      </c>
      <c r="X318" s="718">
        <f t="shared" si="142"/>
        <v>8.5472769285988193</v>
      </c>
      <c r="Y318" s="718">
        <f t="shared" si="142"/>
        <v>8.3916287886796539</v>
      </c>
      <c r="Z318" s="718">
        <f t="shared" si="142"/>
        <v>8.239268156099385</v>
      </c>
      <c r="AA318" s="718">
        <f t="shared" si="142"/>
        <v>8.087817333347644</v>
      </c>
      <c r="AB318" s="718">
        <f t="shared" si="142"/>
        <v>7.940303077414967</v>
      </c>
      <c r="AC318" s="718">
        <f t="shared" si="142"/>
        <v>7.7942782099389092</v>
      </c>
      <c r="AD318" s="718">
        <f t="shared" si="142"/>
        <v>7.6520202852745172</v>
      </c>
      <c r="AE318" s="718">
        <f t="shared" si="142"/>
        <v>7.5370050797251196</v>
      </c>
      <c r="AF318" s="718">
        <f t="shared" si="142"/>
        <v>7.423669731620592</v>
      </c>
      <c r="AG318" s="718">
        <f t="shared" si="142"/>
        <v>7.3596093462241612</v>
      </c>
      <c r="AH318" s="718">
        <f t="shared" si="142"/>
        <v>7.2980036455335693</v>
      </c>
      <c r="AI318" s="718">
        <f t="shared" si="142"/>
        <v>7.2364228534861326</v>
      </c>
      <c r="AJ318" s="718">
        <f t="shared" si="142"/>
        <v>7.1756632605530655</v>
      </c>
      <c r="AK318" s="718">
        <f t="shared" si="142"/>
        <v>7.114900805106501</v>
      </c>
      <c r="AL318" s="718"/>
      <c r="AM318" s="718"/>
      <c r="AN318" s="718"/>
      <c r="AO318" s="718"/>
      <c r="AP318" s="718"/>
      <c r="AQ318" s="718"/>
      <c r="AR318" s="718"/>
      <c r="AS318" s="718"/>
      <c r="AT318" s="718"/>
      <c r="AU318" s="718"/>
      <c r="AV318" s="718"/>
      <c r="AW318" s="718"/>
      <c r="AX318" s="718"/>
      <c r="AY318" s="718"/>
      <c r="AZ318" s="718"/>
      <c r="BA318" s="718"/>
      <c r="BB318" s="718"/>
      <c r="BC318" s="718"/>
      <c r="BD318" s="718"/>
      <c r="BE318" s="718"/>
      <c r="BF318" s="718"/>
      <c r="BG318" s="718"/>
      <c r="BH318" s="718"/>
      <c r="BI318" s="718"/>
      <c r="BJ318" s="718"/>
      <c r="BK318" s="718"/>
      <c r="BL318" s="718"/>
      <c r="BM318" s="718"/>
      <c r="BN318" s="718"/>
      <c r="BO318" s="718"/>
      <c r="BP318" s="718"/>
      <c r="BQ318" s="718"/>
      <c r="BR318" s="718"/>
      <c r="BS318" s="718"/>
      <c r="BT318" s="718"/>
      <c r="BU318" s="718"/>
      <c r="BV318" s="718"/>
      <c r="BW318" s="718"/>
      <c r="BX318" s="718"/>
      <c r="BY318" s="718"/>
      <c r="BZ318" s="718"/>
      <c r="CA318" s="718"/>
      <c r="CB318" s="718"/>
      <c r="CC318" s="718"/>
      <c r="CD318" s="718"/>
      <c r="CE318" s="718"/>
      <c r="CF318" s="718"/>
      <c r="CG318" s="718"/>
      <c r="CH318" s="718"/>
      <c r="CI318" s="719"/>
      <c r="CK318" s="1296"/>
    </row>
    <row r="319" spans="2:89" ht="28.5" x14ac:dyDescent="0.2">
      <c r="B319" s="953" t="s">
        <v>712</v>
      </c>
      <c r="C319" s="954" t="s">
        <v>499</v>
      </c>
      <c r="D319" s="955" t="s">
        <v>498</v>
      </c>
      <c r="E319" s="956" t="s">
        <v>375</v>
      </c>
      <c r="F319" s="957">
        <v>1</v>
      </c>
      <c r="G319" s="743">
        <f t="shared" ref="G319:AK319" si="143">G229</f>
        <v>0</v>
      </c>
      <c r="H319" s="743">
        <f t="shared" si="143"/>
        <v>0</v>
      </c>
      <c r="I319" s="743">
        <f t="shared" si="143"/>
        <v>0</v>
      </c>
      <c r="J319" s="743">
        <f t="shared" si="143"/>
        <v>6.0040738255189791E-3</v>
      </c>
      <c r="K319" s="743">
        <f t="shared" si="143"/>
        <v>6.3175735574846122E-3</v>
      </c>
      <c r="L319" s="743">
        <f t="shared" si="143"/>
        <v>6.5399105400153036E-3</v>
      </c>
      <c r="M319" s="744">
        <f t="shared" si="143"/>
        <v>7.8436317936706416E-3</v>
      </c>
      <c r="N319" s="744">
        <f t="shared" si="143"/>
        <v>8.379022642860872E-3</v>
      </c>
      <c r="O319" s="744">
        <f t="shared" si="143"/>
        <v>8.9492659263386756E-3</v>
      </c>
      <c r="P319" s="744">
        <f t="shared" si="143"/>
        <v>9.4764133656212671E-3</v>
      </c>
      <c r="Q319" s="744">
        <f t="shared" si="143"/>
        <v>1.0014007828358292E-2</v>
      </c>
      <c r="R319" s="744">
        <f t="shared" si="143"/>
        <v>1.0636488036491308E-2</v>
      </c>
      <c r="S319" s="744">
        <f t="shared" si="143"/>
        <v>1.1193168524105793E-2</v>
      </c>
      <c r="T319" s="744">
        <f t="shared" si="143"/>
        <v>1.1732202706692542E-2</v>
      </c>
      <c r="U319" s="744">
        <f t="shared" si="143"/>
        <v>1.2282825214065441E-2</v>
      </c>
      <c r="V319" s="744">
        <f t="shared" si="143"/>
        <v>1.28375889581837E-2</v>
      </c>
      <c r="W319" s="744">
        <f t="shared" si="143"/>
        <v>1.3474564702301343E-2</v>
      </c>
      <c r="X319" s="744">
        <f t="shared" si="143"/>
        <v>1.4045149259711939E-2</v>
      </c>
      <c r="Y319" s="744">
        <f t="shared" si="143"/>
        <v>1.4607834279659688E-2</v>
      </c>
      <c r="Z319" s="744">
        <f t="shared" si="143"/>
        <v>1.5177274361388824E-2</v>
      </c>
      <c r="AA319" s="744">
        <f t="shared" si="143"/>
        <v>1.5728705540969588E-2</v>
      </c>
      <c r="AB319" s="744">
        <f t="shared" si="143"/>
        <v>1.6350566483696153E-2</v>
      </c>
      <c r="AC319" s="744">
        <f t="shared" si="143"/>
        <v>1.6881959792681357E-2</v>
      </c>
      <c r="AD319" s="744">
        <f t="shared" si="143"/>
        <v>1.7442552370564971E-2</v>
      </c>
      <c r="AE319" s="744">
        <f t="shared" si="143"/>
        <v>1.8002163044699954E-2</v>
      </c>
      <c r="AF319" s="744">
        <f t="shared" si="143"/>
        <v>1.8560877708068448E-2</v>
      </c>
      <c r="AG319" s="744">
        <f t="shared" si="143"/>
        <v>1.9117847285735363E-2</v>
      </c>
      <c r="AH319" s="744">
        <f t="shared" si="143"/>
        <v>1.9673961707977129E-2</v>
      </c>
      <c r="AI319" s="744">
        <f t="shared" si="143"/>
        <v>2.022897895865446E-2</v>
      </c>
      <c r="AJ319" s="744">
        <f t="shared" si="143"/>
        <v>2.0782931254873852E-2</v>
      </c>
      <c r="AK319" s="744">
        <f t="shared" si="143"/>
        <v>2.1335093118910058E-2</v>
      </c>
      <c r="AL319" s="744"/>
      <c r="AM319" s="744"/>
      <c r="AN319" s="744"/>
      <c r="AO319" s="744"/>
      <c r="AP319" s="744"/>
      <c r="AQ319" s="744"/>
      <c r="AR319" s="744"/>
      <c r="AS319" s="744"/>
      <c r="AT319" s="744"/>
      <c r="AU319" s="744"/>
      <c r="AV319" s="744"/>
      <c r="AW319" s="744"/>
      <c r="AX319" s="744"/>
      <c r="AY319" s="744"/>
      <c r="AZ319" s="744"/>
      <c r="BA319" s="744"/>
      <c r="BB319" s="744"/>
      <c r="BC319" s="744"/>
      <c r="BD319" s="744"/>
      <c r="BE319" s="744"/>
      <c r="BF319" s="744"/>
      <c r="BG319" s="744"/>
      <c r="BH319" s="744"/>
      <c r="BI319" s="744"/>
      <c r="BJ319" s="744"/>
      <c r="BK319" s="744"/>
      <c r="BL319" s="744"/>
      <c r="BM319" s="744"/>
      <c r="BN319" s="744"/>
      <c r="BO319" s="744"/>
      <c r="BP319" s="744"/>
      <c r="BQ319" s="744"/>
      <c r="BR319" s="744"/>
      <c r="BS319" s="744"/>
      <c r="BT319" s="744"/>
      <c r="BU319" s="744"/>
      <c r="BV319" s="744"/>
      <c r="BW319" s="744"/>
      <c r="BX319" s="744"/>
      <c r="BY319" s="744"/>
      <c r="BZ319" s="744"/>
      <c r="CA319" s="744"/>
      <c r="CB319" s="744"/>
      <c r="CC319" s="744"/>
      <c r="CD319" s="744"/>
      <c r="CE319" s="744"/>
      <c r="CF319" s="744"/>
      <c r="CG319" s="744"/>
      <c r="CH319" s="744"/>
      <c r="CI319" s="745"/>
      <c r="CK319" s="1296"/>
    </row>
    <row r="320" spans="2:89" ht="28.5" x14ac:dyDescent="0.2">
      <c r="B320" s="953" t="s">
        <v>713</v>
      </c>
      <c r="C320" s="954" t="s">
        <v>501</v>
      </c>
      <c r="D320" s="955" t="s">
        <v>714</v>
      </c>
      <c r="E320" s="956" t="s">
        <v>236</v>
      </c>
      <c r="F320" s="957">
        <v>2</v>
      </c>
      <c r="G320" s="569">
        <f>G319*(G314+SUM(G316:G318)-SUM(G326:G329))</f>
        <v>0</v>
      </c>
      <c r="H320" s="569">
        <f t="shared" ref="H320" si="144">H319*(SUM(H314:H318)-SUM(H326:H329))</f>
        <v>0</v>
      </c>
      <c r="I320" s="569">
        <f t="shared" ref="I320" si="145">I319*(SUM(I314:I318)-SUM(I326:I329))</f>
        <v>0</v>
      </c>
      <c r="J320" s="569">
        <f t="shared" ref="J320:AK320" si="146">J319*(SUM(J314:J318)-SUM(J326:J329))</f>
        <v>2.5562228328667249</v>
      </c>
      <c r="K320" s="569">
        <f t="shared" si="146"/>
        <v>2.687679128972372</v>
      </c>
      <c r="L320" s="569">
        <f t="shared" si="146"/>
        <v>2.7686823655636963</v>
      </c>
      <c r="M320" s="569">
        <f t="shared" si="146"/>
        <v>3.3021944769600928</v>
      </c>
      <c r="N320" s="569">
        <f t="shared" si="146"/>
        <v>3.4848342196272126</v>
      </c>
      <c r="O320" s="569">
        <f t="shared" si="146"/>
        <v>3.6814170330404603</v>
      </c>
      <c r="P320" s="569">
        <f t="shared" si="146"/>
        <v>3.8772783571856109</v>
      </c>
      <c r="Q320" s="569">
        <f t="shared" si="146"/>
        <v>4.0620478162126767</v>
      </c>
      <c r="R320" s="569">
        <f t="shared" si="146"/>
        <v>4.2658382649847226</v>
      </c>
      <c r="S320" s="569">
        <f t="shared" si="146"/>
        <v>4.437763906824653</v>
      </c>
      <c r="T320" s="569">
        <f t="shared" si="146"/>
        <v>4.5963775449557795</v>
      </c>
      <c r="U320" s="569">
        <f t="shared" si="146"/>
        <v>4.7444216995143123</v>
      </c>
      <c r="V320" s="569">
        <f t="shared" si="146"/>
        <v>4.8852526509015499</v>
      </c>
      <c r="W320" s="569">
        <f t="shared" si="146"/>
        <v>5.0792872341690156</v>
      </c>
      <c r="X320" s="569">
        <f t="shared" si="146"/>
        <v>5.2486621430939042</v>
      </c>
      <c r="Y320" s="569">
        <f t="shared" si="146"/>
        <v>5.4124613516994273</v>
      </c>
      <c r="Z320" s="569">
        <f t="shared" si="146"/>
        <v>5.5855484605361099</v>
      </c>
      <c r="AA320" s="569">
        <f t="shared" si="146"/>
        <v>5.7584059106702048</v>
      </c>
      <c r="AB320" s="569">
        <f t="shared" si="146"/>
        <v>5.950893484305408</v>
      </c>
      <c r="AC320" s="569">
        <f t="shared" si="146"/>
        <v>6.1141280964658042</v>
      </c>
      <c r="AD320" s="569">
        <f t="shared" si="146"/>
        <v>6.2884575415118018</v>
      </c>
      <c r="AE320" s="569">
        <f t="shared" si="146"/>
        <v>6.4802044422484721</v>
      </c>
      <c r="AF320" s="569">
        <f t="shared" si="146"/>
        <v>6.6730363806002284</v>
      </c>
      <c r="AG320" s="569">
        <f t="shared" si="146"/>
        <v>6.9016401233950306</v>
      </c>
      <c r="AH320" s="569">
        <f t="shared" si="146"/>
        <v>7.1338946178931044</v>
      </c>
      <c r="AI320" s="569">
        <f t="shared" si="146"/>
        <v>7.368919661339099</v>
      </c>
      <c r="AJ320" s="569">
        <f t="shared" si="146"/>
        <v>7.6070834102670171</v>
      </c>
      <c r="AK320" s="569">
        <f t="shared" si="146"/>
        <v>7.8470800579112749</v>
      </c>
      <c r="AL320" s="569"/>
      <c r="AM320" s="569"/>
      <c r="AN320" s="569"/>
      <c r="AO320" s="569"/>
      <c r="AP320" s="569"/>
      <c r="AQ320" s="569"/>
      <c r="AR320" s="569"/>
      <c r="AS320" s="569"/>
      <c r="AT320" s="569"/>
      <c r="AU320" s="569"/>
      <c r="AV320" s="569"/>
      <c r="AW320" s="569"/>
      <c r="AX320" s="569"/>
      <c r="AY320" s="569"/>
      <c r="AZ320" s="569"/>
      <c r="BA320" s="569"/>
      <c r="BB320" s="569"/>
      <c r="BC320" s="569"/>
      <c r="BD320" s="569"/>
      <c r="BE320" s="569"/>
      <c r="BF320" s="569"/>
      <c r="BG320" s="569"/>
      <c r="BH320" s="569"/>
      <c r="BI320" s="569"/>
      <c r="BJ320" s="569"/>
      <c r="BK320" s="569"/>
      <c r="BL320" s="569"/>
      <c r="BM320" s="569"/>
      <c r="BN320" s="569"/>
      <c r="BO320" s="569"/>
      <c r="BP320" s="569"/>
      <c r="BQ320" s="569"/>
      <c r="BR320" s="569"/>
      <c r="BS320" s="569"/>
      <c r="BT320" s="569"/>
      <c r="BU320" s="569"/>
      <c r="BV320" s="569"/>
      <c r="BW320" s="569"/>
      <c r="BX320" s="569"/>
      <c r="BY320" s="569"/>
      <c r="BZ320" s="569"/>
      <c r="CA320" s="569"/>
      <c r="CB320" s="569"/>
      <c r="CC320" s="569"/>
      <c r="CD320" s="569"/>
      <c r="CE320" s="569"/>
      <c r="CF320" s="569"/>
      <c r="CG320" s="569"/>
      <c r="CH320" s="569"/>
      <c r="CI320" s="569"/>
      <c r="CK320" s="1296"/>
    </row>
    <row r="321" spans="2:89" x14ac:dyDescent="0.2">
      <c r="B321" s="953" t="s">
        <v>715</v>
      </c>
      <c r="C321" s="958" t="s">
        <v>305</v>
      </c>
      <c r="D321" s="959" t="s">
        <v>716</v>
      </c>
      <c r="E321" s="960" t="s">
        <v>239</v>
      </c>
      <c r="F321" s="961">
        <v>1</v>
      </c>
      <c r="G321" s="750" t="e">
        <f>(((G317-G328))*1000000)/((G350)*1000)</f>
        <v>#DIV/0!</v>
      </c>
      <c r="H321" s="750" t="e">
        <f t="shared" ref="H321:AK322" si="147">(((H317-H328))*1000000)/((H350)*1000)</f>
        <v>#DIV/0!</v>
      </c>
      <c r="I321" s="750">
        <f t="shared" si="147"/>
        <v>200.60904002592829</v>
      </c>
      <c r="J321" s="750">
        <f t="shared" si="147"/>
        <v>195.58574777593554</v>
      </c>
      <c r="K321" s="750">
        <f t="shared" si="147"/>
        <v>191.97417276545164</v>
      </c>
      <c r="L321" s="750">
        <f t="shared" si="147"/>
        <v>187.21791882831505</v>
      </c>
      <c r="M321" s="751">
        <f t="shared" si="147"/>
        <v>182.93554902999134</v>
      </c>
      <c r="N321" s="751">
        <f t="shared" si="147"/>
        <v>180.69287647942545</v>
      </c>
      <c r="O321" s="751">
        <f t="shared" si="147"/>
        <v>178.0329144604176</v>
      </c>
      <c r="P321" s="751">
        <f t="shared" si="147"/>
        <v>175.34310945899421</v>
      </c>
      <c r="Q321" s="751">
        <f t="shared" si="147"/>
        <v>172.85845261596711</v>
      </c>
      <c r="R321" s="751">
        <f t="shared" si="147"/>
        <v>170.68680102700353</v>
      </c>
      <c r="S321" s="751">
        <f t="shared" si="147"/>
        <v>168.50221181875625</v>
      </c>
      <c r="T321" s="751">
        <f t="shared" si="147"/>
        <v>166.48949691294331</v>
      </c>
      <c r="U321" s="751">
        <f t="shared" si="147"/>
        <v>164.05378504133753</v>
      </c>
      <c r="V321" s="751">
        <f t="shared" si="147"/>
        <v>161.79173074555501</v>
      </c>
      <c r="W321" s="751">
        <f t="shared" si="147"/>
        <v>160.09213501111788</v>
      </c>
      <c r="X321" s="751">
        <f t="shared" si="147"/>
        <v>158.30928431078823</v>
      </c>
      <c r="Y321" s="751">
        <f t="shared" si="147"/>
        <v>156.48637456320259</v>
      </c>
      <c r="Z321" s="751">
        <f t="shared" si="147"/>
        <v>154.70640527886002</v>
      </c>
      <c r="AA321" s="751">
        <f t="shared" si="147"/>
        <v>152.9256374415103</v>
      </c>
      <c r="AB321" s="751">
        <f t="shared" si="147"/>
        <v>151.04824716017529</v>
      </c>
      <c r="AC321" s="751">
        <f t="shared" si="147"/>
        <v>149.35358698117085</v>
      </c>
      <c r="AD321" s="751">
        <f t="shared" si="147"/>
        <v>147.7124306790551</v>
      </c>
      <c r="AE321" s="751">
        <f t="shared" si="147"/>
        <v>146.54884082741921</v>
      </c>
      <c r="AF321" s="751">
        <f t="shared" si="147"/>
        <v>145.39371859572364</v>
      </c>
      <c r="AG321" s="751">
        <f t="shared" si="147"/>
        <v>145.14567177822923</v>
      </c>
      <c r="AH321" s="751">
        <f t="shared" si="147"/>
        <v>144.93611420599814</v>
      </c>
      <c r="AI321" s="751">
        <f t="shared" si="147"/>
        <v>144.70888842881612</v>
      </c>
      <c r="AJ321" s="751">
        <f t="shared" si="147"/>
        <v>144.48406859009899</v>
      </c>
      <c r="AK321" s="751">
        <f t="shared" si="147"/>
        <v>144.25437155532632</v>
      </c>
      <c r="AL321" s="751"/>
      <c r="AM321" s="751"/>
      <c r="AN321" s="751"/>
      <c r="AO321" s="751"/>
      <c r="AP321" s="751"/>
      <c r="AQ321" s="751"/>
      <c r="AR321" s="751"/>
      <c r="AS321" s="751"/>
      <c r="AT321" s="751"/>
      <c r="AU321" s="751"/>
      <c r="AV321" s="751"/>
      <c r="AW321" s="751"/>
      <c r="AX321" s="751"/>
      <c r="AY321" s="751"/>
      <c r="AZ321" s="751"/>
      <c r="BA321" s="751"/>
      <c r="BB321" s="751"/>
      <c r="BC321" s="751"/>
      <c r="BD321" s="751"/>
      <c r="BE321" s="751"/>
      <c r="BF321" s="751"/>
      <c r="BG321" s="751"/>
      <c r="BH321" s="751"/>
      <c r="BI321" s="751"/>
      <c r="BJ321" s="751"/>
      <c r="BK321" s="751"/>
      <c r="BL321" s="751"/>
      <c r="BM321" s="751"/>
      <c r="BN321" s="751"/>
      <c r="BO321" s="751"/>
      <c r="BP321" s="751"/>
      <c r="BQ321" s="751"/>
      <c r="BR321" s="751"/>
      <c r="BS321" s="751"/>
      <c r="BT321" s="751"/>
      <c r="BU321" s="751"/>
      <c r="BV321" s="751"/>
      <c r="BW321" s="751"/>
      <c r="BX321" s="751"/>
      <c r="BY321" s="751"/>
      <c r="BZ321" s="751"/>
      <c r="CA321" s="751"/>
      <c r="CB321" s="751"/>
      <c r="CC321" s="751"/>
      <c r="CD321" s="751"/>
      <c r="CE321" s="751"/>
      <c r="CF321" s="751"/>
      <c r="CG321" s="751"/>
      <c r="CH321" s="751"/>
      <c r="CI321" s="752"/>
      <c r="CK321" s="1296"/>
    </row>
    <row r="322" spans="2:89" x14ac:dyDescent="0.2">
      <c r="B322" s="953" t="s">
        <v>717</v>
      </c>
      <c r="C322" s="958" t="s">
        <v>324</v>
      </c>
      <c r="D322" s="959" t="s">
        <v>718</v>
      </c>
      <c r="E322" s="960" t="s">
        <v>239</v>
      </c>
      <c r="F322" s="961">
        <v>1</v>
      </c>
      <c r="G322" s="750" t="e">
        <f>(((G318-G329))*1000000)/((G351)*1000)</f>
        <v>#DIV/0!</v>
      </c>
      <c r="H322" s="750" t="e">
        <f t="shared" si="147"/>
        <v>#DIV/0!</v>
      </c>
      <c r="I322" s="750">
        <f t="shared" si="147"/>
        <v>232.78113735608719</v>
      </c>
      <c r="J322" s="750">
        <f t="shared" si="147"/>
        <v>228.59455514734466</v>
      </c>
      <c r="K322" s="750">
        <f t="shared" si="147"/>
        <v>225.93032052483429</v>
      </c>
      <c r="L322" s="750">
        <f t="shared" si="147"/>
        <v>222.38551889209984</v>
      </c>
      <c r="M322" s="751">
        <f t="shared" si="147"/>
        <v>218.51497281445515</v>
      </c>
      <c r="N322" s="751">
        <f t="shared" si="147"/>
        <v>215.75334194174656</v>
      </c>
      <c r="O322" s="751">
        <f t="shared" si="147"/>
        <v>213.38205413313054</v>
      </c>
      <c r="P322" s="751">
        <f t="shared" si="147"/>
        <v>210.94979977499827</v>
      </c>
      <c r="Q322" s="751">
        <f t="shared" si="147"/>
        <v>208.49830995866142</v>
      </c>
      <c r="R322" s="751">
        <f t="shared" si="147"/>
        <v>206.24525163523725</v>
      </c>
      <c r="S322" s="751">
        <f t="shared" si="147"/>
        <v>204.12424082772995</v>
      </c>
      <c r="T322" s="751">
        <f t="shared" si="147"/>
        <v>202.02555686186989</v>
      </c>
      <c r="U322" s="751">
        <f t="shared" si="147"/>
        <v>199.41557653475809</v>
      </c>
      <c r="V322" s="751">
        <f t="shared" si="147"/>
        <v>196.84730667095909</v>
      </c>
      <c r="W322" s="751">
        <f t="shared" si="147"/>
        <v>194.91037067539185</v>
      </c>
      <c r="X322" s="751">
        <f t="shared" si="147"/>
        <v>193.06702766748583</v>
      </c>
      <c r="Y322" s="751">
        <f t="shared" si="147"/>
        <v>191.21425952828019</v>
      </c>
      <c r="Z322" s="751">
        <f t="shared" si="147"/>
        <v>189.38889617491932</v>
      </c>
      <c r="AA322" s="751">
        <f t="shared" si="147"/>
        <v>187.53499401538238</v>
      </c>
      <c r="AB322" s="751">
        <f t="shared" si="147"/>
        <v>185.72466866310481</v>
      </c>
      <c r="AC322" s="751">
        <f t="shared" si="147"/>
        <v>183.90110184077867</v>
      </c>
      <c r="AD322" s="751">
        <f t="shared" si="147"/>
        <v>182.12043235689202</v>
      </c>
      <c r="AE322" s="751">
        <f t="shared" si="147"/>
        <v>180.96336835491701</v>
      </c>
      <c r="AF322" s="751">
        <f t="shared" si="147"/>
        <v>179.80992757581203</v>
      </c>
      <c r="AG322" s="751">
        <f t="shared" si="147"/>
        <v>179.85466337190763</v>
      </c>
      <c r="AH322" s="751">
        <f t="shared" si="147"/>
        <v>179.94395828658048</v>
      </c>
      <c r="AI322" s="751">
        <f t="shared" si="147"/>
        <v>180.01725735734578</v>
      </c>
      <c r="AJ322" s="751">
        <f t="shared" si="147"/>
        <v>180.09427735768438</v>
      </c>
      <c r="AK322" s="751">
        <f t="shared" si="147"/>
        <v>180.1536663190833</v>
      </c>
      <c r="AL322" s="751"/>
      <c r="AM322" s="751"/>
      <c r="AN322" s="751"/>
      <c r="AO322" s="751"/>
      <c r="AP322" s="751"/>
      <c r="AQ322" s="751"/>
      <c r="AR322" s="751"/>
      <c r="AS322" s="751"/>
      <c r="AT322" s="751"/>
      <c r="AU322" s="751"/>
      <c r="AV322" s="751"/>
      <c r="AW322" s="751"/>
      <c r="AX322" s="751"/>
      <c r="AY322" s="751"/>
      <c r="AZ322" s="751"/>
      <c r="BA322" s="751"/>
      <c r="BB322" s="751"/>
      <c r="BC322" s="751"/>
      <c r="BD322" s="751"/>
      <c r="BE322" s="751"/>
      <c r="BF322" s="751"/>
      <c r="BG322" s="751"/>
      <c r="BH322" s="751"/>
      <c r="BI322" s="751"/>
      <c r="BJ322" s="751"/>
      <c r="BK322" s="751"/>
      <c r="BL322" s="751"/>
      <c r="BM322" s="751"/>
      <c r="BN322" s="751"/>
      <c r="BO322" s="751"/>
      <c r="BP322" s="751"/>
      <c r="BQ322" s="751"/>
      <c r="BR322" s="751"/>
      <c r="BS322" s="751"/>
      <c r="BT322" s="751"/>
      <c r="BU322" s="751"/>
      <c r="BV322" s="751"/>
      <c r="BW322" s="751"/>
      <c r="BX322" s="751"/>
      <c r="BY322" s="751"/>
      <c r="BZ322" s="751"/>
      <c r="CA322" s="751"/>
      <c r="CB322" s="751"/>
      <c r="CC322" s="751"/>
      <c r="CD322" s="751"/>
      <c r="CE322" s="751"/>
      <c r="CF322" s="751"/>
      <c r="CG322" s="751"/>
      <c r="CH322" s="751"/>
      <c r="CI322" s="752"/>
      <c r="CK322" s="1296"/>
    </row>
    <row r="323" spans="2:89" ht="28.5" x14ac:dyDescent="0.2">
      <c r="B323" s="953" t="s">
        <v>719</v>
      </c>
      <c r="C323" s="958" t="s">
        <v>238</v>
      </c>
      <c r="D323" s="959" t="s">
        <v>720</v>
      </c>
      <c r="E323" s="960" t="s">
        <v>239</v>
      </c>
      <c r="F323" s="961">
        <v>1</v>
      </c>
      <c r="G323" s="750" t="e">
        <f>(((G317-G328)+(G318-G329))*1000000)/((G350+G351)*1000)</f>
        <v>#DIV/0!</v>
      </c>
      <c r="H323" s="750" t="e">
        <f t="shared" ref="H323:AK323" si="148">(((H317-H328)+(H318-H329))*1000000)/((H350+H351)*1000)</f>
        <v>#DIV/0!</v>
      </c>
      <c r="I323" s="750">
        <f t="shared" si="148"/>
        <v>215.74401741153093</v>
      </c>
      <c r="J323" s="750">
        <f t="shared" si="148"/>
        <v>210.69178560416583</v>
      </c>
      <c r="K323" s="750">
        <f t="shared" si="148"/>
        <v>206.90675914523152</v>
      </c>
      <c r="L323" s="750">
        <f t="shared" si="148"/>
        <v>201.91733000298652</v>
      </c>
      <c r="M323" s="751">
        <f t="shared" si="148"/>
        <v>195.53153087109885</v>
      </c>
      <c r="N323" s="751">
        <f t="shared" si="148"/>
        <v>190.04565137133488</v>
      </c>
      <c r="O323" s="751">
        <f t="shared" si="148"/>
        <v>185.68124194635709</v>
      </c>
      <c r="P323" s="751">
        <f t="shared" si="148"/>
        <v>181.99062596714467</v>
      </c>
      <c r="Q323" s="751">
        <f t="shared" si="148"/>
        <v>178.40699729080609</v>
      </c>
      <c r="R323" s="751">
        <f t="shared" si="148"/>
        <v>175.25107154996078</v>
      </c>
      <c r="S323" s="751">
        <f t="shared" si="148"/>
        <v>172.21318725365683</v>
      </c>
      <c r="T323" s="751">
        <f t="shared" si="148"/>
        <v>169.35190860896989</v>
      </c>
      <c r="U323" s="751">
        <f t="shared" si="148"/>
        <v>166.07346352233003</v>
      </c>
      <c r="V323" s="751">
        <f t="shared" si="148"/>
        <v>162.97911538421539</v>
      </c>
      <c r="W323" s="751">
        <f t="shared" si="148"/>
        <v>160.85816398465869</v>
      </c>
      <c r="X323" s="751">
        <f t="shared" si="148"/>
        <v>159.06400935471083</v>
      </c>
      <c r="Y323" s="751">
        <f t="shared" si="148"/>
        <v>157.23030602151351</v>
      </c>
      <c r="Z323" s="751">
        <f t="shared" si="148"/>
        <v>155.4391124080162</v>
      </c>
      <c r="AA323" s="751">
        <f t="shared" si="148"/>
        <v>153.64648357883749</v>
      </c>
      <c r="AB323" s="751">
        <f t="shared" si="148"/>
        <v>151.76035714825412</v>
      </c>
      <c r="AC323" s="751">
        <f t="shared" si="148"/>
        <v>150.05302704529669</v>
      </c>
      <c r="AD323" s="751">
        <f t="shared" si="148"/>
        <v>148.39907327093096</v>
      </c>
      <c r="AE323" s="751">
        <f t="shared" si="148"/>
        <v>147.22550584370745</v>
      </c>
      <c r="AF323" s="751">
        <f t="shared" si="148"/>
        <v>146.06023261138503</v>
      </c>
      <c r="AG323" s="751">
        <f t="shared" si="148"/>
        <v>145.80766652508328</v>
      </c>
      <c r="AH323" s="751">
        <f t="shared" si="148"/>
        <v>145.59363963782923</v>
      </c>
      <c r="AI323" s="751">
        <f t="shared" si="148"/>
        <v>145.36176422162762</v>
      </c>
      <c r="AJ323" s="751">
        <f t="shared" si="148"/>
        <v>145.13218176326342</v>
      </c>
      <c r="AK323" s="751">
        <f t="shared" si="148"/>
        <v>144.89744253973657</v>
      </c>
      <c r="AL323" s="751"/>
      <c r="AM323" s="751"/>
      <c r="AN323" s="751"/>
      <c r="AO323" s="751"/>
      <c r="AP323" s="751"/>
      <c r="AQ323" s="751"/>
      <c r="AR323" s="751"/>
      <c r="AS323" s="751"/>
      <c r="AT323" s="751"/>
      <c r="AU323" s="751"/>
      <c r="AV323" s="751"/>
      <c r="AW323" s="751"/>
      <c r="AX323" s="751"/>
      <c r="AY323" s="751"/>
      <c r="AZ323" s="751"/>
      <c r="BA323" s="751"/>
      <c r="BB323" s="751"/>
      <c r="BC323" s="751"/>
      <c r="BD323" s="751"/>
      <c r="BE323" s="751"/>
      <c r="BF323" s="751"/>
      <c r="BG323" s="751"/>
      <c r="BH323" s="751"/>
      <c r="BI323" s="751"/>
      <c r="BJ323" s="751"/>
      <c r="BK323" s="751"/>
      <c r="BL323" s="751"/>
      <c r="BM323" s="751"/>
      <c r="BN323" s="751"/>
      <c r="BO323" s="751"/>
      <c r="BP323" s="751"/>
      <c r="BQ323" s="751"/>
      <c r="BR323" s="751"/>
      <c r="BS323" s="751"/>
      <c r="BT323" s="751"/>
      <c r="BU323" s="751"/>
      <c r="BV323" s="751"/>
      <c r="BW323" s="751"/>
      <c r="BX323" s="751"/>
      <c r="BY323" s="751"/>
      <c r="BZ323" s="751"/>
      <c r="CA323" s="751"/>
      <c r="CB323" s="751"/>
      <c r="CC323" s="751"/>
      <c r="CD323" s="751"/>
      <c r="CE323" s="751"/>
      <c r="CF323" s="751"/>
      <c r="CG323" s="751"/>
      <c r="CH323" s="751"/>
      <c r="CI323" s="752"/>
      <c r="CK323" s="1296"/>
    </row>
    <row r="324" spans="2:89" x14ac:dyDescent="0.2">
      <c r="B324" s="953" t="s">
        <v>721</v>
      </c>
      <c r="C324" s="958" t="s">
        <v>510</v>
      </c>
      <c r="D324" s="959" t="s">
        <v>722</v>
      </c>
      <c r="E324" s="960" t="s">
        <v>236</v>
      </c>
      <c r="F324" s="961">
        <v>2</v>
      </c>
      <c r="G324" s="569">
        <f t="shared" ref="G324:AK327" si="149">G234+G292</f>
        <v>0</v>
      </c>
      <c r="H324" s="569">
        <f t="shared" si="149"/>
        <v>0</v>
      </c>
      <c r="I324" s="569">
        <f t="shared" si="149"/>
        <v>7.4300951761701972</v>
      </c>
      <c r="J324" s="569">
        <f t="shared" si="149"/>
        <v>7.4306724420220513</v>
      </c>
      <c r="K324" s="569">
        <f t="shared" si="149"/>
        <v>7.4232975624804132</v>
      </c>
      <c r="L324" s="569">
        <f t="shared" si="149"/>
        <v>7.4151509587193125</v>
      </c>
      <c r="M324" s="718">
        <f t="shared" si="149"/>
        <v>7.4431367265900645</v>
      </c>
      <c r="N324" s="718">
        <f t="shared" si="149"/>
        <v>7.4356496963757861</v>
      </c>
      <c r="O324" s="718">
        <f t="shared" si="149"/>
        <v>7.4280716461939029</v>
      </c>
      <c r="P324" s="718">
        <f t="shared" si="149"/>
        <v>7.4209946949285692</v>
      </c>
      <c r="Q324" s="718">
        <f t="shared" si="149"/>
        <v>7.4154679269129851</v>
      </c>
      <c r="R324" s="718">
        <f t="shared" si="149"/>
        <v>7.4103551456047843</v>
      </c>
      <c r="S324" s="718">
        <f t="shared" si="149"/>
        <v>7.4055624238154092</v>
      </c>
      <c r="T324" s="718">
        <f t="shared" si="149"/>
        <v>7.4012247991843712</v>
      </c>
      <c r="U324" s="718">
        <f t="shared" si="149"/>
        <v>7.3975501799668724</v>
      </c>
      <c r="V324" s="718">
        <f t="shared" si="149"/>
        <v>7.3933655524770083</v>
      </c>
      <c r="W324" s="718">
        <f t="shared" si="149"/>
        <v>7.3890250174463077</v>
      </c>
      <c r="X324" s="718">
        <f t="shared" si="149"/>
        <v>7.3844653940513894</v>
      </c>
      <c r="Y324" s="718">
        <f t="shared" si="149"/>
        <v>7.3798065778041915</v>
      </c>
      <c r="Z324" s="718">
        <f t="shared" si="149"/>
        <v>7.3750577701891098</v>
      </c>
      <c r="AA324" s="718">
        <f t="shared" si="149"/>
        <v>7.3702181852685715</v>
      </c>
      <c r="AB324" s="718">
        <f t="shared" si="149"/>
        <v>7.3652906616287144</v>
      </c>
      <c r="AC324" s="718">
        <f t="shared" si="149"/>
        <v>7.360268338247578</v>
      </c>
      <c r="AD324" s="718">
        <f t="shared" si="149"/>
        <v>7.3551530184412215</v>
      </c>
      <c r="AE324" s="718">
        <f t="shared" si="149"/>
        <v>7.3499452273867769</v>
      </c>
      <c r="AF324" s="718">
        <f t="shared" si="149"/>
        <v>7.3446443175421026</v>
      </c>
      <c r="AG324" s="718">
        <f t="shared" si="149"/>
        <v>7.3392559311480419</v>
      </c>
      <c r="AH324" s="718">
        <f t="shared" si="149"/>
        <v>7.3337785005749652</v>
      </c>
      <c r="AI324" s="718">
        <f t="shared" si="149"/>
        <v>7.3282128265541777</v>
      </c>
      <c r="AJ324" s="718">
        <f t="shared" si="149"/>
        <v>7.3225599058547264</v>
      </c>
      <c r="AK324" s="718">
        <f t="shared" si="149"/>
        <v>7.3168213827865909</v>
      </c>
      <c r="AL324" s="718"/>
      <c r="AM324" s="718"/>
      <c r="AN324" s="718"/>
      <c r="AO324" s="718"/>
      <c r="AP324" s="718"/>
      <c r="AQ324" s="718"/>
      <c r="AR324" s="718"/>
      <c r="AS324" s="718"/>
      <c r="AT324" s="718"/>
      <c r="AU324" s="718"/>
      <c r="AV324" s="718"/>
      <c r="AW324" s="718"/>
      <c r="AX324" s="718"/>
      <c r="AY324" s="718"/>
      <c r="AZ324" s="718"/>
      <c r="BA324" s="718"/>
      <c r="BB324" s="718"/>
      <c r="BC324" s="718"/>
      <c r="BD324" s="718"/>
      <c r="BE324" s="718"/>
      <c r="BF324" s="718"/>
      <c r="BG324" s="718"/>
      <c r="BH324" s="718"/>
      <c r="BI324" s="718"/>
      <c r="BJ324" s="718"/>
      <c r="BK324" s="718"/>
      <c r="BL324" s="718"/>
      <c r="BM324" s="718"/>
      <c r="BN324" s="718"/>
      <c r="BO324" s="718"/>
      <c r="BP324" s="718"/>
      <c r="BQ324" s="718"/>
      <c r="BR324" s="718"/>
      <c r="BS324" s="718"/>
      <c r="BT324" s="718"/>
      <c r="BU324" s="718"/>
      <c r="BV324" s="718"/>
      <c r="BW324" s="718"/>
      <c r="BX324" s="718"/>
      <c r="BY324" s="718"/>
      <c r="BZ324" s="718"/>
      <c r="CA324" s="718"/>
      <c r="CB324" s="718"/>
      <c r="CC324" s="718"/>
      <c r="CD324" s="718"/>
      <c r="CE324" s="718"/>
      <c r="CF324" s="718"/>
      <c r="CG324" s="718"/>
      <c r="CH324" s="718"/>
      <c r="CI324" s="719"/>
      <c r="CK324" s="1296"/>
    </row>
    <row r="325" spans="2:89" ht="15" thickBot="1" x14ac:dyDescent="0.25">
      <c r="B325" s="962" t="s">
        <v>723</v>
      </c>
      <c r="C325" s="963" t="s">
        <v>512</v>
      </c>
      <c r="D325" s="964" t="s">
        <v>724</v>
      </c>
      <c r="E325" s="965" t="s">
        <v>236</v>
      </c>
      <c r="F325" s="966">
        <v>2</v>
      </c>
      <c r="G325" s="729">
        <f t="shared" si="149"/>
        <v>0</v>
      </c>
      <c r="H325" s="729">
        <f t="shared" si="149"/>
        <v>0</v>
      </c>
      <c r="I325" s="729">
        <f t="shared" si="149"/>
        <v>2.3678128659663535</v>
      </c>
      <c r="J325" s="729">
        <f t="shared" si="149"/>
        <v>2.3678128659663535</v>
      </c>
      <c r="K325" s="729">
        <f t="shared" si="149"/>
        <v>2.3678128659663535</v>
      </c>
      <c r="L325" s="729">
        <f t="shared" si="149"/>
        <v>2.3678128659663535</v>
      </c>
      <c r="M325" s="758">
        <f t="shared" si="149"/>
        <v>2.3678128659663535</v>
      </c>
      <c r="N325" s="758">
        <f t="shared" si="149"/>
        <v>2.3678128659663535</v>
      </c>
      <c r="O325" s="758">
        <f t="shared" si="149"/>
        <v>2.3678128659663535</v>
      </c>
      <c r="P325" s="758">
        <f t="shared" si="149"/>
        <v>2.3678128659663535</v>
      </c>
      <c r="Q325" s="758">
        <f t="shared" si="149"/>
        <v>2.3678128659663535</v>
      </c>
      <c r="R325" s="758">
        <f t="shared" si="149"/>
        <v>2.3678128659663535</v>
      </c>
      <c r="S325" s="758">
        <f t="shared" si="149"/>
        <v>2.3678128659663535</v>
      </c>
      <c r="T325" s="758">
        <f t="shared" si="149"/>
        <v>2.3678128659663535</v>
      </c>
      <c r="U325" s="758">
        <f t="shared" si="149"/>
        <v>2.3678128659663535</v>
      </c>
      <c r="V325" s="758">
        <f t="shared" si="149"/>
        <v>2.3678128659663535</v>
      </c>
      <c r="W325" s="758">
        <f t="shared" si="149"/>
        <v>2.3678128659663535</v>
      </c>
      <c r="X325" s="758">
        <f t="shared" si="149"/>
        <v>2.3678128659663535</v>
      </c>
      <c r="Y325" s="758">
        <f t="shared" si="149"/>
        <v>2.3678128659663535</v>
      </c>
      <c r="Z325" s="758">
        <f t="shared" si="149"/>
        <v>2.3678128659663535</v>
      </c>
      <c r="AA325" s="758">
        <f t="shared" si="149"/>
        <v>2.3678128659663535</v>
      </c>
      <c r="AB325" s="758">
        <f t="shared" si="149"/>
        <v>2.3678128659663535</v>
      </c>
      <c r="AC325" s="758">
        <f t="shared" si="149"/>
        <v>2.3678128659663535</v>
      </c>
      <c r="AD325" s="758">
        <f t="shared" si="149"/>
        <v>2.3678128659663535</v>
      </c>
      <c r="AE325" s="758">
        <f t="shared" si="149"/>
        <v>2.3678128659663535</v>
      </c>
      <c r="AF325" s="758">
        <f t="shared" si="149"/>
        <v>2.3678128659663535</v>
      </c>
      <c r="AG325" s="758">
        <f t="shared" si="149"/>
        <v>2.3678128659663535</v>
      </c>
      <c r="AH325" s="758">
        <f t="shared" si="149"/>
        <v>2.3678128659663535</v>
      </c>
      <c r="AI325" s="758">
        <f t="shared" si="149"/>
        <v>2.3678128659663535</v>
      </c>
      <c r="AJ325" s="758">
        <f t="shared" si="149"/>
        <v>2.3678128659663535</v>
      </c>
      <c r="AK325" s="758">
        <f t="shared" si="149"/>
        <v>2.3678128659663535</v>
      </c>
      <c r="AL325" s="758"/>
      <c r="AM325" s="758"/>
      <c r="AN325" s="758"/>
      <c r="AO325" s="758"/>
      <c r="AP325" s="758"/>
      <c r="AQ325" s="758"/>
      <c r="AR325" s="758"/>
      <c r="AS325" s="758"/>
      <c r="AT325" s="758"/>
      <c r="AU325" s="758"/>
      <c r="AV325" s="758"/>
      <c r="AW325" s="758"/>
      <c r="AX325" s="758"/>
      <c r="AY325" s="758"/>
      <c r="AZ325" s="758"/>
      <c r="BA325" s="758"/>
      <c r="BB325" s="758"/>
      <c r="BC325" s="758"/>
      <c r="BD325" s="758"/>
      <c r="BE325" s="758"/>
      <c r="BF325" s="758"/>
      <c r="BG325" s="758"/>
      <c r="BH325" s="758"/>
      <c r="BI325" s="758"/>
      <c r="BJ325" s="758"/>
      <c r="BK325" s="758"/>
      <c r="BL325" s="758"/>
      <c r="BM325" s="758"/>
      <c r="BN325" s="758"/>
      <c r="BO325" s="758"/>
      <c r="BP325" s="758"/>
      <c r="BQ325" s="758"/>
      <c r="BR325" s="758"/>
      <c r="BS325" s="758"/>
      <c r="BT325" s="758"/>
      <c r="BU325" s="758"/>
      <c r="BV325" s="758"/>
      <c r="BW325" s="758"/>
      <c r="BX325" s="758"/>
      <c r="BY325" s="758"/>
      <c r="BZ325" s="758"/>
      <c r="CA325" s="758"/>
      <c r="CB325" s="758"/>
      <c r="CC325" s="758"/>
      <c r="CD325" s="758"/>
      <c r="CE325" s="758"/>
      <c r="CF325" s="758"/>
      <c r="CG325" s="758"/>
      <c r="CH325" s="758"/>
      <c r="CI325" s="759"/>
      <c r="CK325" s="1296"/>
    </row>
    <row r="326" spans="2:89" x14ac:dyDescent="0.2">
      <c r="B326" s="933" t="s">
        <v>725</v>
      </c>
      <c r="C326" s="934" t="s">
        <v>514</v>
      </c>
      <c r="D326" s="925" t="s">
        <v>726</v>
      </c>
      <c r="E326" s="935" t="s">
        <v>236</v>
      </c>
      <c r="F326" s="936">
        <v>2</v>
      </c>
      <c r="G326" s="735">
        <f t="shared" si="149"/>
        <v>0</v>
      </c>
      <c r="H326" s="735">
        <f t="shared" si="149"/>
        <v>0</v>
      </c>
      <c r="I326" s="735">
        <f t="shared" si="149"/>
        <v>0.27326859627701372</v>
      </c>
      <c r="J326" s="735">
        <f t="shared" si="149"/>
        <v>0.34102088752534926</v>
      </c>
      <c r="K326" s="735">
        <f t="shared" si="149"/>
        <v>0.32879125252551122</v>
      </c>
      <c r="L326" s="735">
        <f t="shared" si="149"/>
        <v>0.31647156355438932</v>
      </c>
      <c r="M326" s="736">
        <f t="shared" si="149"/>
        <v>0.33025990192018606</v>
      </c>
      <c r="N326" s="736">
        <f t="shared" si="149"/>
        <v>0.33200107981755139</v>
      </c>
      <c r="O326" s="736">
        <f t="shared" si="149"/>
        <v>0.33361472062150332</v>
      </c>
      <c r="P326" s="736">
        <f t="shared" si="149"/>
        <v>0.33512254766966748</v>
      </c>
      <c r="Q326" s="736">
        <f t="shared" si="149"/>
        <v>0.33553502792714862</v>
      </c>
      <c r="R326" s="736">
        <f t="shared" si="149"/>
        <v>0.33390495386136648</v>
      </c>
      <c r="S326" s="736">
        <f t="shared" si="149"/>
        <v>0.33126418400953173</v>
      </c>
      <c r="T326" s="736">
        <f t="shared" si="149"/>
        <v>0.32860225140653931</v>
      </c>
      <c r="U326" s="736">
        <f t="shared" si="149"/>
        <v>0.3259191560523893</v>
      </c>
      <c r="V326" s="736">
        <f t="shared" si="149"/>
        <v>0.3232148979470818</v>
      </c>
      <c r="W326" s="736">
        <f t="shared" si="149"/>
        <v>0.3204407378915945</v>
      </c>
      <c r="X326" s="736">
        <f t="shared" si="149"/>
        <v>0.31764652891395784</v>
      </c>
      <c r="Y326" s="736">
        <f t="shared" si="149"/>
        <v>0.31483227101417199</v>
      </c>
      <c r="Z326" s="736">
        <f t="shared" si="149"/>
        <v>0.3119979641922368</v>
      </c>
      <c r="AA326" s="736">
        <f t="shared" si="149"/>
        <v>0.30914360844815236</v>
      </c>
      <c r="AB326" s="736">
        <f t="shared" si="149"/>
        <v>0.30626920378191869</v>
      </c>
      <c r="AC326" s="736">
        <f t="shared" si="149"/>
        <v>0.30337475019353566</v>
      </c>
      <c r="AD326" s="736">
        <f t="shared" si="149"/>
        <v>0.30046024768300339</v>
      </c>
      <c r="AE326" s="736">
        <f t="shared" si="149"/>
        <v>0.29752569625032177</v>
      </c>
      <c r="AF326" s="736">
        <f t="shared" si="149"/>
        <v>0.29457109589549102</v>
      </c>
      <c r="AG326" s="736">
        <f t="shared" si="149"/>
        <v>0.29159644661851086</v>
      </c>
      <c r="AH326" s="736">
        <f t="shared" si="149"/>
        <v>0.28860174841938152</v>
      </c>
      <c r="AI326" s="736">
        <f t="shared" si="149"/>
        <v>0.28558700129810277</v>
      </c>
      <c r="AJ326" s="736">
        <f t="shared" si="149"/>
        <v>0.28255220525467484</v>
      </c>
      <c r="AK326" s="736">
        <f t="shared" si="149"/>
        <v>0.27949736028909788</v>
      </c>
      <c r="AL326" s="736"/>
      <c r="AM326" s="736"/>
      <c r="AN326" s="736"/>
      <c r="AO326" s="736"/>
      <c r="AP326" s="736"/>
      <c r="AQ326" s="736"/>
      <c r="AR326" s="736"/>
      <c r="AS326" s="736"/>
      <c r="AT326" s="736"/>
      <c r="AU326" s="736"/>
      <c r="AV326" s="736"/>
      <c r="AW326" s="736"/>
      <c r="AX326" s="736"/>
      <c r="AY326" s="736"/>
      <c r="AZ326" s="736"/>
      <c r="BA326" s="736"/>
      <c r="BB326" s="736"/>
      <c r="BC326" s="736"/>
      <c r="BD326" s="736"/>
      <c r="BE326" s="736"/>
      <c r="BF326" s="736"/>
      <c r="BG326" s="736"/>
      <c r="BH326" s="736"/>
      <c r="BI326" s="736"/>
      <c r="BJ326" s="736"/>
      <c r="BK326" s="736"/>
      <c r="BL326" s="736"/>
      <c r="BM326" s="736"/>
      <c r="BN326" s="736"/>
      <c r="BO326" s="736"/>
      <c r="BP326" s="736"/>
      <c r="BQ326" s="736"/>
      <c r="BR326" s="736"/>
      <c r="BS326" s="736"/>
      <c r="BT326" s="736"/>
      <c r="BU326" s="736"/>
      <c r="BV326" s="736"/>
      <c r="BW326" s="736"/>
      <c r="BX326" s="736"/>
      <c r="BY326" s="736"/>
      <c r="BZ326" s="736"/>
      <c r="CA326" s="736"/>
      <c r="CB326" s="736"/>
      <c r="CC326" s="736"/>
      <c r="CD326" s="736"/>
      <c r="CE326" s="736"/>
      <c r="CF326" s="736"/>
      <c r="CG326" s="736"/>
      <c r="CH326" s="736"/>
      <c r="CI326" s="737"/>
      <c r="CK326" s="1296"/>
    </row>
    <row r="327" spans="2:89" x14ac:dyDescent="0.2">
      <c r="B327" s="940" t="s">
        <v>727</v>
      </c>
      <c r="C327" s="901" t="s">
        <v>516</v>
      </c>
      <c r="D327" s="907" t="s">
        <v>728</v>
      </c>
      <c r="E327" s="938" t="s">
        <v>236</v>
      </c>
      <c r="F327" s="939">
        <v>2</v>
      </c>
      <c r="G327" s="569">
        <f t="shared" si="149"/>
        <v>0</v>
      </c>
      <c r="H327" s="569">
        <f t="shared" si="149"/>
        <v>0</v>
      </c>
      <c r="I327" s="569">
        <f t="shared" si="149"/>
        <v>4.1140196505908201E-2</v>
      </c>
      <c r="J327" s="569">
        <f t="shared" si="149"/>
        <v>3.9374863189543363E-2</v>
      </c>
      <c r="K327" s="569">
        <f t="shared" si="149"/>
        <v>3.7416730383037784E-2</v>
      </c>
      <c r="L327" s="569">
        <f t="shared" si="149"/>
        <v>3.549264799294536E-2</v>
      </c>
      <c r="M327" s="718">
        <f t="shared" si="149"/>
        <v>3.7155752999654491E-2</v>
      </c>
      <c r="N327" s="718">
        <f t="shared" si="149"/>
        <v>2.9859071821668786E-2</v>
      </c>
      <c r="O327" s="718">
        <f t="shared" si="149"/>
        <v>2.2740614335489545E-2</v>
      </c>
      <c r="P327" s="718">
        <f t="shared" si="149"/>
        <v>1.5764730981990223E-2</v>
      </c>
      <c r="Q327" s="718">
        <f t="shared" si="149"/>
        <v>1.064078477766283E-2</v>
      </c>
      <c r="R327" s="718">
        <f t="shared" si="149"/>
        <v>8.8359153710102258E-3</v>
      </c>
      <c r="S327" s="718">
        <f t="shared" si="149"/>
        <v>8.7236809253839059E-3</v>
      </c>
      <c r="T327" s="718">
        <f t="shared" si="149"/>
        <v>8.611812054456762E-3</v>
      </c>
      <c r="U327" s="718">
        <f t="shared" si="149"/>
        <v>8.5003087582287973E-3</v>
      </c>
      <c r="V327" s="718">
        <f t="shared" si="149"/>
        <v>8.3891710367000119E-3</v>
      </c>
      <c r="W327" s="718">
        <f t="shared" si="149"/>
        <v>8.2783988898704058E-3</v>
      </c>
      <c r="X327" s="718">
        <f t="shared" si="149"/>
        <v>8.1679923177399791E-3</v>
      </c>
      <c r="Y327" s="718">
        <f t="shared" si="149"/>
        <v>8.0579513203087386E-3</v>
      </c>
      <c r="Z327" s="718">
        <f t="shared" si="149"/>
        <v>7.9482758975766704E-3</v>
      </c>
      <c r="AA327" s="718">
        <f t="shared" si="149"/>
        <v>7.8389660495437816E-3</v>
      </c>
      <c r="AB327" s="718">
        <f t="shared" si="149"/>
        <v>7.730021776210072E-3</v>
      </c>
      <c r="AC327" s="718">
        <f t="shared" si="149"/>
        <v>7.6214430775755418E-3</v>
      </c>
      <c r="AD327" s="718">
        <f t="shared" si="149"/>
        <v>7.5132299536401909E-3</v>
      </c>
      <c r="AE327" s="718">
        <f t="shared" si="149"/>
        <v>7.4053824044040192E-3</v>
      </c>
      <c r="AF327" s="718">
        <f t="shared" si="149"/>
        <v>7.2979004298670304E-3</v>
      </c>
      <c r="AG327" s="718">
        <f t="shared" si="149"/>
        <v>7.1907840300292174E-3</v>
      </c>
      <c r="AH327" s="718">
        <f t="shared" si="149"/>
        <v>7.0840332048905837E-3</v>
      </c>
      <c r="AI327" s="718">
        <f t="shared" si="149"/>
        <v>6.9776479544511293E-3</v>
      </c>
      <c r="AJ327" s="718">
        <f t="shared" si="149"/>
        <v>6.8716282787108542E-3</v>
      </c>
      <c r="AK327" s="718">
        <f t="shared" si="149"/>
        <v>6.7659741776697653E-3</v>
      </c>
      <c r="AL327" s="718"/>
      <c r="AM327" s="718"/>
      <c r="AN327" s="718"/>
      <c r="AO327" s="718"/>
      <c r="AP327" s="718"/>
      <c r="AQ327" s="718"/>
      <c r="AR327" s="718"/>
      <c r="AS327" s="718"/>
      <c r="AT327" s="718"/>
      <c r="AU327" s="718"/>
      <c r="AV327" s="718"/>
      <c r="AW327" s="718"/>
      <c r="AX327" s="718"/>
      <c r="AY327" s="718"/>
      <c r="AZ327" s="718"/>
      <c r="BA327" s="718"/>
      <c r="BB327" s="718"/>
      <c r="BC327" s="718"/>
      <c r="BD327" s="718"/>
      <c r="BE327" s="718"/>
      <c r="BF327" s="718"/>
      <c r="BG327" s="718"/>
      <c r="BH327" s="718"/>
      <c r="BI327" s="718"/>
      <c r="BJ327" s="718"/>
      <c r="BK327" s="718"/>
      <c r="BL327" s="718"/>
      <c r="BM327" s="718"/>
      <c r="BN327" s="718"/>
      <c r="BO327" s="718"/>
      <c r="BP327" s="718"/>
      <c r="BQ327" s="718"/>
      <c r="BR327" s="718"/>
      <c r="BS327" s="718"/>
      <c r="BT327" s="718"/>
      <c r="BU327" s="718"/>
      <c r="BV327" s="718"/>
      <c r="BW327" s="718"/>
      <c r="BX327" s="718"/>
      <c r="BY327" s="718"/>
      <c r="BZ327" s="718"/>
      <c r="CA327" s="718"/>
      <c r="CB327" s="718"/>
      <c r="CC327" s="718"/>
      <c r="CD327" s="718"/>
      <c r="CE327" s="718"/>
      <c r="CF327" s="718"/>
      <c r="CG327" s="718"/>
      <c r="CH327" s="718"/>
      <c r="CI327" s="719"/>
      <c r="CK327" s="1296"/>
    </row>
    <row r="328" spans="2:89" x14ac:dyDescent="0.2">
      <c r="B328" s="940" t="s">
        <v>729</v>
      </c>
      <c r="C328" s="901" t="s">
        <v>518</v>
      </c>
      <c r="D328" s="907" t="s">
        <v>730</v>
      </c>
      <c r="E328" s="938" t="s">
        <v>236</v>
      </c>
      <c r="F328" s="939">
        <v>2</v>
      </c>
      <c r="G328" s="569">
        <f t="shared" ref="G328:AK331" si="150">G238+G296</f>
        <v>0</v>
      </c>
      <c r="H328" s="569">
        <f t="shared" si="150"/>
        <v>0</v>
      </c>
      <c r="I328" s="569">
        <f t="shared" si="150"/>
        <v>5.5535327266562371</v>
      </c>
      <c r="J328" s="569">
        <f t="shared" si="150"/>
        <v>5.5097342537652931</v>
      </c>
      <c r="K328" s="569">
        <f t="shared" si="150"/>
        <v>5.528825244505656</v>
      </c>
      <c r="L328" s="569">
        <f t="shared" si="150"/>
        <v>5.5836496450211648</v>
      </c>
      <c r="M328" s="718">
        <f t="shared" si="150"/>
        <v>6.0117925630032323</v>
      </c>
      <c r="N328" s="718">
        <f t="shared" si="150"/>
        <v>6.4880906604159776</v>
      </c>
      <c r="O328" s="718">
        <f t="shared" si="150"/>
        <v>6.7446780325920592</v>
      </c>
      <c r="P328" s="718">
        <f t="shared" si="150"/>
        <v>6.8950331391665189</v>
      </c>
      <c r="Q328" s="718">
        <f t="shared" si="150"/>
        <v>7.0322364455547319</v>
      </c>
      <c r="R328" s="718">
        <f t="shared" si="150"/>
        <v>7.1410731766899627</v>
      </c>
      <c r="S328" s="718">
        <f t="shared" si="150"/>
        <v>7.2249805128248745</v>
      </c>
      <c r="T328" s="718">
        <f t="shared" si="150"/>
        <v>7.3003288517227194</v>
      </c>
      <c r="U328" s="718">
        <f t="shared" si="150"/>
        <v>7.3649952592121091</v>
      </c>
      <c r="V328" s="718">
        <f t="shared" si="150"/>
        <v>7.4319805404714341</v>
      </c>
      <c r="W328" s="718">
        <f t="shared" si="150"/>
        <v>7.4438803246426204</v>
      </c>
      <c r="X328" s="718">
        <f t="shared" si="150"/>
        <v>7.4034460858682412</v>
      </c>
      <c r="Y328" s="718">
        <f t="shared" si="150"/>
        <v>7.3630243492280787</v>
      </c>
      <c r="Z328" s="718">
        <f t="shared" si="150"/>
        <v>7.3224829842821428</v>
      </c>
      <c r="AA328" s="718">
        <f t="shared" si="150"/>
        <v>7.2817968916088756</v>
      </c>
      <c r="AB328" s="718">
        <f t="shared" si="150"/>
        <v>7.2409038200322122</v>
      </c>
      <c r="AC328" s="718">
        <f t="shared" si="150"/>
        <v>7.1998400981524151</v>
      </c>
      <c r="AD328" s="718">
        <f t="shared" si="150"/>
        <v>7.1585529304216893</v>
      </c>
      <c r="AE328" s="718">
        <f t="shared" si="150"/>
        <v>7.1170028953996578</v>
      </c>
      <c r="AF328" s="718">
        <f t="shared" si="150"/>
        <v>7.0751621448231798</v>
      </c>
      <c r="AG328" s="718">
        <f t="shared" si="150"/>
        <v>7.0329425684885054</v>
      </c>
      <c r="AH328" s="718">
        <f t="shared" si="150"/>
        <v>6.9903266443228045</v>
      </c>
      <c r="AI328" s="718">
        <f t="shared" si="150"/>
        <v>6.9472740884326516</v>
      </c>
      <c r="AJ328" s="718">
        <f t="shared" si="150"/>
        <v>6.9037432099301643</v>
      </c>
      <c r="AK328" s="718">
        <f t="shared" si="150"/>
        <v>6.8596869499707003</v>
      </c>
      <c r="AL328" s="718"/>
      <c r="AM328" s="718"/>
      <c r="AN328" s="718"/>
      <c r="AO328" s="718"/>
      <c r="AP328" s="718"/>
      <c r="AQ328" s="718"/>
      <c r="AR328" s="718"/>
      <c r="AS328" s="718"/>
      <c r="AT328" s="718"/>
      <c r="AU328" s="718"/>
      <c r="AV328" s="718"/>
      <c r="AW328" s="718"/>
      <c r="AX328" s="718"/>
      <c r="AY328" s="718"/>
      <c r="AZ328" s="718"/>
      <c r="BA328" s="718"/>
      <c r="BB328" s="718"/>
      <c r="BC328" s="718"/>
      <c r="BD328" s="718"/>
      <c r="BE328" s="718"/>
      <c r="BF328" s="718"/>
      <c r="BG328" s="718"/>
      <c r="BH328" s="718"/>
      <c r="BI328" s="718"/>
      <c r="BJ328" s="718"/>
      <c r="BK328" s="718"/>
      <c r="BL328" s="718"/>
      <c r="BM328" s="718"/>
      <c r="BN328" s="718"/>
      <c r="BO328" s="718"/>
      <c r="BP328" s="718"/>
      <c r="BQ328" s="718"/>
      <c r="BR328" s="718"/>
      <c r="BS328" s="718"/>
      <c r="BT328" s="718"/>
      <c r="BU328" s="718"/>
      <c r="BV328" s="718"/>
      <c r="BW328" s="718"/>
      <c r="BX328" s="718"/>
      <c r="BY328" s="718"/>
      <c r="BZ328" s="718"/>
      <c r="CA328" s="718"/>
      <c r="CB328" s="718"/>
      <c r="CC328" s="718"/>
      <c r="CD328" s="718"/>
      <c r="CE328" s="718"/>
      <c r="CF328" s="718"/>
      <c r="CG328" s="718"/>
      <c r="CH328" s="718"/>
      <c r="CI328" s="719"/>
      <c r="CK328" s="1296"/>
    </row>
    <row r="329" spans="2:89" x14ac:dyDescent="0.2">
      <c r="B329" s="940" t="s">
        <v>731</v>
      </c>
      <c r="C329" s="901" t="s">
        <v>520</v>
      </c>
      <c r="D329" s="907" t="s">
        <v>732</v>
      </c>
      <c r="E329" s="938" t="s">
        <v>236</v>
      </c>
      <c r="F329" s="939">
        <v>2</v>
      </c>
      <c r="G329" s="569">
        <f t="shared" si="150"/>
        <v>0</v>
      </c>
      <c r="H329" s="569">
        <f t="shared" si="150"/>
        <v>0</v>
      </c>
      <c r="I329" s="569">
        <f t="shared" si="150"/>
        <v>6.3309619898029483</v>
      </c>
      <c r="J329" s="569">
        <f t="shared" si="150"/>
        <v>5.9276781221099482</v>
      </c>
      <c r="K329" s="569">
        <f t="shared" si="150"/>
        <v>5.4834279203611631</v>
      </c>
      <c r="L329" s="569">
        <f t="shared" si="150"/>
        <v>4.9896661171342833</v>
      </c>
      <c r="M329" s="718">
        <f t="shared" si="150"/>
        <v>4.146663042723401</v>
      </c>
      <c r="N329" s="718">
        <f t="shared" si="150"/>
        <v>3.0750722418499912</v>
      </c>
      <c r="O329" s="718">
        <f t="shared" si="150"/>
        <v>2.4977434133024512</v>
      </c>
      <c r="P329" s="718">
        <f t="shared" si="150"/>
        <v>2.1575446880659315</v>
      </c>
      <c r="Q329" s="718">
        <f t="shared" si="150"/>
        <v>1.7936038238514715</v>
      </c>
      <c r="R329" s="718">
        <f t="shared" si="150"/>
        <v>1.4685512548410298</v>
      </c>
      <c r="S329" s="718">
        <f t="shared" si="150"/>
        <v>1.1838496720167959</v>
      </c>
      <c r="T329" s="718">
        <f t="shared" si="150"/>
        <v>0.90502305665974303</v>
      </c>
      <c r="U329" s="718">
        <f t="shared" si="150"/>
        <v>0.63207140876987156</v>
      </c>
      <c r="V329" s="718">
        <f t="shared" si="150"/>
        <v>0.36499472834718105</v>
      </c>
      <c r="W329" s="718">
        <f t="shared" si="150"/>
        <v>0.23207361277472316</v>
      </c>
      <c r="X329" s="718">
        <f t="shared" si="150"/>
        <v>0.2280928682396679</v>
      </c>
      <c r="Y329" s="718">
        <f t="shared" si="150"/>
        <v>0.22414284557793307</v>
      </c>
      <c r="Z329" s="718">
        <f t="shared" si="150"/>
        <v>0.22022354478951778</v>
      </c>
      <c r="AA329" s="718">
        <f t="shared" si="150"/>
        <v>0.21633496587442291</v>
      </c>
      <c r="AB329" s="718">
        <f t="shared" si="150"/>
        <v>0.21247710883264759</v>
      </c>
      <c r="AC329" s="718">
        <f t="shared" si="150"/>
        <v>0.20864997366419225</v>
      </c>
      <c r="AD329" s="718">
        <f t="shared" si="150"/>
        <v>0.20485356036905689</v>
      </c>
      <c r="AE329" s="718">
        <f t="shared" si="150"/>
        <v>0.20108786894724151</v>
      </c>
      <c r="AF329" s="718">
        <f t="shared" si="150"/>
        <v>0.19735289939874612</v>
      </c>
      <c r="AG329" s="718">
        <f t="shared" si="150"/>
        <v>0.19364865172357026</v>
      </c>
      <c r="AH329" s="718">
        <f t="shared" si="150"/>
        <v>0.18997512592171484</v>
      </c>
      <c r="AI329" s="718">
        <f t="shared" si="150"/>
        <v>0.18633232199317895</v>
      </c>
      <c r="AJ329" s="718">
        <f t="shared" si="150"/>
        <v>0.18272023993796349</v>
      </c>
      <c r="AK329" s="718">
        <f t="shared" si="150"/>
        <v>0.17913887975606757</v>
      </c>
      <c r="AL329" s="718"/>
      <c r="AM329" s="718"/>
      <c r="AN329" s="718"/>
      <c r="AO329" s="718"/>
      <c r="AP329" s="718"/>
      <c r="AQ329" s="718"/>
      <c r="AR329" s="718"/>
      <c r="AS329" s="718"/>
      <c r="AT329" s="718"/>
      <c r="AU329" s="718"/>
      <c r="AV329" s="718"/>
      <c r="AW329" s="718"/>
      <c r="AX329" s="718"/>
      <c r="AY329" s="718"/>
      <c r="AZ329" s="718"/>
      <c r="BA329" s="718"/>
      <c r="BB329" s="718"/>
      <c r="BC329" s="718"/>
      <c r="BD329" s="718"/>
      <c r="BE329" s="718"/>
      <c r="BF329" s="718"/>
      <c r="BG329" s="718"/>
      <c r="BH329" s="718"/>
      <c r="BI329" s="718"/>
      <c r="BJ329" s="718"/>
      <c r="BK329" s="718"/>
      <c r="BL329" s="718"/>
      <c r="BM329" s="718"/>
      <c r="BN329" s="718"/>
      <c r="BO329" s="718"/>
      <c r="BP329" s="718"/>
      <c r="BQ329" s="718"/>
      <c r="BR329" s="718"/>
      <c r="BS329" s="718"/>
      <c r="BT329" s="718"/>
      <c r="BU329" s="718"/>
      <c r="BV329" s="718"/>
      <c r="BW329" s="718"/>
      <c r="BX329" s="718"/>
      <c r="BY329" s="718"/>
      <c r="BZ329" s="718"/>
      <c r="CA329" s="718"/>
      <c r="CB329" s="718"/>
      <c r="CC329" s="718"/>
      <c r="CD329" s="718"/>
      <c r="CE329" s="718"/>
      <c r="CF329" s="718"/>
      <c r="CG329" s="718"/>
      <c r="CH329" s="718"/>
      <c r="CI329" s="719"/>
      <c r="CK329" s="1296"/>
    </row>
    <row r="330" spans="2:89" x14ac:dyDescent="0.2">
      <c r="B330" s="940" t="s">
        <v>733</v>
      </c>
      <c r="C330" s="901" t="s">
        <v>522</v>
      </c>
      <c r="D330" s="907" t="s">
        <v>734</v>
      </c>
      <c r="E330" s="938" t="s">
        <v>236</v>
      </c>
      <c r="F330" s="939">
        <v>2</v>
      </c>
      <c r="G330" s="569">
        <f t="shared" si="150"/>
        <v>0</v>
      </c>
      <c r="H330" s="569">
        <f t="shared" si="150"/>
        <v>0</v>
      </c>
      <c r="I330" s="569">
        <f t="shared" si="150"/>
        <v>0.71015557626448644</v>
      </c>
      <c r="J330" s="569">
        <f t="shared" si="150"/>
        <v>0.70957831041263186</v>
      </c>
      <c r="K330" s="569">
        <f t="shared" si="150"/>
        <v>0.7169531899542706</v>
      </c>
      <c r="L330" s="569">
        <f t="shared" si="150"/>
        <v>0.72509979371537092</v>
      </c>
      <c r="M330" s="718">
        <f t="shared" si="150"/>
        <v>0.69711402584461868</v>
      </c>
      <c r="N330" s="718">
        <f t="shared" si="150"/>
        <v>0.70460105605889756</v>
      </c>
      <c r="O330" s="718">
        <f t="shared" si="150"/>
        <v>0.71217910624078085</v>
      </c>
      <c r="P330" s="718">
        <f t="shared" si="150"/>
        <v>0.71925605750611388</v>
      </c>
      <c r="Q330" s="718">
        <f t="shared" si="150"/>
        <v>0.72478282552169859</v>
      </c>
      <c r="R330" s="718">
        <f t="shared" si="150"/>
        <v>0.7298956068298994</v>
      </c>
      <c r="S330" s="718">
        <f t="shared" si="150"/>
        <v>0.73468832861927424</v>
      </c>
      <c r="T330" s="718">
        <f t="shared" si="150"/>
        <v>0.7390259532503124</v>
      </c>
      <c r="U330" s="718">
        <f t="shared" si="150"/>
        <v>0.74270057246781107</v>
      </c>
      <c r="V330" s="718">
        <f t="shared" si="150"/>
        <v>0.74688519995767511</v>
      </c>
      <c r="W330" s="718">
        <f t="shared" si="150"/>
        <v>0.7512257349883753</v>
      </c>
      <c r="X330" s="718">
        <f t="shared" si="150"/>
        <v>0.7557853583832943</v>
      </c>
      <c r="Y330" s="718">
        <f t="shared" si="150"/>
        <v>0.76044417463049185</v>
      </c>
      <c r="Z330" s="718">
        <f t="shared" si="150"/>
        <v>0.76519298224557331</v>
      </c>
      <c r="AA330" s="718">
        <f t="shared" si="150"/>
        <v>0.77003256716611213</v>
      </c>
      <c r="AB330" s="718">
        <f t="shared" si="150"/>
        <v>0.77496009080596917</v>
      </c>
      <c r="AC330" s="718">
        <f t="shared" si="150"/>
        <v>0.77998241418710568</v>
      </c>
      <c r="AD330" s="718">
        <f t="shared" si="150"/>
        <v>0.78509773399346194</v>
      </c>
      <c r="AE330" s="718">
        <f t="shared" si="150"/>
        <v>0.79030552504790674</v>
      </c>
      <c r="AF330" s="718">
        <f t="shared" si="150"/>
        <v>0.79560643489258109</v>
      </c>
      <c r="AG330" s="718">
        <f t="shared" si="150"/>
        <v>0.80099482128664112</v>
      </c>
      <c r="AH330" s="718">
        <f t="shared" si="150"/>
        <v>0.80647225185971805</v>
      </c>
      <c r="AI330" s="718">
        <f t="shared" si="150"/>
        <v>0.81203792588050561</v>
      </c>
      <c r="AJ330" s="718">
        <f t="shared" si="150"/>
        <v>0.81769084657995661</v>
      </c>
      <c r="AK330" s="718">
        <f t="shared" si="150"/>
        <v>0.82342936964809266</v>
      </c>
      <c r="AL330" s="718"/>
      <c r="AM330" s="718"/>
      <c r="AN330" s="718"/>
      <c r="AO330" s="718"/>
      <c r="AP330" s="718"/>
      <c r="AQ330" s="718"/>
      <c r="AR330" s="718"/>
      <c r="AS330" s="718"/>
      <c r="AT330" s="718"/>
      <c r="AU330" s="718"/>
      <c r="AV330" s="718"/>
      <c r="AW330" s="718"/>
      <c r="AX330" s="718"/>
      <c r="AY330" s="718"/>
      <c r="AZ330" s="718"/>
      <c r="BA330" s="718"/>
      <c r="BB330" s="718"/>
      <c r="BC330" s="718"/>
      <c r="BD330" s="718"/>
      <c r="BE330" s="718"/>
      <c r="BF330" s="718"/>
      <c r="BG330" s="718"/>
      <c r="BH330" s="718"/>
      <c r="BI330" s="718"/>
      <c r="BJ330" s="718"/>
      <c r="BK330" s="718"/>
      <c r="BL330" s="718"/>
      <c r="BM330" s="718"/>
      <c r="BN330" s="718"/>
      <c r="BO330" s="718"/>
      <c r="BP330" s="718"/>
      <c r="BQ330" s="718"/>
      <c r="BR330" s="718"/>
      <c r="BS330" s="718"/>
      <c r="BT330" s="718"/>
      <c r="BU330" s="718"/>
      <c r="BV330" s="718"/>
      <c r="BW330" s="718"/>
      <c r="BX330" s="718"/>
      <c r="BY330" s="718"/>
      <c r="BZ330" s="718"/>
      <c r="CA330" s="718"/>
      <c r="CB330" s="718"/>
      <c r="CC330" s="718"/>
      <c r="CD330" s="718"/>
      <c r="CE330" s="718"/>
      <c r="CF330" s="718"/>
      <c r="CG330" s="718"/>
      <c r="CH330" s="718"/>
      <c r="CI330" s="719"/>
      <c r="CK330" s="1296"/>
    </row>
    <row r="331" spans="2:89" x14ac:dyDescent="0.2">
      <c r="B331" s="940" t="s">
        <v>735</v>
      </c>
      <c r="C331" s="904" t="s">
        <v>524</v>
      </c>
      <c r="D331" s="907" t="s">
        <v>736</v>
      </c>
      <c r="E331" s="938" t="s">
        <v>236</v>
      </c>
      <c r="F331" s="939">
        <v>2</v>
      </c>
      <c r="G331" s="569">
        <f t="shared" si="150"/>
        <v>0</v>
      </c>
      <c r="H331" s="569">
        <f t="shared" si="150"/>
        <v>0</v>
      </c>
      <c r="I331" s="569">
        <f t="shared" si="150"/>
        <v>40.435810257655746</v>
      </c>
      <c r="J331" s="569">
        <f t="shared" si="150"/>
        <v>40.329666762997235</v>
      </c>
      <c r="K331" s="569">
        <f t="shared" si="150"/>
        <v>38.694603262270348</v>
      </c>
      <c r="L331" s="569">
        <f>L241+L299</f>
        <v>37.072602232581843</v>
      </c>
      <c r="M331" s="718">
        <f t="shared" si="150"/>
        <v>37.005429913508905</v>
      </c>
      <c r="N331" s="718">
        <f t="shared" si="150"/>
        <v>37.104224290035916</v>
      </c>
      <c r="O331" s="718">
        <f t="shared" si="150"/>
        <v>36.928325712907714</v>
      </c>
      <c r="P331" s="718">
        <f t="shared" si="150"/>
        <v>36.621993636609773</v>
      </c>
      <c r="Q331" s="718">
        <f t="shared" si="150"/>
        <v>36.353349092367282</v>
      </c>
      <c r="R331" s="718">
        <f t="shared" si="150"/>
        <v>36.073320292406727</v>
      </c>
      <c r="S331" s="718">
        <f t="shared" si="150"/>
        <v>35.777508021604135</v>
      </c>
      <c r="T331" s="718">
        <f t="shared" si="150"/>
        <v>35.484855674906221</v>
      </c>
      <c r="U331" s="718">
        <f t="shared" si="150"/>
        <v>35.197694094739582</v>
      </c>
      <c r="V331" s="718">
        <f t="shared" si="150"/>
        <v>34.901849462239916</v>
      </c>
      <c r="W331" s="718">
        <f t="shared" si="150"/>
        <v>34.526848390812802</v>
      </c>
      <c r="X331" s="718">
        <f t="shared" si="150"/>
        <v>34.075041566277086</v>
      </c>
      <c r="Y331" s="718">
        <f t="shared" si="150"/>
        <v>33.623112008229</v>
      </c>
      <c r="Z331" s="718">
        <f t="shared" si="150"/>
        <v>33.171201048592934</v>
      </c>
      <c r="AA331" s="718">
        <f t="shared" si="150"/>
        <v>32.719333000852878</v>
      </c>
      <c r="AB331" s="718">
        <f t="shared" si="150"/>
        <v>32.267572954771026</v>
      </c>
      <c r="AC331" s="718">
        <f t="shared" si="150"/>
        <v>31.815877720725155</v>
      </c>
      <c r="AD331" s="718">
        <f t="shared" si="150"/>
        <v>31.364301897579129</v>
      </c>
      <c r="AE331" s="718">
        <f t="shared" si="150"/>
        <v>30.91288543195045</v>
      </c>
      <c r="AF331" s="718">
        <f t="shared" si="150"/>
        <v>30.461655524560115</v>
      </c>
      <c r="AG331" s="718">
        <f t="shared" si="150"/>
        <v>30.010705927852719</v>
      </c>
      <c r="AH331" s="718">
        <f t="shared" si="150"/>
        <v>29.560052596271468</v>
      </c>
      <c r="AI331" s="718">
        <f t="shared" si="150"/>
        <v>29.109736614441083</v>
      </c>
      <c r="AJ331" s="718">
        <f t="shared" si="150"/>
        <v>28.659800670018505</v>
      </c>
      <c r="AK331" s="718">
        <f t="shared" si="150"/>
        <v>28.210293466158369</v>
      </c>
      <c r="AL331" s="718"/>
      <c r="AM331" s="718"/>
      <c r="AN331" s="718"/>
      <c r="AO331" s="718"/>
      <c r="AP331" s="718"/>
      <c r="AQ331" s="718"/>
      <c r="AR331" s="718"/>
      <c r="AS331" s="718"/>
      <c r="AT331" s="718"/>
      <c r="AU331" s="718"/>
      <c r="AV331" s="718"/>
      <c r="AW331" s="718"/>
      <c r="AX331" s="718"/>
      <c r="AY331" s="718"/>
      <c r="AZ331" s="718"/>
      <c r="BA331" s="718"/>
      <c r="BB331" s="718"/>
      <c r="BC331" s="718"/>
      <c r="BD331" s="718"/>
      <c r="BE331" s="718"/>
      <c r="BF331" s="718"/>
      <c r="BG331" s="718"/>
      <c r="BH331" s="718"/>
      <c r="BI331" s="718"/>
      <c r="BJ331" s="718"/>
      <c r="BK331" s="718"/>
      <c r="BL331" s="718"/>
      <c r="BM331" s="718"/>
      <c r="BN331" s="718"/>
      <c r="BO331" s="718"/>
      <c r="BP331" s="718"/>
      <c r="BQ331" s="718"/>
      <c r="BR331" s="718"/>
      <c r="BS331" s="718"/>
      <c r="BT331" s="718"/>
      <c r="BU331" s="718"/>
      <c r="BV331" s="718"/>
      <c r="BW331" s="718"/>
      <c r="BX331" s="718"/>
      <c r="BY331" s="718"/>
      <c r="BZ331" s="718"/>
      <c r="CA331" s="718"/>
      <c r="CB331" s="718"/>
      <c r="CC331" s="718"/>
      <c r="CD331" s="718"/>
      <c r="CE331" s="718"/>
      <c r="CF331" s="718"/>
      <c r="CG331" s="718"/>
      <c r="CH331" s="718"/>
      <c r="CI331" s="719"/>
      <c r="CK331" s="1296"/>
    </row>
    <row r="332" spans="2:89" x14ac:dyDescent="0.2">
      <c r="B332" s="940" t="s">
        <v>737</v>
      </c>
      <c r="C332" s="904" t="s">
        <v>243</v>
      </c>
      <c r="D332" s="907" t="s">
        <v>738</v>
      </c>
      <c r="E332" s="938" t="s">
        <v>236</v>
      </c>
      <c r="F332" s="939">
        <v>2</v>
      </c>
      <c r="G332" s="569">
        <f>SUM(G326:G331)</f>
        <v>0</v>
      </c>
      <c r="H332" s="569">
        <f t="shared" ref="H332:AK332" si="151">SUM(H326:H331)</f>
        <v>0</v>
      </c>
      <c r="I332" s="569">
        <f t="shared" si="151"/>
        <v>53.344869343162344</v>
      </c>
      <c r="J332" s="569">
        <f t="shared" si="151"/>
        <v>52.857053199999996</v>
      </c>
      <c r="K332" s="569">
        <f t="shared" si="151"/>
        <v>50.790017599999985</v>
      </c>
      <c r="L332" s="569">
        <f t="shared" si="151"/>
        <v>48.722981999999995</v>
      </c>
      <c r="M332" s="718">
        <f t="shared" si="151"/>
        <v>48.228415200000001</v>
      </c>
      <c r="N332" s="718">
        <f t="shared" si="151"/>
        <v>47.733848399999999</v>
      </c>
      <c r="O332" s="718">
        <f t="shared" si="151"/>
        <v>47.239281599999998</v>
      </c>
      <c r="P332" s="718">
        <f t="shared" si="151"/>
        <v>46.744714799999997</v>
      </c>
      <c r="Q332" s="718">
        <f t="shared" si="151"/>
        <v>46.250147999999996</v>
      </c>
      <c r="R332" s="718">
        <f t="shared" si="151"/>
        <v>45.755581199999995</v>
      </c>
      <c r="S332" s="718">
        <f t="shared" si="151"/>
        <v>45.261014399999993</v>
      </c>
      <c r="T332" s="718">
        <f t="shared" si="151"/>
        <v>44.766447599999992</v>
      </c>
      <c r="U332" s="718">
        <f t="shared" si="151"/>
        <v>44.271880799999991</v>
      </c>
      <c r="V332" s="718">
        <f t="shared" si="151"/>
        <v>43.77731399999999</v>
      </c>
      <c r="W332" s="718">
        <f t="shared" si="151"/>
        <v>43.282747199999989</v>
      </c>
      <c r="X332" s="718">
        <f t="shared" si="151"/>
        <v>42.788180399999987</v>
      </c>
      <c r="Y332" s="718">
        <f t="shared" si="151"/>
        <v>42.293613599999986</v>
      </c>
      <c r="Z332" s="718">
        <f t="shared" si="151"/>
        <v>41.799046799999985</v>
      </c>
      <c r="AA332" s="718">
        <f t="shared" si="151"/>
        <v>41.304479999999984</v>
      </c>
      <c r="AB332" s="718">
        <f t="shared" si="151"/>
        <v>40.809913199999983</v>
      </c>
      <c r="AC332" s="718">
        <f t="shared" si="151"/>
        <v>40.315346399999981</v>
      </c>
      <c r="AD332" s="718">
        <f t="shared" si="151"/>
        <v>39.82077959999998</v>
      </c>
      <c r="AE332" s="718">
        <f t="shared" si="151"/>
        <v>39.326212799999979</v>
      </c>
      <c r="AF332" s="718">
        <f t="shared" si="151"/>
        <v>38.831645999999978</v>
      </c>
      <c r="AG332" s="718">
        <f t="shared" si="151"/>
        <v>38.337079199999977</v>
      </c>
      <c r="AH332" s="718">
        <f t="shared" si="151"/>
        <v>37.842512399999976</v>
      </c>
      <c r="AI332" s="718">
        <f t="shared" si="151"/>
        <v>37.347945599999974</v>
      </c>
      <c r="AJ332" s="718">
        <f t="shared" si="151"/>
        <v>36.853378799999973</v>
      </c>
      <c r="AK332" s="718">
        <f t="shared" si="151"/>
        <v>36.358812</v>
      </c>
      <c r="AL332" s="718"/>
      <c r="AM332" s="718"/>
      <c r="AN332" s="718"/>
      <c r="AO332" s="718"/>
      <c r="AP332" s="718"/>
      <c r="AQ332" s="718"/>
      <c r="AR332" s="718"/>
      <c r="AS332" s="718"/>
      <c r="AT332" s="718"/>
      <c r="AU332" s="718"/>
      <c r="AV332" s="718"/>
      <c r="AW332" s="718"/>
      <c r="AX332" s="718"/>
      <c r="AY332" s="718"/>
      <c r="AZ332" s="718"/>
      <c r="BA332" s="718"/>
      <c r="BB332" s="718"/>
      <c r="BC332" s="718"/>
      <c r="BD332" s="718"/>
      <c r="BE332" s="718"/>
      <c r="BF332" s="718"/>
      <c r="BG332" s="718"/>
      <c r="BH332" s="718"/>
      <c r="BI332" s="718"/>
      <c r="BJ332" s="718"/>
      <c r="BK332" s="718"/>
      <c r="BL332" s="718"/>
      <c r="BM332" s="718"/>
      <c r="BN332" s="718"/>
      <c r="BO332" s="718"/>
      <c r="BP332" s="718"/>
      <c r="BQ332" s="718"/>
      <c r="BR332" s="718"/>
      <c r="BS332" s="718"/>
      <c r="BT332" s="718"/>
      <c r="BU332" s="718"/>
      <c r="BV332" s="718"/>
      <c r="BW332" s="718"/>
      <c r="BX332" s="718"/>
      <c r="BY332" s="718"/>
      <c r="BZ332" s="718"/>
      <c r="CA332" s="718"/>
      <c r="CB332" s="718"/>
      <c r="CC332" s="718"/>
      <c r="CD332" s="718"/>
      <c r="CE332" s="718"/>
      <c r="CF332" s="718"/>
      <c r="CG332" s="718"/>
      <c r="CH332" s="718"/>
      <c r="CI332" s="719"/>
      <c r="CK332" s="1296"/>
    </row>
    <row r="333" spans="2:89" ht="15" thickBot="1" x14ac:dyDescent="0.25">
      <c r="B333" s="967" t="s">
        <v>739</v>
      </c>
      <c r="C333" s="968" t="s">
        <v>528</v>
      </c>
      <c r="D333" s="969" t="s">
        <v>740</v>
      </c>
      <c r="E333" s="970" t="s">
        <v>530</v>
      </c>
      <c r="F333" s="947">
        <v>2</v>
      </c>
      <c r="G333" s="729" t="e">
        <f>(G332*1000000)/(G347*1000)</f>
        <v>#DIV/0!</v>
      </c>
      <c r="H333" s="729" t="e">
        <f t="shared" ref="H333:AK333" si="152">(H332*1000000)/(H347*1000)</f>
        <v>#DIV/0!</v>
      </c>
      <c r="I333" s="729">
        <f t="shared" si="152"/>
        <v>77.514515343337834</v>
      </c>
      <c r="J333" s="729">
        <f t="shared" si="152"/>
        <v>76.184177051927861</v>
      </c>
      <c r="K333" s="729">
        <f t="shared" si="152"/>
        <v>72.257491708462155</v>
      </c>
      <c r="L333" s="729">
        <f t="shared" si="152"/>
        <v>68.333518746662875</v>
      </c>
      <c r="M333" s="758">
        <f t="shared" si="152"/>
        <v>66.604502804949519</v>
      </c>
      <c r="N333" s="758">
        <f t="shared" si="152"/>
        <v>64.917861883537768</v>
      </c>
      <c r="O333" s="758">
        <f t="shared" si="152"/>
        <v>63.308916259917289</v>
      </c>
      <c r="P333" s="758">
        <f t="shared" si="152"/>
        <v>61.813810290172619</v>
      </c>
      <c r="Q333" s="758">
        <f t="shared" si="152"/>
        <v>60.536034909082169</v>
      </c>
      <c r="R333" s="758">
        <f t="shared" si="152"/>
        <v>59.375049024001946</v>
      </c>
      <c r="S333" s="758">
        <f t="shared" si="152"/>
        <v>58.29219748839499</v>
      </c>
      <c r="T333" s="758">
        <f t="shared" si="152"/>
        <v>57.266883643429473</v>
      </c>
      <c r="U333" s="758">
        <f t="shared" si="152"/>
        <v>56.314238689657714</v>
      </c>
      <c r="V333" s="758">
        <f t="shared" si="152"/>
        <v>55.327950508847792</v>
      </c>
      <c r="W333" s="758">
        <f t="shared" si="152"/>
        <v>54.348240692417022</v>
      </c>
      <c r="X333" s="758">
        <f t="shared" si="152"/>
        <v>53.371369809310465</v>
      </c>
      <c r="Y333" s="758">
        <f t="shared" si="152"/>
        <v>52.399351964166911</v>
      </c>
      <c r="Z333" s="758">
        <f t="shared" si="152"/>
        <v>51.433255615827257</v>
      </c>
      <c r="AA333" s="758">
        <f t="shared" si="152"/>
        <v>50.473296172900483</v>
      </c>
      <c r="AB333" s="758">
        <f t="shared" si="152"/>
        <v>49.519953323540491</v>
      </c>
      <c r="AC333" s="758">
        <f t="shared" si="152"/>
        <v>48.57296675208223</v>
      </c>
      <c r="AD333" s="758">
        <f t="shared" si="152"/>
        <v>47.632730173871487</v>
      </c>
      <c r="AE333" s="758">
        <f t="shared" si="152"/>
        <v>46.699522522991408</v>
      </c>
      <c r="AF333" s="758">
        <f t="shared" si="152"/>
        <v>45.773527551000683</v>
      </c>
      <c r="AG333" s="758">
        <f t="shared" si="152"/>
        <v>44.855331493403988</v>
      </c>
      <c r="AH333" s="758">
        <f t="shared" si="152"/>
        <v>43.945010378375834</v>
      </c>
      <c r="AI333" s="758">
        <f t="shared" si="152"/>
        <v>43.042786153629933</v>
      </c>
      <c r="AJ333" s="758">
        <f t="shared" si="152"/>
        <v>42.148875686997386</v>
      </c>
      <c r="AK333" s="758">
        <f t="shared" si="152"/>
        <v>41.26351582733718</v>
      </c>
      <c r="AL333" s="758"/>
      <c r="AM333" s="758"/>
      <c r="AN333" s="758"/>
      <c r="AO333" s="758"/>
      <c r="AP333" s="758"/>
      <c r="AQ333" s="758"/>
      <c r="AR333" s="758"/>
      <c r="AS333" s="758"/>
      <c r="AT333" s="758"/>
      <c r="AU333" s="758"/>
      <c r="AV333" s="758"/>
      <c r="AW333" s="758"/>
      <c r="AX333" s="758"/>
      <c r="AY333" s="758"/>
      <c r="AZ333" s="758"/>
      <c r="BA333" s="758"/>
      <c r="BB333" s="758"/>
      <c r="BC333" s="758"/>
      <c r="BD333" s="758"/>
      <c r="BE333" s="758"/>
      <c r="BF333" s="758"/>
      <c r="BG333" s="758"/>
      <c r="BH333" s="758"/>
      <c r="BI333" s="758"/>
      <c r="BJ333" s="758"/>
      <c r="BK333" s="758"/>
      <c r="BL333" s="758"/>
      <c r="BM333" s="758"/>
      <c r="BN333" s="758"/>
      <c r="BO333" s="758"/>
      <c r="BP333" s="758"/>
      <c r="BQ333" s="758"/>
      <c r="BR333" s="758"/>
      <c r="BS333" s="758"/>
      <c r="BT333" s="758"/>
      <c r="BU333" s="758"/>
      <c r="BV333" s="758"/>
      <c r="BW333" s="758"/>
      <c r="BX333" s="758"/>
      <c r="BY333" s="758"/>
      <c r="BZ333" s="758"/>
      <c r="CA333" s="758"/>
      <c r="CB333" s="758"/>
      <c r="CC333" s="758"/>
      <c r="CD333" s="758"/>
      <c r="CE333" s="758"/>
      <c r="CF333" s="758"/>
      <c r="CG333" s="758"/>
      <c r="CH333" s="758"/>
      <c r="CI333" s="759"/>
      <c r="CK333" s="1296"/>
    </row>
    <row r="334" spans="2:89" x14ac:dyDescent="0.2">
      <c r="B334" s="948" t="s">
        <v>741</v>
      </c>
      <c r="C334" s="949" t="s">
        <v>532</v>
      </c>
      <c r="D334" s="914" t="s">
        <v>86</v>
      </c>
      <c r="E334" s="971" t="s">
        <v>344</v>
      </c>
      <c r="F334" s="972">
        <v>2</v>
      </c>
      <c r="G334" s="593"/>
      <c r="H334" s="593"/>
      <c r="I334" s="593">
        <v>24.036000000000001</v>
      </c>
      <c r="J334" s="593">
        <v>24.350248258819796</v>
      </c>
      <c r="K334" s="593">
        <v>24.432463110532737</v>
      </c>
      <c r="L334" s="593">
        <v>24.514677962245671</v>
      </c>
      <c r="M334" s="594">
        <v>25.845099999999999</v>
      </c>
      <c r="N334" s="594">
        <v>26.25055</v>
      </c>
      <c r="O334" s="594">
        <v>26.654299999999999</v>
      </c>
      <c r="P334" s="594">
        <v>27.058049999999998</v>
      </c>
      <c r="Q334" s="594">
        <v>27.381049999999998</v>
      </c>
      <c r="R334" s="594">
        <v>27.542549999999999</v>
      </c>
      <c r="S334" s="594">
        <v>27.6233</v>
      </c>
      <c r="T334" s="594">
        <v>27.704049999999999</v>
      </c>
      <c r="U334" s="594">
        <v>27.784800000000001</v>
      </c>
      <c r="V334" s="594">
        <v>27.865549999999999</v>
      </c>
      <c r="W334" s="594">
        <v>27.942049999999998</v>
      </c>
      <c r="X334" s="594">
        <v>28.018549999999998</v>
      </c>
      <c r="Y334" s="594">
        <v>28.095050000000001</v>
      </c>
      <c r="Z334" s="594">
        <v>28.17155</v>
      </c>
      <c r="AA334" s="594">
        <v>28.248049999999999</v>
      </c>
      <c r="AB334" s="594">
        <v>28.324549999999999</v>
      </c>
      <c r="AC334" s="594">
        <v>28.401049999999998</v>
      </c>
      <c r="AD334" s="594">
        <v>28.477550000000001</v>
      </c>
      <c r="AE334" s="594">
        <v>28.55405</v>
      </c>
      <c r="AF334" s="594">
        <v>28.630549999999999</v>
      </c>
      <c r="AG334" s="594">
        <v>28.707049999999999</v>
      </c>
      <c r="AH334" s="594">
        <v>28.783549999999998</v>
      </c>
      <c r="AI334" s="594">
        <v>28.860049999999998</v>
      </c>
      <c r="AJ334" s="594">
        <v>28.93655</v>
      </c>
      <c r="AK334" s="594">
        <v>29.01305</v>
      </c>
      <c r="AL334" s="594"/>
      <c r="AM334" s="594"/>
      <c r="AN334" s="594"/>
      <c r="AO334" s="594"/>
      <c r="AP334" s="594"/>
      <c r="AQ334" s="594"/>
      <c r="AR334" s="594"/>
      <c r="AS334" s="594"/>
      <c r="AT334" s="594"/>
      <c r="AU334" s="594"/>
      <c r="AV334" s="594"/>
      <c r="AW334" s="594"/>
      <c r="AX334" s="594"/>
      <c r="AY334" s="594"/>
      <c r="AZ334" s="594"/>
      <c r="BA334" s="594"/>
      <c r="BB334" s="594"/>
      <c r="BC334" s="594"/>
      <c r="BD334" s="594"/>
      <c r="BE334" s="594"/>
      <c r="BF334" s="594"/>
      <c r="BG334" s="594"/>
      <c r="BH334" s="594"/>
      <c r="BI334" s="594"/>
      <c r="BJ334" s="594"/>
      <c r="BK334" s="594"/>
      <c r="BL334" s="594"/>
      <c r="BM334" s="594"/>
      <c r="BN334" s="594"/>
      <c r="BO334" s="594"/>
      <c r="BP334" s="594"/>
      <c r="BQ334" s="594"/>
      <c r="BR334" s="594"/>
      <c r="BS334" s="594"/>
      <c r="BT334" s="594"/>
      <c r="BU334" s="594"/>
      <c r="BV334" s="594"/>
      <c r="BW334" s="594"/>
      <c r="BX334" s="594"/>
      <c r="BY334" s="594"/>
      <c r="BZ334" s="594"/>
      <c r="CA334" s="594"/>
      <c r="CB334" s="594"/>
      <c r="CC334" s="594"/>
      <c r="CD334" s="594"/>
      <c r="CE334" s="594"/>
      <c r="CF334" s="594"/>
      <c r="CG334" s="594"/>
      <c r="CH334" s="594"/>
      <c r="CI334" s="595"/>
      <c r="CK334" s="1296"/>
    </row>
    <row r="335" spans="2:89" x14ac:dyDescent="0.2">
      <c r="B335" s="953" t="s">
        <v>742</v>
      </c>
      <c r="C335" s="954" t="s">
        <v>534</v>
      </c>
      <c r="D335" s="918" t="s">
        <v>86</v>
      </c>
      <c r="E335" s="960" t="s">
        <v>344</v>
      </c>
      <c r="F335" s="961">
        <v>2</v>
      </c>
      <c r="G335" s="597"/>
      <c r="H335" s="597"/>
      <c r="I335" s="597">
        <v>1.52</v>
      </c>
      <c r="J335" s="597">
        <v>1.5116672255144381</v>
      </c>
      <c r="K335" s="597">
        <v>1.4949530652493412</v>
      </c>
      <c r="L335" s="597">
        <v>1.4782389049842446</v>
      </c>
      <c r="M335" s="598">
        <v>1.563375</v>
      </c>
      <c r="N335" s="598">
        <v>1.2693749999999999</v>
      </c>
      <c r="O335" s="598">
        <v>0.97687500000000005</v>
      </c>
      <c r="P335" s="598">
        <v>0.68437499999999996</v>
      </c>
      <c r="Q335" s="598">
        <v>0.46687499999999998</v>
      </c>
      <c r="R335" s="598">
        <v>0.39187499999999997</v>
      </c>
      <c r="S335" s="598">
        <v>0.391125</v>
      </c>
      <c r="T335" s="598">
        <v>0.39037500000000003</v>
      </c>
      <c r="U335" s="598">
        <v>0.389625</v>
      </c>
      <c r="V335" s="598">
        <v>0.38887500000000003</v>
      </c>
      <c r="W335" s="598">
        <v>0.388125</v>
      </c>
      <c r="X335" s="598">
        <v>0.38737500000000002</v>
      </c>
      <c r="Y335" s="598">
        <v>0.386625</v>
      </c>
      <c r="Z335" s="598">
        <v>0.38587500000000002</v>
      </c>
      <c r="AA335" s="598">
        <v>0.385125</v>
      </c>
      <c r="AB335" s="598">
        <v>0.38437500000000002</v>
      </c>
      <c r="AC335" s="598">
        <v>0.38362499999999999</v>
      </c>
      <c r="AD335" s="598">
        <v>0.38287500000000002</v>
      </c>
      <c r="AE335" s="598">
        <v>0.38212499999999999</v>
      </c>
      <c r="AF335" s="598">
        <v>0.38137500000000002</v>
      </c>
      <c r="AG335" s="598">
        <v>0.38062499999999999</v>
      </c>
      <c r="AH335" s="598">
        <v>0.37987500000000002</v>
      </c>
      <c r="AI335" s="598">
        <v>0.37912499999999999</v>
      </c>
      <c r="AJ335" s="598">
        <v>0.37837500000000002</v>
      </c>
      <c r="AK335" s="598">
        <v>0.37762499999999999</v>
      </c>
      <c r="AL335" s="598"/>
      <c r="AM335" s="598"/>
      <c r="AN335" s="598"/>
      <c r="AO335" s="598"/>
      <c r="AP335" s="598"/>
      <c r="AQ335" s="598"/>
      <c r="AR335" s="598"/>
      <c r="AS335" s="598"/>
      <c r="AT335" s="598"/>
      <c r="AU335" s="598"/>
      <c r="AV335" s="598"/>
      <c r="AW335" s="598"/>
      <c r="AX335" s="598"/>
      <c r="AY335" s="598"/>
      <c r="AZ335" s="598"/>
      <c r="BA335" s="598"/>
      <c r="BB335" s="598"/>
      <c r="BC335" s="598"/>
      <c r="BD335" s="598"/>
      <c r="BE335" s="598"/>
      <c r="BF335" s="598"/>
      <c r="BG335" s="598"/>
      <c r="BH335" s="598"/>
      <c r="BI335" s="598"/>
      <c r="BJ335" s="598"/>
      <c r="BK335" s="598"/>
      <c r="BL335" s="598"/>
      <c r="BM335" s="598"/>
      <c r="BN335" s="598"/>
      <c r="BO335" s="598"/>
      <c r="BP335" s="598"/>
      <c r="BQ335" s="598"/>
      <c r="BR335" s="598"/>
      <c r="BS335" s="598"/>
      <c r="BT335" s="598"/>
      <c r="BU335" s="598"/>
      <c r="BV335" s="598"/>
      <c r="BW335" s="598"/>
      <c r="BX335" s="598"/>
      <c r="BY335" s="598"/>
      <c r="BZ335" s="598"/>
      <c r="CA335" s="598"/>
      <c r="CB335" s="598"/>
      <c r="CC335" s="598"/>
      <c r="CD335" s="598"/>
      <c r="CE335" s="598"/>
      <c r="CF335" s="598"/>
      <c r="CG335" s="598"/>
      <c r="CH335" s="598"/>
      <c r="CI335" s="599"/>
      <c r="CK335" s="1296"/>
    </row>
    <row r="336" spans="2:89" x14ac:dyDescent="0.2">
      <c r="B336" s="973" t="s">
        <v>743</v>
      </c>
      <c r="C336" s="974" t="s">
        <v>536</v>
      </c>
      <c r="D336" s="918" t="s">
        <v>86</v>
      </c>
      <c r="E336" s="960" t="s">
        <v>344</v>
      </c>
      <c r="F336" s="961">
        <v>2</v>
      </c>
      <c r="G336" s="597"/>
      <c r="H336" s="597"/>
      <c r="I336" s="597">
        <v>6.6349999999999998</v>
      </c>
      <c r="J336" s="597">
        <v>6.4035845156657647</v>
      </c>
      <c r="K336" s="597">
        <v>6.4130838242179253</v>
      </c>
      <c r="L336" s="597">
        <v>6.4225831327700851</v>
      </c>
      <c r="M336" s="598">
        <v>5.0820249999999998</v>
      </c>
      <c r="N336" s="598">
        <v>5.0555750000000002</v>
      </c>
      <c r="O336" s="598">
        <v>5.029325</v>
      </c>
      <c r="P336" s="598">
        <v>5.0030749999999999</v>
      </c>
      <c r="Q336" s="598">
        <v>4.9875749999999996</v>
      </c>
      <c r="R336" s="598">
        <v>4.9910749999999995</v>
      </c>
      <c r="S336" s="598">
        <v>5.0050749999999997</v>
      </c>
      <c r="T336" s="598">
        <v>5.019075</v>
      </c>
      <c r="U336" s="598">
        <v>5.0330750000000002</v>
      </c>
      <c r="V336" s="598">
        <v>5.0470749999999995</v>
      </c>
      <c r="W336" s="598">
        <v>5.0603249999999997</v>
      </c>
      <c r="X336" s="598">
        <v>5.0735749999999999</v>
      </c>
      <c r="Y336" s="598">
        <v>5.0868250000000002</v>
      </c>
      <c r="Z336" s="598">
        <v>5.1000749999999995</v>
      </c>
      <c r="AA336" s="598">
        <v>5.1133249999999997</v>
      </c>
      <c r="AB336" s="598">
        <v>5.1265749999999999</v>
      </c>
      <c r="AC336" s="598">
        <v>5.1398250000000001</v>
      </c>
      <c r="AD336" s="598">
        <v>5.1530749999999994</v>
      </c>
      <c r="AE336" s="598">
        <v>5.1663249999999996</v>
      </c>
      <c r="AF336" s="598">
        <v>5.1795749999999998</v>
      </c>
      <c r="AG336" s="598">
        <v>5.192825</v>
      </c>
      <c r="AH336" s="598">
        <v>5.2060750000000002</v>
      </c>
      <c r="AI336" s="598">
        <v>5.2193249999999995</v>
      </c>
      <c r="AJ336" s="598">
        <v>5.2325749999999998</v>
      </c>
      <c r="AK336" s="598">
        <v>5.245825</v>
      </c>
      <c r="AL336" s="598"/>
      <c r="AM336" s="598"/>
      <c r="AN336" s="598"/>
      <c r="AO336" s="598"/>
      <c r="AP336" s="598"/>
      <c r="AQ336" s="598"/>
      <c r="AR336" s="598"/>
      <c r="AS336" s="598"/>
      <c r="AT336" s="598"/>
      <c r="AU336" s="598"/>
      <c r="AV336" s="598"/>
      <c r="AW336" s="598"/>
      <c r="AX336" s="598"/>
      <c r="AY336" s="598"/>
      <c r="AZ336" s="598"/>
      <c r="BA336" s="598"/>
      <c r="BB336" s="598"/>
      <c r="BC336" s="598"/>
      <c r="BD336" s="598"/>
      <c r="BE336" s="598"/>
      <c r="BF336" s="598"/>
      <c r="BG336" s="598"/>
      <c r="BH336" s="598"/>
      <c r="BI336" s="598"/>
      <c r="BJ336" s="598"/>
      <c r="BK336" s="598"/>
      <c r="BL336" s="598"/>
      <c r="BM336" s="598"/>
      <c r="BN336" s="598"/>
      <c r="BO336" s="598"/>
      <c r="BP336" s="598"/>
      <c r="BQ336" s="598"/>
      <c r="BR336" s="598"/>
      <c r="BS336" s="598"/>
      <c r="BT336" s="598"/>
      <c r="BU336" s="598"/>
      <c r="BV336" s="598"/>
      <c r="BW336" s="598"/>
      <c r="BX336" s="598"/>
      <c r="BY336" s="598"/>
      <c r="BZ336" s="598"/>
      <c r="CA336" s="598"/>
      <c r="CB336" s="598"/>
      <c r="CC336" s="598"/>
      <c r="CD336" s="598"/>
      <c r="CE336" s="598"/>
      <c r="CF336" s="598"/>
      <c r="CG336" s="598"/>
      <c r="CH336" s="598"/>
      <c r="CI336" s="599"/>
      <c r="CK336" s="1296"/>
    </row>
    <row r="337" spans="2:89" ht="28.5" x14ac:dyDescent="0.2">
      <c r="B337" s="973" t="s">
        <v>744</v>
      </c>
      <c r="C337" s="974" t="s">
        <v>538</v>
      </c>
      <c r="D337" s="602" t="s">
        <v>539</v>
      </c>
      <c r="E337" s="603" t="s">
        <v>344</v>
      </c>
      <c r="F337" s="604">
        <v>2</v>
      </c>
      <c r="G337" s="597"/>
      <c r="H337" s="597"/>
      <c r="I337" s="597">
        <v>402.48899999999998</v>
      </c>
      <c r="J337" s="552">
        <f t="shared" ref="J337:M337" si="153">I337+SUM(J338:J343)</f>
        <v>414.15406383130227</v>
      </c>
      <c r="K337" s="552">
        <f t="shared" si="153"/>
        <v>431.40095586723061</v>
      </c>
      <c r="L337" s="552">
        <f t="shared" si="153"/>
        <v>452.41886311448849</v>
      </c>
      <c r="M337" s="552">
        <f t="shared" si="153"/>
        <v>496.46073259326744</v>
      </c>
      <c r="N337" s="552">
        <f t="shared" ref="N337" si="154">M337+SUM(N338:N343)</f>
        <v>551.01525872171339</v>
      </c>
      <c r="O337" s="552">
        <f t="shared" ref="O337" si="155">N337+SUM(O338:O343)</f>
        <v>584.93085898208096</v>
      </c>
      <c r="P337" s="552">
        <f t="shared" ref="P337" si="156">O337+SUM(P338:P343)</f>
        <v>608.23847097939961</v>
      </c>
      <c r="Q337" s="552">
        <f t="shared" ref="Q337" si="157">P337+SUM(Q338:Q343)</f>
        <v>630.68769308600611</v>
      </c>
      <c r="R337" s="552">
        <f t="shared" ref="R337" si="158">Q337+SUM(R338:R343)</f>
        <v>650.58731600932367</v>
      </c>
      <c r="S337" s="552">
        <f t="shared" ref="S337" si="159">R337+SUM(S338:S343)</f>
        <v>668.2140809904364</v>
      </c>
      <c r="T337" s="552">
        <f t="shared" ref="T337" si="160">S337+SUM(T338:T343)</f>
        <v>685.29219336012318</v>
      </c>
      <c r="U337" s="552">
        <f t="shared" ref="U337" si="161">T337+SUM(U338:U343)</f>
        <v>701.57100464681184</v>
      </c>
      <c r="V337" s="552">
        <f t="shared" ref="V337" si="162">U337+SUM(V338:V343)</f>
        <v>718.46466787303939</v>
      </c>
      <c r="W337" s="552">
        <f t="shared" ref="W337" si="163">V337+SUM(W338:W343)</f>
        <v>729.43033107204622</v>
      </c>
      <c r="X337" s="552">
        <f t="shared" ref="X337" si="164">W337+SUM(X338:X343)</f>
        <v>734.55929057263745</v>
      </c>
      <c r="Y337" s="552">
        <f t="shared" ref="Y337" si="165">X337+SUM(Y338:Y343)</f>
        <v>739.80783424649928</v>
      </c>
      <c r="Z337" s="552">
        <f t="shared" ref="Z337" si="166">Y337+SUM(Z338:Z343)</f>
        <v>745.16486903723728</v>
      </c>
      <c r="AA337" s="552">
        <f t="shared" ref="AA337" si="167">Z337+SUM(AA338:AA343)</f>
        <v>750.63134244956461</v>
      </c>
      <c r="AB337" s="552">
        <f t="shared" ref="AB337" si="168">AA337+SUM(AB338:AB343)</f>
        <v>756.20383236213911</v>
      </c>
      <c r="AC337" s="552">
        <f t="shared" ref="AC337" si="169">AB337+SUM(AC338:AC343)</f>
        <v>761.89061023424642</v>
      </c>
      <c r="AD337" s="552">
        <f t="shared" ref="AD337" si="170">AC337+SUM(AD338:AD343)</f>
        <v>767.68950203766587</v>
      </c>
      <c r="AE337" s="552">
        <f t="shared" ref="AE337" si="171">AD337+SUM(AE338:AE343)</f>
        <v>773.59987463329901</v>
      </c>
      <c r="AF337" s="552">
        <f t="shared" ref="AF337" si="172">AE337+SUM(AF338:AF343)</f>
        <v>779.62250868013302</v>
      </c>
      <c r="AG337" s="552">
        <f t="shared" ref="AG337" si="173">AF337+SUM(AG338:AG343)</f>
        <v>785.75060204786109</v>
      </c>
      <c r="AH337" s="552">
        <f t="shared" ref="AH337" si="174">AG337+SUM(AH338:AH343)</f>
        <v>791.98604462763069</v>
      </c>
      <c r="AI337" s="552">
        <f t="shared" ref="AI337" si="175">AH337+SUM(AI338:AI343)</f>
        <v>798.32787107981267</v>
      </c>
      <c r="AJ337" s="552">
        <f t="shared" ref="AJ337" si="176">AI337+SUM(AJ338:AJ343)</f>
        <v>804.77487972707115</v>
      </c>
      <c r="AK337" s="552">
        <f t="shared" ref="AK337" si="177">AJ337+SUM(AK338:AK343)</f>
        <v>811.32508823454191</v>
      </c>
      <c r="AL337" s="552"/>
      <c r="AM337" s="552"/>
      <c r="AN337" s="552"/>
      <c r="AO337" s="552"/>
      <c r="AP337" s="552"/>
      <c r="AQ337" s="552"/>
      <c r="AR337" s="552"/>
      <c r="AS337" s="552"/>
      <c r="AT337" s="552"/>
      <c r="AU337" s="552"/>
      <c r="AV337" s="552"/>
      <c r="AW337" s="552"/>
      <c r="AX337" s="552"/>
      <c r="AY337" s="552"/>
      <c r="AZ337" s="552"/>
      <c r="BA337" s="552"/>
      <c r="BB337" s="552"/>
      <c r="BC337" s="552"/>
      <c r="BD337" s="552"/>
      <c r="BE337" s="552"/>
      <c r="BF337" s="552"/>
      <c r="BG337" s="552"/>
      <c r="BH337" s="552"/>
      <c r="BI337" s="552"/>
      <c r="BJ337" s="552"/>
      <c r="BK337" s="552"/>
      <c r="BL337" s="552"/>
      <c r="BM337" s="552"/>
      <c r="BN337" s="552"/>
      <c r="BO337" s="552"/>
      <c r="BP337" s="552"/>
      <c r="BQ337" s="552"/>
      <c r="BR337" s="552"/>
      <c r="BS337" s="552"/>
      <c r="BT337" s="552"/>
      <c r="BU337" s="552"/>
      <c r="BV337" s="552"/>
      <c r="BW337" s="552"/>
      <c r="BX337" s="552"/>
      <c r="BY337" s="552"/>
      <c r="BZ337" s="552"/>
      <c r="CA337" s="552"/>
      <c r="CB337" s="552"/>
      <c r="CC337" s="552"/>
      <c r="CD337" s="552"/>
      <c r="CE337" s="552"/>
      <c r="CF337" s="552"/>
      <c r="CG337" s="552"/>
      <c r="CH337" s="552"/>
      <c r="CI337" s="552"/>
      <c r="CK337" s="1296"/>
    </row>
    <row r="338" spans="2:89" x14ac:dyDescent="0.2">
      <c r="B338" s="973" t="s">
        <v>745</v>
      </c>
      <c r="C338" s="974" t="s">
        <v>541</v>
      </c>
      <c r="D338" s="602" t="s">
        <v>542</v>
      </c>
      <c r="E338" s="603" t="s">
        <v>344</v>
      </c>
      <c r="F338" s="604">
        <v>2</v>
      </c>
      <c r="G338" s="597"/>
      <c r="H338" s="597"/>
      <c r="I338" s="597">
        <v>4.5919999999999996</v>
      </c>
      <c r="J338" s="597">
        <v>5.7446845043247095</v>
      </c>
      <c r="K338" s="597">
        <v>9.2269525838384805</v>
      </c>
      <c r="L338" s="597">
        <v>10.244177015531042</v>
      </c>
      <c r="M338" s="598">
        <v>11.189108006404449</v>
      </c>
      <c r="N338" s="598">
        <v>11.284643025783842</v>
      </c>
      <c r="O338" s="598">
        <v>10.965001922938214</v>
      </c>
      <c r="P338" s="598">
        <v>10.131913689595585</v>
      </c>
      <c r="Q338" s="598">
        <v>7.8722169703828948</v>
      </c>
      <c r="R338" s="598">
        <v>6.6894809530219641</v>
      </c>
      <c r="S338" s="598">
        <v>5.9069673860963032</v>
      </c>
      <c r="T338" s="598">
        <v>5.3415003756294608</v>
      </c>
      <c r="U338" s="598">
        <v>4.5177033418539763</v>
      </c>
      <c r="V338" s="598">
        <v>5.1513984722337911</v>
      </c>
      <c r="W338" s="598">
        <v>5.2342247303592746</v>
      </c>
      <c r="X338" s="598">
        <v>5.3811452496638514</v>
      </c>
      <c r="Y338" s="598">
        <v>5.5043942847548761</v>
      </c>
      <c r="Z338" s="598">
        <v>5.6162102977377373</v>
      </c>
      <c r="AA338" s="598">
        <v>5.7290028533382582</v>
      </c>
      <c r="AB338" s="598">
        <v>5.8382684108267977</v>
      </c>
      <c r="AC338" s="598">
        <v>5.9560589206384043</v>
      </c>
      <c r="AD338" s="598">
        <v>6.0716087754108017</v>
      </c>
      <c r="AE338" s="598">
        <v>6.1865060874525231</v>
      </c>
      <c r="AF338" s="598">
        <v>6.302207983113477</v>
      </c>
      <c r="AG338" s="598">
        <v>6.4108992855329969</v>
      </c>
      <c r="AH338" s="598">
        <v>6.5215383980515194</v>
      </c>
      <c r="AI338" s="598">
        <v>6.6311825864543215</v>
      </c>
      <c r="AJ338" s="598">
        <v>6.7395882700611844</v>
      </c>
      <c r="AK338" s="598">
        <v>6.8459508667562634</v>
      </c>
      <c r="AL338" s="598"/>
      <c r="AM338" s="598"/>
      <c r="AN338" s="598"/>
      <c r="AO338" s="598"/>
      <c r="AP338" s="598"/>
      <c r="AQ338" s="598"/>
      <c r="AR338" s="598"/>
      <c r="AS338" s="598"/>
      <c r="AT338" s="598"/>
      <c r="AU338" s="598"/>
      <c r="AV338" s="598"/>
      <c r="AW338" s="598"/>
      <c r="AX338" s="598"/>
      <c r="AY338" s="598"/>
      <c r="AZ338" s="598"/>
      <c r="BA338" s="598"/>
      <c r="BB338" s="598"/>
      <c r="BC338" s="598"/>
      <c r="BD338" s="598"/>
      <c r="BE338" s="598"/>
      <c r="BF338" s="598"/>
      <c r="BG338" s="598"/>
      <c r="BH338" s="598"/>
      <c r="BI338" s="598"/>
      <c r="BJ338" s="598"/>
      <c r="BK338" s="598"/>
      <c r="BL338" s="598"/>
      <c r="BM338" s="598"/>
      <c r="BN338" s="598"/>
      <c r="BO338" s="598"/>
      <c r="BP338" s="598"/>
      <c r="BQ338" s="598"/>
      <c r="BR338" s="598"/>
      <c r="BS338" s="598"/>
      <c r="BT338" s="598"/>
      <c r="BU338" s="598"/>
      <c r="BV338" s="598"/>
      <c r="BW338" s="598"/>
      <c r="BX338" s="598"/>
      <c r="BY338" s="598"/>
      <c r="BZ338" s="598"/>
      <c r="CA338" s="598"/>
      <c r="CB338" s="598"/>
      <c r="CC338" s="598"/>
      <c r="CD338" s="598"/>
      <c r="CE338" s="598"/>
      <c r="CF338" s="598"/>
      <c r="CG338" s="598"/>
      <c r="CH338" s="598"/>
      <c r="CI338" s="599"/>
      <c r="CK338" s="1296"/>
    </row>
    <row r="339" spans="2:89" x14ac:dyDescent="0.2">
      <c r="B339" s="973" t="s">
        <v>746</v>
      </c>
      <c r="C339" s="974" t="s">
        <v>544</v>
      </c>
      <c r="D339" s="602" t="s">
        <v>545</v>
      </c>
      <c r="E339" s="603" t="s">
        <v>344</v>
      </c>
      <c r="F339" s="604">
        <v>2</v>
      </c>
      <c r="G339" s="597"/>
      <c r="H339" s="597"/>
      <c r="I339" s="597">
        <v>0</v>
      </c>
      <c r="J339" s="597">
        <v>5.96828</v>
      </c>
      <c r="K339" s="597">
        <v>8.3375000000000004</v>
      </c>
      <c r="L339" s="597">
        <v>11.050369999999999</v>
      </c>
      <c r="M339" s="598">
        <v>11.316649999999999</v>
      </c>
      <c r="N339" s="598">
        <v>4.75</v>
      </c>
      <c r="O339" s="598">
        <v>0.2</v>
      </c>
      <c r="P339" s="598">
        <v>0.2</v>
      </c>
      <c r="Q339" s="598">
        <v>0.2</v>
      </c>
      <c r="R339" s="598">
        <v>0.14000000000000001</v>
      </c>
      <c r="S339" s="598">
        <v>0.08</v>
      </c>
      <c r="T339" s="598">
        <v>0.08</v>
      </c>
      <c r="U339" s="598">
        <v>0.08</v>
      </c>
      <c r="V339" s="598">
        <v>0.08</v>
      </c>
      <c r="W339" s="598">
        <v>0.04</v>
      </c>
      <c r="X339" s="598">
        <v>0</v>
      </c>
      <c r="Y339" s="598">
        <v>0</v>
      </c>
      <c r="Z339" s="598">
        <v>0</v>
      </c>
      <c r="AA339" s="598">
        <v>0</v>
      </c>
      <c r="AB339" s="598">
        <v>0</v>
      </c>
      <c r="AC339" s="598">
        <v>0</v>
      </c>
      <c r="AD339" s="598">
        <v>0</v>
      </c>
      <c r="AE339" s="598">
        <v>0</v>
      </c>
      <c r="AF339" s="598">
        <v>0</v>
      </c>
      <c r="AG339" s="598">
        <v>0</v>
      </c>
      <c r="AH339" s="598">
        <v>0</v>
      </c>
      <c r="AI339" s="598">
        <v>0</v>
      </c>
      <c r="AJ339" s="598">
        <v>0</v>
      </c>
      <c r="AK339" s="598">
        <v>0</v>
      </c>
      <c r="AL339" s="598"/>
      <c r="AM339" s="598"/>
      <c r="AN339" s="598"/>
      <c r="AO339" s="598"/>
      <c r="AP339" s="598"/>
      <c r="AQ339" s="598"/>
      <c r="AR339" s="598"/>
      <c r="AS339" s="598"/>
      <c r="AT339" s="598"/>
      <c r="AU339" s="598"/>
      <c r="AV339" s="598"/>
      <c r="AW339" s="598"/>
      <c r="AX339" s="598"/>
      <c r="AY339" s="598"/>
      <c r="AZ339" s="598"/>
      <c r="BA339" s="598"/>
      <c r="BB339" s="598"/>
      <c r="BC339" s="598"/>
      <c r="BD339" s="598"/>
      <c r="BE339" s="598"/>
      <c r="BF339" s="598"/>
      <c r="BG339" s="598"/>
      <c r="BH339" s="598"/>
      <c r="BI339" s="598"/>
      <c r="BJ339" s="598"/>
      <c r="BK339" s="598"/>
      <c r="BL339" s="598"/>
      <c r="BM339" s="598"/>
      <c r="BN339" s="598"/>
      <c r="BO339" s="598"/>
      <c r="BP339" s="598"/>
      <c r="BQ339" s="598"/>
      <c r="BR339" s="598"/>
      <c r="BS339" s="598"/>
      <c r="BT339" s="598"/>
      <c r="BU339" s="598"/>
      <c r="BV339" s="598"/>
      <c r="BW339" s="598"/>
      <c r="BX339" s="598"/>
      <c r="BY339" s="598"/>
      <c r="BZ339" s="598"/>
      <c r="CA339" s="598"/>
      <c r="CB339" s="598"/>
      <c r="CC339" s="598"/>
      <c r="CD339" s="598"/>
      <c r="CE339" s="598"/>
      <c r="CF339" s="598"/>
      <c r="CG339" s="598"/>
      <c r="CH339" s="598"/>
      <c r="CI339" s="599"/>
      <c r="CK339" s="1296"/>
    </row>
    <row r="340" spans="2:89" x14ac:dyDescent="0.2">
      <c r="B340" s="973" t="s">
        <v>747</v>
      </c>
      <c r="C340" s="974" t="s">
        <v>547</v>
      </c>
      <c r="D340" s="602" t="s">
        <v>548</v>
      </c>
      <c r="E340" s="603" t="s">
        <v>344</v>
      </c>
      <c r="F340" s="604">
        <v>2</v>
      </c>
      <c r="G340" s="597"/>
      <c r="H340" s="597"/>
      <c r="I340" s="597">
        <v>0</v>
      </c>
      <c r="J340" s="597">
        <v>0</v>
      </c>
      <c r="K340" s="597">
        <v>0</v>
      </c>
      <c r="L340" s="597">
        <v>0</v>
      </c>
      <c r="M340" s="598">
        <v>0</v>
      </c>
      <c r="N340" s="598">
        <v>40.251800000000003</v>
      </c>
      <c r="O340" s="598">
        <v>23.85</v>
      </c>
      <c r="P340" s="598">
        <v>13.75</v>
      </c>
      <c r="Q340" s="598">
        <v>15.125</v>
      </c>
      <c r="R340" s="598">
        <v>13.75</v>
      </c>
      <c r="S340" s="598">
        <v>12.25</v>
      </c>
      <c r="T340" s="598">
        <v>12.25</v>
      </c>
      <c r="U340" s="598">
        <v>12.25</v>
      </c>
      <c r="V340" s="598">
        <v>12.25</v>
      </c>
      <c r="W340" s="598">
        <v>6.1275000000000004</v>
      </c>
      <c r="X340" s="598">
        <v>5.0000000000000001E-3</v>
      </c>
      <c r="Y340" s="598">
        <v>5.0000000000000001E-3</v>
      </c>
      <c r="Z340" s="598">
        <v>5.0000000000000001E-3</v>
      </c>
      <c r="AA340" s="598">
        <v>5.0000000000000001E-3</v>
      </c>
      <c r="AB340" s="598">
        <v>5.0000000000000001E-3</v>
      </c>
      <c r="AC340" s="598">
        <v>5.0000000000000001E-3</v>
      </c>
      <c r="AD340" s="598">
        <v>5.0000000000000001E-3</v>
      </c>
      <c r="AE340" s="598">
        <v>5.0000000000000001E-3</v>
      </c>
      <c r="AF340" s="598">
        <v>5.0000000000000001E-3</v>
      </c>
      <c r="AG340" s="598">
        <v>5.0000000000000001E-3</v>
      </c>
      <c r="AH340" s="598">
        <v>5.0000000000000001E-3</v>
      </c>
      <c r="AI340" s="598">
        <v>5.0000000000000001E-3</v>
      </c>
      <c r="AJ340" s="598">
        <v>5.0000000000000001E-3</v>
      </c>
      <c r="AK340" s="598">
        <v>5.0000000000000001E-3</v>
      </c>
      <c r="AL340" s="598"/>
      <c r="AM340" s="598"/>
      <c r="AN340" s="598"/>
      <c r="AO340" s="598"/>
      <c r="AP340" s="598"/>
      <c r="AQ340" s="598"/>
      <c r="AR340" s="598"/>
      <c r="AS340" s="598"/>
      <c r="AT340" s="598"/>
      <c r="AU340" s="598"/>
      <c r="AV340" s="598"/>
      <c r="AW340" s="598"/>
      <c r="AX340" s="598"/>
      <c r="AY340" s="598"/>
      <c r="AZ340" s="598"/>
      <c r="BA340" s="598"/>
      <c r="BB340" s="598"/>
      <c r="BC340" s="598"/>
      <c r="BD340" s="598"/>
      <c r="BE340" s="598"/>
      <c r="BF340" s="598"/>
      <c r="BG340" s="598"/>
      <c r="BH340" s="598"/>
      <c r="BI340" s="598"/>
      <c r="BJ340" s="598"/>
      <c r="BK340" s="598"/>
      <c r="BL340" s="598"/>
      <c r="BM340" s="598"/>
      <c r="BN340" s="598"/>
      <c r="BO340" s="598"/>
      <c r="BP340" s="598"/>
      <c r="BQ340" s="598"/>
      <c r="BR340" s="598"/>
      <c r="BS340" s="598"/>
      <c r="BT340" s="598"/>
      <c r="BU340" s="598"/>
      <c r="BV340" s="598"/>
      <c r="BW340" s="598"/>
      <c r="BX340" s="598"/>
      <c r="BY340" s="598"/>
      <c r="BZ340" s="598"/>
      <c r="CA340" s="598"/>
      <c r="CB340" s="598"/>
      <c r="CC340" s="598"/>
      <c r="CD340" s="598"/>
      <c r="CE340" s="598"/>
      <c r="CF340" s="598"/>
      <c r="CG340" s="598"/>
      <c r="CH340" s="598"/>
      <c r="CI340" s="599"/>
      <c r="CK340" s="1296"/>
    </row>
    <row r="341" spans="2:89" ht="28.5" x14ac:dyDescent="0.2">
      <c r="B341" s="973" t="s">
        <v>748</v>
      </c>
      <c r="C341" s="974" t="s">
        <v>550</v>
      </c>
      <c r="D341" s="602" t="s">
        <v>551</v>
      </c>
      <c r="E341" s="603" t="s">
        <v>344</v>
      </c>
      <c r="F341" s="604">
        <v>2</v>
      </c>
      <c r="G341" s="597"/>
      <c r="H341" s="597"/>
      <c r="I341" s="597">
        <v>0</v>
      </c>
      <c r="J341" s="597">
        <v>0</v>
      </c>
      <c r="K341" s="597">
        <v>0</v>
      </c>
      <c r="L341" s="597">
        <v>0</v>
      </c>
      <c r="M341" s="598">
        <v>0</v>
      </c>
      <c r="N341" s="598">
        <v>0</v>
      </c>
      <c r="O341" s="598">
        <v>0</v>
      </c>
      <c r="P341" s="598">
        <v>0</v>
      </c>
      <c r="Q341" s="598">
        <v>0</v>
      </c>
      <c r="R341" s="598">
        <v>0</v>
      </c>
      <c r="S341" s="598">
        <v>0</v>
      </c>
      <c r="T341" s="598">
        <v>0</v>
      </c>
      <c r="U341" s="598">
        <v>0</v>
      </c>
      <c r="V341" s="598">
        <v>0</v>
      </c>
      <c r="W341" s="598">
        <v>0</v>
      </c>
      <c r="X341" s="598">
        <v>0</v>
      </c>
      <c r="Y341" s="598">
        <v>0</v>
      </c>
      <c r="Z341" s="598">
        <v>0</v>
      </c>
      <c r="AA341" s="598">
        <v>0</v>
      </c>
      <c r="AB341" s="598">
        <v>0</v>
      </c>
      <c r="AC341" s="598">
        <v>0</v>
      </c>
      <c r="AD341" s="598">
        <v>0</v>
      </c>
      <c r="AE341" s="598">
        <v>0</v>
      </c>
      <c r="AF341" s="598">
        <v>0</v>
      </c>
      <c r="AG341" s="598">
        <v>0</v>
      </c>
      <c r="AH341" s="598">
        <v>0</v>
      </c>
      <c r="AI341" s="598">
        <v>0</v>
      </c>
      <c r="AJ341" s="598">
        <v>0</v>
      </c>
      <c r="AK341" s="598">
        <v>0</v>
      </c>
      <c r="AL341" s="598"/>
      <c r="AM341" s="598"/>
      <c r="AN341" s="598"/>
      <c r="AO341" s="598"/>
      <c r="AP341" s="598"/>
      <c r="AQ341" s="598"/>
      <c r="AR341" s="598"/>
      <c r="AS341" s="598"/>
      <c r="AT341" s="598"/>
      <c r="AU341" s="598"/>
      <c r="AV341" s="598"/>
      <c r="AW341" s="598"/>
      <c r="AX341" s="598"/>
      <c r="AY341" s="598"/>
      <c r="AZ341" s="598"/>
      <c r="BA341" s="598"/>
      <c r="BB341" s="598"/>
      <c r="BC341" s="598"/>
      <c r="BD341" s="598"/>
      <c r="BE341" s="598"/>
      <c r="BF341" s="598"/>
      <c r="BG341" s="598"/>
      <c r="BH341" s="598"/>
      <c r="BI341" s="598"/>
      <c r="BJ341" s="598"/>
      <c r="BK341" s="598"/>
      <c r="BL341" s="598"/>
      <c r="BM341" s="598"/>
      <c r="BN341" s="598"/>
      <c r="BO341" s="598"/>
      <c r="BP341" s="598"/>
      <c r="BQ341" s="598"/>
      <c r="BR341" s="598"/>
      <c r="BS341" s="598"/>
      <c r="BT341" s="598"/>
      <c r="BU341" s="598"/>
      <c r="BV341" s="598"/>
      <c r="BW341" s="598"/>
      <c r="BX341" s="598"/>
      <c r="BY341" s="598"/>
      <c r="BZ341" s="598"/>
      <c r="CA341" s="598"/>
      <c r="CB341" s="598"/>
      <c r="CC341" s="598"/>
      <c r="CD341" s="598"/>
      <c r="CE341" s="598"/>
      <c r="CF341" s="598"/>
      <c r="CG341" s="598"/>
      <c r="CH341" s="598"/>
      <c r="CI341" s="599"/>
      <c r="CK341" s="1296"/>
    </row>
    <row r="342" spans="2:89" x14ac:dyDescent="0.2">
      <c r="B342" s="973" t="s">
        <v>749</v>
      </c>
      <c r="C342" s="974" t="s">
        <v>553</v>
      </c>
      <c r="D342" s="602" t="s">
        <v>554</v>
      </c>
      <c r="E342" s="603" t="s">
        <v>344</v>
      </c>
      <c r="F342" s="604">
        <v>2</v>
      </c>
      <c r="G342" s="597"/>
      <c r="H342" s="597"/>
      <c r="I342" s="597">
        <v>4.0000000000000001E-3</v>
      </c>
      <c r="J342" s="597">
        <v>0.13955999999999999</v>
      </c>
      <c r="K342" s="597">
        <v>0.25600000000000001</v>
      </c>
      <c r="L342" s="597">
        <v>0.41249000000000002</v>
      </c>
      <c r="M342" s="598">
        <v>22.94585</v>
      </c>
      <c r="N342" s="598">
        <v>40.251800000000003</v>
      </c>
      <c r="O342" s="598">
        <v>23.85</v>
      </c>
      <c r="P342" s="598">
        <v>13.75</v>
      </c>
      <c r="Q342" s="598">
        <v>15.125</v>
      </c>
      <c r="R342" s="598">
        <v>13.75</v>
      </c>
      <c r="S342" s="598">
        <v>12.25</v>
      </c>
      <c r="T342" s="598">
        <v>12.25</v>
      </c>
      <c r="U342" s="598">
        <v>12.25</v>
      </c>
      <c r="V342" s="598">
        <v>12.25</v>
      </c>
      <c r="W342" s="598">
        <v>6.1275000000000004</v>
      </c>
      <c r="X342" s="598">
        <v>5.0000000000000001E-3</v>
      </c>
      <c r="Y342" s="598">
        <v>5.0000000000000001E-3</v>
      </c>
      <c r="Z342" s="598">
        <v>5.0000000000000001E-3</v>
      </c>
      <c r="AA342" s="598">
        <v>5.0000000000000001E-3</v>
      </c>
      <c r="AB342" s="598">
        <v>5.0000000000000001E-3</v>
      </c>
      <c r="AC342" s="598">
        <v>5.0000000000000001E-3</v>
      </c>
      <c r="AD342" s="598">
        <v>5.0000000000000001E-3</v>
      </c>
      <c r="AE342" s="598">
        <v>5.0000000000000001E-3</v>
      </c>
      <c r="AF342" s="598">
        <v>5.0000000000000001E-3</v>
      </c>
      <c r="AG342" s="598">
        <v>5.0000000000000001E-3</v>
      </c>
      <c r="AH342" s="598">
        <v>5.0000000000000001E-3</v>
      </c>
      <c r="AI342" s="598">
        <v>5.0000000000000001E-3</v>
      </c>
      <c r="AJ342" s="598">
        <v>5.0000000000000001E-3</v>
      </c>
      <c r="AK342" s="598">
        <v>5.0000000000000001E-3</v>
      </c>
      <c r="AL342" s="598"/>
      <c r="AM342" s="598"/>
      <c r="AN342" s="598"/>
      <c r="AO342" s="598"/>
      <c r="AP342" s="598"/>
      <c r="AQ342" s="598"/>
      <c r="AR342" s="598"/>
      <c r="AS342" s="598"/>
      <c r="AT342" s="598"/>
      <c r="AU342" s="598"/>
      <c r="AV342" s="598"/>
      <c r="AW342" s="598"/>
      <c r="AX342" s="598"/>
      <c r="AY342" s="598"/>
      <c r="AZ342" s="598"/>
      <c r="BA342" s="598"/>
      <c r="BB342" s="598"/>
      <c r="BC342" s="598"/>
      <c r="BD342" s="598"/>
      <c r="BE342" s="598"/>
      <c r="BF342" s="598"/>
      <c r="BG342" s="598"/>
      <c r="BH342" s="598"/>
      <c r="BI342" s="598"/>
      <c r="BJ342" s="598"/>
      <c r="BK342" s="598"/>
      <c r="BL342" s="598"/>
      <c r="BM342" s="598"/>
      <c r="BN342" s="598"/>
      <c r="BO342" s="598"/>
      <c r="BP342" s="598"/>
      <c r="BQ342" s="598"/>
      <c r="BR342" s="598"/>
      <c r="BS342" s="598"/>
      <c r="BT342" s="598"/>
      <c r="BU342" s="598"/>
      <c r="BV342" s="598"/>
      <c r="BW342" s="598"/>
      <c r="BX342" s="598"/>
      <c r="BY342" s="598"/>
      <c r="BZ342" s="598"/>
      <c r="CA342" s="598"/>
      <c r="CB342" s="598"/>
      <c r="CC342" s="598"/>
      <c r="CD342" s="598"/>
      <c r="CE342" s="598"/>
      <c r="CF342" s="598"/>
      <c r="CG342" s="598"/>
      <c r="CH342" s="598"/>
      <c r="CI342" s="599"/>
      <c r="CK342" s="1296"/>
    </row>
    <row r="343" spans="2:89" ht="28.5" x14ac:dyDescent="0.2">
      <c r="B343" s="973" t="s">
        <v>750</v>
      </c>
      <c r="C343" s="974" t="s">
        <v>556</v>
      </c>
      <c r="D343" s="602" t="s">
        <v>557</v>
      </c>
      <c r="E343" s="603" t="s">
        <v>344</v>
      </c>
      <c r="F343" s="604">
        <v>2</v>
      </c>
      <c r="G343" s="597"/>
      <c r="H343" s="597"/>
      <c r="I343" s="597">
        <v>0</v>
      </c>
      <c r="J343" s="597">
        <v>-0.18746067302242864</v>
      </c>
      <c r="K343" s="597">
        <v>-0.57356054791011957</v>
      </c>
      <c r="L343" s="597">
        <v>-0.68912976827317607</v>
      </c>
      <c r="M343" s="598">
        <v>-1.4097385276255068</v>
      </c>
      <c r="N343" s="598">
        <v>-41.983716897337899</v>
      </c>
      <c r="O343" s="598">
        <v>-24.949401662570608</v>
      </c>
      <c r="P343" s="598">
        <v>-14.524301692276936</v>
      </c>
      <c r="Q343" s="598">
        <v>-15.872994863776398</v>
      </c>
      <c r="R343" s="598">
        <v>-14.429858029704405</v>
      </c>
      <c r="S343" s="598">
        <v>-12.860202404983625</v>
      </c>
      <c r="T343" s="598">
        <v>-12.843388005942643</v>
      </c>
      <c r="U343" s="598">
        <v>-12.818892055165293</v>
      </c>
      <c r="V343" s="598">
        <v>-12.837735246006218</v>
      </c>
      <c r="W343" s="598">
        <v>-6.563561531352434</v>
      </c>
      <c r="X343" s="598">
        <v>-0.26218574907261427</v>
      </c>
      <c r="Y343" s="598">
        <v>-0.26585061089303963</v>
      </c>
      <c r="Z343" s="598">
        <v>-0.26917550699977255</v>
      </c>
      <c r="AA343" s="598">
        <v>-0.27252944101087451</v>
      </c>
      <c r="AB343" s="598">
        <v>-0.2757784982522935</v>
      </c>
      <c r="AC343" s="598">
        <v>-0.27928104853106106</v>
      </c>
      <c r="AD343" s="598">
        <v>-0.2827169719913627</v>
      </c>
      <c r="AE343" s="598">
        <v>-0.28613349181944159</v>
      </c>
      <c r="AF343" s="598">
        <v>-0.28957393627945294</v>
      </c>
      <c r="AG343" s="598">
        <v>-0.2928059178049125</v>
      </c>
      <c r="AH343" s="598">
        <v>-0.29609581828196951</v>
      </c>
      <c r="AI343" s="598">
        <v>-0.29935613427232965</v>
      </c>
      <c r="AJ343" s="598">
        <v>-0.30257962280268202</v>
      </c>
      <c r="AK343" s="598">
        <v>-0.30574235928554572</v>
      </c>
      <c r="AL343" s="598"/>
      <c r="AM343" s="598"/>
      <c r="AN343" s="598"/>
      <c r="AO343" s="598"/>
      <c r="AP343" s="598"/>
      <c r="AQ343" s="598"/>
      <c r="AR343" s="598"/>
      <c r="AS343" s="598"/>
      <c r="AT343" s="598"/>
      <c r="AU343" s="598"/>
      <c r="AV343" s="598"/>
      <c r="AW343" s="598"/>
      <c r="AX343" s="598"/>
      <c r="AY343" s="598"/>
      <c r="AZ343" s="598"/>
      <c r="BA343" s="598"/>
      <c r="BB343" s="598"/>
      <c r="BC343" s="598"/>
      <c r="BD343" s="598"/>
      <c r="BE343" s="598"/>
      <c r="BF343" s="598"/>
      <c r="BG343" s="598"/>
      <c r="BH343" s="598"/>
      <c r="BI343" s="598"/>
      <c r="BJ343" s="598"/>
      <c r="BK343" s="598"/>
      <c r="BL343" s="598"/>
      <c r="BM343" s="598"/>
      <c r="BN343" s="598"/>
      <c r="BO343" s="598"/>
      <c r="BP343" s="598"/>
      <c r="BQ343" s="598"/>
      <c r="BR343" s="598"/>
      <c r="BS343" s="598"/>
      <c r="BT343" s="598"/>
      <c r="BU343" s="598"/>
      <c r="BV343" s="598"/>
      <c r="BW343" s="598"/>
      <c r="BX343" s="598"/>
      <c r="BY343" s="598"/>
      <c r="BZ343" s="598"/>
      <c r="CA343" s="598"/>
      <c r="CB343" s="598"/>
      <c r="CC343" s="598"/>
      <c r="CD343" s="598"/>
      <c r="CE343" s="598"/>
      <c r="CF343" s="598"/>
      <c r="CG343" s="598"/>
      <c r="CH343" s="598"/>
      <c r="CI343" s="599"/>
      <c r="CK343" s="1296"/>
    </row>
    <row r="344" spans="2:89" x14ac:dyDescent="0.2">
      <c r="B344" s="973" t="s">
        <v>751</v>
      </c>
      <c r="C344" s="974" t="s">
        <v>559</v>
      </c>
      <c r="D344" s="918" t="s">
        <v>86</v>
      </c>
      <c r="E344" s="960" t="s">
        <v>344</v>
      </c>
      <c r="F344" s="961">
        <v>2</v>
      </c>
      <c r="G344" s="597"/>
      <c r="H344" s="597"/>
      <c r="I344" s="597">
        <v>12.55</v>
      </c>
      <c r="J344" s="597">
        <v>12.692460673022437</v>
      </c>
      <c r="K344" s="597">
        <v>13.221021220932577</v>
      </c>
      <c r="L344" s="597">
        <v>13.865150989205761</v>
      </c>
      <c r="M344" s="598">
        <v>15.214889516831285</v>
      </c>
      <c r="N344" s="598">
        <v>16.886806414169097</v>
      </c>
      <c r="O344" s="598">
        <v>17.926208076739787</v>
      </c>
      <c r="P344" s="598">
        <v>18.640509769016631</v>
      </c>
      <c r="Q344" s="598">
        <v>19.32850463279301</v>
      </c>
      <c r="R344" s="598">
        <v>19.938362662497305</v>
      </c>
      <c r="S344" s="598">
        <v>20.478565067480858</v>
      </c>
      <c r="T344" s="598">
        <v>21.0019530734235</v>
      </c>
      <c r="U344" s="598">
        <v>21.500845128588775</v>
      </c>
      <c r="V344" s="598">
        <v>22.018580374595007</v>
      </c>
      <c r="W344" s="598">
        <v>22.354641905947492</v>
      </c>
      <c r="X344" s="598">
        <v>22.511827655020078</v>
      </c>
      <c r="Y344" s="598">
        <v>22.672678265913195</v>
      </c>
      <c r="Z344" s="598">
        <v>22.836853772912814</v>
      </c>
      <c r="AA344" s="598">
        <v>23.004383213923798</v>
      </c>
      <c r="AB344" s="598">
        <v>23.175161712176028</v>
      </c>
      <c r="AC344" s="598">
        <v>23.349442760707131</v>
      </c>
      <c r="AD344" s="598">
        <v>23.527159732698486</v>
      </c>
      <c r="AE344" s="598">
        <v>23.708293224517945</v>
      </c>
      <c r="AF344" s="598">
        <v>23.892867160797326</v>
      </c>
      <c r="AG344" s="598">
        <v>24.080673078602302</v>
      </c>
      <c r="AH344" s="598">
        <v>24.271768896884197</v>
      </c>
      <c r="AI344" s="598">
        <v>24.46612503115659</v>
      </c>
      <c r="AJ344" s="598">
        <v>24.663704653959218</v>
      </c>
      <c r="AK344" s="598">
        <v>24.86444701324471</v>
      </c>
      <c r="AL344" s="598"/>
      <c r="AM344" s="598"/>
      <c r="AN344" s="598"/>
      <c r="AO344" s="598"/>
      <c r="AP344" s="598"/>
      <c r="AQ344" s="598"/>
      <c r="AR344" s="598"/>
      <c r="AS344" s="598"/>
      <c r="AT344" s="598"/>
      <c r="AU344" s="598"/>
      <c r="AV344" s="598"/>
      <c r="AW344" s="598"/>
      <c r="AX344" s="598"/>
      <c r="AY344" s="598"/>
      <c r="AZ344" s="598"/>
      <c r="BA344" s="598"/>
      <c r="BB344" s="598"/>
      <c r="BC344" s="598"/>
      <c r="BD344" s="598"/>
      <c r="BE344" s="598"/>
      <c r="BF344" s="598"/>
      <c r="BG344" s="598"/>
      <c r="BH344" s="598"/>
      <c r="BI344" s="598"/>
      <c r="BJ344" s="598"/>
      <c r="BK344" s="598"/>
      <c r="BL344" s="598"/>
      <c r="BM344" s="598"/>
      <c r="BN344" s="598"/>
      <c r="BO344" s="598"/>
      <c r="BP344" s="598"/>
      <c r="BQ344" s="598"/>
      <c r="BR344" s="598"/>
      <c r="BS344" s="598"/>
      <c r="BT344" s="598"/>
      <c r="BU344" s="598"/>
      <c r="BV344" s="598"/>
      <c r="BW344" s="598"/>
      <c r="BX344" s="598"/>
      <c r="BY344" s="598"/>
      <c r="BZ344" s="598"/>
      <c r="CA344" s="598"/>
      <c r="CB344" s="598"/>
      <c r="CC344" s="598"/>
      <c r="CD344" s="598"/>
      <c r="CE344" s="598"/>
      <c r="CF344" s="598"/>
      <c r="CG344" s="598"/>
      <c r="CH344" s="598"/>
      <c r="CI344" s="599"/>
      <c r="CK344" s="1296"/>
    </row>
    <row r="345" spans="2:89" ht="28.5" x14ac:dyDescent="0.2">
      <c r="B345" s="973" t="s">
        <v>752</v>
      </c>
      <c r="C345" s="974" t="s">
        <v>561</v>
      </c>
      <c r="D345" s="918" t="s">
        <v>86</v>
      </c>
      <c r="E345" s="960" t="s">
        <v>344</v>
      </c>
      <c r="F345" s="961">
        <v>2</v>
      </c>
      <c r="G345" s="597"/>
      <c r="H345" s="597"/>
      <c r="I345" s="597">
        <v>233.90899999999999</v>
      </c>
      <c r="J345" s="597">
        <v>227.57353333413573</v>
      </c>
      <c r="K345" s="597">
        <v>219.08561474238056</v>
      </c>
      <c r="L345" s="597">
        <v>207.81539260456512</v>
      </c>
      <c r="M345" s="598">
        <v>174.47605851179978</v>
      </c>
      <c r="N345" s="598">
        <v>130.72810334866514</v>
      </c>
      <c r="O345" s="598">
        <v>107.29627005115408</v>
      </c>
      <c r="P345" s="598">
        <v>93.662850801702163</v>
      </c>
      <c r="Q345" s="598">
        <v>78.696149086532159</v>
      </c>
      <c r="R345" s="598">
        <v>65.130606035335077</v>
      </c>
      <c r="S345" s="598">
        <v>53.077732545243521</v>
      </c>
      <c r="T345" s="598">
        <v>41.024859055151957</v>
      </c>
      <c r="U345" s="598">
        <v>28.971985565060397</v>
      </c>
      <c r="V345" s="598">
        <v>16.919112074968833</v>
      </c>
      <c r="W345" s="598">
        <v>10.880554580234708</v>
      </c>
      <c r="X345" s="598">
        <v>10.817526681855306</v>
      </c>
      <c r="Y345" s="598">
        <v>10.754498783475906</v>
      </c>
      <c r="Z345" s="598">
        <v>10.691470885096505</v>
      </c>
      <c r="AA345" s="598">
        <v>10.628442986717104</v>
      </c>
      <c r="AB345" s="598">
        <v>10.565415088337705</v>
      </c>
      <c r="AC345" s="598">
        <v>10.502387189958302</v>
      </c>
      <c r="AD345" s="598">
        <v>10.439359291578901</v>
      </c>
      <c r="AE345" s="598">
        <v>10.376331393199502</v>
      </c>
      <c r="AF345" s="598">
        <v>10.313303494820101</v>
      </c>
      <c r="AG345" s="598">
        <v>10.2502755964407</v>
      </c>
      <c r="AH345" s="598">
        <v>10.187247698061299</v>
      </c>
      <c r="AI345" s="598">
        <v>10.124219799681898</v>
      </c>
      <c r="AJ345" s="598">
        <v>10.061191901302498</v>
      </c>
      <c r="AK345" s="598">
        <v>9.9981640029230974</v>
      </c>
      <c r="AL345" s="598"/>
      <c r="AM345" s="598"/>
      <c r="AN345" s="598"/>
      <c r="AO345" s="598"/>
      <c r="AP345" s="598"/>
      <c r="AQ345" s="598"/>
      <c r="AR345" s="598"/>
      <c r="AS345" s="598"/>
      <c r="AT345" s="598"/>
      <c r="AU345" s="598"/>
      <c r="AV345" s="598"/>
      <c r="AW345" s="598"/>
      <c r="AX345" s="598"/>
      <c r="AY345" s="598"/>
      <c r="AZ345" s="598"/>
      <c r="BA345" s="598"/>
      <c r="BB345" s="598"/>
      <c r="BC345" s="598"/>
      <c r="BD345" s="598"/>
      <c r="BE345" s="598"/>
      <c r="BF345" s="598"/>
      <c r="BG345" s="598"/>
      <c r="BH345" s="598"/>
      <c r="BI345" s="598"/>
      <c r="BJ345" s="598"/>
      <c r="BK345" s="598"/>
      <c r="BL345" s="598"/>
      <c r="BM345" s="598"/>
      <c r="BN345" s="598"/>
      <c r="BO345" s="598"/>
      <c r="BP345" s="598"/>
      <c r="BQ345" s="598"/>
      <c r="BR345" s="598"/>
      <c r="BS345" s="598"/>
      <c r="BT345" s="598"/>
      <c r="BU345" s="598"/>
      <c r="BV345" s="598"/>
      <c r="BW345" s="598"/>
      <c r="BX345" s="598"/>
      <c r="BY345" s="598"/>
      <c r="BZ345" s="598"/>
      <c r="CA345" s="598"/>
      <c r="CB345" s="598"/>
      <c r="CC345" s="598"/>
      <c r="CD345" s="598"/>
      <c r="CE345" s="598"/>
      <c r="CF345" s="598"/>
      <c r="CG345" s="598"/>
      <c r="CH345" s="598"/>
      <c r="CI345" s="599"/>
      <c r="CK345" s="1296"/>
    </row>
    <row r="346" spans="2:89" x14ac:dyDescent="0.2">
      <c r="B346" s="973" t="s">
        <v>753</v>
      </c>
      <c r="C346" s="974" t="s">
        <v>563</v>
      </c>
      <c r="D346" s="918" t="s">
        <v>86</v>
      </c>
      <c r="E346" s="960" t="s">
        <v>344</v>
      </c>
      <c r="F346" s="961">
        <v>2</v>
      </c>
      <c r="G346" s="597"/>
      <c r="H346" s="597"/>
      <c r="I346" s="597">
        <v>7.0529999999999999</v>
      </c>
      <c r="J346" s="597">
        <v>7.120626665864247</v>
      </c>
      <c r="K346" s="597">
        <v>6.8550452576193948</v>
      </c>
      <c r="L346" s="597">
        <v>6.5024073954348083</v>
      </c>
      <c r="M346" s="598">
        <v>5.4592414882001439</v>
      </c>
      <c r="N346" s="598">
        <v>4.0903966513347338</v>
      </c>
      <c r="O346" s="598">
        <v>3.3572299488458035</v>
      </c>
      <c r="P346" s="598">
        <v>2.9306491982977225</v>
      </c>
      <c r="Q346" s="598">
        <v>2.462350913467735</v>
      </c>
      <c r="R346" s="598">
        <v>2.0378939646649186</v>
      </c>
      <c r="S346" s="598">
        <v>1.6607674547564801</v>
      </c>
      <c r="T346" s="598">
        <v>1.2836409448480419</v>
      </c>
      <c r="U346" s="598">
        <v>0.90651443493960371</v>
      </c>
      <c r="V346" s="598">
        <v>0.52938792503116539</v>
      </c>
      <c r="W346" s="598">
        <v>0.34044541976529252</v>
      </c>
      <c r="X346" s="598">
        <v>0.33847331814469328</v>
      </c>
      <c r="Y346" s="598">
        <v>0.33650121652409404</v>
      </c>
      <c r="Z346" s="598">
        <v>0.3345291149034948</v>
      </c>
      <c r="AA346" s="598">
        <v>0.33255701328289561</v>
      </c>
      <c r="AB346" s="598">
        <v>0.33058491166229637</v>
      </c>
      <c r="AC346" s="598">
        <v>0.32861281004169712</v>
      </c>
      <c r="AD346" s="598">
        <v>0.32664070842109788</v>
      </c>
      <c r="AE346" s="598">
        <v>0.32466860680049864</v>
      </c>
      <c r="AF346" s="598">
        <v>0.3226965051798994</v>
      </c>
      <c r="AG346" s="598">
        <v>0.32072440355930021</v>
      </c>
      <c r="AH346" s="598">
        <v>0.31875230193870097</v>
      </c>
      <c r="AI346" s="598">
        <v>0.31678020031810172</v>
      </c>
      <c r="AJ346" s="598">
        <v>0.31480809869750248</v>
      </c>
      <c r="AK346" s="598">
        <v>0.31283599707690324</v>
      </c>
      <c r="AL346" s="598"/>
      <c r="AM346" s="598"/>
      <c r="AN346" s="598"/>
      <c r="AO346" s="598"/>
      <c r="AP346" s="598"/>
      <c r="AQ346" s="598"/>
      <c r="AR346" s="598"/>
      <c r="AS346" s="598"/>
      <c r="AT346" s="598"/>
      <c r="AU346" s="598"/>
      <c r="AV346" s="598"/>
      <c r="AW346" s="598"/>
      <c r="AX346" s="598"/>
      <c r="AY346" s="598"/>
      <c r="AZ346" s="598"/>
      <c r="BA346" s="598"/>
      <c r="BB346" s="598"/>
      <c r="BC346" s="598"/>
      <c r="BD346" s="598"/>
      <c r="BE346" s="598"/>
      <c r="BF346" s="598"/>
      <c r="BG346" s="598"/>
      <c r="BH346" s="598"/>
      <c r="BI346" s="598"/>
      <c r="BJ346" s="598"/>
      <c r="BK346" s="598"/>
      <c r="BL346" s="598"/>
      <c r="BM346" s="598"/>
      <c r="BN346" s="598"/>
      <c r="BO346" s="598"/>
      <c r="BP346" s="598"/>
      <c r="BQ346" s="598"/>
      <c r="BR346" s="598"/>
      <c r="BS346" s="598"/>
      <c r="BT346" s="598"/>
      <c r="BU346" s="598"/>
      <c r="BV346" s="598"/>
      <c r="BW346" s="598"/>
      <c r="BX346" s="598"/>
      <c r="BY346" s="598"/>
      <c r="BZ346" s="598"/>
      <c r="CA346" s="598"/>
      <c r="CB346" s="598"/>
      <c r="CC346" s="598"/>
      <c r="CD346" s="598"/>
      <c r="CE346" s="598"/>
      <c r="CF346" s="598"/>
      <c r="CG346" s="598"/>
      <c r="CH346" s="598"/>
      <c r="CI346" s="599"/>
      <c r="CK346" s="1296"/>
    </row>
    <row r="347" spans="2:89" ht="29.25" thickBot="1" x14ac:dyDescent="0.25">
      <c r="B347" s="975" t="s">
        <v>754</v>
      </c>
      <c r="C347" s="976" t="s">
        <v>565</v>
      </c>
      <c r="D347" s="977" t="s">
        <v>755</v>
      </c>
      <c r="E347" s="978" t="s">
        <v>344</v>
      </c>
      <c r="F347" s="979">
        <v>2</v>
      </c>
      <c r="G347" s="729">
        <f>SUM(G334:G337)+G344+G345+G346</f>
        <v>0</v>
      </c>
      <c r="H347" s="729">
        <f t="shared" ref="H347:AK347" si="178">SUM(H334:H337)+H344+H345+H346</f>
        <v>0</v>
      </c>
      <c r="I347" s="729">
        <f t="shared" si="178"/>
        <v>688.19199999999989</v>
      </c>
      <c r="J347" s="729">
        <f t="shared" si="178"/>
        <v>693.80618450432473</v>
      </c>
      <c r="K347" s="729">
        <f t="shared" si="178"/>
        <v>702.90313708816313</v>
      </c>
      <c r="L347" s="729">
        <f t="shared" si="178"/>
        <v>713.01731410369416</v>
      </c>
      <c r="M347" s="729">
        <f t="shared" si="178"/>
        <v>724.10142211009861</v>
      </c>
      <c r="N347" s="729">
        <f t="shared" si="178"/>
        <v>735.29606513588237</v>
      </c>
      <c r="O347" s="729">
        <f t="shared" si="178"/>
        <v>746.17106705882065</v>
      </c>
      <c r="P347" s="729">
        <f t="shared" si="178"/>
        <v>756.21798074841604</v>
      </c>
      <c r="Q347" s="729">
        <f t="shared" si="178"/>
        <v>764.01019771879908</v>
      </c>
      <c r="R347" s="729">
        <f t="shared" si="178"/>
        <v>770.61967867182091</v>
      </c>
      <c r="S347" s="729">
        <f t="shared" si="178"/>
        <v>776.45064605791731</v>
      </c>
      <c r="T347" s="729">
        <f t="shared" si="178"/>
        <v>781.71614643354667</v>
      </c>
      <c r="U347" s="729">
        <f t="shared" si="178"/>
        <v>786.15784977540068</v>
      </c>
      <c r="V347" s="729">
        <f t="shared" si="178"/>
        <v>791.23324824763438</v>
      </c>
      <c r="W347" s="729">
        <f t="shared" si="178"/>
        <v>796.39647297799365</v>
      </c>
      <c r="X347" s="729">
        <f t="shared" si="178"/>
        <v>801.70661822765749</v>
      </c>
      <c r="Y347" s="729">
        <f t="shared" si="178"/>
        <v>807.14001251241245</v>
      </c>
      <c r="Z347" s="729">
        <f t="shared" si="178"/>
        <v>812.68522281015009</v>
      </c>
      <c r="AA347" s="729">
        <f t="shared" si="178"/>
        <v>818.3432256634884</v>
      </c>
      <c r="AB347" s="729">
        <f t="shared" si="178"/>
        <v>824.11049407431517</v>
      </c>
      <c r="AC347" s="729">
        <f t="shared" si="178"/>
        <v>829.99555299495353</v>
      </c>
      <c r="AD347" s="729">
        <f t="shared" si="178"/>
        <v>835.99616177036432</v>
      </c>
      <c r="AE347" s="729">
        <f t="shared" si="178"/>
        <v>842.11166785781688</v>
      </c>
      <c r="AF347" s="729">
        <f t="shared" si="178"/>
        <v>848.34287584093033</v>
      </c>
      <c r="AG347" s="729">
        <f t="shared" si="178"/>
        <v>854.68277512646341</v>
      </c>
      <c r="AH347" s="729">
        <f t="shared" si="178"/>
        <v>861.13331352451496</v>
      </c>
      <c r="AI347" s="729">
        <f t="shared" si="178"/>
        <v>867.69349611096925</v>
      </c>
      <c r="AJ347" s="729">
        <f t="shared" si="178"/>
        <v>874.36208438103051</v>
      </c>
      <c r="AK347" s="729">
        <f t="shared" si="178"/>
        <v>881.13703524778657</v>
      </c>
      <c r="AL347" s="729"/>
      <c r="AM347" s="729"/>
      <c r="AN347" s="729"/>
      <c r="AO347" s="729"/>
      <c r="AP347" s="729"/>
      <c r="AQ347" s="729"/>
      <c r="AR347" s="729"/>
      <c r="AS347" s="729"/>
      <c r="AT347" s="729"/>
      <c r="AU347" s="729"/>
      <c r="AV347" s="729"/>
      <c r="AW347" s="729"/>
      <c r="AX347" s="729"/>
      <c r="AY347" s="729"/>
      <c r="AZ347" s="729"/>
      <c r="BA347" s="729"/>
      <c r="BB347" s="729"/>
      <c r="BC347" s="729"/>
      <c r="BD347" s="729"/>
      <c r="BE347" s="729"/>
      <c r="BF347" s="729"/>
      <c r="BG347" s="729"/>
      <c r="BH347" s="729"/>
      <c r="BI347" s="729"/>
      <c r="BJ347" s="729"/>
      <c r="BK347" s="729"/>
      <c r="BL347" s="729"/>
      <c r="BM347" s="729"/>
      <c r="BN347" s="729"/>
      <c r="BO347" s="729"/>
      <c r="BP347" s="729"/>
      <c r="BQ347" s="729"/>
      <c r="BR347" s="729"/>
      <c r="BS347" s="729"/>
      <c r="BT347" s="729"/>
      <c r="BU347" s="729"/>
      <c r="BV347" s="729"/>
      <c r="BW347" s="729"/>
      <c r="BX347" s="729"/>
      <c r="BY347" s="729"/>
      <c r="BZ347" s="729"/>
      <c r="CA347" s="729"/>
      <c r="CB347" s="729"/>
      <c r="CC347" s="729"/>
      <c r="CD347" s="729"/>
      <c r="CE347" s="729"/>
      <c r="CF347" s="729"/>
      <c r="CG347" s="729"/>
      <c r="CH347" s="729"/>
      <c r="CI347" s="729"/>
      <c r="CK347" s="1296"/>
    </row>
    <row r="348" spans="2:89" x14ac:dyDescent="0.2">
      <c r="B348" s="933" t="s">
        <v>756</v>
      </c>
      <c r="C348" s="934" t="s">
        <v>568</v>
      </c>
      <c r="D348" s="925" t="s">
        <v>86</v>
      </c>
      <c r="E348" s="980" t="s">
        <v>344</v>
      </c>
      <c r="F348" s="981">
        <v>2</v>
      </c>
      <c r="G348" s="593"/>
      <c r="H348" s="593"/>
      <c r="I348" s="593">
        <v>10.781803200000001</v>
      </c>
      <c r="J348" s="593">
        <v>10.942820442277659</v>
      </c>
      <c r="K348" s="593">
        <v>11.093407616786745</v>
      </c>
      <c r="L348" s="593">
        <v>11.238826151297735</v>
      </c>
      <c r="M348" s="594">
        <v>11.343505573498152</v>
      </c>
      <c r="N348" s="594">
        <v>11.482651970256969</v>
      </c>
      <c r="O348" s="594">
        <v>11.67303040144331</v>
      </c>
      <c r="P348" s="594">
        <v>11.858143096468337</v>
      </c>
      <c r="Q348" s="594">
        <v>12.0421134688367</v>
      </c>
      <c r="R348" s="594">
        <v>12.200608820192237</v>
      </c>
      <c r="S348" s="594">
        <v>12.465927397754955</v>
      </c>
      <c r="T348" s="594">
        <v>12.737960521939707</v>
      </c>
      <c r="U348" s="594">
        <v>12.92890597539092</v>
      </c>
      <c r="V348" s="594">
        <v>13.076142503072429</v>
      </c>
      <c r="W348" s="594">
        <v>13.200798668552975</v>
      </c>
      <c r="X348" s="594">
        <v>13.315829281182362</v>
      </c>
      <c r="Y348" s="594">
        <v>13.438034912625971</v>
      </c>
      <c r="Z348" s="594">
        <v>13.572742551574198</v>
      </c>
      <c r="AA348" s="594">
        <v>13.715286397511594</v>
      </c>
      <c r="AB348" s="594">
        <v>13.872836830855436</v>
      </c>
      <c r="AC348" s="594">
        <v>14.052500792259041</v>
      </c>
      <c r="AD348" s="594">
        <v>14.259165021232462</v>
      </c>
      <c r="AE348" s="594">
        <v>14.486297905748376</v>
      </c>
      <c r="AF348" s="594">
        <v>14.723659729506204</v>
      </c>
      <c r="AG348" s="594">
        <v>14.987646603090074</v>
      </c>
      <c r="AH348" s="594">
        <v>15.259857617945277</v>
      </c>
      <c r="AI348" s="594">
        <v>15.53765616484252</v>
      </c>
      <c r="AJ348" s="594">
        <v>15.823044154822815</v>
      </c>
      <c r="AK348" s="594">
        <v>16.103505934103755</v>
      </c>
      <c r="AL348" s="594"/>
      <c r="AM348" s="594"/>
      <c r="AN348" s="594"/>
      <c r="AO348" s="594"/>
      <c r="AP348" s="594"/>
      <c r="AQ348" s="594"/>
      <c r="AR348" s="594"/>
      <c r="AS348" s="594"/>
      <c r="AT348" s="594"/>
      <c r="AU348" s="594"/>
      <c r="AV348" s="594"/>
      <c r="AW348" s="594"/>
      <c r="AX348" s="594"/>
      <c r="AY348" s="594"/>
      <c r="AZ348" s="594"/>
      <c r="BA348" s="594"/>
      <c r="BB348" s="594"/>
      <c r="BC348" s="594"/>
      <c r="BD348" s="594"/>
      <c r="BE348" s="594"/>
      <c r="BF348" s="594"/>
      <c r="BG348" s="594"/>
      <c r="BH348" s="594"/>
      <c r="BI348" s="594"/>
      <c r="BJ348" s="594"/>
      <c r="BK348" s="594"/>
      <c r="BL348" s="594"/>
      <c r="BM348" s="594"/>
      <c r="BN348" s="594"/>
      <c r="BO348" s="594"/>
      <c r="BP348" s="594"/>
      <c r="BQ348" s="594"/>
      <c r="BR348" s="594"/>
      <c r="BS348" s="594"/>
      <c r="BT348" s="594"/>
      <c r="BU348" s="594"/>
      <c r="BV348" s="594"/>
      <c r="BW348" s="594"/>
      <c r="BX348" s="594"/>
      <c r="BY348" s="594"/>
      <c r="BZ348" s="594"/>
      <c r="CA348" s="594"/>
      <c r="CB348" s="594"/>
      <c r="CC348" s="594"/>
      <c r="CD348" s="594"/>
      <c r="CE348" s="594"/>
      <c r="CF348" s="594"/>
      <c r="CG348" s="594"/>
      <c r="CH348" s="594"/>
      <c r="CI348" s="595"/>
      <c r="CK348" s="1296"/>
    </row>
    <row r="349" spans="2:89" x14ac:dyDescent="0.2">
      <c r="B349" s="940" t="s">
        <v>757</v>
      </c>
      <c r="C349" s="901" t="s">
        <v>570</v>
      </c>
      <c r="D349" s="907" t="s">
        <v>86</v>
      </c>
      <c r="E349" s="982" t="s">
        <v>344</v>
      </c>
      <c r="F349" s="983">
        <v>2</v>
      </c>
      <c r="G349" s="597"/>
      <c r="H349" s="597"/>
      <c r="I349" s="597">
        <v>2.0536767999999999</v>
      </c>
      <c r="J349" s="597">
        <v>2.0843467509100311</v>
      </c>
      <c r="K349" s="597">
        <v>2.1130300222450948</v>
      </c>
      <c r="L349" s="597">
        <v>2.1407287907233776</v>
      </c>
      <c r="M349" s="598">
        <v>2.1606677282853628</v>
      </c>
      <c r="N349" s="598">
        <v>2.1871718038584707</v>
      </c>
      <c r="O349" s="598">
        <v>2.2234343621796775</v>
      </c>
      <c r="P349" s="598">
        <v>2.2586939231368266</v>
      </c>
      <c r="Q349" s="598">
        <v>2.2937358988260392</v>
      </c>
      <c r="R349" s="598">
        <v>2.3239254895604269</v>
      </c>
      <c r="S349" s="598">
        <v>2.3744623614771339</v>
      </c>
      <c r="T349" s="598">
        <v>2.4262781946551826</v>
      </c>
      <c r="U349" s="598">
        <v>2.4626487572173179</v>
      </c>
      <c r="V349" s="598">
        <v>2.4906938101090343</v>
      </c>
      <c r="W349" s="598">
        <v>2.5144378416291389</v>
      </c>
      <c r="X349" s="598">
        <v>2.5363484345109271</v>
      </c>
      <c r="Y349" s="598">
        <v>2.5596256976430425</v>
      </c>
      <c r="Z349" s="598">
        <v>2.5852842955379423</v>
      </c>
      <c r="AA349" s="598">
        <v>2.612435504287923</v>
      </c>
      <c r="AB349" s="598">
        <v>2.642445110639132</v>
      </c>
      <c r="AC349" s="598">
        <v>2.6766668175731514</v>
      </c>
      <c r="AD349" s="598">
        <v>2.7160314326157078</v>
      </c>
      <c r="AE349" s="598">
        <v>2.7592948391901686</v>
      </c>
      <c r="AF349" s="598">
        <v>2.8045066151440405</v>
      </c>
      <c r="AG349" s="598">
        <v>2.8547898291600156</v>
      </c>
      <c r="AH349" s="598">
        <v>2.9066395462752919</v>
      </c>
      <c r="AI349" s="598">
        <v>2.9595535552080996</v>
      </c>
      <c r="AJ349" s="598">
        <v>3.0139131723472037</v>
      </c>
      <c r="AK349" s="598">
        <v>3.0673344636388116</v>
      </c>
      <c r="AL349" s="598"/>
      <c r="AM349" s="598"/>
      <c r="AN349" s="598"/>
      <c r="AO349" s="598"/>
      <c r="AP349" s="598"/>
      <c r="AQ349" s="598"/>
      <c r="AR349" s="598"/>
      <c r="AS349" s="598"/>
      <c r="AT349" s="598"/>
      <c r="AU349" s="598"/>
      <c r="AV349" s="598"/>
      <c r="AW349" s="598"/>
      <c r="AX349" s="598"/>
      <c r="AY349" s="598"/>
      <c r="AZ349" s="598"/>
      <c r="BA349" s="598"/>
      <c r="BB349" s="598"/>
      <c r="BC349" s="598"/>
      <c r="BD349" s="598"/>
      <c r="BE349" s="598"/>
      <c r="BF349" s="598"/>
      <c r="BG349" s="598"/>
      <c r="BH349" s="598"/>
      <c r="BI349" s="598"/>
      <c r="BJ349" s="598"/>
      <c r="BK349" s="598"/>
      <c r="BL349" s="598"/>
      <c r="BM349" s="598"/>
      <c r="BN349" s="598"/>
      <c r="BO349" s="598"/>
      <c r="BP349" s="598"/>
      <c r="BQ349" s="598"/>
      <c r="BR349" s="598"/>
      <c r="BS349" s="598"/>
      <c r="BT349" s="598"/>
      <c r="BU349" s="598"/>
      <c r="BV349" s="598"/>
      <c r="BW349" s="598"/>
      <c r="BX349" s="598"/>
      <c r="BY349" s="598"/>
      <c r="BZ349" s="598"/>
      <c r="CA349" s="598"/>
      <c r="CB349" s="598"/>
      <c r="CC349" s="598"/>
      <c r="CD349" s="598"/>
      <c r="CE349" s="598"/>
      <c r="CF349" s="598"/>
      <c r="CG349" s="598"/>
      <c r="CH349" s="598"/>
      <c r="CI349" s="599"/>
      <c r="CK349" s="1296"/>
    </row>
    <row r="350" spans="2:89" x14ac:dyDescent="0.2">
      <c r="B350" s="937" t="s">
        <v>758</v>
      </c>
      <c r="C350" s="984" t="s">
        <v>572</v>
      </c>
      <c r="D350" s="907" t="s">
        <v>86</v>
      </c>
      <c r="E350" s="982" t="s">
        <v>344</v>
      </c>
      <c r="F350" s="983">
        <v>2</v>
      </c>
      <c r="G350" s="597"/>
      <c r="H350" s="597"/>
      <c r="I350" s="597">
        <v>934.73429742747101</v>
      </c>
      <c r="J350" s="597">
        <v>962.93082656687795</v>
      </c>
      <c r="K350" s="597">
        <v>1005.2433813269001</v>
      </c>
      <c r="L350" s="597">
        <v>1057.0704988221341</v>
      </c>
      <c r="M350" s="598">
        <v>1189.9087735915871</v>
      </c>
      <c r="N350" s="598">
        <v>1368.3283574943107</v>
      </c>
      <c r="O350" s="598">
        <v>1482.6876056883195</v>
      </c>
      <c r="P350" s="598">
        <v>1555.6556272804376</v>
      </c>
      <c r="Q350" s="598">
        <v>1628.305701942832</v>
      </c>
      <c r="R350" s="598">
        <v>1688.9015419548125</v>
      </c>
      <c r="S350" s="598">
        <v>1745.1238956798884</v>
      </c>
      <c r="T350" s="598">
        <v>1796.7647090731434</v>
      </c>
      <c r="U350" s="598">
        <v>1849.4598131865375</v>
      </c>
      <c r="V350" s="598">
        <v>1900.8850958736598</v>
      </c>
      <c r="W350" s="598">
        <v>1932.3230181366034</v>
      </c>
      <c r="X350" s="598">
        <v>1941.3387822402694</v>
      </c>
      <c r="Y350" s="598">
        <v>1951.232839716547</v>
      </c>
      <c r="Z350" s="598">
        <v>1961.8902642086086</v>
      </c>
      <c r="AA350" s="598">
        <v>1973.25909092289</v>
      </c>
      <c r="AB350" s="598">
        <v>1984.5565524565704</v>
      </c>
      <c r="AC350" s="598">
        <v>1996.1385872848621</v>
      </c>
      <c r="AD350" s="598">
        <v>2008.1989475915755</v>
      </c>
      <c r="AE350" s="598">
        <v>2021.1920911703507</v>
      </c>
      <c r="AF350" s="598">
        <v>2034.9975864339863</v>
      </c>
      <c r="AG350" s="598">
        <v>2049.1652673143567</v>
      </c>
      <c r="AH350" s="598">
        <v>2063.6217997836452</v>
      </c>
      <c r="AI350" s="598">
        <v>2078.844812027161</v>
      </c>
      <c r="AJ350" s="598">
        <v>2094.6269345428504</v>
      </c>
      <c r="AK350" s="598">
        <v>2110.7070072730107</v>
      </c>
      <c r="AL350" s="598"/>
      <c r="AM350" s="598"/>
      <c r="AN350" s="598"/>
      <c r="AO350" s="598"/>
      <c r="AP350" s="598"/>
      <c r="AQ350" s="598"/>
      <c r="AR350" s="598"/>
      <c r="AS350" s="598"/>
      <c r="AT350" s="598"/>
      <c r="AU350" s="598"/>
      <c r="AV350" s="598"/>
      <c r="AW350" s="598"/>
      <c r="AX350" s="598"/>
      <c r="AY350" s="598"/>
      <c r="AZ350" s="598"/>
      <c r="BA350" s="598"/>
      <c r="BB350" s="598"/>
      <c r="BC350" s="598"/>
      <c r="BD350" s="598"/>
      <c r="BE350" s="598"/>
      <c r="BF350" s="598"/>
      <c r="BG350" s="598"/>
      <c r="BH350" s="598"/>
      <c r="BI350" s="598"/>
      <c r="BJ350" s="598"/>
      <c r="BK350" s="598"/>
      <c r="BL350" s="598"/>
      <c r="BM350" s="598"/>
      <c r="BN350" s="598"/>
      <c r="BO350" s="598"/>
      <c r="BP350" s="598"/>
      <c r="BQ350" s="598"/>
      <c r="BR350" s="598"/>
      <c r="BS350" s="598"/>
      <c r="BT350" s="598"/>
      <c r="BU350" s="598"/>
      <c r="BV350" s="598"/>
      <c r="BW350" s="598"/>
      <c r="BX350" s="598"/>
      <c r="BY350" s="598"/>
      <c r="BZ350" s="598"/>
      <c r="CA350" s="598"/>
      <c r="CB350" s="598"/>
      <c r="CC350" s="598"/>
      <c r="CD350" s="598"/>
      <c r="CE350" s="598"/>
      <c r="CF350" s="598"/>
      <c r="CG350" s="598"/>
      <c r="CH350" s="598"/>
      <c r="CI350" s="599"/>
      <c r="CK350" s="1296"/>
    </row>
    <row r="351" spans="2:89" x14ac:dyDescent="0.2">
      <c r="B351" s="937" t="s">
        <v>759</v>
      </c>
      <c r="C351" s="984" t="s">
        <v>574</v>
      </c>
      <c r="D351" s="907" t="s">
        <v>86</v>
      </c>
      <c r="E351" s="982" t="s">
        <v>344</v>
      </c>
      <c r="F351" s="983">
        <v>2</v>
      </c>
      <c r="G351" s="597"/>
      <c r="H351" s="597"/>
      <c r="I351" s="597">
        <v>830.37405965039977</v>
      </c>
      <c r="J351" s="597">
        <v>812.50386746058291</v>
      </c>
      <c r="K351" s="597">
        <v>789.06800492470791</v>
      </c>
      <c r="L351" s="597">
        <v>759.14454312399619</v>
      </c>
      <c r="M351" s="598">
        <v>652.12466181840125</v>
      </c>
      <c r="N351" s="598">
        <v>497.8147325528322</v>
      </c>
      <c r="O351" s="598">
        <v>409.37717967209829</v>
      </c>
      <c r="P351" s="598">
        <v>357.09742729398295</v>
      </c>
      <c r="Q351" s="598">
        <v>300.24369595468312</v>
      </c>
      <c r="R351" s="598">
        <v>248.71132267129317</v>
      </c>
      <c r="S351" s="598">
        <v>202.94259143445163</v>
      </c>
      <c r="T351" s="598">
        <v>157.40759276253652</v>
      </c>
      <c r="U351" s="598">
        <v>112.02991798273233</v>
      </c>
      <c r="V351" s="598">
        <v>66.643114879959668</v>
      </c>
      <c r="W351" s="598">
        <v>43.469001335976472</v>
      </c>
      <c r="X351" s="598">
        <v>43.089615875202988</v>
      </c>
      <c r="Y351" s="598">
        <v>42.713791132788216</v>
      </c>
      <c r="Z351" s="598">
        <v>42.341683030368841</v>
      </c>
      <c r="AA351" s="598">
        <v>41.973405597184545</v>
      </c>
      <c r="AB351" s="598">
        <v>41.609044313871983</v>
      </c>
      <c r="AC351" s="598">
        <v>41.2484110228026</v>
      </c>
      <c r="AD351" s="598">
        <v>40.891439958321818</v>
      </c>
      <c r="AE351" s="598">
        <v>40.538133642551372</v>
      </c>
      <c r="AF351" s="598">
        <v>40.188642138099212</v>
      </c>
      <c r="AG351" s="598">
        <v>39.843063060770632</v>
      </c>
      <c r="AH351" s="598">
        <v>39.501345792847019</v>
      </c>
      <c r="AI351" s="598">
        <v>39.163414858043701</v>
      </c>
      <c r="AJ351" s="598">
        <v>38.829346069261554</v>
      </c>
      <c r="AK351" s="598">
        <v>38.499143908989339</v>
      </c>
      <c r="AL351" s="598"/>
      <c r="AM351" s="598"/>
      <c r="AN351" s="598"/>
      <c r="AO351" s="598"/>
      <c r="AP351" s="598"/>
      <c r="AQ351" s="598"/>
      <c r="AR351" s="598"/>
      <c r="AS351" s="598"/>
      <c r="AT351" s="598"/>
      <c r="AU351" s="598"/>
      <c r="AV351" s="598"/>
      <c r="AW351" s="598"/>
      <c r="AX351" s="598"/>
      <c r="AY351" s="598"/>
      <c r="AZ351" s="598"/>
      <c r="BA351" s="598"/>
      <c r="BB351" s="598"/>
      <c r="BC351" s="598"/>
      <c r="BD351" s="598"/>
      <c r="BE351" s="598"/>
      <c r="BF351" s="598"/>
      <c r="BG351" s="598"/>
      <c r="BH351" s="598"/>
      <c r="BI351" s="598"/>
      <c r="BJ351" s="598"/>
      <c r="BK351" s="598"/>
      <c r="BL351" s="598"/>
      <c r="BM351" s="598"/>
      <c r="BN351" s="598"/>
      <c r="BO351" s="598"/>
      <c r="BP351" s="598"/>
      <c r="BQ351" s="598"/>
      <c r="BR351" s="598"/>
      <c r="BS351" s="598"/>
      <c r="BT351" s="598"/>
      <c r="BU351" s="598"/>
      <c r="BV351" s="598"/>
      <c r="BW351" s="598"/>
      <c r="BX351" s="598"/>
      <c r="BY351" s="598"/>
      <c r="BZ351" s="598"/>
      <c r="CA351" s="598"/>
      <c r="CB351" s="598"/>
      <c r="CC351" s="598"/>
      <c r="CD351" s="598"/>
      <c r="CE351" s="598"/>
      <c r="CF351" s="598"/>
      <c r="CG351" s="598"/>
      <c r="CH351" s="598"/>
      <c r="CI351" s="599"/>
      <c r="CK351" s="1296"/>
    </row>
    <row r="352" spans="2:89" x14ac:dyDescent="0.2">
      <c r="B352" s="985" t="s">
        <v>760</v>
      </c>
      <c r="C352" s="984" t="s">
        <v>576</v>
      </c>
      <c r="D352" s="986" t="s">
        <v>761</v>
      </c>
      <c r="E352" s="982" t="s">
        <v>344</v>
      </c>
      <c r="F352" s="983">
        <v>2</v>
      </c>
      <c r="G352" s="569">
        <f>SUM(G348:G351)</f>
        <v>0</v>
      </c>
      <c r="H352" s="569">
        <f t="shared" ref="H352:AK352" si="179">SUM(H348:H351)</f>
        <v>0</v>
      </c>
      <c r="I352" s="569">
        <f t="shared" si="179"/>
        <v>1777.9438370778707</v>
      </c>
      <c r="J352" s="569">
        <f t="shared" si="179"/>
        <v>1788.4618612206486</v>
      </c>
      <c r="K352" s="569">
        <f t="shared" si="179"/>
        <v>1807.5178238906399</v>
      </c>
      <c r="L352" s="569">
        <f t="shared" si="179"/>
        <v>1829.5945968881515</v>
      </c>
      <c r="M352" s="718">
        <f t="shared" si="179"/>
        <v>1855.537608711772</v>
      </c>
      <c r="N352" s="718">
        <f t="shared" si="179"/>
        <v>1879.8129138212585</v>
      </c>
      <c r="O352" s="718">
        <f t="shared" si="179"/>
        <v>1905.9612501240408</v>
      </c>
      <c r="P352" s="718">
        <f t="shared" si="179"/>
        <v>1926.8698915940256</v>
      </c>
      <c r="Q352" s="718">
        <f t="shared" si="179"/>
        <v>1942.8852472651779</v>
      </c>
      <c r="R352" s="718">
        <f t="shared" si="179"/>
        <v>1952.1373989358583</v>
      </c>
      <c r="S352" s="718">
        <f t="shared" si="179"/>
        <v>1962.9068768735719</v>
      </c>
      <c r="T352" s="718">
        <f t="shared" si="179"/>
        <v>1969.3365405522748</v>
      </c>
      <c r="U352" s="718">
        <f t="shared" si="179"/>
        <v>1976.8812859018781</v>
      </c>
      <c r="V352" s="718">
        <f t="shared" si="179"/>
        <v>1983.095047066801</v>
      </c>
      <c r="W352" s="718">
        <f t="shared" si="179"/>
        <v>1991.507255982762</v>
      </c>
      <c r="X352" s="718">
        <f t="shared" si="179"/>
        <v>2000.2805758311656</v>
      </c>
      <c r="Y352" s="718">
        <f t="shared" si="179"/>
        <v>2009.9442914596043</v>
      </c>
      <c r="Z352" s="718">
        <f t="shared" si="179"/>
        <v>2020.3899740860895</v>
      </c>
      <c r="AA352" s="718">
        <f t="shared" si="179"/>
        <v>2031.5602184218742</v>
      </c>
      <c r="AB352" s="718">
        <f t="shared" si="179"/>
        <v>2042.6808787119369</v>
      </c>
      <c r="AC352" s="718">
        <f t="shared" si="179"/>
        <v>2054.1161659174968</v>
      </c>
      <c r="AD352" s="718">
        <f t="shared" si="179"/>
        <v>2066.0655840037452</v>
      </c>
      <c r="AE352" s="718">
        <f t="shared" si="179"/>
        <v>2078.9758175578404</v>
      </c>
      <c r="AF352" s="718">
        <f t="shared" si="179"/>
        <v>2092.7143949167357</v>
      </c>
      <c r="AG352" s="718">
        <f t="shared" si="179"/>
        <v>2106.8507668073771</v>
      </c>
      <c r="AH352" s="718">
        <f t="shared" si="179"/>
        <v>2121.2896427407127</v>
      </c>
      <c r="AI352" s="718">
        <f t="shared" si="179"/>
        <v>2136.5054366052555</v>
      </c>
      <c r="AJ352" s="718">
        <f t="shared" si="179"/>
        <v>2152.2932379392823</v>
      </c>
      <c r="AK352" s="718">
        <f t="shared" si="179"/>
        <v>2168.3769915797429</v>
      </c>
      <c r="AL352" s="718"/>
      <c r="AM352" s="718"/>
      <c r="AN352" s="718"/>
      <c r="AO352" s="718"/>
      <c r="AP352" s="718"/>
      <c r="AQ352" s="718"/>
      <c r="AR352" s="718"/>
      <c r="AS352" s="718"/>
      <c r="AT352" s="718"/>
      <c r="AU352" s="718"/>
      <c r="AV352" s="718"/>
      <c r="AW352" s="718"/>
      <c r="AX352" s="718"/>
      <c r="AY352" s="718"/>
      <c r="AZ352" s="718"/>
      <c r="BA352" s="718"/>
      <c r="BB352" s="718"/>
      <c r="BC352" s="718"/>
      <c r="BD352" s="718"/>
      <c r="BE352" s="718"/>
      <c r="BF352" s="718"/>
      <c r="BG352" s="718"/>
      <c r="BH352" s="718"/>
      <c r="BI352" s="718"/>
      <c r="BJ352" s="718"/>
      <c r="BK352" s="718"/>
      <c r="BL352" s="718"/>
      <c r="BM352" s="718"/>
      <c r="BN352" s="718"/>
      <c r="BO352" s="718"/>
      <c r="BP352" s="718"/>
      <c r="BQ352" s="718"/>
      <c r="BR352" s="718"/>
      <c r="BS352" s="718"/>
      <c r="BT352" s="718"/>
      <c r="BU352" s="718"/>
      <c r="BV352" s="718"/>
      <c r="BW352" s="718"/>
      <c r="BX352" s="718"/>
      <c r="BY352" s="718"/>
      <c r="BZ352" s="718"/>
      <c r="CA352" s="718"/>
      <c r="CB352" s="718"/>
      <c r="CC352" s="718"/>
      <c r="CD352" s="718"/>
      <c r="CE352" s="718"/>
      <c r="CF352" s="718"/>
      <c r="CG352" s="718"/>
      <c r="CH352" s="718"/>
      <c r="CI352" s="719"/>
      <c r="CK352" s="1296"/>
    </row>
    <row r="353" spans="2:89" ht="28.5" x14ac:dyDescent="0.2">
      <c r="B353" s="985" t="s">
        <v>762</v>
      </c>
      <c r="C353" s="984" t="s">
        <v>579</v>
      </c>
      <c r="D353" s="986" t="s">
        <v>763</v>
      </c>
      <c r="E353" s="982" t="s">
        <v>581</v>
      </c>
      <c r="F353" s="983">
        <v>1</v>
      </c>
      <c r="G353" s="750" t="e">
        <f>(G351+G350)/(G337+G345)</f>
        <v>#DIV/0!</v>
      </c>
      <c r="H353" s="750" t="e">
        <f t="shared" ref="H353:AK353" si="180">(H351+H350)/(H337+H345)</f>
        <v>#DIV/0!</v>
      </c>
      <c r="I353" s="750">
        <f t="shared" si="180"/>
        <v>2.7735919300152907</v>
      </c>
      <c r="J353" s="750">
        <f t="shared" si="180"/>
        <v>2.7666484998770464</v>
      </c>
      <c r="K353" s="750">
        <f t="shared" si="180"/>
        <v>2.7584141891969391</v>
      </c>
      <c r="L353" s="750">
        <f t="shared" si="180"/>
        <v>2.7508646002745061</v>
      </c>
      <c r="M353" s="750">
        <f t="shared" si="180"/>
        <v>2.7454649377269429</v>
      </c>
      <c r="N353" s="750">
        <f t="shared" si="180"/>
        <v>2.7373102458671168</v>
      </c>
      <c r="O353" s="750">
        <f t="shared" si="180"/>
        <v>2.7333005396695111</v>
      </c>
      <c r="P353" s="750">
        <f t="shared" si="180"/>
        <v>2.7251025111631586</v>
      </c>
      <c r="Q353" s="750">
        <f t="shared" si="180"/>
        <v>2.718626057214943</v>
      </c>
      <c r="R353" s="750">
        <f t="shared" si="180"/>
        <v>2.7072297688043703</v>
      </c>
      <c r="S353" s="750">
        <f t="shared" si="180"/>
        <v>2.7008021587894753</v>
      </c>
      <c r="T353" s="750">
        <f t="shared" si="180"/>
        <v>2.6905224038693958</v>
      </c>
      <c r="U353" s="750">
        <f t="shared" si="180"/>
        <v>2.6849750903781828</v>
      </c>
      <c r="V353" s="750">
        <f t="shared" si="180"/>
        <v>2.6755121127266697</v>
      </c>
      <c r="W353" s="750">
        <f t="shared" si="180"/>
        <v>2.6688679820393673</v>
      </c>
      <c r="X353" s="750">
        <f t="shared" si="180"/>
        <v>2.66231569345674</v>
      </c>
      <c r="Y353" s="750">
        <f t="shared" si="180"/>
        <v>2.6566036464951446</v>
      </c>
      <c r="Z353" s="750">
        <f t="shared" si="180"/>
        <v>2.6516043345550528</v>
      </c>
      <c r="AA353" s="750">
        <f t="shared" si="180"/>
        <v>2.6472336186327445</v>
      </c>
      <c r="AB353" s="750">
        <f t="shared" si="180"/>
        <v>2.6424711261014755</v>
      </c>
      <c r="AC353" s="750">
        <f t="shared" si="180"/>
        <v>2.6377595409357584</v>
      </c>
      <c r="AD353" s="750">
        <f t="shared" si="180"/>
        <v>2.6333561051180165</v>
      </c>
      <c r="AE353" s="750">
        <f t="shared" si="180"/>
        <v>2.6298377539575677</v>
      </c>
      <c r="AF353" s="750">
        <f t="shared" si="180"/>
        <v>2.6270314582376195</v>
      </c>
      <c r="AG353" s="750">
        <f t="shared" si="180"/>
        <v>2.6243794310345145</v>
      </c>
      <c r="AH353" s="750">
        <f t="shared" si="180"/>
        <v>2.6217815597911964</v>
      </c>
      <c r="AI353" s="750">
        <f t="shared" si="180"/>
        <v>2.6198314665511933</v>
      </c>
      <c r="AJ353" s="750">
        <f t="shared" si="180"/>
        <v>2.6182644029842703</v>
      </c>
      <c r="AK353" s="750">
        <f t="shared" si="180"/>
        <v>2.6167603867625693</v>
      </c>
      <c r="AL353" s="750"/>
      <c r="AM353" s="750"/>
      <c r="AN353" s="750"/>
      <c r="AO353" s="750"/>
      <c r="AP353" s="750"/>
      <c r="AQ353" s="750"/>
      <c r="AR353" s="750"/>
      <c r="AS353" s="750"/>
      <c r="AT353" s="750"/>
      <c r="AU353" s="750"/>
      <c r="AV353" s="750"/>
      <c r="AW353" s="750"/>
      <c r="AX353" s="750"/>
      <c r="AY353" s="750"/>
      <c r="AZ353" s="750"/>
      <c r="BA353" s="750"/>
      <c r="BB353" s="750"/>
      <c r="BC353" s="750"/>
      <c r="BD353" s="750"/>
      <c r="BE353" s="750"/>
      <c r="BF353" s="750"/>
      <c r="BG353" s="750"/>
      <c r="BH353" s="750"/>
      <c r="BI353" s="750"/>
      <c r="BJ353" s="750"/>
      <c r="BK353" s="750"/>
      <c r="BL353" s="750"/>
      <c r="BM353" s="750"/>
      <c r="BN353" s="750"/>
      <c r="BO353" s="750"/>
      <c r="BP353" s="750"/>
      <c r="BQ353" s="750"/>
      <c r="BR353" s="750"/>
      <c r="BS353" s="750"/>
      <c r="BT353" s="750"/>
      <c r="BU353" s="750"/>
      <c r="BV353" s="750"/>
      <c r="BW353" s="750"/>
      <c r="BX353" s="750"/>
      <c r="BY353" s="750"/>
      <c r="BZ353" s="750"/>
      <c r="CA353" s="750"/>
      <c r="CB353" s="750"/>
      <c r="CC353" s="750"/>
      <c r="CD353" s="750"/>
      <c r="CE353" s="750"/>
      <c r="CF353" s="750"/>
      <c r="CG353" s="750"/>
      <c r="CH353" s="750"/>
      <c r="CI353" s="750"/>
      <c r="CK353" s="1296"/>
    </row>
    <row r="354" spans="2:89" ht="28.5" x14ac:dyDescent="0.2">
      <c r="B354" s="985" t="s">
        <v>764</v>
      </c>
      <c r="C354" s="984" t="s">
        <v>583</v>
      </c>
      <c r="D354" s="986" t="s">
        <v>765</v>
      </c>
      <c r="E354" s="982" t="s">
        <v>375</v>
      </c>
      <c r="F354" s="983">
        <v>1</v>
      </c>
      <c r="G354" s="743" t="e">
        <f>G337/(G337+G345)</f>
        <v>#DIV/0!</v>
      </c>
      <c r="H354" s="743" t="e">
        <f t="shared" ref="H354:AK354" si="181">H337/(H337+H345)</f>
        <v>#DIV/0!</v>
      </c>
      <c r="I354" s="743">
        <f t="shared" si="181"/>
        <v>0.63244856206336286</v>
      </c>
      <c r="J354" s="743">
        <f t="shared" si="181"/>
        <v>0.64537362217341721</v>
      </c>
      <c r="K354" s="743">
        <f t="shared" si="181"/>
        <v>0.66319732852123003</v>
      </c>
      <c r="L354" s="743">
        <f t="shared" si="181"/>
        <v>0.68523991173672782</v>
      </c>
      <c r="M354" s="744">
        <f t="shared" si="181"/>
        <v>0.73995157096031539</v>
      </c>
      <c r="N354" s="744">
        <f t="shared" si="181"/>
        <v>0.80824440600102287</v>
      </c>
      <c r="O354" s="744">
        <f t="shared" si="181"/>
        <v>0.84499846141395218</v>
      </c>
      <c r="P354" s="744">
        <f t="shared" si="181"/>
        <v>0.86655837808649649</v>
      </c>
      <c r="Q354" s="744">
        <f t="shared" si="181"/>
        <v>0.88906408010997318</v>
      </c>
      <c r="R354" s="744">
        <f t="shared" si="181"/>
        <v>0.9089996155897978</v>
      </c>
      <c r="S354" s="744">
        <f t="shared" si="181"/>
        <v>0.92641295582565497</v>
      </c>
      <c r="T354" s="744">
        <f t="shared" si="181"/>
        <v>0.94351659661751153</v>
      </c>
      <c r="U354" s="744">
        <f t="shared" si="181"/>
        <v>0.9603418471558286</v>
      </c>
      <c r="V354" s="744">
        <f t="shared" si="181"/>
        <v>0.97699281309119301</v>
      </c>
      <c r="W354" s="744">
        <f t="shared" si="181"/>
        <v>0.98530272242228623</v>
      </c>
      <c r="X354" s="744">
        <f t="shared" si="181"/>
        <v>0.98548717047345213</v>
      </c>
      <c r="Y354" s="744">
        <f t="shared" si="181"/>
        <v>0.98567141154011728</v>
      </c>
      <c r="Z354" s="744">
        <f t="shared" si="181"/>
        <v>0.98585515484834718</v>
      </c>
      <c r="AA354" s="744">
        <f t="shared" si="181"/>
        <v>0.98603834960147552</v>
      </c>
      <c r="AB354" s="744">
        <f t="shared" si="181"/>
        <v>0.98622086745984161</v>
      </c>
      <c r="AC354" s="744">
        <f t="shared" si="181"/>
        <v>0.98640279336428227</v>
      </c>
      <c r="AD354" s="744">
        <f t="shared" si="181"/>
        <v>0.98658402250528821</v>
      </c>
      <c r="AE354" s="744">
        <f t="shared" si="181"/>
        <v>0.9867644817362623</v>
      </c>
      <c r="AF354" s="744">
        <f t="shared" si="181"/>
        <v>0.98694412465435122</v>
      </c>
      <c r="AG354" s="744">
        <f t="shared" si="181"/>
        <v>0.98712278354921479</v>
      </c>
      <c r="AH354" s="744">
        <f t="shared" si="181"/>
        <v>0.98730044019724705</v>
      </c>
      <c r="AI354" s="744">
        <f t="shared" si="181"/>
        <v>0.98747703183169699</v>
      </c>
      <c r="AJ354" s="744">
        <f t="shared" si="181"/>
        <v>0.98765249569622493</v>
      </c>
      <c r="AK354" s="744">
        <f t="shared" si="181"/>
        <v>0.98782676129564595</v>
      </c>
      <c r="AL354" s="744"/>
      <c r="AM354" s="744"/>
      <c r="AN354" s="744"/>
      <c r="AO354" s="744"/>
      <c r="AP354" s="744"/>
      <c r="AQ354" s="744"/>
      <c r="AR354" s="744"/>
      <c r="AS354" s="744"/>
      <c r="AT354" s="744"/>
      <c r="AU354" s="744"/>
      <c r="AV354" s="744"/>
      <c r="AW354" s="744"/>
      <c r="AX354" s="744"/>
      <c r="AY354" s="744"/>
      <c r="AZ354" s="744"/>
      <c r="BA354" s="744"/>
      <c r="BB354" s="744"/>
      <c r="BC354" s="744"/>
      <c r="BD354" s="744"/>
      <c r="BE354" s="744"/>
      <c r="BF354" s="744"/>
      <c r="BG354" s="744"/>
      <c r="BH354" s="744"/>
      <c r="BI354" s="744"/>
      <c r="BJ354" s="744"/>
      <c r="BK354" s="744"/>
      <c r="BL354" s="744"/>
      <c r="BM354" s="744"/>
      <c r="BN354" s="744"/>
      <c r="BO354" s="744"/>
      <c r="BP354" s="744"/>
      <c r="BQ354" s="744"/>
      <c r="BR354" s="744"/>
      <c r="BS354" s="744"/>
      <c r="BT354" s="744"/>
      <c r="BU354" s="744"/>
      <c r="BV354" s="744"/>
      <c r="BW354" s="744"/>
      <c r="BX354" s="744"/>
      <c r="BY354" s="744"/>
      <c r="BZ354" s="744"/>
      <c r="CA354" s="744"/>
      <c r="CB354" s="744"/>
      <c r="CC354" s="744"/>
      <c r="CD354" s="744"/>
      <c r="CE354" s="744"/>
      <c r="CF354" s="744"/>
      <c r="CG354" s="744"/>
      <c r="CH354" s="744"/>
      <c r="CI354" s="745"/>
      <c r="CK354" s="1296"/>
    </row>
    <row r="355" spans="2:89" ht="29.25" thickBot="1" x14ac:dyDescent="0.25">
      <c r="B355" s="987" t="s">
        <v>766</v>
      </c>
      <c r="C355" s="988" t="s">
        <v>586</v>
      </c>
      <c r="D355" s="989" t="s">
        <v>767</v>
      </c>
      <c r="E355" s="990" t="s">
        <v>375</v>
      </c>
      <c r="F355" s="991">
        <v>1</v>
      </c>
      <c r="G355" s="785" t="e">
        <f>(G337)/(G337+G346+G345+G344)</f>
        <v>#DIV/0!</v>
      </c>
      <c r="H355" s="785" t="e">
        <f t="shared" ref="H355:AK355" si="182">(H337)/(H337+H346+H345+H344)</f>
        <v>#DIV/0!</v>
      </c>
      <c r="I355" s="785">
        <f t="shared" si="182"/>
        <v>0.61354936958937556</v>
      </c>
      <c r="J355" s="785">
        <f t="shared" si="182"/>
        <v>0.62604473697882579</v>
      </c>
      <c r="K355" s="785">
        <f t="shared" si="182"/>
        <v>0.64334177302293027</v>
      </c>
      <c r="L355" s="785">
        <f t="shared" si="182"/>
        <v>0.66473355453848304</v>
      </c>
      <c r="M355" s="785">
        <f t="shared" si="182"/>
        <v>0.71783240651921787</v>
      </c>
      <c r="N355" s="785">
        <f t="shared" si="182"/>
        <v>0.78411716699249545</v>
      </c>
      <c r="O355" s="785">
        <f t="shared" si="182"/>
        <v>0.81979284678745368</v>
      </c>
      <c r="P355" s="785">
        <f t="shared" si="182"/>
        <v>0.84072094953797072</v>
      </c>
      <c r="Q355" s="785">
        <f t="shared" si="182"/>
        <v>0.86256772157693151</v>
      </c>
      <c r="R355" s="785">
        <f t="shared" si="182"/>
        <v>0.8819200894070649</v>
      </c>
      <c r="S355" s="785">
        <f t="shared" si="182"/>
        <v>0.8988244365785274</v>
      </c>
      <c r="T355" s="785">
        <f t="shared" si="182"/>
        <v>0.91542849417505567</v>
      </c>
      <c r="U355" s="785">
        <f t="shared" si="182"/>
        <v>0.93176263860702779</v>
      </c>
      <c r="V355" s="785">
        <f t="shared" si="182"/>
        <v>0.94792792297480044</v>
      </c>
      <c r="W355" s="785">
        <f t="shared" si="182"/>
        <v>0.95599557133884216</v>
      </c>
      <c r="X355" s="785">
        <f t="shared" si="182"/>
        <v>0.95617464307600397</v>
      </c>
      <c r="Y355" s="785">
        <f t="shared" si="182"/>
        <v>0.95635351390299361</v>
      </c>
      <c r="Z355" s="785">
        <f t="shared" si="182"/>
        <v>0.9565319015210898</v>
      </c>
      <c r="AA355" s="785">
        <f t="shared" si="182"/>
        <v>0.9567097566138818</v>
      </c>
      <c r="AB355" s="785">
        <f t="shared" si="182"/>
        <v>0.9568869545820754</v>
      </c>
      <c r="AC355" s="785">
        <f t="shared" si="182"/>
        <v>0.95706357789029695</v>
      </c>
      <c r="AD355" s="785">
        <f t="shared" si="182"/>
        <v>0.95723952478349494</v>
      </c>
      <c r="AE355" s="785">
        <f t="shared" si="182"/>
        <v>0.95741472424657836</v>
      </c>
      <c r="AF355" s="785">
        <f t="shared" si="182"/>
        <v>0.95758913122865796</v>
      </c>
      <c r="AG355" s="785">
        <f t="shared" si="182"/>
        <v>0.95776258290695149</v>
      </c>
      <c r="AH355" s="785">
        <f t="shared" si="182"/>
        <v>0.95793506158835651</v>
      </c>
      <c r="AI355" s="785">
        <f t="shared" si="182"/>
        <v>0.95810650633484951</v>
      </c>
      <c r="AJ355" s="785">
        <f t="shared" si="182"/>
        <v>0.95827685621846548</v>
      </c>
      <c r="AK355" s="785">
        <f t="shared" si="182"/>
        <v>0.95844604279789591</v>
      </c>
      <c r="AL355" s="785"/>
      <c r="AM355" s="785"/>
      <c r="AN355" s="785"/>
      <c r="AO355" s="785"/>
      <c r="AP355" s="785"/>
      <c r="AQ355" s="785"/>
      <c r="AR355" s="785"/>
      <c r="AS355" s="785"/>
      <c r="AT355" s="785"/>
      <c r="AU355" s="785"/>
      <c r="AV355" s="785"/>
      <c r="AW355" s="785"/>
      <c r="AX355" s="785"/>
      <c r="AY355" s="785"/>
      <c r="AZ355" s="785"/>
      <c r="BA355" s="785"/>
      <c r="BB355" s="785"/>
      <c r="BC355" s="785"/>
      <c r="BD355" s="785"/>
      <c r="BE355" s="785"/>
      <c r="BF355" s="785"/>
      <c r="BG355" s="785"/>
      <c r="BH355" s="785"/>
      <c r="BI355" s="785"/>
      <c r="BJ355" s="785"/>
      <c r="BK355" s="785"/>
      <c r="BL355" s="785"/>
      <c r="BM355" s="785"/>
      <c r="BN355" s="785"/>
      <c r="BO355" s="785"/>
      <c r="BP355" s="785"/>
      <c r="BQ355" s="785"/>
      <c r="BR355" s="785"/>
      <c r="BS355" s="785"/>
      <c r="BT355" s="785"/>
      <c r="BU355" s="785"/>
      <c r="BV355" s="785"/>
      <c r="BW355" s="785"/>
      <c r="BX355" s="785"/>
      <c r="BY355" s="785"/>
      <c r="BZ355" s="785"/>
      <c r="CA355" s="785"/>
      <c r="CB355" s="785"/>
      <c r="CC355" s="785"/>
      <c r="CD355" s="785"/>
      <c r="CE355" s="785"/>
      <c r="CF355" s="785"/>
      <c r="CG355" s="785"/>
      <c r="CH355" s="785"/>
      <c r="CI355" s="785"/>
      <c r="CK355" s="1296"/>
    </row>
    <row r="356" spans="2:89" ht="29.25" thickBot="1" x14ac:dyDescent="0.25">
      <c r="B356" s="992" t="s">
        <v>768</v>
      </c>
      <c r="C356" s="993" t="s">
        <v>245</v>
      </c>
      <c r="D356" s="993" t="s">
        <v>769</v>
      </c>
      <c r="E356" s="993" t="s">
        <v>236</v>
      </c>
      <c r="F356" s="994">
        <v>2</v>
      </c>
      <c r="G356" s="629">
        <f>SUM(G316:G318)+G314+G325+G330+G331+G324</f>
        <v>0</v>
      </c>
      <c r="H356" s="629">
        <f t="shared" ref="H356:AK356" si="183">SUM(H316:H318)+H314+H325+H330+H331+H324</f>
        <v>0</v>
      </c>
      <c r="I356" s="629">
        <f t="shared" si="183"/>
        <v>496.51578387405408</v>
      </c>
      <c r="J356" s="629">
        <f t="shared" si="183"/>
        <v>488.40360676159128</v>
      </c>
      <c r="K356" s="629">
        <f t="shared" si="183"/>
        <v>486.01014828705553</v>
      </c>
      <c r="L356" s="629">
        <f t="shared" si="183"/>
        <v>481.85766426535071</v>
      </c>
      <c r="M356" s="629">
        <f t="shared" si="183"/>
        <v>479.04261479528776</v>
      </c>
      <c r="N356" s="629">
        <f t="shared" si="183"/>
        <v>473.43715610673678</v>
      </c>
      <c r="O356" s="629">
        <f t="shared" si="183"/>
        <v>468.40041811631011</v>
      </c>
      <c r="P356" s="629">
        <f t="shared" si="183"/>
        <v>465.68392637890486</v>
      </c>
      <c r="Q356" s="629">
        <f t="shared" si="183"/>
        <v>461.67000166528277</v>
      </c>
      <c r="R356" s="629">
        <f t="shared" si="183"/>
        <v>456.5907757742512</v>
      </c>
      <c r="S356" s="629">
        <f t="shared" si="183"/>
        <v>451.50513854587291</v>
      </c>
      <c r="T356" s="629">
        <f t="shared" si="183"/>
        <v>446.30995932310515</v>
      </c>
      <c r="U356" s="629">
        <f t="shared" si="183"/>
        <v>440.30193595287045</v>
      </c>
      <c r="V356" s="629">
        <f t="shared" si="183"/>
        <v>434.08133942923678</v>
      </c>
      <c r="W356" s="629">
        <f t="shared" si="183"/>
        <v>429.99330094642056</v>
      </c>
      <c r="X356" s="629">
        <f t="shared" si="183"/>
        <v>426.23973704002935</v>
      </c>
      <c r="Y356" s="629">
        <f t="shared" si="183"/>
        <v>422.55894621606956</v>
      </c>
      <c r="Z356" s="629">
        <f t="shared" si="183"/>
        <v>419.56244124943083</v>
      </c>
      <c r="AA356" s="629">
        <f t="shared" si="183"/>
        <v>417.15057351517436</v>
      </c>
      <c r="AB356" s="629">
        <f t="shared" si="183"/>
        <v>414.49942705987911</v>
      </c>
      <c r="AC356" s="629">
        <f t="shared" si="183"/>
        <v>412.21275933762985</v>
      </c>
      <c r="AD356" s="629">
        <f t="shared" si="183"/>
        <v>410.06767615202216</v>
      </c>
      <c r="AE356" s="629">
        <f t="shared" si="183"/>
        <v>409.01207173534169</v>
      </c>
      <c r="AF356" s="629">
        <f t="shared" si="183"/>
        <v>408.06569939010626</v>
      </c>
      <c r="AG356" s="629">
        <f t="shared" si="183"/>
        <v>409.04923503662832</v>
      </c>
      <c r="AH356" s="629">
        <f t="shared" si="183"/>
        <v>410.15000509858214</v>
      </c>
      <c r="AI356" s="629">
        <f t="shared" si="183"/>
        <v>411.31938412478769</v>
      </c>
      <c r="AJ356" s="629">
        <f t="shared" si="183"/>
        <v>412.5692807417289</v>
      </c>
      <c r="AK356" s="629">
        <f t="shared" si="183"/>
        <v>413.84498403328342</v>
      </c>
      <c r="AL356" s="629"/>
      <c r="AM356" s="629"/>
      <c r="AN356" s="629"/>
      <c r="AO356" s="629"/>
      <c r="AP356" s="629"/>
      <c r="AQ356" s="629"/>
      <c r="AR356" s="629"/>
      <c r="AS356" s="629"/>
      <c r="AT356" s="629"/>
      <c r="AU356" s="629"/>
      <c r="AV356" s="629"/>
      <c r="AW356" s="629"/>
      <c r="AX356" s="629"/>
      <c r="AY356" s="629"/>
      <c r="AZ356" s="629"/>
      <c r="BA356" s="629"/>
      <c r="BB356" s="629"/>
      <c r="BC356" s="629"/>
      <c r="BD356" s="629"/>
      <c r="BE356" s="629"/>
      <c r="BF356" s="629"/>
      <c r="BG356" s="629"/>
      <c r="BH356" s="629"/>
      <c r="BI356" s="629"/>
      <c r="BJ356" s="629"/>
      <c r="BK356" s="629"/>
      <c r="BL356" s="629"/>
      <c r="BM356" s="629"/>
      <c r="BN356" s="629"/>
      <c r="BO356" s="629"/>
      <c r="BP356" s="629"/>
      <c r="BQ356" s="629"/>
      <c r="BR356" s="629"/>
      <c r="BS356" s="629"/>
      <c r="BT356" s="629"/>
      <c r="BU356" s="629"/>
      <c r="BV356" s="629"/>
      <c r="BW356" s="629"/>
      <c r="BX356" s="629"/>
      <c r="BY356" s="629"/>
      <c r="BZ356" s="629"/>
      <c r="CA356" s="629"/>
      <c r="CB356" s="629"/>
      <c r="CC356" s="629"/>
      <c r="CD356" s="629"/>
      <c r="CE356" s="629"/>
      <c r="CF356" s="629"/>
      <c r="CG356" s="629"/>
      <c r="CH356" s="629"/>
      <c r="CI356" s="629"/>
      <c r="CK356" s="1296"/>
    </row>
    <row r="357" spans="2:89" ht="28.5" x14ac:dyDescent="0.2">
      <c r="B357" s="923" t="s">
        <v>770</v>
      </c>
      <c r="C357" s="924" t="s">
        <v>591</v>
      </c>
      <c r="D357" s="925" t="s">
        <v>86</v>
      </c>
      <c r="E357" s="924" t="s">
        <v>236</v>
      </c>
      <c r="F357" s="995">
        <v>2</v>
      </c>
      <c r="G357" s="633"/>
      <c r="H357" s="1507"/>
      <c r="I357" s="593">
        <v>0</v>
      </c>
      <c r="J357" s="593">
        <v>0</v>
      </c>
      <c r="K357" s="593">
        <v>0</v>
      </c>
      <c r="L357" s="593">
        <v>0</v>
      </c>
      <c r="M357" s="594">
        <v>0</v>
      </c>
      <c r="N357" s="594">
        <v>0</v>
      </c>
      <c r="O357" s="594">
        <v>0</v>
      </c>
      <c r="P357" s="594">
        <v>0</v>
      </c>
      <c r="Q357" s="594">
        <v>0</v>
      </c>
      <c r="R357" s="594">
        <v>0</v>
      </c>
      <c r="S357" s="594">
        <v>0</v>
      </c>
      <c r="T357" s="594">
        <v>0</v>
      </c>
      <c r="U357" s="594">
        <v>0</v>
      </c>
      <c r="V357" s="594">
        <v>0</v>
      </c>
      <c r="W357" s="594">
        <v>0</v>
      </c>
      <c r="X357" s="594">
        <v>0</v>
      </c>
      <c r="Y357" s="594">
        <v>0</v>
      </c>
      <c r="Z357" s="594">
        <v>0</v>
      </c>
      <c r="AA357" s="594">
        <v>0</v>
      </c>
      <c r="AB357" s="594">
        <v>0</v>
      </c>
      <c r="AC357" s="594">
        <v>0</v>
      </c>
      <c r="AD357" s="594">
        <v>0</v>
      </c>
      <c r="AE357" s="594">
        <v>0</v>
      </c>
      <c r="AF357" s="594">
        <v>0</v>
      </c>
      <c r="AG357" s="594">
        <v>0</v>
      </c>
      <c r="AH357" s="594">
        <v>0</v>
      </c>
      <c r="AI357" s="594">
        <v>0</v>
      </c>
      <c r="AJ357" s="594">
        <v>0</v>
      </c>
      <c r="AK357" s="594">
        <v>0</v>
      </c>
      <c r="AL357" s="594"/>
      <c r="AM357" s="594"/>
      <c r="AN357" s="594"/>
      <c r="AO357" s="594"/>
      <c r="AP357" s="594"/>
      <c r="AQ357" s="594"/>
      <c r="AR357" s="594"/>
      <c r="AS357" s="594"/>
      <c r="AT357" s="594"/>
      <c r="AU357" s="594"/>
      <c r="AV357" s="594"/>
      <c r="AW357" s="594"/>
      <c r="AX357" s="594"/>
      <c r="AY357" s="594"/>
      <c r="AZ357" s="594"/>
      <c r="BA357" s="594"/>
      <c r="BB357" s="594"/>
      <c r="BC357" s="594"/>
      <c r="BD357" s="594"/>
      <c r="BE357" s="594"/>
      <c r="BF357" s="594"/>
      <c r="BG357" s="594"/>
      <c r="BH357" s="594"/>
      <c r="BI357" s="594"/>
      <c r="BJ357" s="594"/>
      <c r="BK357" s="594"/>
      <c r="BL357" s="594"/>
      <c r="BM357" s="594"/>
      <c r="BN357" s="594"/>
      <c r="BO357" s="594"/>
      <c r="BP357" s="594"/>
      <c r="BQ357" s="594"/>
      <c r="BR357" s="594"/>
      <c r="BS357" s="594"/>
      <c r="BT357" s="594"/>
      <c r="BU357" s="594"/>
      <c r="BV357" s="594"/>
      <c r="BW357" s="594"/>
      <c r="BX357" s="594"/>
      <c r="BY357" s="594"/>
      <c r="BZ357" s="594"/>
      <c r="CA357" s="594"/>
      <c r="CB357" s="594"/>
      <c r="CC357" s="594"/>
      <c r="CD357" s="594"/>
      <c r="CE357" s="594"/>
      <c r="CF357" s="594"/>
      <c r="CG357" s="594"/>
      <c r="CH357" s="594"/>
      <c r="CI357" s="594"/>
    </row>
    <row r="358" spans="2:89" x14ac:dyDescent="0.2">
      <c r="B358" s="905" t="s">
        <v>771</v>
      </c>
      <c r="C358" s="906" t="s">
        <v>593</v>
      </c>
      <c r="D358" s="907" t="s">
        <v>86</v>
      </c>
      <c r="E358" s="906" t="s">
        <v>236</v>
      </c>
      <c r="F358" s="902">
        <v>2</v>
      </c>
      <c r="G358" s="637"/>
      <c r="H358" s="1504"/>
      <c r="I358" s="1504">
        <v>6.6340527828992801</v>
      </c>
      <c r="J358" s="1504">
        <v>9.190668277609074</v>
      </c>
      <c r="K358" s="1504">
        <v>9.3256469304710752</v>
      </c>
      <c r="L358" s="1504">
        <v>9.4248911859991011</v>
      </c>
      <c r="M358" s="1505">
        <v>9.7970405924190924</v>
      </c>
      <c r="N358" s="1505">
        <v>9.4560841246007392</v>
      </c>
      <c r="O358" s="1505">
        <v>9.1850162366586687</v>
      </c>
      <c r="P358" s="1505">
        <v>8.9369632225507587</v>
      </c>
      <c r="Q358" s="1505">
        <v>8.7385948563847347</v>
      </c>
      <c r="R358" s="1505">
        <v>8.5546230875539546</v>
      </c>
      <c r="S358" s="1505">
        <v>8.1179043566649565</v>
      </c>
      <c r="T358" s="1505">
        <v>8.0020648976154352</v>
      </c>
      <c r="U358" s="1505">
        <v>8.0096202348070911</v>
      </c>
      <c r="V358" s="1505">
        <v>7.8453139388337796</v>
      </c>
      <c r="W358" s="1505">
        <v>7.8421576771567283</v>
      </c>
      <c r="X358" s="1505">
        <v>7.8717083525818268</v>
      </c>
      <c r="Y358" s="1505">
        <v>7.946384941990944</v>
      </c>
      <c r="Z358" s="1505">
        <v>8.0072071693870122</v>
      </c>
      <c r="AA358" s="1505">
        <v>8.1342861755084872</v>
      </c>
      <c r="AB358" s="1505">
        <v>8.201715736764184</v>
      </c>
      <c r="AC358" s="1505">
        <v>8.3977851953285203</v>
      </c>
      <c r="AD358" s="1505">
        <v>8.7274830204856926</v>
      </c>
      <c r="AE358" s="1505">
        <v>9.0499362501734026</v>
      </c>
      <c r="AF358" s="1505">
        <v>9.2591726469557294</v>
      </c>
      <c r="AG358" s="1505">
        <v>9.6238368337961617</v>
      </c>
      <c r="AH358" s="1505">
        <v>9.9153291405031165</v>
      </c>
      <c r="AI358" s="1505">
        <v>10.182602524975632</v>
      </c>
      <c r="AJ358" s="1505">
        <v>10.470488930882306</v>
      </c>
      <c r="AK358" s="1505">
        <v>10.82413008076165</v>
      </c>
      <c r="AL358" s="1505"/>
      <c r="AM358" s="1505"/>
      <c r="AN358" s="1505"/>
      <c r="AO358" s="1505"/>
      <c r="AP358" s="1505"/>
      <c r="AQ358" s="1505"/>
      <c r="AR358" s="1505"/>
      <c r="AS358" s="1505"/>
      <c r="AT358" s="1505"/>
      <c r="AU358" s="1505"/>
      <c r="AV358" s="1505"/>
      <c r="AW358" s="1505"/>
      <c r="AX358" s="1505"/>
      <c r="AY358" s="1505"/>
      <c r="AZ358" s="1505"/>
      <c r="BA358" s="1505"/>
      <c r="BB358" s="1505"/>
      <c r="BC358" s="1505"/>
      <c r="BD358" s="1505"/>
      <c r="BE358" s="1505"/>
      <c r="BF358" s="1505"/>
      <c r="BG358" s="1505"/>
      <c r="BH358" s="1505"/>
      <c r="BI358" s="1505"/>
      <c r="BJ358" s="1505"/>
      <c r="BK358" s="1505"/>
      <c r="BL358" s="1505"/>
      <c r="BM358" s="1505"/>
      <c r="BN358" s="1505"/>
      <c r="BO358" s="1505"/>
      <c r="BP358" s="1505"/>
      <c r="BQ358" s="1505"/>
      <c r="BR358" s="1505"/>
      <c r="BS358" s="1505"/>
      <c r="BT358" s="1505"/>
      <c r="BU358" s="1505"/>
      <c r="BV358" s="1505"/>
      <c r="BW358" s="1505"/>
      <c r="BX358" s="1505"/>
      <c r="BY358" s="1505"/>
      <c r="BZ358" s="1505"/>
      <c r="CA358" s="1505"/>
      <c r="CB358" s="1505"/>
      <c r="CC358" s="1505"/>
      <c r="CD358" s="1505"/>
      <c r="CE358" s="1505"/>
      <c r="CF358" s="1505"/>
      <c r="CG358" s="1505"/>
      <c r="CH358" s="1505"/>
      <c r="CI358" s="1505"/>
    </row>
    <row r="359" spans="2:89" x14ac:dyDescent="0.2">
      <c r="B359" s="905" t="s">
        <v>772</v>
      </c>
      <c r="C359" s="906" t="s">
        <v>384</v>
      </c>
      <c r="D359" s="907" t="s">
        <v>773</v>
      </c>
      <c r="E359" s="906" t="s">
        <v>236</v>
      </c>
      <c r="F359" s="902">
        <v>2</v>
      </c>
      <c r="G359" s="795">
        <f t="shared" ref="G359:AK359" si="184">G357+G358</f>
        <v>0</v>
      </c>
      <c r="H359" s="795">
        <f t="shared" si="184"/>
        <v>0</v>
      </c>
      <c r="I359" s="795">
        <f t="shared" si="184"/>
        <v>6.6340527828992801</v>
      </c>
      <c r="J359" s="795">
        <f t="shared" si="184"/>
        <v>9.190668277609074</v>
      </c>
      <c r="K359" s="795">
        <f t="shared" si="184"/>
        <v>9.3256469304710752</v>
      </c>
      <c r="L359" s="795">
        <f t="shared" si="184"/>
        <v>9.4248911859991011</v>
      </c>
      <c r="M359" s="796">
        <f t="shared" si="184"/>
        <v>9.7970405924190924</v>
      </c>
      <c r="N359" s="796">
        <f t="shared" si="184"/>
        <v>9.4560841246007392</v>
      </c>
      <c r="O359" s="796">
        <f t="shared" si="184"/>
        <v>9.1850162366586687</v>
      </c>
      <c r="P359" s="796">
        <f t="shared" si="184"/>
        <v>8.9369632225507587</v>
      </c>
      <c r="Q359" s="796">
        <f t="shared" si="184"/>
        <v>8.7385948563847347</v>
      </c>
      <c r="R359" s="796">
        <f t="shared" si="184"/>
        <v>8.5546230875539546</v>
      </c>
      <c r="S359" s="796">
        <f t="shared" si="184"/>
        <v>8.1179043566649565</v>
      </c>
      <c r="T359" s="796">
        <f t="shared" si="184"/>
        <v>8.0020648976154352</v>
      </c>
      <c r="U359" s="796">
        <f t="shared" si="184"/>
        <v>8.0096202348070911</v>
      </c>
      <c r="V359" s="796">
        <f t="shared" si="184"/>
        <v>7.8453139388337796</v>
      </c>
      <c r="W359" s="796">
        <f t="shared" si="184"/>
        <v>7.8421576771567283</v>
      </c>
      <c r="X359" s="796">
        <f t="shared" si="184"/>
        <v>7.8717083525818268</v>
      </c>
      <c r="Y359" s="796">
        <f t="shared" si="184"/>
        <v>7.946384941990944</v>
      </c>
      <c r="Z359" s="796">
        <f t="shared" si="184"/>
        <v>8.0072071693870122</v>
      </c>
      <c r="AA359" s="796">
        <f t="shared" si="184"/>
        <v>8.1342861755084872</v>
      </c>
      <c r="AB359" s="796">
        <f t="shared" si="184"/>
        <v>8.201715736764184</v>
      </c>
      <c r="AC359" s="796">
        <f t="shared" si="184"/>
        <v>8.3977851953285203</v>
      </c>
      <c r="AD359" s="796">
        <f t="shared" si="184"/>
        <v>8.7274830204856926</v>
      </c>
      <c r="AE359" s="796">
        <f t="shared" si="184"/>
        <v>9.0499362501734026</v>
      </c>
      <c r="AF359" s="796">
        <f t="shared" si="184"/>
        <v>9.2591726469557294</v>
      </c>
      <c r="AG359" s="796">
        <f t="shared" si="184"/>
        <v>9.6238368337961617</v>
      </c>
      <c r="AH359" s="796">
        <f t="shared" si="184"/>
        <v>9.9153291405031165</v>
      </c>
      <c r="AI359" s="796">
        <f t="shared" si="184"/>
        <v>10.182602524975632</v>
      </c>
      <c r="AJ359" s="796">
        <f t="shared" si="184"/>
        <v>10.470488930882306</v>
      </c>
      <c r="AK359" s="796">
        <f t="shared" si="184"/>
        <v>10.82413008076165</v>
      </c>
      <c r="AL359" s="796"/>
      <c r="AM359" s="796"/>
      <c r="AN359" s="796"/>
      <c r="AO359" s="796"/>
      <c r="AP359" s="796"/>
      <c r="AQ359" s="796"/>
      <c r="AR359" s="796"/>
      <c r="AS359" s="796"/>
      <c r="AT359" s="796"/>
      <c r="AU359" s="796"/>
      <c r="AV359" s="796"/>
      <c r="AW359" s="796"/>
      <c r="AX359" s="796"/>
      <c r="AY359" s="796"/>
      <c r="AZ359" s="796"/>
      <c r="BA359" s="796"/>
      <c r="BB359" s="796"/>
      <c r="BC359" s="796"/>
      <c r="BD359" s="796"/>
      <c r="BE359" s="796"/>
      <c r="BF359" s="796"/>
      <c r="BG359" s="796"/>
      <c r="BH359" s="796"/>
      <c r="BI359" s="796"/>
      <c r="BJ359" s="796"/>
      <c r="BK359" s="796"/>
      <c r="BL359" s="796"/>
      <c r="BM359" s="796"/>
      <c r="BN359" s="796"/>
      <c r="BO359" s="796"/>
      <c r="BP359" s="796"/>
      <c r="BQ359" s="796"/>
      <c r="BR359" s="796"/>
      <c r="BS359" s="796"/>
      <c r="BT359" s="796"/>
      <c r="BU359" s="796"/>
      <c r="BV359" s="796"/>
      <c r="BW359" s="796"/>
      <c r="BX359" s="796"/>
      <c r="BY359" s="796"/>
      <c r="BZ359" s="796"/>
      <c r="CA359" s="796"/>
      <c r="CB359" s="796"/>
      <c r="CC359" s="796"/>
      <c r="CD359" s="796"/>
      <c r="CE359" s="796"/>
      <c r="CF359" s="796"/>
      <c r="CG359" s="796"/>
      <c r="CH359" s="796"/>
      <c r="CI359" s="797"/>
    </row>
    <row r="360" spans="2:89" x14ac:dyDescent="0.2">
      <c r="B360" s="1067" t="s">
        <v>774</v>
      </c>
      <c r="C360" s="1068" t="s">
        <v>597</v>
      </c>
      <c r="D360" s="1069" t="s">
        <v>775</v>
      </c>
      <c r="E360" s="1068" t="s">
        <v>236</v>
      </c>
      <c r="F360" s="1070">
        <v>2</v>
      </c>
      <c r="G360" s="798">
        <f>G313-G356</f>
        <v>0</v>
      </c>
      <c r="H360" s="798">
        <f t="shared" ref="H360:AK360" si="185">H313-H356</f>
        <v>0</v>
      </c>
      <c r="I360" s="798">
        <f>I313-I356</f>
        <v>5.7999784470002282</v>
      </c>
      <c r="J360" s="798">
        <f t="shared" si="185"/>
        <v>13.912155559463031</v>
      </c>
      <c r="K360" s="798">
        <f t="shared" si="185"/>
        <v>16.305614033998779</v>
      </c>
      <c r="L360" s="798">
        <f t="shared" si="185"/>
        <v>20.120086480260113</v>
      </c>
      <c r="M360" s="799">
        <f t="shared" si="185"/>
        <v>22.59898400805713</v>
      </c>
      <c r="N360" s="799">
        <f t="shared" si="185"/>
        <v>26.384097636351783</v>
      </c>
      <c r="O360" s="799">
        <f t="shared" si="185"/>
        <v>37.260262584045392</v>
      </c>
      <c r="P360" s="799">
        <f t="shared" si="185"/>
        <v>39.645483916275907</v>
      </c>
      <c r="Q360" s="799">
        <f t="shared" si="185"/>
        <v>43.329532949606516</v>
      </c>
      <c r="R360" s="799">
        <f t="shared" si="185"/>
        <v>43.079348068640968</v>
      </c>
      <c r="S360" s="799">
        <f t="shared" si="185"/>
        <v>47.834179800138941</v>
      </c>
      <c r="T360" s="799">
        <f t="shared" si="185"/>
        <v>52.700645613351128</v>
      </c>
      <c r="U360" s="799">
        <f t="shared" si="185"/>
        <v>58.378095940852745</v>
      </c>
      <c r="V360" s="799">
        <f t="shared" si="185"/>
        <v>69.428692464486346</v>
      </c>
      <c r="W360" s="799">
        <f t="shared" si="185"/>
        <v>93.519055488774541</v>
      </c>
      <c r="X360" s="799">
        <f t="shared" si="185"/>
        <v>97.272619395165748</v>
      </c>
      <c r="Y360" s="799">
        <f t="shared" si="185"/>
        <v>100.95341021912554</v>
      </c>
      <c r="Z360" s="799">
        <f t="shared" si="185"/>
        <v>103.94991518576427</v>
      </c>
      <c r="AA360" s="799">
        <f t="shared" si="185"/>
        <v>106.36178292002074</v>
      </c>
      <c r="AB360" s="799">
        <f t="shared" si="185"/>
        <v>107.01525391678803</v>
      </c>
      <c r="AC360" s="799">
        <f t="shared" si="185"/>
        <v>109.30192163903729</v>
      </c>
      <c r="AD360" s="799">
        <f t="shared" si="185"/>
        <v>111.44700482464498</v>
      </c>
      <c r="AE360" s="799">
        <f t="shared" si="185"/>
        <v>112.50260924132544</v>
      </c>
      <c r="AF360" s="799">
        <f t="shared" si="185"/>
        <v>113.44898158656088</v>
      </c>
      <c r="AG360" s="799">
        <f t="shared" si="185"/>
        <v>112.46544594003882</v>
      </c>
      <c r="AH360" s="799">
        <f t="shared" si="185"/>
        <v>111.364675878085</v>
      </c>
      <c r="AI360" s="799">
        <f t="shared" si="185"/>
        <v>110.19762139335137</v>
      </c>
      <c r="AJ360" s="799">
        <f t="shared" si="185"/>
        <v>108.94772477641015</v>
      </c>
      <c r="AK360" s="799">
        <f t="shared" si="185"/>
        <v>107.67202148485563</v>
      </c>
      <c r="AL360" s="799"/>
      <c r="AM360" s="799"/>
      <c r="AN360" s="799"/>
      <c r="AO360" s="799"/>
      <c r="AP360" s="799"/>
      <c r="AQ360" s="799"/>
      <c r="AR360" s="799"/>
      <c r="AS360" s="799"/>
      <c r="AT360" s="799"/>
      <c r="AU360" s="799"/>
      <c r="AV360" s="799"/>
      <c r="AW360" s="799"/>
      <c r="AX360" s="799"/>
      <c r="AY360" s="799"/>
      <c r="AZ360" s="799"/>
      <c r="BA360" s="799"/>
      <c r="BB360" s="799"/>
      <c r="BC360" s="799"/>
      <c r="BD360" s="799"/>
      <c r="BE360" s="799"/>
      <c r="BF360" s="799"/>
      <c r="BG360" s="799"/>
      <c r="BH360" s="799"/>
      <c r="BI360" s="799"/>
      <c r="BJ360" s="799"/>
      <c r="BK360" s="799"/>
      <c r="BL360" s="799"/>
      <c r="BM360" s="799"/>
      <c r="BN360" s="799"/>
      <c r="BO360" s="799"/>
      <c r="BP360" s="799"/>
      <c r="BQ360" s="799"/>
      <c r="BR360" s="799"/>
      <c r="BS360" s="799"/>
      <c r="BT360" s="799"/>
      <c r="BU360" s="799"/>
      <c r="BV360" s="799"/>
      <c r="BW360" s="799"/>
      <c r="BX360" s="799"/>
      <c r="BY360" s="799"/>
      <c r="BZ360" s="799"/>
      <c r="CA360" s="799"/>
      <c r="CB360" s="799"/>
      <c r="CC360" s="799"/>
      <c r="CD360" s="799"/>
      <c r="CE360" s="799"/>
      <c r="CF360" s="799"/>
      <c r="CG360" s="799"/>
      <c r="CH360" s="799"/>
      <c r="CI360" s="800"/>
    </row>
    <row r="361" spans="2:89" ht="15" thickBot="1" x14ac:dyDescent="0.25">
      <c r="B361" s="905" t="s">
        <v>776</v>
      </c>
      <c r="C361" s="906" t="s">
        <v>600</v>
      </c>
      <c r="D361" s="907" t="s">
        <v>777</v>
      </c>
      <c r="E361" s="906" t="s">
        <v>236</v>
      </c>
      <c r="F361" s="902">
        <v>2</v>
      </c>
      <c r="G361" s="798">
        <f t="shared" ref="G361:AK361" si="186">G304-G315</f>
        <v>0</v>
      </c>
      <c r="H361" s="798">
        <f t="shared" si="186"/>
        <v>0</v>
      </c>
      <c r="I361" s="798">
        <f t="shared" si="186"/>
        <v>0</v>
      </c>
      <c r="J361" s="798">
        <f t="shared" si="186"/>
        <v>0</v>
      </c>
      <c r="K361" s="798">
        <f t="shared" si="186"/>
        <v>0</v>
      </c>
      <c r="L361" s="798">
        <f t="shared" si="186"/>
        <v>0</v>
      </c>
      <c r="M361" s="798">
        <f t="shared" si="186"/>
        <v>0</v>
      </c>
      <c r="N361" s="798">
        <f t="shared" si="186"/>
        <v>0</v>
      </c>
      <c r="O361" s="798">
        <f t="shared" si="186"/>
        <v>0</v>
      </c>
      <c r="P361" s="798">
        <f t="shared" si="186"/>
        <v>0</v>
      </c>
      <c r="Q361" s="798">
        <f t="shared" si="186"/>
        <v>0</v>
      </c>
      <c r="R361" s="798">
        <f t="shared" si="186"/>
        <v>0</v>
      </c>
      <c r="S361" s="798">
        <f t="shared" si="186"/>
        <v>0</v>
      </c>
      <c r="T361" s="798">
        <f t="shared" si="186"/>
        <v>0</v>
      </c>
      <c r="U361" s="798">
        <f t="shared" si="186"/>
        <v>0</v>
      </c>
      <c r="V361" s="798">
        <f t="shared" si="186"/>
        <v>0</v>
      </c>
      <c r="W361" s="798">
        <f t="shared" si="186"/>
        <v>0</v>
      </c>
      <c r="X361" s="798">
        <f t="shared" si="186"/>
        <v>0</v>
      </c>
      <c r="Y361" s="798">
        <f t="shared" si="186"/>
        <v>0</v>
      </c>
      <c r="Z361" s="798">
        <f t="shared" si="186"/>
        <v>0</v>
      </c>
      <c r="AA361" s="798">
        <f t="shared" si="186"/>
        <v>0</v>
      </c>
      <c r="AB361" s="798">
        <f t="shared" si="186"/>
        <v>0</v>
      </c>
      <c r="AC361" s="798">
        <f t="shared" si="186"/>
        <v>0</v>
      </c>
      <c r="AD361" s="798">
        <f t="shared" si="186"/>
        <v>0</v>
      </c>
      <c r="AE361" s="798">
        <f t="shared" si="186"/>
        <v>0</v>
      </c>
      <c r="AF361" s="798">
        <f t="shared" si="186"/>
        <v>0</v>
      </c>
      <c r="AG361" s="798">
        <f t="shared" si="186"/>
        <v>0</v>
      </c>
      <c r="AH361" s="798">
        <f t="shared" si="186"/>
        <v>0</v>
      </c>
      <c r="AI361" s="798">
        <f t="shared" si="186"/>
        <v>0</v>
      </c>
      <c r="AJ361" s="798">
        <f t="shared" si="186"/>
        <v>0</v>
      </c>
      <c r="AK361" s="798">
        <f t="shared" si="186"/>
        <v>0</v>
      </c>
      <c r="AL361" s="798"/>
      <c r="AM361" s="798"/>
      <c r="AN361" s="798"/>
      <c r="AO361" s="798"/>
      <c r="AP361" s="798"/>
      <c r="AQ361" s="798"/>
      <c r="AR361" s="798"/>
      <c r="AS361" s="798"/>
      <c r="AT361" s="798"/>
      <c r="AU361" s="798"/>
      <c r="AV361" s="798"/>
      <c r="AW361" s="798"/>
      <c r="AX361" s="798"/>
      <c r="AY361" s="798"/>
      <c r="AZ361" s="798"/>
      <c r="BA361" s="798"/>
      <c r="BB361" s="798"/>
      <c r="BC361" s="798"/>
      <c r="BD361" s="798"/>
      <c r="BE361" s="798"/>
      <c r="BF361" s="798"/>
      <c r="BG361" s="798"/>
      <c r="BH361" s="798"/>
      <c r="BI361" s="798"/>
      <c r="BJ361" s="798"/>
      <c r="BK361" s="798"/>
      <c r="BL361" s="798"/>
      <c r="BM361" s="798"/>
      <c r="BN361" s="798"/>
      <c r="BO361" s="798"/>
      <c r="BP361" s="798"/>
      <c r="BQ361" s="798"/>
      <c r="BR361" s="798"/>
      <c r="BS361" s="798"/>
      <c r="BT361" s="798"/>
      <c r="BU361" s="798"/>
      <c r="BV361" s="798"/>
      <c r="BW361" s="798"/>
      <c r="BX361" s="798"/>
      <c r="BY361" s="798"/>
      <c r="BZ361" s="798"/>
      <c r="CA361" s="798"/>
      <c r="CB361" s="798"/>
      <c r="CC361" s="798"/>
      <c r="CD361" s="798"/>
      <c r="CE361" s="798"/>
      <c r="CF361" s="798"/>
      <c r="CG361" s="798"/>
      <c r="CH361" s="798"/>
      <c r="CI361" s="798"/>
    </row>
    <row r="362" spans="2:89" ht="31.5" customHeight="1" x14ac:dyDescent="0.2">
      <c r="B362" s="996" t="s">
        <v>778</v>
      </c>
      <c r="C362" s="997" t="s">
        <v>393</v>
      </c>
      <c r="D362" s="998" t="s">
        <v>779</v>
      </c>
      <c r="E362" s="997" t="s">
        <v>236</v>
      </c>
      <c r="F362" s="999">
        <v>2</v>
      </c>
      <c r="G362" s="805">
        <f>G360-G359</f>
        <v>0</v>
      </c>
      <c r="H362" s="805">
        <f t="shared" ref="H362:AK362" si="187">H360-H359</f>
        <v>0</v>
      </c>
      <c r="I362" s="805">
        <f t="shared" si="187"/>
        <v>-0.83407433589905189</v>
      </c>
      <c r="J362" s="805">
        <f t="shared" si="187"/>
        <v>4.7214872818539568</v>
      </c>
      <c r="K362" s="805">
        <f t="shared" si="187"/>
        <v>6.979967103527704</v>
      </c>
      <c r="L362" s="805">
        <f t="shared" si="187"/>
        <v>10.695195294261012</v>
      </c>
      <c r="M362" s="806">
        <f t="shared" si="187"/>
        <v>12.801943415638037</v>
      </c>
      <c r="N362" s="806">
        <f t="shared" si="187"/>
        <v>16.928013511751043</v>
      </c>
      <c r="O362" s="806">
        <f t="shared" si="187"/>
        <v>28.075246347386724</v>
      </c>
      <c r="P362" s="806">
        <f t="shared" si="187"/>
        <v>30.708520693725148</v>
      </c>
      <c r="Q362" s="806">
        <f t="shared" si="187"/>
        <v>34.59093809322178</v>
      </c>
      <c r="R362" s="806">
        <f t="shared" si="187"/>
        <v>34.524724981087012</v>
      </c>
      <c r="S362" s="806">
        <f t="shared" si="187"/>
        <v>39.716275443473982</v>
      </c>
      <c r="T362" s="806">
        <f t="shared" si="187"/>
        <v>44.698580715735694</v>
      </c>
      <c r="U362" s="806">
        <f t="shared" si="187"/>
        <v>50.368475706045658</v>
      </c>
      <c r="V362" s="806">
        <f t="shared" si="187"/>
        <v>61.583378525652563</v>
      </c>
      <c r="W362" s="806">
        <f t="shared" si="187"/>
        <v>85.676897811617806</v>
      </c>
      <c r="X362" s="806">
        <f t="shared" si="187"/>
        <v>89.400911042583914</v>
      </c>
      <c r="Y362" s="806">
        <f t="shared" si="187"/>
        <v>93.007025277134602</v>
      </c>
      <c r="Z362" s="806">
        <f t="shared" si="187"/>
        <v>95.942708016377253</v>
      </c>
      <c r="AA362" s="806">
        <f>AA360-AA359</f>
        <v>98.227496744512251</v>
      </c>
      <c r="AB362" s="806">
        <f t="shared" si="187"/>
        <v>98.813538180023841</v>
      </c>
      <c r="AC362" s="806">
        <f t="shared" si="187"/>
        <v>100.90413644370877</v>
      </c>
      <c r="AD362" s="806">
        <f t="shared" si="187"/>
        <v>102.71952180415929</v>
      </c>
      <c r="AE362" s="806">
        <f t="shared" si="187"/>
        <v>103.45267299115204</v>
      </c>
      <c r="AF362" s="806">
        <f t="shared" si="187"/>
        <v>104.18980893960514</v>
      </c>
      <c r="AG362" s="806">
        <f t="shared" si="187"/>
        <v>102.84160910624266</v>
      </c>
      <c r="AH362" s="806">
        <f t="shared" si="187"/>
        <v>101.44934673758188</v>
      </c>
      <c r="AI362" s="806">
        <f t="shared" si="187"/>
        <v>100.01501886837573</v>
      </c>
      <c r="AJ362" s="806">
        <f t="shared" si="187"/>
        <v>98.477235845527844</v>
      </c>
      <c r="AK362" s="806">
        <f t="shared" si="187"/>
        <v>96.847891404093986</v>
      </c>
      <c r="AL362" s="806"/>
      <c r="AM362" s="806"/>
      <c r="AN362" s="806"/>
      <c r="AO362" s="806"/>
      <c r="AP362" s="806"/>
      <c r="AQ362" s="806"/>
      <c r="AR362" s="806"/>
      <c r="AS362" s="806"/>
      <c r="AT362" s="806"/>
      <c r="AU362" s="806"/>
      <c r="AV362" s="806"/>
      <c r="AW362" s="806"/>
      <c r="AX362" s="806"/>
      <c r="AY362" s="806"/>
      <c r="AZ362" s="806"/>
      <c r="BA362" s="806"/>
      <c r="BB362" s="806"/>
      <c r="BC362" s="806"/>
      <c r="BD362" s="806"/>
      <c r="BE362" s="806"/>
      <c r="BF362" s="806"/>
      <c r="BG362" s="806"/>
      <c r="BH362" s="806"/>
      <c r="BI362" s="806"/>
      <c r="BJ362" s="806"/>
      <c r="BK362" s="806"/>
      <c r="BL362" s="806"/>
      <c r="BM362" s="806"/>
      <c r="BN362" s="806"/>
      <c r="BO362" s="806"/>
      <c r="BP362" s="806"/>
      <c r="BQ362" s="806"/>
      <c r="BR362" s="806"/>
      <c r="BS362" s="806"/>
      <c r="BT362" s="806"/>
      <c r="BU362" s="806"/>
      <c r="BV362" s="806"/>
      <c r="BW362" s="806"/>
      <c r="BX362" s="806"/>
      <c r="BY362" s="806"/>
      <c r="BZ362" s="806"/>
      <c r="CA362" s="806"/>
      <c r="CB362" s="806"/>
      <c r="CC362" s="806"/>
      <c r="CD362" s="806"/>
      <c r="CE362" s="806"/>
      <c r="CF362" s="806"/>
      <c r="CG362" s="806"/>
      <c r="CH362" s="806"/>
      <c r="CI362" s="807"/>
    </row>
    <row r="363" spans="2:89" x14ac:dyDescent="0.2">
      <c r="B363" s="1404"/>
      <c r="C363" s="1405"/>
      <c r="D363" s="1406"/>
      <c r="E363" s="1405"/>
      <c r="F363" s="1407"/>
      <c r="G363" s="798"/>
      <c r="H363" s="798"/>
      <c r="I363" s="798"/>
      <c r="J363" s="798"/>
      <c r="K363" s="798"/>
      <c r="L363" s="798"/>
      <c r="M363" s="799"/>
      <c r="N363" s="799"/>
      <c r="O363" s="799"/>
      <c r="P363" s="799"/>
      <c r="Q363" s="799"/>
      <c r="R363" s="799"/>
      <c r="S363" s="799"/>
      <c r="T363" s="799"/>
      <c r="U363" s="799"/>
      <c r="V363" s="799"/>
      <c r="W363" s="799"/>
      <c r="X363" s="799"/>
      <c r="Y363" s="799"/>
      <c r="Z363" s="799"/>
      <c r="AA363" s="799"/>
      <c r="AB363" s="799"/>
      <c r="AC363" s="799"/>
      <c r="AD363" s="799"/>
      <c r="AE363" s="799"/>
      <c r="AF363" s="799"/>
      <c r="AG363" s="799"/>
      <c r="AH363" s="799"/>
      <c r="AI363" s="799"/>
      <c r="AJ363" s="799"/>
      <c r="AK363" s="799"/>
      <c r="AL363" s="799"/>
      <c r="AM363" s="799"/>
      <c r="AN363" s="799"/>
      <c r="AO363" s="799"/>
      <c r="AP363" s="799"/>
      <c r="AQ363" s="799"/>
      <c r="AR363" s="799"/>
      <c r="AS363" s="799"/>
      <c r="AT363" s="799"/>
      <c r="AU363" s="799"/>
      <c r="AV363" s="799"/>
      <c r="AW363" s="799"/>
      <c r="AX363" s="799"/>
      <c r="AY363" s="799"/>
      <c r="AZ363" s="799"/>
      <c r="BA363" s="799"/>
      <c r="BB363" s="799"/>
      <c r="BC363" s="799"/>
      <c r="BD363" s="799"/>
      <c r="BE363" s="799"/>
      <c r="BF363" s="799"/>
      <c r="BG363" s="799"/>
      <c r="BH363" s="799"/>
      <c r="BI363" s="799"/>
      <c r="BJ363" s="799"/>
      <c r="BK363" s="799"/>
      <c r="BL363" s="799"/>
      <c r="BM363" s="799"/>
      <c r="BN363" s="799"/>
      <c r="BO363" s="799"/>
      <c r="BP363" s="799"/>
      <c r="BQ363" s="799"/>
      <c r="BR363" s="799"/>
      <c r="BS363" s="799"/>
      <c r="BT363" s="799"/>
      <c r="BU363" s="799"/>
      <c r="BV363" s="799"/>
      <c r="BW363" s="799"/>
      <c r="BX363" s="799"/>
      <c r="BY363" s="799"/>
      <c r="BZ363" s="799"/>
      <c r="CA363" s="799"/>
      <c r="CB363" s="799"/>
      <c r="CC363" s="799"/>
      <c r="CD363" s="799"/>
      <c r="CE363" s="799"/>
      <c r="CF363" s="799"/>
      <c r="CG363" s="799"/>
      <c r="CH363" s="799"/>
      <c r="CI363" s="800"/>
    </row>
    <row r="364" spans="2:89" ht="15" thickBot="1" x14ac:dyDescent="0.25"/>
    <row r="365" spans="2:89" ht="30" x14ac:dyDescent="0.2">
      <c r="B365" s="1297" t="s">
        <v>787</v>
      </c>
      <c r="C365" s="1298"/>
      <c r="D365" s="1298"/>
      <c r="E365" s="1298"/>
      <c r="F365" s="1298"/>
      <c r="G365" s="1298"/>
      <c r="H365" s="1298"/>
      <c r="I365" s="1298"/>
      <c r="J365" s="1298"/>
      <c r="K365" s="1298"/>
      <c r="L365" s="1298"/>
      <c r="M365" s="1298"/>
      <c r="N365" s="1298"/>
      <c r="O365" s="1298"/>
      <c r="P365" s="1298"/>
      <c r="Q365" s="1298"/>
      <c r="R365" s="1298"/>
      <c r="S365" s="1298"/>
      <c r="T365" s="1298"/>
      <c r="U365" s="1298"/>
      <c r="V365" s="1298"/>
      <c r="W365" s="1298"/>
      <c r="X365" s="1298"/>
      <c r="Y365" s="1298"/>
      <c r="Z365" s="1298"/>
      <c r="AA365" s="1298"/>
      <c r="AB365" s="1298"/>
      <c r="AC365" s="1298"/>
      <c r="AD365" s="1298"/>
      <c r="AE365" s="1298"/>
      <c r="AF365" s="1298"/>
      <c r="AG365" s="1298"/>
      <c r="AH365" s="1298"/>
      <c r="AI365" s="1298"/>
      <c r="AJ365" s="1298"/>
      <c r="AK365" s="1298"/>
      <c r="AL365" s="1298"/>
      <c r="AM365" s="1298"/>
      <c r="AN365" s="1298"/>
      <c r="AO365" s="1298"/>
      <c r="AP365" s="1298"/>
      <c r="AQ365" s="1298"/>
      <c r="AR365" s="1298"/>
      <c r="AS365" s="1298"/>
      <c r="AT365" s="1298"/>
      <c r="AU365" s="1298"/>
      <c r="AV365" s="1298"/>
      <c r="AW365" s="1298"/>
      <c r="AX365" s="1298"/>
      <c r="AY365" s="1298"/>
      <c r="AZ365" s="1298"/>
      <c r="BA365" s="1298"/>
      <c r="BB365" s="1298"/>
      <c r="BC365" s="1298"/>
      <c r="BD365" s="1298"/>
      <c r="BE365" s="1298"/>
      <c r="BF365" s="1298"/>
      <c r="BG365" s="1298"/>
      <c r="BH365" s="1298"/>
      <c r="BI365" s="1298"/>
      <c r="BJ365" s="1298"/>
      <c r="BK365" s="1298"/>
      <c r="BL365" s="1298"/>
      <c r="BM365" s="1298"/>
      <c r="BN365" s="1298"/>
      <c r="BO365" s="1298"/>
      <c r="BP365" s="1298"/>
      <c r="BQ365" s="1298"/>
      <c r="BR365" s="1298"/>
      <c r="BS365" s="1298"/>
      <c r="BT365" s="1298"/>
      <c r="BU365" s="1298"/>
      <c r="BV365" s="1298"/>
      <c r="BW365" s="1298"/>
      <c r="BX365" s="1298"/>
      <c r="BY365" s="1298"/>
      <c r="BZ365" s="1298"/>
      <c r="CA365" s="1298"/>
      <c r="CB365" s="1298"/>
      <c r="CC365" s="1298"/>
      <c r="CD365" s="1298"/>
      <c r="CE365" s="1298"/>
      <c r="CF365" s="1298"/>
      <c r="CG365" s="1298"/>
      <c r="CH365" s="1298"/>
      <c r="CI365" s="1299"/>
    </row>
    <row r="366" spans="2:89" x14ac:dyDescent="0.2">
      <c r="B366" s="1300"/>
      <c r="C366" s="1301"/>
      <c r="D366" s="1301"/>
      <c r="E366" s="1301"/>
      <c r="F366" s="1301"/>
      <c r="G366" s="1301"/>
      <c r="H366" s="1301"/>
      <c r="I366" s="1301"/>
      <c r="J366" s="1301"/>
      <c r="K366" s="1301"/>
      <c r="L366" s="1301"/>
      <c r="M366" s="1301"/>
      <c r="N366" s="1301"/>
      <c r="O366" s="1301"/>
      <c r="P366" s="1301"/>
      <c r="Q366" s="1301"/>
      <c r="R366" s="1301"/>
      <c r="S366" s="1301"/>
      <c r="T366" s="1301"/>
      <c r="U366" s="1301"/>
      <c r="V366" s="1301"/>
      <c r="W366" s="1301"/>
      <c r="X366" s="1301"/>
      <c r="Y366" s="1301"/>
      <c r="Z366" s="1301"/>
      <c r="AA366" s="1301"/>
      <c r="AB366" s="1301"/>
      <c r="AC366" s="1301"/>
      <c r="AD366" s="1301"/>
      <c r="AE366" s="1301"/>
      <c r="AF366" s="1301"/>
      <c r="AG366" s="1301"/>
      <c r="AH366" s="1301"/>
      <c r="AI366" s="1301"/>
      <c r="AJ366" s="1301"/>
      <c r="AK366" s="1301"/>
      <c r="AL366" s="1301"/>
      <c r="AM366" s="1301"/>
      <c r="AN366" s="1301"/>
      <c r="AO366" s="1301"/>
      <c r="AP366" s="1301"/>
      <c r="AQ366" s="1301"/>
      <c r="AR366" s="1301"/>
      <c r="AS366" s="1301"/>
      <c r="AT366" s="1301"/>
      <c r="AU366" s="1301"/>
      <c r="AV366" s="1301"/>
      <c r="AW366" s="1301"/>
      <c r="AX366" s="1301"/>
      <c r="AY366" s="1301"/>
      <c r="AZ366" s="1301"/>
      <c r="BA366" s="1301"/>
      <c r="BB366" s="1301"/>
      <c r="BC366" s="1301"/>
      <c r="BD366" s="1301"/>
      <c r="BE366" s="1301"/>
      <c r="BF366" s="1301"/>
      <c r="BG366" s="1301"/>
      <c r="BH366" s="1301"/>
      <c r="BI366" s="1301"/>
      <c r="BJ366" s="1301"/>
      <c r="BK366" s="1301"/>
      <c r="BL366" s="1301"/>
      <c r="BM366" s="1301"/>
      <c r="BN366" s="1301"/>
      <c r="BO366" s="1301"/>
      <c r="BP366" s="1301"/>
      <c r="BQ366" s="1301"/>
      <c r="BR366" s="1301"/>
      <c r="BS366" s="1301"/>
      <c r="BT366" s="1301"/>
      <c r="BU366" s="1301"/>
      <c r="BV366" s="1301"/>
      <c r="BW366" s="1301"/>
      <c r="BX366" s="1301"/>
      <c r="BY366" s="1301"/>
      <c r="BZ366" s="1301"/>
      <c r="CA366" s="1301"/>
      <c r="CB366" s="1301"/>
      <c r="CC366" s="1301"/>
      <c r="CD366" s="1301"/>
      <c r="CE366" s="1301"/>
      <c r="CF366" s="1301"/>
      <c r="CG366" s="1301"/>
      <c r="CH366" s="1301"/>
      <c r="CI366" s="1302"/>
    </row>
    <row r="367" spans="2:89" ht="28.5" x14ac:dyDescent="0.2">
      <c r="B367" s="1300" t="s">
        <v>788</v>
      </c>
      <c r="C367" s="1301"/>
      <c r="D367" s="1301"/>
      <c r="E367" s="1301"/>
      <c r="F367" s="1301"/>
      <c r="G367" s="1000" t="s">
        <v>208</v>
      </c>
      <c r="H367" s="1000" t="s">
        <v>209</v>
      </c>
      <c r="I367" s="1000" t="s">
        <v>210</v>
      </c>
      <c r="J367" s="1000" t="s">
        <v>211</v>
      </c>
      <c r="K367" s="1000" t="s">
        <v>212</v>
      </c>
      <c r="L367" s="1000" t="s">
        <v>213</v>
      </c>
      <c r="M367" s="1000" t="s">
        <v>214</v>
      </c>
      <c r="N367" s="1000" t="s">
        <v>215</v>
      </c>
      <c r="O367" s="1000" t="s">
        <v>216</v>
      </c>
      <c r="P367" s="1000" t="s">
        <v>217</v>
      </c>
      <c r="Q367" s="1000" t="s">
        <v>218</v>
      </c>
      <c r="R367" s="1000" t="s">
        <v>247</v>
      </c>
      <c r="S367" s="1000" t="s">
        <v>248</v>
      </c>
      <c r="T367" s="1000" t="s">
        <v>249</v>
      </c>
      <c r="U367" s="1000" t="s">
        <v>250</v>
      </c>
      <c r="V367" s="1000" t="s">
        <v>219</v>
      </c>
      <c r="W367" s="1000" t="s">
        <v>251</v>
      </c>
      <c r="X367" s="1000" t="s">
        <v>252</v>
      </c>
      <c r="Y367" s="1000" t="s">
        <v>253</v>
      </c>
      <c r="Z367" s="1000" t="s">
        <v>254</v>
      </c>
      <c r="AA367" s="1000" t="s">
        <v>220</v>
      </c>
      <c r="AB367" s="1000" t="s">
        <v>255</v>
      </c>
      <c r="AC367" s="1000" t="s">
        <v>256</v>
      </c>
      <c r="AD367" s="1000" t="s">
        <v>257</v>
      </c>
      <c r="AE367" s="1000" t="s">
        <v>258</v>
      </c>
      <c r="AF367" s="1000" t="s">
        <v>221</v>
      </c>
      <c r="AG367" s="1000" t="s">
        <v>259</v>
      </c>
      <c r="AH367" s="1000" t="s">
        <v>260</v>
      </c>
      <c r="AI367" s="1000" t="s">
        <v>261</v>
      </c>
      <c r="AJ367" s="1000" t="s">
        <v>262</v>
      </c>
      <c r="AK367" s="1000" t="s">
        <v>222</v>
      </c>
      <c r="AL367" s="1000" t="s">
        <v>263</v>
      </c>
      <c r="AM367" s="1000" t="s">
        <v>264</v>
      </c>
      <c r="AN367" s="1000" t="s">
        <v>265</v>
      </c>
      <c r="AO367" s="1000" t="s">
        <v>266</v>
      </c>
      <c r="AP367" s="1000" t="s">
        <v>223</v>
      </c>
      <c r="AQ367" s="1000" t="s">
        <v>267</v>
      </c>
      <c r="AR367" s="1000" t="s">
        <v>268</v>
      </c>
      <c r="AS367" s="1000" t="s">
        <v>269</v>
      </c>
      <c r="AT367" s="1000" t="s">
        <v>270</v>
      </c>
      <c r="AU367" s="1000" t="s">
        <v>224</v>
      </c>
      <c r="AV367" s="1000" t="s">
        <v>271</v>
      </c>
      <c r="AW367" s="1000" t="s">
        <v>272</v>
      </c>
      <c r="AX367" s="1000" t="s">
        <v>273</v>
      </c>
      <c r="AY367" s="1000" t="s">
        <v>274</v>
      </c>
      <c r="AZ367" s="1000" t="s">
        <v>225</v>
      </c>
      <c r="BA367" s="1000" t="s">
        <v>275</v>
      </c>
      <c r="BB367" s="1000" t="s">
        <v>276</v>
      </c>
      <c r="BC367" s="1000" t="s">
        <v>277</v>
      </c>
      <c r="BD367" s="1000" t="s">
        <v>278</v>
      </c>
      <c r="BE367" s="1000" t="s">
        <v>226</v>
      </c>
      <c r="BF367" s="1000" t="s">
        <v>279</v>
      </c>
      <c r="BG367" s="1000" t="s">
        <v>280</v>
      </c>
      <c r="BH367" s="1000" t="s">
        <v>281</v>
      </c>
      <c r="BI367" s="1000" t="s">
        <v>282</v>
      </c>
      <c r="BJ367" s="1000" t="s">
        <v>227</v>
      </c>
      <c r="BK367" s="1000" t="s">
        <v>283</v>
      </c>
      <c r="BL367" s="1000" t="s">
        <v>284</v>
      </c>
      <c r="BM367" s="1000" t="s">
        <v>285</v>
      </c>
      <c r="BN367" s="1000" t="s">
        <v>286</v>
      </c>
      <c r="BO367" s="1000" t="s">
        <v>228</v>
      </c>
      <c r="BP367" s="1000" t="s">
        <v>287</v>
      </c>
      <c r="BQ367" s="1000" t="s">
        <v>288</v>
      </c>
      <c r="BR367" s="1000" t="s">
        <v>289</v>
      </c>
      <c r="BS367" s="1000" t="s">
        <v>290</v>
      </c>
      <c r="BT367" s="1000" t="s">
        <v>229</v>
      </c>
      <c r="BU367" s="1000" t="s">
        <v>291</v>
      </c>
      <c r="BV367" s="1000" t="s">
        <v>292</v>
      </c>
      <c r="BW367" s="1000" t="s">
        <v>293</v>
      </c>
      <c r="BX367" s="1000" t="s">
        <v>294</v>
      </c>
      <c r="BY367" s="1000" t="s">
        <v>230</v>
      </c>
      <c r="BZ367" s="1000" t="s">
        <v>295</v>
      </c>
      <c r="CA367" s="1000" t="s">
        <v>296</v>
      </c>
      <c r="CB367" s="1000" t="s">
        <v>297</v>
      </c>
      <c r="CC367" s="1000" t="s">
        <v>298</v>
      </c>
      <c r="CD367" s="1000" t="s">
        <v>231</v>
      </c>
      <c r="CE367" s="1000" t="s">
        <v>299</v>
      </c>
      <c r="CF367" s="1000" t="s">
        <v>300</v>
      </c>
      <c r="CG367" s="1000" t="s">
        <v>301</v>
      </c>
      <c r="CH367" s="1000" t="s">
        <v>302</v>
      </c>
      <c r="CI367" s="1001" t="s">
        <v>232</v>
      </c>
    </row>
    <row r="368" spans="2:89" x14ac:dyDescent="0.2">
      <c r="B368" s="1300"/>
      <c r="C368" s="1301" t="s">
        <v>789</v>
      </c>
      <c r="D368" s="1301"/>
      <c r="E368" s="1301" t="s">
        <v>236</v>
      </c>
      <c r="F368" s="1301">
        <v>2</v>
      </c>
      <c r="G368" s="1002">
        <f t="shared" ref="G368:AK368" si="188">G46-G57</f>
        <v>0</v>
      </c>
      <c r="H368" s="1002">
        <f t="shared" si="188"/>
        <v>0</v>
      </c>
      <c r="I368" s="1002">
        <f t="shared" si="188"/>
        <v>150.99392196286217</v>
      </c>
      <c r="J368" s="1002">
        <f t="shared" si="188"/>
        <v>151.76561733431393</v>
      </c>
      <c r="K368" s="1002">
        <f t="shared" si="188"/>
        <v>155.50519630099194</v>
      </c>
      <c r="L368" s="1002">
        <f t="shared" si="188"/>
        <v>159.46790818240859</v>
      </c>
      <c r="M368" s="1002">
        <f t="shared" si="188"/>
        <v>169.8343130712932</v>
      </c>
      <c r="N368" s="1002">
        <f t="shared" si="188"/>
        <v>183.00541460188063</v>
      </c>
      <c r="O368" s="1002">
        <f t="shared" si="188"/>
        <v>191.30429998132843</v>
      </c>
      <c r="P368" s="1002">
        <f t="shared" si="188"/>
        <v>195.35144390050402</v>
      </c>
      <c r="Q368" s="1002">
        <f t="shared" si="188"/>
        <v>198.77914229568051</v>
      </c>
      <c r="R368" s="1002">
        <f t="shared" si="188"/>
        <v>201.19238476483213</v>
      </c>
      <c r="S368" s="1002">
        <f t="shared" si="188"/>
        <v>203.43458124032165</v>
      </c>
      <c r="T368" s="1002">
        <f t="shared" si="188"/>
        <v>205.1892163735304</v>
      </c>
      <c r="U368" s="1002">
        <f t="shared" si="188"/>
        <v>207.03088286401368</v>
      </c>
      <c r="V368" s="1002">
        <f t="shared" si="188"/>
        <v>208.80054684741174</v>
      </c>
      <c r="W368" s="1002">
        <f t="shared" si="188"/>
        <v>210.54947196513643</v>
      </c>
      <c r="X368" s="1002">
        <f t="shared" si="188"/>
        <v>212.11277383598872</v>
      </c>
      <c r="Y368" s="1002">
        <f t="shared" si="188"/>
        <v>213.82956804895778</v>
      </c>
      <c r="Z368" s="1002">
        <f t="shared" si="188"/>
        <v>215.66506357805093</v>
      </c>
      <c r="AA368" s="1002">
        <f t="shared" si="188"/>
        <v>217.55903419218455</v>
      </c>
      <c r="AB368" s="1002">
        <f t="shared" si="188"/>
        <v>216.57534299262659</v>
      </c>
      <c r="AC368" s="1002">
        <f t="shared" si="188"/>
        <v>218.45808315545432</v>
      </c>
      <c r="AD368" s="1002">
        <f t="shared" si="188"/>
        <v>220.42998650177469</v>
      </c>
      <c r="AE368" s="1002">
        <f t="shared" si="188"/>
        <v>222.48509052660265</v>
      </c>
      <c r="AF368" s="1002">
        <f t="shared" si="188"/>
        <v>224.62830099528881</v>
      </c>
      <c r="AG368" s="1002">
        <f t="shared" si="188"/>
        <v>226.79465421059908</v>
      </c>
      <c r="AH368" s="1002">
        <f t="shared" si="188"/>
        <v>224.93405321946832</v>
      </c>
      <c r="AI368" s="1002">
        <f t="shared" si="188"/>
        <v>227.1928603489479</v>
      </c>
      <c r="AJ368" s="1002">
        <f t="shared" si="188"/>
        <v>227.42231899721284</v>
      </c>
      <c r="AK368" s="1002">
        <f t="shared" si="188"/>
        <v>229.73598168528511</v>
      </c>
      <c r="AL368" s="1002"/>
      <c r="AM368" s="1002"/>
      <c r="AN368" s="1002"/>
      <c r="AO368" s="1002"/>
      <c r="AP368" s="1002"/>
      <c r="AQ368" s="1002"/>
      <c r="AR368" s="1002"/>
      <c r="AS368" s="1002"/>
      <c r="AT368" s="1002"/>
      <c r="AU368" s="1002"/>
      <c r="AV368" s="1002"/>
      <c r="AW368" s="1002"/>
      <c r="AX368" s="1002"/>
      <c r="AY368" s="1002"/>
      <c r="AZ368" s="1002"/>
      <c r="BA368" s="1002"/>
      <c r="BB368" s="1002"/>
      <c r="BC368" s="1002"/>
      <c r="BD368" s="1002"/>
      <c r="BE368" s="1002"/>
      <c r="BF368" s="1002"/>
      <c r="BG368" s="1002"/>
      <c r="BH368" s="1002"/>
      <c r="BI368" s="1002"/>
      <c r="BJ368" s="1002"/>
      <c r="BK368" s="1002"/>
      <c r="BL368" s="1002"/>
      <c r="BM368" s="1002"/>
      <c r="BN368" s="1002"/>
      <c r="BO368" s="1002"/>
      <c r="BP368" s="1002"/>
      <c r="BQ368" s="1002"/>
      <c r="BR368" s="1002"/>
      <c r="BS368" s="1002"/>
      <c r="BT368" s="1002"/>
      <c r="BU368" s="1002"/>
      <c r="BV368" s="1002"/>
      <c r="BW368" s="1002"/>
      <c r="BX368" s="1002"/>
      <c r="BY368" s="1002"/>
      <c r="BZ368" s="1002"/>
      <c r="CA368" s="1002"/>
      <c r="CB368" s="1002"/>
      <c r="CC368" s="1002"/>
      <c r="CD368" s="1002"/>
      <c r="CE368" s="1002"/>
      <c r="CF368" s="1002"/>
      <c r="CG368" s="1002"/>
      <c r="CH368" s="1002"/>
      <c r="CI368" s="1003"/>
    </row>
    <row r="369" spans="2:87" x14ac:dyDescent="0.2">
      <c r="B369" s="1300"/>
      <c r="C369" s="1301" t="s">
        <v>790</v>
      </c>
      <c r="D369" s="1301"/>
      <c r="E369" s="1301" t="s">
        <v>236</v>
      </c>
      <c r="F369" s="1301">
        <v>2</v>
      </c>
      <c r="G369" s="1002">
        <f t="shared" ref="G369:AK369" si="189">G47-G58</f>
        <v>0</v>
      </c>
      <c r="H369" s="1002">
        <f t="shared" si="189"/>
        <v>0</v>
      </c>
      <c r="I369" s="1002">
        <f t="shared" si="189"/>
        <v>142.45469610495948</v>
      </c>
      <c r="J369" s="1002">
        <f t="shared" si="189"/>
        <v>136.88205916394443</v>
      </c>
      <c r="K369" s="1002">
        <f t="shared" si="189"/>
        <v>131.3845093671724</v>
      </c>
      <c r="L369" s="1002">
        <f t="shared" si="189"/>
        <v>124.41885192108404</v>
      </c>
      <c r="M369" s="1002">
        <f t="shared" si="189"/>
        <v>112.92934701861353</v>
      </c>
      <c r="N369" s="1002">
        <f t="shared" si="189"/>
        <v>99.519643166017914</v>
      </c>
      <c r="O369" s="1002">
        <f t="shared" si="189"/>
        <v>92.753525374386911</v>
      </c>
      <c r="P369" s="1002">
        <f t="shared" si="189"/>
        <v>90.410726828953941</v>
      </c>
      <c r="Q369" s="1002">
        <f t="shared" si="189"/>
        <v>88.070274337851302</v>
      </c>
      <c r="R369" s="1002">
        <f t="shared" si="189"/>
        <v>86.160339229413566</v>
      </c>
      <c r="S369" s="1002">
        <f t="shared" si="189"/>
        <v>84.663026195691657</v>
      </c>
      <c r="T369" s="1002">
        <f t="shared" si="189"/>
        <v>83.183907777554666</v>
      </c>
      <c r="U369" s="1002">
        <f t="shared" si="189"/>
        <v>81.708893353662887</v>
      </c>
      <c r="V369" s="1002">
        <f t="shared" si="189"/>
        <v>80.258923572504528</v>
      </c>
      <c r="W369" s="1002">
        <f t="shared" si="189"/>
        <v>79.138229813853741</v>
      </c>
      <c r="X369" s="1002">
        <f t="shared" si="189"/>
        <v>78.352511678261394</v>
      </c>
      <c r="Y369" s="1002">
        <f t="shared" si="189"/>
        <v>77.574896314615245</v>
      </c>
      <c r="Z369" s="1002">
        <f t="shared" si="189"/>
        <v>76.818913350272112</v>
      </c>
      <c r="AA369" s="1002">
        <f t="shared" si="189"/>
        <v>76.065016401437632</v>
      </c>
      <c r="AB369" s="1002">
        <f t="shared" si="189"/>
        <v>75.325308553852608</v>
      </c>
      <c r="AC369" s="1002">
        <f t="shared" si="189"/>
        <v>74.592772679655411</v>
      </c>
      <c r="AD369" s="1002">
        <f t="shared" si="189"/>
        <v>73.886436712121366</v>
      </c>
      <c r="AE369" s="1002">
        <f t="shared" si="189"/>
        <v>73.186592891769067</v>
      </c>
      <c r="AF369" s="1002">
        <f t="shared" si="189"/>
        <v>72.499608161937786</v>
      </c>
      <c r="AG369" s="1002">
        <f t="shared" si="189"/>
        <v>71.156211221499419</v>
      </c>
      <c r="AH369" s="1002">
        <f t="shared" si="189"/>
        <v>70.50683863665347</v>
      </c>
      <c r="AI369" s="1002">
        <f t="shared" si="189"/>
        <v>69.862982339019538</v>
      </c>
      <c r="AJ369" s="1002">
        <f t="shared" si="189"/>
        <v>69.230913712885325</v>
      </c>
      <c r="AK369" s="1002">
        <f t="shared" si="189"/>
        <v>68.60398547732396</v>
      </c>
      <c r="AL369" s="1002"/>
      <c r="AM369" s="1002"/>
      <c r="AN369" s="1002"/>
      <c r="AO369" s="1002"/>
      <c r="AP369" s="1002"/>
      <c r="AQ369" s="1002"/>
      <c r="AR369" s="1002"/>
      <c r="AS369" s="1002"/>
      <c r="AT369" s="1002"/>
      <c r="AU369" s="1002"/>
      <c r="AV369" s="1002"/>
      <c r="AW369" s="1002"/>
      <c r="AX369" s="1002"/>
      <c r="AY369" s="1002"/>
      <c r="AZ369" s="1002"/>
      <c r="BA369" s="1002"/>
      <c r="BB369" s="1002"/>
      <c r="BC369" s="1002"/>
      <c r="BD369" s="1002"/>
      <c r="BE369" s="1002"/>
      <c r="BF369" s="1002"/>
      <c r="BG369" s="1002"/>
      <c r="BH369" s="1002"/>
      <c r="BI369" s="1002"/>
      <c r="BJ369" s="1002"/>
      <c r="BK369" s="1002"/>
      <c r="BL369" s="1002"/>
      <c r="BM369" s="1002"/>
      <c r="BN369" s="1002"/>
      <c r="BO369" s="1002"/>
      <c r="BP369" s="1002"/>
      <c r="BQ369" s="1002"/>
      <c r="BR369" s="1002"/>
      <c r="BS369" s="1002"/>
      <c r="BT369" s="1002"/>
      <c r="BU369" s="1002"/>
      <c r="BV369" s="1002"/>
      <c r="BW369" s="1002"/>
      <c r="BX369" s="1002"/>
      <c r="BY369" s="1002"/>
      <c r="BZ369" s="1002"/>
      <c r="CA369" s="1002"/>
      <c r="CB369" s="1002"/>
      <c r="CC369" s="1002"/>
      <c r="CD369" s="1002"/>
      <c r="CE369" s="1002"/>
      <c r="CF369" s="1002"/>
      <c r="CG369" s="1002"/>
      <c r="CH369" s="1002"/>
      <c r="CI369" s="1003"/>
    </row>
    <row r="370" spans="2:87" x14ac:dyDescent="0.2">
      <c r="B370" s="1300"/>
      <c r="C370" s="1301" t="s">
        <v>791</v>
      </c>
      <c r="D370" s="1301"/>
      <c r="E370" s="1301" t="s">
        <v>236</v>
      </c>
      <c r="F370" s="1301">
        <v>2</v>
      </c>
      <c r="G370" s="1002">
        <f t="shared" ref="G370:AK370" si="190">G43+G45-G55-G56</f>
        <v>0</v>
      </c>
      <c r="H370" s="1002">
        <f t="shared" si="190"/>
        <v>0</v>
      </c>
      <c r="I370" s="1002">
        <f t="shared" si="190"/>
        <v>50.392417519343113</v>
      </c>
      <c r="J370" s="1002">
        <f t="shared" si="190"/>
        <v>51.337541457845965</v>
      </c>
      <c r="K370" s="1002">
        <f t="shared" si="190"/>
        <v>53.84507517937535</v>
      </c>
      <c r="L370" s="1002">
        <f t="shared" si="190"/>
        <v>56.309954896085912</v>
      </c>
      <c r="M370" s="1002">
        <f t="shared" si="190"/>
        <v>60.801632222831827</v>
      </c>
      <c r="N370" s="1002">
        <f t="shared" si="190"/>
        <v>61.61105687062777</v>
      </c>
      <c r="O370" s="1002">
        <f t="shared" si="190"/>
        <v>60.796607605350218</v>
      </c>
      <c r="P370" s="1002">
        <f t="shared" si="190"/>
        <v>62.188300195624976</v>
      </c>
      <c r="Q370" s="1002">
        <f t="shared" si="190"/>
        <v>63.056391784099496</v>
      </c>
      <c r="R370" s="1002">
        <f t="shared" si="190"/>
        <v>63.512933337102297</v>
      </c>
      <c r="S370" s="1002">
        <f t="shared" si="190"/>
        <v>63.507517698488066</v>
      </c>
      <c r="T370" s="1002">
        <f t="shared" si="190"/>
        <v>63.846047212297783</v>
      </c>
      <c r="U370" s="1002">
        <f t="shared" si="190"/>
        <v>64.022560289131746</v>
      </c>
      <c r="V370" s="1002">
        <f t="shared" si="190"/>
        <v>63.880985138950869</v>
      </c>
      <c r="W370" s="1002">
        <f t="shared" si="190"/>
        <v>63.603216098845131</v>
      </c>
      <c r="X370" s="1002">
        <f t="shared" si="190"/>
        <v>62.987553881324317</v>
      </c>
      <c r="Y370" s="1002">
        <f t="shared" si="190"/>
        <v>62.415927261068859</v>
      </c>
      <c r="Z370" s="1002">
        <f t="shared" si="190"/>
        <v>61.88859394817397</v>
      </c>
      <c r="AA370" s="1002">
        <f t="shared" si="190"/>
        <v>61.875837264783968</v>
      </c>
      <c r="AB370" s="1002">
        <f t="shared" si="190"/>
        <v>61.863018006994352</v>
      </c>
      <c r="AC370" s="1002">
        <f t="shared" si="190"/>
        <v>61.848532839562061</v>
      </c>
      <c r="AD370" s="1002">
        <f t="shared" si="190"/>
        <v>61.833173140324753</v>
      </c>
      <c r="AE370" s="1002">
        <f t="shared" si="190"/>
        <v>61.818256568383354</v>
      </c>
      <c r="AF370" s="1002">
        <f t="shared" si="190"/>
        <v>61.805922277100343</v>
      </c>
      <c r="AG370" s="1002">
        <f t="shared" si="190"/>
        <v>61.795249089391319</v>
      </c>
      <c r="AH370" s="1002">
        <f t="shared" si="190"/>
        <v>61.78522712568661</v>
      </c>
      <c r="AI370" s="1002">
        <f t="shared" si="190"/>
        <v>61.77577099805417</v>
      </c>
      <c r="AJ370" s="1002">
        <f t="shared" si="190"/>
        <v>61.767231012632529</v>
      </c>
      <c r="AK370" s="1002">
        <f t="shared" si="190"/>
        <v>61.759029800543694</v>
      </c>
      <c r="AL370" s="1002"/>
      <c r="AM370" s="1002"/>
      <c r="AN370" s="1002"/>
      <c r="AO370" s="1002"/>
      <c r="AP370" s="1002"/>
      <c r="AQ370" s="1002"/>
      <c r="AR370" s="1002"/>
      <c r="AS370" s="1002"/>
      <c r="AT370" s="1002"/>
      <c r="AU370" s="1002"/>
      <c r="AV370" s="1002"/>
      <c r="AW370" s="1002"/>
      <c r="AX370" s="1002"/>
      <c r="AY370" s="1002"/>
      <c r="AZ370" s="1002"/>
      <c r="BA370" s="1002"/>
      <c r="BB370" s="1002"/>
      <c r="BC370" s="1002"/>
      <c r="BD370" s="1002"/>
      <c r="BE370" s="1002"/>
      <c r="BF370" s="1002"/>
      <c r="BG370" s="1002"/>
      <c r="BH370" s="1002"/>
      <c r="BI370" s="1002"/>
      <c r="BJ370" s="1002"/>
      <c r="BK370" s="1002"/>
      <c r="BL370" s="1002"/>
      <c r="BM370" s="1002"/>
      <c r="BN370" s="1002"/>
      <c r="BO370" s="1002"/>
      <c r="BP370" s="1002"/>
      <c r="BQ370" s="1002"/>
      <c r="BR370" s="1002"/>
      <c r="BS370" s="1002"/>
      <c r="BT370" s="1002"/>
      <c r="BU370" s="1002"/>
      <c r="BV370" s="1002"/>
      <c r="BW370" s="1002"/>
      <c r="BX370" s="1002"/>
      <c r="BY370" s="1002"/>
      <c r="BZ370" s="1002"/>
      <c r="CA370" s="1002"/>
      <c r="CB370" s="1002"/>
      <c r="CC370" s="1002"/>
      <c r="CD370" s="1002"/>
      <c r="CE370" s="1002"/>
      <c r="CF370" s="1002"/>
      <c r="CG370" s="1002"/>
      <c r="CH370" s="1002"/>
      <c r="CI370" s="1003"/>
    </row>
    <row r="371" spans="2:87" x14ac:dyDescent="0.2">
      <c r="B371" s="1300"/>
      <c r="C371" s="1301" t="s">
        <v>243</v>
      </c>
      <c r="D371" s="1301"/>
      <c r="E371" s="1301" t="s">
        <v>236</v>
      </c>
      <c r="F371" s="1301">
        <v>2</v>
      </c>
      <c r="G371" s="1002">
        <f t="shared" ref="G371:AK371" si="191">G61</f>
        <v>0</v>
      </c>
      <c r="H371" s="1002">
        <f t="shared" si="191"/>
        <v>0</v>
      </c>
      <c r="I371" s="1002">
        <f t="shared" si="191"/>
        <v>53.344869343162344</v>
      </c>
      <c r="J371" s="1002">
        <f t="shared" si="191"/>
        <v>52.857053199999996</v>
      </c>
      <c r="K371" s="1002">
        <f t="shared" si="191"/>
        <v>50.790017599999985</v>
      </c>
      <c r="L371" s="1002">
        <f t="shared" si="191"/>
        <v>48.722981999999995</v>
      </c>
      <c r="M371" s="1002">
        <f t="shared" si="191"/>
        <v>48.722982000000002</v>
      </c>
      <c r="N371" s="1002">
        <f t="shared" si="191"/>
        <v>48.722982000000002</v>
      </c>
      <c r="O371" s="1002">
        <f t="shared" si="191"/>
        <v>48.722982000000002</v>
      </c>
      <c r="P371" s="1002">
        <f t="shared" si="191"/>
        <v>48.722982000000002</v>
      </c>
      <c r="Q371" s="1002">
        <f t="shared" si="191"/>
        <v>48.722982000000002</v>
      </c>
      <c r="R371" s="1002">
        <f t="shared" si="191"/>
        <v>48.722982000000002</v>
      </c>
      <c r="S371" s="1002">
        <f t="shared" si="191"/>
        <v>48.722982000000002</v>
      </c>
      <c r="T371" s="1002">
        <f t="shared" si="191"/>
        <v>48.722982000000002</v>
      </c>
      <c r="U371" s="1002">
        <f t="shared" si="191"/>
        <v>48.722982000000002</v>
      </c>
      <c r="V371" s="1002">
        <f t="shared" si="191"/>
        <v>48.722981999999995</v>
      </c>
      <c r="W371" s="1002">
        <f t="shared" si="191"/>
        <v>48.722982000000002</v>
      </c>
      <c r="X371" s="1002">
        <f t="shared" si="191"/>
        <v>48.722982000000002</v>
      </c>
      <c r="Y371" s="1002">
        <f t="shared" si="191"/>
        <v>48.722982000000002</v>
      </c>
      <c r="Z371" s="1002">
        <f t="shared" si="191"/>
        <v>48.722981999999995</v>
      </c>
      <c r="AA371" s="1002">
        <f t="shared" si="191"/>
        <v>48.722982000000002</v>
      </c>
      <c r="AB371" s="1002">
        <f t="shared" si="191"/>
        <v>48.722982000000002</v>
      </c>
      <c r="AC371" s="1002">
        <f t="shared" si="191"/>
        <v>48.722982000000002</v>
      </c>
      <c r="AD371" s="1002">
        <f t="shared" si="191"/>
        <v>48.722982000000002</v>
      </c>
      <c r="AE371" s="1002">
        <f t="shared" si="191"/>
        <v>48.722982000000002</v>
      </c>
      <c r="AF371" s="1002">
        <f t="shared" si="191"/>
        <v>48.722982000000002</v>
      </c>
      <c r="AG371" s="1002">
        <f t="shared" si="191"/>
        <v>48.722982000000002</v>
      </c>
      <c r="AH371" s="1002">
        <f t="shared" si="191"/>
        <v>48.722982000000002</v>
      </c>
      <c r="AI371" s="1002">
        <f t="shared" si="191"/>
        <v>48.722982000000002</v>
      </c>
      <c r="AJ371" s="1002">
        <f t="shared" si="191"/>
        <v>48.722982000000002</v>
      </c>
      <c r="AK371" s="1002">
        <f t="shared" si="191"/>
        <v>48.722982000000002</v>
      </c>
      <c r="AL371" s="1002"/>
      <c r="AM371" s="1002"/>
      <c r="AN371" s="1002"/>
      <c r="AO371" s="1002"/>
      <c r="AP371" s="1002"/>
      <c r="AQ371" s="1002"/>
      <c r="AR371" s="1002"/>
      <c r="AS371" s="1002"/>
      <c r="AT371" s="1002"/>
      <c r="AU371" s="1002"/>
      <c r="AV371" s="1002"/>
      <c r="AW371" s="1002"/>
      <c r="AX371" s="1002"/>
      <c r="AY371" s="1002"/>
      <c r="AZ371" s="1002"/>
      <c r="BA371" s="1002"/>
      <c r="BB371" s="1002"/>
      <c r="BC371" s="1002"/>
      <c r="BD371" s="1002"/>
      <c r="BE371" s="1002"/>
      <c r="BF371" s="1002"/>
      <c r="BG371" s="1002"/>
      <c r="BH371" s="1002"/>
      <c r="BI371" s="1002"/>
      <c r="BJ371" s="1002"/>
      <c r="BK371" s="1002"/>
      <c r="BL371" s="1002"/>
      <c r="BM371" s="1002"/>
      <c r="BN371" s="1002"/>
      <c r="BO371" s="1002"/>
      <c r="BP371" s="1002"/>
      <c r="BQ371" s="1002"/>
      <c r="BR371" s="1002"/>
      <c r="BS371" s="1002"/>
      <c r="BT371" s="1002"/>
      <c r="BU371" s="1002"/>
      <c r="BV371" s="1002"/>
      <c r="BW371" s="1002"/>
      <c r="BX371" s="1002"/>
      <c r="BY371" s="1002"/>
      <c r="BZ371" s="1002"/>
      <c r="CA371" s="1002"/>
      <c r="CB371" s="1002"/>
      <c r="CC371" s="1002"/>
      <c r="CD371" s="1002"/>
      <c r="CE371" s="1002"/>
      <c r="CF371" s="1002"/>
      <c r="CG371" s="1002"/>
      <c r="CH371" s="1002"/>
      <c r="CI371" s="1003"/>
    </row>
    <row r="372" spans="2:87" x14ac:dyDescent="0.2">
      <c r="B372" s="1300"/>
      <c r="C372" s="1301" t="s">
        <v>792</v>
      </c>
      <c r="D372" s="1301"/>
      <c r="E372" s="1301" t="s">
        <v>236</v>
      </c>
      <c r="F372" s="1301">
        <v>2</v>
      </c>
      <c r="G372" s="1002">
        <f t="shared" ref="G372:AK372" si="192">G85-SUM(G368:G371)</f>
        <v>0</v>
      </c>
      <c r="H372" s="1002">
        <f t="shared" si="192"/>
        <v>0</v>
      </c>
      <c r="I372" s="1002">
        <f t="shared" si="192"/>
        <v>9.7979080421365552</v>
      </c>
      <c r="J372" s="1002">
        <f t="shared" si="192"/>
        <v>9.7984853079883578</v>
      </c>
      <c r="K372" s="1002">
        <f t="shared" si="192"/>
        <v>9.7911104284468138</v>
      </c>
      <c r="L372" s="1002">
        <f t="shared" si="192"/>
        <v>9.7829638246856234</v>
      </c>
      <c r="M372" s="1002">
        <f t="shared" si="192"/>
        <v>9.8103153561886529</v>
      </c>
      <c r="N372" s="1002">
        <f t="shared" si="192"/>
        <v>9.801637268851664</v>
      </c>
      <c r="O372" s="1002">
        <f t="shared" si="192"/>
        <v>9.7929251219247817</v>
      </c>
      <c r="P372" s="1002">
        <f t="shared" si="192"/>
        <v>9.7846731634431876</v>
      </c>
      <c r="Q372" s="1002">
        <f t="shared" si="192"/>
        <v>9.7782060136802897</v>
      </c>
      <c r="R372" s="1002">
        <f t="shared" si="192"/>
        <v>9.7726742215030526</v>
      </c>
      <c r="S372" s="1002">
        <f t="shared" si="192"/>
        <v>9.767728779018455</v>
      </c>
      <c r="T372" s="1002">
        <f t="shared" si="192"/>
        <v>9.7632384336922087</v>
      </c>
      <c r="U372" s="1002">
        <f t="shared" si="192"/>
        <v>9.7594110937794198</v>
      </c>
      <c r="V372" s="1002">
        <f t="shared" si="192"/>
        <v>9.7550737455943022</v>
      </c>
      <c r="W372" s="1002">
        <f t="shared" si="192"/>
        <v>9.7506681610083206</v>
      </c>
      <c r="X372" s="1002">
        <f t="shared" si="192"/>
        <v>9.7461311591981712</v>
      </c>
      <c r="Y372" s="1002">
        <f t="shared" si="192"/>
        <v>9.7414949645357183</v>
      </c>
      <c r="Z372" s="1002">
        <f t="shared" si="192"/>
        <v>9.7367687785053931</v>
      </c>
      <c r="AA372" s="1002">
        <f t="shared" si="192"/>
        <v>9.7319518151697366</v>
      </c>
      <c r="AB372" s="1002">
        <f t="shared" si="192"/>
        <v>9.7270469131145774</v>
      </c>
      <c r="AC372" s="1002">
        <f t="shared" si="192"/>
        <v>9.7220472113183973</v>
      </c>
      <c r="AD372" s="1002">
        <f t="shared" si="192"/>
        <v>9.7169545130967663</v>
      </c>
      <c r="AE372" s="1002">
        <f t="shared" si="192"/>
        <v>9.7117693436270542</v>
      </c>
      <c r="AF372" s="1002">
        <f t="shared" si="192"/>
        <v>9.7064910553669961</v>
      </c>
      <c r="AG372" s="1002">
        <f t="shared" si="192"/>
        <v>9.7011252905578544</v>
      </c>
      <c r="AH372" s="1002">
        <f t="shared" si="192"/>
        <v>9.6956704815695502</v>
      </c>
      <c r="AI372" s="1002">
        <f t="shared" si="192"/>
        <v>9.690127429133554</v>
      </c>
      <c r="AJ372" s="1002">
        <f t="shared" si="192"/>
        <v>9.6844971300188831</v>
      </c>
      <c r="AK372" s="1002">
        <f t="shared" si="192"/>
        <v>9.678781228535513</v>
      </c>
      <c r="AL372" s="1002"/>
      <c r="AM372" s="1002"/>
      <c r="AN372" s="1002"/>
      <c r="AO372" s="1002"/>
      <c r="AP372" s="1002"/>
      <c r="AQ372" s="1002"/>
      <c r="AR372" s="1002"/>
      <c r="AS372" s="1002"/>
      <c r="AT372" s="1002"/>
      <c r="AU372" s="1002"/>
      <c r="AV372" s="1002"/>
      <c r="AW372" s="1002"/>
      <c r="AX372" s="1002"/>
      <c r="AY372" s="1002"/>
      <c r="AZ372" s="1002"/>
      <c r="BA372" s="1002"/>
      <c r="BB372" s="1002"/>
      <c r="BC372" s="1002"/>
      <c r="BD372" s="1002"/>
      <c r="BE372" s="1002"/>
      <c r="BF372" s="1002"/>
      <c r="BG372" s="1002"/>
      <c r="BH372" s="1002"/>
      <c r="BI372" s="1002"/>
      <c r="BJ372" s="1002"/>
      <c r="BK372" s="1002"/>
      <c r="BL372" s="1002"/>
      <c r="BM372" s="1002"/>
      <c r="BN372" s="1002"/>
      <c r="BO372" s="1002"/>
      <c r="BP372" s="1002"/>
      <c r="BQ372" s="1002"/>
      <c r="BR372" s="1002"/>
      <c r="BS372" s="1002"/>
      <c r="BT372" s="1002"/>
      <c r="BU372" s="1002"/>
      <c r="BV372" s="1002"/>
      <c r="BW372" s="1002"/>
      <c r="BX372" s="1002"/>
      <c r="BY372" s="1002"/>
      <c r="BZ372" s="1002"/>
      <c r="CA372" s="1002"/>
      <c r="CB372" s="1002"/>
      <c r="CC372" s="1002"/>
      <c r="CD372" s="1002"/>
      <c r="CE372" s="1002"/>
      <c r="CF372" s="1002"/>
      <c r="CG372" s="1002"/>
      <c r="CH372" s="1002"/>
      <c r="CI372" s="1003"/>
    </row>
    <row r="373" spans="2:87" x14ac:dyDescent="0.2">
      <c r="B373" s="1300"/>
      <c r="C373" s="1301" t="s">
        <v>793</v>
      </c>
      <c r="D373" s="1301"/>
      <c r="E373" s="1301" t="s">
        <v>236</v>
      </c>
      <c r="F373" s="1301">
        <v>2</v>
      </c>
      <c r="G373" s="1002" t="e">
        <f t="shared" ref="G373:AK373" si="193">G42</f>
        <v>#REF!</v>
      </c>
      <c r="H373" s="1002">
        <f t="shared" si="193"/>
        <v>0</v>
      </c>
      <c r="I373" s="1002">
        <f t="shared" si="193"/>
        <v>384.57822051013699</v>
      </c>
      <c r="J373" s="1002">
        <f t="shared" si="193"/>
        <v>384.02325237013696</v>
      </c>
      <c r="K373" s="1002">
        <f t="shared" si="193"/>
        <v>383.46509222013697</v>
      </c>
      <c r="L373" s="1002">
        <f t="shared" si="193"/>
        <v>382.56580771469351</v>
      </c>
      <c r="M373" s="1002">
        <f t="shared" si="193"/>
        <v>381.66534502242757</v>
      </c>
      <c r="N373" s="1002">
        <f t="shared" si="193"/>
        <v>380.77772247217126</v>
      </c>
      <c r="O373" s="1002">
        <f t="shared" si="193"/>
        <v>378.3769726794381</v>
      </c>
      <c r="P373" s="1002">
        <f t="shared" si="193"/>
        <v>377.47269042426336</v>
      </c>
      <c r="Q373" s="1002">
        <f t="shared" si="193"/>
        <v>376.56702886397187</v>
      </c>
      <c r="R373" s="1002">
        <f t="shared" si="193"/>
        <v>370.65911640197476</v>
      </c>
      <c r="S373" s="1002">
        <f t="shared" si="193"/>
        <v>369.74714900509446</v>
      </c>
      <c r="T373" s="1002">
        <f t="shared" si="193"/>
        <v>368.8346665655389</v>
      </c>
      <c r="U373" s="1002">
        <f t="shared" si="193"/>
        <v>367.91776818280579</v>
      </c>
      <c r="V373" s="1002">
        <f t="shared" si="193"/>
        <v>368.82893518280582</v>
      </c>
      <c r="W373" s="1002">
        <f t="shared" si="193"/>
        <v>388.23996569427777</v>
      </c>
      <c r="X373" s="1002">
        <f t="shared" si="193"/>
        <v>387.64625540427778</v>
      </c>
      <c r="Y373" s="1002">
        <f t="shared" si="193"/>
        <v>387.05017182427775</v>
      </c>
      <c r="Z373" s="1002">
        <f t="shared" si="193"/>
        <v>386.45175626427778</v>
      </c>
      <c r="AA373" s="1002">
        <f t="shared" si="193"/>
        <v>385.85104849427779</v>
      </c>
      <c r="AB373" s="1002">
        <f t="shared" si="193"/>
        <v>383.25041130574982</v>
      </c>
      <c r="AC373" s="1002">
        <f t="shared" si="193"/>
        <v>382.6452325157498</v>
      </c>
      <c r="AD373" s="1002">
        <f t="shared" si="193"/>
        <v>382.03787221574981</v>
      </c>
      <c r="AE373" s="1002">
        <f t="shared" si="193"/>
        <v>381.42836472574982</v>
      </c>
      <c r="AF373" s="1002">
        <f t="shared" si="193"/>
        <v>380.81674318574983</v>
      </c>
      <c r="AG373" s="1002">
        <f t="shared" si="193"/>
        <v>380.2030396257498</v>
      </c>
      <c r="AH373" s="1002">
        <f t="shared" si="193"/>
        <v>379.58728500574983</v>
      </c>
      <c r="AI373" s="1002">
        <f t="shared" si="193"/>
        <v>378.97183382722181</v>
      </c>
      <c r="AJ373" s="1002">
        <f t="shared" si="193"/>
        <v>378.35206599722181</v>
      </c>
      <c r="AK373" s="1002">
        <f t="shared" si="193"/>
        <v>377.73033416722177</v>
      </c>
      <c r="AL373" s="1002"/>
      <c r="AM373" s="1002"/>
      <c r="AN373" s="1002"/>
      <c r="AO373" s="1002"/>
      <c r="AP373" s="1002"/>
      <c r="AQ373" s="1002"/>
      <c r="AR373" s="1002"/>
      <c r="AS373" s="1002"/>
      <c r="AT373" s="1002"/>
      <c r="AU373" s="1002"/>
      <c r="AV373" s="1002"/>
      <c r="AW373" s="1002"/>
      <c r="AX373" s="1002"/>
      <c r="AY373" s="1002"/>
      <c r="AZ373" s="1002"/>
      <c r="BA373" s="1002"/>
      <c r="BB373" s="1002"/>
      <c r="BC373" s="1002"/>
      <c r="BD373" s="1002"/>
      <c r="BE373" s="1002"/>
      <c r="BF373" s="1002"/>
      <c r="BG373" s="1002"/>
      <c r="BH373" s="1002"/>
      <c r="BI373" s="1002"/>
      <c r="BJ373" s="1002"/>
      <c r="BK373" s="1002"/>
      <c r="BL373" s="1002"/>
      <c r="BM373" s="1002"/>
      <c r="BN373" s="1002"/>
      <c r="BO373" s="1002"/>
      <c r="BP373" s="1002"/>
      <c r="BQ373" s="1002"/>
      <c r="BR373" s="1002"/>
      <c r="BS373" s="1002"/>
      <c r="BT373" s="1002"/>
      <c r="BU373" s="1002"/>
      <c r="BV373" s="1002"/>
      <c r="BW373" s="1002"/>
      <c r="BX373" s="1002"/>
      <c r="BY373" s="1002"/>
      <c r="BZ373" s="1002"/>
      <c r="CA373" s="1002"/>
      <c r="CB373" s="1002"/>
      <c r="CC373" s="1002"/>
      <c r="CD373" s="1002"/>
      <c r="CE373" s="1002"/>
      <c r="CF373" s="1002"/>
      <c r="CG373" s="1002"/>
      <c r="CH373" s="1002"/>
      <c r="CI373" s="1003"/>
    </row>
    <row r="374" spans="2:87" x14ac:dyDescent="0.2">
      <c r="B374" s="1300"/>
      <c r="C374" s="1301" t="s">
        <v>794</v>
      </c>
      <c r="D374" s="1301"/>
      <c r="E374" s="1301" t="s">
        <v>236</v>
      </c>
      <c r="F374" s="1301">
        <v>2</v>
      </c>
      <c r="G374" s="1002">
        <f t="shared" ref="G374:AK374" si="194">SUM(G368:G372)+G88</f>
        <v>0</v>
      </c>
      <c r="H374" s="1002">
        <f t="shared" si="194"/>
        <v>0</v>
      </c>
      <c r="I374" s="1002">
        <f t="shared" si="194"/>
        <v>413.84239029992216</v>
      </c>
      <c r="J374" s="1002">
        <f t="shared" si="194"/>
        <v>409.6202157262112</v>
      </c>
      <c r="K374" s="1002">
        <f t="shared" si="194"/>
        <v>408.58097991476939</v>
      </c>
      <c r="L374" s="1002">
        <f t="shared" si="194"/>
        <v>406.18553553947652</v>
      </c>
      <c r="M374" s="1002">
        <f t="shared" si="194"/>
        <v>409.71953318859477</v>
      </c>
      <c r="N374" s="1002">
        <f t="shared" si="194"/>
        <v>409.74610541379252</v>
      </c>
      <c r="O374" s="1002">
        <f t="shared" si="194"/>
        <v>409.93841237771096</v>
      </c>
      <c r="P374" s="1002">
        <f t="shared" si="194"/>
        <v>412.56765118283761</v>
      </c>
      <c r="Q374" s="1002">
        <f t="shared" si="194"/>
        <v>414.00535012595401</v>
      </c>
      <c r="R374" s="1002">
        <f t="shared" si="194"/>
        <v>414.1876033937321</v>
      </c>
      <c r="S374" s="1002">
        <f t="shared" si="194"/>
        <v>414.23996484573394</v>
      </c>
      <c r="T374" s="1002">
        <f t="shared" si="194"/>
        <v>414.47515021192368</v>
      </c>
      <c r="U374" s="1002">
        <f t="shared" si="194"/>
        <v>414.85807798126939</v>
      </c>
      <c r="V374" s="1002">
        <f t="shared" si="194"/>
        <v>414.62996713989935</v>
      </c>
      <c r="W374" s="1002">
        <f t="shared" si="194"/>
        <v>414.72818801978173</v>
      </c>
      <c r="X374" s="1002">
        <f t="shared" si="194"/>
        <v>414.6991281221176</v>
      </c>
      <c r="Y374" s="1002">
        <f t="shared" si="194"/>
        <v>414.94378506440438</v>
      </c>
      <c r="Z374" s="1002">
        <f t="shared" si="194"/>
        <v>415.20363476956425</v>
      </c>
      <c r="AA374" s="1002">
        <f t="shared" si="194"/>
        <v>416.20160142535082</v>
      </c>
      <c r="AB374" s="1002">
        <f t="shared" si="194"/>
        <v>415.98985587357282</v>
      </c>
      <c r="AC374" s="1002">
        <f t="shared" si="194"/>
        <v>415.47446800491417</v>
      </c>
      <c r="AD374" s="1002">
        <f t="shared" si="194"/>
        <v>416.76036036137265</v>
      </c>
      <c r="AE374" s="1002">
        <f t="shared" si="194"/>
        <v>418.16260268628429</v>
      </c>
      <c r="AF374" s="1002">
        <f t="shared" si="194"/>
        <v>419.55730656354268</v>
      </c>
      <c r="AG374" s="1002">
        <f t="shared" si="194"/>
        <v>420.88082238994258</v>
      </c>
      <c r="AH374" s="1002">
        <f t="shared" si="194"/>
        <v>420.84508001810588</v>
      </c>
      <c r="AI374" s="1002">
        <f t="shared" si="194"/>
        <v>419.48980695624732</v>
      </c>
      <c r="AJ374" s="1002">
        <f t="shared" si="194"/>
        <v>420.62380485266272</v>
      </c>
      <c r="AK374" s="1002">
        <f t="shared" si="194"/>
        <v>420.90147791266725</v>
      </c>
      <c r="AL374" s="1002"/>
      <c r="AM374" s="1002"/>
      <c r="AN374" s="1002"/>
      <c r="AO374" s="1002"/>
      <c r="AP374" s="1002"/>
      <c r="AQ374" s="1002"/>
      <c r="AR374" s="1002"/>
      <c r="AS374" s="1002"/>
      <c r="AT374" s="1002"/>
      <c r="AU374" s="1002"/>
      <c r="AV374" s="1002"/>
      <c r="AW374" s="1002"/>
      <c r="AX374" s="1002"/>
      <c r="AY374" s="1002"/>
      <c r="AZ374" s="1002"/>
      <c r="BA374" s="1002"/>
      <c r="BB374" s="1002"/>
      <c r="BC374" s="1002"/>
      <c r="BD374" s="1002"/>
      <c r="BE374" s="1002"/>
      <c r="BF374" s="1002"/>
      <c r="BG374" s="1002"/>
      <c r="BH374" s="1002"/>
      <c r="BI374" s="1002"/>
      <c r="BJ374" s="1002"/>
      <c r="BK374" s="1002"/>
      <c r="BL374" s="1002"/>
      <c r="BM374" s="1002"/>
      <c r="BN374" s="1002"/>
      <c r="BO374" s="1002"/>
      <c r="BP374" s="1002"/>
      <c r="BQ374" s="1002"/>
      <c r="BR374" s="1002"/>
      <c r="BS374" s="1002"/>
      <c r="BT374" s="1002"/>
      <c r="BU374" s="1002"/>
      <c r="BV374" s="1002"/>
      <c r="BW374" s="1002"/>
      <c r="BX374" s="1002"/>
      <c r="BY374" s="1002"/>
      <c r="BZ374" s="1002"/>
      <c r="CA374" s="1002"/>
      <c r="CB374" s="1002"/>
      <c r="CC374" s="1002"/>
      <c r="CD374" s="1002"/>
      <c r="CE374" s="1002"/>
      <c r="CF374" s="1002"/>
      <c r="CG374" s="1002"/>
      <c r="CH374" s="1002"/>
      <c r="CI374" s="1003"/>
    </row>
    <row r="375" spans="2:87" x14ac:dyDescent="0.2">
      <c r="B375" s="1300"/>
      <c r="C375" s="1301"/>
      <c r="D375" s="1301"/>
      <c r="E375" s="1301"/>
      <c r="F375" s="1301"/>
      <c r="G375" s="1301"/>
      <c r="H375" s="1301"/>
      <c r="I375" s="1301"/>
      <c r="J375" s="1301"/>
      <c r="K375" s="1301"/>
      <c r="L375" s="1301"/>
      <c r="M375" s="1301"/>
      <c r="N375" s="1301"/>
      <c r="O375" s="1301"/>
      <c r="P375" s="1301"/>
      <c r="Q375" s="1301"/>
      <c r="R375" s="1301"/>
      <c r="S375" s="1301"/>
      <c r="T375" s="1301"/>
      <c r="U375" s="1301"/>
      <c r="V375" s="1301"/>
      <c r="W375" s="1301"/>
      <c r="X375" s="1301"/>
      <c r="Y375" s="1301"/>
      <c r="Z375" s="1301"/>
      <c r="AA375" s="1301"/>
      <c r="AB375" s="1301"/>
      <c r="AC375" s="1301"/>
      <c r="AD375" s="1301"/>
      <c r="AE375" s="1301"/>
      <c r="AF375" s="1301"/>
      <c r="AG375" s="1301"/>
      <c r="AH375" s="1301"/>
      <c r="AI375" s="1301"/>
      <c r="AJ375" s="1301"/>
      <c r="AK375" s="1301"/>
      <c r="AL375" s="1301"/>
      <c r="AM375" s="1301"/>
      <c r="AN375" s="1301"/>
      <c r="AO375" s="1301"/>
      <c r="AP375" s="1301"/>
      <c r="AQ375" s="1301"/>
      <c r="AR375" s="1301"/>
      <c r="AS375" s="1301"/>
      <c r="AT375" s="1301"/>
      <c r="AU375" s="1301"/>
      <c r="AV375" s="1301"/>
      <c r="AW375" s="1301"/>
      <c r="AX375" s="1301"/>
      <c r="AY375" s="1301"/>
      <c r="AZ375" s="1301"/>
      <c r="BA375" s="1301"/>
      <c r="BB375" s="1301"/>
      <c r="BC375" s="1301"/>
      <c r="BD375" s="1301"/>
      <c r="BE375" s="1301"/>
      <c r="BF375" s="1301"/>
      <c r="BG375" s="1301"/>
      <c r="BH375" s="1301"/>
      <c r="BI375" s="1301"/>
      <c r="BJ375" s="1301"/>
      <c r="BK375" s="1301"/>
      <c r="BL375" s="1301"/>
      <c r="BM375" s="1301"/>
      <c r="BN375" s="1301"/>
      <c r="BO375" s="1301"/>
      <c r="BP375" s="1301"/>
      <c r="BQ375" s="1301"/>
      <c r="BR375" s="1301"/>
      <c r="BS375" s="1301"/>
      <c r="BT375" s="1301"/>
      <c r="BU375" s="1301"/>
      <c r="BV375" s="1301"/>
      <c r="BW375" s="1301"/>
      <c r="BX375" s="1301"/>
      <c r="BY375" s="1301"/>
      <c r="BZ375" s="1301"/>
      <c r="CA375" s="1301"/>
      <c r="CB375" s="1301"/>
      <c r="CC375" s="1301"/>
      <c r="CD375" s="1301"/>
      <c r="CE375" s="1301"/>
      <c r="CF375" s="1301"/>
      <c r="CG375" s="1301"/>
      <c r="CH375" s="1301"/>
      <c r="CI375" s="1302"/>
    </row>
    <row r="376" spans="2:87" ht="28.5" x14ac:dyDescent="0.2">
      <c r="B376" s="1300" t="s">
        <v>795</v>
      </c>
      <c r="C376" s="1301"/>
      <c r="D376" s="1301"/>
      <c r="E376" s="1301"/>
      <c r="F376" s="1301"/>
      <c r="G376" s="1000" t="s">
        <v>208</v>
      </c>
      <c r="H376" s="1000" t="s">
        <v>209</v>
      </c>
      <c r="I376" s="1000" t="s">
        <v>210</v>
      </c>
      <c r="J376" s="1000" t="s">
        <v>211</v>
      </c>
      <c r="K376" s="1000" t="s">
        <v>212</v>
      </c>
      <c r="L376" s="1000" t="s">
        <v>213</v>
      </c>
      <c r="M376" s="1000" t="s">
        <v>214</v>
      </c>
      <c r="N376" s="1000" t="s">
        <v>215</v>
      </c>
      <c r="O376" s="1000" t="s">
        <v>216</v>
      </c>
      <c r="P376" s="1000" t="s">
        <v>217</v>
      </c>
      <c r="Q376" s="1000" t="s">
        <v>218</v>
      </c>
      <c r="R376" s="1000" t="s">
        <v>247</v>
      </c>
      <c r="S376" s="1000" t="s">
        <v>248</v>
      </c>
      <c r="T376" s="1000" t="s">
        <v>249</v>
      </c>
      <c r="U376" s="1000" t="s">
        <v>250</v>
      </c>
      <c r="V376" s="1000" t="s">
        <v>219</v>
      </c>
      <c r="W376" s="1000" t="s">
        <v>251</v>
      </c>
      <c r="X376" s="1000" t="s">
        <v>252</v>
      </c>
      <c r="Y376" s="1000" t="s">
        <v>253</v>
      </c>
      <c r="Z376" s="1000" t="s">
        <v>254</v>
      </c>
      <c r="AA376" s="1000" t="s">
        <v>220</v>
      </c>
      <c r="AB376" s="1000" t="s">
        <v>255</v>
      </c>
      <c r="AC376" s="1000" t="s">
        <v>256</v>
      </c>
      <c r="AD376" s="1000" t="s">
        <v>257</v>
      </c>
      <c r="AE376" s="1000" t="s">
        <v>258</v>
      </c>
      <c r="AF376" s="1000" t="s">
        <v>221</v>
      </c>
      <c r="AG376" s="1000" t="s">
        <v>259</v>
      </c>
      <c r="AH376" s="1000" t="s">
        <v>260</v>
      </c>
      <c r="AI376" s="1000" t="s">
        <v>261</v>
      </c>
      <c r="AJ376" s="1000" t="s">
        <v>262</v>
      </c>
      <c r="AK376" s="1000" t="s">
        <v>222</v>
      </c>
      <c r="AL376" s="1000"/>
      <c r="AM376" s="1000"/>
      <c r="AN376" s="1000"/>
      <c r="AO376" s="1000"/>
      <c r="AP376" s="1000"/>
      <c r="AQ376" s="1000"/>
      <c r="AR376" s="1000"/>
      <c r="AS376" s="1000"/>
      <c r="AT376" s="1000"/>
      <c r="AU376" s="1000"/>
      <c r="AV376" s="1000"/>
      <c r="AW376" s="1000"/>
      <c r="AX376" s="1000"/>
      <c r="AY376" s="1000"/>
      <c r="AZ376" s="1000"/>
      <c r="BA376" s="1000"/>
      <c r="BB376" s="1000"/>
      <c r="BC376" s="1000"/>
      <c r="BD376" s="1000"/>
      <c r="BE376" s="1000"/>
      <c r="BF376" s="1000"/>
      <c r="BG376" s="1000"/>
      <c r="BH376" s="1000"/>
      <c r="BI376" s="1000"/>
      <c r="BJ376" s="1000"/>
      <c r="BK376" s="1000"/>
      <c r="BL376" s="1000"/>
      <c r="BM376" s="1000"/>
      <c r="BN376" s="1000"/>
      <c r="BO376" s="1000"/>
      <c r="BP376" s="1000"/>
      <c r="BQ376" s="1000"/>
      <c r="BR376" s="1000"/>
      <c r="BS376" s="1000"/>
      <c r="BT376" s="1000"/>
      <c r="BU376" s="1000"/>
      <c r="BV376" s="1000"/>
      <c r="BW376" s="1000"/>
      <c r="BX376" s="1000"/>
      <c r="BY376" s="1000"/>
      <c r="BZ376" s="1000"/>
      <c r="CA376" s="1000"/>
      <c r="CB376" s="1000"/>
      <c r="CC376" s="1000"/>
      <c r="CD376" s="1000"/>
      <c r="CE376" s="1000"/>
      <c r="CF376" s="1000"/>
      <c r="CG376" s="1000"/>
      <c r="CH376" s="1000"/>
      <c r="CI376" s="1001"/>
    </row>
    <row r="377" spans="2:87" x14ac:dyDescent="0.2">
      <c r="B377" s="1300"/>
      <c r="C377" s="1301" t="s">
        <v>789</v>
      </c>
      <c r="D377" s="1301"/>
      <c r="E377" s="1301" t="s">
        <v>236</v>
      </c>
      <c r="F377" s="1301">
        <v>2</v>
      </c>
      <c r="G377" s="1002">
        <f t="shared" ref="G377:AK378" si="195">G136-G147</f>
        <v>0</v>
      </c>
      <c r="H377" s="1002">
        <f t="shared" si="195"/>
        <v>0</v>
      </c>
      <c r="I377" s="1002">
        <f t="shared" si="195"/>
        <v>150.99392196286217</v>
      </c>
      <c r="J377" s="1002">
        <f t="shared" si="195"/>
        <v>151.76561733431393</v>
      </c>
      <c r="K377" s="1002">
        <f t="shared" si="195"/>
        <v>155.50519630099194</v>
      </c>
      <c r="L377" s="1002">
        <f t="shared" si="195"/>
        <v>159.46790818240859</v>
      </c>
      <c r="M377" s="1002">
        <f t="shared" si="195"/>
        <v>175.39650356079326</v>
      </c>
      <c r="N377" s="1002">
        <f t="shared" si="195"/>
        <v>199.21348076695881</v>
      </c>
      <c r="O377" s="1002">
        <f t="shared" si="195"/>
        <v>212.68047229550575</v>
      </c>
      <c r="P377" s="1002">
        <f t="shared" si="195"/>
        <v>219.77422310440144</v>
      </c>
      <c r="Q377" s="1002">
        <f t="shared" si="195"/>
        <v>226.77601270898663</v>
      </c>
      <c r="R377" s="1002">
        <f t="shared" si="195"/>
        <v>232.25858449924289</v>
      </c>
      <c r="S377" s="1002">
        <f t="shared" si="195"/>
        <v>236.91715584919618</v>
      </c>
      <c r="T377" s="1002">
        <f t="shared" si="195"/>
        <v>241.01284508193524</v>
      </c>
      <c r="U377" s="1002">
        <f t="shared" si="195"/>
        <v>244.45059997662074</v>
      </c>
      <c r="V377" s="1002">
        <f t="shared" si="195"/>
        <v>247.78235454874135</v>
      </c>
      <c r="W377" s="1002">
        <f t="shared" si="195"/>
        <v>249.23380704383078</v>
      </c>
      <c r="X377" s="1002">
        <f t="shared" si="195"/>
        <v>247.60894063361837</v>
      </c>
      <c r="Y377" s="1002">
        <f t="shared" si="195"/>
        <v>246.00594350161711</v>
      </c>
      <c r="Z377" s="1002">
        <f t="shared" si="195"/>
        <v>244.53677906814863</v>
      </c>
      <c r="AA377" s="1002">
        <f t="shared" si="195"/>
        <v>243.12338313620282</v>
      </c>
      <c r="AB377" s="1002">
        <f t="shared" si="195"/>
        <v>238.66859360419383</v>
      </c>
      <c r="AC377" s="1002">
        <f t="shared" si="195"/>
        <v>237.36871306447995</v>
      </c>
      <c r="AD377" s="1002">
        <f t="shared" si="195"/>
        <v>236.17926992863221</v>
      </c>
      <c r="AE377" s="1002">
        <f t="shared" si="195"/>
        <v>235.83468873501457</v>
      </c>
      <c r="AF377" s="1002">
        <f t="shared" si="195"/>
        <v>235.5737129671985</v>
      </c>
      <c r="AG377" s="1002">
        <f t="shared" si="195"/>
        <v>236.8077451353571</v>
      </c>
      <c r="AH377" s="1002">
        <f t="shared" si="195"/>
        <v>233.87362714147056</v>
      </c>
      <c r="AI377" s="1002">
        <f t="shared" si="195"/>
        <v>235.22804971190442</v>
      </c>
      <c r="AJ377" s="1002">
        <f t="shared" si="195"/>
        <v>234.48933481643598</v>
      </c>
      <c r="AK377" s="1002">
        <f t="shared" si="195"/>
        <v>235.91227758761391</v>
      </c>
      <c r="AL377" s="1002"/>
      <c r="AM377" s="1002"/>
      <c r="AN377" s="1002"/>
      <c r="AO377" s="1002"/>
      <c r="AP377" s="1002"/>
      <c r="AQ377" s="1002"/>
      <c r="AR377" s="1002"/>
      <c r="AS377" s="1002"/>
      <c r="AT377" s="1002"/>
      <c r="AU377" s="1002"/>
      <c r="AV377" s="1002"/>
      <c r="AW377" s="1002"/>
      <c r="AX377" s="1002"/>
      <c r="AY377" s="1002"/>
      <c r="AZ377" s="1002"/>
      <c r="BA377" s="1002"/>
      <c r="BB377" s="1002"/>
      <c r="BC377" s="1002"/>
      <c r="BD377" s="1002"/>
      <c r="BE377" s="1002"/>
      <c r="BF377" s="1002"/>
      <c r="BG377" s="1002"/>
      <c r="BH377" s="1002"/>
      <c r="BI377" s="1002"/>
      <c r="BJ377" s="1002"/>
      <c r="BK377" s="1002"/>
      <c r="BL377" s="1002"/>
      <c r="BM377" s="1002"/>
      <c r="BN377" s="1002"/>
      <c r="BO377" s="1002"/>
      <c r="BP377" s="1002"/>
      <c r="BQ377" s="1002"/>
      <c r="BR377" s="1002"/>
      <c r="BS377" s="1002"/>
      <c r="BT377" s="1002"/>
      <c r="BU377" s="1002"/>
      <c r="BV377" s="1002"/>
      <c r="BW377" s="1002"/>
      <c r="BX377" s="1002"/>
      <c r="BY377" s="1002"/>
      <c r="BZ377" s="1002"/>
      <c r="CA377" s="1002"/>
      <c r="CB377" s="1002"/>
      <c r="CC377" s="1002"/>
      <c r="CD377" s="1002"/>
      <c r="CE377" s="1002"/>
      <c r="CF377" s="1002"/>
      <c r="CG377" s="1002"/>
      <c r="CH377" s="1002"/>
      <c r="CI377" s="1003"/>
    </row>
    <row r="378" spans="2:87" x14ac:dyDescent="0.2">
      <c r="B378" s="1300"/>
      <c r="C378" s="1301" t="s">
        <v>790</v>
      </c>
      <c r="D378" s="1301"/>
      <c r="E378" s="1301" t="s">
        <v>236</v>
      </c>
      <c r="F378" s="1301">
        <v>2</v>
      </c>
      <c r="G378" s="1002">
        <f t="shared" si="195"/>
        <v>0</v>
      </c>
      <c r="H378" s="1002">
        <f t="shared" si="195"/>
        <v>0</v>
      </c>
      <c r="I378" s="1002">
        <f t="shared" si="195"/>
        <v>142.45469610495948</v>
      </c>
      <c r="J378" s="1002">
        <f t="shared" si="195"/>
        <v>136.88205916394443</v>
      </c>
      <c r="K378" s="1002">
        <f t="shared" si="195"/>
        <v>131.3845093671724</v>
      </c>
      <c r="L378" s="1002">
        <f t="shared" si="195"/>
        <v>124.41885192108404</v>
      </c>
      <c r="M378" s="1002">
        <f t="shared" si="195"/>
        <v>105.01879629670337</v>
      </c>
      <c r="N378" s="1002">
        <f t="shared" si="195"/>
        <v>79.155389055102134</v>
      </c>
      <c r="O378" s="1002">
        <f t="shared" si="195"/>
        <v>64.37788909991086</v>
      </c>
      <c r="P378" s="1002">
        <f t="shared" si="195"/>
        <v>55.51636852332463</v>
      </c>
      <c r="Q378" s="1002">
        <f t="shared" si="195"/>
        <v>46.135119272367426</v>
      </c>
      <c r="R378" s="1002">
        <f t="shared" si="195"/>
        <v>37.803736458518777</v>
      </c>
      <c r="S378" s="1002">
        <f t="shared" si="195"/>
        <v>30.529732243520829</v>
      </c>
      <c r="T378" s="1002">
        <f t="shared" si="195"/>
        <v>23.436200293606824</v>
      </c>
      <c r="U378" s="1002">
        <f t="shared" si="195"/>
        <v>16.464490946557579</v>
      </c>
      <c r="V378" s="1002">
        <f t="shared" si="195"/>
        <v>9.6680742220213496</v>
      </c>
      <c r="W378" s="1002">
        <f t="shared" si="195"/>
        <v>6.2440995916912705</v>
      </c>
      <c r="X378" s="1002">
        <f t="shared" si="195"/>
        <v>6.1310653361501037</v>
      </c>
      <c r="Y378" s="1002">
        <f t="shared" si="195"/>
        <v>6.0192669841088211</v>
      </c>
      <c r="Z378" s="1002">
        <f t="shared" si="195"/>
        <v>5.909868815105968</v>
      </c>
      <c r="AA378" s="1002">
        <f t="shared" si="195"/>
        <v>5.801118515611777</v>
      </c>
      <c r="AB378" s="1002">
        <f t="shared" si="195"/>
        <v>5.6952467424708111</v>
      </c>
      <c r="AC378" s="1002">
        <f t="shared" si="195"/>
        <v>5.5904499762128683</v>
      </c>
      <c r="AD378" s="1002">
        <f t="shared" si="195"/>
        <v>5.4884067269485568</v>
      </c>
      <c r="AE378" s="1002">
        <f t="shared" si="195"/>
        <v>5.4064181527347293</v>
      </c>
      <c r="AF378" s="1002">
        <f t="shared" si="195"/>
        <v>5.3256449570801632</v>
      </c>
      <c r="AG378" s="1002">
        <f t="shared" si="195"/>
        <v>5.2324368670637185</v>
      </c>
      <c r="AH378" s="1002">
        <f t="shared" si="195"/>
        <v>5.1901359864700591</v>
      </c>
      <c r="AI378" s="1002">
        <f t="shared" si="195"/>
        <v>5.1478308611754766</v>
      </c>
      <c r="AJ378" s="1002">
        <f t="shared" si="195"/>
        <v>5.1061029260770292</v>
      </c>
      <c r="AK378" s="1002">
        <f t="shared" si="195"/>
        <v>5.0643504683512219</v>
      </c>
      <c r="AL378" s="1002"/>
      <c r="AM378" s="1002"/>
      <c r="AN378" s="1002"/>
      <c r="AO378" s="1002"/>
      <c r="AP378" s="1002"/>
      <c r="AQ378" s="1002"/>
      <c r="AR378" s="1002"/>
      <c r="AS378" s="1002"/>
      <c r="AT378" s="1002"/>
      <c r="AU378" s="1002"/>
      <c r="AV378" s="1002"/>
      <c r="AW378" s="1002"/>
      <c r="AX378" s="1002"/>
      <c r="AY378" s="1002"/>
      <c r="AZ378" s="1002"/>
      <c r="BA378" s="1002"/>
      <c r="BB378" s="1002"/>
      <c r="BC378" s="1002"/>
      <c r="BD378" s="1002"/>
      <c r="BE378" s="1002"/>
      <c r="BF378" s="1002"/>
      <c r="BG378" s="1002"/>
      <c r="BH378" s="1002"/>
      <c r="BI378" s="1002"/>
      <c r="BJ378" s="1002"/>
      <c r="BK378" s="1002"/>
      <c r="BL378" s="1002"/>
      <c r="BM378" s="1002"/>
      <c r="BN378" s="1002"/>
      <c r="BO378" s="1002"/>
      <c r="BP378" s="1002"/>
      <c r="BQ378" s="1002"/>
      <c r="BR378" s="1002"/>
      <c r="BS378" s="1002"/>
      <c r="BT378" s="1002"/>
      <c r="BU378" s="1002"/>
      <c r="BV378" s="1002"/>
      <c r="BW378" s="1002"/>
      <c r="BX378" s="1002"/>
      <c r="BY378" s="1002"/>
      <c r="BZ378" s="1002"/>
      <c r="CA378" s="1002"/>
      <c r="CB378" s="1002"/>
      <c r="CC378" s="1002"/>
      <c r="CD378" s="1002"/>
      <c r="CE378" s="1002"/>
      <c r="CF378" s="1002"/>
      <c r="CG378" s="1002"/>
      <c r="CH378" s="1002"/>
      <c r="CI378" s="1003"/>
    </row>
    <row r="379" spans="2:87" x14ac:dyDescent="0.2">
      <c r="B379" s="1300"/>
      <c r="C379" s="1301" t="s">
        <v>791</v>
      </c>
      <c r="D379" s="1301"/>
      <c r="E379" s="1301" t="s">
        <v>236</v>
      </c>
      <c r="F379" s="1301">
        <v>2</v>
      </c>
      <c r="G379" s="1002">
        <f t="shared" ref="G379:AK379" si="196">G133+G135-G145-G146</f>
        <v>0</v>
      </c>
      <c r="H379" s="1002">
        <f t="shared" si="196"/>
        <v>0</v>
      </c>
      <c r="I379" s="1002">
        <f t="shared" si="196"/>
        <v>50.392417519343113</v>
      </c>
      <c r="J379" s="1002">
        <f t="shared" si="196"/>
        <v>51.337541457845965</v>
      </c>
      <c r="K379" s="1002">
        <f t="shared" si="196"/>
        <v>53.84507517937535</v>
      </c>
      <c r="L379" s="1002">
        <f t="shared" si="196"/>
        <v>56.309954896085912</v>
      </c>
      <c r="M379" s="1002">
        <f t="shared" si="196"/>
        <v>60.497372559346786</v>
      </c>
      <c r="N379" s="1002">
        <f t="shared" si="196"/>
        <v>60.915464964452184</v>
      </c>
      <c r="O379" s="1002">
        <f t="shared" si="196"/>
        <v>59.710698094838321</v>
      </c>
      <c r="P379" s="1002">
        <f t="shared" si="196"/>
        <v>60.712155747773473</v>
      </c>
      <c r="Q379" s="1002">
        <f t="shared" si="196"/>
        <v>61.234330638588602</v>
      </c>
      <c r="R379" s="1002">
        <f t="shared" si="196"/>
        <v>61.154390834104582</v>
      </c>
      <c r="S379" s="1002">
        <f t="shared" si="196"/>
        <v>60.65674594408636</v>
      </c>
      <c r="T379" s="1002">
        <f t="shared" si="196"/>
        <v>60.503062739891448</v>
      </c>
      <c r="U379" s="1002">
        <f t="shared" si="196"/>
        <v>60.187379632120127</v>
      </c>
      <c r="V379" s="1002">
        <f t="shared" si="196"/>
        <v>59.553624830733291</v>
      </c>
      <c r="W379" s="1002">
        <f t="shared" si="196"/>
        <v>58.81099845721608</v>
      </c>
      <c r="X379" s="1002">
        <f t="shared" si="196"/>
        <v>57.730494569504231</v>
      </c>
      <c r="Y379" s="1002">
        <f t="shared" si="196"/>
        <v>56.694041942278176</v>
      </c>
      <c r="Z379" s="1002">
        <f t="shared" si="196"/>
        <v>56.172490910466443</v>
      </c>
      <c r="AA379" s="1002">
        <f t="shared" si="196"/>
        <v>56.165532171380015</v>
      </c>
      <c r="AB379" s="1002">
        <f t="shared" si="196"/>
        <v>56.15852652111441</v>
      </c>
      <c r="AC379" s="1002">
        <f t="shared" si="196"/>
        <v>56.149870624426562</v>
      </c>
      <c r="AD379" s="1002">
        <f t="shared" si="196"/>
        <v>56.140355859154134</v>
      </c>
      <c r="AE379" s="1002">
        <f t="shared" si="196"/>
        <v>56.131299884398025</v>
      </c>
      <c r="AF379" s="1002">
        <f t="shared" si="196"/>
        <v>56.124841853520749</v>
      </c>
      <c r="AG379" s="1002">
        <f t="shared" si="196"/>
        <v>56.120060589437877</v>
      </c>
      <c r="AH379" s="1002">
        <f t="shared" si="196"/>
        <v>56.115946212579765</v>
      </c>
      <c r="AI379" s="1002">
        <f t="shared" si="196"/>
        <v>56.112413335014331</v>
      </c>
      <c r="AJ379" s="1002">
        <f t="shared" si="196"/>
        <v>56.109812262880133</v>
      </c>
      <c r="AK379" s="1002">
        <f t="shared" si="196"/>
        <v>56.107565627299181</v>
      </c>
      <c r="AL379" s="1002"/>
      <c r="AM379" s="1002"/>
      <c r="AN379" s="1002"/>
      <c r="AO379" s="1002"/>
      <c r="AP379" s="1002"/>
      <c r="AQ379" s="1002"/>
      <c r="AR379" s="1002"/>
      <c r="AS379" s="1002"/>
      <c r="AT379" s="1002"/>
      <c r="AU379" s="1002"/>
      <c r="AV379" s="1002"/>
      <c r="AW379" s="1002"/>
      <c r="AX379" s="1002"/>
      <c r="AY379" s="1002"/>
      <c r="AZ379" s="1002"/>
      <c r="BA379" s="1002"/>
      <c r="BB379" s="1002"/>
      <c r="BC379" s="1002"/>
      <c r="BD379" s="1002"/>
      <c r="BE379" s="1002"/>
      <c r="BF379" s="1002"/>
      <c r="BG379" s="1002"/>
      <c r="BH379" s="1002"/>
      <c r="BI379" s="1002"/>
      <c r="BJ379" s="1002"/>
      <c r="BK379" s="1002"/>
      <c r="BL379" s="1002"/>
      <c r="BM379" s="1002"/>
      <c r="BN379" s="1002"/>
      <c r="BO379" s="1002"/>
      <c r="BP379" s="1002"/>
      <c r="BQ379" s="1002"/>
      <c r="BR379" s="1002"/>
      <c r="BS379" s="1002"/>
      <c r="BT379" s="1002"/>
      <c r="BU379" s="1002"/>
      <c r="BV379" s="1002"/>
      <c r="BW379" s="1002"/>
      <c r="BX379" s="1002"/>
      <c r="BY379" s="1002"/>
      <c r="BZ379" s="1002"/>
      <c r="CA379" s="1002"/>
      <c r="CB379" s="1002"/>
      <c r="CC379" s="1002"/>
      <c r="CD379" s="1002"/>
      <c r="CE379" s="1002"/>
      <c r="CF379" s="1002"/>
      <c r="CG379" s="1002"/>
      <c r="CH379" s="1002"/>
      <c r="CI379" s="1003"/>
    </row>
    <row r="380" spans="2:87" x14ac:dyDescent="0.2">
      <c r="B380" s="1300"/>
      <c r="C380" s="1301" t="s">
        <v>243</v>
      </c>
      <c r="D380" s="1301"/>
      <c r="E380" s="1301" t="s">
        <v>236</v>
      </c>
      <c r="F380" s="1301">
        <v>2</v>
      </c>
      <c r="G380" s="1002">
        <f t="shared" ref="G380:AK380" si="197">G151</f>
        <v>0</v>
      </c>
      <c r="H380" s="1002">
        <f t="shared" si="197"/>
        <v>0</v>
      </c>
      <c r="I380" s="1002">
        <f t="shared" si="197"/>
        <v>53.344869343162344</v>
      </c>
      <c r="J380" s="1002">
        <f t="shared" si="197"/>
        <v>52.857053199999996</v>
      </c>
      <c r="K380" s="1002">
        <f t="shared" si="197"/>
        <v>50.790017599999985</v>
      </c>
      <c r="L380" s="1002">
        <f t="shared" si="197"/>
        <v>48.722981999999995</v>
      </c>
      <c r="M380" s="1002">
        <f t="shared" si="197"/>
        <v>48.228415200000001</v>
      </c>
      <c r="N380" s="1002">
        <f t="shared" si="197"/>
        <v>47.733848399999999</v>
      </c>
      <c r="O380" s="1002">
        <f t="shared" si="197"/>
        <v>47.239281599999998</v>
      </c>
      <c r="P380" s="1002">
        <f t="shared" si="197"/>
        <v>46.744714799999997</v>
      </c>
      <c r="Q380" s="1002">
        <f t="shared" si="197"/>
        <v>46.250147999999996</v>
      </c>
      <c r="R380" s="1002">
        <f t="shared" si="197"/>
        <v>45.755581199999995</v>
      </c>
      <c r="S380" s="1002">
        <f t="shared" si="197"/>
        <v>45.261014399999993</v>
      </c>
      <c r="T380" s="1002">
        <f t="shared" si="197"/>
        <v>44.766447599999992</v>
      </c>
      <c r="U380" s="1002">
        <f t="shared" si="197"/>
        <v>44.271880799999991</v>
      </c>
      <c r="V380" s="1002">
        <f t="shared" si="197"/>
        <v>43.77731399999999</v>
      </c>
      <c r="W380" s="1002">
        <f t="shared" si="197"/>
        <v>43.282747199999989</v>
      </c>
      <c r="X380" s="1002">
        <f t="shared" si="197"/>
        <v>42.788180399999987</v>
      </c>
      <c r="Y380" s="1002">
        <f t="shared" si="197"/>
        <v>42.293613599999986</v>
      </c>
      <c r="Z380" s="1002">
        <f t="shared" si="197"/>
        <v>41.799046799999985</v>
      </c>
      <c r="AA380" s="1002">
        <f t="shared" si="197"/>
        <v>41.304479999999984</v>
      </c>
      <c r="AB380" s="1002">
        <f t="shared" si="197"/>
        <v>40.809913199999983</v>
      </c>
      <c r="AC380" s="1002">
        <f t="shared" si="197"/>
        <v>40.315346399999981</v>
      </c>
      <c r="AD380" s="1002">
        <f t="shared" si="197"/>
        <v>39.82077959999998</v>
      </c>
      <c r="AE380" s="1002">
        <f t="shared" si="197"/>
        <v>39.326212799999979</v>
      </c>
      <c r="AF380" s="1002">
        <f t="shared" si="197"/>
        <v>38.831645999999978</v>
      </c>
      <c r="AG380" s="1002">
        <f t="shared" si="197"/>
        <v>38.337079199999977</v>
      </c>
      <c r="AH380" s="1002">
        <f t="shared" si="197"/>
        <v>37.842512399999976</v>
      </c>
      <c r="AI380" s="1002">
        <f t="shared" si="197"/>
        <v>37.347945599999974</v>
      </c>
      <c r="AJ380" s="1002">
        <f t="shared" si="197"/>
        <v>36.853378799999973</v>
      </c>
      <c r="AK380" s="1002">
        <f t="shared" si="197"/>
        <v>36.358812</v>
      </c>
      <c r="AL380" s="1002"/>
      <c r="AM380" s="1002"/>
      <c r="AN380" s="1002"/>
      <c r="AO380" s="1002"/>
      <c r="AP380" s="1002"/>
      <c r="AQ380" s="1002"/>
      <c r="AR380" s="1002"/>
      <c r="AS380" s="1002"/>
      <c r="AT380" s="1002"/>
      <c r="AU380" s="1002"/>
      <c r="AV380" s="1002"/>
      <c r="AW380" s="1002"/>
      <c r="AX380" s="1002"/>
      <c r="AY380" s="1002"/>
      <c r="AZ380" s="1002"/>
      <c r="BA380" s="1002"/>
      <c r="BB380" s="1002"/>
      <c r="BC380" s="1002"/>
      <c r="BD380" s="1002"/>
      <c r="BE380" s="1002"/>
      <c r="BF380" s="1002"/>
      <c r="BG380" s="1002"/>
      <c r="BH380" s="1002"/>
      <c r="BI380" s="1002"/>
      <c r="BJ380" s="1002"/>
      <c r="BK380" s="1002"/>
      <c r="BL380" s="1002"/>
      <c r="BM380" s="1002"/>
      <c r="BN380" s="1002"/>
      <c r="BO380" s="1002"/>
      <c r="BP380" s="1002"/>
      <c r="BQ380" s="1002"/>
      <c r="BR380" s="1002"/>
      <c r="BS380" s="1002"/>
      <c r="BT380" s="1002"/>
      <c r="BU380" s="1002"/>
      <c r="BV380" s="1002"/>
      <c r="BW380" s="1002"/>
      <c r="BX380" s="1002"/>
      <c r="BY380" s="1002"/>
      <c r="BZ380" s="1002"/>
      <c r="CA380" s="1002"/>
      <c r="CB380" s="1002"/>
      <c r="CC380" s="1002"/>
      <c r="CD380" s="1002"/>
      <c r="CE380" s="1002"/>
      <c r="CF380" s="1002"/>
      <c r="CG380" s="1002"/>
      <c r="CH380" s="1002"/>
      <c r="CI380" s="1003"/>
    </row>
    <row r="381" spans="2:87" x14ac:dyDescent="0.2">
      <c r="B381" s="1300"/>
      <c r="C381" s="1301" t="s">
        <v>792</v>
      </c>
      <c r="D381" s="1301"/>
      <c r="E381" s="1301" t="s">
        <v>236</v>
      </c>
      <c r="F381" s="1301">
        <v>2</v>
      </c>
      <c r="G381" s="1002">
        <f t="shared" ref="G381:AK381" si="198">G175-SUM(G377:G380)</f>
        <v>0</v>
      </c>
      <c r="H381" s="1002">
        <f t="shared" si="198"/>
        <v>0</v>
      </c>
      <c r="I381" s="1002">
        <f t="shared" si="198"/>
        <v>9.7979080421365552</v>
      </c>
      <c r="J381" s="1002">
        <f t="shared" si="198"/>
        <v>9.7984853079883578</v>
      </c>
      <c r="K381" s="1002">
        <f t="shared" si="198"/>
        <v>9.7911104284468138</v>
      </c>
      <c r="L381" s="1002">
        <f t="shared" si="198"/>
        <v>9.7829638246856234</v>
      </c>
      <c r="M381" s="1002">
        <f t="shared" si="198"/>
        <v>9.8109495925564829</v>
      </c>
      <c r="N381" s="1002">
        <f t="shared" si="198"/>
        <v>9.8034625623421334</v>
      </c>
      <c r="O381" s="1002">
        <f t="shared" si="198"/>
        <v>9.7958845121602849</v>
      </c>
      <c r="P381" s="1002">
        <f t="shared" si="198"/>
        <v>9.7888075608949521</v>
      </c>
      <c r="Q381" s="1002">
        <f t="shared" si="198"/>
        <v>9.7832807928792818</v>
      </c>
      <c r="R381" s="1002">
        <f t="shared" si="198"/>
        <v>9.7781680115712106</v>
      </c>
      <c r="S381" s="1002">
        <f t="shared" si="198"/>
        <v>9.7733752897818249</v>
      </c>
      <c r="T381" s="1002">
        <f t="shared" si="198"/>
        <v>9.7690376651506767</v>
      </c>
      <c r="U381" s="1002">
        <f t="shared" si="198"/>
        <v>9.7653630459332703</v>
      </c>
      <c r="V381" s="1002">
        <f t="shared" si="198"/>
        <v>9.7611784184433645</v>
      </c>
      <c r="W381" s="1002">
        <f t="shared" si="198"/>
        <v>9.7568378834127429</v>
      </c>
      <c r="X381" s="1002">
        <f t="shared" si="198"/>
        <v>9.7522782600177607</v>
      </c>
      <c r="Y381" s="1002">
        <f t="shared" si="198"/>
        <v>9.7476194437705885</v>
      </c>
      <c r="Z381" s="1002">
        <f t="shared" si="198"/>
        <v>9.7428706361554873</v>
      </c>
      <c r="AA381" s="1002">
        <f t="shared" si="198"/>
        <v>9.7380310512349411</v>
      </c>
      <c r="AB381" s="1002">
        <f t="shared" si="198"/>
        <v>9.7331035275950626</v>
      </c>
      <c r="AC381" s="1002">
        <f t="shared" si="198"/>
        <v>9.7280812042138223</v>
      </c>
      <c r="AD381" s="1002">
        <f t="shared" si="198"/>
        <v>9.7229658844075288</v>
      </c>
      <c r="AE381" s="1002">
        <f t="shared" si="198"/>
        <v>9.7177580933531544</v>
      </c>
      <c r="AF381" s="1002">
        <f t="shared" si="198"/>
        <v>9.7124571835083771</v>
      </c>
      <c r="AG381" s="1002">
        <f t="shared" si="198"/>
        <v>9.7070687971143457</v>
      </c>
      <c r="AH381" s="1002">
        <f t="shared" si="198"/>
        <v>9.7015913665413223</v>
      </c>
      <c r="AI381" s="1002">
        <f t="shared" si="198"/>
        <v>9.6960256925206068</v>
      </c>
      <c r="AJ381" s="1002">
        <f t="shared" si="198"/>
        <v>9.690372771821103</v>
      </c>
      <c r="AK381" s="1002">
        <f t="shared" si="198"/>
        <v>9.6846342487529569</v>
      </c>
      <c r="AL381" s="1002"/>
      <c r="AM381" s="1002"/>
      <c r="AN381" s="1002"/>
      <c r="AO381" s="1002"/>
      <c r="AP381" s="1002"/>
      <c r="AQ381" s="1002"/>
      <c r="AR381" s="1002"/>
      <c r="AS381" s="1002"/>
      <c r="AT381" s="1002"/>
      <c r="AU381" s="1002"/>
      <c r="AV381" s="1002"/>
      <c r="AW381" s="1002"/>
      <c r="AX381" s="1002"/>
      <c r="AY381" s="1002"/>
      <c r="AZ381" s="1002"/>
      <c r="BA381" s="1002"/>
      <c r="BB381" s="1002"/>
      <c r="BC381" s="1002"/>
      <c r="BD381" s="1002"/>
      <c r="BE381" s="1002"/>
      <c r="BF381" s="1002"/>
      <c r="BG381" s="1002"/>
      <c r="BH381" s="1002"/>
      <c r="BI381" s="1002"/>
      <c r="BJ381" s="1002"/>
      <c r="BK381" s="1002"/>
      <c r="BL381" s="1002"/>
      <c r="BM381" s="1002"/>
      <c r="BN381" s="1002"/>
      <c r="BO381" s="1002"/>
      <c r="BP381" s="1002"/>
      <c r="BQ381" s="1002"/>
      <c r="BR381" s="1002"/>
      <c r="BS381" s="1002"/>
      <c r="BT381" s="1002"/>
      <c r="BU381" s="1002"/>
      <c r="BV381" s="1002"/>
      <c r="BW381" s="1002"/>
      <c r="BX381" s="1002"/>
      <c r="BY381" s="1002"/>
      <c r="BZ381" s="1002"/>
      <c r="CA381" s="1002"/>
      <c r="CB381" s="1002"/>
      <c r="CC381" s="1002"/>
      <c r="CD381" s="1002"/>
      <c r="CE381" s="1002"/>
      <c r="CF381" s="1002"/>
      <c r="CG381" s="1002"/>
      <c r="CH381" s="1002"/>
      <c r="CI381" s="1003"/>
    </row>
    <row r="382" spans="2:87" x14ac:dyDescent="0.2">
      <c r="B382" s="1300"/>
      <c r="C382" s="1301" t="s">
        <v>793</v>
      </c>
      <c r="D382" s="1301"/>
      <c r="E382" s="1301" t="s">
        <v>236</v>
      </c>
      <c r="F382" s="1301">
        <v>2</v>
      </c>
      <c r="G382" s="1002" t="e">
        <f t="shared" ref="G382:AK382" si="199">G132</f>
        <v>#REF!</v>
      </c>
      <c r="H382" s="1002">
        <f t="shared" si="199"/>
        <v>0</v>
      </c>
      <c r="I382" s="1002">
        <f t="shared" si="199"/>
        <v>411.07822051013699</v>
      </c>
      <c r="J382" s="1002">
        <f t="shared" si="199"/>
        <v>410.52325237013696</v>
      </c>
      <c r="K382" s="1002">
        <f t="shared" si="199"/>
        <v>409.96509222013697</v>
      </c>
      <c r="L382" s="1002">
        <f t="shared" si="199"/>
        <v>409.06580771469351</v>
      </c>
      <c r="M382" s="1002">
        <f t="shared" si="199"/>
        <v>408.16534502242757</v>
      </c>
      <c r="N382" s="1002">
        <f t="shared" si="199"/>
        <v>407.27772247217126</v>
      </c>
      <c r="O382" s="1002">
        <f t="shared" si="199"/>
        <v>411.04697267943811</v>
      </c>
      <c r="P382" s="1002">
        <f t="shared" si="199"/>
        <v>410.14269042426338</v>
      </c>
      <c r="Q382" s="1002">
        <f t="shared" si="199"/>
        <v>413.08702886397185</v>
      </c>
      <c r="R382" s="1002">
        <f t="shared" si="199"/>
        <v>415.17911640197474</v>
      </c>
      <c r="S382" s="1002">
        <f t="shared" si="199"/>
        <v>399.91714900509442</v>
      </c>
      <c r="T382" s="1002">
        <f t="shared" si="199"/>
        <v>402.50466656553897</v>
      </c>
      <c r="U382" s="1002">
        <f t="shared" si="199"/>
        <v>401.5877681828058</v>
      </c>
      <c r="V382" s="1002">
        <f t="shared" si="199"/>
        <v>402.32893518280582</v>
      </c>
      <c r="W382" s="1002">
        <f t="shared" si="199"/>
        <v>421.73996569427777</v>
      </c>
      <c r="X382" s="1002">
        <f t="shared" si="199"/>
        <v>421.14625540427778</v>
      </c>
      <c r="Y382" s="1002">
        <f t="shared" si="199"/>
        <v>420.55017182427775</v>
      </c>
      <c r="Z382" s="1002">
        <f t="shared" si="199"/>
        <v>419.95175626427778</v>
      </c>
      <c r="AA382" s="1002">
        <f t="shared" si="199"/>
        <v>419.35104849427779</v>
      </c>
      <c r="AB382" s="1002">
        <f t="shared" si="199"/>
        <v>416.75041130574982</v>
      </c>
      <c r="AC382" s="1002">
        <f t="shared" si="199"/>
        <v>416.1452325157498</v>
      </c>
      <c r="AD382" s="1002">
        <f t="shared" si="199"/>
        <v>415.53787221574981</v>
      </c>
      <c r="AE382" s="1002">
        <f t="shared" si="199"/>
        <v>414.92836472574982</v>
      </c>
      <c r="AF382" s="1002">
        <f t="shared" si="199"/>
        <v>414.31674318574983</v>
      </c>
      <c r="AG382" s="1002">
        <f t="shared" si="199"/>
        <v>413.7030396257498</v>
      </c>
      <c r="AH382" s="1002">
        <f t="shared" si="199"/>
        <v>413.08728500574983</v>
      </c>
      <c r="AI382" s="1002">
        <f t="shared" si="199"/>
        <v>412.47183382722181</v>
      </c>
      <c r="AJ382" s="1002">
        <f t="shared" si="199"/>
        <v>411.85206599722181</v>
      </c>
      <c r="AK382" s="1002">
        <f t="shared" si="199"/>
        <v>411.23033416722177</v>
      </c>
      <c r="AL382" s="1002"/>
      <c r="AM382" s="1002"/>
      <c r="AN382" s="1002"/>
      <c r="AO382" s="1002"/>
      <c r="AP382" s="1002"/>
      <c r="AQ382" s="1002"/>
      <c r="AR382" s="1002"/>
      <c r="AS382" s="1002"/>
      <c r="AT382" s="1002"/>
      <c r="AU382" s="1002"/>
      <c r="AV382" s="1002"/>
      <c r="AW382" s="1002"/>
      <c r="AX382" s="1002"/>
      <c r="AY382" s="1002"/>
      <c r="AZ382" s="1002"/>
      <c r="BA382" s="1002"/>
      <c r="BB382" s="1002"/>
      <c r="BC382" s="1002"/>
      <c r="BD382" s="1002"/>
      <c r="BE382" s="1002"/>
      <c r="BF382" s="1002"/>
      <c r="BG382" s="1002"/>
      <c r="BH382" s="1002"/>
      <c r="BI382" s="1002"/>
      <c r="BJ382" s="1002"/>
      <c r="BK382" s="1002"/>
      <c r="BL382" s="1002"/>
      <c r="BM382" s="1002"/>
      <c r="BN382" s="1002"/>
      <c r="BO382" s="1002"/>
      <c r="BP382" s="1002"/>
      <c r="BQ382" s="1002"/>
      <c r="BR382" s="1002"/>
      <c r="BS382" s="1002"/>
      <c r="BT382" s="1002"/>
      <c r="BU382" s="1002"/>
      <c r="BV382" s="1002"/>
      <c r="BW382" s="1002"/>
      <c r="BX382" s="1002"/>
      <c r="BY382" s="1002"/>
      <c r="BZ382" s="1002"/>
      <c r="CA382" s="1002"/>
      <c r="CB382" s="1002"/>
      <c r="CC382" s="1002"/>
      <c r="CD382" s="1002"/>
      <c r="CE382" s="1002"/>
      <c r="CF382" s="1002"/>
      <c r="CG382" s="1002"/>
      <c r="CH382" s="1002"/>
      <c r="CI382" s="1003"/>
    </row>
    <row r="383" spans="2:87" x14ac:dyDescent="0.2">
      <c r="B383" s="1300"/>
      <c r="C383" s="1301" t="s">
        <v>794</v>
      </c>
      <c r="D383" s="1301"/>
      <c r="E383" s="1301" t="s">
        <v>236</v>
      </c>
      <c r="F383" s="1301">
        <v>2</v>
      </c>
      <c r="G383" s="1002">
        <f t="shared" ref="G383:AK383" si="200">SUM(G377:G381)+G178</f>
        <v>0</v>
      </c>
      <c r="H383" s="1002">
        <f t="shared" si="200"/>
        <v>0</v>
      </c>
      <c r="I383" s="1002">
        <f t="shared" si="200"/>
        <v>413.24407080803525</v>
      </c>
      <c r="J383" s="1002">
        <f t="shared" si="200"/>
        <v>409.60592561746967</v>
      </c>
      <c r="K383" s="1002">
        <f t="shared" si="200"/>
        <v>408.43478223403406</v>
      </c>
      <c r="L383" s="1002">
        <f t="shared" si="200"/>
        <v>406.16990375773446</v>
      </c>
      <c r="M383" s="1002">
        <f t="shared" si="200"/>
        <v>406.6294821754222</v>
      </c>
      <c r="N383" s="1002">
        <f t="shared" si="200"/>
        <v>403.87873949543314</v>
      </c>
      <c r="O383" s="1002">
        <f t="shared" si="200"/>
        <v>402.67456608310954</v>
      </c>
      <c r="P383" s="1002">
        <f t="shared" si="200"/>
        <v>400.83856691660526</v>
      </c>
      <c r="Q383" s="1002">
        <f t="shared" si="200"/>
        <v>398.01955213981694</v>
      </c>
      <c r="R383" s="1002">
        <f t="shared" si="200"/>
        <v>393.87284362050843</v>
      </c>
      <c r="S383" s="1002">
        <f t="shared" si="200"/>
        <v>389.55183959091806</v>
      </c>
      <c r="T383" s="1002">
        <f t="shared" si="200"/>
        <v>385.49229764137738</v>
      </c>
      <c r="U383" s="1002">
        <f t="shared" si="200"/>
        <v>380.96555820084336</v>
      </c>
      <c r="V383" s="1002">
        <f t="shared" si="200"/>
        <v>375.95308956710437</v>
      </c>
      <c r="W383" s="1002">
        <f t="shared" si="200"/>
        <v>372.44753049587445</v>
      </c>
      <c r="X383" s="1002">
        <f t="shared" si="200"/>
        <v>368.91803560322154</v>
      </c>
      <c r="Y383" s="1002">
        <f t="shared" si="200"/>
        <v>365.57291221637774</v>
      </c>
      <c r="Z383" s="1002">
        <f t="shared" si="200"/>
        <v>362.75130532395275</v>
      </c>
      <c r="AA383" s="1002">
        <f t="shared" si="200"/>
        <v>360.54712444557282</v>
      </c>
      <c r="AB383" s="1002">
        <f t="shared" si="200"/>
        <v>357.06864448731886</v>
      </c>
      <c r="AC383" s="1002">
        <f t="shared" si="200"/>
        <v>353.52314558677591</v>
      </c>
      <c r="AD383" s="1002">
        <f t="shared" si="200"/>
        <v>351.68284391463641</v>
      </c>
      <c r="AE383" s="1002">
        <f t="shared" si="200"/>
        <v>350.81534252073607</v>
      </c>
      <c r="AF383" s="1002">
        <f t="shared" si="200"/>
        <v>350.04211223533758</v>
      </c>
      <c r="AG383" s="1002">
        <f t="shared" si="200"/>
        <v>351.06642079291561</v>
      </c>
      <c r="AH383" s="1002">
        <f t="shared" si="200"/>
        <v>350.0875503417322</v>
      </c>
      <c r="AI383" s="1002">
        <f t="shared" si="200"/>
        <v>348.03815099956455</v>
      </c>
      <c r="AJ383" s="1002">
        <f t="shared" si="200"/>
        <v>348.25987152449255</v>
      </c>
      <c r="AK383" s="1002">
        <f t="shared" si="200"/>
        <v>347.77799644424209</v>
      </c>
      <c r="AL383" s="1002"/>
      <c r="AM383" s="1002"/>
      <c r="AN383" s="1002"/>
      <c r="AO383" s="1002"/>
      <c r="AP383" s="1002"/>
      <c r="AQ383" s="1002"/>
      <c r="AR383" s="1002"/>
      <c r="AS383" s="1002"/>
      <c r="AT383" s="1002"/>
      <c r="AU383" s="1002"/>
      <c r="AV383" s="1002"/>
      <c r="AW383" s="1002"/>
      <c r="AX383" s="1002"/>
      <c r="AY383" s="1002"/>
      <c r="AZ383" s="1002"/>
      <c r="BA383" s="1002"/>
      <c r="BB383" s="1002"/>
      <c r="BC383" s="1002"/>
      <c r="BD383" s="1002"/>
      <c r="BE383" s="1002"/>
      <c r="BF383" s="1002"/>
      <c r="BG383" s="1002"/>
      <c r="BH383" s="1002"/>
      <c r="BI383" s="1002"/>
      <c r="BJ383" s="1002"/>
      <c r="BK383" s="1002"/>
      <c r="BL383" s="1002"/>
      <c r="BM383" s="1002"/>
      <c r="BN383" s="1002"/>
      <c r="BO383" s="1002"/>
      <c r="BP383" s="1002"/>
      <c r="BQ383" s="1002"/>
      <c r="BR383" s="1002"/>
      <c r="BS383" s="1002"/>
      <c r="BT383" s="1002"/>
      <c r="BU383" s="1002"/>
      <c r="BV383" s="1002"/>
      <c r="BW383" s="1002"/>
      <c r="BX383" s="1002"/>
      <c r="BY383" s="1002"/>
      <c r="BZ383" s="1002"/>
      <c r="CA383" s="1002"/>
      <c r="CB383" s="1002"/>
      <c r="CC383" s="1002"/>
      <c r="CD383" s="1002"/>
      <c r="CE383" s="1002"/>
      <c r="CF383" s="1002"/>
      <c r="CG383" s="1002"/>
      <c r="CH383" s="1002"/>
      <c r="CI383" s="1003"/>
    </row>
    <row r="384" spans="2:87" x14ac:dyDescent="0.2">
      <c r="B384" s="1300"/>
      <c r="C384" s="1301"/>
      <c r="D384" s="1301"/>
      <c r="E384" s="1301"/>
      <c r="F384" s="1301"/>
      <c r="G384" s="1301"/>
      <c r="H384" s="1301"/>
      <c r="I384" s="1301"/>
      <c r="J384" s="1301"/>
      <c r="K384" s="1301"/>
      <c r="L384" s="1301"/>
      <c r="M384" s="1301"/>
      <c r="N384" s="1301"/>
      <c r="O384" s="1301"/>
      <c r="P384" s="1301"/>
      <c r="Q384" s="1301"/>
      <c r="R384" s="1301"/>
      <c r="S384" s="1301"/>
      <c r="T384" s="1301"/>
      <c r="U384" s="1301"/>
      <c r="V384" s="1301"/>
      <c r="W384" s="1301"/>
      <c r="X384" s="1301"/>
      <c r="Y384" s="1301"/>
      <c r="Z384" s="1301"/>
      <c r="AA384" s="1301"/>
      <c r="AB384" s="1301"/>
      <c r="AC384" s="1301"/>
      <c r="AD384" s="1301"/>
      <c r="AE384" s="1301"/>
      <c r="AF384" s="1301"/>
      <c r="AG384" s="1301"/>
      <c r="AH384" s="1301"/>
      <c r="AI384" s="1301"/>
      <c r="AJ384" s="1301"/>
      <c r="AK384" s="1301"/>
      <c r="AL384" s="1301"/>
      <c r="AM384" s="1301"/>
      <c r="AN384" s="1301"/>
      <c r="AO384" s="1301"/>
      <c r="AP384" s="1301"/>
      <c r="AQ384" s="1301"/>
      <c r="AR384" s="1301"/>
      <c r="AS384" s="1301"/>
      <c r="AT384" s="1301"/>
      <c r="AU384" s="1301"/>
      <c r="AV384" s="1301"/>
      <c r="AW384" s="1301"/>
      <c r="AX384" s="1301"/>
      <c r="AY384" s="1301"/>
      <c r="AZ384" s="1301"/>
      <c r="BA384" s="1301"/>
      <c r="BB384" s="1301"/>
      <c r="BC384" s="1301"/>
      <c r="BD384" s="1301"/>
      <c r="BE384" s="1301"/>
      <c r="BF384" s="1301"/>
      <c r="BG384" s="1301"/>
      <c r="BH384" s="1301"/>
      <c r="BI384" s="1301"/>
      <c r="BJ384" s="1301"/>
      <c r="BK384" s="1301"/>
      <c r="BL384" s="1301"/>
      <c r="BM384" s="1301"/>
      <c r="BN384" s="1301"/>
      <c r="BO384" s="1301"/>
      <c r="BP384" s="1301"/>
      <c r="BQ384" s="1301"/>
      <c r="BR384" s="1301"/>
      <c r="BS384" s="1301"/>
      <c r="BT384" s="1301"/>
      <c r="BU384" s="1301"/>
      <c r="BV384" s="1301"/>
      <c r="BW384" s="1301"/>
      <c r="BX384" s="1301"/>
      <c r="BY384" s="1301"/>
      <c r="BZ384" s="1301"/>
      <c r="CA384" s="1301"/>
      <c r="CB384" s="1301"/>
      <c r="CC384" s="1301"/>
      <c r="CD384" s="1301"/>
      <c r="CE384" s="1301"/>
      <c r="CF384" s="1301"/>
      <c r="CG384" s="1301"/>
      <c r="CH384" s="1301"/>
      <c r="CI384" s="1302"/>
    </row>
    <row r="385" spans="2:87" ht="28.5" x14ac:dyDescent="0.2">
      <c r="B385" s="1300" t="s">
        <v>796</v>
      </c>
      <c r="C385" s="1301"/>
      <c r="D385" s="1301"/>
      <c r="E385" s="1301"/>
      <c r="F385" s="1301"/>
      <c r="G385" s="1000" t="s">
        <v>208</v>
      </c>
      <c r="H385" s="1000" t="s">
        <v>209</v>
      </c>
      <c r="I385" s="1000" t="s">
        <v>210</v>
      </c>
      <c r="J385" s="1000" t="s">
        <v>211</v>
      </c>
      <c r="K385" s="1000" t="s">
        <v>212</v>
      </c>
      <c r="L385" s="1000" t="s">
        <v>213</v>
      </c>
      <c r="M385" s="1000" t="s">
        <v>214</v>
      </c>
      <c r="N385" s="1000" t="s">
        <v>215</v>
      </c>
      <c r="O385" s="1000" t="s">
        <v>216</v>
      </c>
      <c r="P385" s="1000" t="s">
        <v>217</v>
      </c>
      <c r="Q385" s="1000" t="s">
        <v>218</v>
      </c>
      <c r="R385" s="1000" t="s">
        <v>247</v>
      </c>
      <c r="S385" s="1000" t="s">
        <v>248</v>
      </c>
      <c r="T385" s="1000" t="s">
        <v>249</v>
      </c>
      <c r="U385" s="1000" t="s">
        <v>250</v>
      </c>
      <c r="V385" s="1000" t="s">
        <v>219</v>
      </c>
      <c r="W385" s="1000" t="s">
        <v>251</v>
      </c>
      <c r="X385" s="1000" t="s">
        <v>252</v>
      </c>
      <c r="Y385" s="1000" t="s">
        <v>253</v>
      </c>
      <c r="Z385" s="1000" t="s">
        <v>254</v>
      </c>
      <c r="AA385" s="1000" t="s">
        <v>220</v>
      </c>
      <c r="AB385" s="1000" t="s">
        <v>255</v>
      </c>
      <c r="AC385" s="1000" t="s">
        <v>256</v>
      </c>
      <c r="AD385" s="1000" t="s">
        <v>257</v>
      </c>
      <c r="AE385" s="1000" t="s">
        <v>258</v>
      </c>
      <c r="AF385" s="1000" t="s">
        <v>221</v>
      </c>
      <c r="AG385" s="1000" t="s">
        <v>259</v>
      </c>
      <c r="AH385" s="1000" t="s">
        <v>260</v>
      </c>
      <c r="AI385" s="1000" t="s">
        <v>261</v>
      </c>
      <c r="AJ385" s="1000" t="s">
        <v>262</v>
      </c>
      <c r="AK385" s="1000" t="s">
        <v>222</v>
      </c>
      <c r="AL385" s="1000"/>
      <c r="AM385" s="1000"/>
      <c r="AN385" s="1000"/>
      <c r="AO385" s="1000"/>
      <c r="AP385" s="1000"/>
      <c r="AQ385" s="1000"/>
      <c r="AR385" s="1000"/>
      <c r="AS385" s="1000"/>
      <c r="AT385" s="1000"/>
      <c r="AU385" s="1000"/>
      <c r="AV385" s="1000"/>
      <c r="AW385" s="1000"/>
      <c r="AX385" s="1000"/>
      <c r="AY385" s="1000"/>
      <c r="AZ385" s="1000"/>
      <c r="BA385" s="1000"/>
      <c r="BB385" s="1000"/>
      <c r="BC385" s="1000"/>
      <c r="BD385" s="1000"/>
      <c r="BE385" s="1000"/>
      <c r="BF385" s="1000"/>
      <c r="BG385" s="1000"/>
      <c r="BH385" s="1000"/>
      <c r="BI385" s="1000"/>
      <c r="BJ385" s="1000"/>
      <c r="BK385" s="1000"/>
      <c r="BL385" s="1000"/>
      <c r="BM385" s="1000"/>
      <c r="BN385" s="1000"/>
      <c r="BO385" s="1000"/>
      <c r="BP385" s="1000"/>
      <c r="BQ385" s="1000"/>
      <c r="BR385" s="1000"/>
      <c r="BS385" s="1000"/>
      <c r="BT385" s="1000"/>
      <c r="BU385" s="1000"/>
      <c r="BV385" s="1000"/>
      <c r="BW385" s="1000"/>
      <c r="BX385" s="1000"/>
      <c r="BY385" s="1000"/>
      <c r="BZ385" s="1000"/>
      <c r="CA385" s="1000"/>
      <c r="CB385" s="1000"/>
      <c r="CC385" s="1000"/>
      <c r="CD385" s="1000"/>
      <c r="CE385" s="1000"/>
      <c r="CF385" s="1000"/>
      <c r="CG385" s="1000"/>
      <c r="CH385" s="1000"/>
      <c r="CI385" s="1001"/>
    </row>
    <row r="386" spans="2:87" x14ac:dyDescent="0.2">
      <c r="B386" s="1300"/>
      <c r="C386" s="1301" t="s">
        <v>789</v>
      </c>
      <c r="D386" s="1301"/>
      <c r="E386" s="1301" t="s">
        <v>236</v>
      </c>
      <c r="F386" s="1301">
        <v>2</v>
      </c>
      <c r="G386" s="1002">
        <f t="shared" ref="G386:AK387" si="201">G227-G238</f>
        <v>0</v>
      </c>
      <c r="H386" s="1002">
        <f t="shared" si="201"/>
        <v>0</v>
      </c>
      <c r="I386" s="1002">
        <f t="shared" si="201"/>
        <v>187.51615008623548</v>
      </c>
      <c r="J386" s="1002">
        <f t="shared" si="201"/>
        <v>188.33554577058254</v>
      </c>
      <c r="K386" s="1002">
        <f t="shared" si="201"/>
        <v>192.98076655817712</v>
      </c>
      <c r="L386" s="1002">
        <f t="shared" si="201"/>
        <v>197.90253884428881</v>
      </c>
      <c r="M386" s="1002">
        <f t="shared" si="201"/>
        <v>210.76619623030174</v>
      </c>
      <c r="N386" s="1002">
        <f t="shared" si="201"/>
        <v>227.11082604000302</v>
      </c>
      <c r="O386" s="1002">
        <f t="shared" si="201"/>
        <v>237.40909785269716</v>
      </c>
      <c r="P386" s="1002">
        <f t="shared" si="201"/>
        <v>242.43040074990324</v>
      </c>
      <c r="Q386" s="1002">
        <f t="shared" si="201"/>
        <v>246.68328883692894</v>
      </c>
      <c r="R386" s="1002">
        <f t="shared" si="201"/>
        <v>249.67695107418442</v>
      </c>
      <c r="S386" s="1002">
        <f t="shared" si="201"/>
        <v>252.45879317584809</v>
      </c>
      <c r="T386" s="1002">
        <f t="shared" si="201"/>
        <v>254.63529190986978</v>
      </c>
      <c r="U386" s="1002">
        <f t="shared" si="201"/>
        <v>256.92024993118758</v>
      </c>
      <c r="V386" s="1002">
        <f t="shared" si="201"/>
        <v>259.11549877833875</v>
      </c>
      <c r="W386" s="1002">
        <f t="shared" si="201"/>
        <v>261.28519300203374</v>
      </c>
      <c r="X386" s="1002">
        <f t="shared" si="201"/>
        <v>263.22449869982688</v>
      </c>
      <c r="Y386" s="1002">
        <f t="shared" si="201"/>
        <v>265.35440049819977</v>
      </c>
      <c r="Z386" s="1002">
        <f t="shared" si="201"/>
        <v>267.63169015526307</v>
      </c>
      <c r="AA386" s="1002">
        <f t="shared" si="201"/>
        <v>269.98156146118771</v>
      </c>
      <c r="AB386" s="1002">
        <f t="shared" si="201"/>
        <v>271.96391552461267</v>
      </c>
      <c r="AC386" s="1002">
        <f t="shared" si="201"/>
        <v>274.3276100323385</v>
      </c>
      <c r="AD386" s="1002">
        <f t="shared" si="201"/>
        <v>276.80332291415209</v>
      </c>
      <c r="AE386" s="1002">
        <f t="shared" si="201"/>
        <v>279.38356018756093</v>
      </c>
      <c r="AF386" s="1002">
        <f t="shared" si="201"/>
        <v>282.07448756026616</v>
      </c>
      <c r="AG386" s="1002">
        <f t="shared" si="201"/>
        <v>284.7944552334028</v>
      </c>
      <c r="AH386" s="1002">
        <f t="shared" si="201"/>
        <v>287.60037566229983</v>
      </c>
      <c r="AI386" s="1002">
        <f t="shared" si="201"/>
        <v>290.48813702937849</v>
      </c>
      <c r="AJ386" s="1002">
        <f t="shared" si="201"/>
        <v>293.4526484531836</v>
      </c>
      <c r="AK386" s="1002">
        <f t="shared" si="201"/>
        <v>296.43771839515995</v>
      </c>
      <c r="AL386" s="1002"/>
      <c r="AM386" s="1002"/>
      <c r="AN386" s="1002"/>
      <c r="AO386" s="1002"/>
      <c r="AP386" s="1002"/>
      <c r="AQ386" s="1002"/>
      <c r="AR386" s="1002"/>
      <c r="AS386" s="1002"/>
      <c r="AT386" s="1002"/>
      <c r="AU386" s="1002"/>
      <c r="AV386" s="1002"/>
      <c r="AW386" s="1002"/>
      <c r="AX386" s="1002"/>
      <c r="AY386" s="1002"/>
      <c r="AZ386" s="1002"/>
      <c r="BA386" s="1002"/>
      <c r="BB386" s="1002"/>
      <c r="BC386" s="1002"/>
      <c r="BD386" s="1002"/>
      <c r="BE386" s="1002"/>
      <c r="BF386" s="1002"/>
      <c r="BG386" s="1002"/>
      <c r="BH386" s="1002"/>
      <c r="BI386" s="1002"/>
      <c r="BJ386" s="1002"/>
      <c r="BK386" s="1002"/>
      <c r="BL386" s="1002"/>
      <c r="BM386" s="1002"/>
      <c r="BN386" s="1002"/>
      <c r="BO386" s="1002"/>
      <c r="BP386" s="1002"/>
      <c r="BQ386" s="1002"/>
      <c r="BR386" s="1002"/>
      <c r="BS386" s="1002"/>
      <c r="BT386" s="1002"/>
      <c r="BU386" s="1002"/>
      <c r="BV386" s="1002"/>
      <c r="BW386" s="1002"/>
      <c r="BX386" s="1002"/>
      <c r="BY386" s="1002"/>
      <c r="BZ386" s="1002"/>
      <c r="CA386" s="1002"/>
      <c r="CB386" s="1002"/>
      <c r="CC386" s="1002"/>
      <c r="CD386" s="1002"/>
      <c r="CE386" s="1002"/>
      <c r="CF386" s="1002"/>
      <c r="CG386" s="1002"/>
      <c r="CH386" s="1002"/>
      <c r="CI386" s="1003"/>
    </row>
    <row r="387" spans="2:87" x14ac:dyDescent="0.2">
      <c r="B387" s="1300"/>
      <c r="C387" s="1301" t="s">
        <v>790</v>
      </c>
      <c r="D387" s="1301"/>
      <c r="E387" s="1301" t="s">
        <v>236</v>
      </c>
      <c r="F387" s="1301">
        <v>2</v>
      </c>
      <c r="G387" s="1002">
        <f t="shared" si="201"/>
        <v>0</v>
      </c>
      <c r="H387" s="1002">
        <f t="shared" si="201"/>
        <v>0</v>
      </c>
      <c r="I387" s="1002">
        <f t="shared" si="201"/>
        <v>193.29541803641143</v>
      </c>
      <c r="J387" s="1002">
        <f t="shared" si="201"/>
        <v>185.73396013764904</v>
      </c>
      <c r="K387" s="1002">
        <f t="shared" si="201"/>
        <v>178.27438726853077</v>
      </c>
      <c r="L387" s="1002">
        <f t="shared" si="201"/>
        <v>168.82275313673597</v>
      </c>
      <c r="M387" s="1002">
        <f t="shared" si="201"/>
        <v>153.23275355175829</v>
      </c>
      <c r="N387" s="1002">
        <f t="shared" si="201"/>
        <v>135.03725433127519</v>
      </c>
      <c r="O387" s="1002">
        <f t="shared" si="201"/>
        <v>125.85637365287836</v>
      </c>
      <c r="P387" s="1002">
        <f t="shared" si="201"/>
        <v>122.67745265836859</v>
      </c>
      <c r="Q387" s="1002">
        <f t="shared" si="201"/>
        <v>119.50171500259682</v>
      </c>
      <c r="R387" s="1002">
        <f t="shared" si="201"/>
        <v>116.91014227595342</v>
      </c>
      <c r="S387" s="1002">
        <f t="shared" si="201"/>
        <v>114.87845250581485</v>
      </c>
      <c r="T387" s="1002">
        <f t="shared" si="201"/>
        <v>112.87145083597525</v>
      </c>
      <c r="U387" s="1002">
        <f t="shared" si="201"/>
        <v>110.87001783677228</v>
      </c>
      <c r="V387" s="1002">
        <f t="shared" si="201"/>
        <v>108.90256767435245</v>
      </c>
      <c r="W387" s="1002">
        <f t="shared" si="201"/>
        <v>107.38190900537046</v>
      </c>
      <c r="X387" s="1002">
        <f t="shared" si="201"/>
        <v>106.31577556343595</v>
      </c>
      <c r="Y387" s="1002">
        <f t="shared" si="201"/>
        <v>105.26063669544966</v>
      </c>
      <c r="Z387" s="1002">
        <f t="shared" si="201"/>
        <v>104.23485062369079</v>
      </c>
      <c r="AA387" s="1002">
        <f t="shared" si="201"/>
        <v>103.2118950464737</v>
      </c>
      <c r="AB387" s="1002">
        <f t="shared" si="201"/>
        <v>102.2081925253689</v>
      </c>
      <c r="AC387" s="1002">
        <f t="shared" si="201"/>
        <v>101.21422158652889</v>
      </c>
      <c r="AD387" s="1002">
        <f t="shared" si="201"/>
        <v>100.25580105107638</v>
      </c>
      <c r="AE387" s="1002">
        <f t="shared" si="201"/>
        <v>99.30618964819547</v>
      </c>
      <c r="AF387" s="1002">
        <f t="shared" si="201"/>
        <v>98.374026622558674</v>
      </c>
      <c r="AG387" s="1002">
        <f t="shared" si="201"/>
        <v>97.450313446206437</v>
      </c>
      <c r="AH387" s="1002">
        <f t="shared" si="201"/>
        <v>96.560980514473727</v>
      </c>
      <c r="AI387" s="1002">
        <f t="shared" si="201"/>
        <v>95.679202283991074</v>
      </c>
      <c r="AJ387" s="1002">
        <f t="shared" si="201"/>
        <v>94.81356758142725</v>
      </c>
      <c r="AK387" s="1002">
        <f t="shared" si="201"/>
        <v>93.954972779723249</v>
      </c>
      <c r="AL387" s="1002"/>
      <c r="AM387" s="1002"/>
      <c r="AN387" s="1002"/>
      <c r="AO387" s="1002"/>
      <c r="AP387" s="1002"/>
      <c r="AQ387" s="1002"/>
      <c r="AR387" s="1002"/>
      <c r="AS387" s="1002"/>
      <c r="AT387" s="1002"/>
      <c r="AU387" s="1002"/>
      <c r="AV387" s="1002"/>
      <c r="AW387" s="1002"/>
      <c r="AX387" s="1002"/>
      <c r="AY387" s="1002"/>
      <c r="AZ387" s="1002"/>
      <c r="BA387" s="1002"/>
      <c r="BB387" s="1002"/>
      <c r="BC387" s="1002"/>
      <c r="BD387" s="1002"/>
      <c r="BE387" s="1002"/>
      <c r="BF387" s="1002"/>
      <c r="BG387" s="1002"/>
      <c r="BH387" s="1002"/>
      <c r="BI387" s="1002"/>
      <c r="BJ387" s="1002"/>
      <c r="BK387" s="1002"/>
      <c r="BL387" s="1002"/>
      <c r="BM387" s="1002"/>
      <c r="BN387" s="1002"/>
      <c r="BO387" s="1002"/>
      <c r="BP387" s="1002"/>
      <c r="BQ387" s="1002"/>
      <c r="BR387" s="1002"/>
      <c r="BS387" s="1002"/>
      <c r="BT387" s="1002"/>
      <c r="BU387" s="1002"/>
      <c r="BV387" s="1002"/>
      <c r="BW387" s="1002"/>
      <c r="BX387" s="1002"/>
      <c r="BY387" s="1002"/>
      <c r="BZ387" s="1002"/>
      <c r="CA387" s="1002"/>
      <c r="CB387" s="1002"/>
      <c r="CC387" s="1002"/>
      <c r="CD387" s="1002"/>
      <c r="CE387" s="1002"/>
      <c r="CF387" s="1002"/>
      <c r="CG387" s="1002"/>
      <c r="CH387" s="1002"/>
      <c r="CI387" s="1003"/>
    </row>
    <row r="388" spans="2:87" x14ac:dyDescent="0.2">
      <c r="B388" s="1300"/>
      <c r="C388" s="1301" t="s">
        <v>791</v>
      </c>
      <c r="D388" s="1301"/>
      <c r="E388" s="1301" t="s">
        <v>236</v>
      </c>
      <c r="F388" s="1301">
        <v>2</v>
      </c>
      <c r="G388" s="1002">
        <f t="shared" ref="G388:AK388" si="202">G224+G226-G236-G237</f>
        <v>0</v>
      </c>
      <c r="H388" s="1002">
        <f t="shared" si="202"/>
        <v>0</v>
      </c>
      <c r="I388" s="1002">
        <f t="shared" si="202"/>
        <v>52.561438366108199</v>
      </c>
      <c r="J388" s="1002">
        <f t="shared" si="202"/>
        <v>51.678562345371311</v>
      </c>
      <c r="K388" s="1002">
        <f t="shared" si="202"/>
        <v>54.173866431900862</v>
      </c>
      <c r="L388" s="1002">
        <f t="shared" si="202"/>
        <v>56.6264264596403</v>
      </c>
      <c r="M388" s="1002">
        <f t="shared" si="202"/>
        <v>61.133204926460763</v>
      </c>
      <c r="N388" s="1002">
        <f t="shared" si="202"/>
        <v>61.943737852479778</v>
      </c>
      <c r="O388" s="1002">
        <f t="shared" si="202"/>
        <v>61.130396865425297</v>
      </c>
      <c r="P388" s="1002">
        <f t="shared" si="202"/>
        <v>62.523197733923126</v>
      </c>
      <c r="Q388" s="1002">
        <f t="shared" si="202"/>
        <v>63.392397600620718</v>
      </c>
      <c r="R388" s="1002">
        <f t="shared" si="202"/>
        <v>63.85004743184659</v>
      </c>
      <c r="S388" s="1002">
        <f t="shared" si="202"/>
        <v>63.845740071455424</v>
      </c>
      <c r="T388" s="1002">
        <f t="shared" si="202"/>
        <v>64.185377863488213</v>
      </c>
      <c r="U388" s="1002">
        <f t="shared" si="202"/>
        <v>64.362999218545241</v>
      </c>
      <c r="V388" s="1002">
        <f t="shared" si="202"/>
        <v>64.222532346587457</v>
      </c>
      <c r="W388" s="1002">
        <f t="shared" si="202"/>
        <v>63.945816719446206</v>
      </c>
      <c r="X388" s="1002">
        <f t="shared" si="202"/>
        <v>63.331207914889895</v>
      </c>
      <c r="Y388" s="1002">
        <f t="shared" si="202"/>
        <v>62.760634707598939</v>
      </c>
      <c r="Z388" s="1002">
        <f t="shared" si="202"/>
        <v>62.234354807668552</v>
      </c>
      <c r="AA388" s="1002">
        <f t="shared" si="202"/>
        <v>62.222651537243053</v>
      </c>
      <c r="AB388" s="1002">
        <f t="shared" si="202"/>
        <v>62.210885692417939</v>
      </c>
      <c r="AC388" s="1002">
        <f t="shared" si="202"/>
        <v>62.197453937950151</v>
      </c>
      <c r="AD388" s="1002">
        <f t="shared" si="202"/>
        <v>62.183147651677345</v>
      </c>
      <c r="AE388" s="1002">
        <f t="shared" si="202"/>
        <v>62.169284492700449</v>
      </c>
      <c r="AF388" s="1002">
        <f t="shared" si="202"/>
        <v>62.15800361438194</v>
      </c>
      <c r="AG388" s="1002">
        <f t="shared" si="202"/>
        <v>62.148383839637418</v>
      </c>
      <c r="AH388" s="1002">
        <f t="shared" si="202"/>
        <v>62.139415288897219</v>
      </c>
      <c r="AI388" s="1002">
        <f t="shared" si="202"/>
        <v>62.131012574229281</v>
      </c>
      <c r="AJ388" s="1002">
        <f t="shared" si="202"/>
        <v>62.123526001772142</v>
      </c>
      <c r="AK388" s="1002">
        <f t="shared" si="202"/>
        <v>62.116378202647809</v>
      </c>
      <c r="AL388" s="1002"/>
      <c r="AM388" s="1002"/>
      <c r="AN388" s="1002"/>
      <c r="AO388" s="1002"/>
      <c r="AP388" s="1002"/>
      <c r="AQ388" s="1002"/>
      <c r="AR388" s="1002"/>
      <c r="AS388" s="1002"/>
      <c r="AT388" s="1002"/>
      <c r="AU388" s="1002"/>
      <c r="AV388" s="1002"/>
      <c r="AW388" s="1002"/>
      <c r="AX388" s="1002"/>
      <c r="AY388" s="1002"/>
      <c r="AZ388" s="1002"/>
      <c r="BA388" s="1002"/>
      <c r="BB388" s="1002"/>
      <c r="BC388" s="1002"/>
      <c r="BD388" s="1002"/>
      <c r="BE388" s="1002"/>
      <c r="BF388" s="1002"/>
      <c r="BG388" s="1002"/>
      <c r="BH388" s="1002"/>
      <c r="BI388" s="1002"/>
      <c r="BJ388" s="1002"/>
      <c r="BK388" s="1002"/>
      <c r="BL388" s="1002"/>
      <c r="BM388" s="1002"/>
      <c r="BN388" s="1002"/>
      <c r="BO388" s="1002"/>
      <c r="BP388" s="1002"/>
      <c r="BQ388" s="1002"/>
      <c r="BR388" s="1002"/>
      <c r="BS388" s="1002"/>
      <c r="BT388" s="1002"/>
      <c r="BU388" s="1002"/>
      <c r="BV388" s="1002"/>
      <c r="BW388" s="1002"/>
      <c r="BX388" s="1002"/>
      <c r="BY388" s="1002"/>
      <c r="BZ388" s="1002"/>
      <c r="CA388" s="1002"/>
      <c r="CB388" s="1002"/>
      <c r="CC388" s="1002"/>
      <c r="CD388" s="1002"/>
      <c r="CE388" s="1002"/>
      <c r="CF388" s="1002"/>
      <c r="CG388" s="1002"/>
      <c r="CH388" s="1002"/>
      <c r="CI388" s="1003"/>
    </row>
    <row r="389" spans="2:87" x14ac:dyDescent="0.2">
      <c r="B389" s="1300"/>
      <c r="C389" s="1301" t="s">
        <v>243</v>
      </c>
      <c r="D389" s="1301"/>
      <c r="E389" s="1301" t="s">
        <v>236</v>
      </c>
      <c r="F389" s="1301">
        <v>2</v>
      </c>
      <c r="G389" s="1002">
        <f t="shared" ref="G389:AK389" si="203">G242</f>
        <v>0</v>
      </c>
      <c r="H389" s="1002">
        <f t="shared" si="203"/>
        <v>0</v>
      </c>
      <c r="I389" s="1002">
        <f t="shared" si="203"/>
        <v>53.344869343162344</v>
      </c>
      <c r="J389" s="1002">
        <f t="shared" si="203"/>
        <v>52.857053199999996</v>
      </c>
      <c r="K389" s="1002">
        <f t="shared" si="203"/>
        <v>50.790017599999985</v>
      </c>
      <c r="L389" s="1002">
        <f t="shared" si="203"/>
        <v>48.722981999999995</v>
      </c>
      <c r="M389" s="1002">
        <f t="shared" si="203"/>
        <v>48.722982000000002</v>
      </c>
      <c r="N389" s="1002">
        <f t="shared" si="203"/>
        <v>48.722982000000002</v>
      </c>
      <c r="O389" s="1002">
        <f t="shared" si="203"/>
        <v>48.722982000000002</v>
      </c>
      <c r="P389" s="1002">
        <f t="shared" si="203"/>
        <v>48.722982000000002</v>
      </c>
      <c r="Q389" s="1002">
        <f t="shared" si="203"/>
        <v>48.722982000000002</v>
      </c>
      <c r="R389" s="1002">
        <f t="shared" si="203"/>
        <v>48.722982000000002</v>
      </c>
      <c r="S389" s="1002">
        <f t="shared" si="203"/>
        <v>48.722982000000002</v>
      </c>
      <c r="T389" s="1002">
        <f t="shared" si="203"/>
        <v>48.722982000000002</v>
      </c>
      <c r="U389" s="1002">
        <f t="shared" si="203"/>
        <v>48.722982000000002</v>
      </c>
      <c r="V389" s="1002">
        <f t="shared" si="203"/>
        <v>48.722981999999995</v>
      </c>
      <c r="W389" s="1002">
        <f t="shared" si="203"/>
        <v>48.722982000000002</v>
      </c>
      <c r="X389" s="1002">
        <f t="shared" si="203"/>
        <v>48.722982000000002</v>
      </c>
      <c r="Y389" s="1002">
        <f t="shared" si="203"/>
        <v>48.722982000000002</v>
      </c>
      <c r="Z389" s="1002">
        <f t="shared" si="203"/>
        <v>48.722981999999995</v>
      </c>
      <c r="AA389" s="1002">
        <f t="shared" si="203"/>
        <v>48.722982000000002</v>
      </c>
      <c r="AB389" s="1002">
        <f t="shared" si="203"/>
        <v>48.722982000000002</v>
      </c>
      <c r="AC389" s="1002">
        <f t="shared" si="203"/>
        <v>48.722982000000002</v>
      </c>
      <c r="AD389" s="1002">
        <f t="shared" si="203"/>
        <v>48.722982000000002</v>
      </c>
      <c r="AE389" s="1002">
        <f t="shared" si="203"/>
        <v>48.722982000000002</v>
      </c>
      <c r="AF389" s="1002">
        <f t="shared" si="203"/>
        <v>48.722982000000002</v>
      </c>
      <c r="AG389" s="1002">
        <f t="shared" si="203"/>
        <v>48.722982000000002</v>
      </c>
      <c r="AH389" s="1002">
        <f t="shared" si="203"/>
        <v>48.722982000000002</v>
      </c>
      <c r="AI389" s="1002">
        <f t="shared" si="203"/>
        <v>48.722982000000002</v>
      </c>
      <c r="AJ389" s="1002">
        <f t="shared" si="203"/>
        <v>48.722982000000002</v>
      </c>
      <c r="AK389" s="1002">
        <f t="shared" si="203"/>
        <v>48.722982000000002</v>
      </c>
      <c r="AL389" s="1002"/>
      <c r="AM389" s="1002"/>
      <c r="AN389" s="1002"/>
      <c r="AO389" s="1002"/>
      <c r="AP389" s="1002"/>
      <c r="AQ389" s="1002"/>
      <c r="AR389" s="1002"/>
      <c r="AS389" s="1002"/>
      <c r="AT389" s="1002"/>
      <c r="AU389" s="1002"/>
      <c r="AV389" s="1002"/>
      <c r="AW389" s="1002"/>
      <c r="AX389" s="1002"/>
      <c r="AY389" s="1002"/>
      <c r="AZ389" s="1002"/>
      <c r="BA389" s="1002"/>
      <c r="BB389" s="1002"/>
      <c r="BC389" s="1002"/>
      <c r="BD389" s="1002"/>
      <c r="BE389" s="1002"/>
      <c r="BF389" s="1002"/>
      <c r="BG389" s="1002"/>
      <c r="BH389" s="1002"/>
      <c r="BI389" s="1002"/>
      <c r="BJ389" s="1002"/>
      <c r="BK389" s="1002"/>
      <c r="BL389" s="1002"/>
      <c r="BM389" s="1002"/>
      <c r="BN389" s="1002"/>
      <c r="BO389" s="1002"/>
      <c r="BP389" s="1002"/>
      <c r="BQ389" s="1002"/>
      <c r="BR389" s="1002"/>
      <c r="BS389" s="1002"/>
      <c r="BT389" s="1002"/>
      <c r="BU389" s="1002"/>
      <c r="BV389" s="1002"/>
      <c r="BW389" s="1002"/>
      <c r="BX389" s="1002"/>
      <c r="BY389" s="1002"/>
      <c r="BZ389" s="1002"/>
      <c r="CA389" s="1002"/>
      <c r="CB389" s="1002"/>
      <c r="CC389" s="1002"/>
      <c r="CD389" s="1002"/>
      <c r="CE389" s="1002"/>
      <c r="CF389" s="1002"/>
      <c r="CG389" s="1002"/>
      <c r="CH389" s="1002"/>
      <c r="CI389" s="1003"/>
    </row>
    <row r="390" spans="2:87" x14ac:dyDescent="0.2">
      <c r="B390" s="1300"/>
      <c r="C390" s="1301" t="s">
        <v>792</v>
      </c>
      <c r="D390" s="1301"/>
      <c r="E390" s="1301" t="s">
        <v>236</v>
      </c>
      <c r="F390" s="1301">
        <v>2</v>
      </c>
      <c r="G390" s="1002">
        <f t="shared" ref="G390:AK390" si="204">G266-SUM(G386:G389)</f>
        <v>0</v>
      </c>
      <c r="H390" s="1002">
        <f t="shared" si="204"/>
        <v>0</v>
      </c>
      <c r="I390" s="1002">
        <f t="shared" si="204"/>
        <v>9.797908042136612</v>
      </c>
      <c r="J390" s="1002">
        <f t="shared" si="204"/>
        <v>9.7984853079884147</v>
      </c>
      <c r="K390" s="1002">
        <f t="shared" si="204"/>
        <v>9.7911104284467569</v>
      </c>
      <c r="L390" s="1002">
        <f t="shared" si="204"/>
        <v>9.7829638246856234</v>
      </c>
      <c r="M390" s="1002">
        <f t="shared" si="204"/>
        <v>9.8103153561885392</v>
      </c>
      <c r="N390" s="1002">
        <f t="shared" si="204"/>
        <v>9.801637268851664</v>
      </c>
      <c r="O390" s="1002">
        <f t="shared" si="204"/>
        <v>9.7929251219247817</v>
      </c>
      <c r="P390" s="1002">
        <f t="shared" si="204"/>
        <v>9.7846731634433013</v>
      </c>
      <c r="Q390" s="1002">
        <f t="shared" si="204"/>
        <v>9.7782060136802897</v>
      </c>
      <c r="R390" s="1002">
        <f t="shared" si="204"/>
        <v>9.7726742215031095</v>
      </c>
      <c r="S390" s="1002">
        <f t="shared" si="204"/>
        <v>9.767728779018455</v>
      </c>
      <c r="T390" s="1002">
        <f t="shared" si="204"/>
        <v>9.7632384336921518</v>
      </c>
      <c r="U390" s="1002">
        <f t="shared" si="204"/>
        <v>9.7594110937794198</v>
      </c>
      <c r="V390" s="1002">
        <f t="shared" si="204"/>
        <v>9.7550737455943022</v>
      </c>
      <c r="W390" s="1002">
        <f t="shared" si="204"/>
        <v>9.7506681610083206</v>
      </c>
      <c r="X390" s="1002">
        <f t="shared" si="204"/>
        <v>9.746131159198228</v>
      </c>
      <c r="Y390" s="1002">
        <f t="shared" si="204"/>
        <v>9.741494964535832</v>
      </c>
      <c r="Z390" s="1002">
        <f t="shared" si="204"/>
        <v>9.73676877850545</v>
      </c>
      <c r="AA390" s="1002">
        <f t="shared" si="204"/>
        <v>9.7319518151697366</v>
      </c>
      <c r="AB390" s="1002">
        <f t="shared" si="204"/>
        <v>9.7270469131145205</v>
      </c>
      <c r="AC390" s="1002">
        <f t="shared" si="204"/>
        <v>9.7220472113182836</v>
      </c>
      <c r="AD390" s="1002">
        <f t="shared" si="204"/>
        <v>9.7169545130967094</v>
      </c>
      <c r="AE390" s="1002">
        <f t="shared" si="204"/>
        <v>9.7117693436270542</v>
      </c>
      <c r="AF390" s="1002">
        <f t="shared" si="204"/>
        <v>9.7064910553670529</v>
      </c>
      <c r="AG390" s="1002">
        <f t="shared" si="204"/>
        <v>9.7011252905577976</v>
      </c>
      <c r="AH390" s="1002">
        <f t="shared" si="204"/>
        <v>9.6956704815694934</v>
      </c>
      <c r="AI390" s="1002">
        <f t="shared" si="204"/>
        <v>9.690127429133554</v>
      </c>
      <c r="AJ390" s="1002">
        <f t="shared" si="204"/>
        <v>9.68449713001894</v>
      </c>
      <c r="AK390" s="1002">
        <f t="shared" si="204"/>
        <v>9.678781228535513</v>
      </c>
      <c r="AL390" s="1002"/>
      <c r="AM390" s="1002"/>
      <c r="AN390" s="1002"/>
      <c r="AO390" s="1002"/>
      <c r="AP390" s="1002"/>
      <c r="AQ390" s="1002"/>
      <c r="AR390" s="1002"/>
      <c r="AS390" s="1002"/>
      <c r="AT390" s="1002"/>
      <c r="AU390" s="1002"/>
      <c r="AV390" s="1002"/>
      <c r="AW390" s="1002"/>
      <c r="AX390" s="1002"/>
      <c r="AY390" s="1002"/>
      <c r="AZ390" s="1002"/>
      <c r="BA390" s="1002"/>
      <c r="BB390" s="1002"/>
      <c r="BC390" s="1002"/>
      <c r="BD390" s="1002"/>
      <c r="BE390" s="1002"/>
      <c r="BF390" s="1002"/>
      <c r="BG390" s="1002"/>
      <c r="BH390" s="1002"/>
      <c r="BI390" s="1002"/>
      <c r="BJ390" s="1002"/>
      <c r="BK390" s="1002"/>
      <c r="BL390" s="1002"/>
      <c r="BM390" s="1002"/>
      <c r="BN390" s="1002"/>
      <c r="BO390" s="1002"/>
      <c r="BP390" s="1002"/>
      <c r="BQ390" s="1002"/>
      <c r="BR390" s="1002"/>
      <c r="BS390" s="1002"/>
      <c r="BT390" s="1002"/>
      <c r="BU390" s="1002"/>
      <c r="BV390" s="1002"/>
      <c r="BW390" s="1002"/>
      <c r="BX390" s="1002"/>
      <c r="BY390" s="1002"/>
      <c r="BZ390" s="1002"/>
      <c r="CA390" s="1002"/>
      <c r="CB390" s="1002"/>
      <c r="CC390" s="1002"/>
      <c r="CD390" s="1002"/>
      <c r="CE390" s="1002"/>
      <c r="CF390" s="1002"/>
      <c r="CG390" s="1002"/>
      <c r="CH390" s="1002"/>
      <c r="CI390" s="1003"/>
    </row>
    <row r="391" spans="2:87" x14ac:dyDescent="0.2">
      <c r="B391" s="1300"/>
      <c r="C391" s="1301" t="s">
        <v>793</v>
      </c>
      <c r="D391" s="1301"/>
      <c r="E391" s="1301" t="s">
        <v>236</v>
      </c>
      <c r="F391" s="1301">
        <v>2</v>
      </c>
      <c r="G391" s="1002">
        <f t="shared" ref="G391:AK391" si="205">G223</f>
        <v>0</v>
      </c>
      <c r="H391" s="1002">
        <f t="shared" si="205"/>
        <v>0</v>
      </c>
      <c r="I391" s="1002">
        <f t="shared" si="205"/>
        <v>486.31576232105431</v>
      </c>
      <c r="J391" s="1002">
        <f t="shared" si="205"/>
        <v>486.31576232105431</v>
      </c>
      <c r="K391" s="1002">
        <f t="shared" si="205"/>
        <v>486.31576232105431</v>
      </c>
      <c r="L391" s="1002">
        <f t="shared" si="205"/>
        <v>485.97775074561082</v>
      </c>
      <c r="M391" s="1002">
        <f t="shared" si="205"/>
        <v>485.64159880334489</v>
      </c>
      <c r="N391" s="1002">
        <f t="shared" si="205"/>
        <v>483.82125374308856</v>
      </c>
      <c r="O391" s="1002">
        <f t="shared" si="205"/>
        <v>483.49068070035543</v>
      </c>
      <c r="P391" s="1002">
        <f t="shared" si="205"/>
        <v>483.15941029518069</v>
      </c>
      <c r="Q391" s="1002">
        <f t="shared" si="205"/>
        <v>482.82953461488921</v>
      </c>
      <c r="R391" s="1002">
        <f t="shared" si="205"/>
        <v>477.50012384289209</v>
      </c>
      <c r="S391" s="1002">
        <f t="shared" si="205"/>
        <v>477.16931834601178</v>
      </c>
      <c r="T391" s="1002">
        <f t="shared" si="205"/>
        <v>476.8406049364562</v>
      </c>
      <c r="U391" s="1002">
        <f t="shared" si="205"/>
        <v>476.51003189372312</v>
      </c>
      <c r="V391" s="1002">
        <f t="shared" si="205"/>
        <v>478.01003189372312</v>
      </c>
      <c r="W391" s="1002">
        <f t="shared" si="205"/>
        <v>498.0123564351951</v>
      </c>
      <c r="X391" s="1002">
        <f t="shared" si="205"/>
        <v>498.0123564351951</v>
      </c>
      <c r="Y391" s="1002">
        <f t="shared" si="205"/>
        <v>498.0123564351951</v>
      </c>
      <c r="Z391" s="1002">
        <f t="shared" si="205"/>
        <v>498.0123564351951</v>
      </c>
      <c r="AA391" s="1002">
        <f t="shared" si="205"/>
        <v>498.0123564351951</v>
      </c>
      <c r="AB391" s="1002">
        <f t="shared" si="205"/>
        <v>496.01468097666714</v>
      </c>
      <c r="AC391" s="1002">
        <f t="shared" si="205"/>
        <v>496.01468097666714</v>
      </c>
      <c r="AD391" s="1002">
        <f t="shared" si="205"/>
        <v>496.01468097666714</v>
      </c>
      <c r="AE391" s="1002">
        <f t="shared" si="205"/>
        <v>496.01468097666714</v>
      </c>
      <c r="AF391" s="1002">
        <f t="shared" si="205"/>
        <v>496.01468097666714</v>
      </c>
      <c r="AG391" s="1002">
        <f t="shared" si="205"/>
        <v>496.01468097666714</v>
      </c>
      <c r="AH391" s="1002">
        <f t="shared" si="205"/>
        <v>496.01468097666714</v>
      </c>
      <c r="AI391" s="1002">
        <f t="shared" si="205"/>
        <v>496.01700551813911</v>
      </c>
      <c r="AJ391" s="1002">
        <f t="shared" si="205"/>
        <v>496.01700551813911</v>
      </c>
      <c r="AK391" s="1002">
        <f t="shared" si="205"/>
        <v>496.01700551813911</v>
      </c>
      <c r="AL391" s="1002"/>
      <c r="AM391" s="1002"/>
      <c r="AN391" s="1002"/>
      <c r="AO391" s="1002"/>
      <c r="AP391" s="1002"/>
      <c r="AQ391" s="1002"/>
      <c r="AR391" s="1002"/>
      <c r="AS391" s="1002"/>
      <c r="AT391" s="1002"/>
      <c r="AU391" s="1002"/>
      <c r="AV391" s="1002"/>
      <c r="AW391" s="1002"/>
      <c r="AX391" s="1002"/>
      <c r="AY391" s="1002"/>
      <c r="AZ391" s="1002"/>
      <c r="BA391" s="1002"/>
      <c r="BB391" s="1002"/>
      <c r="BC391" s="1002"/>
      <c r="BD391" s="1002"/>
      <c r="BE391" s="1002"/>
      <c r="BF391" s="1002"/>
      <c r="BG391" s="1002"/>
      <c r="BH391" s="1002"/>
      <c r="BI391" s="1002"/>
      <c r="BJ391" s="1002"/>
      <c r="BK391" s="1002"/>
      <c r="BL391" s="1002"/>
      <c r="BM391" s="1002"/>
      <c r="BN391" s="1002"/>
      <c r="BO391" s="1002"/>
      <c r="BP391" s="1002"/>
      <c r="BQ391" s="1002"/>
      <c r="BR391" s="1002"/>
      <c r="BS391" s="1002"/>
      <c r="BT391" s="1002"/>
      <c r="BU391" s="1002"/>
      <c r="BV391" s="1002"/>
      <c r="BW391" s="1002"/>
      <c r="BX391" s="1002"/>
      <c r="BY391" s="1002"/>
      <c r="BZ391" s="1002"/>
      <c r="CA391" s="1002"/>
      <c r="CB391" s="1002"/>
      <c r="CC391" s="1002"/>
      <c r="CD391" s="1002"/>
      <c r="CE391" s="1002"/>
      <c r="CF391" s="1002"/>
      <c r="CG391" s="1002"/>
      <c r="CH391" s="1002"/>
      <c r="CI391" s="1003"/>
    </row>
    <row r="392" spans="2:87" x14ac:dyDescent="0.2">
      <c r="B392" s="1300"/>
      <c r="C392" s="1301" t="s">
        <v>794</v>
      </c>
      <c r="D392" s="1301"/>
      <c r="E392" s="1301" t="s">
        <v>236</v>
      </c>
      <c r="F392" s="1301">
        <v>2</v>
      </c>
      <c r="G392" s="1002">
        <f t="shared" ref="G392:AK392" si="206">SUM(G386:G390)+G269</f>
        <v>0</v>
      </c>
      <c r="H392" s="1002">
        <f t="shared" si="206"/>
        <v>0</v>
      </c>
      <c r="I392" s="1002">
        <f t="shared" si="206"/>
        <v>503.14983665695337</v>
      </c>
      <c r="J392" s="1002">
        <f t="shared" si="206"/>
        <v>497.59427503920034</v>
      </c>
      <c r="K392" s="1002">
        <f t="shared" si="206"/>
        <v>495.3357952175266</v>
      </c>
      <c r="L392" s="1002">
        <f t="shared" si="206"/>
        <v>491.28255545134982</v>
      </c>
      <c r="M392" s="1002">
        <f t="shared" si="206"/>
        <v>493.46249265712845</v>
      </c>
      <c r="N392" s="1002">
        <f t="shared" si="206"/>
        <v>492.07252161721038</v>
      </c>
      <c r="O392" s="1002">
        <f t="shared" si="206"/>
        <v>492.09679172958425</v>
      </c>
      <c r="P392" s="1002">
        <f t="shared" si="206"/>
        <v>495.075669528189</v>
      </c>
      <c r="Q392" s="1002">
        <f t="shared" si="206"/>
        <v>496.81718431021147</v>
      </c>
      <c r="R392" s="1002">
        <f t="shared" si="206"/>
        <v>497.48742009104149</v>
      </c>
      <c r="S392" s="1002">
        <f t="shared" si="206"/>
        <v>497.79160088880178</v>
      </c>
      <c r="T392" s="1002">
        <f t="shared" si="206"/>
        <v>498.18040594064081</v>
      </c>
      <c r="U392" s="1002">
        <f t="shared" si="206"/>
        <v>498.64528031509155</v>
      </c>
      <c r="V392" s="1002">
        <f t="shared" si="206"/>
        <v>498.56396848370673</v>
      </c>
      <c r="W392" s="1002">
        <f t="shared" si="206"/>
        <v>498.92872656501544</v>
      </c>
      <c r="X392" s="1002">
        <f t="shared" si="206"/>
        <v>499.21230368993281</v>
      </c>
      <c r="Y392" s="1002">
        <f t="shared" si="206"/>
        <v>499.78653380777513</v>
      </c>
      <c r="Z392" s="1002">
        <f t="shared" si="206"/>
        <v>500.56785353451488</v>
      </c>
      <c r="AA392" s="1002">
        <f t="shared" si="206"/>
        <v>502.00532803558264</v>
      </c>
      <c r="AB392" s="1002">
        <f t="shared" si="206"/>
        <v>503.03473839227826</v>
      </c>
      <c r="AC392" s="1002">
        <f t="shared" si="206"/>
        <v>504.58209996346437</v>
      </c>
      <c r="AD392" s="1002">
        <f t="shared" si="206"/>
        <v>506.40969115048824</v>
      </c>
      <c r="AE392" s="1002">
        <f t="shared" si="206"/>
        <v>508.34372192225732</v>
      </c>
      <c r="AF392" s="1002">
        <f t="shared" si="206"/>
        <v>510.29516349952956</v>
      </c>
      <c r="AG392" s="1002">
        <f t="shared" si="206"/>
        <v>512.44109664360064</v>
      </c>
      <c r="AH392" s="1002">
        <f t="shared" si="206"/>
        <v>514.63475308774343</v>
      </c>
      <c r="AI392" s="1002">
        <f t="shared" si="206"/>
        <v>516.89406384170798</v>
      </c>
      <c r="AJ392" s="1002">
        <f t="shared" si="206"/>
        <v>519.26771009728418</v>
      </c>
      <c r="AK392" s="1002">
        <f t="shared" si="206"/>
        <v>521.73496268682823</v>
      </c>
      <c r="AL392" s="1002"/>
      <c r="AM392" s="1002"/>
      <c r="AN392" s="1002"/>
      <c r="AO392" s="1002"/>
      <c r="AP392" s="1002"/>
      <c r="AQ392" s="1002"/>
      <c r="AR392" s="1002"/>
      <c r="AS392" s="1002"/>
      <c r="AT392" s="1002"/>
      <c r="AU392" s="1002"/>
      <c r="AV392" s="1002"/>
      <c r="AW392" s="1002"/>
      <c r="AX392" s="1002"/>
      <c r="AY392" s="1002"/>
      <c r="AZ392" s="1002"/>
      <c r="BA392" s="1002"/>
      <c r="BB392" s="1002"/>
      <c r="BC392" s="1002"/>
      <c r="BD392" s="1002"/>
      <c r="BE392" s="1002"/>
      <c r="BF392" s="1002"/>
      <c r="BG392" s="1002"/>
      <c r="BH392" s="1002"/>
      <c r="BI392" s="1002"/>
      <c r="BJ392" s="1002"/>
      <c r="BK392" s="1002"/>
      <c r="BL392" s="1002"/>
      <c r="BM392" s="1002"/>
      <c r="BN392" s="1002"/>
      <c r="BO392" s="1002"/>
      <c r="BP392" s="1002"/>
      <c r="BQ392" s="1002"/>
      <c r="BR392" s="1002"/>
      <c r="BS392" s="1002"/>
      <c r="BT392" s="1002"/>
      <c r="BU392" s="1002"/>
      <c r="BV392" s="1002"/>
      <c r="BW392" s="1002"/>
      <c r="BX392" s="1002"/>
      <c r="BY392" s="1002"/>
      <c r="BZ392" s="1002"/>
      <c r="CA392" s="1002"/>
      <c r="CB392" s="1002"/>
      <c r="CC392" s="1002"/>
      <c r="CD392" s="1002"/>
      <c r="CE392" s="1002"/>
      <c r="CF392" s="1002"/>
      <c r="CG392" s="1002"/>
      <c r="CH392" s="1002"/>
      <c r="CI392" s="1003"/>
    </row>
    <row r="393" spans="2:87" x14ac:dyDescent="0.2">
      <c r="B393" s="1300"/>
      <c r="C393" s="1301"/>
      <c r="D393" s="1301"/>
      <c r="E393" s="1301"/>
      <c r="F393" s="1301"/>
      <c r="G393" s="1301"/>
      <c r="H393" s="1301"/>
      <c r="I393" s="1301"/>
      <c r="J393" s="1301"/>
      <c r="K393" s="1301"/>
      <c r="L393" s="1301"/>
      <c r="M393" s="1301"/>
      <c r="N393" s="1301"/>
      <c r="O393" s="1301"/>
      <c r="P393" s="1301"/>
      <c r="Q393" s="1301"/>
      <c r="R393" s="1301"/>
      <c r="S393" s="1301"/>
      <c r="T393" s="1301"/>
      <c r="U393" s="1301"/>
      <c r="V393" s="1301"/>
      <c r="W393" s="1301"/>
      <c r="X393" s="1301"/>
      <c r="Y393" s="1301"/>
      <c r="Z393" s="1301"/>
      <c r="AA393" s="1301"/>
      <c r="AB393" s="1301"/>
      <c r="AC393" s="1301"/>
      <c r="AD393" s="1301"/>
      <c r="AE393" s="1301"/>
      <c r="AF393" s="1301"/>
      <c r="AG393" s="1301"/>
      <c r="AH393" s="1301"/>
      <c r="AI393" s="1301"/>
      <c r="AJ393" s="1301"/>
      <c r="AK393" s="1301"/>
      <c r="AL393" s="1301"/>
      <c r="AM393" s="1301"/>
      <c r="AN393" s="1301"/>
      <c r="AO393" s="1301"/>
      <c r="AP393" s="1301"/>
      <c r="AQ393" s="1301"/>
      <c r="AR393" s="1301"/>
      <c r="AS393" s="1301"/>
      <c r="AT393" s="1301"/>
      <c r="AU393" s="1301"/>
      <c r="AV393" s="1301"/>
      <c r="AW393" s="1301"/>
      <c r="AX393" s="1301"/>
      <c r="AY393" s="1301"/>
      <c r="AZ393" s="1301"/>
      <c r="BA393" s="1301"/>
      <c r="BB393" s="1301"/>
      <c r="BC393" s="1301"/>
      <c r="BD393" s="1301"/>
      <c r="BE393" s="1301"/>
      <c r="BF393" s="1301"/>
      <c r="BG393" s="1301"/>
      <c r="BH393" s="1301"/>
      <c r="BI393" s="1301"/>
      <c r="BJ393" s="1301"/>
      <c r="BK393" s="1301"/>
      <c r="BL393" s="1301"/>
      <c r="BM393" s="1301"/>
      <c r="BN393" s="1301"/>
      <c r="BO393" s="1301"/>
      <c r="BP393" s="1301"/>
      <c r="BQ393" s="1301"/>
      <c r="BR393" s="1301"/>
      <c r="BS393" s="1301"/>
      <c r="BT393" s="1301"/>
      <c r="BU393" s="1301"/>
      <c r="BV393" s="1301"/>
      <c r="BW393" s="1301"/>
      <c r="BX393" s="1301"/>
      <c r="BY393" s="1301"/>
      <c r="BZ393" s="1301"/>
      <c r="CA393" s="1301"/>
      <c r="CB393" s="1301"/>
      <c r="CC393" s="1301"/>
      <c r="CD393" s="1301"/>
      <c r="CE393" s="1301"/>
      <c r="CF393" s="1301"/>
      <c r="CG393" s="1301"/>
      <c r="CH393" s="1301"/>
      <c r="CI393" s="1302"/>
    </row>
    <row r="394" spans="2:87" ht="28.5" x14ac:dyDescent="0.2">
      <c r="B394" s="1300" t="s">
        <v>797</v>
      </c>
      <c r="C394" s="1301"/>
      <c r="D394" s="1301"/>
      <c r="E394" s="1301"/>
      <c r="F394" s="1301"/>
      <c r="G394" s="1000" t="s">
        <v>208</v>
      </c>
      <c r="H394" s="1000" t="s">
        <v>209</v>
      </c>
      <c r="I394" s="1000" t="s">
        <v>210</v>
      </c>
      <c r="J394" s="1000" t="s">
        <v>211</v>
      </c>
      <c r="K394" s="1000" t="s">
        <v>212</v>
      </c>
      <c r="L394" s="1000" t="s">
        <v>213</v>
      </c>
      <c r="M394" s="1000" t="s">
        <v>214</v>
      </c>
      <c r="N394" s="1000" t="s">
        <v>215</v>
      </c>
      <c r="O394" s="1000" t="s">
        <v>216</v>
      </c>
      <c r="P394" s="1000" t="s">
        <v>217</v>
      </c>
      <c r="Q394" s="1000" t="s">
        <v>218</v>
      </c>
      <c r="R394" s="1000" t="s">
        <v>247</v>
      </c>
      <c r="S394" s="1000" t="s">
        <v>248</v>
      </c>
      <c r="T394" s="1000" t="s">
        <v>249</v>
      </c>
      <c r="U394" s="1000" t="s">
        <v>250</v>
      </c>
      <c r="V394" s="1000" t="s">
        <v>219</v>
      </c>
      <c r="W394" s="1000" t="s">
        <v>251</v>
      </c>
      <c r="X394" s="1000" t="s">
        <v>252</v>
      </c>
      <c r="Y394" s="1000" t="s">
        <v>253</v>
      </c>
      <c r="Z394" s="1000" t="s">
        <v>254</v>
      </c>
      <c r="AA394" s="1000" t="s">
        <v>220</v>
      </c>
      <c r="AB394" s="1000" t="s">
        <v>255</v>
      </c>
      <c r="AC394" s="1000" t="s">
        <v>256</v>
      </c>
      <c r="AD394" s="1000" t="s">
        <v>257</v>
      </c>
      <c r="AE394" s="1000" t="s">
        <v>258</v>
      </c>
      <c r="AF394" s="1000" t="s">
        <v>221</v>
      </c>
      <c r="AG394" s="1000" t="s">
        <v>259</v>
      </c>
      <c r="AH394" s="1000" t="s">
        <v>260</v>
      </c>
      <c r="AI394" s="1000" t="s">
        <v>261</v>
      </c>
      <c r="AJ394" s="1000" t="s">
        <v>262</v>
      </c>
      <c r="AK394" s="1000" t="s">
        <v>222</v>
      </c>
      <c r="AL394" s="1000"/>
      <c r="AM394" s="1000"/>
      <c r="AN394" s="1000"/>
      <c r="AO394" s="1000"/>
      <c r="AP394" s="1000"/>
      <c r="AQ394" s="1000"/>
      <c r="AR394" s="1000"/>
      <c r="AS394" s="1000"/>
      <c r="AT394" s="1000"/>
      <c r="AU394" s="1000"/>
      <c r="AV394" s="1000"/>
      <c r="AW394" s="1000"/>
      <c r="AX394" s="1000"/>
      <c r="AY394" s="1000"/>
      <c r="AZ394" s="1000"/>
      <c r="BA394" s="1000"/>
      <c r="BB394" s="1000"/>
      <c r="BC394" s="1000"/>
      <c r="BD394" s="1000"/>
      <c r="BE394" s="1000"/>
      <c r="BF394" s="1000"/>
      <c r="BG394" s="1000"/>
      <c r="BH394" s="1000"/>
      <c r="BI394" s="1000"/>
      <c r="BJ394" s="1000"/>
      <c r="BK394" s="1000"/>
      <c r="BL394" s="1000"/>
      <c r="BM394" s="1000"/>
      <c r="BN394" s="1000"/>
      <c r="BO394" s="1000"/>
      <c r="BP394" s="1000"/>
      <c r="BQ394" s="1000"/>
      <c r="BR394" s="1000"/>
      <c r="BS394" s="1000"/>
      <c r="BT394" s="1000"/>
      <c r="BU394" s="1000"/>
      <c r="BV394" s="1000"/>
      <c r="BW394" s="1000"/>
      <c r="BX394" s="1000"/>
      <c r="BY394" s="1000"/>
      <c r="BZ394" s="1000"/>
      <c r="CA394" s="1000"/>
      <c r="CB394" s="1000"/>
      <c r="CC394" s="1000"/>
      <c r="CD394" s="1000"/>
      <c r="CE394" s="1000"/>
      <c r="CF394" s="1000"/>
      <c r="CG394" s="1000"/>
      <c r="CH394" s="1000"/>
      <c r="CI394" s="1001"/>
    </row>
    <row r="395" spans="2:87" x14ac:dyDescent="0.2">
      <c r="B395" s="1300"/>
      <c r="C395" s="1301" t="s">
        <v>789</v>
      </c>
      <c r="D395" s="1301"/>
      <c r="E395" s="1301" t="s">
        <v>236</v>
      </c>
      <c r="F395" s="1301">
        <v>2</v>
      </c>
      <c r="G395" s="1002">
        <f t="shared" ref="G395:AK396" si="207">G317-G328</f>
        <v>0</v>
      </c>
      <c r="H395" s="1002">
        <f t="shared" si="207"/>
        <v>0</v>
      </c>
      <c r="I395" s="1002">
        <f t="shared" si="207"/>
        <v>187.51615008623548</v>
      </c>
      <c r="J395" s="1002">
        <f t="shared" si="207"/>
        <v>188.33554577058254</v>
      </c>
      <c r="K395" s="1002">
        <f t="shared" si="207"/>
        <v>192.98076655817712</v>
      </c>
      <c r="L395" s="1002">
        <f t="shared" si="207"/>
        <v>197.90253884428881</v>
      </c>
      <c r="M395" s="1002">
        <f t="shared" si="207"/>
        <v>217.67661479258064</v>
      </c>
      <c r="N395" s="1002">
        <f t="shared" si="207"/>
        <v>247.24718688401458</v>
      </c>
      <c r="O395" s="1002">
        <f t="shared" si="207"/>
        <v>263.96719567502998</v>
      </c>
      <c r="P395" s="1002">
        <f t="shared" si="207"/>
        <v>272.77349493473406</v>
      </c>
      <c r="Q395" s="1002">
        <f t="shared" si="207"/>
        <v>281.46640402359407</v>
      </c>
      <c r="R395" s="1002">
        <f t="shared" si="207"/>
        <v>288.27320144584053</v>
      </c>
      <c r="S395" s="1002">
        <f t="shared" si="207"/>
        <v>294.05723631982568</v>
      </c>
      <c r="T395" s="1002">
        <f t="shared" si="207"/>
        <v>299.14245248451857</v>
      </c>
      <c r="U395" s="1002">
        <f t="shared" si="207"/>
        <v>303.41088263509647</v>
      </c>
      <c r="V395" s="1002">
        <f t="shared" si="207"/>
        <v>307.54748960982965</v>
      </c>
      <c r="W395" s="1002">
        <f t="shared" si="207"/>
        <v>309.34971750461591</v>
      </c>
      <c r="X395" s="1002">
        <f t="shared" si="207"/>
        <v>307.33195322123419</v>
      </c>
      <c r="Y395" s="1002">
        <f t="shared" si="207"/>
        <v>305.34135301590504</v>
      </c>
      <c r="Z395" s="1002">
        <f t="shared" si="207"/>
        <v>303.51699032730676</v>
      </c>
      <c r="AA395" s="1002">
        <f t="shared" si="207"/>
        <v>301.76190431663809</v>
      </c>
      <c r="AB395" s="1002">
        <f t="shared" si="207"/>
        <v>299.76378863880547</v>
      </c>
      <c r="AC395" s="1002">
        <f t="shared" si="207"/>
        <v>298.13045812252113</v>
      </c>
      <c r="AD395" s="1002">
        <f t="shared" si="207"/>
        <v>296.635947835872</v>
      </c>
      <c r="AE395" s="1002">
        <f t="shared" si="207"/>
        <v>296.20335805056231</v>
      </c>
      <c r="AF395" s="1002">
        <f t="shared" si="207"/>
        <v>295.87586642495978</v>
      </c>
      <c r="AG395" s="1002">
        <f t="shared" si="207"/>
        <v>297.42746930895697</v>
      </c>
      <c r="AH395" s="1002">
        <f t="shared" si="207"/>
        <v>299.09332485142983</v>
      </c>
      <c r="AI395" s="1002">
        <f t="shared" si="207"/>
        <v>300.8273219644617</v>
      </c>
      <c r="AJ395" s="1002">
        <f t="shared" si="207"/>
        <v>302.64022168115793</v>
      </c>
      <c r="AK395" s="1002">
        <f t="shared" si="207"/>
        <v>304.47871287159177</v>
      </c>
      <c r="AL395" s="1002"/>
      <c r="AM395" s="1002"/>
      <c r="AN395" s="1002"/>
      <c r="AO395" s="1002"/>
      <c r="AP395" s="1002"/>
      <c r="AQ395" s="1002"/>
      <c r="AR395" s="1002"/>
      <c r="AS395" s="1002"/>
      <c r="AT395" s="1002"/>
      <c r="AU395" s="1002"/>
      <c r="AV395" s="1002"/>
      <c r="AW395" s="1002"/>
      <c r="AX395" s="1002"/>
      <c r="AY395" s="1002"/>
      <c r="AZ395" s="1002"/>
      <c r="BA395" s="1002"/>
      <c r="BB395" s="1002"/>
      <c r="BC395" s="1002"/>
      <c r="BD395" s="1002"/>
      <c r="BE395" s="1002"/>
      <c r="BF395" s="1002"/>
      <c r="BG395" s="1002"/>
      <c r="BH395" s="1002"/>
      <c r="BI395" s="1002"/>
      <c r="BJ395" s="1002"/>
      <c r="BK395" s="1002"/>
      <c r="BL395" s="1002"/>
      <c r="BM395" s="1002"/>
      <c r="BN395" s="1002"/>
      <c r="BO395" s="1002"/>
      <c r="BP395" s="1002"/>
      <c r="BQ395" s="1002"/>
      <c r="BR395" s="1002"/>
      <c r="BS395" s="1002"/>
      <c r="BT395" s="1002"/>
      <c r="BU395" s="1002"/>
      <c r="BV395" s="1002"/>
      <c r="BW395" s="1002"/>
      <c r="BX395" s="1002"/>
      <c r="BY395" s="1002"/>
      <c r="BZ395" s="1002"/>
      <c r="CA395" s="1002"/>
      <c r="CB395" s="1002"/>
      <c r="CC395" s="1002"/>
      <c r="CD395" s="1002"/>
      <c r="CE395" s="1002"/>
      <c r="CF395" s="1002"/>
      <c r="CG395" s="1002"/>
      <c r="CH395" s="1002"/>
      <c r="CI395" s="1003"/>
    </row>
    <row r="396" spans="2:87" x14ac:dyDescent="0.2">
      <c r="B396" s="1300"/>
      <c r="C396" s="1301" t="s">
        <v>790</v>
      </c>
      <c r="D396" s="1301"/>
      <c r="E396" s="1301" t="s">
        <v>236</v>
      </c>
      <c r="F396" s="1301">
        <v>2</v>
      </c>
      <c r="G396" s="1002">
        <f t="shared" si="207"/>
        <v>0</v>
      </c>
      <c r="H396" s="1002">
        <f t="shared" si="207"/>
        <v>0</v>
      </c>
      <c r="I396" s="1002">
        <f t="shared" si="207"/>
        <v>193.29541803641143</v>
      </c>
      <c r="J396" s="1002">
        <f t="shared" si="207"/>
        <v>185.73396013764904</v>
      </c>
      <c r="K396" s="1002">
        <f t="shared" si="207"/>
        <v>178.27438726853077</v>
      </c>
      <c r="L396" s="1002">
        <f t="shared" si="207"/>
        <v>168.82275313673597</v>
      </c>
      <c r="M396" s="1002">
        <f t="shared" si="207"/>
        <v>142.49900274888373</v>
      </c>
      <c r="N396" s="1002">
        <f t="shared" si="207"/>
        <v>107.40519221611032</v>
      </c>
      <c r="O396" s="1002">
        <f t="shared" si="207"/>
        <v>87.353743513659978</v>
      </c>
      <c r="P396" s="1002">
        <f t="shared" si="207"/>
        <v>75.329630787832713</v>
      </c>
      <c r="Q396" s="1002">
        <f t="shared" si="207"/>
        <v>62.600303182293615</v>
      </c>
      <c r="R396" s="1002">
        <f t="shared" si="207"/>
        <v>51.295529328873542</v>
      </c>
      <c r="S396" s="1002">
        <f t="shared" si="207"/>
        <v>41.425502408169613</v>
      </c>
      <c r="T396" s="1002">
        <f t="shared" si="207"/>
        <v>31.80035658213788</v>
      </c>
      <c r="U396" s="1002">
        <f t="shared" si="207"/>
        <v>22.340510683668231</v>
      </c>
      <c r="V396" s="1002">
        <f t="shared" si="207"/>
        <v>13.118517672283378</v>
      </c>
      <c r="W396" s="1002">
        <f t="shared" si="207"/>
        <v>8.4725591632842772</v>
      </c>
      <c r="X396" s="1002">
        <f t="shared" si="207"/>
        <v>8.3191840603591523</v>
      </c>
      <c r="Y396" s="1002">
        <f t="shared" si="207"/>
        <v>8.1674859431017204</v>
      </c>
      <c r="Z396" s="1002">
        <f t="shared" si="207"/>
        <v>8.0190446113098677</v>
      </c>
      <c r="AA396" s="1002">
        <f t="shared" si="207"/>
        <v>7.8714823674732211</v>
      </c>
      <c r="AB396" s="1002">
        <f t="shared" si="207"/>
        <v>7.7278259685823194</v>
      </c>
      <c r="AC396" s="1002">
        <f t="shared" si="207"/>
        <v>7.5856282362747169</v>
      </c>
      <c r="AD396" s="1002">
        <f t="shared" si="207"/>
        <v>7.4471667249054603</v>
      </c>
      <c r="AE396" s="1002">
        <f t="shared" si="207"/>
        <v>7.3359172107778781</v>
      </c>
      <c r="AF396" s="1002">
        <f t="shared" si="207"/>
        <v>7.2263168322218458</v>
      </c>
      <c r="AG396" s="1002">
        <f t="shared" si="207"/>
        <v>7.1659606945005905</v>
      </c>
      <c r="AH396" s="1002">
        <f t="shared" si="207"/>
        <v>7.1080285196118549</v>
      </c>
      <c r="AI396" s="1002">
        <f t="shared" si="207"/>
        <v>7.0500905314929536</v>
      </c>
      <c r="AJ396" s="1002">
        <f t="shared" si="207"/>
        <v>6.992943020615102</v>
      </c>
      <c r="AK396" s="1002">
        <f t="shared" si="207"/>
        <v>6.9357619253504339</v>
      </c>
      <c r="AL396" s="1002"/>
      <c r="AM396" s="1002"/>
      <c r="AN396" s="1002"/>
      <c r="AO396" s="1002"/>
      <c r="AP396" s="1002"/>
      <c r="AQ396" s="1002"/>
      <c r="AR396" s="1002"/>
      <c r="AS396" s="1002"/>
      <c r="AT396" s="1002"/>
      <c r="AU396" s="1002"/>
      <c r="AV396" s="1002"/>
      <c r="AW396" s="1002"/>
      <c r="AX396" s="1002"/>
      <c r="AY396" s="1002"/>
      <c r="AZ396" s="1002"/>
      <c r="BA396" s="1002"/>
      <c r="BB396" s="1002"/>
      <c r="BC396" s="1002"/>
      <c r="BD396" s="1002"/>
      <c r="BE396" s="1002"/>
      <c r="BF396" s="1002"/>
      <c r="BG396" s="1002"/>
      <c r="BH396" s="1002"/>
      <c r="BI396" s="1002"/>
      <c r="BJ396" s="1002"/>
      <c r="BK396" s="1002"/>
      <c r="BL396" s="1002"/>
      <c r="BM396" s="1002"/>
      <c r="BN396" s="1002"/>
      <c r="BO396" s="1002"/>
      <c r="BP396" s="1002"/>
      <c r="BQ396" s="1002"/>
      <c r="BR396" s="1002"/>
      <c r="BS396" s="1002"/>
      <c r="BT396" s="1002"/>
      <c r="BU396" s="1002"/>
      <c r="BV396" s="1002"/>
      <c r="BW396" s="1002"/>
      <c r="BX396" s="1002"/>
      <c r="BY396" s="1002"/>
      <c r="BZ396" s="1002"/>
      <c r="CA396" s="1002"/>
      <c r="CB396" s="1002"/>
      <c r="CC396" s="1002"/>
      <c r="CD396" s="1002"/>
      <c r="CE396" s="1002"/>
      <c r="CF396" s="1002"/>
      <c r="CG396" s="1002"/>
      <c r="CH396" s="1002"/>
      <c r="CI396" s="1003"/>
    </row>
    <row r="397" spans="2:87" x14ac:dyDescent="0.2">
      <c r="B397" s="1300"/>
      <c r="C397" s="1301" t="s">
        <v>791</v>
      </c>
      <c r="D397" s="1301"/>
      <c r="E397" s="1301" t="s">
        <v>236</v>
      </c>
      <c r="F397" s="1301">
        <v>2</v>
      </c>
      <c r="G397" s="1002">
        <f>G314+G316-G326-G327</f>
        <v>0</v>
      </c>
      <c r="H397" s="1002">
        <f t="shared" ref="H397:AK397" si="208">H314+H316-H326-H327</f>
        <v>0</v>
      </c>
      <c r="I397" s="1002">
        <f t="shared" si="208"/>
        <v>52.561438366108199</v>
      </c>
      <c r="J397" s="1002">
        <f t="shared" si="208"/>
        <v>51.678562345371311</v>
      </c>
      <c r="K397" s="1002">
        <f t="shared" si="208"/>
        <v>54.173866431900862</v>
      </c>
      <c r="L397" s="1002">
        <f t="shared" si="208"/>
        <v>56.6264264596403</v>
      </c>
      <c r="M397" s="1002">
        <f t="shared" si="208"/>
        <v>60.827632461266973</v>
      </c>
      <c r="N397" s="1002">
        <f t="shared" si="208"/>
        <v>61.247466044269736</v>
      </c>
      <c r="O397" s="1002">
        <f t="shared" si="208"/>
        <v>60.044312815459826</v>
      </c>
      <c r="P397" s="1002">
        <f t="shared" si="208"/>
        <v>61.047278295443142</v>
      </c>
      <c r="Q397" s="1002">
        <f t="shared" si="208"/>
        <v>61.569865666515753</v>
      </c>
      <c r="R397" s="1002">
        <f t="shared" si="208"/>
        <v>61.488295787965946</v>
      </c>
      <c r="S397" s="1002">
        <f t="shared" si="208"/>
        <v>60.988010128095894</v>
      </c>
      <c r="T397" s="1002">
        <f t="shared" si="208"/>
        <v>60.831664991297984</v>
      </c>
      <c r="U397" s="1002">
        <f t="shared" si="208"/>
        <v>60.513298788172513</v>
      </c>
      <c r="V397" s="1002">
        <f t="shared" si="208"/>
        <v>59.876839728680373</v>
      </c>
      <c r="W397" s="1002">
        <f t="shared" si="208"/>
        <v>59.131439195107674</v>
      </c>
      <c r="X397" s="1002">
        <f t="shared" si="208"/>
        <v>58.048141098418185</v>
      </c>
      <c r="Y397" s="1002">
        <f t="shared" si="208"/>
        <v>57.008874213292344</v>
      </c>
      <c r="Z397" s="1002">
        <f t="shared" si="208"/>
        <v>56.48448887465868</v>
      </c>
      <c r="AA397" s="1002">
        <f t="shared" si="208"/>
        <v>56.474675779828168</v>
      </c>
      <c r="AB397" s="1002">
        <f t="shared" si="208"/>
        <v>56.464795724896327</v>
      </c>
      <c r="AC397" s="1002">
        <f t="shared" si="208"/>
        <v>56.453245374620096</v>
      </c>
      <c r="AD397" s="1002">
        <f t="shared" si="208"/>
        <v>56.44081610683714</v>
      </c>
      <c r="AE397" s="1002">
        <f t="shared" si="208"/>
        <v>56.428825580648351</v>
      </c>
      <c r="AF397" s="1002">
        <f t="shared" si="208"/>
        <v>56.419412949416241</v>
      </c>
      <c r="AG397" s="1002">
        <f t="shared" si="208"/>
        <v>56.41165703605639</v>
      </c>
      <c r="AH397" s="1002">
        <f t="shared" si="208"/>
        <v>56.404547960999146</v>
      </c>
      <c r="AI397" s="1002">
        <f t="shared" si="208"/>
        <v>56.398000336312435</v>
      </c>
      <c r="AJ397" s="1002">
        <f t="shared" si="208"/>
        <v>56.392364468134808</v>
      </c>
      <c r="AK397" s="1002">
        <f t="shared" si="208"/>
        <v>56.38706298758828</v>
      </c>
      <c r="AL397" s="1002"/>
      <c r="AM397" s="1002"/>
      <c r="AN397" s="1002"/>
      <c r="AO397" s="1002"/>
      <c r="AP397" s="1002"/>
      <c r="AQ397" s="1002"/>
      <c r="AR397" s="1002"/>
      <c r="AS397" s="1002"/>
      <c r="AT397" s="1002"/>
      <c r="AU397" s="1002"/>
      <c r="AV397" s="1002"/>
      <c r="AW397" s="1002"/>
      <c r="AX397" s="1002"/>
      <c r="AY397" s="1002"/>
      <c r="AZ397" s="1002"/>
      <c r="BA397" s="1002"/>
      <c r="BB397" s="1002"/>
      <c r="BC397" s="1002"/>
      <c r="BD397" s="1002"/>
      <c r="BE397" s="1002"/>
      <c r="BF397" s="1002"/>
      <c r="BG397" s="1002"/>
      <c r="BH397" s="1002"/>
      <c r="BI397" s="1002"/>
      <c r="BJ397" s="1002"/>
      <c r="BK397" s="1002"/>
      <c r="BL397" s="1002"/>
      <c r="BM397" s="1002"/>
      <c r="BN397" s="1002"/>
      <c r="BO397" s="1002"/>
      <c r="BP397" s="1002"/>
      <c r="BQ397" s="1002"/>
      <c r="BR397" s="1002"/>
      <c r="BS397" s="1002"/>
      <c r="BT397" s="1002"/>
      <c r="BU397" s="1002"/>
      <c r="BV397" s="1002"/>
      <c r="BW397" s="1002"/>
      <c r="BX397" s="1002"/>
      <c r="BY397" s="1002"/>
      <c r="BZ397" s="1002"/>
      <c r="CA397" s="1002"/>
      <c r="CB397" s="1002"/>
      <c r="CC397" s="1002"/>
      <c r="CD397" s="1002"/>
      <c r="CE397" s="1002"/>
      <c r="CF397" s="1002"/>
      <c r="CG397" s="1002"/>
      <c r="CH397" s="1002"/>
      <c r="CI397" s="1003"/>
    </row>
    <row r="398" spans="2:87" x14ac:dyDescent="0.2">
      <c r="B398" s="1300"/>
      <c r="C398" s="1301" t="s">
        <v>243</v>
      </c>
      <c r="D398" s="1301"/>
      <c r="E398" s="1301" t="s">
        <v>236</v>
      </c>
      <c r="F398" s="1301">
        <v>2</v>
      </c>
      <c r="G398" s="1002">
        <f>G332</f>
        <v>0</v>
      </c>
      <c r="H398" s="1002">
        <f t="shared" ref="H398:AK398" si="209">H332</f>
        <v>0</v>
      </c>
      <c r="I398" s="1002">
        <f t="shared" si="209"/>
        <v>53.344869343162344</v>
      </c>
      <c r="J398" s="1002">
        <f t="shared" si="209"/>
        <v>52.857053199999996</v>
      </c>
      <c r="K398" s="1002">
        <f t="shared" si="209"/>
        <v>50.790017599999985</v>
      </c>
      <c r="L398" s="1002">
        <f t="shared" si="209"/>
        <v>48.722981999999995</v>
      </c>
      <c r="M398" s="1002">
        <f t="shared" si="209"/>
        <v>48.228415200000001</v>
      </c>
      <c r="N398" s="1002">
        <f t="shared" si="209"/>
        <v>47.733848399999999</v>
      </c>
      <c r="O398" s="1002">
        <f t="shared" si="209"/>
        <v>47.239281599999998</v>
      </c>
      <c r="P398" s="1002">
        <f t="shared" si="209"/>
        <v>46.744714799999997</v>
      </c>
      <c r="Q398" s="1002">
        <f t="shared" si="209"/>
        <v>46.250147999999996</v>
      </c>
      <c r="R398" s="1002">
        <f t="shared" si="209"/>
        <v>45.755581199999995</v>
      </c>
      <c r="S398" s="1002">
        <f t="shared" si="209"/>
        <v>45.261014399999993</v>
      </c>
      <c r="T398" s="1002">
        <f t="shared" si="209"/>
        <v>44.766447599999992</v>
      </c>
      <c r="U398" s="1002">
        <f t="shared" si="209"/>
        <v>44.271880799999991</v>
      </c>
      <c r="V398" s="1002">
        <f t="shared" si="209"/>
        <v>43.77731399999999</v>
      </c>
      <c r="W398" s="1002">
        <f t="shared" si="209"/>
        <v>43.282747199999989</v>
      </c>
      <c r="X398" s="1002">
        <f t="shared" si="209"/>
        <v>42.788180399999987</v>
      </c>
      <c r="Y398" s="1002">
        <f t="shared" si="209"/>
        <v>42.293613599999986</v>
      </c>
      <c r="Z398" s="1002">
        <f t="shared" si="209"/>
        <v>41.799046799999985</v>
      </c>
      <c r="AA398" s="1002">
        <f t="shared" si="209"/>
        <v>41.304479999999984</v>
      </c>
      <c r="AB398" s="1002">
        <f t="shared" si="209"/>
        <v>40.809913199999983</v>
      </c>
      <c r="AC398" s="1002">
        <f t="shared" si="209"/>
        <v>40.315346399999981</v>
      </c>
      <c r="AD398" s="1002">
        <f t="shared" si="209"/>
        <v>39.82077959999998</v>
      </c>
      <c r="AE398" s="1002">
        <f t="shared" si="209"/>
        <v>39.326212799999979</v>
      </c>
      <c r="AF398" s="1002">
        <f t="shared" si="209"/>
        <v>38.831645999999978</v>
      </c>
      <c r="AG398" s="1002">
        <f t="shared" si="209"/>
        <v>38.337079199999977</v>
      </c>
      <c r="AH398" s="1002">
        <f t="shared" si="209"/>
        <v>37.842512399999976</v>
      </c>
      <c r="AI398" s="1002">
        <f t="shared" si="209"/>
        <v>37.347945599999974</v>
      </c>
      <c r="AJ398" s="1002">
        <f t="shared" si="209"/>
        <v>36.853378799999973</v>
      </c>
      <c r="AK398" s="1002">
        <f t="shared" si="209"/>
        <v>36.358812</v>
      </c>
      <c r="AL398" s="1002"/>
      <c r="AM398" s="1002"/>
      <c r="AN398" s="1002"/>
      <c r="AO398" s="1002"/>
      <c r="AP398" s="1002"/>
      <c r="AQ398" s="1002"/>
      <c r="AR398" s="1002"/>
      <c r="AS398" s="1002"/>
      <c r="AT398" s="1002"/>
      <c r="AU398" s="1002"/>
      <c r="AV398" s="1002"/>
      <c r="AW398" s="1002"/>
      <c r="AX398" s="1002"/>
      <c r="AY398" s="1002"/>
      <c r="AZ398" s="1002"/>
      <c r="BA398" s="1002"/>
      <c r="BB398" s="1002"/>
      <c r="BC398" s="1002"/>
      <c r="BD398" s="1002"/>
      <c r="BE398" s="1002"/>
      <c r="BF398" s="1002"/>
      <c r="BG398" s="1002"/>
      <c r="BH398" s="1002"/>
      <c r="BI398" s="1002"/>
      <c r="BJ398" s="1002"/>
      <c r="BK398" s="1002"/>
      <c r="BL398" s="1002"/>
      <c r="BM398" s="1002"/>
      <c r="BN398" s="1002"/>
      <c r="BO398" s="1002"/>
      <c r="BP398" s="1002"/>
      <c r="BQ398" s="1002"/>
      <c r="BR398" s="1002"/>
      <c r="BS398" s="1002"/>
      <c r="BT398" s="1002"/>
      <c r="BU398" s="1002"/>
      <c r="BV398" s="1002"/>
      <c r="BW398" s="1002"/>
      <c r="BX398" s="1002"/>
      <c r="BY398" s="1002"/>
      <c r="BZ398" s="1002"/>
      <c r="CA398" s="1002"/>
      <c r="CB398" s="1002"/>
      <c r="CC398" s="1002"/>
      <c r="CD398" s="1002"/>
      <c r="CE398" s="1002"/>
      <c r="CF398" s="1002"/>
      <c r="CG398" s="1002"/>
      <c r="CH398" s="1002"/>
      <c r="CI398" s="1003"/>
    </row>
    <row r="399" spans="2:87" x14ac:dyDescent="0.2">
      <c r="B399" s="1300"/>
      <c r="C399" s="1301" t="s">
        <v>792</v>
      </c>
      <c r="D399" s="1301"/>
      <c r="E399" s="1301" t="s">
        <v>236</v>
      </c>
      <c r="F399" s="1301">
        <v>2</v>
      </c>
      <c r="G399" s="1002">
        <f>G356-SUM(G395:G398)</f>
        <v>0</v>
      </c>
      <c r="H399" s="1002">
        <f t="shared" ref="H399:AK399" si="210">H356-SUM(H395:H398)</f>
        <v>0</v>
      </c>
      <c r="I399" s="1002">
        <f t="shared" si="210"/>
        <v>9.797908042136612</v>
      </c>
      <c r="J399" s="1002">
        <f t="shared" si="210"/>
        <v>9.7984853079884147</v>
      </c>
      <c r="K399" s="1002">
        <f t="shared" si="210"/>
        <v>9.7911104284467569</v>
      </c>
      <c r="L399" s="1002">
        <f t="shared" si="210"/>
        <v>9.7829638246856234</v>
      </c>
      <c r="M399" s="1002">
        <f t="shared" si="210"/>
        <v>9.8109495925564829</v>
      </c>
      <c r="N399" s="1002">
        <f t="shared" si="210"/>
        <v>9.8034625623421334</v>
      </c>
      <c r="O399" s="1002">
        <f t="shared" si="210"/>
        <v>9.7958845121603417</v>
      </c>
      <c r="P399" s="1002">
        <f t="shared" si="210"/>
        <v>9.7888075608948952</v>
      </c>
      <c r="Q399" s="1002">
        <f t="shared" si="210"/>
        <v>9.7832807928793386</v>
      </c>
      <c r="R399" s="1002">
        <f t="shared" si="210"/>
        <v>9.7781680115711538</v>
      </c>
      <c r="S399" s="1002">
        <f t="shared" si="210"/>
        <v>9.7733752897817112</v>
      </c>
      <c r="T399" s="1002">
        <f t="shared" si="210"/>
        <v>9.7690376651507336</v>
      </c>
      <c r="U399" s="1002">
        <f t="shared" si="210"/>
        <v>9.7653630459332703</v>
      </c>
      <c r="V399" s="1002">
        <f t="shared" si="210"/>
        <v>9.7611784184434214</v>
      </c>
      <c r="W399" s="1002">
        <f t="shared" si="210"/>
        <v>9.7568378834126293</v>
      </c>
      <c r="X399" s="1002">
        <f t="shared" si="210"/>
        <v>9.7522782600178743</v>
      </c>
      <c r="Y399" s="1002">
        <f t="shared" si="210"/>
        <v>9.747619443770418</v>
      </c>
      <c r="Z399" s="1002">
        <f t="shared" si="210"/>
        <v>9.7428706361555442</v>
      </c>
      <c r="AA399" s="1002">
        <f t="shared" si="210"/>
        <v>9.7380310512349411</v>
      </c>
      <c r="AB399" s="1002">
        <f t="shared" si="210"/>
        <v>9.7331035275950626</v>
      </c>
      <c r="AC399" s="1002">
        <f t="shared" si="210"/>
        <v>9.7280812042138791</v>
      </c>
      <c r="AD399" s="1002">
        <f t="shared" si="210"/>
        <v>9.7229658844075857</v>
      </c>
      <c r="AE399" s="1002">
        <f t="shared" si="210"/>
        <v>9.7177580933531544</v>
      </c>
      <c r="AF399" s="1002">
        <f t="shared" si="210"/>
        <v>9.7124571835083771</v>
      </c>
      <c r="AG399" s="1002">
        <f t="shared" si="210"/>
        <v>9.7070687971143457</v>
      </c>
      <c r="AH399" s="1002">
        <f t="shared" si="210"/>
        <v>9.7015913665413223</v>
      </c>
      <c r="AI399" s="1002">
        <f t="shared" si="210"/>
        <v>9.6960256925206068</v>
      </c>
      <c r="AJ399" s="1002">
        <f t="shared" si="210"/>
        <v>9.690372771821103</v>
      </c>
      <c r="AK399" s="1002">
        <f t="shared" si="210"/>
        <v>9.6846342487529</v>
      </c>
      <c r="AL399" s="1002"/>
      <c r="AM399" s="1002"/>
      <c r="AN399" s="1002"/>
      <c r="AO399" s="1002"/>
      <c r="AP399" s="1002"/>
      <c r="AQ399" s="1002"/>
      <c r="AR399" s="1002"/>
      <c r="AS399" s="1002"/>
      <c r="AT399" s="1002"/>
      <c r="AU399" s="1002"/>
      <c r="AV399" s="1002"/>
      <c r="AW399" s="1002"/>
      <c r="AX399" s="1002"/>
      <c r="AY399" s="1002"/>
      <c r="AZ399" s="1002"/>
      <c r="BA399" s="1002"/>
      <c r="BB399" s="1002"/>
      <c r="BC399" s="1002"/>
      <c r="BD399" s="1002"/>
      <c r="BE399" s="1002"/>
      <c r="BF399" s="1002"/>
      <c r="BG399" s="1002"/>
      <c r="BH399" s="1002"/>
      <c r="BI399" s="1002"/>
      <c r="BJ399" s="1002"/>
      <c r="BK399" s="1002"/>
      <c r="BL399" s="1002"/>
      <c r="BM399" s="1002"/>
      <c r="BN399" s="1002"/>
      <c r="BO399" s="1002"/>
      <c r="BP399" s="1002"/>
      <c r="BQ399" s="1002"/>
      <c r="BR399" s="1002"/>
      <c r="BS399" s="1002"/>
      <c r="BT399" s="1002"/>
      <c r="BU399" s="1002"/>
      <c r="BV399" s="1002"/>
      <c r="BW399" s="1002"/>
      <c r="BX399" s="1002"/>
      <c r="BY399" s="1002"/>
      <c r="BZ399" s="1002"/>
      <c r="CA399" s="1002"/>
      <c r="CB399" s="1002"/>
      <c r="CC399" s="1002"/>
      <c r="CD399" s="1002"/>
      <c r="CE399" s="1002"/>
      <c r="CF399" s="1002"/>
      <c r="CG399" s="1002"/>
      <c r="CH399" s="1002"/>
      <c r="CI399" s="1003"/>
    </row>
    <row r="400" spans="2:87" x14ac:dyDescent="0.2">
      <c r="B400" s="1300"/>
      <c r="C400" s="1301" t="s">
        <v>793</v>
      </c>
      <c r="D400" s="1301"/>
      <c r="E400" s="1301" t="s">
        <v>236</v>
      </c>
      <c r="F400" s="1301">
        <v>2</v>
      </c>
      <c r="G400" s="1002">
        <f>G313</f>
        <v>0</v>
      </c>
      <c r="H400" s="1002">
        <f t="shared" ref="H400:AK400" si="211">H313</f>
        <v>0</v>
      </c>
      <c r="I400" s="1002">
        <f t="shared" si="211"/>
        <v>502.31576232105431</v>
      </c>
      <c r="J400" s="1002">
        <f t="shared" si="211"/>
        <v>502.31576232105431</v>
      </c>
      <c r="K400" s="1002">
        <f t="shared" si="211"/>
        <v>502.31576232105431</v>
      </c>
      <c r="L400" s="1002">
        <f t="shared" si="211"/>
        <v>501.97775074561082</v>
      </c>
      <c r="M400" s="1002">
        <f t="shared" si="211"/>
        <v>501.64159880334489</v>
      </c>
      <c r="N400" s="1002">
        <f t="shared" si="211"/>
        <v>499.82125374308856</v>
      </c>
      <c r="O400" s="1002">
        <f t="shared" si="211"/>
        <v>505.6606807003555</v>
      </c>
      <c r="P400" s="1002">
        <f t="shared" si="211"/>
        <v>505.32941029518076</v>
      </c>
      <c r="Q400" s="1002">
        <f t="shared" si="211"/>
        <v>504.99953461488928</v>
      </c>
      <c r="R400" s="1002">
        <f t="shared" si="211"/>
        <v>499.67012384289217</v>
      </c>
      <c r="S400" s="1002">
        <f t="shared" si="211"/>
        <v>499.33931834601185</v>
      </c>
      <c r="T400" s="1002">
        <f t="shared" si="211"/>
        <v>499.01060493645628</v>
      </c>
      <c r="U400" s="1002">
        <f t="shared" si="211"/>
        <v>498.6800318937232</v>
      </c>
      <c r="V400" s="1002">
        <f t="shared" si="211"/>
        <v>503.51003189372312</v>
      </c>
      <c r="W400" s="1002">
        <f t="shared" si="211"/>
        <v>523.5123564351951</v>
      </c>
      <c r="X400" s="1002">
        <f t="shared" si="211"/>
        <v>523.5123564351951</v>
      </c>
      <c r="Y400" s="1002">
        <f t="shared" si="211"/>
        <v>523.5123564351951</v>
      </c>
      <c r="Z400" s="1002">
        <f t="shared" si="211"/>
        <v>523.5123564351951</v>
      </c>
      <c r="AA400" s="1002">
        <f t="shared" si="211"/>
        <v>523.5123564351951</v>
      </c>
      <c r="AB400" s="1002">
        <f t="shared" si="211"/>
        <v>521.51468097666714</v>
      </c>
      <c r="AC400" s="1002">
        <f t="shared" si="211"/>
        <v>521.51468097666714</v>
      </c>
      <c r="AD400" s="1002">
        <f t="shared" si="211"/>
        <v>521.51468097666714</v>
      </c>
      <c r="AE400" s="1002">
        <f t="shared" si="211"/>
        <v>521.51468097666714</v>
      </c>
      <c r="AF400" s="1002">
        <f t="shared" si="211"/>
        <v>521.51468097666714</v>
      </c>
      <c r="AG400" s="1002">
        <f t="shared" si="211"/>
        <v>521.51468097666714</v>
      </c>
      <c r="AH400" s="1002">
        <f t="shared" si="211"/>
        <v>521.51468097666714</v>
      </c>
      <c r="AI400" s="1002">
        <f t="shared" si="211"/>
        <v>521.51700551813906</v>
      </c>
      <c r="AJ400" s="1002">
        <f t="shared" si="211"/>
        <v>521.51700551813906</v>
      </c>
      <c r="AK400" s="1002">
        <f t="shared" si="211"/>
        <v>521.51700551813906</v>
      </c>
      <c r="AL400" s="1002"/>
      <c r="AM400" s="1002"/>
      <c r="AN400" s="1002"/>
      <c r="AO400" s="1002"/>
      <c r="AP400" s="1002"/>
      <c r="AQ400" s="1002"/>
      <c r="AR400" s="1002"/>
      <c r="AS400" s="1002"/>
      <c r="AT400" s="1002"/>
      <c r="AU400" s="1002"/>
      <c r="AV400" s="1002"/>
      <c r="AW400" s="1002"/>
      <c r="AX400" s="1002"/>
      <c r="AY400" s="1002"/>
      <c r="AZ400" s="1002"/>
      <c r="BA400" s="1002"/>
      <c r="BB400" s="1002"/>
      <c r="BC400" s="1002"/>
      <c r="BD400" s="1002"/>
      <c r="BE400" s="1002"/>
      <c r="BF400" s="1002"/>
      <c r="BG400" s="1002"/>
      <c r="BH400" s="1002"/>
      <c r="BI400" s="1002"/>
      <c r="BJ400" s="1002"/>
      <c r="BK400" s="1002"/>
      <c r="BL400" s="1002"/>
      <c r="BM400" s="1002"/>
      <c r="BN400" s="1002"/>
      <c r="BO400" s="1002"/>
      <c r="BP400" s="1002"/>
      <c r="BQ400" s="1002"/>
      <c r="BR400" s="1002"/>
      <c r="BS400" s="1002"/>
      <c r="BT400" s="1002"/>
      <c r="BU400" s="1002"/>
      <c r="BV400" s="1002"/>
      <c r="BW400" s="1002"/>
      <c r="BX400" s="1002"/>
      <c r="BY400" s="1002"/>
      <c r="BZ400" s="1002"/>
      <c r="CA400" s="1002"/>
      <c r="CB400" s="1002"/>
      <c r="CC400" s="1002"/>
      <c r="CD400" s="1002"/>
      <c r="CE400" s="1002"/>
      <c r="CF400" s="1002"/>
      <c r="CG400" s="1002"/>
      <c r="CH400" s="1002"/>
      <c r="CI400" s="1003"/>
    </row>
    <row r="401" spans="2:87" x14ac:dyDescent="0.2">
      <c r="B401" s="1300"/>
      <c r="C401" s="1301" t="s">
        <v>794</v>
      </c>
      <c r="D401" s="1301"/>
      <c r="E401" s="1301" t="s">
        <v>236</v>
      </c>
      <c r="F401" s="1301">
        <v>2</v>
      </c>
      <c r="G401" s="1002">
        <f>SUM(G395:G399)+G359</f>
        <v>0</v>
      </c>
      <c r="H401" s="1002">
        <f t="shared" ref="H401:AK401" si="212">SUM(H395:H399)+H359</f>
        <v>0</v>
      </c>
      <c r="I401" s="1002">
        <f t="shared" si="212"/>
        <v>503.14983665695337</v>
      </c>
      <c r="J401" s="1002">
        <f t="shared" si="212"/>
        <v>497.59427503920034</v>
      </c>
      <c r="K401" s="1002">
        <f t="shared" si="212"/>
        <v>495.3357952175266</v>
      </c>
      <c r="L401" s="1002">
        <f t="shared" si="212"/>
        <v>491.28255545134982</v>
      </c>
      <c r="M401" s="1002">
        <f t="shared" si="212"/>
        <v>488.83965538770684</v>
      </c>
      <c r="N401" s="1002">
        <f t="shared" si="212"/>
        <v>482.89324023133753</v>
      </c>
      <c r="O401" s="1002">
        <f t="shared" si="212"/>
        <v>477.58543435296878</v>
      </c>
      <c r="P401" s="1002">
        <f t="shared" si="212"/>
        <v>474.62088960145559</v>
      </c>
      <c r="Q401" s="1002">
        <f t="shared" si="212"/>
        <v>470.4085965216675</v>
      </c>
      <c r="R401" s="1002">
        <f t="shared" si="212"/>
        <v>465.14539886180518</v>
      </c>
      <c r="S401" s="1002">
        <f t="shared" si="212"/>
        <v>459.62304290253786</v>
      </c>
      <c r="T401" s="1002">
        <f t="shared" si="212"/>
        <v>454.31202422072056</v>
      </c>
      <c r="U401" s="1002">
        <f t="shared" si="212"/>
        <v>448.31155618767752</v>
      </c>
      <c r="V401" s="1002">
        <f t="shared" si="212"/>
        <v>441.92665336807056</v>
      </c>
      <c r="W401" s="1002">
        <f t="shared" si="212"/>
        <v>437.83545862357727</v>
      </c>
      <c r="X401" s="1002">
        <f t="shared" si="212"/>
        <v>434.11144539261119</v>
      </c>
      <c r="Y401" s="1002">
        <f t="shared" si="212"/>
        <v>430.50533115806053</v>
      </c>
      <c r="Z401" s="1002">
        <f t="shared" si="212"/>
        <v>427.56964841881785</v>
      </c>
      <c r="AA401" s="1002">
        <f t="shared" si="212"/>
        <v>425.28485969068282</v>
      </c>
      <c r="AB401" s="1002">
        <f t="shared" si="212"/>
        <v>422.7011427966433</v>
      </c>
      <c r="AC401" s="1002">
        <f t="shared" si="212"/>
        <v>420.61054453295839</v>
      </c>
      <c r="AD401" s="1002">
        <f t="shared" si="212"/>
        <v>418.79515917250785</v>
      </c>
      <c r="AE401" s="1002">
        <f t="shared" si="212"/>
        <v>418.06200798551509</v>
      </c>
      <c r="AF401" s="1002">
        <f t="shared" si="212"/>
        <v>417.32487203706199</v>
      </c>
      <c r="AG401" s="1002">
        <f t="shared" si="212"/>
        <v>418.67307187042445</v>
      </c>
      <c r="AH401" s="1002">
        <f t="shared" si="212"/>
        <v>420.06533423908525</v>
      </c>
      <c r="AI401" s="1002">
        <f t="shared" si="212"/>
        <v>421.5019866497633</v>
      </c>
      <c r="AJ401" s="1002">
        <f t="shared" si="212"/>
        <v>423.03976967261121</v>
      </c>
      <c r="AK401" s="1002">
        <f t="shared" si="212"/>
        <v>424.6691141140451</v>
      </c>
      <c r="AL401" s="1002"/>
      <c r="AM401" s="1002"/>
      <c r="AN401" s="1002"/>
      <c r="AO401" s="1002"/>
      <c r="AP401" s="1002"/>
      <c r="AQ401" s="1002"/>
      <c r="AR401" s="1002"/>
      <c r="AS401" s="1002"/>
      <c r="AT401" s="1002"/>
      <c r="AU401" s="1002"/>
      <c r="AV401" s="1002"/>
      <c r="AW401" s="1002"/>
      <c r="AX401" s="1002"/>
      <c r="AY401" s="1002"/>
      <c r="AZ401" s="1002"/>
      <c r="BA401" s="1002"/>
      <c r="BB401" s="1002"/>
      <c r="BC401" s="1002"/>
      <c r="BD401" s="1002"/>
      <c r="BE401" s="1002"/>
      <c r="BF401" s="1002"/>
      <c r="BG401" s="1002"/>
      <c r="BH401" s="1002"/>
      <c r="BI401" s="1002"/>
      <c r="BJ401" s="1002"/>
      <c r="BK401" s="1002"/>
      <c r="BL401" s="1002"/>
      <c r="BM401" s="1002"/>
      <c r="BN401" s="1002"/>
      <c r="BO401" s="1002"/>
      <c r="BP401" s="1002"/>
      <c r="BQ401" s="1002"/>
      <c r="BR401" s="1002"/>
      <c r="BS401" s="1002"/>
      <c r="BT401" s="1002"/>
      <c r="BU401" s="1002"/>
      <c r="BV401" s="1002"/>
      <c r="BW401" s="1002"/>
      <c r="BX401" s="1002"/>
      <c r="BY401" s="1002"/>
      <c r="BZ401" s="1002"/>
      <c r="CA401" s="1002"/>
      <c r="CB401" s="1002"/>
      <c r="CC401" s="1002"/>
      <c r="CD401" s="1002"/>
      <c r="CE401" s="1002"/>
      <c r="CF401" s="1002"/>
      <c r="CG401" s="1002"/>
      <c r="CH401" s="1002"/>
      <c r="CI401" s="1003"/>
    </row>
    <row r="402" spans="2:87" ht="15" thickBot="1" x14ac:dyDescent="0.25">
      <c r="B402" s="1303"/>
      <c r="C402" s="1304"/>
      <c r="D402" s="1304"/>
      <c r="E402" s="1304"/>
      <c r="F402" s="1304"/>
      <c r="G402" s="1304"/>
      <c r="H402" s="1304"/>
      <c r="I402" s="1304"/>
      <c r="J402" s="1304"/>
      <c r="K402" s="1304"/>
      <c r="L402" s="1304"/>
      <c r="M402" s="1304"/>
      <c r="N402" s="1304"/>
      <c r="O402" s="1304"/>
      <c r="P402" s="1304"/>
      <c r="Q402" s="1304"/>
      <c r="R402" s="1304"/>
      <c r="S402" s="1304"/>
      <c r="T402" s="1304"/>
      <c r="U402" s="1304"/>
      <c r="V402" s="1304"/>
      <c r="W402" s="1304"/>
      <c r="X402" s="1304"/>
      <c r="Y402" s="1304"/>
      <c r="Z402" s="1304"/>
      <c r="AA402" s="1304"/>
      <c r="AB402" s="1304"/>
      <c r="AC402" s="1304"/>
      <c r="AD402" s="1304"/>
      <c r="AE402" s="1304"/>
      <c r="AF402" s="1304"/>
      <c r="AG402" s="1304"/>
      <c r="AH402" s="1304"/>
      <c r="AI402" s="1304"/>
      <c r="AJ402" s="1304"/>
      <c r="AK402" s="1304"/>
      <c r="AL402" s="1304"/>
      <c r="AM402" s="1304"/>
      <c r="AN402" s="1304"/>
      <c r="AO402" s="1304"/>
      <c r="AP402" s="1304"/>
      <c r="AQ402" s="1304"/>
      <c r="AR402" s="1304"/>
      <c r="AS402" s="1304"/>
      <c r="AT402" s="1304"/>
      <c r="AU402" s="1304"/>
      <c r="AV402" s="1304"/>
      <c r="AW402" s="1304"/>
      <c r="AX402" s="1304"/>
      <c r="AY402" s="1304"/>
      <c r="AZ402" s="1304"/>
      <c r="BA402" s="1304"/>
      <c r="BB402" s="1304"/>
      <c r="BC402" s="1304"/>
      <c r="BD402" s="1304"/>
      <c r="BE402" s="1304"/>
      <c r="BF402" s="1304"/>
      <c r="BG402" s="1304"/>
      <c r="BH402" s="1304"/>
      <c r="BI402" s="1304"/>
      <c r="BJ402" s="1304"/>
      <c r="BK402" s="1304"/>
      <c r="BL402" s="1304"/>
      <c r="BM402" s="1304"/>
      <c r="BN402" s="1304"/>
      <c r="BO402" s="1304"/>
      <c r="BP402" s="1304"/>
      <c r="BQ402" s="1304"/>
      <c r="BR402" s="1304"/>
      <c r="BS402" s="1304"/>
      <c r="BT402" s="1304"/>
      <c r="BU402" s="1304"/>
      <c r="BV402" s="1304"/>
      <c r="BW402" s="1304"/>
      <c r="BX402" s="1304"/>
      <c r="BY402" s="1304"/>
      <c r="BZ402" s="1304"/>
      <c r="CA402" s="1304"/>
      <c r="CB402" s="1304"/>
      <c r="CC402" s="1304"/>
      <c r="CD402" s="1304"/>
      <c r="CE402" s="1304"/>
      <c r="CF402" s="1304"/>
      <c r="CG402" s="1304"/>
      <c r="CH402" s="1304"/>
      <c r="CI402" s="1305"/>
    </row>
  </sheetData>
  <conditionalFormatting sqref="B102 D102:E102 B103:E106">
    <cfRule type="expression" dxfId="3510" priority="16">
      <formula>"error.type(c3)=5"</formula>
    </cfRule>
    <cfRule type="expression" dxfId="3509" priority="17">
      <formula>ERROR.TYPE(B102)=2</formula>
    </cfRule>
    <cfRule type="expression" dxfId="3508" priority="18">
      <formula>ISNA(B102)</formula>
    </cfRule>
  </conditionalFormatting>
  <conditionalFormatting sqref="B277 D277:E277 B280 D280:E280">
    <cfRule type="expression" dxfId="3507" priority="63">
      <formula>"error.type(c3)=5"</formula>
    </cfRule>
    <cfRule type="expression" dxfId="3506" priority="64">
      <formula>ERROR.TYPE(B277)=2</formula>
    </cfRule>
    <cfRule type="expression" dxfId="3505" priority="65">
      <formula>ISNA(B277)</formula>
    </cfRule>
  </conditionalFormatting>
  <conditionalFormatting sqref="B282:B287 D282:E287">
    <cfRule type="expression" dxfId="3504" priority="13">
      <formula>"error.type(c3)=5"</formula>
    </cfRule>
    <cfRule type="expression" dxfId="3503" priority="14">
      <formula>ERROR.TYPE(B282)=2</formula>
    </cfRule>
    <cfRule type="expression" dxfId="3502" priority="15">
      <formula>ISNA(B282)</formula>
    </cfRule>
  </conditionalFormatting>
  <conditionalFormatting sqref="B293 D293:E293 B299 D299:E299 B300:E300">
    <cfRule type="expression" dxfId="3501" priority="108">
      <formula>"error.type(c3)=5"</formula>
    </cfRule>
    <cfRule type="expression" dxfId="3500" priority="109">
      <formula>ERROR.TYPE(B293)=2</formula>
    </cfRule>
    <cfRule type="expression" dxfId="3499" priority="110">
      <formula>ISNA(B293)</formula>
    </cfRule>
  </conditionalFormatting>
  <conditionalFormatting sqref="B95:E99">
    <cfRule type="expression" dxfId="3498" priority="117">
      <formula>"error.type(c3)=5"</formula>
    </cfRule>
    <cfRule type="expression" dxfId="3497" priority="118">
      <formula>ERROR.TYPE(B95)=2</formula>
    </cfRule>
    <cfRule type="expression" dxfId="3496" priority="119">
      <formula>ISNA(B95)</formula>
    </cfRule>
  </conditionalFormatting>
  <conditionalFormatting sqref="B112:E112 B118:E119 B276:E276 B278:E279">
    <cfRule type="expression" dxfId="3495" priority="162">
      <formula>"error.type(c3)=5"</formula>
    </cfRule>
    <cfRule type="expression" dxfId="3494" priority="163">
      <formula>ERROR.TYPE(B112)=2</formula>
    </cfRule>
    <cfRule type="expression" dxfId="3493" priority="164">
      <formula>ISNA(B112)</formula>
    </cfRule>
  </conditionalFormatting>
  <conditionalFormatting sqref="C31">
    <cfRule type="expression" dxfId="3492" priority="39">
      <formula>"error.type(c3)=5"</formula>
    </cfRule>
    <cfRule type="expression" dxfId="3491" priority="40">
      <formula>ERROR.TYPE(C31)=2</formula>
    </cfRule>
    <cfRule type="expression" dxfId="3490" priority="41">
      <formula>ISNA(C31)</formula>
    </cfRule>
  </conditionalFormatting>
  <conditionalFormatting sqref="C33:C40">
    <cfRule type="expression" dxfId="3489" priority="141">
      <formula>"error.type(c3)=5"</formula>
    </cfRule>
    <cfRule type="expression" dxfId="3488" priority="142">
      <formula>ERROR.TYPE(C33)=2</formula>
    </cfRule>
    <cfRule type="expression" dxfId="3487" priority="143">
      <formula>ISNA(C33)</formula>
    </cfRule>
  </conditionalFormatting>
  <conditionalFormatting sqref="C45:C49">
    <cfRule type="expression" dxfId="3486" priority="156">
      <formula>"error.type(c3)=5"</formula>
    </cfRule>
    <cfRule type="expression" dxfId="3485" priority="157">
      <formula>ERROR.TYPE(C45)=2</formula>
    </cfRule>
    <cfRule type="expression" dxfId="3484" priority="158">
      <formula>ISNA(C45)</formula>
    </cfRule>
  </conditionalFormatting>
  <conditionalFormatting sqref="C56:C59">
    <cfRule type="expression" dxfId="3483" priority="150">
      <formula>"error.type(c3)=5"</formula>
    </cfRule>
    <cfRule type="expression" dxfId="3482" priority="151">
      <formula>ERROR.TYPE(C56)=2</formula>
    </cfRule>
    <cfRule type="expression" dxfId="3481" priority="152">
      <formula>ISNA(C56)</formula>
    </cfRule>
  </conditionalFormatting>
  <conditionalFormatting sqref="C64">
    <cfRule type="expression" dxfId="3480" priority="147">
      <formula>"error.type(c3)=5"</formula>
    </cfRule>
    <cfRule type="expression" dxfId="3479" priority="148">
      <formula>ERROR.TYPE(C64)=2</formula>
    </cfRule>
    <cfRule type="expression" dxfId="3478" priority="149">
      <formula>ISNA(C64)</formula>
    </cfRule>
  </conditionalFormatting>
  <conditionalFormatting sqref="C78">
    <cfRule type="expression" dxfId="3477" priority="144">
      <formula>"error.type(c3)=5"</formula>
    </cfRule>
    <cfRule type="expression" dxfId="3476" priority="145">
      <formula>ERROR.TYPE(C78)=2</formula>
    </cfRule>
    <cfRule type="expression" dxfId="3475" priority="146">
      <formula>ISNA(C78)</formula>
    </cfRule>
  </conditionalFormatting>
  <conditionalFormatting sqref="C128:C130">
    <cfRule type="expression" dxfId="3474" priority="36">
      <formula>"error.type(c3)=5"</formula>
    </cfRule>
    <cfRule type="expression" dxfId="3473" priority="37">
      <formula>ERROR.TYPE(C128)=2</formula>
    </cfRule>
    <cfRule type="expression" dxfId="3472" priority="38">
      <formula>ISNA(C128)</formula>
    </cfRule>
  </conditionalFormatting>
  <conditionalFormatting sqref="C134:C139">
    <cfRule type="expression" dxfId="3471" priority="27">
      <formula>"error.type(c3)=5"</formula>
    </cfRule>
    <cfRule type="expression" dxfId="3470" priority="28">
      <formula>ERROR.TYPE(C134)=2</formula>
    </cfRule>
    <cfRule type="expression" dxfId="3469" priority="29">
      <formula>ISNA(C134)</formula>
    </cfRule>
  </conditionalFormatting>
  <conditionalFormatting sqref="C146:C149">
    <cfRule type="expression" dxfId="3468" priority="129">
      <formula>"error.type(c3)=5"</formula>
    </cfRule>
    <cfRule type="expression" dxfId="3467" priority="130">
      <formula>ERROR.TYPE(C146)=2</formula>
    </cfRule>
    <cfRule type="expression" dxfId="3466" priority="131">
      <formula>ISNA(C146)</formula>
    </cfRule>
  </conditionalFormatting>
  <conditionalFormatting sqref="C154">
    <cfRule type="expression" dxfId="3465" priority="126">
      <formula>"error.type(c3)=5"</formula>
    </cfRule>
    <cfRule type="expression" dxfId="3464" priority="127">
      <formula>ERROR.TYPE(C154)=2</formula>
    </cfRule>
    <cfRule type="expression" dxfId="3463" priority="128">
      <formula>ISNA(C154)</formula>
    </cfRule>
  </conditionalFormatting>
  <conditionalFormatting sqref="C168">
    <cfRule type="expression" dxfId="3462" priority="123">
      <formula>"error.type(c3)=5"</formula>
    </cfRule>
    <cfRule type="expression" dxfId="3461" priority="124">
      <formula>ERROR.TYPE(C168)=2</formula>
    </cfRule>
    <cfRule type="expression" dxfId="3460" priority="125">
      <formula>ISNA(C168)</formula>
    </cfRule>
  </conditionalFormatting>
  <conditionalFormatting sqref="C212">
    <cfRule type="expression" dxfId="3459" priority="33">
      <formula>"error.type(c3)=5"</formula>
    </cfRule>
    <cfRule type="expression" dxfId="3458" priority="34">
      <formula>ERROR.TYPE(C212)=2</formula>
    </cfRule>
    <cfRule type="expression" dxfId="3457" priority="35">
      <formula>ISNA(C212)</formula>
    </cfRule>
  </conditionalFormatting>
  <conditionalFormatting sqref="C214:C221">
    <cfRule type="expression" dxfId="3456" priority="42">
      <formula>"error.type(c3)=5"</formula>
    </cfRule>
    <cfRule type="expression" dxfId="3455" priority="43">
      <formula>ERROR.TYPE(C214)=2</formula>
    </cfRule>
    <cfRule type="expression" dxfId="3454" priority="44">
      <formula>ISNA(C214)</formula>
    </cfRule>
  </conditionalFormatting>
  <conditionalFormatting sqref="C225:C230">
    <cfRule type="expression" dxfId="3453" priority="24">
      <formula>"error.type(c3)=5"</formula>
    </cfRule>
    <cfRule type="expression" dxfId="3452" priority="25">
      <formula>ERROR.TYPE(C225)=2</formula>
    </cfRule>
    <cfRule type="expression" dxfId="3451" priority="26">
      <formula>ISNA(C225)</formula>
    </cfRule>
  </conditionalFormatting>
  <conditionalFormatting sqref="C237:C240">
    <cfRule type="expression" dxfId="3450" priority="96">
      <formula>"error.type(c3)=5"</formula>
    </cfRule>
    <cfRule type="expression" dxfId="3449" priority="97">
      <formula>ERROR.TYPE(C237)=2</formula>
    </cfRule>
    <cfRule type="expression" dxfId="3448" priority="98">
      <formula>ISNA(C237)</formula>
    </cfRule>
  </conditionalFormatting>
  <conditionalFormatting sqref="C245">
    <cfRule type="expression" dxfId="3447" priority="93">
      <formula>"error.type(c3)=5"</formula>
    </cfRule>
    <cfRule type="expression" dxfId="3446" priority="94">
      <formula>ERROR.TYPE(C245)=2</formula>
    </cfRule>
    <cfRule type="expression" dxfId="3445" priority="95">
      <formula>ISNA(C245)</formula>
    </cfRule>
  </conditionalFormatting>
  <conditionalFormatting sqref="C259">
    <cfRule type="expression" dxfId="3444" priority="90">
      <formula>"error.type(c3)=5"</formula>
    </cfRule>
    <cfRule type="expression" dxfId="3443" priority="91">
      <formula>ERROR.TYPE(C259)=2</formula>
    </cfRule>
    <cfRule type="expression" dxfId="3442" priority="92">
      <formula>ISNA(C259)</formula>
    </cfRule>
  </conditionalFormatting>
  <conditionalFormatting sqref="C277 C280">
    <cfRule type="expression" dxfId="3441" priority="51">
      <formula>"error.type(c3)=5"</formula>
    </cfRule>
    <cfRule type="expression" dxfId="3440" priority="52">
      <formula>ERROR.TYPE(C277)=2</formula>
    </cfRule>
    <cfRule type="expression" dxfId="3439" priority="53">
      <formula>ISNA(C277)</formula>
    </cfRule>
  </conditionalFormatting>
  <conditionalFormatting sqref="C282:C287">
    <cfRule type="expression" dxfId="3438" priority="10">
      <formula>"error.type(c3)=5"</formula>
    </cfRule>
    <cfRule type="expression" dxfId="3437" priority="11">
      <formula>ERROR.TYPE(C282)=2</formula>
    </cfRule>
    <cfRule type="expression" dxfId="3436" priority="12">
      <formula>ISNA(C282)</formula>
    </cfRule>
  </conditionalFormatting>
  <conditionalFormatting sqref="C293 C299">
    <cfRule type="expression" dxfId="3435" priority="54">
      <formula>"error.type(c3)=5"</formula>
    </cfRule>
    <cfRule type="expression" dxfId="3434" priority="55">
      <formula>ERROR.TYPE(C293)=2</formula>
    </cfRule>
    <cfRule type="expression" dxfId="3433" priority="56">
      <formula>ISNA(C293)</formula>
    </cfRule>
  </conditionalFormatting>
  <conditionalFormatting sqref="C309:C311">
    <cfRule type="expression" dxfId="3432" priority="30">
      <formula>"error.type(c3)=5"</formula>
    </cfRule>
    <cfRule type="expression" dxfId="3431" priority="31">
      <formula>ERROR.TYPE(C309)=2</formula>
    </cfRule>
    <cfRule type="expression" dxfId="3430" priority="32">
      <formula>ISNA(C309)</formula>
    </cfRule>
  </conditionalFormatting>
  <conditionalFormatting sqref="C315:C320">
    <cfRule type="expression" dxfId="3429" priority="21">
      <formula>"error.type(c3)=5"</formula>
    </cfRule>
    <cfRule type="expression" dxfId="3428" priority="22">
      <formula>ERROR.TYPE(C315)=2</formula>
    </cfRule>
    <cfRule type="expression" dxfId="3427" priority="23">
      <formula>ISNA(C315)</formula>
    </cfRule>
  </conditionalFormatting>
  <conditionalFormatting sqref="C327:C330">
    <cfRule type="expression" dxfId="3426" priority="75">
      <formula>"error.type(c3)=5"</formula>
    </cfRule>
    <cfRule type="expression" dxfId="3425" priority="76">
      <formula>ERROR.TYPE(C327)=2</formula>
    </cfRule>
    <cfRule type="expression" dxfId="3424" priority="77">
      <formula>ISNA(C327)</formula>
    </cfRule>
  </conditionalFormatting>
  <conditionalFormatting sqref="C335">
    <cfRule type="expression" dxfId="3423" priority="72">
      <formula>"error.type(c3)=5"</formula>
    </cfRule>
    <cfRule type="expression" dxfId="3422" priority="73">
      <formula>ERROR.TYPE(C335)=2</formula>
    </cfRule>
    <cfRule type="expression" dxfId="3421" priority="74">
      <formula>ISNA(C335)</formula>
    </cfRule>
  </conditionalFormatting>
  <conditionalFormatting sqref="C349">
    <cfRule type="expression" dxfId="3420" priority="69">
      <formula>"error.type(c3)=5"</formula>
    </cfRule>
    <cfRule type="expression" dxfId="3419" priority="70">
      <formula>ERROR.TYPE(C349)=2</formula>
    </cfRule>
    <cfRule type="expression" dxfId="3418" priority="71">
      <formula>ISNA(C349)</formula>
    </cfRule>
  </conditionalFormatting>
  <conditionalFormatting sqref="C101:E101 C102">
    <cfRule type="expression" dxfId="3417" priority="114">
      <formula>"error.type(c3)=5"</formula>
    </cfRule>
    <cfRule type="expression" dxfId="3416" priority="115">
      <formula>ERROR.TYPE(C101)=2</formula>
    </cfRule>
    <cfRule type="expression" dxfId="3415" priority="116">
      <formula>ISNA(C101)</formula>
    </cfRule>
  </conditionalFormatting>
  <conditionalFormatting sqref="G272">
    <cfRule type="cellIs" dxfId="3414" priority="2" operator="lessThan">
      <formula>0</formula>
    </cfRule>
  </conditionalFormatting>
  <conditionalFormatting sqref="G91:AK91">
    <cfRule type="cellIs" dxfId="3413" priority="3" operator="lessThan">
      <formula>0</formula>
    </cfRule>
  </conditionalFormatting>
  <conditionalFormatting sqref="G272:AK272">
    <cfRule type="cellIs" dxfId="3412" priority="1" operator="lessThan">
      <formula>0</formula>
    </cfRule>
  </conditionalFormatting>
  <conditionalFormatting sqref="H29:CI29">
    <cfRule type="cellIs" dxfId="3411" priority="7" operator="greaterThan">
      <formula>0</formula>
    </cfRule>
  </conditionalFormatting>
  <conditionalFormatting sqref="I181:AK181">
    <cfRule type="cellIs" dxfId="3410" priority="4" operator="lessThan">
      <formula>0</formula>
    </cfRule>
  </conditionalFormatting>
  <conditionalFormatting sqref="I362:AK362">
    <cfRule type="cellIs" dxfId="3409" priority="5" operator="lessThan">
      <formula>0</formula>
    </cfRule>
  </conditionalFormatting>
  <hyperlinks>
    <hyperlink ref="B3" location="ESWESX!B22" display="Table 3a: DYAA - Baseline" xr:uid="{A8E3C629-60C5-4997-847E-DA838757600F}"/>
    <hyperlink ref="C22" location="ESWESX!$A$1" display="Back to top of sheet" xr:uid="{E3AD7B0B-A051-4267-A918-330CA610E5B8}"/>
    <hyperlink ref="B4" location="ESWESX!B93" display="Table 3b: DYAA - Final plan Options" xr:uid="{5BFC085F-DCE0-49C6-8BB6-1A40288C3E54}"/>
    <hyperlink ref="C93" location="ESWESX!$A$1" display="Back to top of sheet" xr:uid="{118222DB-F665-4979-AB72-6E9FF148A556}"/>
    <hyperlink ref="B5" location="ESWESX!B120" display="Table 3c: DYAA - Final plan" xr:uid="{4EA4CE3D-D163-4EBA-8B6A-BEE721F98187}"/>
    <hyperlink ref="C120" location="ESWESX!$A$1" display="Back to top of sheet" xr:uid="{4A197F57-EDAF-4583-A660-63E46CDB697E}"/>
    <hyperlink ref="B6" location="ESWESX!B203" display="Table 3d: DYCP - Baseline" xr:uid="{00A015CA-4C9F-45A3-A9B1-A51C44EC36D5}"/>
    <hyperlink ref="C203" location="ESWESX!$A$1" display="Back to top of sheet" xr:uid="{27EB672F-608E-4526-8859-8102C2730E95}"/>
    <hyperlink ref="B7" location="ESWESX!B274" display="Table 3e: DYCP - Final plan Options" xr:uid="{2DBFCDCB-B57D-4353-B329-C463C69CBFD4}"/>
    <hyperlink ref="C274" location="ESWESX!$A$1" display="Back to top of sheet" xr:uid="{EE788D75-AB7F-4558-8D41-780F78057304}"/>
    <hyperlink ref="B8" location="ESWESX!B301" display="Table 3f: DYCP - Final plan" xr:uid="{7F62CC22-688C-4984-8D0C-404C10EE9BC9}"/>
    <hyperlink ref="C301" location="ESWESX!$A$1" display="Back to top of sheet" xr:uid="{D80CD3BF-3851-4204-8E1F-C5BC263DD204}"/>
  </hyperlinks>
  <pageMargins left="0.7" right="0.7" top="0.75" bottom="0.75" header="0.3" footer="0.3"/>
  <pageSetup paperSize="9" orientation="portrait" r:id="rId1"/>
  <drawing r:id="rId2"/>
  <legacyDrawing r:id="rId3"/>
  <tableParts count="6">
    <tablePart r:id="rId4"/>
    <tablePart r:id="rId5"/>
    <tablePart r:id="rId6"/>
    <tablePart r:id="rId7"/>
    <tablePart r:id="rId8"/>
    <tablePart r:id="rId9"/>
  </tableParts>
  <extLst>
    <ext xmlns:x14="http://schemas.microsoft.com/office/spreadsheetml/2009/9/main" uri="{05C60535-1F16-4fd2-B633-F4F36F0B64E0}">
      <x14:sparklineGroups xmlns:xm="http://schemas.microsoft.com/office/excel/2006/main">
        <x14:sparklineGroup displayEmptyCellsAs="gap" high="1" low="1" negative="1" xr2:uid="{488C98F1-6E76-4BFD-91C9-A9F04BEAF792}">
          <x14:colorSeries rgb="FF376092"/>
          <x14:colorNegative rgb="FFD00000"/>
          <x14:colorAxis rgb="FF000000"/>
          <x14:colorMarkers rgb="FFD00000"/>
          <x14:colorFirst rgb="FFD00000"/>
          <x14:colorLast rgb="FFD00000"/>
          <x14:colorHigh rgb="FFD00000"/>
          <x14:colorLow rgb="FFD00000"/>
          <x14:sparklines>
            <x14:sparkline>
              <xm:f>ESWESX!G66:CI66</xm:f>
              <xm:sqref>F66</xm:sqref>
            </x14:sparkline>
            <x14:sparkline>
              <xm:f>ESWESX!G67:CI67</xm:f>
              <xm:sqref>F67</xm:sqref>
            </x14:sparkline>
            <x14:sparkline>
              <xm:f>ESWESX!G68:CI68</xm:f>
              <xm:sqref>F68</xm:sqref>
            </x14:sparkline>
            <x14:sparkline>
              <xm:f>ESWESX!G69:CI69</xm:f>
              <xm:sqref>F69</xm:sqref>
            </x14:sparkline>
            <x14:sparkline>
              <xm:f>ESWESX!G70:CI70</xm:f>
              <xm:sqref>F70</xm:sqref>
            </x14:sparkline>
            <x14:sparkline>
              <xm:f>ESWESX!G71:CI71</xm:f>
              <xm:sqref>F71</xm:sqref>
            </x14:sparkline>
            <x14:sparkline>
              <xm:f>ESWESX!G72:CI72</xm:f>
              <xm:sqref>F72</xm:sqref>
            </x14:sparkline>
          </x14:sparklines>
        </x14:sparklineGroup>
        <x14:sparklineGroup displayEmptyCellsAs="gap" high="1" low="1" negative="1" xr2:uid="{2E5D3A6F-101A-4426-9088-6FD29ECB71C0}">
          <x14:colorSeries rgb="FF376092"/>
          <x14:colorNegative rgb="FFD00000"/>
          <x14:colorAxis rgb="FF000000"/>
          <x14:colorMarkers rgb="FFD00000"/>
          <x14:colorFirst rgb="FFD00000"/>
          <x14:colorLast rgb="FFD00000"/>
          <x14:colorHigh rgb="FFD00000"/>
          <x14:colorLow rgb="FFD00000"/>
          <x14:sparklines>
            <x14:sparkline>
              <xm:f>ESWESX!G337:CI337</xm:f>
              <xm:sqref>F337</xm:sqref>
            </x14:sparkline>
            <x14:sparkline>
              <xm:f>ESWESX!G338:CI338</xm:f>
              <xm:sqref>F338</xm:sqref>
            </x14:sparkline>
            <x14:sparkline>
              <xm:f>ESWESX!G339:CI339</xm:f>
              <xm:sqref>F339</xm:sqref>
            </x14:sparkline>
            <x14:sparkline>
              <xm:f>ESWESX!G340:CI340</xm:f>
              <xm:sqref>F340</xm:sqref>
            </x14:sparkline>
            <x14:sparkline>
              <xm:f>ESWESX!G341:CI341</xm:f>
              <xm:sqref>F341</xm:sqref>
            </x14:sparkline>
            <x14:sparkline>
              <xm:f>ESWESX!G342:CI342</xm:f>
              <xm:sqref>F342</xm:sqref>
            </x14:sparkline>
            <x14:sparkline>
              <xm:f>ESWESX!G343:CI343</xm:f>
              <xm:sqref>F343</xm:sqref>
            </x14:sparkline>
          </x14:sparklines>
        </x14:sparklineGroup>
        <x14:sparklineGroup displayEmptyCellsAs="gap" high="1" low="1" negative="1" xr2:uid="{18A4DAEE-7091-43B1-AD7B-AAC5874D8E15}">
          <x14:colorSeries rgb="FF376092"/>
          <x14:colorNegative rgb="FFD00000"/>
          <x14:colorAxis rgb="FF000000"/>
          <x14:colorMarkers rgb="FFD00000"/>
          <x14:colorFirst rgb="FFD00000"/>
          <x14:colorLast rgb="FFD00000"/>
          <x14:colorHigh rgb="FFD00000"/>
          <x14:colorLow rgb="FFD00000"/>
          <x14:sparklines>
            <x14:sparkline>
              <xm:f>ESWESX!G156:CI156</xm:f>
              <xm:sqref>F156</xm:sqref>
            </x14:sparkline>
            <x14:sparkline>
              <xm:f>ESWESX!G157:CI157</xm:f>
              <xm:sqref>F157</xm:sqref>
            </x14:sparkline>
            <x14:sparkline>
              <xm:f>ESWESX!G158:CI158</xm:f>
              <xm:sqref>F158</xm:sqref>
            </x14:sparkline>
            <x14:sparkline>
              <xm:f>ESWESX!G159:CI159</xm:f>
              <xm:sqref>F159</xm:sqref>
            </x14:sparkline>
            <x14:sparkline>
              <xm:f>ESWESX!G160:CI160</xm:f>
              <xm:sqref>F160</xm:sqref>
            </x14:sparkline>
            <x14:sparkline>
              <xm:f>ESWESX!G161:CI161</xm:f>
              <xm:sqref>F161</xm:sqref>
            </x14:sparkline>
            <x14:sparkline>
              <xm:f>ESWESX!G162:CI162</xm:f>
              <xm:sqref>F162</xm:sqref>
            </x14:sparkline>
          </x14:sparklines>
        </x14:sparklineGroup>
      </x14:sparklineGroup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2DDBD6-9A05-40AE-861C-23F7FB083F73}">
  <sheetPr codeName="Sheet3"/>
  <dimension ref="A1:CK402"/>
  <sheetViews>
    <sheetView showOutlineSymbols="0" showWhiteSpace="0" workbookViewId="0">
      <selection sqref="A1:XFD1048576"/>
    </sheetView>
  </sheetViews>
  <sheetFormatPr defaultColWidth="9" defaultRowHeight="14.25" x14ac:dyDescent="0.2"/>
  <cols>
    <col min="1" max="1" width="2.6640625" style="1284" customWidth="1"/>
    <col min="2" max="2" width="21.5546875" style="1284" customWidth="1"/>
    <col min="3" max="3" width="33.6640625" style="1284" customWidth="1"/>
    <col min="4" max="4" width="27.5546875" style="1284" customWidth="1"/>
    <col min="5" max="5" width="7.44140625" style="1284" customWidth="1"/>
    <col min="6" max="6" width="14" style="1284" customWidth="1"/>
    <col min="7" max="86" width="8" style="1284" customWidth="1"/>
    <col min="87" max="87" width="8.6640625" style="1284" customWidth="1"/>
    <col min="88" max="88" width="8" style="1284" bestFit="1" customWidth="1"/>
    <col min="89" max="89" width="10.109375" style="1284" customWidth="1"/>
    <col min="90" max="90" width="42.6640625" style="1284" customWidth="1"/>
    <col min="91" max="91" width="4.109375" style="1284" customWidth="1"/>
    <col min="92" max="92" width="9" style="1284" customWidth="1"/>
    <col min="93" max="93" width="6.6640625" style="1284" customWidth="1"/>
    <col min="94" max="94" width="4.109375" style="1284" customWidth="1"/>
    <col min="95" max="96" width="4.5546875" style="1284" customWidth="1"/>
    <col min="97" max="97" width="4.6640625" style="1284" customWidth="1"/>
    <col min="98" max="98" width="7.5546875" style="1284" customWidth="1"/>
    <col min="99" max="99" width="6.6640625" style="1284" customWidth="1"/>
    <col min="100" max="100" width="4.5546875" style="1284" customWidth="1"/>
    <col min="101" max="103" width="5.109375" style="1284" customWidth="1"/>
    <col min="104" max="104" width="4.6640625" style="1284" customWidth="1"/>
    <col min="105" max="105" width="3.5546875" style="1284" customWidth="1"/>
    <col min="106" max="107" width="5.109375" style="1284" customWidth="1"/>
    <col min="108" max="235" width="9" style="1284"/>
    <col min="236" max="236" width="1.109375" style="1284" customWidth="1"/>
    <col min="237" max="237" width="8" style="1284" customWidth="1"/>
    <col min="238" max="238" width="8.44140625" style="1284" customWidth="1"/>
    <col min="239" max="239" width="23.6640625" style="1284" customWidth="1"/>
    <col min="240" max="240" width="21.6640625" style="1284" customWidth="1"/>
    <col min="241" max="241" width="9.44140625" style="1284" customWidth="1"/>
    <col min="242" max="242" width="8.109375" style="1284" bestFit="1" customWidth="1"/>
    <col min="243" max="243" width="16.109375" style="1284" customWidth="1"/>
    <col min="244" max="271" width="11.6640625" style="1284" customWidth="1"/>
    <col min="272" max="491" width="9" style="1284"/>
    <col min="492" max="492" width="1.109375" style="1284" customWidth="1"/>
    <col min="493" max="493" width="8" style="1284" customWidth="1"/>
    <col min="494" max="494" width="8.44140625" style="1284" customWidth="1"/>
    <col min="495" max="495" width="23.6640625" style="1284" customWidth="1"/>
    <col min="496" max="496" width="21.6640625" style="1284" customWidth="1"/>
    <col min="497" max="497" width="9.44140625" style="1284" customWidth="1"/>
    <col min="498" max="498" width="8.109375" style="1284" bestFit="1" customWidth="1"/>
    <col min="499" max="499" width="16.109375" style="1284" customWidth="1"/>
    <col min="500" max="527" width="11.6640625" style="1284" customWidth="1"/>
    <col min="528" max="747" width="9" style="1284"/>
    <col min="748" max="748" width="1.109375" style="1284" customWidth="1"/>
    <col min="749" max="749" width="8" style="1284" customWidth="1"/>
    <col min="750" max="750" width="8.44140625" style="1284" customWidth="1"/>
    <col min="751" max="751" width="23.6640625" style="1284" customWidth="1"/>
    <col min="752" max="752" width="21.6640625" style="1284" customWidth="1"/>
    <col min="753" max="753" width="9.44140625" style="1284" customWidth="1"/>
    <col min="754" max="754" width="8.109375" style="1284" bestFit="1" customWidth="1"/>
    <col min="755" max="755" width="16.109375" style="1284" customWidth="1"/>
    <col min="756" max="783" width="11.6640625" style="1284" customWidth="1"/>
    <col min="784" max="1003" width="9" style="1284"/>
    <col min="1004" max="1004" width="1.109375" style="1284" customWidth="1"/>
    <col min="1005" max="1005" width="8" style="1284" customWidth="1"/>
    <col min="1006" max="1006" width="8.44140625" style="1284" customWidth="1"/>
    <col min="1007" max="1007" width="23.6640625" style="1284" customWidth="1"/>
    <col min="1008" max="1008" width="21.6640625" style="1284" customWidth="1"/>
    <col min="1009" max="1009" width="9.44140625" style="1284" customWidth="1"/>
    <col min="1010" max="1010" width="8.109375" style="1284" bestFit="1" customWidth="1"/>
    <col min="1011" max="1011" width="16.109375" style="1284" customWidth="1"/>
    <col min="1012" max="1039" width="11.6640625" style="1284" customWidth="1"/>
    <col min="1040" max="1259" width="9" style="1284"/>
    <col min="1260" max="1260" width="1.109375" style="1284" customWidth="1"/>
    <col min="1261" max="1261" width="8" style="1284" customWidth="1"/>
    <col min="1262" max="1262" width="8.44140625" style="1284" customWidth="1"/>
    <col min="1263" max="1263" width="23.6640625" style="1284" customWidth="1"/>
    <col min="1264" max="1264" width="21.6640625" style="1284" customWidth="1"/>
    <col min="1265" max="1265" width="9.44140625" style="1284" customWidth="1"/>
    <col min="1266" max="1266" width="8.109375" style="1284" bestFit="1" customWidth="1"/>
    <col min="1267" max="1267" width="16.109375" style="1284" customWidth="1"/>
    <col min="1268" max="1295" width="11.6640625" style="1284" customWidth="1"/>
    <col min="1296" max="1515" width="9" style="1284"/>
    <col min="1516" max="1516" width="1.109375" style="1284" customWidth="1"/>
    <col min="1517" max="1517" width="8" style="1284" customWidth="1"/>
    <col min="1518" max="1518" width="8.44140625" style="1284" customWidth="1"/>
    <col min="1519" max="1519" width="23.6640625" style="1284" customWidth="1"/>
    <col min="1520" max="1520" width="21.6640625" style="1284" customWidth="1"/>
    <col min="1521" max="1521" width="9.44140625" style="1284" customWidth="1"/>
    <col min="1522" max="1522" width="8.109375" style="1284" bestFit="1" customWidth="1"/>
    <col min="1523" max="1523" width="16.109375" style="1284" customWidth="1"/>
    <col min="1524" max="1551" width="11.6640625" style="1284" customWidth="1"/>
    <col min="1552" max="1771" width="9" style="1284"/>
    <col min="1772" max="1772" width="1.109375" style="1284" customWidth="1"/>
    <col min="1773" max="1773" width="8" style="1284" customWidth="1"/>
    <col min="1774" max="1774" width="8.44140625" style="1284" customWidth="1"/>
    <col min="1775" max="1775" width="23.6640625" style="1284" customWidth="1"/>
    <col min="1776" max="1776" width="21.6640625" style="1284" customWidth="1"/>
    <col min="1777" max="1777" width="9.44140625" style="1284" customWidth="1"/>
    <col min="1778" max="1778" width="8.109375" style="1284" bestFit="1" customWidth="1"/>
    <col min="1779" max="1779" width="16.109375" style="1284" customWidth="1"/>
    <col min="1780" max="1807" width="11.6640625" style="1284" customWidth="1"/>
    <col min="1808" max="2027" width="9" style="1284"/>
    <col min="2028" max="2028" width="1.109375" style="1284" customWidth="1"/>
    <col min="2029" max="2029" width="8" style="1284" customWidth="1"/>
    <col min="2030" max="2030" width="8.44140625" style="1284" customWidth="1"/>
    <col min="2031" max="2031" width="23.6640625" style="1284" customWidth="1"/>
    <col min="2032" max="2032" width="21.6640625" style="1284" customWidth="1"/>
    <col min="2033" max="2033" width="9.44140625" style="1284" customWidth="1"/>
    <col min="2034" max="2034" width="8.109375" style="1284" bestFit="1" customWidth="1"/>
    <col min="2035" max="2035" width="16.109375" style="1284" customWidth="1"/>
    <col min="2036" max="2063" width="11.6640625" style="1284" customWidth="1"/>
    <col min="2064" max="2283" width="9" style="1284"/>
    <col min="2284" max="2284" width="1.109375" style="1284" customWidth="1"/>
    <col min="2285" max="2285" width="8" style="1284" customWidth="1"/>
    <col min="2286" max="2286" width="8.44140625" style="1284" customWidth="1"/>
    <col min="2287" max="2287" width="23.6640625" style="1284" customWidth="1"/>
    <col min="2288" max="2288" width="21.6640625" style="1284" customWidth="1"/>
    <col min="2289" max="2289" width="9.44140625" style="1284" customWidth="1"/>
    <col min="2290" max="2290" width="8.109375" style="1284" bestFit="1" customWidth="1"/>
    <col min="2291" max="2291" width="16.109375" style="1284" customWidth="1"/>
    <col min="2292" max="2319" width="11.6640625" style="1284" customWidth="1"/>
    <col min="2320" max="2539" width="9" style="1284"/>
    <col min="2540" max="2540" width="1.109375" style="1284" customWidth="1"/>
    <col min="2541" max="2541" width="8" style="1284" customWidth="1"/>
    <col min="2542" max="2542" width="8.44140625" style="1284" customWidth="1"/>
    <col min="2543" max="2543" width="23.6640625" style="1284" customWidth="1"/>
    <col min="2544" max="2544" width="21.6640625" style="1284" customWidth="1"/>
    <col min="2545" max="2545" width="9.44140625" style="1284" customWidth="1"/>
    <col min="2546" max="2546" width="8.109375" style="1284" bestFit="1" customWidth="1"/>
    <col min="2547" max="2547" width="16.109375" style="1284" customWidth="1"/>
    <col min="2548" max="2575" width="11.6640625" style="1284" customWidth="1"/>
    <col min="2576" max="2795" width="9" style="1284"/>
    <col min="2796" max="2796" width="1.109375" style="1284" customWidth="1"/>
    <col min="2797" max="2797" width="8" style="1284" customWidth="1"/>
    <col min="2798" max="2798" width="8.44140625" style="1284" customWidth="1"/>
    <col min="2799" max="2799" width="23.6640625" style="1284" customWidth="1"/>
    <col min="2800" max="2800" width="21.6640625" style="1284" customWidth="1"/>
    <col min="2801" max="2801" width="9.44140625" style="1284" customWidth="1"/>
    <col min="2802" max="2802" width="8.109375" style="1284" bestFit="1" customWidth="1"/>
    <col min="2803" max="2803" width="16.109375" style="1284" customWidth="1"/>
    <col min="2804" max="2831" width="11.6640625" style="1284" customWidth="1"/>
    <col min="2832" max="3051" width="9" style="1284"/>
    <col min="3052" max="3052" width="1.109375" style="1284" customWidth="1"/>
    <col min="3053" max="3053" width="8" style="1284" customWidth="1"/>
    <col min="3054" max="3054" width="8.44140625" style="1284" customWidth="1"/>
    <col min="3055" max="3055" width="23.6640625" style="1284" customWidth="1"/>
    <col min="3056" max="3056" width="21.6640625" style="1284" customWidth="1"/>
    <col min="3057" max="3057" width="9.44140625" style="1284" customWidth="1"/>
    <col min="3058" max="3058" width="8.109375" style="1284" bestFit="1" customWidth="1"/>
    <col min="3059" max="3059" width="16.109375" style="1284" customWidth="1"/>
    <col min="3060" max="3087" width="11.6640625" style="1284" customWidth="1"/>
    <col min="3088" max="3307" width="9" style="1284"/>
    <col min="3308" max="3308" width="1.109375" style="1284" customWidth="1"/>
    <col min="3309" max="3309" width="8" style="1284" customWidth="1"/>
    <col min="3310" max="3310" width="8.44140625" style="1284" customWidth="1"/>
    <col min="3311" max="3311" width="23.6640625" style="1284" customWidth="1"/>
    <col min="3312" max="3312" width="21.6640625" style="1284" customWidth="1"/>
    <col min="3313" max="3313" width="9.44140625" style="1284" customWidth="1"/>
    <col min="3314" max="3314" width="8.109375" style="1284" bestFit="1" customWidth="1"/>
    <col min="3315" max="3315" width="16.109375" style="1284" customWidth="1"/>
    <col min="3316" max="3343" width="11.6640625" style="1284" customWidth="1"/>
    <col min="3344" max="3563" width="9" style="1284"/>
    <col min="3564" max="3564" width="1.109375" style="1284" customWidth="1"/>
    <col min="3565" max="3565" width="8" style="1284" customWidth="1"/>
    <col min="3566" max="3566" width="8.44140625" style="1284" customWidth="1"/>
    <col min="3567" max="3567" width="23.6640625" style="1284" customWidth="1"/>
    <col min="3568" max="3568" width="21.6640625" style="1284" customWidth="1"/>
    <col min="3569" max="3569" width="9.44140625" style="1284" customWidth="1"/>
    <col min="3570" max="3570" width="8.109375" style="1284" bestFit="1" customWidth="1"/>
    <col min="3571" max="3571" width="16.109375" style="1284" customWidth="1"/>
    <col min="3572" max="3599" width="11.6640625" style="1284" customWidth="1"/>
    <col min="3600" max="3819" width="9" style="1284"/>
    <col min="3820" max="3820" width="1.109375" style="1284" customWidth="1"/>
    <col min="3821" max="3821" width="8" style="1284" customWidth="1"/>
    <col min="3822" max="3822" width="8.44140625" style="1284" customWidth="1"/>
    <col min="3823" max="3823" width="23.6640625" style="1284" customWidth="1"/>
    <col min="3824" max="3824" width="21.6640625" style="1284" customWidth="1"/>
    <col min="3825" max="3825" width="9.44140625" style="1284" customWidth="1"/>
    <col min="3826" max="3826" width="8.109375" style="1284" bestFit="1" customWidth="1"/>
    <col min="3827" max="3827" width="16.109375" style="1284" customWidth="1"/>
    <col min="3828" max="3855" width="11.6640625" style="1284" customWidth="1"/>
    <col min="3856" max="4075" width="9" style="1284"/>
    <col min="4076" max="4076" width="1.109375" style="1284" customWidth="1"/>
    <col min="4077" max="4077" width="8" style="1284" customWidth="1"/>
    <col min="4078" max="4078" width="8.44140625" style="1284" customWidth="1"/>
    <col min="4079" max="4079" width="23.6640625" style="1284" customWidth="1"/>
    <col min="4080" max="4080" width="21.6640625" style="1284" customWidth="1"/>
    <col min="4081" max="4081" width="9.44140625" style="1284" customWidth="1"/>
    <col min="4082" max="4082" width="8.109375" style="1284" bestFit="1" customWidth="1"/>
    <col min="4083" max="4083" width="16.109375" style="1284" customWidth="1"/>
    <col min="4084" max="4111" width="11.6640625" style="1284" customWidth="1"/>
    <col min="4112" max="4331" width="9" style="1284"/>
    <col min="4332" max="4332" width="1.109375" style="1284" customWidth="1"/>
    <col min="4333" max="4333" width="8" style="1284" customWidth="1"/>
    <col min="4334" max="4334" width="8.44140625" style="1284" customWidth="1"/>
    <col min="4335" max="4335" width="23.6640625" style="1284" customWidth="1"/>
    <col min="4336" max="4336" width="21.6640625" style="1284" customWidth="1"/>
    <col min="4337" max="4337" width="9.44140625" style="1284" customWidth="1"/>
    <col min="4338" max="4338" width="8.109375" style="1284" bestFit="1" customWidth="1"/>
    <col min="4339" max="4339" width="16.109375" style="1284" customWidth="1"/>
    <col min="4340" max="4367" width="11.6640625" style="1284" customWidth="1"/>
    <col min="4368" max="4587" width="9" style="1284"/>
    <col min="4588" max="4588" width="1.109375" style="1284" customWidth="1"/>
    <col min="4589" max="4589" width="8" style="1284" customWidth="1"/>
    <col min="4590" max="4590" width="8.44140625" style="1284" customWidth="1"/>
    <col min="4591" max="4591" width="23.6640625" style="1284" customWidth="1"/>
    <col min="4592" max="4592" width="21.6640625" style="1284" customWidth="1"/>
    <col min="4593" max="4593" width="9.44140625" style="1284" customWidth="1"/>
    <col min="4594" max="4594" width="8.109375" style="1284" bestFit="1" customWidth="1"/>
    <col min="4595" max="4595" width="16.109375" style="1284" customWidth="1"/>
    <col min="4596" max="4623" width="11.6640625" style="1284" customWidth="1"/>
    <col min="4624" max="4843" width="9" style="1284"/>
    <col min="4844" max="4844" width="1.109375" style="1284" customWidth="1"/>
    <col min="4845" max="4845" width="8" style="1284" customWidth="1"/>
    <col min="4846" max="4846" width="8.44140625" style="1284" customWidth="1"/>
    <col min="4847" max="4847" width="23.6640625" style="1284" customWidth="1"/>
    <col min="4848" max="4848" width="21.6640625" style="1284" customWidth="1"/>
    <col min="4849" max="4849" width="9.44140625" style="1284" customWidth="1"/>
    <col min="4850" max="4850" width="8.109375" style="1284" bestFit="1" customWidth="1"/>
    <col min="4851" max="4851" width="16.109375" style="1284" customWidth="1"/>
    <col min="4852" max="4879" width="11.6640625" style="1284" customWidth="1"/>
    <col min="4880" max="5099" width="9" style="1284"/>
    <col min="5100" max="5100" width="1.109375" style="1284" customWidth="1"/>
    <col min="5101" max="5101" width="8" style="1284" customWidth="1"/>
    <col min="5102" max="5102" width="8.44140625" style="1284" customWidth="1"/>
    <col min="5103" max="5103" width="23.6640625" style="1284" customWidth="1"/>
    <col min="5104" max="5104" width="21.6640625" style="1284" customWidth="1"/>
    <col min="5105" max="5105" width="9.44140625" style="1284" customWidth="1"/>
    <col min="5106" max="5106" width="8.109375" style="1284" bestFit="1" customWidth="1"/>
    <col min="5107" max="5107" width="16.109375" style="1284" customWidth="1"/>
    <col min="5108" max="5135" width="11.6640625" style="1284" customWidth="1"/>
    <col min="5136" max="5355" width="9" style="1284"/>
    <col min="5356" max="5356" width="1.109375" style="1284" customWidth="1"/>
    <col min="5357" max="5357" width="8" style="1284" customWidth="1"/>
    <col min="5358" max="5358" width="8.44140625" style="1284" customWidth="1"/>
    <col min="5359" max="5359" width="23.6640625" style="1284" customWidth="1"/>
    <col min="5360" max="5360" width="21.6640625" style="1284" customWidth="1"/>
    <col min="5361" max="5361" width="9.44140625" style="1284" customWidth="1"/>
    <col min="5362" max="5362" width="8.109375" style="1284" bestFit="1" customWidth="1"/>
    <col min="5363" max="5363" width="16.109375" style="1284" customWidth="1"/>
    <col min="5364" max="5391" width="11.6640625" style="1284" customWidth="1"/>
    <col min="5392" max="5611" width="9" style="1284"/>
    <col min="5612" max="5612" width="1.109375" style="1284" customWidth="1"/>
    <col min="5613" max="5613" width="8" style="1284" customWidth="1"/>
    <col min="5614" max="5614" width="8.44140625" style="1284" customWidth="1"/>
    <col min="5615" max="5615" width="23.6640625" style="1284" customWidth="1"/>
    <col min="5616" max="5616" width="21.6640625" style="1284" customWidth="1"/>
    <col min="5617" max="5617" width="9.44140625" style="1284" customWidth="1"/>
    <col min="5618" max="5618" width="8.109375" style="1284" bestFit="1" customWidth="1"/>
    <col min="5619" max="5619" width="16.109375" style="1284" customWidth="1"/>
    <col min="5620" max="5647" width="11.6640625" style="1284" customWidth="1"/>
    <col min="5648" max="5867" width="9" style="1284"/>
    <col min="5868" max="5868" width="1.109375" style="1284" customWidth="1"/>
    <col min="5869" max="5869" width="8" style="1284" customWidth="1"/>
    <col min="5870" max="5870" width="8.44140625" style="1284" customWidth="1"/>
    <col min="5871" max="5871" width="23.6640625" style="1284" customWidth="1"/>
    <col min="5872" max="5872" width="21.6640625" style="1284" customWidth="1"/>
    <col min="5873" max="5873" width="9.44140625" style="1284" customWidth="1"/>
    <col min="5874" max="5874" width="8.109375" style="1284" bestFit="1" customWidth="1"/>
    <col min="5875" max="5875" width="16.109375" style="1284" customWidth="1"/>
    <col min="5876" max="5903" width="11.6640625" style="1284" customWidth="1"/>
    <col min="5904" max="6123" width="9" style="1284"/>
    <col min="6124" max="6124" width="1.109375" style="1284" customWidth="1"/>
    <col min="6125" max="6125" width="8" style="1284" customWidth="1"/>
    <col min="6126" max="6126" width="8.44140625" style="1284" customWidth="1"/>
    <col min="6127" max="6127" width="23.6640625" style="1284" customWidth="1"/>
    <col min="6128" max="6128" width="21.6640625" style="1284" customWidth="1"/>
    <col min="6129" max="6129" width="9.44140625" style="1284" customWidth="1"/>
    <col min="6130" max="6130" width="8.109375" style="1284" bestFit="1" customWidth="1"/>
    <col min="6131" max="6131" width="16.109375" style="1284" customWidth="1"/>
    <col min="6132" max="6159" width="11.6640625" style="1284" customWidth="1"/>
    <col min="6160" max="6379" width="9" style="1284"/>
    <col min="6380" max="6380" width="1.109375" style="1284" customWidth="1"/>
    <col min="6381" max="6381" width="8" style="1284" customWidth="1"/>
    <col min="6382" max="6382" width="8.44140625" style="1284" customWidth="1"/>
    <col min="6383" max="6383" width="23.6640625" style="1284" customWidth="1"/>
    <col min="6384" max="6384" width="21.6640625" style="1284" customWidth="1"/>
    <col min="6385" max="6385" width="9.44140625" style="1284" customWidth="1"/>
    <col min="6386" max="6386" width="8.109375" style="1284" bestFit="1" customWidth="1"/>
    <col min="6387" max="6387" width="16.109375" style="1284" customWidth="1"/>
    <col min="6388" max="6415" width="11.6640625" style="1284" customWidth="1"/>
    <col min="6416" max="6635" width="9" style="1284"/>
    <col min="6636" max="6636" width="1.109375" style="1284" customWidth="1"/>
    <col min="6637" max="6637" width="8" style="1284" customWidth="1"/>
    <col min="6638" max="6638" width="8.44140625" style="1284" customWidth="1"/>
    <col min="6639" max="6639" width="23.6640625" style="1284" customWidth="1"/>
    <col min="6640" max="6640" width="21.6640625" style="1284" customWidth="1"/>
    <col min="6641" max="6641" width="9.44140625" style="1284" customWidth="1"/>
    <col min="6642" max="6642" width="8.109375" style="1284" bestFit="1" customWidth="1"/>
    <col min="6643" max="6643" width="16.109375" style="1284" customWidth="1"/>
    <col min="6644" max="6671" width="11.6640625" style="1284" customWidth="1"/>
    <col min="6672" max="6891" width="9" style="1284"/>
    <col min="6892" max="6892" width="1.109375" style="1284" customWidth="1"/>
    <col min="6893" max="6893" width="8" style="1284" customWidth="1"/>
    <col min="6894" max="6894" width="8.44140625" style="1284" customWidth="1"/>
    <col min="6895" max="6895" width="23.6640625" style="1284" customWidth="1"/>
    <col min="6896" max="6896" width="21.6640625" style="1284" customWidth="1"/>
    <col min="6897" max="6897" width="9.44140625" style="1284" customWidth="1"/>
    <col min="6898" max="6898" width="8.109375" style="1284" bestFit="1" customWidth="1"/>
    <col min="6899" max="6899" width="16.109375" style="1284" customWidth="1"/>
    <col min="6900" max="6927" width="11.6640625" style="1284" customWidth="1"/>
    <col min="6928" max="7147" width="9" style="1284"/>
    <col min="7148" max="7148" width="1.109375" style="1284" customWidth="1"/>
    <col min="7149" max="7149" width="8" style="1284" customWidth="1"/>
    <col min="7150" max="7150" width="8.44140625" style="1284" customWidth="1"/>
    <col min="7151" max="7151" width="23.6640625" style="1284" customWidth="1"/>
    <col min="7152" max="7152" width="21.6640625" style="1284" customWidth="1"/>
    <col min="7153" max="7153" width="9.44140625" style="1284" customWidth="1"/>
    <col min="7154" max="7154" width="8.109375" style="1284" bestFit="1" customWidth="1"/>
    <col min="7155" max="7155" width="16.109375" style="1284" customWidth="1"/>
    <col min="7156" max="7183" width="11.6640625" style="1284" customWidth="1"/>
    <col min="7184" max="7403" width="9" style="1284"/>
    <col min="7404" max="7404" width="1.109375" style="1284" customWidth="1"/>
    <col min="7405" max="7405" width="8" style="1284" customWidth="1"/>
    <col min="7406" max="7406" width="8.44140625" style="1284" customWidth="1"/>
    <col min="7407" max="7407" width="23.6640625" style="1284" customWidth="1"/>
    <col min="7408" max="7408" width="21.6640625" style="1284" customWidth="1"/>
    <col min="7409" max="7409" width="9.44140625" style="1284" customWidth="1"/>
    <col min="7410" max="7410" width="8.109375" style="1284" bestFit="1" customWidth="1"/>
    <col min="7411" max="7411" width="16.109375" style="1284" customWidth="1"/>
    <col min="7412" max="7439" width="11.6640625" style="1284" customWidth="1"/>
    <col min="7440" max="7659" width="9" style="1284"/>
    <col min="7660" max="7660" width="1.109375" style="1284" customWidth="1"/>
    <col min="7661" max="7661" width="8" style="1284" customWidth="1"/>
    <col min="7662" max="7662" width="8.44140625" style="1284" customWidth="1"/>
    <col min="7663" max="7663" width="23.6640625" style="1284" customWidth="1"/>
    <col min="7664" max="7664" width="21.6640625" style="1284" customWidth="1"/>
    <col min="7665" max="7665" width="9.44140625" style="1284" customWidth="1"/>
    <col min="7666" max="7666" width="8.109375" style="1284" bestFit="1" customWidth="1"/>
    <col min="7667" max="7667" width="16.109375" style="1284" customWidth="1"/>
    <col min="7668" max="7695" width="11.6640625" style="1284" customWidth="1"/>
    <col min="7696" max="7915" width="9" style="1284"/>
    <col min="7916" max="7916" width="1.109375" style="1284" customWidth="1"/>
    <col min="7917" max="7917" width="8" style="1284" customWidth="1"/>
    <col min="7918" max="7918" width="8.44140625" style="1284" customWidth="1"/>
    <col min="7919" max="7919" width="23.6640625" style="1284" customWidth="1"/>
    <col min="7920" max="7920" width="21.6640625" style="1284" customWidth="1"/>
    <col min="7921" max="7921" width="9.44140625" style="1284" customWidth="1"/>
    <col min="7922" max="7922" width="8.109375" style="1284" bestFit="1" customWidth="1"/>
    <col min="7923" max="7923" width="16.109375" style="1284" customWidth="1"/>
    <col min="7924" max="7951" width="11.6640625" style="1284" customWidth="1"/>
    <col min="7952" max="8171" width="9" style="1284"/>
    <col min="8172" max="8172" width="1.109375" style="1284" customWidth="1"/>
    <col min="8173" max="8173" width="8" style="1284" customWidth="1"/>
    <col min="8174" max="8174" width="8.44140625" style="1284" customWidth="1"/>
    <col min="8175" max="8175" width="23.6640625" style="1284" customWidth="1"/>
    <col min="8176" max="8176" width="21.6640625" style="1284" customWidth="1"/>
    <col min="8177" max="8177" width="9.44140625" style="1284" customWidth="1"/>
    <col min="8178" max="8178" width="8.109375" style="1284" bestFit="1" customWidth="1"/>
    <col min="8179" max="8179" width="16.109375" style="1284" customWidth="1"/>
    <col min="8180" max="8207" width="11.6640625" style="1284" customWidth="1"/>
    <col min="8208" max="8427" width="9" style="1284"/>
    <col min="8428" max="8428" width="1.109375" style="1284" customWidth="1"/>
    <col min="8429" max="8429" width="8" style="1284" customWidth="1"/>
    <col min="8430" max="8430" width="8.44140625" style="1284" customWidth="1"/>
    <col min="8431" max="8431" width="23.6640625" style="1284" customWidth="1"/>
    <col min="8432" max="8432" width="21.6640625" style="1284" customWidth="1"/>
    <col min="8433" max="8433" width="9.44140625" style="1284" customWidth="1"/>
    <col min="8434" max="8434" width="8.109375" style="1284" bestFit="1" customWidth="1"/>
    <col min="8435" max="8435" width="16.109375" style="1284" customWidth="1"/>
    <col min="8436" max="8463" width="11.6640625" style="1284" customWidth="1"/>
    <col min="8464" max="8683" width="9" style="1284"/>
    <col min="8684" max="8684" width="1.109375" style="1284" customWidth="1"/>
    <col min="8685" max="8685" width="8" style="1284" customWidth="1"/>
    <col min="8686" max="8686" width="8.44140625" style="1284" customWidth="1"/>
    <col min="8687" max="8687" width="23.6640625" style="1284" customWidth="1"/>
    <col min="8688" max="8688" width="21.6640625" style="1284" customWidth="1"/>
    <col min="8689" max="8689" width="9.44140625" style="1284" customWidth="1"/>
    <col min="8690" max="8690" width="8.109375" style="1284" bestFit="1" customWidth="1"/>
    <col min="8691" max="8691" width="16.109375" style="1284" customWidth="1"/>
    <col min="8692" max="8719" width="11.6640625" style="1284" customWidth="1"/>
    <col min="8720" max="8939" width="9" style="1284"/>
    <col min="8940" max="8940" width="1.109375" style="1284" customWidth="1"/>
    <col min="8941" max="8941" width="8" style="1284" customWidth="1"/>
    <col min="8942" max="8942" width="8.44140625" style="1284" customWidth="1"/>
    <col min="8943" max="8943" width="23.6640625" style="1284" customWidth="1"/>
    <col min="8944" max="8944" width="21.6640625" style="1284" customWidth="1"/>
    <col min="8945" max="8945" width="9.44140625" style="1284" customWidth="1"/>
    <col min="8946" max="8946" width="8.109375" style="1284" bestFit="1" customWidth="1"/>
    <col min="8947" max="8947" width="16.109375" style="1284" customWidth="1"/>
    <col min="8948" max="8975" width="11.6640625" style="1284" customWidth="1"/>
    <col min="8976" max="9195" width="9" style="1284"/>
    <col min="9196" max="9196" width="1.109375" style="1284" customWidth="1"/>
    <col min="9197" max="9197" width="8" style="1284" customWidth="1"/>
    <col min="9198" max="9198" width="8.44140625" style="1284" customWidth="1"/>
    <col min="9199" max="9199" width="23.6640625" style="1284" customWidth="1"/>
    <col min="9200" max="9200" width="21.6640625" style="1284" customWidth="1"/>
    <col min="9201" max="9201" width="9.44140625" style="1284" customWidth="1"/>
    <col min="9202" max="9202" width="8.109375" style="1284" bestFit="1" customWidth="1"/>
    <col min="9203" max="9203" width="16.109375" style="1284" customWidth="1"/>
    <col min="9204" max="9231" width="11.6640625" style="1284" customWidth="1"/>
    <col min="9232" max="9451" width="9" style="1284"/>
    <col min="9452" max="9452" width="1.109375" style="1284" customWidth="1"/>
    <col min="9453" max="9453" width="8" style="1284" customWidth="1"/>
    <col min="9454" max="9454" width="8.44140625" style="1284" customWidth="1"/>
    <col min="9455" max="9455" width="23.6640625" style="1284" customWidth="1"/>
    <col min="9456" max="9456" width="21.6640625" style="1284" customWidth="1"/>
    <col min="9457" max="9457" width="9.44140625" style="1284" customWidth="1"/>
    <col min="9458" max="9458" width="8.109375" style="1284" bestFit="1" customWidth="1"/>
    <col min="9459" max="9459" width="16.109375" style="1284" customWidth="1"/>
    <col min="9460" max="9487" width="11.6640625" style="1284" customWidth="1"/>
    <col min="9488" max="9707" width="9" style="1284"/>
    <col min="9708" max="9708" width="1.109375" style="1284" customWidth="1"/>
    <col min="9709" max="9709" width="8" style="1284" customWidth="1"/>
    <col min="9710" max="9710" width="8.44140625" style="1284" customWidth="1"/>
    <col min="9711" max="9711" width="23.6640625" style="1284" customWidth="1"/>
    <col min="9712" max="9712" width="21.6640625" style="1284" customWidth="1"/>
    <col min="9713" max="9713" width="9.44140625" style="1284" customWidth="1"/>
    <col min="9714" max="9714" width="8.109375" style="1284" bestFit="1" customWidth="1"/>
    <col min="9715" max="9715" width="16.109375" style="1284" customWidth="1"/>
    <col min="9716" max="9743" width="11.6640625" style="1284" customWidth="1"/>
    <col min="9744" max="9963" width="9" style="1284"/>
    <col min="9964" max="9964" width="1.109375" style="1284" customWidth="1"/>
    <col min="9965" max="9965" width="8" style="1284" customWidth="1"/>
    <col min="9966" max="9966" width="8.44140625" style="1284" customWidth="1"/>
    <col min="9967" max="9967" width="23.6640625" style="1284" customWidth="1"/>
    <col min="9968" max="9968" width="21.6640625" style="1284" customWidth="1"/>
    <col min="9969" max="9969" width="9.44140625" style="1284" customWidth="1"/>
    <col min="9970" max="9970" width="8.109375" style="1284" bestFit="1" customWidth="1"/>
    <col min="9971" max="9971" width="16.109375" style="1284" customWidth="1"/>
    <col min="9972" max="9999" width="11.6640625" style="1284" customWidth="1"/>
    <col min="10000" max="10219" width="9" style="1284"/>
    <col min="10220" max="10220" width="1.109375" style="1284" customWidth="1"/>
    <col min="10221" max="10221" width="8" style="1284" customWidth="1"/>
    <col min="10222" max="10222" width="8.44140625" style="1284" customWidth="1"/>
    <col min="10223" max="10223" width="23.6640625" style="1284" customWidth="1"/>
    <col min="10224" max="10224" width="21.6640625" style="1284" customWidth="1"/>
    <col min="10225" max="10225" width="9.44140625" style="1284" customWidth="1"/>
    <col min="10226" max="10226" width="8.109375" style="1284" bestFit="1" customWidth="1"/>
    <col min="10227" max="10227" width="16.109375" style="1284" customWidth="1"/>
    <col min="10228" max="10255" width="11.6640625" style="1284" customWidth="1"/>
    <col min="10256" max="10475" width="9" style="1284"/>
    <col min="10476" max="10476" width="1.109375" style="1284" customWidth="1"/>
    <col min="10477" max="10477" width="8" style="1284" customWidth="1"/>
    <col min="10478" max="10478" width="8.44140625" style="1284" customWidth="1"/>
    <col min="10479" max="10479" width="23.6640625" style="1284" customWidth="1"/>
    <col min="10480" max="10480" width="21.6640625" style="1284" customWidth="1"/>
    <col min="10481" max="10481" width="9.44140625" style="1284" customWidth="1"/>
    <col min="10482" max="10482" width="8.109375" style="1284" bestFit="1" customWidth="1"/>
    <col min="10483" max="10483" width="16.109375" style="1284" customWidth="1"/>
    <col min="10484" max="10511" width="11.6640625" style="1284" customWidth="1"/>
    <col min="10512" max="10731" width="9" style="1284"/>
    <col min="10732" max="10732" width="1.109375" style="1284" customWidth="1"/>
    <col min="10733" max="10733" width="8" style="1284" customWidth="1"/>
    <col min="10734" max="10734" width="8.44140625" style="1284" customWidth="1"/>
    <col min="10735" max="10735" width="23.6640625" style="1284" customWidth="1"/>
    <col min="10736" max="10736" width="21.6640625" style="1284" customWidth="1"/>
    <col min="10737" max="10737" width="9.44140625" style="1284" customWidth="1"/>
    <col min="10738" max="10738" width="8.109375" style="1284" bestFit="1" customWidth="1"/>
    <col min="10739" max="10739" width="16.109375" style="1284" customWidth="1"/>
    <col min="10740" max="10767" width="11.6640625" style="1284" customWidth="1"/>
    <col min="10768" max="10987" width="9" style="1284"/>
    <col min="10988" max="10988" width="1.109375" style="1284" customWidth="1"/>
    <col min="10989" max="10989" width="8" style="1284" customWidth="1"/>
    <col min="10990" max="10990" width="8.44140625" style="1284" customWidth="1"/>
    <col min="10991" max="10991" width="23.6640625" style="1284" customWidth="1"/>
    <col min="10992" max="10992" width="21.6640625" style="1284" customWidth="1"/>
    <col min="10993" max="10993" width="9.44140625" style="1284" customWidth="1"/>
    <col min="10994" max="10994" width="8.109375" style="1284" bestFit="1" customWidth="1"/>
    <col min="10995" max="10995" width="16.109375" style="1284" customWidth="1"/>
    <col min="10996" max="11023" width="11.6640625" style="1284" customWidth="1"/>
    <col min="11024" max="11243" width="9" style="1284"/>
    <col min="11244" max="11244" width="1.109375" style="1284" customWidth="1"/>
    <col min="11245" max="11245" width="8" style="1284" customWidth="1"/>
    <col min="11246" max="11246" width="8.44140625" style="1284" customWidth="1"/>
    <col min="11247" max="11247" width="23.6640625" style="1284" customWidth="1"/>
    <col min="11248" max="11248" width="21.6640625" style="1284" customWidth="1"/>
    <col min="11249" max="11249" width="9.44140625" style="1284" customWidth="1"/>
    <col min="11250" max="11250" width="8.109375" style="1284" bestFit="1" customWidth="1"/>
    <col min="11251" max="11251" width="16.109375" style="1284" customWidth="1"/>
    <col min="11252" max="11279" width="11.6640625" style="1284" customWidth="1"/>
    <col min="11280" max="11499" width="9" style="1284"/>
    <col min="11500" max="11500" width="1.109375" style="1284" customWidth="1"/>
    <col min="11501" max="11501" width="8" style="1284" customWidth="1"/>
    <col min="11502" max="11502" width="8.44140625" style="1284" customWidth="1"/>
    <col min="11503" max="11503" width="23.6640625" style="1284" customWidth="1"/>
    <col min="11504" max="11504" width="21.6640625" style="1284" customWidth="1"/>
    <col min="11505" max="11505" width="9.44140625" style="1284" customWidth="1"/>
    <col min="11506" max="11506" width="8.109375" style="1284" bestFit="1" customWidth="1"/>
    <col min="11507" max="11507" width="16.109375" style="1284" customWidth="1"/>
    <col min="11508" max="11535" width="11.6640625" style="1284" customWidth="1"/>
    <col min="11536" max="11755" width="9" style="1284"/>
    <col min="11756" max="11756" width="1.109375" style="1284" customWidth="1"/>
    <col min="11757" max="11757" width="8" style="1284" customWidth="1"/>
    <col min="11758" max="11758" width="8.44140625" style="1284" customWidth="1"/>
    <col min="11759" max="11759" width="23.6640625" style="1284" customWidth="1"/>
    <col min="11760" max="11760" width="21.6640625" style="1284" customWidth="1"/>
    <col min="11761" max="11761" width="9.44140625" style="1284" customWidth="1"/>
    <col min="11762" max="11762" width="8.109375" style="1284" bestFit="1" customWidth="1"/>
    <col min="11763" max="11763" width="16.109375" style="1284" customWidth="1"/>
    <col min="11764" max="11791" width="11.6640625" style="1284" customWidth="1"/>
    <col min="11792" max="12011" width="9" style="1284"/>
    <col min="12012" max="12012" width="1.109375" style="1284" customWidth="1"/>
    <col min="12013" max="12013" width="8" style="1284" customWidth="1"/>
    <col min="12014" max="12014" width="8.44140625" style="1284" customWidth="1"/>
    <col min="12015" max="12015" width="23.6640625" style="1284" customWidth="1"/>
    <col min="12016" max="12016" width="21.6640625" style="1284" customWidth="1"/>
    <col min="12017" max="12017" width="9.44140625" style="1284" customWidth="1"/>
    <col min="12018" max="12018" width="8.109375" style="1284" bestFit="1" customWidth="1"/>
    <col min="12019" max="12019" width="16.109375" style="1284" customWidth="1"/>
    <col min="12020" max="12047" width="11.6640625" style="1284" customWidth="1"/>
    <col min="12048" max="12267" width="9" style="1284"/>
    <col min="12268" max="12268" width="1.109375" style="1284" customWidth="1"/>
    <col min="12269" max="12269" width="8" style="1284" customWidth="1"/>
    <col min="12270" max="12270" width="8.44140625" style="1284" customWidth="1"/>
    <col min="12271" max="12271" width="23.6640625" style="1284" customWidth="1"/>
    <col min="12272" max="12272" width="21.6640625" style="1284" customWidth="1"/>
    <col min="12273" max="12273" width="9.44140625" style="1284" customWidth="1"/>
    <col min="12274" max="12274" width="8.109375" style="1284" bestFit="1" customWidth="1"/>
    <col min="12275" max="12275" width="16.109375" style="1284" customWidth="1"/>
    <col min="12276" max="12303" width="11.6640625" style="1284" customWidth="1"/>
    <col min="12304" max="12523" width="9" style="1284"/>
    <col min="12524" max="12524" width="1.109375" style="1284" customWidth="1"/>
    <col min="12525" max="12525" width="8" style="1284" customWidth="1"/>
    <col min="12526" max="12526" width="8.44140625" style="1284" customWidth="1"/>
    <col min="12527" max="12527" width="23.6640625" style="1284" customWidth="1"/>
    <col min="12528" max="12528" width="21.6640625" style="1284" customWidth="1"/>
    <col min="12529" max="12529" width="9.44140625" style="1284" customWidth="1"/>
    <col min="12530" max="12530" width="8.109375" style="1284" bestFit="1" customWidth="1"/>
    <col min="12531" max="12531" width="16.109375" style="1284" customWidth="1"/>
    <col min="12532" max="12559" width="11.6640625" style="1284" customWidth="1"/>
    <col min="12560" max="12779" width="9" style="1284"/>
    <col min="12780" max="12780" width="1.109375" style="1284" customWidth="1"/>
    <col min="12781" max="12781" width="8" style="1284" customWidth="1"/>
    <col min="12782" max="12782" width="8.44140625" style="1284" customWidth="1"/>
    <col min="12783" max="12783" width="23.6640625" style="1284" customWidth="1"/>
    <col min="12784" max="12784" width="21.6640625" style="1284" customWidth="1"/>
    <col min="12785" max="12785" width="9.44140625" style="1284" customWidth="1"/>
    <col min="12786" max="12786" width="8.109375" style="1284" bestFit="1" customWidth="1"/>
    <col min="12787" max="12787" width="16.109375" style="1284" customWidth="1"/>
    <col min="12788" max="12815" width="11.6640625" style="1284" customWidth="1"/>
    <col min="12816" max="13035" width="9" style="1284"/>
    <col min="13036" max="13036" width="1.109375" style="1284" customWidth="1"/>
    <col min="13037" max="13037" width="8" style="1284" customWidth="1"/>
    <col min="13038" max="13038" width="8.44140625" style="1284" customWidth="1"/>
    <col min="13039" max="13039" width="23.6640625" style="1284" customWidth="1"/>
    <col min="13040" max="13040" width="21.6640625" style="1284" customWidth="1"/>
    <col min="13041" max="13041" width="9.44140625" style="1284" customWidth="1"/>
    <col min="13042" max="13042" width="8.109375" style="1284" bestFit="1" customWidth="1"/>
    <col min="13043" max="13043" width="16.109375" style="1284" customWidth="1"/>
    <col min="13044" max="13071" width="11.6640625" style="1284" customWidth="1"/>
    <col min="13072" max="13291" width="9" style="1284"/>
    <col min="13292" max="13292" width="1.109375" style="1284" customWidth="1"/>
    <col min="13293" max="13293" width="8" style="1284" customWidth="1"/>
    <col min="13294" max="13294" width="8.44140625" style="1284" customWidth="1"/>
    <col min="13295" max="13295" width="23.6640625" style="1284" customWidth="1"/>
    <col min="13296" max="13296" width="21.6640625" style="1284" customWidth="1"/>
    <col min="13297" max="13297" width="9.44140625" style="1284" customWidth="1"/>
    <col min="13298" max="13298" width="8.109375" style="1284" bestFit="1" customWidth="1"/>
    <col min="13299" max="13299" width="16.109375" style="1284" customWidth="1"/>
    <col min="13300" max="13327" width="11.6640625" style="1284" customWidth="1"/>
    <col min="13328" max="13547" width="9" style="1284"/>
    <col min="13548" max="13548" width="1.109375" style="1284" customWidth="1"/>
    <col min="13549" max="13549" width="8" style="1284" customWidth="1"/>
    <col min="13550" max="13550" width="8.44140625" style="1284" customWidth="1"/>
    <col min="13551" max="13551" width="23.6640625" style="1284" customWidth="1"/>
    <col min="13552" max="13552" width="21.6640625" style="1284" customWidth="1"/>
    <col min="13553" max="13553" width="9.44140625" style="1284" customWidth="1"/>
    <col min="13554" max="13554" width="8.109375" style="1284" bestFit="1" customWidth="1"/>
    <col min="13555" max="13555" width="16.109375" style="1284" customWidth="1"/>
    <col min="13556" max="13583" width="11.6640625" style="1284" customWidth="1"/>
    <col min="13584" max="13803" width="9" style="1284"/>
    <col min="13804" max="13804" width="1.109375" style="1284" customWidth="1"/>
    <col min="13805" max="13805" width="8" style="1284" customWidth="1"/>
    <col min="13806" max="13806" width="8.44140625" style="1284" customWidth="1"/>
    <col min="13807" max="13807" width="23.6640625" style="1284" customWidth="1"/>
    <col min="13808" max="13808" width="21.6640625" style="1284" customWidth="1"/>
    <col min="13809" max="13809" width="9.44140625" style="1284" customWidth="1"/>
    <col min="13810" max="13810" width="8.109375" style="1284" bestFit="1" customWidth="1"/>
    <col min="13811" max="13811" width="16.109375" style="1284" customWidth="1"/>
    <col min="13812" max="13839" width="11.6640625" style="1284" customWidth="1"/>
    <col min="13840" max="14059" width="9" style="1284"/>
    <col min="14060" max="14060" width="1.109375" style="1284" customWidth="1"/>
    <col min="14061" max="14061" width="8" style="1284" customWidth="1"/>
    <col min="14062" max="14062" width="8.44140625" style="1284" customWidth="1"/>
    <col min="14063" max="14063" width="23.6640625" style="1284" customWidth="1"/>
    <col min="14064" max="14064" width="21.6640625" style="1284" customWidth="1"/>
    <col min="14065" max="14065" width="9.44140625" style="1284" customWidth="1"/>
    <col min="14066" max="14066" width="8.109375" style="1284" bestFit="1" customWidth="1"/>
    <col min="14067" max="14067" width="16.109375" style="1284" customWidth="1"/>
    <col min="14068" max="14095" width="11.6640625" style="1284" customWidth="1"/>
    <col min="14096" max="14315" width="9" style="1284"/>
    <col min="14316" max="14316" width="1.109375" style="1284" customWidth="1"/>
    <col min="14317" max="14317" width="8" style="1284" customWidth="1"/>
    <col min="14318" max="14318" width="8.44140625" style="1284" customWidth="1"/>
    <col min="14319" max="14319" width="23.6640625" style="1284" customWidth="1"/>
    <col min="14320" max="14320" width="21.6640625" style="1284" customWidth="1"/>
    <col min="14321" max="14321" width="9.44140625" style="1284" customWidth="1"/>
    <col min="14322" max="14322" width="8.109375" style="1284" bestFit="1" customWidth="1"/>
    <col min="14323" max="14323" width="16.109375" style="1284" customWidth="1"/>
    <col min="14324" max="14351" width="11.6640625" style="1284" customWidth="1"/>
    <col min="14352" max="14571" width="9" style="1284"/>
    <col min="14572" max="14572" width="1.109375" style="1284" customWidth="1"/>
    <col min="14573" max="14573" width="8" style="1284" customWidth="1"/>
    <col min="14574" max="14574" width="8.44140625" style="1284" customWidth="1"/>
    <col min="14575" max="14575" width="23.6640625" style="1284" customWidth="1"/>
    <col min="14576" max="14576" width="21.6640625" style="1284" customWidth="1"/>
    <col min="14577" max="14577" width="9.44140625" style="1284" customWidth="1"/>
    <col min="14578" max="14578" width="8.109375" style="1284" bestFit="1" customWidth="1"/>
    <col min="14579" max="14579" width="16.109375" style="1284" customWidth="1"/>
    <col min="14580" max="14607" width="11.6640625" style="1284" customWidth="1"/>
    <col min="14608" max="14827" width="9" style="1284"/>
    <col min="14828" max="14828" width="1.109375" style="1284" customWidth="1"/>
    <col min="14829" max="14829" width="8" style="1284" customWidth="1"/>
    <col min="14830" max="14830" width="8.44140625" style="1284" customWidth="1"/>
    <col min="14831" max="14831" width="23.6640625" style="1284" customWidth="1"/>
    <col min="14832" max="14832" width="21.6640625" style="1284" customWidth="1"/>
    <col min="14833" max="14833" width="9.44140625" style="1284" customWidth="1"/>
    <col min="14834" max="14834" width="8.109375" style="1284" bestFit="1" customWidth="1"/>
    <col min="14835" max="14835" width="16.109375" style="1284" customWidth="1"/>
    <col min="14836" max="14863" width="11.6640625" style="1284" customWidth="1"/>
    <col min="14864" max="15083" width="9" style="1284"/>
    <col min="15084" max="15084" width="1.109375" style="1284" customWidth="1"/>
    <col min="15085" max="15085" width="8" style="1284" customWidth="1"/>
    <col min="15086" max="15086" width="8.44140625" style="1284" customWidth="1"/>
    <col min="15087" max="15087" width="23.6640625" style="1284" customWidth="1"/>
    <col min="15088" max="15088" width="21.6640625" style="1284" customWidth="1"/>
    <col min="15089" max="15089" width="9.44140625" style="1284" customWidth="1"/>
    <col min="15090" max="15090" width="8.109375" style="1284" bestFit="1" customWidth="1"/>
    <col min="15091" max="15091" width="16.109375" style="1284" customWidth="1"/>
    <col min="15092" max="15119" width="11.6640625" style="1284" customWidth="1"/>
    <col min="15120" max="15339" width="9" style="1284"/>
    <col min="15340" max="15340" width="1.109375" style="1284" customWidth="1"/>
    <col min="15341" max="15341" width="8" style="1284" customWidth="1"/>
    <col min="15342" max="15342" width="8.44140625" style="1284" customWidth="1"/>
    <col min="15343" max="15343" width="23.6640625" style="1284" customWidth="1"/>
    <col min="15344" max="15344" width="21.6640625" style="1284" customWidth="1"/>
    <col min="15345" max="15345" width="9.44140625" style="1284" customWidth="1"/>
    <col min="15346" max="15346" width="8.109375" style="1284" bestFit="1" customWidth="1"/>
    <col min="15347" max="15347" width="16.109375" style="1284" customWidth="1"/>
    <col min="15348" max="15375" width="11.6640625" style="1284" customWidth="1"/>
    <col min="15376" max="15595" width="9" style="1284"/>
    <col min="15596" max="15596" width="1.109375" style="1284" customWidth="1"/>
    <col min="15597" max="15597" width="8" style="1284" customWidth="1"/>
    <col min="15598" max="15598" width="8.44140625" style="1284" customWidth="1"/>
    <col min="15599" max="15599" width="23.6640625" style="1284" customWidth="1"/>
    <col min="15600" max="15600" width="21.6640625" style="1284" customWidth="1"/>
    <col min="15601" max="15601" width="9.44140625" style="1284" customWidth="1"/>
    <col min="15602" max="15602" width="8.109375" style="1284" bestFit="1" customWidth="1"/>
    <col min="15603" max="15603" width="16.109375" style="1284" customWidth="1"/>
    <col min="15604" max="15631" width="11.6640625" style="1284" customWidth="1"/>
    <col min="15632" max="15851" width="9" style="1284"/>
    <col min="15852" max="15852" width="1.109375" style="1284" customWidth="1"/>
    <col min="15853" max="15853" width="8" style="1284" customWidth="1"/>
    <col min="15854" max="15854" width="8.44140625" style="1284" customWidth="1"/>
    <col min="15855" max="15855" width="23.6640625" style="1284" customWidth="1"/>
    <col min="15856" max="15856" width="21.6640625" style="1284" customWidth="1"/>
    <col min="15857" max="15857" width="9.44140625" style="1284" customWidth="1"/>
    <col min="15858" max="15858" width="8.109375" style="1284" bestFit="1" customWidth="1"/>
    <col min="15859" max="15859" width="16.109375" style="1284" customWidth="1"/>
    <col min="15860" max="15887" width="11.6640625" style="1284" customWidth="1"/>
    <col min="15888" max="16107" width="9" style="1284"/>
    <col min="16108" max="16108" width="1.109375" style="1284" customWidth="1"/>
    <col min="16109" max="16109" width="8" style="1284" customWidth="1"/>
    <col min="16110" max="16110" width="8.44140625" style="1284" customWidth="1"/>
    <col min="16111" max="16111" width="23.6640625" style="1284" customWidth="1"/>
    <col min="16112" max="16112" width="21.6640625" style="1284" customWidth="1"/>
    <col min="16113" max="16113" width="9.44140625" style="1284" customWidth="1"/>
    <col min="16114" max="16114" width="8.109375" style="1284" bestFit="1" customWidth="1"/>
    <col min="16115" max="16115" width="16.109375" style="1284" customWidth="1"/>
    <col min="16116" max="16143" width="11.6640625" style="1284" customWidth="1"/>
    <col min="16144" max="16384" width="9" style="1284"/>
  </cols>
  <sheetData>
    <row r="1" spans="2:5" ht="15" thickBot="1" x14ac:dyDescent="0.25"/>
    <row r="2" spans="2:5" ht="15.75" thickBot="1" x14ac:dyDescent="0.25">
      <c r="B2" s="1151" t="s">
        <v>63</v>
      </c>
    </row>
    <row r="3" spans="2:5" ht="44.1" customHeight="1" x14ac:dyDescent="0.25">
      <c r="B3" s="521" t="s">
        <v>438</v>
      </c>
      <c r="C3" s="1285"/>
      <c r="D3" s="1285"/>
      <c r="E3" s="1285"/>
    </row>
    <row r="4" spans="2:5" ht="15" x14ac:dyDescent="0.25">
      <c r="B4" s="521" t="s">
        <v>439</v>
      </c>
      <c r="C4" s="1285"/>
      <c r="D4" s="1285"/>
      <c r="E4" s="1285"/>
    </row>
    <row r="5" spans="2:5" s="1285" customFormat="1" ht="15" x14ac:dyDescent="0.25">
      <c r="B5" s="1308" t="s">
        <v>440</v>
      </c>
    </row>
    <row r="6" spans="2:5" s="1285" customFormat="1" ht="15" x14ac:dyDescent="0.25">
      <c r="B6" s="521" t="s">
        <v>441</v>
      </c>
    </row>
    <row r="7" spans="2:5" s="1285" customFormat="1" ht="15" x14ac:dyDescent="0.25">
      <c r="B7" s="521" t="s">
        <v>442</v>
      </c>
    </row>
    <row r="8" spans="2:5" s="1285" customFormat="1" ht="15" x14ac:dyDescent="0.25">
      <c r="B8" s="521" t="s">
        <v>443</v>
      </c>
    </row>
    <row r="9" spans="2:5" s="1285" customFormat="1" ht="15" x14ac:dyDescent="0.25">
      <c r="B9" s="1286"/>
    </row>
    <row r="10" spans="2:5" s="1285" customFormat="1" ht="15" x14ac:dyDescent="0.25">
      <c r="B10" s="1286"/>
    </row>
    <row r="11" spans="2:5" s="1285" customFormat="1" ht="15" x14ac:dyDescent="0.25">
      <c r="B11" s="1286"/>
    </row>
    <row r="12" spans="2:5" s="1285" customFormat="1" ht="15.75" thickBot="1" x14ac:dyDescent="0.3">
      <c r="B12" s="1286"/>
    </row>
    <row r="13" spans="2:5" s="1285" customFormat="1" ht="15" x14ac:dyDescent="0.25">
      <c r="B13" s="1287" t="s">
        <v>64</v>
      </c>
      <c r="C13" s="1288" t="s">
        <v>444</v>
      </c>
      <c r="D13" s="1287" t="s">
        <v>2</v>
      </c>
      <c r="E13" s="1288">
        <f>'TITLE PAGE'!D21</f>
        <v>16</v>
      </c>
    </row>
    <row r="14" spans="2:5" s="1285" customFormat="1" ht="15.75" thickBot="1" x14ac:dyDescent="0.3">
      <c r="B14" s="1289" t="s">
        <v>445</v>
      </c>
      <c r="C14" s="1290" t="s">
        <v>102</v>
      </c>
      <c r="D14" s="1291" t="s">
        <v>200</v>
      </c>
      <c r="E14" s="1290" t="s">
        <v>246</v>
      </c>
    </row>
    <row r="15" spans="2:5" s="1285" customFormat="1" ht="15" x14ac:dyDescent="0.25">
      <c r="B15" s="1286"/>
    </row>
    <row r="16" spans="2:5" s="1285" customFormat="1" ht="15" x14ac:dyDescent="0.25">
      <c r="B16" s="1286"/>
    </row>
    <row r="17" spans="1:89" s="1285" customFormat="1" ht="15" x14ac:dyDescent="0.25">
      <c r="B17" s="1286"/>
    </row>
    <row r="18" spans="1:89" s="1285" customFormat="1" ht="15" x14ac:dyDescent="0.25">
      <c r="B18" s="1286"/>
    </row>
    <row r="19" spans="1:89" s="1285" customFormat="1" ht="15" x14ac:dyDescent="0.25">
      <c r="B19" s="1286"/>
    </row>
    <row r="20" spans="1:89" s="1285" customFormat="1" ht="15" x14ac:dyDescent="0.25">
      <c r="B20" s="1286"/>
    </row>
    <row r="21" spans="1:89" ht="15" thickBot="1" x14ac:dyDescent="0.25"/>
    <row r="22" spans="1:89" ht="46.7" customHeight="1" thickBot="1" x14ac:dyDescent="0.25">
      <c r="B22" s="522" t="s">
        <v>438</v>
      </c>
      <c r="C22" s="1306" t="s">
        <v>204</v>
      </c>
      <c r="D22" s="523"/>
      <c r="E22" s="523"/>
      <c r="F22" s="523"/>
      <c r="G22" s="523"/>
      <c r="H22" s="523"/>
      <c r="I22" s="523"/>
      <c r="J22" s="523"/>
      <c r="K22" s="523"/>
      <c r="L22" s="523"/>
      <c r="M22" s="523"/>
      <c r="N22" s="523"/>
      <c r="O22" s="523"/>
      <c r="P22" s="523"/>
      <c r="Q22" s="523"/>
      <c r="R22" s="523"/>
      <c r="S22" s="523"/>
      <c r="T22" s="523"/>
      <c r="U22" s="523"/>
      <c r="V22" s="523"/>
      <c r="W22" s="523"/>
      <c r="X22" s="523"/>
      <c r="Y22" s="523"/>
      <c r="Z22" s="523"/>
      <c r="AA22" s="523"/>
      <c r="AB22" s="523"/>
      <c r="AC22" s="523"/>
      <c r="AD22" s="523"/>
      <c r="AE22" s="523"/>
      <c r="AF22" s="523"/>
      <c r="AG22" s="523"/>
      <c r="AH22" s="523"/>
      <c r="AI22" s="523"/>
      <c r="AJ22" s="523"/>
      <c r="AK22" s="523"/>
      <c r="AL22" s="523"/>
      <c r="AM22" s="523"/>
      <c r="AN22" s="523"/>
      <c r="AO22" s="523"/>
      <c r="AP22" s="523"/>
      <c r="AQ22" s="523"/>
      <c r="AR22" s="523"/>
      <c r="AS22" s="523"/>
      <c r="AT22" s="523"/>
      <c r="AU22" s="523"/>
      <c r="AV22" s="523"/>
      <c r="AW22" s="523"/>
      <c r="AX22" s="523"/>
      <c r="AY22" s="523"/>
      <c r="AZ22" s="523"/>
      <c r="BA22" s="523"/>
      <c r="BB22" s="523"/>
      <c r="BC22" s="523"/>
      <c r="BD22" s="523"/>
      <c r="BE22" s="523"/>
      <c r="BF22" s="523"/>
      <c r="BG22" s="523"/>
      <c r="BH22" s="523"/>
      <c r="BI22" s="523"/>
      <c r="BJ22" s="523"/>
      <c r="BK22" s="523"/>
      <c r="BL22" s="523"/>
      <c r="BM22" s="523"/>
      <c r="BN22" s="523"/>
      <c r="BO22" s="523"/>
      <c r="BP22" s="523"/>
      <c r="BQ22" s="523"/>
      <c r="BR22" s="523"/>
      <c r="BS22" s="523"/>
      <c r="BT22" s="523"/>
      <c r="BU22" s="523"/>
      <c r="BV22" s="523"/>
      <c r="BW22" s="523"/>
      <c r="BX22" s="523"/>
      <c r="BY22" s="523"/>
      <c r="BZ22" s="523"/>
      <c r="CA22" s="523"/>
      <c r="CB22" s="523"/>
      <c r="CC22" s="523"/>
      <c r="CD22" s="523"/>
      <c r="CE22" s="523"/>
      <c r="CF22" s="523"/>
      <c r="CG22" s="523"/>
      <c r="CH22" s="523"/>
      <c r="CI22" s="523"/>
      <c r="CJ22" s="523"/>
    </row>
    <row r="23" spans="1:89" ht="15.75" thickBot="1" x14ac:dyDescent="0.25">
      <c r="B23" s="524" t="s">
        <v>446</v>
      </c>
      <c r="C23" s="525" t="s">
        <v>205</v>
      </c>
      <c r="D23" s="525" t="s">
        <v>71</v>
      </c>
      <c r="E23" s="525" t="s">
        <v>206</v>
      </c>
      <c r="F23" s="526" t="s">
        <v>207</v>
      </c>
      <c r="G23" s="524" t="s">
        <v>208</v>
      </c>
      <c r="H23" s="524" t="s">
        <v>209</v>
      </c>
      <c r="I23" s="524" t="s">
        <v>210</v>
      </c>
      <c r="J23" s="524" t="s">
        <v>211</v>
      </c>
      <c r="K23" s="524" t="s">
        <v>212</v>
      </c>
      <c r="L23" s="524" t="s">
        <v>213</v>
      </c>
      <c r="M23" s="525" t="s">
        <v>214</v>
      </c>
      <c r="N23" s="525" t="s">
        <v>215</v>
      </c>
      <c r="O23" s="525" t="s">
        <v>216</v>
      </c>
      <c r="P23" s="525" t="s">
        <v>217</v>
      </c>
      <c r="Q23" s="525" t="s">
        <v>218</v>
      </c>
      <c r="R23" s="525" t="s">
        <v>247</v>
      </c>
      <c r="S23" s="525" t="s">
        <v>248</v>
      </c>
      <c r="T23" s="525" t="s">
        <v>249</v>
      </c>
      <c r="U23" s="525" t="s">
        <v>250</v>
      </c>
      <c r="V23" s="525" t="s">
        <v>219</v>
      </c>
      <c r="W23" s="525" t="s">
        <v>251</v>
      </c>
      <c r="X23" s="525" t="s">
        <v>252</v>
      </c>
      <c r="Y23" s="525" t="s">
        <v>253</v>
      </c>
      <c r="Z23" s="525" t="s">
        <v>254</v>
      </c>
      <c r="AA23" s="525" t="s">
        <v>220</v>
      </c>
      <c r="AB23" s="525" t="s">
        <v>255</v>
      </c>
      <c r="AC23" s="525" t="s">
        <v>256</v>
      </c>
      <c r="AD23" s="525" t="s">
        <v>257</v>
      </c>
      <c r="AE23" s="525" t="s">
        <v>258</v>
      </c>
      <c r="AF23" s="525" t="s">
        <v>221</v>
      </c>
      <c r="AG23" s="525" t="s">
        <v>259</v>
      </c>
      <c r="AH23" s="525" t="s">
        <v>260</v>
      </c>
      <c r="AI23" s="525" t="s">
        <v>261</v>
      </c>
      <c r="AJ23" s="525" t="s">
        <v>262</v>
      </c>
      <c r="AK23" s="525" t="s">
        <v>222</v>
      </c>
      <c r="AL23" s="525" t="s">
        <v>263</v>
      </c>
      <c r="AM23" s="525" t="s">
        <v>264</v>
      </c>
      <c r="AN23" s="525" t="s">
        <v>265</v>
      </c>
      <c r="AO23" s="525" t="s">
        <v>266</v>
      </c>
      <c r="AP23" s="525" t="s">
        <v>223</v>
      </c>
      <c r="AQ23" s="525" t="s">
        <v>267</v>
      </c>
      <c r="AR23" s="525" t="s">
        <v>268</v>
      </c>
      <c r="AS23" s="525" t="s">
        <v>269</v>
      </c>
      <c r="AT23" s="525" t="s">
        <v>270</v>
      </c>
      <c r="AU23" s="525" t="s">
        <v>224</v>
      </c>
      <c r="AV23" s="525" t="s">
        <v>271</v>
      </c>
      <c r="AW23" s="525" t="s">
        <v>272</v>
      </c>
      <c r="AX23" s="525" t="s">
        <v>273</v>
      </c>
      <c r="AY23" s="525" t="s">
        <v>274</v>
      </c>
      <c r="AZ23" s="525" t="s">
        <v>225</v>
      </c>
      <c r="BA23" s="525" t="s">
        <v>275</v>
      </c>
      <c r="BB23" s="525" t="s">
        <v>276</v>
      </c>
      <c r="BC23" s="525" t="s">
        <v>277</v>
      </c>
      <c r="BD23" s="525" t="s">
        <v>278</v>
      </c>
      <c r="BE23" s="525" t="s">
        <v>226</v>
      </c>
      <c r="BF23" s="525" t="s">
        <v>279</v>
      </c>
      <c r="BG23" s="525" t="s">
        <v>280</v>
      </c>
      <c r="BH23" s="525" t="s">
        <v>281</v>
      </c>
      <c r="BI23" s="525" t="s">
        <v>282</v>
      </c>
      <c r="BJ23" s="525" t="s">
        <v>227</v>
      </c>
      <c r="BK23" s="525" t="s">
        <v>283</v>
      </c>
      <c r="BL23" s="525" t="s">
        <v>284</v>
      </c>
      <c r="BM23" s="525" t="s">
        <v>285</v>
      </c>
      <c r="BN23" s="525" t="s">
        <v>286</v>
      </c>
      <c r="BO23" s="525" t="s">
        <v>228</v>
      </c>
      <c r="BP23" s="525" t="s">
        <v>287</v>
      </c>
      <c r="BQ23" s="525" t="s">
        <v>288</v>
      </c>
      <c r="BR23" s="525" t="s">
        <v>289</v>
      </c>
      <c r="BS23" s="525" t="s">
        <v>290</v>
      </c>
      <c r="BT23" s="525" t="s">
        <v>229</v>
      </c>
      <c r="BU23" s="525" t="s">
        <v>291</v>
      </c>
      <c r="BV23" s="525" t="s">
        <v>292</v>
      </c>
      <c r="BW23" s="525" t="s">
        <v>293</v>
      </c>
      <c r="BX23" s="525" t="s">
        <v>294</v>
      </c>
      <c r="BY23" s="525" t="s">
        <v>230</v>
      </c>
      <c r="BZ23" s="525" t="s">
        <v>295</v>
      </c>
      <c r="CA23" s="525" t="s">
        <v>296</v>
      </c>
      <c r="CB23" s="525" t="s">
        <v>297</v>
      </c>
      <c r="CC23" s="525" t="s">
        <v>298</v>
      </c>
      <c r="CD23" s="525" t="s">
        <v>231</v>
      </c>
      <c r="CE23" s="525" t="s">
        <v>299</v>
      </c>
      <c r="CF23" s="525" t="s">
        <v>300</v>
      </c>
      <c r="CG23" s="525" t="s">
        <v>301</v>
      </c>
      <c r="CH23" s="525" t="s">
        <v>302</v>
      </c>
      <c r="CI23" s="526" t="s">
        <v>232</v>
      </c>
    </row>
    <row r="24" spans="1:89" s="1292" customFormat="1" x14ac:dyDescent="0.2">
      <c r="A24" s="1284"/>
      <c r="B24" s="1018" t="s">
        <v>447</v>
      </c>
      <c r="C24" s="1019" t="s">
        <v>448</v>
      </c>
      <c r="D24" s="1020" t="s">
        <v>86</v>
      </c>
      <c r="E24" s="1021" t="s">
        <v>236</v>
      </c>
      <c r="F24" s="1022">
        <v>2</v>
      </c>
      <c r="G24" s="532"/>
      <c r="H24" s="540"/>
      <c r="I24" s="540">
        <v>9.6355278507186117</v>
      </c>
      <c r="J24" s="540">
        <v>13.033845840609949</v>
      </c>
      <c r="K24" s="540">
        <v>12.992840229274417</v>
      </c>
      <c r="L24" s="540">
        <v>12.961982713515702</v>
      </c>
      <c r="M24" s="541">
        <v>13.368594070493378</v>
      </c>
      <c r="N24" s="541">
        <v>13.478726171513509</v>
      </c>
      <c r="O24" s="541">
        <v>13.578730784274239</v>
      </c>
      <c r="P24" s="541">
        <v>13.575909007996326</v>
      </c>
      <c r="Q24" s="541">
        <v>13.571354559573763</v>
      </c>
      <c r="R24" s="541">
        <v>13.479039215652822</v>
      </c>
      <c r="S24" s="541">
        <v>13.485906146311716</v>
      </c>
      <c r="T24" s="541">
        <v>13.491812117285184</v>
      </c>
      <c r="U24" s="541">
        <v>13.489477154550951</v>
      </c>
      <c r="V24" s="541">
        <v>13.488060672191043</v>
      </c>
      <c r="W24" s="541">
        <v>13.487878751757142</v>
      </c>
      <c r="X24" s="541">
        <v>13.48736023274091</v>
      </c>
      <c r="Y24" s="541">
        <v>13.488220148554452</v>
      </c>
      <c r="Z24" s="541">
        <v>13.490816212851472</v>
      </c>
      <c r="AA24" s="541">
        <v>13.491867104901543</v>
      </c>
      <c r="AB24" s="541">
        <v>13.474109067080787</v>
      </c>
      <c r="AC24" s="541">
        <v>13.473889429699437</v>
      </c>
      <c r="AD24" s="541">
        <v>13.474673122661601</v>
      </c>
      <c r="AE24" s="541">
        <v>13.488326853017506</v>
      </c>
      <c r="AF24" s="541">
        <v>13.501895172279033</v>
      </c>
      <c r="AG24" s="541">
        <v>13.501060734208213</v>
      </c>
      <c r="AH24" s="541">
        <v>13.514903514413971</v>
      </c>
      <c r="AI24" s="541">
        <v>13.529489734998204</v>
      </c>
      <c r="AJ24" s="541">
        <v>13.545997630471991</v>
      </c>
      <c r="AK24" s="541">
        <v>13.563679276049072</v>
      </c>
      <c r="AL24" s="541"/>
      <c r="AM24" s="541"/>
      <c r="AN24" s="541"/>
      <c r="AO24" s="541"/>
      <c r="AP24" s="541"/>
      <c r="AQ24" s="541"/>
      <c r="AR24" s="541"/>
      <c r="AS24" s="541"/>
      <c r="AT24" s="541"/>
      <c r="AU24" s="541"/>
      <c r="AV24" s="541"/>
      <c r="AW24" s="541"/>
      <c r="AX24" s="541"/>
      <c r="AY24" s="541"/>
      <c r="AZ24" s="541"/>
      <c r="BA24" s="541"/>
      <c r="BB24" s="541"/>
      <c r="BC24" s="541"/>
      <c r="BD24" s="541"/>
      <c r="BE24" s="541"/>
      <c r="BF24" s="541"/>
      <c r="BG24" s="541"/>
      <c r="BH24" s="541"/>
      <c r="BI24" s="541"/>
      <c r="BJ24" s="541"/>
      <c r="BK24" s="541"/>
      <c r="BL24" s="541"/>
      <c r="BM24" s="541"/>
      <c r="BN24" s="541"/>
      <c r="BO24" s="541"/>
      <c r="BP24" s="541"/>
      <c r="BQ24" s="541"/>
      <c r="BR24" s="541"/>
      <c r="BS24" s="541"/>
      <c r="BT24" s="541"/>
      <c r="BU24" s="541"/>
      <c r="BV24" s="541"/>
      <c r="BW24" s="541"/>
      <c r="BX24" s="541"/>
      <c r="BY24" s="541"/>
      <c r="BZ24" s="541"/>
      <c r="CA24" s="541"/>
      <c r="CB24" s="541"/>
      <c r="CC24" s="541"/>
      <c r="CD24" s="541"/>
      <c r="CE24" s="541"/>
      <c r="CF24" s="541"/>
      <c r="CG24" s="541"/>
      <c r="CH24" s="541"/>
      <c r="CI24" s="542"/>
      <c r="CK24" s="1293"/>
    </row>
    <row r="25" spans="1:89" s="1292" customFormat="1" x14ac:dyDescent="0.2">
      <c r="A25" s="1284"/>
      <c r="B25" s="1013" t="s">
        <v>449</v>
      </c>
      <c r="C25" s="1014" t="s">
        <v>450</v>
      </c>
      <c r="D25" s="1015" t="s">
        <v>86</v>
      </c>
      <c r="E25" s="1016" t="s">
        <v>236</v>
      </c>
      <c r="F25" s="1017">
        <v>2</v>
      </c>
      <c r="G25" s="1011"/>
      <c r="H25" s="540"/>
      <c r="I25" s="540">
        <v>0</v>
      </c>
      <c r="J25" s="540">
        <v>0</v>
      </c>
      <c r="K25" s="540">
        <v>0</v>
      </c>
      <c r="L25" s="540">
        <v>0</v>
      </c>
      <c r="M25" s="541">
        <v>0</v>
      </c>
      <c r="N25" s="541">
        <v>0</v>
      </c>
      <c r="O25" s="541">
        <v>0</v>
      </c>
      <c r="P25" s="541">
        <v>0</v>
      </c>
      <c r="Q25" s="541">
        <v>0</v>
      </c>
      <c r="R25" s="541">
        <v>0</v>
      </c>
      <c r="S25" s="541">
        <v>0</v>
      </c>
      <c r="T25" s="541">
        <v>0</v>
      </c>
      <c r="U25" s="541">
        <v>0</v>
      </c>
      <c r="V25" s="541">
        <v>0</v>
      </c>
      <c r="W25" s="541">
        <v>0</v>
      </c>
      <c r="X25" s="541">
        <v>0</v>
      </c>
      <c r="Y25" s="541">
        <v>0</v>
      </c>
      <c r="Z25" s="541">
        <v>0</v>
      </c>
      <c r="AA25" s="541">
        <v>0</v>
      </c>
      <c r="AB25" s="541">
        <v>0</v>
      </c>
      <c r="AC25" s="541">
        <v>0</v>
      </c>
      <c r="AD25" s="541">
        <v>0</v>
      </c>
      <c r="AE25" s="541">
        <v>0</v>
      </c>
      <c r="AF25" s="541">
        <v>0</v>
      </c>
      <c r="AG25" s="541">
        <v>0</v>
      </c>
      <c r="AH25" s="541">
        <v>0</v>
      </c>
      <c r="AI25" s="541">
        <v>0</v>
      </c>
      <c r="AJ25" s="541">
        <v>0</v>
      </c>
      <c r="AK25" s="541">
        <v>0</v>
      </c>
      <c r="AL25" s="541"/>
      <c r="AM25" s="541"/>
      <c r="AN25" s="541"/>
      <c r="AO25" s="541"/>
      <c r="AP25" s="541"/>
      <c r="AQ25" s="541"/>
      <c r="AR25" s="541"/>
      <c r="AS25" s="541"/>
      <c r="AT25" s="541"/>
      <c r="AU25" s="541"/>
      <c r="AV25" s="541"/>
      <c r="AW25" s="541"/>
      <c r="AX25" s="541"/>
      <c r="AY25" s="541"/>
      <c r="AZ25" s="541"/>
      <c r="BA25" s="541"/>
      <c r="BB25" s="541"/>
      <c r="BC25" s="541"/>
      <c r="BD25" s="541"/>
      <c r="BE25" s="541"/>
      <c r="BF25" s="541"/>
      <c r="BG25" s="541"/>
      <c r="BH25" s="541"/>
      <c r="BI25" s="541"/>
      <c r="BJ25" s="541"/>
      <c r="BK25" s="541"/>
      <c r="BL25" s="541"/>
      <c r="BM25" s="541"/>
      <c r="BN25" s="541"/>
      <c r="BO25" s="541"/>
      <c r="BP25" s="541"/>
      <c r="BQ25" s="541"/>
      <c r="BR25" s="541"/>
      <c r="BS25" s="541"/>
      <c r="BT25" s="541"/>
      <c r="BU25" s="541"/>
      <c r="BV25" s="541"/>
      <c r="BW25" s="541"/>
      <c r="BX25" s="541"/>
      <c r="BY25" s="541"/>
      <c r="BZ25" s="541"/>
      <c r="CA25" s="541"/>
      <c r="CB25" s="541"/>
      <c r="CC25" s="541"/>
      <c r="CD25" s="541"/>
      <c r="CE25" s="541"/>
      <c r="CF25" s="541"/>
      <c r="CG25" s="541"/>
      <c r="CH25" s="541"/>
      <c r="CI25" s="542"/>
      <c r="CK25" s="1293"/>
    </row>
    <row r="26" spans="1:89" s="1292" customFormat="1" x14ac:dyDescent="0.2">
      <c r="A26" s="1284"/>
      <c r="B26" s="1012" t="s">
        <v>451</v>
      </c>
      <c r="C26" s="1004" t="s">
        <v>452</v>
      </c>
      <c r="D26" s="1005" t="s">
        <v>86</v>
      </c>
      <c r="E26" s="1006" t="s">
        <v>236</v>
      </c>
      <c r="F26" s="1007">
        <v>2</v>
      </c>
      <c r="G26" s="540"/>
      <c r="H26" s="540"/>
      <c r="I26" s="540">
        <v>2</v>
      </c>
      <c r="J26" s="540">
        <v>2</v>
      </c>
      <c r="K26" s="540">
        <v>2</v>
      </c>
      <c r="L26" s="540">
        <v>2</v>
      </c>
      <c r="M26" s="541">
        <v>2</v>
      </c>
      <c r="N26" s="541">
        <v>2</v>
      </c>
      <c r="O26" s="541">
        <v>2</v>
      </c>
      <c r="P26" s="541">
        <v>2</v>
      </c>
      <c r="Q26" s="541">
        <v>2</v>
      </c>
      <c r="R26" s="541">
        <v>1.46</v>
      </c>
      <c r="S26" s="541">
        <v>1.46</v>
      </c>
      <c r="T26" s="541">
        <v>1.46</v>
      </c>
      <c r="U26" s="541">
        <v>1.46</v>
      </c>
      <c r="V26" s="541">
        <v>1.46</v>
      </c>
      <c r="W26" s="541">
        <v>1.46</v>
      </c>
      <c r="X26" s="541">
        <v>1.46</v>
      </c>
      <c r="Y26" s="541">
        <v>1.46</v>
      </c>
      <c r="Z26" s="541">
        <v>1.46</v>
      </c>
      <c r="AA26" s="541">
        <v>1.46</v>
      </c>
      <c r="AB26" s="541">
        <v>1.0900000000000001</v>
      </c>
      <c r="AC26" s="541">
        <v>1.0900000000000001</v>
      </c>
      <c r="AD26" s="541">
        <v>1.0900000000000001</v>
      </c>
      <c r="AE26" s="541">
        <v>1.0900000000000001</v>
      </c>
      <c r="AF26" s="541">
        <v>1.0900000000000001</v>
      </c>
      <c r="AG26" s="541">
        <v>0.73</v>
      </c>
      <c r="AH26" s="541">
        <v>0.73</v>
      </c>
      <c r="AI26" s="541">
        <v>0.73</v>
      </c>
      <c r="AJ26" s="541">
        <v>0.73</v>
      </c>
      <c r="AK26" s="541">
        <v>0.73</v>
      </c>
      <c r="AL26" s="541"/>
      <c r="AM26" s="541"/>
      <c r="AN26" s="541"/>
      <c r="AO26" s="541"/>
      <c r="AP26" s="541"/>
      <c r="AQ26" s="541"/>
      <c r="AR26" s="541"/>
      <c r="AS26" s="541"/>
      <c r="AT26" s="541"/>
      <c r="AU26" s="541"/>
      <c r="AV26" s="541"/>
      <c r="AW26" s="541"/>
      <c r="AX26" s="541"/>
      <c r="AY26" s="541"/>
      <c r="AZ26" s="541"/>
      <c r="BA26" s="541"/>
      <c r="BB26" s="541"/>
      <c r="BC26" s="541"/>
      <c r="BD26" s="541"/>
      <c r="BE26" s="541"/>
      <c r="BF26" s="541"/>
      <c r="BG26" s="541"/>
      <c r="BH26" s="541"/>
      <c r="BI26" s="541"/>
      <c r="BJ26" s="541"/>
      <c r="BK26" s="541"/>
      <c r="BL26" s="541"/>
      <c r="BM26" s="541"/>
      <c r="BN26" s="541"/>
      <c r="BO26" s="541"/>
      <c r="BP26" s="541"/>
      <c r="BQ26" s="541"/>
      <c r="BR26" s="541"/>
      <c r="BS26" s="541"/>
      <c r="BT26" s="541"/>
      <c r="BU26" s="541"/>
      <c r="BV26" s="541"/>
      <c r="BW26" s="541"/>
      <c r="BX26" s="541"/>
      <c r="BY26" s="541"/>
      <c r="BZ26" s="541"/>
      <c r="CA26" s="541"/>
      <c r="CB26" s="541"/>
      <c r="CC26" s="541"/>
      <c r="CD26" s="541"/>
      <c r="CE26" s="541"/>
      <c r="CF26" s="541"/>
      <c r="CG26" s="541"/>
      <c r="CH26" s="541"/>
      <c r="CI26" s="542"/>
      <c r="CK26" s="1293"/>
    </row>
    <row r="27" spans="1:89" s="1292" customFormat="1" x14ac:dyDescent="0.2">
      <c r="A27" s="1284"/>
      <c r="B27" s="535" t="s">
        <v>453</v>
      </c>
      <c r="C27" s="536" t="s">
        <v>454</v>
      </c>
      <c r="D27" s="537" t="s">
        <v>86</v>
      </c>
      <c r="E27" s="538" t="s">
        <v>236</v>
      </c>
      <c r="F27" s="539">
        <v>2</v>
      </c>
      <c r="G27" s="540"/>
      <c r="H27" s="540"/>
      <c r="I27" s="540">
        <v>0</v>
      </c>
      <c r="J27" s="540">
        <v>0</v>
      </c>
      <c r="K27" s="540">
        <v>0</v>
      </c>
      <c r="L27" s="540">
        <v>0</v>
      </c>
      <c r="M27" s="541">
        <v>0</v>
      </c>
      <c r="N27" s="541">
        <v>0</v>
      </c>
      <c r="O27" s="541">
        <v>0</v>
      </c>
      <c r="P27" s="541">
        <v>0</v>
      </c>
      <c r="Q27" s="541">
        <v>0</v>
      </c>
      <c r="R27" s="541">
        <v>0</v>
      </c>
      <c r="S27" s="541">
        <v>0</v>
      </c>
      <c r="T27" s="541">
        <v>0</v>
      </c>
      <c r="U27" s="541">
        <v>0</v>
      </c>
      <c r="V27" s="541">
        <v>0</v>
      </c>
      <c r="W27" s="541">
        <v>0</v>
      </c>
      <c r="X27" s="541">
        <v>0</v>
      </c>
      <c r="Y27" s="541">
        <v>0</v>
      </c>
      <c r="Z27" s="541">
        <v>0</v>
      </c>
      <c r="AA27" s="541">
        <v>0</v>
      </c>
      <c r="AB27" s="541">
        <v>0</v>
      </c>
      <c r="AC27" s="541">
        <v>0</v>
      </c>
      <c r="AD27" s="541">
        <v>0</v>
      </c>
      <c r="AE27" s="541">
        <v>0</v>
      </c>
      <c r="AF27" s="541">
        <v>0</v>
      </c>
      <c r="AG27" s="541">
        <v>0</v>
      </c>
      <c r="AH27" s="541">
        <v>0</v>
      </c>
      <c r="AI27" s="541">
        <v>0</v>
      </c>
      <c r="AJ27" s="541">
        <v>0</v>
      </c>
      <c r="AK27" s="541">
        <v>0</v>
      </c>
      <c r="AL27" s="541"/>
      <c r="AM27" s="541"/>
      <c r="AN27" s="541"/>
      <c r="AO27" s="541"/>
      <c r="AP27" s="541"/>
      <c r="AQ27" s="541"/>
      <c r="AR27" s="541"/>
      <c r="AS27" s="541"/>
      <c r="AT27" s="541"/>
      <c r="AU27" s="541"/>
      <c r="AV27" s="541"/>
      <c r="AW27" s="541"/>
      <c r="AX27" s="541"/>
      <c r="AY27" s="541"/>
      <c r="AZ27" s="541"/>
      <c r="BA27" s="541"/>
      <c r="BB27" s="541"/>
      <c r="BC27" s="541"/>
      <c r="BD27" s="541"/>
      <c r="BE27" s="541"/>
      <c r="BF27" s="541"/>
      <c r="BG27" s="541"/>
      <c r="BH27" s="541"/>
      <c r="BI27" s="541"/>
      <c r="BJ27" s="541"/>
      <c r="BK27" s="541"/>
      <c r="BL27" s="541"/>
      <c r="BM27" s="541"/>
      <c r="BN27" s="541"/>
      <c r="BO27" s="541"/>
      <c r="BP27" s="541"/>
      <c r="BQ27" s="541"/>
      <c r="BR27" s="541"/>
      <c r="BS27" s="541"/>
      <c r="BT27" s="541"/>
      <c r="BU27" s="541"/>
      <c r="BV27" s="541"/>
      <c r="BW27" s="541"/>
      <c r="BX27" s="541"/>
      <c r="BY27" s="541"/>
      <c r="BZ27" s="541"/>
      <c r="CA27" s="541"/>
      <c r="CB27" s="541"/>
      <c r="CC27" s="541"/>
      <c r="CD27" s="541"/>
      <c r="CE27" s="541"/>
      <c r="CF27" s="541"/>
      <c r="CG27" s="541"/>
      <c r="CH27" s="541"/>
      <c r="CI27" s="542"/>
      <c r="CK27" s="1293"/>
    </row>
    <row r="28" spans="1:89" s="1292" customFormat="1" x14ac:dyDescent="0.2">
      <c r="A28" s="1284"/>
      <c r="B28" s="543" t="s">
        <v>455</v>
      </c>
      <c r="C28" s="536" t="s">
        <v>456</v>
      </c>
      <c r="D28" s="537" t="s">
        <v>86</v>
      </c>
      <c r="E28" s="538" t="s">
        <v>236</v>
      </c>
      <c r="F28" s="539">
        <v>2</v>
      </c>
      <c r="G28" s="540"/>
      <c r="H28" s="540"/>
      <c r="I28" s="540">
        <v>0</v>
      </c>
      <c r="J28" s="540">
        <v>0</v>
      </c>
      <c r="K28" s="540">
        <v>0</v>
      </c>
      <c r="L28" s="540">
        <v>0</v>
      </c>
      <c r="M28" s="541">
        <v>0</v>
      </c>
      <c r="N28" s="541">
        <v>0</v>
      </c>
      <c r="O28" s="541">
        <v>0</v>
      </c>
      <c r="P28" s="541">
        <v>0</v>
      </c>
      <c r="Q28" s="541">
        <v>0</v>
      </c>
      <c r="R28" s="541">
        <v>0</v>
      </c>
      <c r="S28" s="541">
        <v>0</v>
      </c>
      <c r="T28" s="541">
        <v>0</v>
      </c>
      <c r="U28" s="541">
        <v>0</v>
      </c>
      <c r="V28" s="541">
        <v>0</v>
      </c>
      <c r="W28" s="541">
        <v>0</v>
      </c>
      <c r="X28" s="541">
        <v>0</v>
      </c>
      <c r="Y28" s="541">
        <v>0</v>
      </c>
      <c r="Z28" s="541">
        <v>0</v>
      </c>
      <c r="AA28" s="541">
        <v>0</v>
      </c>
      <c r="AB28" s="541">
        <v>0</v>
      </c>
      <c r="AC28" s="541">
        <v>0</v>
      </c>
      <c r="AD28" s="541">
        <v>0</v>
      </c>
      <c r="AE28" s="541">
        <v>0</v>
      </c>
      <c r="AF28" s="541">
        <v>0</v>
      </c>
      <c r="AG28" s="541">
        <v>0</v>
      </c>
      <c r="AH28" s="541">
        <v>0</v>
      </c>
      <c r="AI28" s="541">
        <v>0</v>
      </c>
      <c r="AJ28" s="541">
        <v>0</v>
      </c>
      <c r="AK28" s="541">
        <v>0</v>
      </c>
      <c r="AL28" s="541"/>
      <c r="AM28" s="541"/>
      <c r="AN28" s="541"/>
      <c r="AO28" s="541"/>
      <c r="AP28" s="541"/>
      <c r="AQ28" s="541"/>
      <c r="AR28" s="541"/>
      <c r="AS28" s="541"/>
      <c r="AT28" s="541"/>
      <c r="AU28" s="541"/>
      <c r="AV28" s="541"/>
      <c r="AW28" s="541"/>
      <c r="AX28" s="541"/>
      <c r="AY28" s="541"/>
      <c r="AZ28" s="541"/>
      <c r="BA28" s="541"/>
      <c r="BB28" s="541"/>
      <c r="BC28" s="541"/>
      <c r="BD28" s="541"/>
      <c r="BE28" s="541"/>
      <c r="BF28" s="541"/>
      <c r="BG28" s="541"/>
      <c r="BH28" s="541"/>
      <c r="BI28" s="541"/>
      <c r="BJ28" s="541"/>
      <c r="BK28" s="541"/>
      <c r="BL28" s="541"/>
      <c r="BM28" s="541"/>
      <c r="BN28" s="541"/>
      <c r="BO28" s="541"/>
      <c r="BP28" s="541"/>
      <c r="BQ28" s="541"/>
      <c r="BR28" s="541"/>
      <c r="BS28" s="541"/>
      <c r="BT28" s="541"/>
      <c r="BU28" s="541"/>
      <c r="BV28" s="541"/>
      <c r="BW28" s="541"/>
      <c r="BX28" s="541"/>
      <c r="BY28" s="541"/>
      <c r="BZ28" s="541"/>
      <c r="CA28" s="541"/>
      <c r="CB28" s="541"/>
      <c r="CC28" s="541"/>
      <c r="CD28" s="541"/>
      <c r="CE28" s="541"/>
      <c r="CF28" s="541"/>
      <c r="CG28" s="541"/>
      <c r="CH28" s="541"/>
      <c r="CI28" s="542"/>
      <c r="CK28" s="1293"/>
    </row>
    <row r="29" spans="1:89" s="1292" customFormat="1" x14ac:dyDescent="0.2">
      <c r="A29" s="1588"/>
      <c r="B29" s="543" t="s">
        <v>457</v>
      </c>
      <c r="C29" s="536" t="s">
        <v>458</v>
      </c>
      <c r="D29" s="537" t="s">
        <v>86</v>
      </c>
      <c r="E29" s="538" t="s">
        <v>236</v>
      </c>
      <c r="F29" s="539">
        <v>2</v>
      </c>
      <c r="G29" s="540"/>
      <c r="H29" s="540"/>
      <c r="I29" s="540">
        <v>-0.2</v>
      </c>
      <c r="J29" s="540">
        <v>-0.2</v>
      </c>
      <c r="K29" s="540">
        <v>-0.2</v>
      </c>
      <c r="L29" s="540">
        <v>-0.2</v>
      </c>
      <c r="M29" s="541">
        <v>-0.2</v>
      </c>
      <c r="N29" s="541">
        <v>-0.2</v>
      </c>
      <c r="O29" s="541">
        <v>-0.2</v>
      </c>
      <c r="P29" s="541">
        <v>-0.2</v>
      </c>
      <c r="Q29" s="541">
        <v>-0.2</v>
      </c>
      <c r="R29" s="541">
        <v>-0.2</v>
      </c>
      <c r="S29" s="541">
        <v>-0.2</v>
      </c>
      <c r="T29" s="541">
        <v>-0.2</v>
      </c>
      <c r="U29" s="541">
        <v>-0.2</v>
      </c>
      <c r="V29" s="541">
        <v>-0.2</v>
      </c>
      <c r="W29" s="541">
        <v>-0.2</v>
      </c>
      <c r="X29" s="541">
        <v>-0.2</v>
      </c>
      <c r="Y29" s="541">
        <v>-0.2</v>
      </c>
      <c r="Z29" s="541">
        <v>-0.2</v>
      </c>
      <c r="AA29" s="541">
        <v>-0.2</v>
      </c>
      <c r="AB29" s="541">
        <v>-0.2</v>
      </c>
      <c r="AC29" s="541">
        <v>-0.2</v>
      </c>
      <c r="AD29" s="541">
        <v>-0.2</v>
      </c>
      <c r="AE29" s="541">
        <v>-0.2</v>
      </c>
      <c r="AF29" s="541">
        <v>-0.2</v>
      </c>
      <c r="AG29" s="541">
        <v>-0.2</v>
      </c>
      <c r="AH29" s="541">
        <v>-0.2</v>
      </c>
      <c r="AI29" s="541">
        <v>-0.2</v>
      </c>
      <c r="AJ29" s="541">
        <v>-0.2</v>
      </c>
      <c r="AK29" s="541">
        <v>-0.2</v>
      </c>
      <c r="AL29" s="541"/>
      <c r="AM29" s="541"/>
      <c r="AN29" s="541"/>
      <c r="AO29" s="541"/>
      <c r="AP29" s="541"/>
      <c r="AQ29" s="541"/>
      <c r="AR29" s="541"/>
      <c r="AS29" s="541"/>
      <c r="AT29" s="541"/>
      <c r="AU29" s="541"/>
      <c r="AV29" s="541"/>
      <c r="AW29" s="541"/>
      <c r="AX29" s="541"/>
      <c r="AY29" s="541"/>
      <c r="AZ29" s="541"/>
      <c r="BA29" s="541"/>
      <c r="BB29" s="541"/>
      <c r="BC29" s="541"/>
      <c r="BD29" s="541"/>
      <c r="BE29" s="541"/>
      <c r="BF29" s="541"/>
      <c r="BG29" s="541"/>
      <c r="BH29" s="541"/>
      <c r="BI29" s="541"/>
      <c r="BJ29" s="541"/>
      <c r="BK29" s="541"/>
      <c r="BL29" s="541"/>
      <c r="BM29" s="541"/>
      <c r="BN29" s="541"/>
      <c r="BO29" s="541"/>
      <c r="BP29" s="541"/>
      <c r="BQ29" s="541"/>
      <c r="BR29" s="541"/>
      <c r="BS29" s="541"/>
      <c r="BT29" s="541"/>
      <c r="BU29" s="541"/>
      <c r="BV29" s="541"/>
      <c r="BW29" s="541"/>
      <c r="BX29" s="541"/>
      <c r="BY29" s="541"/>
      <c r="BZ29" s="541"/>
      <c r="CA29" s="541"/>
      <c r="CB29" s="541"/>
      <c r="CC29" s="541"/>
      <c r="CD29" s="541"/>
      <c r="CE29" s="541"/>
      <c r="CF29" s="541"/>
      <c r="CG29" s="541"/>
      <c r="CH29" s="541"/>
      <c r="CI29" s="542"/>
      <c r="CK29" s="1293"/>
    </row>
    <row r="30" spans="1:89" s="1292" customFormat="1" x14ac:dyDescent="0.2">
      <c r="A30" s="1588"/>
      <c r="B30" s="543" t="s">
        <v>459</v>
      </c>
      <c r="C30" s="536" t="s">
        <v>460</v>
      </c>
      <c r="D30" s="537" t="s">
        <v>86</v>
      </c>
      <c r="E30" s="538" t="s">
        <v>236</v>
      </c>
      <c r="F30" s="539">
        <v>2</v>
      </c>
      <c r="G30" s="540"/>
      <c r="H30" s="540"/>
      <c r="I30" s="540">
        <v>8.65</v>
      </c>
      <c r="J30" s="540">
        <v>8.65</v>
      </c>
      <c r="K30" s="540">
        <v>8.65</v>
      </c>
      <c r="L30" s="540">
        <v>8.65</v>
      </c>
      <c r="M30" s="541">
        <v>8.65</v>
      </c>
      <c r="N30" s="541">
        <v>8.65</v>
      </c>
      <c r="O30" s="541">
        <v>8.65</v>
      </c>
      <c r="P30" s="541">
        <v>8.65</v>
      </c>
      <c r="Q30" s="541">
        <v>8.65</v>
      </c>
      <c r="R30" s="541">
        <v>8.65</v>
      </c>
      <c r="S30" s="541">
        <v>8.65</v>
      </c>
      <c r="T30" s="541">
        <v>8.65</v>
      </c>
      <c r="U30" s="541">
        <v>8.65</v>
      </c>
      <c r="V30" s="541">
        <v>8.65</v>
      </c>
      <c r="W30" s="541">
        <v>8.65</v>
      </c>
      <c r="X30" s="541">
        <v>8.65</v>
      </c>
      <c r="Y30" s="541">
        <v>8.65</v>
      </c>
      <c r="Z30" s="541">
        <v>8.65</v>
      </c>
      <c r="AA30" s="541">
        <v>8.65</v>
      </c>
      <c r="AB30" s="541">
        <v>8.65</v>
      </c>
      <c r="AC30" s="541">
        <v>8.65</v>
      </c>
      <c r="AD30" s="541">
        <v>8.65</v>
      </c>
      <c r="AE30" s="541">
        <v>8.65</v>
      </c>
      <c r="AF30" s="541">
        <v>8.65</v>
      </c>
      <c r="AG30" s="541">
        <v>8.65</v>
      </c>
      <c r="AH30" s="541">
        <v>8.65</v>
      </c>
      <c r="AI30" s="541">
        <v>8.65</v>
      </c>
      <c r="AJ30" s="541">
        <v>8.65</v>
      </c>
      <c r="AK30" s="541">
        <v>8.65</v>
      </c>
      <c r="AL30" s="541"/>
      <c r="AM30" s="541"/>
      <c r="AN30" s="541"/>
      <c r="AO30" s="541"/>
      <c r="AP30" s="541"/>
      <c r="AQ30" s="541"/>
      <c r="AR30" s="541"/>
      <c r="AS30" s="541"/>
      <c r="AT30" s="541"/>
      <c r="AU30" s="541"/>
      <c r="AV30" s="541"/>
      <c r="AW30" s="541"/>
      <c r="AX30" s="541"/>
      <c r="AY30" s="541"/>
      <c r="AZ30" s="541"/>
      <c r="BA30" s="541"/>
      <c r="BB30" s="541"/>
      <c r="BC30" s="541"/>
      <c r="BD30" s="541"/>
      <c r="BE30" s="541"/>
      <c r="BF30" s="541"/>
      <c r="BG30" s="541"/>
      <c r="BH30" s="541"/>
      <c r="BI30" s="541"/>
      <c r="BJ30" s="541"/>
      <c r="BK30" s="541"/>
      <c r="BL30" s="541"/>
      <c r="BM30" s="541"/>
      <c r="BN30" s="541"/>
      <c r="BO30" s="541"/>
      <c r="BP30" s="541"/>
      <c r="BQ30" s="541"/>
      <c r="BR30" s="541"/>
      <c r="BS30" s="541"/>
      <c r="BT30" s="541"/>
      <c r="BU30" s="541"/>
      <c r="BV30" s="541"/>
      <c r="BW30" s="541"/>
      <c r="BX30" s="541"/>
      <c r="BY30" s="541"/>
      <c r="BZ30" s="541"/>
      <c r="CA30" s="541"/>
      <c r="CB30" s="541"/>
      <c r="CC30" s="541"/>
      <c r="CD30" s="541"/>
      <c r="CE30" s="541"/>
      <c r="CF30" s="541"/>
      <c r="CG30" s="541"/>
      <c r="CH30" s="541"/>
      <c r="CI30" s="542"/>
      <c r="CK30" s="1293"/>
    </row>
    <row r="31" spans="1:89" s="1292" customFormat="1" x14ac:dyDescent="0.2">
      <c r="A31" s="1284"/>
      <c r="B31" s="543" t="s">
        <v>461</v>
      </c>
      <c r="C31" s="546" t="s">
        <v>462</v>
      </c>
      <c r="D31" s="537" t="s">
        <v>463</v>
      </c>
      <c r="E31" s="538" t="s">
        <v>236</v>
      </c>
      <c r="F31" s="539">
        <v>2</v>
      </c>
      <c r="G31" s="547">
        <f>G30+G32</f>
        <v>0</v>
      </c>
      <c r="H31" s="547">
        <f t="shared" ref="H31:AK31" si="0">H30+H32</f>
        <v>0</v>
      </c>
      <c r="I31" s="547">
        <f t="shared" si="0"/>
        <v>6.3800000000000008</v>
      </c>
      <c r="J31" s="547">
        <f t="shared" si="0"/>
        <v>6.3800000000000008</v>
      </c>
      <c r="K31" s="547">
        <f t="shared" si="0"/>
        <v>6.3800000000000008</v>
      </c>
      <c r="L31" s="547">
        <f t="shared" si="0"/>
        <v>6.3800000000000008</v>
      </c>
      <c r="M31" s="547">
        <f t="shared" si="0"/>
        <v>6.3800000000000008</v>
      </c>
      <c r="N31" s="547">
        <f t="shared" si="0"/>
        <v>6.3800000000000008</v>
      </c>
      <c r="O31" s="547">
        <f t="shared" si="0"/>
        <v>6.3800000000000008</v>
      </c>
      <c r="P31" s="547">
        <f t="shared" si="0"/>
        <v>6.3800000000000008</v>
      </c>
      <c r="Q31" s="547">
        <f t="shared" si="0"/>
        <v>6.3800000000000008</v>
      </c>
      <c r="R31" s="547">
        <f t="shared" si="0"/>
        <v>6.3800000000000008</v>
      </c>
      <c r="S31" s="547">
        <f t="shared" si="0"/>
        <v>6.3800000000000008</v>
      </c>
      <c r="T31" s="547">
        <f t="shared" si="0"/>
        <v>6.3800000000000008</v>
      </c>
      <c r="U31" s="547">
        <f t="shared" si="0"/>
        <v>6.3800000000000008</v>
      </c>
      <c r="V31" s="547">
        <f t="shared" si="0"/>
        <v>6.3800000000000008</v>
      </c>
      <c r="W31" s="547">
        <f t="shared" si="0"/>
        <v>6.3800000000000008</v>
      </c>
      <c r="X31" s="547">
        <f t="shared" si="0"/>
        <v>6.3800000000000008</v>
      </c>
      <c r="Y31" s="547">
        <f t="shared" si="0"/>
        <v>6.3800000000000008</v>
      </c>
      <c r="Z31" s="547">
        <f t="shared" si="0"/>
        <v>6.3800000000000008</v>
      </c>
      <c r="AA31" s="547">
        <f t="shared" si="0"/>
        <v>6.3800000000000008</v>
      </c>
      <c r="AB31" s="547">
        <f t="shared" si="0"/>
        <v>6.0500000000000007</v>
      </c>
      <c r="AC31" s="547">
        <f t="shared" si="0"/>
        <v>6.0500000000000007</v>
      </c>
      <c r="AD31" s="547">
        <f t="shared" si="0"/>
        <v>6.0500000000000007</v>
      </c>
      <c r="AE31" s="547">
        <f t="shared" si="0"/>
        <v>6.0500000000000007</v>
      </c>
      <c r="AF31" s="547">
        <f t="shared" si="0"/>
        <v>6.0500000000000007</v>
      </c>
      <c r="AG31" s="547">
        <f t="shared" si="0"/>
        <v>5.73</v>
      </c>
      <c r="AH31" s="547">
        <f t="shared" si="0"/>
        <v>5.73</v>
      </c>
      <c r="AI31" s="547">
        <f t="shared" si="0"/>
        <v>5.73</v>
      </c>
      <c r="AJ31" s="547">
        <f t="shared" si="0"/>
        <v>5.73</v>
      </c>
      <c r="AK31" s="547">
        <f t="shared" si="0"/>
        <v>5.73</v>
      </c>
      <c r="AL31" s="547"/>
      <c r="AM31" s="547"/>
      <c r="AN31" s="547"/>
      <c r="AO31" s="547"/>
      <c r="AP31" s="547"/>
      <c r="AQ31" s="547"/>
      <c r="AR31" s="547"/>
      <c r="AS31" s="547"/>
      <c r="AT31" s="547"/>
      <c r="AU31" s="547"/>
      <c r="AV31" s="547"/>
      <c r="AW31" s="547"/>
      <c r="AX31" s="547"/>
      <c r="AY31" s="547"/>
      <c r="AZ31" s="547"/>
      <c r="BA31" s="547"/>
      <c r="BB31" s="547"/>
      <c r="BC31" s="547"/>
      <c r="BD31" s="547"/>
      <c r="BE31" s="547"/>
      <c r="BF31" s="547"/>
      <c r="BG31" s="547"/>
      <c r="BH31" s="547"/>
      <c r="BI31" s="547"/>
      <c r="BJ31" s="547"/>
      <c r="BK31" s="547"/>
      <c r="BL31" s="547"/>
      <c r="BM31" s="547"/>
      <c r="BN31" s="547"/>
      <c r="BO31" s="547"/>
      <c r="BP31" s="547"/>
      <c r="BQ31" s="547"/>
      <c r="BR31" s="547"/>
      <c r="BS31" s="547"/>
      <c r="BT31" s="547"/>
      <c r="BU31" s="547"/>
      <c r="BV31" s="547"/>
      <c r="BW31" s="547"/>
      <c r="BX31" s="547"/>
      <c r="BY31" s="547"/>
      <c r="BZ31" s="547"/>
      <c r="CA31" s="547"/>
      <c r="CB31" s="547"/>
      <c r="CC31" s="547"/>
      <c r="CD31" s="547"/>
      <c r="CE31" s="547"/>
      <c r="CF31" s="547"/>
      <c r="CG31" s="547"/>
      <c r="CH31" s="547"/>
      <c r="CI31" s="548"/>
      <c r="CK31" s="1293"/>
    </row>
    <row r="32" spans="1:89" s="1292" customFormat="1" ht="28.5" x14ac:dyDescent="0.2">
      <c r="A32" s="1284"/>
      <c r="B32" s="549" t="s">
        <v>464</v>
      </c>
      <c r="C32" s="550" t="s">
        <v>465</v>
      </c>
      <c r="D32" s="550" t="s">
        <v>466</v>
      </c>
      <c r="E32" s="551" t="s">
        <v>236</v>
      </c>
      <c r="F32" s="539">
        <v>2</v>
      </c>
      <c r="G32" s="547">
        <f>SUM(G33:G38)</f>
        <v>0</v>
      </c>
      <c r="H32" s="547">
        <f t="shared" ref="H32:AK32" si="1">SUM(H33:H38)</f>
        <v>0</v>
      </c>
      <c r="I32" s="547">
        <f t="shared" si="1"/>
        <v>-2.27</v>
      </c>
      <c r="J32" s="547">
        <f t="shared" si="1"/>
        <v>-2.27</v>
      </c>
      <c r="K32" s="547">
        <f t="shared" si="1"/>
        <v>-2.27</v>
      </c>
      <c r="L32" s="547">
        <f t="shared" si="1"/>
        <v>-2.27</v>
      </c>
      <c r="M32" s="552">
        <f t="shared" si="1"/>
        <v>-2.27</v>
      </c>
      <c r="N32" s="552">
        <f t="shared" si="1"/>
        <v>-2.27</v>
      </c>
      <c r="O32" s="552">
        <f t="shared" si="1"/>
        <v>-2.27</v>
      </c>
      <c r="P32" s="552">
        <f t="shared" si="1"/>
        <v>-2.27</v>
      </c>
      <c r="Q32" s="552">
        <f t="shared" si="1"/>
        <v>-2.27</v>
      </c>
      <c r="R32" s="552">
        <f t="shared" si="1"/>
        <v>-2.27</v>
      </c>
      <c r="S32" s="552">
        <f t="shared" si="1"/>
        <v>-2.27</v>
      </c>
      <c r="T32" s="552">
        <f t="shared" si="1"/>
        <v>-2.27</v>
      </c>
      <c r="U32" s="552">
        <f t="shared" si="1"/>
        <v>-2.27</v>
      </c>
      <c r="V32" s="552">
        <f t="shared" si="1"/>
        <v>-2.27</v>
      </c>
      <c r="W32" s="552">
        <f t="shared" si="1"/>
        <v>-2.27</v>
      </c>
      <c r="X32" s="552">
        <f t="shared" si="1"/>
        <v>-2.27</v>
      </c>
      <c r="Y32" s="552">
        <f t="shared" si="1"/>
        <v>-2.27</v>
      </c>
      <c r="Z32" s="552">
        <f t="shared" si="1"/>
        <v>-2.27</v>
      </c>
      <c r="AA32" s="552">
        <f t="shared" si="1"/>
        <v>-2.27</v>
      </c>
      <c r="AB32" s="552">
        <f t="shared" si="1"/>
        <v>-2.6</v>
      </c>
      <c r="AC32" s="552">
        <f t="shared" si="1"/>
        <v>-2.6</v>
      </c>
      <c r="AD32" s="552">
        <f t="shared" si="1"/>
        <v>-2.6</v>
      </c>
      <c r="AE32" s="552">
        <f t="shared" si="1"/>
        <v>-2.6</v>
      </c>
      <c r="AF32" s="552">
        <f t="shared" si="1"/>
        <v>-2.6</v>
      </c>
      <c r="AG32" s="552">
        <f t="shared" si="1"/>
        <v>-2.92</v>
      </c>
      <c r="AH32" s="552">
        <f t="shared" si="1"/>
        <v>-2.92</v>
      </c>
      <c r="AI32" s="552">
        <f t="shared" si="1"/>
        <v>-2.92</v>
      </c>
      <c r="AJ32" s="552">
        <f t="shared" si="1"/>
        <v>-2.92</v>
      </c>
      <c r="AK32" s="552">
        <f t="shared" si="1"/>
        <v>-2.92</v>
      </c>
      <c r="AL32" s="552"/>
      <c r="AM32" s="552"/>
      <c r="AN32" s="552"/>
      <c r="AO32" s="552"/>
      <c r="AP32" s="552"/>
      <c r="AQ32" s="552"/>
      <c r="AR32" s="552"/>
      <c r="AS32" s="552"/>
      <c r="AT32" s="552"/>
      <c r="AU32" s="552"/>
      <c r="AV32" s="552"/>
      <c r="AW32" s="552"/>
      <c r="AX32" s="552"/>
      <c r="AY32" s="552"/>
      <c r="AZ32" s="552"/>
      <c r="BA32" s="552"/>
      <c r="BB32" s="552"/>
      <c r="BC32" s="552"/>
      <c r="BD32" s="552"/>
      <c r="BE32" s="552"/>
      <c r="BF32" s="552"/>
      <c r="BG32" s="552"/>
      <c r="BH32" s="552"/>
      <c r="BI32" s="552"/>
      <c r="BJ32" s="552"/>
      <c r="BK32" s="552"/>
      <c r="BL32" s="552"/>
      <c r="BM32" s="552"/>
      <c r="BN32" s="552"/>
      <c r="BO32" s="552"/>
      <c r="BP32" s="552"/>
      <c r="BQ32" s="552"/>
      <c r="BR32" s="552"/>
      <c r="BS32" s="552"/>
      <c r="BT32" s="552"/>
      <c r="BU32" s="552"/>
      <c r="BV32" s="552"/>
      <c r="BW32" s="552"/>
      <c r="BX32" s="552"/>
      <c r="BY32" s="552"/>
      <c r="BZ32" s="552"/>
      <c r="CA32" s="552"/>
      <c r="CB32" s="552"/>
      <c r="CC32" s="552"/>
      <c r="CD32" s="552"/>
      <c r="CE32" s="552"/>
      <c r="CF32" s="552"/>
      <c r="CG32" s="552"/>
      <c r="CH32" s="552"/>
      <c r="CI32" s="548"/>
      <c r="CK32" s="1293"/>
    </row>
    <row r="33" spans="1:89" s="1292" customFormat="1" x14ac:dyDescent="0.2">
      <c r="A33" s="1284"/>
      <c r="B33" s="543" t="s">
        <v>467</v>
      </c>
      <c r="C33" s="546" t="s">
        <v>468</v>
      </c>
      <c r="D33" s="537" t="s">
        <v>86</v>
      </c>
      <c r="E33" s="538" t="s">
        <v>236</v>
      </c>
      <c r="F33" s="539">
        <v>2</v>
      </c>
      <c r="G33" s="540"/>
      <c r="H33" s="540"/>
      <c r="I33" s="540">
        <v>0</v>
      </c>
      <c r="J33" s="540">
        <v>0</v>
      </c>
      <c r="K33" s="540">
        <v>0</v>
      </c>
      <c r="L33" s="540">
        <v>0</v>
      </c>
      <c r="M33" s="541">
        <v>0</v>
      </c>
      <c r="N33" s="541">
        <v>0</v>
      </c>
      <c r="O33" s="541">
        <v>0</v>
      </c>
      <c r="P33" s="541">
        <v>0</v>
      </c>
      <c r="Q33" s="541">
        <v>0</v>
      </c>
      <c r="R33" s="541">
        <v>0</v>
      </c>
      <c r="S33" s="541">
        <v>0</v>
      </c>
      <c r="T33" s="541">
        <v>0</v>
      </c>
      <c r="U33" s="541">
        <v>0</v>
      </c>
      <c r="V33" s="541">
        <v>0</v>
      </c>
      <c r="W33" s="541">
        <v>0</v>
      </c>
      <c r="X33" s="541">
        <v>0</v>
      </c>
      <c r="Y33" s="541">
        <v>0</v>
      </c>
      <c r="Z33" s="541">
        <v>0</v>
      </c>
      <c r="AA33" s="541">
        <v>0</v>
      </c>
      <c r="AB33" s="541">
        <v>0</v>
      </c>
      <c r="AC33" s="541">
        <v>0</v>
      </c>
      <c r="AD33" s="541">
        <v>0</v>
      </c>
      <c r="AE33" s="541">
        <v>0</v>
      </c>
      <c r="AF33" s="541">
        <v>0</v>
      </c>
      <c r="AG33" s="541">
        <v>0</v>
      </c>
      <c r="AH33" s="541">
        <v>0</v>
      </c>
      <c r="AI33" s="541">
        <v>0</v>
      </c>
      <c r="AJ33" s="541">
        <v>0</v>
      </c>
      <c r="AK33" s="541">
        <v>0</v>
      </c>
      <c r="AL33" s="541"/>
      <c r="AM33" s="541"/>
      <c r="AN33" s="541"/>
      <c r="AO33" s="541"/>
      <c r="AP33" s="541"/>
      <c r="AQ33" s="541"/>
      <c r="AR33" s="541"/>
      <c r="AS33" s="541"/>
      <c r="AT33" s="541"/>
      <c r="AU33" s="541"/>
      <c r="AV33" s="541"/>
      <c r="AW33" s="541"/>
      <c r="AX33" s="541"/>
      <c r="AY33" s="541"/>
      <c r="AZ33" s="541"/>
      <c r="BA33" s="541"/>
      <c r="BB33" s="541"/>
      <c r="BC33" s="541"/>
      <c r="BD33" s="541"/>
      <c r="BE33" s="541"/>
      <c r="BF33" s="541"/>
      <c r="BG33" s="541"/>
      <c r="BH33" s="541"/>
      <c r="BI33" s="541"/>
      <c r="BJ33" s="541"/>
      <c r="BK33" s="541"/>
      <c r="BL33" s="541"/>
      <c r="BM33" s="541"/>
      <c r="BN33" s="541"/>
      <c r="BO33" s="541"/>
      <c r="BP33" s="541"/>
      <c r="BQ33" s="541"/>
      <c r="BR33" s="541"/>
      <c r="BS33" s="541"/>
      <c r="BT33" s="541"/>
      <c r="BU33" s="541"/>
      <c r="BV33" s="541"/>
      <c r="BW33" s="541"/>
      <c r="BX33" s="541"/>
      <c r="BY33" s="541"/>
      <c r="BZ33" s="541"/>
      <c r="CA33" s="541"/>
      <c r="CB33" s="541"/>
      <c r="CC33" s="541"/>
      <c r="CD33" s="541"/>
      <c r="CE33" s="541"/>
      <c r="CF33" s="541"/>
      <c r="CG33" s="541"/>
      <c r="CH33" s="541"/>
      <c r="CI33" s="542"/>
      <c r="CK33" s="1293"/>
    </row>
    <row r="34" spans="1:89" s="1292" customFormat="1" ht="28.5" x14ac:dyDescent="0.2">
      <c r="A34" s="1284"/>
      <c r="B34" s="543" t="s">
        <v>469</v>
      </c>
      <c r="C34" s="546" t="s">
        <v>470</v>
      </c>
      <c r="D34" s="537" t="s">
        <v>86</v>
      </c>
      <c r="E34" s="538" t="s">
        <v>236</v>
      </c>
      <c r="F34" s="539">
        <v>2</v>
      </c>
      <c r="G34" s="540"/>
      <c r="H34" s="540"/>
      <c r="I34" s="540">
        <v>-2.27</v>
      </c>
      <c r="J34" s="540">
        <v>-2.27</v>
      </c>
      <c r="K34" s="540">
        <v>-2.27</v>
      </c>
      <c r="L34" s="540">
        <v>-2.27</v>
      </c>
      <c r="M34" s="541">
        <v>-2.27</v>
      </c>
      <c r="N34" s="541">
        <v>-2.27</v>
      </c>
      <c r="O34" s="541">
        <v>-2.27</v>
      </c>
      <c r="P34" s="541">
        <v>-2.27</v>
      </c>
      <c r="Q34" s="541">
        <v>-2.27</v>
      </c>
      <c r="R34" s="541">
        <v>-2.27</v>
      </c>
      <c r="S34" s="541">
        <v>-2.27</v>
      </c>
      <c r="T34" s="541">
        <v>-2.27</v>
      </c>
      <c r="U34" s="541">
        <v>-2.27</v>
      </c>
      <c r="V34" s="541">
        <v>-2.27</v>
      </c>
      <c r="W34" s="541">
        <v>-2.27</v>
      </c>
      <c r="X34" s="541">
        <v>-2.27</v>
      </c>
      <c r="Y34" s="541">
        <v>-2.27</v>
      </c>
      <c r="Z34" s="541">
        <v>-2.27</v>
      </c>
      <c r="AA34" s="541">
        <v>-2.27</v>
      </c>
      <c r="AB34" s="541">
        <v>-2.27</v>
      </c>
      <c r="AC34" s="541">
        <v>-2.27</v>
      </c>
      <c r="AD34" s="541">
        <v>-2.27</v>
      </c>
      <c r="AE34" s="541">
        <v>-2.27</v>
      </c>
      <c r="AF34" s="541">
        <v>-2.27</v>
      </c>
      <c r="AG34" s="541">
        <v>-2.27</v>
      </c>
      <c r="AH34" s="541">
        <v>-2.27</v>
      </c>
      <c r="AI34" s="541">
        <v>-2.27</v>
      </c>
      <c r="AJ34" s="541">
        <v>-2.27</v>
      </c>
      <c r="AK34" s="541">
        <v>-2.27</v>
      </c>
      <c r="AL34" s="541"/>
      <c r="AM34" s="541"/>
      <c r="AN34" s="541"/>
      <c r="AO34" s="541"/>
      <c r="AP34" s="541"/>
      <c r="AQ34" s="541"/>
      <c r="AR34" s="541"/>
      <c r="AS34" s="541"/>
      <c r="AT34" s="541"/>
      <c r="AU34" s="541"/>
      <c r="AV34" s="541"/>
      <c r="AW34" s="541"/>
      <c r="AX34" s="541"/>
      <c r="AY34" s="541"/>
      <c r="AZ34" s="541"/>
      <c r="BA34" s="541"/>
      <c r="BB34" s="541"/>
      <c r="BC34" s="541"/>
      <c r="BD34" s="541"/>
      <c r="BE34" s="541"/>
      <c r="BF34" s="541"/>
      <c r="BG34" s="541"/>
      <c r="BH34" s="541"/>
      <c r="BI34" s="541"/>
      <c r="BJ34" s="541"/>
      <c r="BK34" s="541"/>
      <c r="BL34" s="541"/>
      <c r="BM34" s="541"/>
      <c r="BN34" s="541"/>
      <c r="BO34" s="541"/>
      <c r="BP34" s="541"/>
      <c r="BQ34" s="541"/>
      <c r="BR34" s="541"/>
      <c r="BS34" s="541"/>
      <c r="BT34" s="541"/>
      <c r="BU34" s="541"/>
      <c r="BV34" s="541"/>
      <c r="BW34" s="541"/>
      <c r="BX34" s="541"/>
      <c r="BY34" s="541"/>
      <c r="BZ34" s="541"/>
      <c r="CA34" s="541"/>
      <c r="CB34" s="541"/>
      <c r="CC34" s="541"/>
      <c r="CD34" s="541"/>
      <c r="CE34" s="541"/>
      <c r="CF34" s="541"/>
      <c r="CG34" s="541"/>
      <c r="CH34" s="541"/>
      <c r="CI34" s="542"/>
      <c r="CK34" s="1293"/>
    </row>
    <row r="35" spans="1:89" s="1292" customFormat="1" ht="42.75" x14ac:dyDescent="0.2">
      <c r="A35" s="1284"/>
      <c r="B35" s="543" t="s">
        <v>471</v>
      </c>
      <c r="C35" s="546" t="s">
        <v>472</v>
      </c>
      <c r="D35" s="537" t="s">
        <v>86</v>
      </c>
      <c r="E35" s="538" t="s">
        <v>236</v>
      </c>
      <c r="F35" s="539">
        <v>2</v>
      </c>
      <c r="G35" s="540"/>
      <c r="H35" s="540"/>
      <c r="I35" s="540">
        <v>0</v>
      </c>
      <c r="J35" s="540">
        <v>0</v>
      </c>
      <c r="K35" s="540">
        <v>0</v>
      </c>
      <c r="L35" s="540">
        <v>0</v>
      </c>
      <c r="M35" s="541">
        <v>0</v>
      </c>
      <c r="N35" s="541">
        <v>0</v>
      </c>
      <c r="O35" s="541">
        <v>0</v>
      </c>
      <c r="P35" s="541">
        <v>0</v>
      </c>
      <c r="Q35" s="541">
        <v>0</v>
      </c>
      <c r="R35" s="541">
        <v>0</v>
      </c>
      <c r="S35" s="541">
        <v>0</v>
      </c>
      <c r="T35" s="541">
        <v>0</v>
      </c>
      <c r="U35" s="541">
        <v>0</v>
      </c>
      <c r="V35" s="541">
        <v>0</v>
      </c>
      <c r="W35" s="541">
        <v>0</v>
      </c>
      <c r="X35" s="541">
        <v>0</v>
      </c>
      <c r="Y35" s="541">
        <v>0</v>
      </c>
      <c r="Z35" s="541">
        <v>0</v>
      </c>
      <c r="AA35" s="541">
        <v>0</v>
      </c>
      <c r="AB35" s="541">
        <v>-0.33</v>
      </c>
      <c r="AC35" s="541">
        <v>-0.33</v>
      </c>
      <c r="AD35" s="541">
        <v>-0.33</v>
      </c>
      <c r="AE35" s="541">
        <v>-0.33</v>
      </c>
      <c r="AF35" s="541">
        <v>-0.33</v>
      </c>
      <c r="AG35" s="541">
        <v>-0.65</v>
      </c>
      <c r="AH35" s="541">
        <v>-0.65</v>
      </c>
      <c r="AI35" s="541">
        <v>-0.65</v>
      </c>
      <c r="AJ35" s="541">
        <v>-0.65</v>
      </c>
      <c r="AK35" s="541">
        <v>-0.65</v>
      </c>
      <c r="AL35" s="541"/>
      <c r="AM35" s="541"/>
      <c r="AN35" s="541"/>
      <c r="AO35" s="541"/>
      <c r="AP35" s="541"/>
      <c r="AQ35" s="541"/>
      <c r="AR35" s="541"/>
      <c r="AS35" s="541"/>
      <c r="AT35" s="541"/>
      <c r="AU35" s="541"/>
      <c r="AV35" s="541"/>
      <c r="AW35" s="541"/>
      <c r="AX35" s="541"/>
      <c r="AY35" s="541"/>
      <c r="AZ35" s="541"/>
      <c r="BA35" s="541"/>
      <c r="BB35" s="541"/>
      <c r="BC35" s="541"/>
      <c r="BD35" s="541"/>
      <c r="BE35" s="541"/>
      <c r="BF35" s="541"/>
      <c r="BG35" s="541"/>
      <c r="BH35" s="541"/>
      <c r="BI35" s="541"/>
      <c r="BJ35" s="541"/>
      <c r="BK35" s="541"/>
      <c r="BL35" s="541"/>
      <c r="BM35" s="541"/>
      <c r="BN35" s="541"/>
      <c r="BO35" s="541"/>
      <c r="BP35" s="541"/>
      <c r="BQ35" s="541"/>
      <c r="BR35" s="541"/>
      <c r="BS35" s="541"/>
      <c r="BT35" s="541"/>
      <c r="BU35" s="541"/>
      <c r="BV35" s="541"/>
      <c r="BW35" s="541"/>
      <c r="BX35" s="541"/>
      <c r="BY35" s="541"/>
      <c r="BZ35" s="541"/>
      <c r="CA35" s="541"/>
      <c r="CB35" s="541"/>
      <c r="CC35" s="541"/>
      <c r="CD35" s="541"/>
      <c r="CE35" s="541"/>
      <c r="CF35" s="541"/>
      <c r="CG35" s="541"/>
      <c r="CH35" s="541"/>
      <c r="CI35" s="542"/>
      <c r="CK35" s="1293"/>
    </row>
    <row r="36" spans="1:89" s="1292" customFormat="1" ht="28.5" x14ac:dyDescent="0.2">
      <c r="A36" s="1284"/>
      <c r="B36" s="543" t="s">
        <v>473</v>
      </c>
      <c r="C36" s="546" t="s">
        <v>474</v>
      </c>
      <c r="D36" s="537" t="s">
        <v>86</v>
      </c>
      <c r="E36" s="538" t="s">
        <v>236</v>
      </c>
      <c r="F36" s="539">
        <v>2</v>
      </c>
      <c r="G36" s="540"/>
      <c r="H36" s="540"/>
      <c r="I36" s="540">
        <v>0</v>
      </c>
      <c r="J36" s="540">
        <v>0</v>
      </c>
      <c r="K36" s="540">
        <v>0</v>
      </c>
      <c r="L36" s="540">
        <v>0</v>
      </c>
      <c r="M36" s="541">
        <v>0</v>
      </c>
      <c r="N36" s="541">
        <v>0</v>
      </c>
      <c r="O36" s="541">
        <v>0</v>
      </c>
      <c r="P36" s="541">
        <v>0</v>
      </c>
      <c r="Q36" s="541">
        <v>0</v>
      </c>
      <c r="R36" s="541">
        <v>0</v>
      </c>
      <c r="S36" s="541">
        <v>0</v>
      </c>
      <c r="T36" s="541">
        <v>0</v>
      </c>
      <c r="U36" s="541">
        <v>0</v>
      </c>
      <c r="V36" s="541">
        <v>0</v>
      </c>
      <c r="W36" s="541">
        <v>0</v>
      </c>
      <c r="X36" s="541">
        <v>0</v>
      </c>
      <c r="Y36" s="541">
        <v>0</v>
      </c>
      <c r="Z36" s="541">
        <v>0</v>
      </c>
      <c r="AA36" s="541">
        <v>0</v>
      </c>
      <c r="AB36" s="541">
        <v>0</v>
      </c>
      <c r="AC36" s="541">
        <v>0</v>
      </c>
      <c r="AD36" s="541">
        <v>0</v>
      </c>
      <c r="AE36" s="541">
        <v>0</v>
      </c>
      <c r="AF36" s="541">
        <v>0</v>
      </c>
      <c r="AG36" s="541">
        <v>0</v>
      </c>
      <c r="AH36" s="541">
        <v>0</v>
      </c>
      <c r="AI36" s="541">
        <v>0</v>
      </c>
      <c r="AJ36" s="541">
        <v>0</v>
      </c>
      <c r="AK36" s="541">
        <v>0</v>
      </c>
      <c r="AL36" s="541"/>
      <c r="AM36" s="541"/>
      <c r="AN36" s="541"/>
      <c r="AO36" s="541"/>
      <c r="AP36" s="541"/>
      <c r="AQ36" s="541"/>
      <c r="AR36" s="541"/>
      <c r="AS36" s="541"/>
      <c r="AT36" s="541"/>
      <c r="AU36" s="541"/>
      <c r="AV36" s="541"/>
      <c r="AW36" s="541"/>
      <c r="AX36" s="541"/>
      <c r="AY36" s="541"/>
      <c r="AZ36" s="541"/>
      <c r="BA36" s="541"/>
      <c r="BB36" s="541"/>
      <c r="BC36" s="541"/>
      <c r="BD36" s="541"/>
      <c r="BE36" s="541"/>
      <c r="BF36" s="541"/>
      <c r="BG36" s="541"/>
      <c r="BH36" s="541"/>
      <c r="BI36" s="541"/>
      <c r="BJ36" s="541"/>
      <c r="BK36" s="541"/>
      <c r="BL36" s="541"/>
      <c r="BM36" s="541"/>
      <c r="BN36" s="541"/>
      <c r="BO36" s="541"/>
      <c r="BP36" s="541"/>
      <c r="BQ36" s="541"/>
      <c r="BR36" s="541"/>
      <c r="BS36" s="541"/>
      <c r="BT36" s="541"/>
      <c r="BU36" s="541"/>
      <c r="BV36" s="541"/>
      <c r="BW36" s="541"/>
      <c r="BX36" s="541"/>
      <c r="BY36" s="541"/>
      <c r="BZ36" s="541"/>
      <c r="CA36" s="541"/>
      <c r="CB36" s="541"/>
      <c r="CC36" s="541"/>
      <c r="CD36" s="541"/>
      <c r="CE36" s="541"/>
      <c r="CF36" s="541"/>
      <c r="CG36" s="541"/>
      <c r="CH36" s="541"/>
      <c r="CI36" s="542"/>
      <c r="CK36" s="1293"/>
    </row>
    <row r="37" spans="1:89" s="1292" customFormat="1" x14ac:dyDescent="0.2">
      <c r="A37" s="1284"/>
      <c r="B37" s="543" t="s">
        <v>475</v>
      </c>
      <c r="C37" s="546" t="s">
        <v>476</v>
      </c>
      <c r="D37" s="537" t="s">
        <v>477</v>
      </c>
      <c r="E37" s="538" t="s">
        <v>236</v>
      </c>
      <c r="F37" s="539">
        <v>2</v>
      </c>
      <c r="G37" s="540"/>
      <c r="H37" s="540"/>
      <c r="I37" s="540">
        <v>0</v>
      </c>
      <c r="J37" s="540">
        <v>0</v>
      </c>
      <c r="K37" s="540">
        <v>0</v>
      </c>
      <c r="L37" s="540">
        <v>0</v>
      </c>
      <c r="M37" s="541">
        <v>0</v>
      </c>
      <c r="N37" s="541">
        <v>0</v>
      </c>
      <c r="O37" s="541">
        <v>0</v>
      </c>
      <c r="P37" s="541">
        <v>0</v>
      </c>
      <c r="Q37" s="541">
        <v>0</v>
      </c>
      <c r="R37" s="541">
        <v>0</v>
      </c>
      <c r="S37" s="541">
        <v>0</v>
      </c>
      <c r="T37" s="541">
        <v>0</v>
      </c>
      <c r="U37" s="541">
        <v>0</v>
      </c>
      <c r="V37" s="541">
        <v>0</v>
      </c>
      <c r="W37" s="541">
        <v>0</v>
      </c>
      <c r="X37" s="541">
        <v>0</v>
      </c>
      <c r="Y37" s="541">
        <v>0</v>
      </c>
      <c r="Z37" s="541">
        <v>0</v>
      </c>
      <c r="AA37" s="541">
        <v>0</v>
      </c>
      <c r="AB37" s="541">
        <v>0</v>
      </c>
      <c r="AC37" s="541">
        <v>0</v>
      </c>
      <c r="AD37" s="541">
        <v>0</v>
      </c>
      <c r="AE37" s="541">
        <v>0</v>
      </c>
      <c r="AF37" s="541">
        <v>0</v>
      </c>
      <c r="AG37" s="541">
        <v>0</v>
      </c>
      <c r="AH37" s="541">
        <v>0</v>
      </c>
      <c r="AI37" s="541">
        <v>0</v>
      </c>
      <c r="AJ37" s="541">
        <v>0</v>
      </c>
      <c r="AK37" s="541">
        <v>0</v>
      </c>
      <c r="AL37" s="541"/>
      <c r="AM37" s="541"/>
      <c r="AN37" s="541"/>
      <c r="AO37" s="541"/>
      <c r="AP37" s="541"/>
      <c r="AQ37" s="541"/>
      <c r="AR37" s="541"/>
      <c r="AS37" s="541"/>
      <c r="AT37" s="541"/>
      <c r="AU37" s="541"/>
      <c r="AV37" s="541"/>
      <c r="AW37" s="541"/>
      <c r="AX37" s="541"/>
      <c r="AY37" s="541"/>
      <c r="AZ37" s="541"/>
      <c r="BA37" s="541"/>
      <c r="BB37" s="541"/>
      <c r="BC37" s="541"/>
      <c r="BD37" s="541"/>
      <c r="BE37" s="541"/>
      <c r="BF37" s="541"/>
      <c r="BG37" s="541"/>
      <c r="BH37" s="541"/>
      <c r="BI37" s="541"/>
      <c r="BJ37" s="541"/>
      <c r="BK37" s="541"/>
      <c r="BL37" s="541"/>
      <c r="BM37" s="541"/>
      <c r="BN37" s="541"/>
      <c r="BO37" s="541"/>
      <c r="BP37" s="541"/>
      <c r="BQ37" s="541"/>
      <c r="BR37" s="541"/>
      <c r="BS37" s="541"/>
      <c r="BT37" s="541"/>
      <c r="BU37" s="541"/>
      <c r="BV37" s="541"/>
      <c r="BW37" s="541"/>
      <c r="BX37" s="541"/>
      <c r="BY37" s="541"/>
      <c r="BZ37" s="541"/>
      <c r="CA37" s="541"/>
      <c r="CB37" s="541"/>
      <c r="CC37" s="541"/>
      <c r="CD37" s="541"/>
      <c r="CE37" s="541"/>
      <c r="CF37" s="541"/>
      <c r="CG37" s="541"/>
      <c r="CH37" s="541"/>
      <c r="CI37" s="542"/>
      <c r="CK37" s="1293"/>
    </row>
    <row r="38" spans="1:89" s="1292" customFormat="1" ht="28.5" x14ac:dyDescent="0.2">
      <c r="A38" s="1284"/>
      <c r="B38" s="543" t="s">
        <v>478</v>
      </c>
      <c r="C38" s="546" t="s">
        <v>479</v>
      </c>
      <c r="D38" s="537" t="s">
        <v>86</v>
      </c>
      <c r="E38" s="538" t="s">
        <v>236</v>
      </c>
      <c r="F38" s="539">
        <v>2</v>
      </c>
      <c r="G38" s="540"/>
      <c r="H38" s="540"/>
      <c r="I38" s="540">
        <v>0</v>
      </c>
      <c r="J38" s="540">
        <v>0</v>
      </c>
      <c r="K38" s="540">
        <v>0</v>
      </c>
      <c r="L38" s="540">
        <v>0</v>
      </c>
      <c r="M38" s="541">
        <v>0</v>
      </c>
      <c r="N38" s="541">
        <v>0</v>
      </c>
      <c r="O38" s="541">
        <v>0</v>
      </c>
      <c r="P38" s="541">
        <v>0</v>
      </c>
      <c r="Q38" s="541">
        <v>0</v>
      </c>
      <c r="R38" s="541">
        <v>0</v>
      </c>
      <c r="S38" s="541">
        <v>0</v>
      </c>
      <c r="T38" s="541">
        <v>0</v>
      </c>
      <c r="U38" s="541">
        <v>0</v>
      </c>
      <c r="V38" s="541">
        <v>0</v>
      </c>
      <c r="W38" s="541">
        <v>0</v>
      </c>
      <c r="X38" s="541">
        <v>0</v>
      </c>
      <c r="Y38" s="541">
        <v>0</v>
      </c>
      <c r="Z38" s="541">
        <v>0</v>
      </c>
      <c r="AA38" s="541">
        <v>0</v>
      </c>
      <c r="AB38" s="541">
        <v>0</v>
      </c>
      <c r="AC38" s="541">
        <v>0</v>
      </c>
      <c r="AD38" s="541">
        <v>0</v>
      </c>
      <c r="AE38" s="541">
        <v>0</v>
      </c>
      <c r="AF38" s="541">
        <v>0</v>
      </c>
      <c r="AG38" s="541">
        <v>0</v>
      </c>
      <c r="AH38" s="541">
        <v>0</v>
      </c>
      <c r="AI38" s="541">
        <v>0</v>
      </c>
      <c r="AJ38" s="541">
        <v>0</v>
      </c>
      <c r="AK38" s="541">
        <v>0</v>
      </c>
      <c r="AL38" s="541"/>
      <c r="AM38" s="541"/>
      <c r="AN38" s="541"/>
      <c r="AO38" s="541"/>
      <c r="AP38" s="541"/>
      <c r="AQ38" s="541"/>
      <c r="AR38" s="541"/>
      <c r="AS38" s="541"/>
      <c r="AT38" s="541"/>
      <c r="AU38" s="541"/>
      <c r="AV38" s="541"/>
      <c r="AW38" s="541"/>
      <c r="AX38" s="541"/>
      <c r="AY38" s="541"/>
      <c r="AZ38" s="541"/>
      <c r="BA38" s="541"/>
      <c r="BB38" s="541"/>
      <c r="BC38" s="541"/>
      <c r="BD38" s="541"/>
      <c r="BE38" s="541"/>
      <c r="BF38" s="541"/>
      <c r="BG38" s="541"/>
      <c r="BH38" s="541"/>
      <c r="BI38" s="541"/>
      <c r="BJ38" s="541"/>
      <c r="BK38" s="541"/>
      <c r="BL38" s="541"/>
      <c r="BM38" s="541"/>
      <c r="BN38" s="541"/>
      <c r="BO38" s="541"/>
      <c r="BP38" s="541"/>
      <c r="BQ38" s="541"/>
      <c r="BR38" s="541"/>
      <c r="BS38" s="541"/>
      <c r="BT38" s="541"/>
      <c r="BU38" s="541"/>
      <c r="BV38" s="541"/>
      <c r="BW38" s="541"/>
      <c r="BX38" s="541"/>
      <c r="BY38" s="541"/>
      <c r="BZ38" s="541"/>
      <c r="CA38" s="541"/>
      <c r="CB38" s="541"/>
      <c r="CC38" s="541"/>
      <c r="CD38" s="541"/>
      <c r="CE38" s="541"/>
      <c r="CF38" s="541"/>
      <c r="CG38" s="541"/>
      <c r="CH38" s="541"/>
      <c r="CI38" s="542"/>
      <c r="CK38" s="1293"/>
    </row>
    <row r="39" spans="1:89" s="1292" customFormat="1" ht="28.5" x14ac:dyDescent="0.2">
      <c r="A39" s="1284"/>
      <c r="B39" s="543" t="s">
        <v>480</v>
      </c>
      <c r="C39" s="546" t="s">
        <v>481</v>
      </c>
      <c r="D39" s="537" t="s">
        <v>86</v>
      </c>
      <c r="E39" s="538" t="s">
        <v>236</v>
      </c>
      <c r="F39" s="539">
        <v>2</v>
      </c>
      <c r="G39" s="540"/>
      <c r="H39" s="540"/>
      <c r="I39" s="540">
        <v>0.3</v>
      </c>
      <c r="J39" s="540">
        <v>0.3</v>
      </c>
      <c r="K39" s="540">
        <v>0.3</v>
      </c>
      <c r="L39" s="540">
        <v>0.3</v>
      </c>
      <c r="M39" s="541">
        <v>0.3</v>
      </c>
      <c r="N39" s="541">
        <v>0.3</v>
      </c>
      <c r="O39" s="541">
        <v>0.3</v>
      </c>
      <c r="P39" s="541">
        <v>0.3</v>
      </c>
      <c r="Q39" s="541">
        <v>0.3</v>
      </c>
      <c r="R39" s="541">
        <v>0.28999999999999998</v>
      </c>
      <c r="S39" s="541">
        <v>0.28999999999999998</v>
      </c>
      <c r="T39" s="541">
        <v>0.28999999999999998</v>
      </c>
      <c r="U39" s="541">
        <v>0.28999999999999998</v>
      </c>
      <c r="V39" s="541">
        <v>0.28999999999999998</v>
      </c>
      <c r="W39" s="541">
        <v>0.28999999999999998</v>
      </c>
      <c r="X39" s="541">
        <v>0.28999999999999998</v>
      </c>
      <c r="Y39" s="541">
        <v>0.28999999999999998</v>
      </c>
      <c r="Z39" s="541">
        <v>0.28999999999999998</v>
      </c>
      <c r="AA39" s="541">
        <v>0.28999999999999998</v>
      </c>
      <c r="AB39" s="541">
        <v>0.24</v>
      </c>
      <c r="AC39" s="541">
        <v>0.24</v>
      </c>
      <c r="AD39" s="541">
        <v>0.24</v>
      </c>
      <c r="AE39" s="541">
        <v>0.24</v>
      </c>
      <c r="AF39" s="541">
        <v>0.24</v>
      </c>
      <c r="AG39" s="541">
        <v>0.2</v>
      </c>
      <c r="AH39" s="541">
        <v>0.2</v>
      </c>
      <c r="AI39" s="541">
        <v>0.2</v>
      </c>
      <c r="AJ39" s="541">
        <v>0.2</v>
      </c>
      <c r="AK39" s="541">
        <v>0.2</v>
      </c>
      <c r="AL39" s="541"/>
      <c r="AM39" s="541"/>
      <c r="AN39" s="541"/>
      <c r="AO39" s="541"/>
      <c r="AP39" s="541"/>
      <c r="AQ39" s="541"/>
      <c r="AR39" s="541"/>
      <c r="AS39" s="541"/>
      <c r="AT39" s="541"/>
      <c r="AU39" s="541"/>
      <c r="AV39" s="541"/>
      <c r="AW39" s="541"/>
      <c r="AX39" s="541"/>
      <c r="AY39" s="541"/>
      <c r="AZ39" s="541"/>
      <c r="BA39" s="541"/>
      <c r="BB39" s="541"/>
      <c r="BC39" s="541"/>
      <c r="BD39" s="541"/>
      <c r="BE39" s="541"/>
      <c r="BF39" s="541"/>
      <c r="BG39" s="541"/>
      <c r="BH39" s="541"/>
      <c r="BI39" s="541"/>
      <c r="BJ39" s="541"/>
      <c r="BK39" s="541"/>
      <c r="BL39" s="541"/>
      <c r="BM39" s="541"/>
      <c r="BN39" s="541"/>
      <c r="BO39" s="541"/>
      <c r="BP39" s="541"/>
      <c r="BQ39" s="541"/>
      <c r="BR39" s="541"/>
      <c r="BS39" s="541"/>
      <c r="BT39" s="541"/>
      <c r="BU39" s="541"/>
      <c r="BV39" s="541"/>
      <c r="BW39" s="541"/>
      <c r="BX39" s="541"/>
      <c r="BY39" s="541"/>
      <c r="BZ39" s="541"/>
      <c r="CA39" s="541"/>
      <c r="CB39" s="541"/>
      <c r="CC39" s="541"/>
      <c r="CD39" s="541"/>
      <c r="CE39" s="541"/>
      <c r="CF39" s="541"/>
      <c r="CG39" s="541"/>
      <c r="CH39" s="541"/>
      <c r="CI39" s="542"/>
      <c r="CK39" s="1293"/>
    </row>
    <row r="40" spans="1:89" s="1292" customFormat="1" x14ac:dyDescent="0.2">
      <c r="A40" s="1284"/>
      <c r="B40" s="543" t="s">
        <v>482</v>
      </c>
      <c r="C40" s="546" t="s">
        <v>483</v>
      </c>
      <c r="D40" s="537" t="s">
        <v>86</v>
      </c>
      <c r="E40" s="538" t="s">
        <v>236</v>
      </c>
      <c r="F40" s="539">
        <v>2</v>
      </c>
      <c r="G40" s="540"/>
      <c r="H40" s="540"/>
      <c r="I40" s="540">
        <v>0.04</v>
      </c>
      <c r="J40" s="540">
        <v>0.04</v>
      </c>
      <c r="K40" s="540">
        <v>0.04</v>
      </c>
      <c r="L40" s="540">
        <v>0.04</v>
      </c>
      <c r="M40" s="541">
        <v>0.04</v>
      </c>
      <c r="N40" s="541">
        <v>0.04</v>
      </c>
      <c r="O40" s="541">
        <v>0.04</v>
      </c>
      <c r="P40" s="541">
        <v>0.04</v>
      </c>
      <c r="Q40" s="541">
        <v>0.04</v>
      </c>
      <c r="R40" s="541">
        <v>0.04</v>
      </c>
      <c r="S40" s="541">
        <v>0.04</v>
      </c>
      <c r="T40" s="541">
        <v>0.04</v>
      </c>
      <c r="U40" s="541">
        <v>0.04</v>
      </c>
      <c r="V40" s="541">
        <v>0.04</v>
      </c>
      <c r="W40" s="541">
        <v>0.04</v>
      </c>
      <c r="X40" s="541">
        <v>0.04</v>
      </c>
      <c r="Y40" s="541">
        <v>0.04</v>
      </c>
      <c r="Z40" s="541">
        <v>0.04</v>
      </c>
      <c r="AA40" s="541">
        <v>0.04</v>
      </c>
      <c r="AB40" s="541">
        <v>0.04</v>
      </c>
      <c r="AC40" s="541">
        <v>0.04</v>
      </c>
      <c r="AD40" s="541">
        <v>0.04</v>
      </c>
      <c r="AE40" s="541">
        <v>0.04</v>
      </c>
      <c r="AF40" s="541">
        <v>0.04</v>
      </c>
      <c r="AG40" s="541">
        <v>0.04</v>
      </c>
      <c r="AH40" s="541">
        <v>0.04</v>
      </c>
      <c r="AI40" s="541">
        <v>0.04</v>
      </c>
      <c r="AJ40" s="541">
        <v>0.04</v>
      </c>
      <c r="AK40" s="541">
        <v>0.04</v>
      </c>
      <c r="AL40" s="541"/>
      <c r="AM40" s="541"/>
      <c r="AN40" s="541"/>
      <c r="AO40" s="541"/>
      <c r="AP40" s="541"/>
      <c r="AQ40" s="541"/>
      <c r="AR40" s="541"/>
      <c r="AS40" s="541"/>
      <c r="AT40" s="541"/>
      <c r="AU40" s="541"/>
      <c r="AV40" s="541"/>
      <c r="AW40" s="541"/>
      <c r="AX40" s="541"/>
      <c r="AY40" s="541"/>
      <c r="AZ40" s="541"/>
      <c r="BA40" s="541"/>
      <c r="BB40" s="541"/>
      <c r="BC40" s="541"/>
      <c r="BD40" s="541"/>
      <c r="BE40" s="541"/>
      <c r="BF40" s="541"/>
      <c r="BG40" s="541"/>
      <c r="BH40" s="541"/>
      <c r="BI40" s="541"/>
      <c r="BJ40" s="541"/>
      <c r="BK40" s="541"/>
      <c r="BL40" s="541"/>
      <c r="BM40" s="541"/>
      <c r="BN40" s="541"/>
      <c r="BO40" s="541"/>
      <c r="BP40" s="541"/>
      <c r="BQ40" s="541"/>
      <c r="BR40" s="541"/>
      <c r="BS40" s="541"/>
      <c r="BT40" s="541"/>
      <c r="BU40" s="541"/>
      <c r="BV40" s="541"/>
      <c r="BW40" s="541"/>
      <c r="BX40" s="541"/>
      <c r="BY40" s="541"/>
      <c r="BZ40" s="541"/>
      <c r="CA40" s="541"/>
      <c r="CB40" s="541"/>
      <c r="CC40" s="541"/>
      <c r="CD40" s="541"/>
      <c r="CE40" s="541"/>
      <c r="CF40" s="541"/>
      <c r="CG40" s="541"/>
      <c r="CH40" s="541"/>
      <c r="CI40" s="542"/>
      <c r="CK40" s="1293"/>
    </row>
    <row r="41" spans="1:89" s="1292" customFormat="1" x14ac:dyDescent="0.2">
      <c r="A41" s="1284"/>
      <c r="B41" s="549" t="s">
        <v>484</v>
      </c>
      <c r="C41" s="550" t="s">
        <v>387</v>
      </c>
      <c r="D41" s="550" t="s">
        <v>485</v>
      </c>
      <c r="E41" s="551" t="s">
        <v>236</v>
      </c>
      <c r="F41" s="539">
        <v>2</v>
      </c>
      <c r="G41" s="547">
        <f>(G30+G32)-(G39+G40)</f>
        <v>0</v>
      </c>
      <c r="H41" s="547">
        <f t="shared" ref="H41:AK41" si="2">(H30+H32)-(H39+H40)</f>
        <v>0</v>
      </c>
      <c r="I41" s="547">
        <f>(I30+I32)-(I39+I40)</f>
        <v>6.0400000000000009</v>
      </c>
      <c r="J41" s="547">
        <f t="shared" si="2"/>
        <v>6.0400000000000009</v>
      </c>
      <c r="K41" s="547">
        <f t="shared" si="2"/>
        <v>6.0400000000000009</v>
      </c>
      <c r="L41" s="547">
        <f t="shared" si="2"/>
        <v>6.0400000000000009</v>
      </c>
      <c r="M41" s="552">
        <f t="shared" si="2"/>
        <v>6.0400000000000009</v>
      </c>
      <c r="N41" s="552">
        <f t="shared" si="2"/>
        <v>6.0400000000000009</v>
      </c>
      <c r="O41" s="552">
        <f t="shared" si="2"/>
        <v>6.0400000000000009</v>
      </c>
      <c r="P41" s="552">
        <f t="shared" si="2"/>
        <v>6.0400000000000009</v>
      </c>
      <c r="Q41" s="552">
        <f t="shared" si="2"/>
        <v>6.0400000000000009</v>
      </c>
      <c r="R41" s="552">
        <f t="shared" si="2"/>
        <v>6.0500000000000007</v>
      </c>
      <c r="S41" s="552">
        <f t="shared" si="2"/>
        <v>6.0500000000000007</v>
      </c>
      <c r="T41" s="552">
        <f t="shared" si="2"/>
        <v>6.0500000000000007</v>
      </c>
      <c r="U41" s="552">
        <f t="shared" si="2"/>
        <v>6.0500000000000007</v>
      </c>
      <c r="V41" s="552">
        <f t="shared" si="2"/>
        <v>6.0500000000000007</v>
      </c>
      <c r="W41" s="552">
        <f t="shared" si="2"/>
        <v>6.0500000000000007</v>
      </c>
      <c r="X41" s="552">
        <f t="shared" si="2"/>
        <v>6.0500000000000007</v>
      </c>
      <c r="Y41" s="552">
        <f t="shared" si="2"/>
        <v>6.0500000000000007</v>
      </c>
      <c r="Z41" s="552">
        <f t="shared" si="2"/>
        <v>6.0500000000000007</v>
      </c>
      <c r="AA41" s="552">
        <f t="shared" si="2"/>
        <v>6.0500000000000007</v>
      </c>
      <c r="AB41" s="552">
        <f t="shared" si="2"/>
        <v>5.7700000000000005</v>
      </c>
      <c r="AC41" s="552">
        <f t="shared" si="2"/>
        <v>5.7700000000000005</v>
      </c>
      <c r="AD41" s="552">
        <f t="shared" si="2"/>
        <v>5.7700000000000005</v>
      </c>
      <c r="AE41" s="552">
        <f t="shared" si="2"/>
        <v>5.7700000000000005</v>
      </c>
      <c r="AF41" s="552">
        <f t="shared" si="2"/>
        <v>5.7700000000000005</v>
      </c>
      <c r="AG41" s="552">
        <f t="shared" si="2"/>
        <v>5.49</v>
      </c>
      <c r="AH41" s="552">
        <f t="shared" si="2"/>
        <v>5.49</v>
      </c>
      <c r="AI41" s="552">
        <f t="shared" si="2"/>
        <v>5.49</v>
      </c>
      <c r="AJ41" s="552">
        <f t="shared" si="2"/>
        <v>5.49</v>
      </c>
      <c r="AK41" s="552">
        <f t="shared" si="2"/>
        <v>5.49</v>
      </c>
      <c r="AL41" s="552"/>
      <c r="AM41" s="552"/>
      <c r="AN41" s="552"/>
      <c r="AO41" s="552"/>
      <c r="AP41" s="552"/>
      <c r="AQ41" s="552"/>
      <c r="AR41" s="552"/>
      <c r="AS41" s="552"/>
      <c r="AT41" s="552"/>
      <c r="AU41" s="552"/>
      <c r="AV41" s="552"/>
      <c r="AW41" s="552"/>
      <c r="AX41" s="552"/>
      <c r="AY41" s="552"/>
      <c r="AZ41" s="552"/>
      <c r="BA41" s="552"/>
      <c r="BB41" s="552"/>
      <c r="BC41" s="552"/>
      <c r="BD41" s="552"/>
      <c r="BE41" s="552"/>
      <c r="BF41" s="552"/>
      <c r="BG41" s="552"/>
      <c r="BH41" s="552"/>
      <c r="BI41" s="552"/>
      <c r="BJ41" s="552"/>
      <c r="BK41" s="552"/>
      <c r="BL41" s="552"/>
      <c r="BM41" s="552"/>
      <c r="BN41" s="552"/>
      <c r="BO41" s="552"/>
      <c r="BP41" s="552"/>
      <c r="BQ41" s="552"/>
      <c r="BR41" s="552"/>
      <c r="BS41" s="552"/>
      <c r="BT41" s="552"/>
      <c r="BU41" s="552"/>
      <c r="BV41" s="552"/>
      <c r="BW41" s="552"/>
      <c r="BX41" s="552"/>
      <c r="BY41" s="552"/>
      <c r="BZ41" s="552"/>
      <c r="CA41" s="552"/>
      <c r="CB41" s="552"/>
      <c r="CC41" s="552"/>
      <c r="CD41" s="552"/>
      <c r="CE41" s="552"/>
      <c r="CF41" s="552"/>
      <c r="CG41" s="552"/>
      <c r="CH41" s="552"/>
      <c r="CI41" s="548"/>
      <c r="CK41" s="1293"/>
    </row>
    <row r="42" spans="1:89" s="1292" customFormat="1" ht="33.6" customHeight="1" thickBot="1" x14ac:dyDescent="0.25">
      <c r="A42" s="1284"/>
      <c r="B42" s="555" t="s">
        <v>486</v>
      </c>
      <c r="C42" s="556" t="s">
        <v>390</v>
      </c>
      <c r="D42" s="556" t="s">
        <v>487</v>
      </c>
      <c r="E42" s="557" t="s">
        <v>236</v>
      </c>
      <c r="F42" s="558">
        <v>2</v>
      </c>
      <c r="G42" s="559">
        <f>G41+SUM(G26:G29)</f>
        <v>0</v>
      </c>
      <c r="H42" s="559">
        <f>H41+SUM(H26:H29)</f>
        <v>0</v>
      </c>
      <c r="I42" s="559">
        <f>I41+SUM(I26:I29)</f>
        <v>7.8400000000000007</v>
      </c>
      <c r="J42" s="559">
        <f t="shared" ref="J42:AK42" si="3">J41+SUM(J26:J29)</f>
        <v>7.8400000000000007</v>
      </c>
      <c r="K42" s="559">
        <f t="shared" si="3"/>
        <v>7.8400000000000007</v>
      </c>
      <c r="L42" s="559">
        <f t="shared" si="3"/>
        <v>7.8400000000000007</v>
      </c>
      <c r="M42" s="559">
        <f t="shared" si="3"/>
        <v>7.8400000000000007</v>
      </c>
      <c r="N42" s="559">
        <f t="shared" si="3"/>
        <v>7.8400000000000007</v>
      </c>
      <c r="O42" s="559">
        <f t="shared" si="3"/>
        <v>7.8400000000000007</v>
      </c>
      <c r="P42" s="559">
        <f t="shared" si="3"/>
        <v>7.8400000000000007</v>
      </c>
      <c r="Q42" s="559">
        <f t="shared" si="3"/>
        <v>7.8400000000000007</v>
      </c>
      <c r="R42" s="559">
        <f t="shared" si="3"/>
        <v>7.3100000000000005</v>
      </c>
      <c r="S42" s="559">
        <f t="shared" si="3"/>
        <v>7.3100000000000005</v>
      </c>
      <c r="T42" s="559">
        <f t="shared" si="3"/>
        <v>7.3100000000000005</v>
      </c>
      <c r="U42" s="559">
        <f t="shared" si="3"/>
        <v>7.3100000000000005</v>
      </c>
      <c r="V42" s="559">
        <f t="shared" si="3"/>
        <v>7.3100000000000005</v>
      </c>
      <c r="W42" s="559">
        <f t="shared" si="3"/>
        <v>7.3100000000000005</v>
      </c>
      <c r="X42" s="559">
        <f t="shared" si="3"/>
        <v>7.3100000000000005</v>
      </c>
      <c r="Y42" s="559">
        <f t="shared" si="3"/>
        <v>7.3100000000000005</v>
      </c>
      <c r="Z42" s="559">
        <f t="shared" si="3"/>
        <v>7.3100000000000005</v>
      </c>
      <c r="AA42" s="559">
        <f t="shared" si="3"/>
        <v>7.3100000000000005</v>
      </c>
      <c r="AB42" s="559">
        <f t="shared" si="3"/>
        <v>6.66</v>
      </c>
      <c r="AC42" s="559">
        <f t="shared" si="3"/>
        <v>6.66</v>
      </c>
      <c r="AD42" s="559">
        <f t="shared" si="3"/>
        <v>6.66</v>
      </c>
      <c r="AE42" s="559">
        <f t="shared" si="3"/>
        <v>6.66</v>
      </c>
      <c r="AF42" s="559">
        <f t="shared" si="3"/>
        <v>6.66</v>
      </c>
      <c r="AG42" s="559">
        <f t="shared" si="3"/>
        <v>6.0200000000000005</v>
      </c>
      <c r="AH42" s="559">
        <f t="shared" si="3"/>
        <v>6.0200000000000005</v>
      </c>
      <c r="AI42" s="559">
        <f t="shared" si="3"/>
        <v>6.0200000000000005</v>
      </c>
      <c r="AJ42" s="559">
        <f t="shared" si="3"/>
        <v>6.0200000000000005</v>
      </c>
      <c r="AK42" s="559">
        <f t="shared" si="3"/>
        <v>6.0200000000000005</v>
      </c>
      <c r="AL42" s="559"/>
      <c r="AM42" s="559"/>
      <c r="AN42" s="559"/>
      <c r="AO42" s="559"/>
      <c r="AP42" s="559"/>
      <c r="AQ42" s="559"/>
      <c r="AR42" s="559"/>
      <c r="AS42" s="559"/>
      <c r="AT42" s="559"/>
      <c r="AU42" s="559"/>
      <c r="AV42" s="559"/>
      <c r="AW42" s="559"/>
      <c r="AX42" s="559"/>
      <c r="AY42" s="559"/>
      <c r="AZ42" s="559"/>
      <c r="BA42" s="559"/>
      <c r="BB42" s="559"/>
      <c r="BC42" s="559"/>
      <c r="BD42" s="559"/>
      <c r="BE42" s="559"/>
      <c r="BF42" s="559"/>
      <c r="BG42" s="559"/>
      <c r="BH42" s="559"/>
      <c r="BI42" s="559"/>
      <c r="BJ42" s="559"/>
      <c r="BK42" s="559"/>
      <c r="BL42" s="559"/>
      <c r="BM42" s="559"/>
      <c r="BN42" s="559"/>
      <c r="BO42" s="559"/>
      <c r="BP42" s="559"/>
      <c r="BQ42" s="559"/>
      <c r="BR42" s="559"/>
      <c r="BS42" s="559"/>
      <c r="BT42" s="559"/>
      <c r="BU42" s="559"/>
      <c r="BV42" s="559"/>
      <c r="BW42" s="559"/>
      <c r="BX42" s="559"/>
      <c r="BY42" s="559"/>
      <c r="BZ42" s="559"/>
      <c r="CA42" s="559"/>
      <c r="CB42" s="559"/>
      <c r="CC42" s="559"/>
      <c r="CD42" s="559"/>
      <c r="CE42" s="559"/>
      <c r="CF42" s="559"/>
      <c r="CG42" s="559"/>
      <c r="CH42" s="559"/>
      <c r="CI42" s="560"/>
      <c r="CK42" s="1293"/>
    </row>
    <row r="43" spans="1:89" s="1292" customFormat="1" x14ac:dyDescent="0.2">
      <c r="A43" s="1284"/>
      <c r="B43" s="1026" t="s">
        <v>488</v>
      </c>
      <c r="C43" s="1027" t="s">
        <v>489</v>
      </c>
      <c r="D43" s="1028" t="s">
        <v>86</v>
      </c>
      <c r="E43" s="1029" t="s">
        <v>236</v>
      </c>
      <c r="F43" s="1030">
        <v>2</v>
      </c>
      <c r="G43" s="532"/>
      <c r="H43" s="532"/>
      <c r="I43" s="532">
        <v>4.4845193488201689</v>
      </c>
      <c r="J43" s="532">
        <v>8.390435368405841</v>
      </c>
      <c r="K43" s="532">
        <v>8.4054340629956261</v>
      </c>
      <c r="L43" s="532">
        <v>8.5810826922198125</v>
      </c>
      <c r="M43" s="533">
        <v>8.5929525850363024</v>
      </c>
      <c r="N43" s="533">
        <v>8.603670805427905</v>
      </c>
      <c r="O43" s="533">
        <v>8.6144895255996268</v>
      </c>
      <c r="P43" s="533">
        <v>8.6253598091838182</v>
      </c>
      <c r="Q43" s="533">
        <v>8.6356049760681213</v>
      </c>
      <c r="R43" s="533">
        <v>8.6457996889329802</v>
      </c>
      <c r="S43" s="533">
        <v>8.6558910235593309</v>
      </c>
      <c r="T43" s="533">
        <v>8.6658428142426196</v>
      </c>
      <c r="U43" s="533">
        <v>8.6757000227825252</v>
      </c>
      <c r="V43" s="533">
        <v>8.6854028871847646</v>
      </c>
      <c r="W43" s="533">
        <v>8.6949275491612212</v>
      </c>
      <c r="X43" s="533">
        <v>8.7043264145418</v>
      </c>
      <c r="Y43" s="533">
        <v>8.7135612013713288</v>
      </c>
      <c r="Z43" s="533">
        <v>8.7226208690221885</v>
      </c>
      <c r="AA43" s="533">
        <v>8.7315633996787199</v>
      </c>
      <c r="AB43" s="533">
        <v>8.7403896484317247</v>
      </c>
      <c r="AC43" s="533">
        <v>8.7490938934555036</v>
      </c>
      <c r="AD43" s="533">
        <v>8.7576658972244985</v>
      </c>
      <c r="AE43" s="533">
        <v>8.7661145184401121</v>
      </c>
      <c r="AF43" s="533">
        <v>8.774434449085561</v>
      </c>
      <c r="AG43" s="533">
        <v>8.7826373471718231</v>
      </c>
      <c r="AH43" s="533">
        <v>8.7907239881790602</v>
      </c>
      <c r="AI43" s="533">
        <v>8.7987002644129912</v>
      </c>
      <c r="AJ43" s="533">
        <v>8.8065843951397706</v>
      </c>
      <c r="AK43" s="533">
        <v>8.8143812649726865</v>
      </c>
      <c r="AL43" s="533"/>
      <c r="AM43" s="533"/>
      <c r="AN43" s="533"/>
      <c r="AO43" s="533"/>
      <c r="AP43" s="533"/>
      <c r="AQ43" s="533"/>
      <c r="AR43" s="533"/>
      <c r="AS43" s="533"/>
      <c r="AT43" s="533"/>
      <c r="AU43" s="533"/>
      <c r="AV43" s="533"/>
      <c r="AW43" s="533"/>
      <c r="AX43" s="533"/>
      <c r="AY43" s="533"/>
      <c r="AZ43" s="533"/>
      <c r="BA43" s="533"/>
      <c r="BB43" s="533"/>
      <c r="BC43" s="533"/>
      <c r="BD43" s="533"/>
      <c r="BE43" s="533"/>
      <c r="BF43" s="533"/>
      <c r="BG43" s="533"/>
      <c r="BH43" s="533"/>
      <c r="BI43" s="533"/>
      <c r="BJ43" s="533"/>
      <c r="BK43" s="533"/>
      <c r="BL43" s="533"/>
      <c r="BM43" s="533"/>
      <c r="BN43" s="533"/>
      <c r="BO43" s="533"/>
      <c r="BP43" s="533"/>
      <c r="BQ43" s="533"/>
      <c r="BR43" s="533"/>
      <c r="BS43" s="533"/>
      <c r="BT43" s="533"/>
      <c r="BU43" s="533"/>
      <c r="BV43" s="533"/>
      <c r="BW43" s="533"/>
      <c r="BX43" s="533"/>
      <c r="BY43" s="533"/>
      <c r="BZ43" s="533"/>
      <c r="CA43" s="533"/>
      <c r="CB43" s="533"/>
      <c r="CC43" s="533"/>
      <c r="CD43" s="533"/>
      <c r="CE43" s="533"/>
      <c r="CF43" s="533"/>
      <c r="CG43" s="533"/>
      <c r="CH43" s="533"/>
      <c r="CI43" s="534"/>
      <c r="CK43" s="1293"/>
    </row>
    <row r="44" spans="1:89" s="1292" customFormat="1" ht="28.5" x14ac:dyDescent="0.2">
      <c r="A44" s="1284"/>
      <c r="B44" s="1031" t="s">
        <v>490</v>
      </c>
      <c r="C44" s="1032" t="s">
        <v>491</v>
      </c>
      <c r="D44" s="1023" t="s">
        <v>86</v>
      </c>
      <c r="E44" s="1024" t="s">
        <v>236</v>
      </c>
      <c r="F44" s="1025">
        <v>2</v>
      </c>
      <c r="G44" s="1011"/>
      <c r="H44" s="1008"/>
      <c r="I44" s="1008"/>
      <c r="J44" s="1008"/>
      <c r="K44" s="1008"/>
      <c r="L44" s="1008"/>
      <c r="M44" s="1009"/>
      <c r="N44" s="1009"/>
      <c r="O44" s="1009"/>
      <c r="P44" s="1009"/>
      <c r="Q44" s="1009"/>
      <c r="R44" s="1009"/>
      <c r="S44" s="1009"/>
      <c r="T44" s="1009"/>
      <c r="U44" s="1009"/>
      <c r="V44" s="1009"/>
      <c r="W44" s="1009"/>
      <c r="X44" s="1009"/>
      <c r="Y44" s="1009"/>
      <c r="Z44" s="1009"/>
      <c r="AA44" s="1009"/>
      <c r="AB44" s="1009"/>
      <c r="AC44" s="1009"/>
      <c r="AD44" s="1009"/>
      <c r="AE44" s="1009"/>
      <c r="AF44" s="1009"/>
      <c r="AG44" s="1009"/>
      <c r="AH44" s="1009"/>
      <c r="AI44" s="1009"/>
      <c r="AJ44" s="1009"/>
      <c r="AK44" s="1009"/>
      <c r="AL44" s="1009"/>
      <c r="AM44" s="1009"/>
      <c r="AN44" s="1009"/>
      <c r="AO44" s="1009"/>
      <c r="AP44" s="1009"/>
      <c r="AQ44" s="1009"/>
      <c r="AR44" s="1009"/>
      <c r="AS44" s="1009"/>
      <c r="AT44" s="1009"/>
      <c r="AU44" s="1009"/>
      <c r="AV44" s="1009"/>
      <c r="AW44" s="1009"/>
      <c r="AX44" s="1009"/>
      <c r="AY44" s="1009"/>
      <c r="AZ44" s="1009"/>
      <c r="BA44" s="1009"/>
      <c r="BB44" s="1009"/>
      <c r="BC44" s="1009"/>
      <c r="BD44" s="1009"/>
      <c r="BE44" s="1009"/>
      <c r="BF44" s="1009"/>
      <c r="BG44" s="1009"/>
      <c r="BH44" s="1009"/>
      <c r="BI44" s="1009"/>
      <c r="BJ44" s="1009"/>
      <c r="BK44" s="1009"/>
      <c r="BL44" s="1009"/>
      <c r="BM44" s="1009"/>
      <c r="BN44" s="1009"/>
      <c r="BO44" s="1009"/>
      <c r="BP44" s="1009"/>
      <c r="BQ44" s="1009"/>
      <c r="BR44" s="1009"/>
      <c r="BS44" s="1009"/>
      <c r="BT44" s="1009"/>
      <c r="BU44" s="1009"/>
      <c r="BV44" s="1009"/>
      <c r="BW44" s="1009"/>
      <c r="BX44" s="1009"/>
      <c r="BY44" s="1009"/>
      <c r="BZ44" s="1009"/>
      <c r="CA44" s="1009"/>
      <c r="CB44" s="1009"/>
      <c r="CC44" s="1009"/>
      <c r="CD44" s="1009"/>
      <c r="CE44" s="1009"/>
      <c r="CF44" s="1009"/>
      <c r="CG44" s="1009"/>
      <c r="CH44" s="1009"/>
      <c r="CI44" s="1010"/>
      <c r="CK44" s="1293"/>
    </row>
    <row r="45" spans="1:89" s="1292" customFormat="1" x14ac:dyDescent="0.2">
      <c r="A45" s="1284"/>
      <c r="B45" s="1033" t="s">
        <v>492</v>
      </c>
      <c r="C45" s="1034" t="s">
        <v>493</v>
      </c>
      <c r="D45" s="1035" t="s">
        <v>86</v>
      </c>
      <c r="E45" s="1036" t="s">
        <v>236</v>
      </c>
      <c r="F45" s="1037">
        <v>2</v>
      </c>
      <c r="G45" s="540"/>
      <c r="H45" s="540"/>
      <c r="I45" s="540">
        <v>7.6214072997018408E-3</v>
      </c>
      <c r="J45" s="540">
        <v>7.4667416056178864E-3</v>
      </c>
      <c r="K45" s="540">
        <v>7.4191229022997828E-3</v>
      </c>
      <c r="L45" s="540">
        <v>4.5931537549502915E-3</v>
      </c>
      <c r="M45" s="544">
        <v>2.5358776472628503E-3</v>
      </c>
      <c r="N45" s="544">
        <v>2.487694379505594E-3</v>
      </c>
      <c r="O45" s="544">
        <v>2.4395111117483368E-3</v>
      </c>
      <c r="P45" s="544">
        <v>2.3913278439910792E-3</v>
      </c>
      <c r="Q45" s="544">
        <v>2.3431445762338229E-3</v>
      </c>
      <c r="R45" s="544">
        <v>2.2949613084765662E-3</v>
      </c>
      <c r="S45" s="544">
        <v>2.2467780407193091E-3</v>
      </c>
      <c r="T45" s="544">
        <v>2.1985947729620519E-3</v>
      </c>
      <c r="U45" s="544">
        <v>2.1504115052047952E-3</v>
      </c>
      <c r="V45" s="544">
        <v>2.1504115052047952E-3</v>
      </c>
      <c r="W45" s="544">
        <v>2.1504115052047952E-3</v>
      </c>
      <c r="X45" s="544">
        <v>2.1504115052047952E-3</v>
      </c>
      <c r="Y45" s="544">
        <v>2.1504115052047952E-3</v>
      </c>
      <c r="Z45" s="544">
        <v>2.1504115052047952E-3</v>
      </c>
      <c r="AA45" s="544">
        <v>2.1504115052047952E-3</v>
      </c>
      <c r="AB45" s="544">
        <v>2.1504115052047952E-3</v>
      </c>
      <c r="AC45" s="544">
        <v>2.1504115052047952E-3</v>
      </c>
      <c r="AD45" s="544">
        <v>2.1504115052047952E-3</v>
      </c>
      <c r="AE45" s="544">
        <v>2.1504115052047952E-3</v>
      </c>
      <c r="AF45" s="544">
        <v>2.1504115052047952E-3</v>
      </c>
      <c r="AG45" s="544">
        <v>2.1504115052047952E-3</v>
      </c>
      <c r="AH45" s="544">
        <v>2.1504115052047952E-3</v>
      </c>
      <c r="AI45" s="544">
        <v>2.1504115052047952E-3</v>
      </c>
      <c r="AJ45" s="544">
        <v>2.1504115052047952E-3</v>
      </c>
      <c r="AK45" s="544">
        <v>2.1504115052047952E-3</v>
      </c>
      <c r="AL45" s="544"/>
      <c r="AM45" s="544"/>
      <c r="AN45" s="544"/>
      <c r="AO45" s="544"/>
      <c r="AP45" s="544"/>
      <c r="AQ45" s="544"/>
      <c r="AR45" s="544"/>
      <c r="AS45" s="544"/>
      <c r="AT45" s="544"/>
      <c r="AU45" s="544"/>
      <c r="AV45" s="544"/>
      <c r="AW45" s="544"/>
      <c r="AX45" s="544"/>
      <c r="AY45" s="544"/>
      <c r="AZ45" s="544"/>
      <c r="BA45" s="544"/>
      <c r="BB45" s="544"/>
      <c r="BC45" s="544"/>
      <c r="BD45" s="544"/>
      <c r="BE45" s="544"/>
      <c r="BF45" s="544"/>
      <c r="BG45" s="544"/>
      <c r="BH45" s="544"/>
      <c r="BI45" s="544"/>
      <c r="BJ45" s="544"/>
      <c r="BK45" s="544"/>
      <c r="BL45" s="544"/>
      <c r="BM45" s="544"/>
      <c r="BN45" s="544"/>
      <c r="BO45" s="544"/>
      <c r="BP45" s="544"/>
      <c r="BQ45" s="544"/>
      <c r="BR45" s="544"/>
      <c r="BS45" s="544"/>
      <c r="BT45" s="544"/>
      <c r="BU45" s="544"/>
      <c r="BV45" s="544"/>
      <c r="BW45" s="544"/>
      <c r="BX45" s="544"/>
      <c r="BY45" s="544"/>
      <c r="BZ45" s="544"/>
      <c r="CA45" s="544"/>
      <c r="CB45" s="544"/>
      <c r="CC45" s="544"/>
      <c r="CD45" s="544"/>
      <c r="CE45" s="544"/>
      <c r="CF45" s="544"/>
      <c r="CG45" s="544"/>
      <c r="CH45" s="544"/>
      <c r="CI45" s="545"/>
      <c r="CK45" s="1293"/>
    </row>
    <row r="46" spans="1:89" s="1292" customFormat="1" x14ac:dyDescent="0.2">
      <c r="A46" s="1284"/>
      <c r="B46" s="563" t="s">
        <v>494</v>
      </c>
      <c r="C46" s="564" t="s">
        <v>495</v>
      </c>
      <c r="D46" s="565" t="s">
        <v>86</v>
      </c>
      <c r="E46" s="566" t="s">
        <v>236</v>
      </c>
      <c r="F46" s="567">
        <v>2</v>
      </c>
      <c r="G46" s="540"/>
      <c r="H46" s="540"/>
      <c r="I46" s="540">
        <v>2.4762183685446653</v>
      </c>
      <c r="J46" s="540">
        <v>2.482808901615789</v>
      </c>
      <c r="K46" s="540">
        <v>2.4423360962409451</v>
      </c>
      <c r="L46" s="540">
        <v>2.4236451741240406</v>
      </c>
      <c r="M46" s="544">
        <v>2.5866171457916911</v>
      </c>
      <c r="N46" s="544">
        <v>2.7361072555051913</v>
      </c>
      <c r="O46" s="544">
        <v>2.8130127028058367</v>
      </c>
      <c r="P46" s="544">
        <v>2.8817057530708272</v>
      </c>
      <c r="Q46" s="544">
        <v>2.9375402890008759</v>
      </c>
      <c r="R46" s="544">
        <v>2.9783442771893678</v>
      </c>
      <c r="S46" s="544">
        <v>3.0040500977423474</v>
      </c>
      <c r="T46" s="544">
        <v>3.0277929683813629</v>
      </c>
      <c r="U46" s="544">
        <v>3.0512113494822604</v>
      </c>
      <c r="V46" s="544">
        <v>3.0755170521469926</v>
      </c>
      <c r="W46" s="544">
        <v>3.0999089935027389</v>
      </c>
      <c r="X46" s="544">
        <v>3.1247132027426066</v>
      </c>
      <c r="Y46" s="544">
        <v>3.1503229725337718</v>
      </c>
      <c r="Z46" s="544">
        <v>3.1761191182385189</v>
      </c>
      <c r="AA46" s="544">
        <v>3.1990887558499015</v>
      </c>
      <c r="AB46" s="544">
        <v>3.2167661504821456</v>
      </c>
      <c r="AC46" s="544">
        <v>3.2384280768437712</v>
      </c>
      <c r="AD46" s="544">
        <v>3.2611946559007721</v>
      </c>
      <c r="AE46" s="544">
        <v>3.2837805409829439</v>
      </c>
      <c r="AF46" s="544">
        <v>3.3064016055425887</v>
      </c>
      <c r="AG46" s="544">
        <v>3.3282976631579158</v>
      </c>
      <c r="AH46" s="544">
        <v>3.3506404625779913</v>
      </c>
      <c r="AI46" s="544">
        <v>3.3736984519304669</v>
      </c>
      <c r="AJ46" s="544">
        <v>3.3977736733046662</v>
      </c>
      <c r="AK46" s="544">
        <v>3.4223189471719135</v>
      </c>
      <c r="AL46" s="544"/>
      <c r="AM46" s="544"/>
      <c r="AN46" s="544"/>
      <c r="AO46" s="544"/>
      <c r="AP46" s="544"/>
      <c r="AQ46" s="544"/>
      <c r="AR46" s="544"/>
      <c r="AS46" s="544"/>
      <c r="AT46" s="544"/>
      <c r="AU46" s="544"/>
      <c r="AV46" s="544"/>
      <c r="AW46" s="544"/>
      <c r="AX46" s="544"/>
      <c r="AY46" s="544"/>
      <c r="AZ46" s="544"/>
      <c r="BA46" s="544"/>
      <c r="BB46" s="544"/>
      <c r="BC46" s="544"/>
      <c r="BD46" s="544"/>
      <c r="BE46" s="544"/>
      <c r="BF46" s="544"/>
      <c r="BG46" s="544"/>
      <c r="BH46" s="544"/>
      <c r="BI46" s="544"/>
      <c r="BJ46" s="544"/>
      <c r="BK46" s="544"/>
      <c r="BL46" s="544"/>
      <c r="BM46" s="544"/>
      <c r="BN46" s="544"/>
      <c r="BO46" s="544"/>
      <c r="BP46" s="544"/>
      <c r="BQ46" s="544"/>
      <c r="BR46" s="544"/>
      <c r="BS46" s="544"/>
      <c r="BT46" s="544"/>
      <c r="BU46" s="544"/>
      <c r="BV46" s="544"/>
      <c r="BW46" s="544"/>
      <c r="BX46" s="544"/>
      <c r="BY46" s="544"/>
      <c r="BZ46" s="544"/>
      <c r="CA46" s="544"/>
      <c r="CB46" s="544"/>
      <c r="CC46" s="544"/>
      <c r="CD46" s="544"/>
      <c r="CE46" s="544"/>
      <c r="CF46" s="544"/>
      <c r="CG46" s="544"/>
      <c r="CH46" s="544"/>
      <c r="CI46" s="545"/>
      <c r="CK46" s="1293"/>
    </row>
    <row r="47" spans="1:89" s="1294" customFormat="1" x14ac:dyDescent="0.2">
      <c r="A47" s="1284"/>
      <c r="B47" s="563" t="s">
        <v>496</v>
      </c>
      <c r="C47" s="564" t="s">
        <v>497</v>
      </c>
      <c r="D47" s="565" t="s">
        <v>86</v>
      </c>
      <c r="E47" s="566" t="s">
        <v>236</v>
      </c>
      <c r="F47" s="567">
        <v>2</v>
      </c>
      <c r="G47" s="540"/>
      <c r="H47" s="540"/>
      <c r="I47" s="540">
        <v>1.5637264450483459</v>
      </c>
      <c r="J47" s="540">
        <v>1.6028432343315078</v>
      </c>
      <c r="K47" s="540">
        <v>1.559284038782238</v>
      </c>
      <c r="L47" s="540">
        <v>1.4199510209484087</v>
      </c>
      <c r="M47" s="544">
        <v>1.2232559221161963</v>
      </c>
      <c r="N47" s="544">
        <v>1.1279331383274989</v>
      </c>
      <c r="O47" s="544">
        <v>1.0944194753788652</v>
      </c>
      <c r="P47" s="544">
        <v>1.0609795864944032</v>
      </c>
      <c r="Q47" s="544">
        <v>1.0275190314104896</v>
      </c>
      <c r="R47" s="544">
        <v>1.0065613836223621</v>
      </c>
      <c r="S47" s="544">
        <v>0.99840870528941739</v>
      </c>
      <c r="T47" s="544">
        <v>0.99035909989696946</v>
      </c>
      <c r="U47" s="544">
        <v>0.98232115981962187</v>
      </c>
      <c r="V47" s="544">
        <v>0.97436912365841943</v>
      </c>
      <c r="W47" s="544">
        <v>0.96718451997689614</v>
      </c>
      <c r="X47" s="544">
        <v>0.9600908964075866</v>
      </c>
      <c r="Y47" s="544">
        <v>0.9529968033497912</v>
      </c>
      <c r="Z47" s="544">
        <v>0.94617452194758378</v>
      </c>
      <c r="AA47" s="544">
        <v>0.93935713725152903</v>
      </c>
      <c r="AB47" s="544">
        <v>0.93250650758219455</v>
      </c>
      <c r="AC47" s="544">
        <v>0.92575039189166153</v>
      </c>
      <c r="AD47" s="544">
        <v>0.91947407995717767</v>
      </c>
      <c r="AE47" s="544">
        <v>0.91361847587659661</v>
      </c>
      <c r="AF47" s="544">
        <v>0.90785686365296447</v>
      </c>
      <c r="AG47" s="544">
        <v>0.90210058141258387</v>
      </c>
      <c r="AH47" s="544">
        <v>0.89661124400442171</v>
      </c>
      <c r="AI47" s="544">
        <v>0.89112184959493945</v>
      </c>
      <c r="AJ47" s="544">
        <v>0.88572295790433786</v>
      </c>
      <c r="AK47" s="544">
        <v>0.88015424717989343</v>
      </c>
      <c r="AL47" s="544"/>
      <c r="AM47" s="544"/>
      <c r="AN47" s="544"/>
      <c r="AO47" s="544"/>
      <c r="AP47" s="544"/>
      <c r="AQ47" s="544"/>
      <c r="AR47" s="544"/>
      <c r="AS47" s="544"/>
      <c r="AT47" s="544"/>
      <c r="AU47" s="544"/>
      <c r="AV47" s="544"/>
      <c r="AW47" s="544"/>
      <c r="AX47" s="544"/>
      <c r="AY47" s="544"/>
      <c r="AZ47" s="544"/>
      <c r="BA47" s="544"/>
      <c r="BB47" s="544"/>
      <c r="BC47" s="544"/>
      <c r="BD47" s="544"/>
      <c r="BE47" s="544"/>
      <c r="BF47" s="544"/>
      <c r="BG47" s="544"/>
      <c r="BH47" s="544"/>
      <c r="BI47" s="544"/>
      <c r="BJ47" s="544"/>
      <c r="BK47" s="544"/>
      <c r="BL47" s="544"/>
      <c r="BM47" s="544"/>
      <c r="BN47" s="544"/>
      <c r="BO47" s="544"/>
      <c r="BP47" s="544"/>
      <c r="BQ47" s="544"/>
      <c r="BR47" s="544"/>
      <c r="BS47" s="544"/>
      <c r="BT47" s="544"/>
      <c r="BU47" s="544"/>
      <c r="BV47" s="544"/>
      <c r="BW47" s="544"/>
      <c r="BX47" s="544"/>
      <c r="BY47" s="544"/>
      <c r="BZ47" s="544"/>
      <c r="CA47" s="544"/>
      <c r="CB47" s="544"/>
      <c r="CC47" s="544"/>
      <c r="CD47" s="544"/>
      <c r="CE47" s="544"/>
      <c r="CF47" s="544"/>
      <c r="CG47" s="544"/>
      <c r="CH47" s="544"/>
      <c r="CI47" s="545"/>
      <c r="CK47" s="1295"/>
    </row>
    <row r="48" spans="1:89" s="1292" customFormat="1" ht="28.5" x14ac:dyDescent="0.2">
      <c r="A48" s="1284"/>
      <c r="B48" s="563" t="s">
        <v>498</v>
      </c>
      <c r="C48" s="564" t="s">
        <v>499</v>
      </c>
      <c r="D48" s="565" t="s">
        <v>86</v>
      </c>
      <c r="E48" s="566" t="s">
        <v>375</v>
      </c>
      <c r="F48" s="567">
        <v>1</v>
      </c>
      <c r="G48" s="568"/>
      <c r="H48" s="1326"/>
      <c r="I48" s="1326">
        <v>0</v>
      </c>
      <c r="J48" s="1326">
        <v>8.3639040194991346E-4</v>
      </c>
      <c r="K48" s="1326">
        <v>8.8613716608645639E-4</v>
      </c>
      <c r="L48" s="1326">
        <v>9.7723618464091565E-4</v>
      </c>
      <c r="M48" s="1327">
        <v>1.0503477585324552E-3</v>
      </c>
      <c r="N48" s="1327">
        <v>1.1262118940746151E-3</v>
      </c>
      <c r="O48" s="1327">
        <v>1.1741177655281126E-3</v>
      </c>
      <c r="P48" s="1327">
        <v>1.2502026428506056E-3</v>
      </c>
      <c r="Q48" s="1327">
        <v>1.3247096710390473E-3</v>
      </c>
      <c r="R48" s="1327">
        <v>1.3705890401614859E-3</v>
      </c>
      <c r="S48" s="1327">
        <v>1.4459415803518205E-3</v>
      </c>
      <c r="T48" s="1327">
        <v>1.5207233037298588E-3</v>
      </c>
      <c r="U48" s="1327">
        <v>1.5946223283010051E-3</v>
      </c>
      <c r="V48" s="1327">
        <v>1.6401745237211375E-3</v>
      </c>
      <c r="W48" s="1327">
        <v>1.7132966814480898E-3</v>
      </c>
      <c r="X48" s="1327">
        <v>1.7862116675929969E-3</v>
      </c>
      <c r="Y48" s="1327">
        <v>1.8318260192945856E-3</v>
      </c>
      <c r="Z48" s="1327">
        <v>1.9044591417153483E-3</v>
      </c>
      <c r="AA48" s="1327">
        <v>1.9752207033829593E-3</v>
      </c>
      <c r="AB48" s="1327">
        <v>2.0161610991199395E-3</v>
      </c>
      <c r="AC48" s="1327">
        <v>2.0873382809725627E-3</v>
      </c>
      <c r="AD48" s="1327">
        <v>2.1485237311556138E-3</v>
      </c>
      <c r="AE48" s="1327">
        <v>2.209622321597444E-3</v>
      </c>
      <c r="AF48" s="1327">
        <v>2.2705863718425917E-3</v>
      </c>
      <c r="AG48" s="1327">
        <v>2.3308575799294647E-3</v>
      </c>
      <c r="AH48" s="1327">
        <v>2.3911977388158235E-3</v>
      </c>
      <c r="AI48" s="1327">
        <v>2.4515432875562289E-3</v>
      </c>
      <c r="AJ48" s="1327">
        <v>2.5120428912037106E-3</v>
      </c>
      <c r="AK48" s="1327">
        <v>2.5723145268354572E-3</v>
      </c>
      <c r="AL48" s="1327"/>
      <c r="AM48" s="1327"/>
      <c r="AN48" s="1327"/>
      <c r="AO48" s="1327"/>
      <c r="AP48" s="1327"/>
      <c r="AQ48" s="1327"/>
      <c r="AR48" s="1327"/>
      <c r="AS48" s="1327"/>
      <c r="AT48" s="1327"/>
      <c r="AU48" s="1327"/>
      <c r="AV48" s="1327"/>
      <c r="AW48" s="1327"/>
      <c r="AX48" s="1327"/>
      <c r="AY48" s="1327"/>
      <c r="AZ48" s="1327"/>
      <c r="BA48" s="1327"/>
      <c r="BB48" s="1327"/>
      <c r="BC48" s="1327"/>
      <c r="BD48" s="1327"/>
      <c r="BE48" s="1327"/>
      <c r="BF48" s="1327"/>
      <c r="BG48" s="1327"/>
      <c r="BH48" s="1327"/>
      <c r="BI48" s="1327"/>
      <c r="BJ48" s="1327"/>
      <c r="BK48" s="1327"/>
      <c r="BL48" s="1327"/>
      <c r="BM48" s="1327"/>
      <c r="BN48" s="1327"/>
      <c r="BO48" s="1327"/>
      <c r="BP48" s="1327"/>
      <c r="BQ48" s="1327"/>
      <c r="BR48" s="1327"/>
      <c r="BS48" s="1327"/>
      <c r="BT48" s="1327"/>
      <c r="BU48" s="1327"/>
      <c r="BV48" s="1327"/>
      <c r="BW48" s="1327"/>
      <c r="BX48" s="1327"/>
      <c r="BY48" s="1327"/>
      <c r="BZ48" s="1327"/>
      <c r="CA48" s="1327"/>
      <c r="CB48" s="1327"/>
      <c r="CC48" s="1327"/>
      <c r="CD48" s="1327"/>
      <c r="CE48" s="1327"/>
      <c r="CF48" s="1327"/>
      <c r="CG48" s="1327"/>
      <c r="CH48" s="1327"/>
      <c r="CI48" s="1328"/>
      <c r="CK48" s="1293"/>
    </row>
    <row r="49" spans="1:89" s="1292" customFormat="1" ht="28.5" x14ac:dyDescent="0.2">
      <c r="A49" s="1284"/>
      <c r="B49" s="563" t="s">
        <v>500</v>
      </c>
      <c r="C49" s="564" t="s">
        <v>501</v>
      </c>
      <c r="D49" s="565" t="s">
        <v>502</v>
      </c>
      <c r="E49" s="566" t="s">
        <v>236</v>
      </c>
      <c r="F49" s="567">
        <v>2</v>
      </c>
      <c r="G49" s="569">
        <f>G48*(G43+SUM(G45:G47)-SUM(G55:G58))</f>
        <v>0</v>
      </c>
      <c r="H49" s="569">
        <f t="shared" ref="H49:AK49" si="4">H48*(SUM(H43:H47)-SUM(H55:H58))</f>
        <v>0</v>
      </c>
      <c r="I49" s="569">
        <f t="shared" si="4"/>
        <v>0</v>
      </c>
      <c r="J49" s="569">
        <f t="shared" si="4"/>
        <v>1.0351896310513035E-2</v>
      </c>
      <c r="K49" s="569">
        <f t="shared" si="4"/>
        <v>1.0910126921048497E-2</v>
      </c>
      <c r="L49" s="569">
        <f t="shared" si="4"/>
        <v>1.2051515112045125E-2</v>
      </c>
      <c r="M49" s="569">
        <f t="shared" si="4"/>
        <v>1.2929800273444958E-2</v>
      </c>
      <c r="N49" s="569">
        <f t="shared" si="4"/>
        <v>1.3936560687305366E-2</v>
      </c>
      <c r="O49" s="569">
        <f t="shared" si="4"/>
        <v>1.4592021409408459E-2</v>
      </c>
      <c r="P49" s="569">
        <f t="shared" si="4"/>
        <v>1.5594354297899212E-2</v>
      </c>
      <c r="Q49" s="569">
        <f t="shared" si="4"/>
        <v>1.6566193295901182E-2</v>
      </c>
      <c r="R49" s="569">
        <f t="shared" si="4"/>
        <v>1.718024901612078E-2</v>
      </c>
      <c r="S49" s="569">
        <f t="shared" si="4"/>
        <v>1.8163766295807952E-2</v>
      </c>
      <c r="T49" s="569">
        <f t="shared" si="4"/>
        <v>1.9141199803635392E-2</v>
      </c>
      <c r="U49" s="569">
        <f t="shared" si="4"/>
        <v>2.0110612565843258E-2</v>
      </c>
      <c r="V49" s="569">
        <f t="shared" si="4"/>
        <v>2.0726898909569226E-2</v>
      </c>
      <c r="W49" s="569">
        <f t="shared" si="4"/>
        <v>2.1695787147188134E-2</v>
      </c>
      <c r="X49" s="569">
        <f t="shared" si="4"/>
        <v>2.2666584552523912E-2</v>
      </c>
      <c r="Y49" s="569">
        <f t="shared" si="4"/>
        <v>2.3295304406993178E-2</v>
      </c>
      <c r="Z49" s="569">
        <f t="shared" si="4"/>
        <v>2.4271389396706002E-2</v>
      </c>
      <c r="AA49" s="569">
        <f t="shared" si="4"/>
        <v>2.5221785049554496E-2</v>
      </c>
      <c r="AB49" s="569">
        <f t="shared" si="4"/>
        <v>2.5783180895319439E-2</v>
      </c>
      <c r="AC49" s="569">
        <f t="shared" si="4"/>
        <v>2.6741674116099422E-2</v>
      </c>
      <c r="AD49" s="569">
        <f t="shared" si="4"/>
        <v>2.7578363587658382E-2</v>
      </c>
      <c r="AE49" s="569">
        <f t="shared" si="4"/>
        <v>2.8417230299343951E-2</v>
      </c>
      <c r="AF49" s="569">
        <f t="shared" si="4"/>
        <v>2.9257410181851833E-2</v>
      </c>
      <c r="AG49" s="569">
        <f t="shared" si="4"/>
        <v>3.0089726028659298E-2</v>
      </c>
      <c r="AH49" s="569">
        <f t="shared" si="4"/>
        <v>3.0927259728880333E-2</v>
      </c>
      <c r="AI49" s="569">
        <f t="shared" si="4"/>
        <v>3.176931054712815E-2</v>
      </c>
      <c r="AJ49" s="569">
        <f t="shared" si="4"/>
        <v>3.261894456135609E-2</v>
      </c>
      <c r="AK49" s="569">
        <f t="shared" si="4"/>
        <v>3.3469324961792994E-2</v>
      </c>
      <c r="AL49" s="569"/>
      <c r="AM49" s="569"/>
      <c r="AN49" s="569"/>
      <c r="AO49" s="569"/>
      <c r="AP49" s="569"/>
      <c r="AQ49" s="569"/>
      <c r="AR49" s="569"/>
      <c r="AS49" s="569"/>
      <c r="AT49" s="569"/>
      <c r="AU49" s="569"/>
      <c r="AV49" s="569"/>
      <c r="AW49" s="569"/>
      <c r="AX49" s="569"/>
      <c r="AY49" s="569"/>
      <c r="AZ49" s="569"/>
      <c r="BA49" s="569"/>
      <c r="BB49" s="569"/>
      <c r="BC49" s="569"/>
      <c r="BD49" s="569"/>
      <c r="BE49" s="569"/>
      <c r="BF49" s="569"/>
      <c r="BG49" s="569"/>
      <c r="BH49" s="569"/>
      <c r="BI49" s="569"/>
      <c r="BJ49" s="569"/>
      <c r="BK49" s="569"/>
      <c r="BL49" s="569"/>
      <c r="BM49" s="569"/>
      <c r="BN49" s="569"/>
      <c r="BO49" s="569"/>
      <c r="BP49" s="569"/>
      <c r="BQ49" s="569"/>
      <c r="BR49" s="569"/>
      <c r="BS49" s="569"/>
      <c r="BT49" s="569"/>
      <c r="BU49" s="569"/>
      <c r="BV49" s="569"/>
      <c r="BW49" s="569"/>
      <c r="BX49" s="569"/>
      <c r="BY49" s="569"/>
      <c r="BZ49" s="569"/>
      <c r="CA49" s="569"/>
      <c r="CB49" s="569"/>
      <c r="CC49" s="569"/>
      <c r="CD49" s="569"/>
      <c r="CE49" s="569"/>
      <c r="CF49" s="569"/>
      <c r="CG49" s="569"/>
      <c r="CH49" s="569"/>
      <c r="CI49" s="570"/>
      <c r="CK49" s="1293"/>
    </row>
    <row r="50" spans="1:89" s="1292" customFormat="1" ht="28.5" x14ac:dyDescent="0.2">
      <c r="A50" s="1284"/>
      <c r="B50" s="563" t="s">
        <v>503</v>
      </c>
      <c r="C50" s="571" t="s">
        <v>305</v>
      </c>
      <c r="D50" s="572" t="s">
        <v>504</v>
      </c>
      <c r="E50" s="573" t="s">
        <v>239</v>
      </c>
      <c r="F50" s="574">
        <v>1</v>
      </c>
      <c r="G50" s="575" t="e">
        <f>(((G46-G57))*1000000)/((G79)*1000)</f>
        <v>#DIV/0!</v>
      </c>
      <c r="H50" s="575" t="e">
        <f t="shared" ref="H50:AK51" si="5">(((H46-H57))*1000000)/((H79)*1000)</f>
        <v>#DIV/0!</v>
      </c>
      <c r="I50" s="575">
        <f t="shared" si="5"/>
        <v>143.77327514560517</v>
      </c>
      <c r="J50" s="575">
        <f t="shared" si="5"/>
        <v>139.66633021656634</v>
      </c>
      <c r="K50" s="575">
        <f t="shared" si="5"/>
        <v>136.34023996630717</v>
      </c>
      <c r="L50" s="575">
        <f t="shared" si="5"/>
        <v>130.41557735415631</v>
      </c>
      <c r="M50" s="576">
        <f t="shared" si="5"/>
        <v>128.95382821002559</v>
      </c>
      <c r="N50" s="576">
        <f t="shared" si="5"/>
        <v>128.51117608474559</v>
      </c>
      <c r="O50" s="576">
        <f t="shared" si="5"/>
        <v>128.13119515563113</v>
      </c>
      <c r="P50" s="576">
        <f t="shared" si="5"/>
        <v>127.77608399909637</v>
      </c>
      <c r="Q50" s="576">
        <f t="shared" si="5"/>
        <v>127.44703082990189</v>
      </c>
      <c r="R50" s="576">
        <f t="shared" si="5"/>
        <v>127.19587931085125</v>
      </c>
      <c r="S50" s="576">
        <f t="shared" si="5"/>
        <v>127.03971274314812</v>
      </c>
      <c r="T50" s="576">
        <f t="shared" si="5"/>
        <v>126.91140048757966</v>
      </c>
      <c r="U50" s="576">
        <f t="shared" si="5"/>
        <v>126.77525808649081</v>
      </c>
      <c r="V50" s="576">
        <f t="shared" si="5"/>
        <v>126.65730821153139</v>
      </c>
      <c r="W50" s="576">
        <f t="shared" si="5"/>
        <v>126.5180913323518</v>
      </c>
      <c r="X50" s="576">
        <f t="shared" si="5"/>
        <v>126.42679100124188</v>
      </c>
      <c r="Y50" s="576">
        <f t="shared" si="5"/>
        <v>126.34536474862418</v>
      </c>
      <c r="Z50" s="576">
        <f t="shared" si="5"/>
        <v>126.28689081055551</v>
      </c>
      <c r="AA50" s="576">
        <f t="shared" si="5"/>
        <v>126.20538917273348</v>
      </c>
      <c r="AB50" s="576">
        <f t="shared" si="5"/>
        <v>125.95931684019452</v>
      </c>
      <c r="AC50" s="576">
        <f t="shared" si="5"/>
        <v>125.87361247843548</v>
      </c>
      <c r="AD50" s="576">
        <f t="shared" si="5"/>
        <v>125.82200346503851</v>
      </c>
      <c r="AE50" s="576">
        <f t="shared" si="5"/>
        <v>125.76747606779824</v>
      </c>
      <c r="AF50" s="576">
        <f t="shared" si="5"/>
        <v>125.71749263743672</v>
      </c>
      <c r="AG50" s="576">
        <f t="shared" si="5"/>
        <v>125.66424754676029</v>
      </c>
      <c r="AH50" s="576">
        <f t="shared" si="5"/>
        <v>125.64271206715287</v>
      </c>
      <c r="AI50" s="576">
        <f t="shared" si="5"/>
        <v>125.60734354982959</v>
      </c>
      <c r="AJ50" s="576">
        <f t="shared" si="5"/>
        <v>125.57026094366454</v>
      </c>
      <c r="AK50" s="576">
        <f t="shared" si="5"/>
        <v>125.5201787966031</v>
      </c>
      <c r="AL50" s="576"/>
      <c r="AM50" s="576"/>
      <c r="AN50" s="576"/>
      <c r="AO50" s="576"/>
      <c r="AP50" s="576"/>
      <c r="AQ50" s="576"/>
      <c r="AR50" s="576"/>
      <c r="AS50" s="576"/>
      <c r="AT50" s="576"/>
      <c r="AU50" s="576"/>
      <c r="AV50" s="576"/>
      <c r="AW50" s="576"/>
      <c r="AX50" s="576"/>
      <c r="AY50" s="576"/>
      <c r="AZ50" s="576"/>
      <c r="BA50" s="576"/>
      <c r="BB50" s="576"/>
      <c r="BC50" s="576"/>
      <c r="BD50" s="576"/>
      <c r="BE50" s="576"/>
      <c r="BF50" s="576"/>
      <c r="BG50" s="576"/>
      <c r="BH50" s="576"/>
      <c r="BI50" s="576"/>
      <c r="BJ50" s="576"/>
      <c r="BK50" s="576"/>
      <c r="BL50" s="576"/>
      <c r="BM50" s="576"/>
      <c r="BN50" s="576"/>
      <c r="BO50" s="576"/>
      <c r="BP50" s="576"/>
      <c r="BQ50" s="576"/>
      <c r="BR50" s="576"/>
      <c r="BS50" s="576"/>
      <c r="BT50" s="576"/>
      <c r="BU50" s="576"/>
      <c r="BV50" s="576"/>
      <c r="BW50" s="576"/>
      <c r="BX50" s="576"/>
      <c r="BY50" s="576"/>
      <c r="BZ50" s="576"/>
      <c r="CA50" s="576"/>
      <c r="CB50" s="576"/>
      <c r="CC50" s="576"/>
      <c r="CD50" s="576"/>
      <c r="CE50" s="576"/>
      <c r="CF50" s="576"/>
      <c r="CG50" s="576"/>
      <c r="CH50" s="576"/>
      <c r="CI50" s="570"/>
      <c r="CK50" s="1293"/>
    </row>
    <row r="51" spans="1:89" s="1292" customFormat="1" ht="28.5" x14ac:dyDescent="0.2">
      <c r="A51" s="1284"/>
      <c r="B51" s="563" t="s">
        <v>505</v>
      </c>
      <c r="C51" s="571" t="s">
        <v>324</v>
      </c>
      <c r="D51" s="572" t="s">
        <v>506</v>
      </c>
      <c r="E51" s="573" t="s">
        <v>239</v>
      </c>
      <c r="F51" s="574">
        <v>1</v>
      </c>
      <c r="G51" s="575" t="e">
        <f>(((G47-G58))*1000000)/((G80)*1000)</f>
        <v>#DIV/0!</v>
      </c>
      <c r="H51" s="575" t="e">
        <f t="shared" si="5"/>
        <v>#DIV/0!</v>
      </c>
      <c r="I51" s="575">
        <f t="shared" si="5"/>
        <v>153.01222380103448</v>
      </c>
      <c r="J51" s="575">
        <f t="shared" si="5"/>
        <v>159.20959935116429</v>
      </c>
      <c r="K51" s="575">
        <f t="shared" si="5"/>
        <v>157.15062561581374</v>
      </c>
      <c r="L51" s="575">
        <f t="shared" si="5"/>
        <v>154.75206347357559</v>
      </c>
      <c r="M51" s="576">
        <f t="shared" si="5"/>
        <v>152.87599998700421</v>
      </c>
      <c r="N51" s="576">
        <f t="shared" si="5"/>
        <v>152.51681111098216</v>
      </c>
      <c r="O51" s="576">
        <f t="shared" si="5"/>
        <v>152.17075666175489</v>
      </c>
      <c r="P51" s="576">
        <f t="shared" si="5"/>
        <v>151.82569665436012</v>
      </c>
      <c r="Q51" s="576">
        <f t="shared" si="5"/>
        <v>151.46668688349575</v>
      </c>
      <c r="R51" s="576">
        <f t="shared" si="5"/>
        <v>151.26409949201607</v>
      </c>
      <c r="S51" s="576">
        <f t="shared" si="5"/>
        <v>151.26436010257672</v>
      </c>
      <c r="T51" s="576">
        <f t="shared" si="5"/>
        <v>151.26894986160139</v>
      </c>
      <c r="U51" s="576">
        <f t="shared" si="5"/>
        <v>151.26313616405307</v>
      </c>
      <c r="V51" s="576">
        <f t="shared" si="5"/>
        <v>151.25799430213644</v>
      </c>
      <c r="W51" s="576">
        <f t="shared" si="5"/>
        <v>151.36244517312903</v>
      </c>
      <c r="X51" s="576">
        <f t="shared" si="5"/>
        <v>151.4687182969349</v>
      </c>
      <c r="Y51" s="576">
        <f t="shared" si="5"/>
        <v>151.56167450212106</v>
      </c>
      <c r="Z51" s="576">
        <f t="shared" si="5"/>
        <v>151.6846727409268</v>
      </c>
      <c r="AA51" s="576">
        <f t="shared" si="5"/>
        <v>151.79436409416067</v>
      </c>
      <c r="AB51" s="576">
        <f t="shared" si="5"/>
        <v>151.88553940549895</v>
      </c>
      <c r="AC51" s="576">
        <f t="shared" si="5"/>
        <v>151.97998319621053</v>
      </c>
      <c r="AD51" s="576">
        <f t="shared" si="5"/>
        <v>152.14310194938935</v>
      </c>
      <c r="AE51" s="576">
        <f t="shared" si="5"/>
        <v>152.36588493481941</v>
      </c>
      <c r="AF51" s="576">
        <f t="shared" si="5"/>
        <v>152.59297904665675</v>
      </c>
      <c r="AG51" s="576">
        <f t="shared" si="5"/>
        <v>152.80877197103953</v>
      </c>
      <c r="AH51" s="576">
        <f t="shared" si="5"/>
        <v>153.05925421998737</v>
      </c>
      <c r="AI51" s="576">
        <f t="shared" si="5"/>
        <v>153.29813758619045</v>
      </c>
      <c r="AJ51" s="576">
        <f t="shared" si="5"/>
        <v>153.54051547647043</v>
      </c>
      <c r="AK51" s="576">
        <f t="shared" si="5"/>
        <v>153.73907426264236</v>
      </c>
      <c r="AL51" s="576"/>
      <c r="AM51" s="576"/>
      <c r="AN51" s="576"/>
      <c r="AO51" s="576"/>
      <c r="AP51" s="576"/>
      <c r="AQ51" s="576"/>
      <c r="AR51" s="576"/>
      <c r="AS51" s="576"/>
      <c r="AT51" s="576"/>
      <c r="AU51" s="576"/>
      <c r="AV51" s="576"/>
      <c r="AW51" s="576"/>
      <c r="AX51" s="576"/>
      <c r="AY51" s="576"/>
      <c r="AZ51" s="576"/>
      <c r="BA51" s="576"/>
      <c r="BB51" s="576"/>
      <c r="BC51" s="576"/>
      <c r="BD51" s="576"/>
      <c r="BE51" s="576"/>
      <c r="BF51" s="576"/>
      <c r="BG51" s="576"/>
      <c r="BH51" s="576"/>
      <c r="BI51" s="576"/>
      <c r="BJ51" s="576"/>
      <c r="BK51" s="576"/>
      <c r="BL51" s="576"/>
      <c r="BM51" s="576"/>
      <c r="BN51" s="576"/>
      <c r="BO51" s="576"/>
      <c r="BP51" s="576"/>
      <c r="BQ51" s="576"/>
      <c r="BR51" s="576"/>
      <c r="BS51" s="576"/>
      <c r="BT51" s="576"/>
      <c r="BU51" s="576"/>
      <c r="BV51" s="576"/>
      <c r="BW51" s="576"/>
      <c r="BX51" s="576"/>
      <c r="BY51" s="576"/>
      <c r="BZ51" s="576"/>
      <c r="CA51" s="576"/>
      <c r="CB51" s="576"/>
      <c r="CC51" s="576"/>
      <c r="CD51" s="576"/>
      <c r="CE51" s="576"/>
      <c r="CF51" s="576"/>
      <c r="CG51" s="576"/>
      <c r="CH51" s="576"/>
      <c r="CI51" s="570"/>
      <c r="CK51" s="1293"/>
    </row>
    <row r="52" spans="1:89" s="1292" customFormat="1" ht="28.5" x14ac:dyDescent="0.2">
      <c r="A52" s="1284"/>
      <c r="B52" s="563" t="s">
        <v>507</v>
      </c>
      <c r="C52" s="571" t="s">
        <v>238</v>
      </c>
      <c r="D52" s="572" t="s">
        <v>508</v>
      </c>
      <c r="E52" s="573" t="s">
        <v>239</v>
      </c>
      <c r="F52" s="574">
        <v>1</v>
      </c>
      <c r="G52" s="575" t="e">
        <f>(((G46-G57)+(G47-G58))*1000000)/((G79+G80)*1000)</f>
        <v>#DIV/0!</v>
      </c>
      <c r="H52" s="575" t="e">
        <f t="shared" ref="H52:AK52" si="6">(((H46-H57)+(H47-H58))*1000000)/((H79+H80)*1000)</f>
        <v>#DIV/0!</v>
      </c>
      <c r="I52" s="575">
        <f t="shared" si="6"/>
        <v>147.18851140604153</v>
      </c>
      <c r="J52" s="575">
        <f t="shared" si="6"/>
        <v>146.68971047634321</v>
      </c>
      <c r="K52" s="575">
        <f t="shared" si="6"/>
        <v>143.71574028226058</v>
      </c>
      <c r="L52" s="575">
        <f t="shared" si="6"/>
        <v>138.42261327044469</v>
      </c>
      <c r="M52" s="576">
        <f t="shared" si="6"/>
        <v>135.75065345160957</v>
      </c>
      <c r="N52" s="576">
        <f t="shared" si="6"/>
        <v>134.68067284680532</v>
      </c>
      <c r="O52" s="576">
        <f t="shared" si="6"/>
        <v>134.04488148612145</v>
      </c>
      <c r="P52" s="576">
        <f t="shared" si="6"/>
        <v>133.44805436359266</v>
      </c>
      <c r="Q52" s="576">
        <f t="shared" si="6"/>
        <v>132.89299701991501</v>
      </c>
      <c r="R52" s="576">
        <f t="shared" si="6"/>
        <v>132.50659791226138</v>
      </c>
      <c r="S52" s="576">
        <f t="shared" si="6"/>
        <v>132.31012141221998</v>
      </c>
      <c r="T52" s="576">
        <f t="shared" si="6"/>
        <v>132.1401289864213</v>
      </c>
      <c r="U52" s="576">
        <f t="shared" si="6"/>
        <v>131.96215129505609</v>
      </c>
      <c r="V52" s="576">
        <f t="shared" si="6"/>
        <v>131.79832142846851</v>
      </c>
      <c r="W52" s="576">
        <f t="shared" si="6"/>
        <v>131.63978235643353</v>
      </c>
      <c r="X52" s="576">
        <f t="shared" si="6"/>
        <v>131.52044698247028</v>
      </c>
      <c r="Y52" s="576">
        <f t="shared" si="6"/>
        <v>131.4055472477794</v>
      </c>
      <c r="Z52" s="576">
        <f t="shared" si="6"/>
        <v>131.31566342215859</v>
      </c>
      <c r="AA52" s="576">
        <f t="shared" si="6"/>
        <v>131.2076804273909</v>
      </c>
      <c r="AB52" s="576">
        <f t="shared" si="6"/>
        <v>130.96481876211254</v>
      </c>
      <c r="AC52" s="576">
        <f t="shared" si="6"/>
        <v>130.85161045488456</v>
      </c>
      <c r="AD52" s="576">
        <f t="shared" si="6"/>
        <v>130.7787260251155</v>
      </c>
      <c r="AE52" s="576">
        <f t="shared" si="6"/>
        <v>130.71459893420476</v>
      </c>
      <c r="AF52" s="576">
        <f t="shared" si="6"/>
        <v>130.65471113901248</v>
      </c>
      <c r="AG52" s="576">
        <f t="shared" si="6"/>
        <v>130.59056654246518</v>
      </c>
      <c r="AH52" s="576">
        <f t="shared" si="6"/>
        <v>130.55883795989365</v>
      </c>
      <c r="AI52" s="576">
        <f t="shared" si="6"/>
        <v>130.51207060260614</v>
      </c>
      <c r="AJ52" s="576">
        <f t="shared" si="6"/>
        <v>130.46296900235967</v>
      </c>
      <c r="AK52" s="576">
        <f t="shared" si="6"/>
        <v>130.3943463028923</v>
      </c>
      <c r="AL52" s="576"/>
      <c r="AM52" s="576"/>
      <c r="AN52" s="576"/>
      <c r="AO52" s="576"/>
      <c r="AP52" s="576"/>
      <c r="AQ52" s="576"/>
      <c r="AR52" s="576"/>
      <c r="AS52" s="576"/>
      <c r="AT52" s="576"/>
      <c r="AU52" s="576"/>
      <c r="AV52" s="576"/>
      <c r="AW52" s="576"/>
      <c r="AX52" s="576"/>
      <c r="AY52" s="576"/>
      <c r="AZ52" s="576"/>
      <c r="BA52" s="576"/>
      <c r="BB52" s="576"/>
      <c r="BC52" s="576"/>
      <c r="BD52" s="576"/>
      <c r="BE52" s="576"/>
      <c r="BF52" s="576"/>
      <c r="BG52" s="576"/>
      <c r="BH52" s="576"/>
      <c r="BI52" s="576"/>
      <c r="BJ52" s="576"/>
      <c r="BK52" s="576"/>
      <c r="BL52" s="576"/>
      <c r="BM52" s="576"/>
      <c r="BN52" s="576"/>
      <c r="BO52" s="576"/>
      <c r="BP52" s="576"/>
      <c r="BQ52" s="576"/>
      <c r="BR52" s="576"/>
      <c r="BS52" s="576"/>
      <c r="BT52" s="576"/>
      <c r="BU52" s="576"/>
      <c r="BV52" s="576"/>
      <c r="BW52" s="576"/>
      <c r="BX52" s="576"/>
      <c r="BY52" s="576"/>
      <c r="BZ52" s="576"/>
      <c r="CA52" s="576"/>
      <c r="CB52" s="576"/>
      <c r="CC52" s="576"/>
      <c r="CD52" s="576"/>
      <c r="CE52" s="576"/>
      <c r="CF52" s="576"/>
      <c r="CG52" s="576"/>
      <c r="CH52" s="576"/>
      <c r="CI52" s="570"/>
      <c r="CK52" s="1293"/>
    </row>
    <row r="53" spans="1:89" s="1292" customFormat="1" x14ac:dyDescent="0.2">
      <c r="A53" s="1284"/>
      <c r="B53" s="563" t="s">
        <v>509</v>
      </c>
      <c r="C53" s="571" t="s">
        <v>510</v>
      </c>
      <c r="D53" s="572" t="s">
        <v>86</v>
      </c>
      <c r="E53" s="573" t="s">
        <v>236</v>
      </c>
      <c r="F53" s="574">
        <v>2</v>
      </c>
      <c r="G53" s="540"/>
      <c r="H53" s="540"/>
      <c r="I53" s="540">
        <v>0.12522906351860397</v>
      </c>
      <c r="J53" s="540">
        <v>0.1245522987868988</v>
      </c>
      <c r="K53" s="540">
        <v>0.1245263084426773</v>
      </c>
      <c r="L53" s="540">
        <v>0.12452459964281626</v>
      </c>
      <c r="M53" s="541">
        <v>0.12452218415256137</v>
      </c>
      <c r="N53" s="541">
        <v>0.12434505437319208</v>
      </c>
      <c r="O53" s="541">
        <v>0.12422358150949511</v>
      </c>
      <c r="P53" s="541">
        <v>0.12411280893845038</v>
      </c>
      <c r="Q53" s="541">
        <v>0.12401750294161337</v>
      </c>
      <c r="R53" s="541">
        <v>0.12393632815440986</v>
      </c>
      <c r="S53" s="541">
        <v>0.12387098468315436</v>
      </c>
      <c r="T53" s="541">
        <v>0.12381013263757026</v>
      </c>
      <c r="U53" s="541">
        <v>0.1237503960218351</v>
      </c>
      <c r="V53" s="541">
        <v>0.12369097710203962</v>
      </c>
      <c r="W53" s="541">
        <v>0.1236324580752626</v>
      </c>
      <c r="X53" s="541">
        <v>0.12357566147231844</v>
      </c>
      <c r="Y53" s="541">
        <v>0.12352058863040796</v>
      </c>
      <c r="Z53" s="541">
        <v>0.12346590089449444</v>
      </c>
      <c r="AA53" s="541">
        <v>0.12341184249092127</v>
      </c>
      <c r="AB53" s="541">
        <v>0.1233583798001055</v>
      </c>
      <c r="AC53" s="541">
        <v>0.12330549455361338</v>
      </c>
      <c r="AD53" s="541">
        <v>0.12325354549054469</v>
      </c>
      <c r="AE53" s="541">
        <v>0.12320268374351225</v>
      </c>
      <c r="AF53" s="541">
        <v>0.1231527881865952</v>
      </c>
      <c r="AG53" s="541">
        <v>0.12310348422815821</v>
      </c>
      <c r="AH53" s="541">
        <v>0.12305478955865763</v>
      </c>
      <c r="AI53" s="541">
        <v>0.12300637266729125</v>
      </c>
      <c r="AJ53" s="541">
        <v>0.12295800465927295</v>
      </c>
      <c r="AK53" s="541">
        <v>0.12290975874711772</v>
      </c>
      <c r="AL53" s="541"/>
      <c r="AM53" s="541"/>
      <c r="AN53" s="541"/>
      <c r="AO53" s="541"/>
      <c r="AP53" s="541"/>
      <c r="AQ53" s="541"/>
      <c r="AR53" s="541"/>
      <c r="AS53" s="541"/>
      <c r="AT53" s="541"/>
      <c r="AU53" s="541"/>
      <c r="AV53" s="541"/>
      <c r="AW53" s="541"/>
      <c r="AX53" s="541"/>
      <c r="AY53" s="541"/>
      <c r="AZ53" s="541"/>
      <c r="BA53" s="541"/>
      <c r="BB53" s="541"/>
      <c r="BC53" s="541"/>
      <c r="BD53" s="541"/>
      <c r="BE53" s="541"/>
      <c r="BF53" s="541"/>
      <c r="BG53" s="541"/>
      <c r="BH53" s="541"/>
      <c r="BI53" s="541"/>
      <c r="BJ53" s="541"/>
      <c r="BK53" s="541"/>
      <c r="BL53" s="541"/>
      <c r="BM53" s="541"/>
      <c r="BN53" s="541"/>
      <c r="BO53" s="541"/>
      <c r="BP53" s="541"/>
      <c r="BQ53" s="541"/>
      <c r="BR53" s="541"/>
      <c r="BS53" s="541"/>
      <c r="BT53" s="541"/>
      <c r="BU53" s="541"/>
      <c r="BV53" s="541"/>
      <c r="BW53" s="541"/>
      <c r="BX53" s="541"/>
      <c r="BY53" s="541"/>
      <c r="BZ53" s="541"/>
      <c r="CA53" s="541"/>
      <c r="CB53" s="541"/>
      <c r="CC53" s="541"/>
      <c r="CD53" s="541"/>
      <c r="CE53" s="541"/>
      <c r="CF53" s="541"/>
      <c r="CG53" s="541"/>
      <c r="CH53" s="541"/>
      <c r="CI53" s="542"/>
      <c r="CK53" s="1293"/>
    </row>
    <row r="54" spans="1:89" s="1292" customFormat="1" ht="15" thickBot="1" x14ac:dyDescent="0.25">
      <c r="A54" s="1284"/>
      <c r="B54" s="577" t="s">
        <v>511</v>
      </c>
      <c r="C54" s="578" t="s">
        <v>512</v>
      </c>
      <c r="D54" s="579" t="s">
        <v>86</v>
      </c>
      <c r="E54" s="580" t="s">
        <v>236</v>
      </c>
      <c r="F54" s="581">
        <v>2</v>
      </c>
      <c r="G54" s="582"/>
      <c r="H54" s="582"/>
      <c r="I54" s="582">
        <v>7.4262683889618764E-2</v>
      </c>
      <c r="J54" s="582">
        <v>7.4262683889618764E-2</v>
      </c>
      <c r="K54" s="582">
        <v>7.4262683889618764E-2</v>
      </c>
      <c r="L54" s="582">
        <v>7.4262683889618764E-2</v>
      </c>
      <c r="M54" s="583">
        <v>7.4262683889618764E-2</v>
      </c>
      <c r="N54" s="583">
        <v>7.4262683889618764E-2</v>
      </c>
      <c r="O54" s="583">
        <v>7.4262683889618764E-2</v>
      </c>
      <c r="P54" s="583">
        <v>7.4262683889618764E-2</v>
      </c>
      <c r="Q54" s="583">
        <v>7.4262683889618764E-2</v>
      </c>
      <c r="R54" s="583">
        <v>7.4262683889618764E-2</v>
      </c>
      <c r="S54" s="583">
        <v>7.4262683889618764E-2</v>
      </c>
      <c r="T54" s="583">
        <v>7.4262683889618764E-2</v>
      </c>
      <c r="U54" s="583">
        <v>7.4262683889618764E-2</v>
      </c>
      <c r="V54" s="583">
        <v>7.4262683889618764E-2</v>
      </c>
      <c r="W54" s="583">
        <v>7.4262683889618764E-2</v>
      </c>
      <c r="X54" s="583">
        <v>7.4262683889618764E-2</v>
      </c>
      <c r="Y54" s="583">
        <v>7.4262683889618764E-2</v>
      </c>
      <c r="Z54" s="583">
        <v>7.4262683889618764E-2</v>
      </c>
      <c r="AA54" s="583">
        <v>7.4262683889618764E-2</v>
      </c>
      <c r="AB54" s="583">
        <v>7.4262683889618764E-2</v>
      </c>
      <c r="AC54" s="583">
        <v>7.4262683889618764E-2</v>
      </c>
      <c r="AD54" s="583">
        <v>7.4262683889618764E-2</v>
      </c>
      <c r="AE54" s="583">
        <v>7.4262683889618764E-2</v>
      </c>
      <c r="AF54" s="583">
        <v>7.4262683889618764E-2</v>
      </c>
      <c r="AG54" s="583">
        <v>7.4262683889618764E-2</v>
      </c>
      <c r="AH54" s="583">
        <v>7.4262683889618764E-2</v>
      </c>
      <c r="AI54" s="583">
        <v>7.4262683889618764E-2</v>
      </c>
      <c r="AJ54" s="583">
        <v>7.4262683889618764E-2</v>
      </c>
      <c r="AK54" s="583">
        <v>7.4262683889618764E-2</v>
      </c>
      <c r="AL54" s="583"/>
      <c r="AM54" s="583"/>
      <c r="AN54" s="583"/>
      <c r="AO54" s="583"/>
      <c r="AP54" s="583"/>
      <c r="AQ54" s="583"/>
      <c r="AR54" s="583"/>
      <c r="AS54" s="583"/>
      <c r="AT54" s="583"/>
      <c r="AU54" s="583"/>
      <c r="AV54" s="583"/>
      <c r="AW54" s="583"/>
      <c r="AX54" s="583"/>
      <c r="AY54" s="583"/>
      <c r="AZ54" s="583"/>
      <c r="BA54" s="583"/>
      <c r="BB54" s="583"/>
      <c r="BC54" s="583"/>
      <c r="BD54" s="583"/>
      <c r="BE54" s="583"/>
      <c r="BF54" s="583"/>
      <c r="BG54" s="583"/>
      <c r="BH54" s="583"/>
      <c r="BI54" s="583"/>
      <c r="BJ54" s="583"/>
      <c r="BK54" s="583"/>
      <c r="BL54" s="583"/>
      <c r="BM54" s="583"/>
      <c r="BN54" s="583"/>
      <c r="BO54" s="583"/>
      <c r="BP54" s="583"/>
      <c r="BQ54" s="583"/>
      <c r="BR54" s="583"/>
      <c r="BS54" s="583"/>
      <c r="BT54" s="583"/>
      <c r="BU54" s="583"/>
      <c r="BV54" s="583"/>
      <c r="BW54" s="583"/>
      <c r="BX54" s="583"/>
      <c r="BY54" s="583"/>
      <c r="BZ54" s="583"/>
      <c r="CA54" s="583"/>
      <c r="CB54" s="583"/>
      <c r="CC54" s="583"/>
      <c r="CD54" s="583"/>
      <c r="CE54" s="583"/>
      <c r="CF54" s="583"/>
      <c r="CG54" s="583"/>
      <c r="CH54" s="583"/>
      <c r="CI54" s="584"/>
      <c r="CK54" s="1293"/>
    </row>
    <row r="55" spans="1:89" s="1292" customFormat="1" x14ac:dyDescent="0.2">
      <c r="A55" s="1284"/>
      <c r="B55" s="527" t="s">
        <v>513</v>
      </c>
      <c r="C55" s="528" t="s">
        <v>514</v>
      </c>
      <c r="D55" s="529" t="s">
        <v>86</v>
      </c>
      <c r="E55" s="530" t="s">
        <v>236</v>
      </c>
      <c r="F55" s="531">
        <v>2</v>
      </c>
      <c r="G55" s="532"/>
      <c r="H55" s="532"/>
      <c r="I55" s="532">
        <v>6.3157576700386192E-3</v>
      </c>
      <c r="J55" s="532">
        <v>6.5225369249426908E-3</v>
      </c>
      <c r="K55" s="532">
        <v>6.2972537723940273E-3</v>
      </c>
      <c r="L55" s="532">
        <v>6.1478187782822253E-3</v>
      </c>
      <c r="M55" s="533">
        <v>6.2739657884455825E-3</v>
      </c>
      <c r="N55" s="533">
        <v>6.3026297739824013E-3</v>
      </c>
      <c r="O55" s="533">
        <v>6.3312937595192175E-3</v>
      </c>
      <c r="P55" s="533">
        <v>6.3599577450560354E-3</v>
      </c>
      <c r="Q55" s="533">
        <v>6.3886217305928542E-3</v>
      </c>
      <c r="R55" s="533">
        <v>6.4172857161296712E-3</v>
      </c>
      <c r="S55" s="533">
        <v>6.44594970166649E-3</v>
      </c>
      <c r="T55" s="533">
        <v>6.474613687203307E-3</v>
      </c>
      <c r="U55" s="533">
        <v>6.503277672740124E-3</v>
      </c>
      <c r="V55" s="533">
        <v>6.5319416582769419E-3</v>
      </c>
      <c r="W55" s="533">
        <v>6.5606056438137599E-3</v>
      </c>
      <c r="X55" s="533">
        <v>6.5892696293505786E-3</v>
      </c>
      <c r="Y55" s="533">
        <v>6.6179336148873948E-3</v>
      </c>
      <c r="Z55" s="533">
        <v>6.6465976004242144E-3</v>
      </c>
      <c r="AA55" s="533">
        <v>6.6752615859610297E-3</v>
      </c>
      <c r="AB55" s="533">
        <v>6.7039255714978485E-3</v>
      </c>
      <c r="AC55" s="533">
        <v>6.7325895570346664E-3</v>
      </c>
      <c r="AD55" s="533">
        <v>6.7612535425714843E-3</v>
      </c>
      <c r="AE55" s="533">
        <v>6.7899175281083022E-3</v>
      </c>
      <c r="AF55" s="533">
        <v>6.8185815136451184E-3</v>
      </c>
      <c r="AG55" s="533">
        <v>6.8472454991819372E-3</v>
      </c>
      <c r="AH55" s="533">
        <v>6.8759094847187542E-3</v>
      </c>
      <c r="AI55" s="533">
        <v>6.904573470255573E-3</v>
      </c>
      <c r="AJ55" s="533">
        <v>6.9332374557923909E-3</v>
      </c>
      <c r="AK55" s="533">
        <v>6.9619014413292079E-3</v>
      </c>
      <c r="AL55" s="533"/>
      <c r="AM55" s="533"/>
      <c r="AN55" s="533"/>
      <c r="AO55" s="533"/>
      <c r="AP55" s="533"/>
      <c r="AQ55" s="533"/>
      <c r="AR55" s="533"/>
      <c r="AS55" s="533"/>
      <c r="AT55" s="533"/>
      <c r="AU55" s="533"/>
      <c r="AV55" s="533"/>
      <c r="AW55" s="533"/>
      <c r="AX55" s="533"/>
      <c r="AY55" s="533"/>
      <c r="AZ55" s="533"/>
      <c r="BA55" s="533"/>
      <c r="BB55" s="533"/>
      <c r="BC55" s="533"/>
      <c r="BD55" s="533"/>
      <c r="BE55" s="533"/>
      <c r="BF55" s="533"/>
      <c r="BG55" s="533"/>
      <c r="BH55" s="533"/>
      <c r="BI55" s="533"/>
      <c r="BJ55" s="533"/>
      <c r="BK55" s="533"/>
      <c r="BL55" s="533"/>
      <c r="BM55" s="533"/>
      <c r="BN55" s="533"/>
      <c r="BO55" s="533"/>
      <c r="BP55" s="533"/>
      <c r="BQ55" s="533"/>
      <c r="BR55" s="533"/>
      <c r="BS55" s="533"/>
      <c r="BT55" s="533"/>
      <c r="BU55" s="533"/>
      <c r="BV55" s="533"/>
      <c r="BW55" s="533"/>
      <c r="BX55" s="533"/>
      <c r="BY55" s="533"/>
      <c r="BZ55" s="533"/>
      <c r="CA55" s="533"/>
      <c r="CB55" s="533"/>
      <c r="CC55" s="533"/>
      <c r="CD55" s="533"/>
      <c r="CE55" s="533"/>
      <c r="CF55" s="533"/>
      <c r="CG55" s="533"/>
      <c r="CH55" s="533"/>
      <c r="CI55" s="534"/>
      <c r="CK55" s="1293"/>
    </row>
    <row r="56" spans="1:89" s="1292" customFormat="1" x14ac:dyDescent="0.2">
      <c r="A56" s="1284"/>
      <c r="B56" s="543" t="s">
        <v>515</v>
      </c>
      <c r="C56" s="546" t="s">
        <v>516</v>
      </c>
      <c r="D56" s="537" t="s">
        <v>86</v>
      </c>
      <c r="E56" s="538" t="s">
        <v>236</v>
      </c>
      <c r="F56" s="539">
        <v>2</v>
      </c>
      <c r="G56" s="540"/>
      <c r="H56" s="540"/>
      <c r="I56" s="540">
        <v>3.7140729970184004E-4</v>
      </c>
      <c r="J56" s="540">
        <v>3.5081948118730337E-4</v>
      </c>
      <c r="K56" s="540">
        <v>3.3556700859056033E-4</v>
      </c>
      <c r="L56" s="540">
        <v>1.9966104451892499E-4</v>
      </c>
      <c r="M56" s="544">
        <v>1.1023275223021011E-4</v>
      </c>
      <c r="N56" s="544">
        <v>1.0813826071479317E-4</v>
      </c>
      <c r="O56" s="544">
        <v>1.0604376919937621E-4</v>
      </c>
      <c r="P56" s="544">
        <v>1.0394927768395922E-4</v>
      </c>
      <c r="Q56" s="544">
        <v>1.0185478616854227E-4</v>
      </c>
      <c r="R56" s="544">
        <v>9.9760294653125311E-5</v>
      </c>
      <c r="S56" s="544">
        <v>9.7665803137708337E-5</v>
      </c>
      <c r="T56" s="544">
        <v>9.5571311622291377E-5</v>
      </c>
      <c r="U56" s="544">
        <v>9.3476820106874417E-5</v>
      </c>
      <c r="V56" s="544">
        <v>9.3476820106874417E-5</v>
      </c>
      <c r="W56" s="544">
        <v>9.3476820106874417E-5</v>
      </c>
      <c r="X56" s="544">
        <v>9.3476820106874417E-5</v>
      </c>
      <c r="Y56" s="544">
        <v>9.3476820106874417E-5</v>
      </c>
      <c r="Z56" s="544">
        <v>9.3476820106874417E-5</v>
      </c>
      <c r="AA56" s="544">
        <v>9.3476820106874417E-5</v>
      </c>
      <c r="AB56" s="544">
        <v>9.3476820106874417E-5</v>
      </c>
      <c r="AC56" s="544">
        <v>9.3476820106874417E-5</v>
      </c>
      <c r="AD56" s="544">
        <v>9.3476820106874417E-5</v>
      </c>
      <c r="AE56" s="544">
        <v>9.3476820106874417E-5</v>
      </c>
      <c r="AF56" s="544">
        <v>9.3476820106874417E-5</v>
      </c>
      <c r="AG56" s="544">
        <v>9.3476820106874417E-5</v>
      </c>
      <c r="AH56" s="544">
        <v>9.3476820106874417E-5</v>
      </c>
      <c r="AI56" s="544">
        <v>9.3476820106874417E-5</v>
      </c>
      <c r="AJ56" s="544">
        <v>9.3476820106874417E-5</v>
      </c>
      <c r="AK56" s="544">
        <v>9.3476820106874417E-5</v>
      </c>
      <c r="AL56" s="544"/>
      <c r="AM56" s="544"/>
      <c r="AN56" s="544"/>
      <c r="AO56" s="544"/>
      <c r="AP56" s="544"/>
      <c r="AQ56" s="544"/>
      <c r="AR56" s="544"/>
      <c r="AS56" s="544"/>
      <c r="AT56" s="544"/>
      <c r="AU56" s="544"/>
      <c r="AV56" s="544"/>
      <c r="AW56" s="544"/>
      <c r="AX56" s="544"/>
      <c r="AY56" s="544"/>
      <c r="AZ56" s="544"/>
      <c r="BA56" s="544"/>
      <c r="BB56" s="544"/>
      <c r="BC56" s="544"/>
      <c r="BD56" s="544"/>
      <c r="BE56" s="544"/>
      <c r="BF56" s="544"/>
      <c r="BG56" s="544"/>
      <c r="BH56" s="544"/>
      <c r="BI56" s="544"/>
      <c r="BJ56" s="544"/>
      <c r="BK56" s="544"/>
      <c r="BL56" s="544"/>
      <c r="BM56" s="544"/>
      <c r="BN56" s="544"/>
      <c r="BO56" s="544"/>
      <c r="BP56" s="544"/>
      <c r="BQ56" s="544"/>
      <c r="BR56" s="544"/>
      <c r="BS56" s="544"/>
      <c r="BT56" s="544"/>
      <c r="BU56" s="544"/>
      <c r="BV56" s="544"/>
      <c r="BW56" s="544"/>
      <c r="BX56" s="544"/>
      <c r="BY56" s="544"/>
      <c r="BZ56" s="544"/>
      <c r="CA56" s="544"/>
      <c r="CB56" s="544"/>
      <c r="CC56" s="544"/>
      <c r="CD56" s="544"/>
      <c r="CE56" s="544"/>
      <c r="CF56" s="544"/>
      <c r="CG56" s="544"/>
      <c r="CH56" s="544"/>
      <c r="CI56" s="545"/>
      <c r="CK56" s="1293"/>
    </row>
    <row r="57" spans="1:89" s="1292" customFormat="1" x14ac:dyDescent="0.2">
      <c r="A57" s="1284"/>
      <c r="B57" s="543" t="s">
        <v>517</v>
      </c>
      <c r="C57" s="546" t="s">
        <v>518</v>
      </c>
      <c r="D57" s="537" t="s">
        <v>86</v>
      </c>
      <c r="E57" s="538" t="s">
        <v>236</v>
      </c>
      <c r="F57" s="539">
        <v>2</v>
      </c>
      <c r="G57" s="540"/>
      <c r="H57" s="540"/>
      <c r="I57" s="540">
        <v>5.1997636166684347E-2</v>
      </c>
      <c r="J57" s="540">
        <v>5.1638140472616272E-2</v>
      </c>
      <c r="K57" s="540">
        <v>5.0221067909508789E-2</v>
      </c>
      <c r="L57" s="540">
        <v>5.1152275254813445E-2</v>
      </c>
      <c r="M57" s="544">
        <v>5.6266389641954594E-2</v>
      </c>
      <c r="N57" s="544">
        <v>5.9791137451679022E-2</v>
      </c>
      <c r="O57" s="544">
        <v>6.1538847031309594E-2</v>
      </c>
      <c r="P57" s="544">
        <v>6.3160962909942664E-2</v>
      </c>
      <c r="Q57" s="544">
        <v>6.4600756320166208E-2</v>
      </c>
      <c r="R57" s="544">
        <v>6.5674889319506213E-2</v>
      </c>
      <c r="S57" s="544">
        <v>6.6363349640268895E-2</v>
      </c>
      <c r="T57" s="544">
        <v>6.6999066674307883E-2</v>
      </c>
      <c r="U57" s="544">
        <v>6.7621709648431519E-2</v>
      </c>
      <c r="V57" s="544">
        <v>6.8237568626985975E-2</v>
      </c>
      <c r="W57" s="544">
        <v>6.8842882079252696E-2</v>
      </c>
      <c r="X57" s="544">
        <v>6.9427978872837304E-2</v>
      </c>
      <c r="Y57" s="544">
        <v>6.9992839811579027E-2</v>
      </c>
      <c r="Z57" s="544">
        <v>7.0553198917528009E-2</v>
      </c>
      <c r="AA57" s="544">
        <v>7.1102805273738648E-2</v>
      </c>
      <c r="AB57" s="544">
        <v>7.1645432270766918E-2</v>
      </c>
      <c r="AC57" s="544">
        <v>7.2181293375454286E-2</v>
      </c>
      <c r="AD57" s="544">
        <v>7.2706169287221678E-2</v>
      </c>
      <c r="AE57" s="544">
        <v>7.3218281235474081E-2</v>
      </c>
      <c r="AF57" s="544">
        <v>7.3719051721430298E-2</v>
      </c>
      <c r="AG57" s="544">
        <v>7.4212884113646987E-2</v>
      </c>
      <c r="AH57" s="544">
        <v>7.4699569344514799E-2</v>
      </c>
      <c r="AI57" s="544">
        <v>7.518300499799753E-2</v>
      </c>
      <c r="AJ57" s="544">
        <v>7.5665882401841966E-2</v>
      </c>
      <c r="AK57" s="544">
        <v>7.6147340208382097E-2</v>
      </c>
      <c r="AL57" s="544"/>
      <c r="AM57" s="544"/>
      <c r="AN57" s="544"/>
      <c r="AO57" s="544"/>
      <c r="AP57" s="544"/>
      <c r="AQ57" s="544"/>
      <c r="AR57" s="544"/>
      <c r="AS57" s="544"/>
      <c r="AT57" s="544"/>
      <c r="AU57" s="544"/>
      <c r="AV57" s="544"/>
      <c r="AW57" s="544"/>
      <c r="AX57" s="544"/>
      <c r="AY57" s="544"/>
      <c r="AZ57" s="544"/>
      <c r="BA57" s="544"/>
      <c r="BB57" s="544"/>
      <c r="BC57" s="544"/>
      <c r="BD57" s="544"/>
      <c r="BE57" s="544"/>
      <c r="BF57" s="544"/>
      <c r="BG57" s="544"/>
      <c r="BH57" s="544"/>
      <c r="BI57" s="544"/>
      <c r="BJ57" s="544"/>
      <c r="BK57" s="544"/>
      <c r="BL57" s="544"/>
      <c r="BM57" s="544"/>
      <c r="BN57" s="544"/>
      <c r="BO57" s="544"/>
      <c r="BP57" s="544"/>
      <c r="BQ57" s="544"/>
      <c r="BR57" s="544"/>
      <c r="BS57" s="544"/>
      <c r="BT57" s="544"/>
      <c r="BU57" s="544"/>
      <c r="BV57" s="544"/>
      <c r="BW57" s="544"/>
      <c r="BX57" s="544"/>
      <c r="BY57" s="544"/>
      <c r="BZ57" s="544"/>
      <c r="CA57" s="544"/>
      <c r="CB57" s="544"/>
      <c r="CC57" s="544"/>
      <c r="CD57" s="544"/>
      <c r="CE57" s="544"/>
      <c r="CF57" s="544"/>
      <c r="CG57" s="544"/>
      <c r="CH57" s="544"/>
      <c r="CI57" s="545"/>
      <c r="CK57" s="1293"/>
    </row>
    <row r="58" spans="1:89" s="1292" customFormat="1" x14ac:dyDescent="0.2">
      <c r="A58" s="1284"/>
      <c r="B58" s="543" t="s">
        <v>519</v>
      </c>
      <c r="C58" s="546" t="s">
        <v>520</v>
      </c>
      <c r="D58" s="537" t="s">
        <v>86</v>
      </c>
      <c r="E58" s="538" t="s">
        <v>236</v>
      </c>
      <c r="F58" s="539">
        <v>2</v>
      </c>
      <c r="G58" s="540"/>
      <c r="H58" s="540"/>
      <c r="I58" s="540">
        <v>5.0719380847283273E-2</v>
      </c>
      <c r="J58" s="540">
        <v>4.8171510027997314E-2</v>
      </c>
      <c r="K58" s="540">
        <v>4.5612512091973402E-2</v>
      </c>
      <c r="L58" s="540">
        <v>3.952824767353013E-2</v>
      </c>
      <c r="M58" s="544">
        <v>3.269250479111508E-2</v>
      </c>
      <c r="N58" s="544">
        <v>2.927358074667712E-2</v>
      </c>
      <c r="O58" s="544">
        <v>2.8311937646715146E-2</v>
      </c>
      <c r="P58" s="544">
        <v>2.7350294546753175E-2</v>
      </c>
      <c r="Q58" s="544">
        <v>2.6388651446791197E-2</v>
      </c>
      <c r="R58" s="544">
        <v>2.5870102689164273E-2</v>
      </c>
      <c r="S58" s="544">
        <v>2.5794648273872404E-2</v>
      </c>
      <c r="T58" s="544">
        <v>2.5719193858580534E-2</v>
      </c>
      <c r="U58" s="544">
        <v>2.5643739443288661E-2</v>
      </c>
      <c r="V58" s="544">
        <v>2.5568285027996792E-2</v>
      </c>
      <c r="W58" s="544">
        <v>2.5492830612704923E-2</v>
      </c>
      <c r="X58" s="544">
        <v>2.541737619741305E-2</v>
      </c>
      <c r="Y58" s="544">
        <v>2.534192178212118E-2</v>
      </c>
      <c r="Z58" s="544">
        <v>2.5266467366829311E-2</v>
      </c>
      <c r="AA58" s="544">
        <v>2.5191012951537438E-2</v>
      </c>
      <c r="AB58" s="544">
        <v>2.5115558536245568E-2</v>
      </c>
      <c r="AC58" s="544">
        <v>2.5040104120953696E-2</v>
      </c>
      <c r="AD58" s="544">
        <v>2.496464970566183E-2</v>
      </c>
      <c r="AE58" s="544">
        <v>2.4889195290369957E-2</v>
      </c>
      <c r="AF58" s="544">
        <v>2.4813740875078084E-2</v>
      </c>
      <c r="AG58" s="544">
        <v>2.4738286459786218E-2</v>
      </c>
      <c r="AH58" s="544">
        <v>2.4662832044494345E-2</v>
      </c>
      <c r="AI58" s="544">
        <v>2.4587377629202475E-2</v>
      </c>
      <c r="AJ58" s="544">
        <v>2.4511923213910602E-2</v>
      </c>
      <c r="AK58" s="544">
        <v>2.4436468798618733E-2</v>
      </c>
      <c r="AL58" s="544"/>
      <c r="AM58" s="544"/>
      <c r="AN58" s="544"/>
      <c r="AO58" s="544"/>
      <c r="AP58" s="544"/>
      <c r="AQ58" s="544"/>
      <c r="AR58" s="544"/>
      <c r="AS58" s="544"/>
      <c r="AT58" s="544"/>
      <c r="AU58" s="544"/>
      <c r="AV58" s="544"/>
      <c r="AW58" s="544"/>
      <c r="AX58" s="544"/>
      <c r="AY58" s="544"/>
      <c r="AZ58" s="544"/>
      <c r="BA58" s="544"/>
      <c r="BB58" s="544"/>
      <c r="BC58" s="544"/>
      <c r="BD58" s="544"/>
      <c r="BE58" s="544"/>
      <c r="BF58" s="544"/>
      <c r="BG58" s="544"/>
      <c r="BH58" s="544"/>
      <c r="BI58" s="544"/>
      <c r="BJ58" s="544"/>
      <c r="BK58" s="544"/>
      <c r="BL58" s="544"/>
      <c r="BM58" s="544"/>
      <c r="BN58" s="544"/>
      <c r="BO58" s="544"/>
      <c r="BP58" s="544"/>
      <c r="BQ58" s="544"/>
      <c r="BR58" s="544"/>
      <c r="BS58" s="544"/>
      <c r="BT58" s="544"/>
      <c r="BU58" s="544"/>
      <c r="BV58" s="544"/>
      <c r="BW58" s="544"/>
      <c r="BX58" s="544"/>
      <c r="BY58" s="544"/>
      <c r="BZ58" s="544"/>
      <c r="CA58" s="544"/>
      <c r="CB58" s="544"/>
      <c r="CC58" s="544"/>
      <c r="CD58" s="544"/>
      <c r="CE58" s="544"/>
      <c r="CF58" s="544"/>
      <c r="CG58" s="544"/>
      <c r="CH58" s="544"/>
      <c r="CI58" s="545"/>
      <c r="CK58" s="1293"/>
    </row>
    <row r="59" spans="1:89" s="1292" customFormat="1" x14ac:dyDescent="0.2">
      <c r="A59" s="1284"/>
      <c r="B59" s="543" t="s">
        <v>521</v>
      </c>
      <c r="C59" s="546" t="s">
        <v>522</v>
      </c>
      <c r="D59" s="537" t="s">
        <v>86</v>
      </c>
      <c r="E59" s="538" t="s">
        <v>236</v>
      </c>
      <c r="F59" s="539">
        <v>2</v>
      </c>
      <c r="G59" s="540"/>
      <c r="H59" s="540"/>
      <c r="I59" s="540">
        <v>6.209930051014766E-3</v>
      </c>
      <c r="J59" s="540">
        <v>6.8866947827199492E-3</v>
      </c>
      <c r="K59" s="540">
        <v>6.9126851269414487E-3</v>
      </c>
      <c r="L59" s="540">
        <v>6.914393926802492E-3</v>
      </c>
      <c r="M59" s="544">
        <v>6.9168094170573664E-3</v>
      </c>
      <c r="N59" s="544">
        <v>7.0939391964266645E-3</v>
      </c>
      <c r="O59" s="544">
        <v>7.2154120601236387E-3</v>
      </c>
      <c r="P59" s="544">
        <v>7.3261846311683653E-3</v>
      </c>
      <c r="Q59" s="544">
        <v>7.4214906280053684E-3</v>
      </c>
      <c r="R59" s="544">
        <v>7.5026654152088833E-3</v>
      </c>
      <c r="S59" s="544">
        <v>7.5680088864643865E-3</v>
      </c>
      <c r="T59" s="544">
        <v>7.6288609320484873E-3</v>
      </c>
      <c r="U59" s="544">
        <v>7.6885975477836502E-3</v>
      </c>
      <c r="V59" s="544">
        <v>7.7480164675791299E-3</v>
      </c>
      <c r="W59" s="544">
        <v>7.8065354943561375E-3</v>
      </c>
      <c r="X59" s="544">
        <v>7.8633320973003004E-3</v>
      </c>
      <c r="Y59" s="544">
        <v>7.9184049392107807E-3</v>
      </c>
      <c r="Z59" s="544">
        <v>7.9730926751243013E-3</v>
      </c>
      <c r="AA59" s="544">
        <v>8.0271510786974719E-3</v>
      </c>
      <c r="AB59" s="544">
        <v>8.0806137695132504E-3</v>
      </c>
      <c r="AC59" s="544">
        <v>8.1334990160053678E-3</v>
      </c>
      <c r="AD59" s="544">
        <v>8.1854480790740491E-3</v>
      </c>
      <c r="AE59" s="544">
        <v>8.2363098261065051E-3</v>
      </c>
      <c r="AF59" s="544">
        <v>8.2862053830235431E-3</v>
      </c>
      <c r="AG59" s="544">
        <v>8.3355093414605348E-3</v>
      </c>
      <c r="AH59" s="544">
        <v>8.3842040109611098E-3</v>
      </c>
      <c r="AI59" s="544">
        <v>8.4326209023274888E-3</v>
      </c>
      <c r="AJ59" s="544">
        <v>8.4809889103457936E-3</v>
      </c>
      <c r="AK59" s="544">
        <v>8.5292348225010188E-3</v>
      </c>
      <c r="AL59" s="544"/>
      <c r="AM59" s="544"/>
      <c r="AN59" s="544"/>
      <c r="AO59" s="544"/>
      <c r="AP59" s="544"/>
      <c r="AQ59" s="544"/>
      <c r="AR59" s="544"/>
      <c r="AS59" s="544"/>
      <c r="AT59" s="544"/>
      <c r="AU59" s="544"/>
      <c r="AV59" s="544"/>
      <c r="AW59" s="544"/>
      <c r="AX59" s="544"/>
      <c r="AY59" s="544"/>
      <c r="AZ59" s="544"/>
      <c r="BA59" s="544"/>
      <c r="BB59" s="544"/>
      <c r="BC59" s="544"/>
      <c r="BD59" s="544"/>
      <c r="BE59" s="544"/>
      <c r="BF59" s="544"/>
      <c r="BG59" s="544"/>
      <c r="BH59" s="544"/>
      <c r="BI59" s="544"/>
      <c r="BJ59" s="544"/>
      <c r="BK59" s="544"/>
      <c r="BL59" s="544"/>
      <c r="BM59" s="544"/>
      <c r="BN59" s="544"/>
      <c r="BO59" s="544"/>
      <c r="BP59" s="544"/>
      <c r="BQ59" s="544"/>
      <c r="BR59" s="544"/>
      <c r="BS59" s="544"/>
      <c r="BT59" s="544"/>
      <c r="BU59" s="544"/>
      <c r="BV59" s="544"/>
      <c r="BW59" s="544"/>
      <c r="BX59" s="544"/>
      <c r="BY59" s="544"/>
      <c r="BZ59" s="544"/>
      <c r="CA59" s="544"/>
      <c r="CB59" s="544"/>
      <c r="CC59" s="544"/>
      <c r="CD59" s="544"/>
      <c r="CE59" s="544"/>
      <c r="CF59" s="544"/>
      <c r="CG59" s="544"/>
      <c r="CH59" s="544"/>
      <c r="CI59" s="545"/>
      <c r="CK59" s="1293"/>
    </row>
    <row r="60" spans="1:89" s="1292" customFormat="1" x14ac:dyDescent="0.2">
      <c r="A60" s="1284"/>
      <c r="B60" s="543" t="s">
        <v>523</v>
      </c>
      <c r="C60" s="536" t="s">
        <v>524</v>
      </c>
      <c r="D60" s="537" t="s">
        <v>86</v>
      </c>
      <c r="E60" s="538" t="s">
        <v>236</v>
      </c>
      <c r="F60" s="539">
        <v>2</v>
      </c>
      <c r="G60" s="540"/>
      <c r="H60" s="540"/>
      <c r="I60" s="540">
        <v>1.2054368063652769</v>
      </c>
      <c r="J60" s="540">
        <v>0.69755089831053629</v>
      </c>
      <c r="K60" s="540">
        <v>0.67002171409059152</v>
      </c>
      <c r="L60" s="540">
        <v>0.64373860332205268</v>
      </c>
      <c r="M60" s="544">
        <v>0.64542109760919708</v>
      </c>
      <c r="N60" s="544">
        <v>0.64511157457051993</v>
      </c>
      <c r="O60" s="544">
        <v>0.64417746573313295</v>
      </c>
      <c r="P60" s="544">
        <v>0.64337965088939575</v>
      </c>
      <c r="Q60" s="544">
        <v>0.6427796250882758</v>
      </c>
      <c r="R60" s="544">
        <v>0.64211629656533775</v>
      </c>
      <c r="S60" s="544">
        <v>0.64141137769459</v>
      </c>
      <c r="T60" s="544">
        <v>0.64076369353623741</v>
      </c>
      <c r="U60" s="544">
        <v>0.6401301988676491</v>
      </c>
      <c r="V60" s="544">
        <v>0.63950171139905421</v>
      </c>
      <c r="W60" s="544">
        <v>0.63888466934976551</v>
      </c>
      <c r="X60" s="544">
        <v>0.63828956638299184</v>
      </c>
      <c r="Y60" s="544">
        <v>0.63771642303209464</v>
      </c>
      <c r="Z60" s="544">
        <v>0.63714816661998719</v>
      </c>
      <c r="AA60" s="544">
        <v>0.63659129228995848</v>
      </c>
      <c r="AB60" s="544">
        <v>0.63604199303186948</v>
      </c>
      <c r="AC60" s="544">
        <v>0.635500037110445</v>
      </c>
      <c r="AD60" s="544">
        <v>0.63497000256536396</v>
      </c>
      <c r="AE60" s="544">
        <v>0.63445381929983424</v>
      </c>
      <c r="AF60" s="544">
        <v>0.63394994368671598</v>
      </c>
      <c r="AG60" s="544">
        <v>0.63345359776581733</v>
      </c>
      <c r="AH60" s="544">
        <v>0.63296500829520408</v>
      </c>
      <c r="AI60" s="544">
        <v>0.63247994618010994</v>
      </c>
      <c r="AJ60" s="544">
        <v>0.63199549119800236</v>
      </c>
      <c r="AK60" s="544">
        <v>0.63151257790906201</v>
      </c>
      <c r="AL60" s="544"/>
      <c r="AM60" s="544"/>
      <c r="AN60" s="544"/>
      <c r="AO60" s="544"/>
      <c r="AP60" s="544"/>
      <c r="AQ60" s="544"/>
      <c r="AR60" s="544"/>
      <c r="AS60" s="544"/>
      <c r="AT60" s="544"/>
      <c r="AU60" s="544"/>
      <c r="AV60" s="544"/>
      <c r="AW60" s="544"/>
      <c r="AX60" s="544"/>
      <c r="AY60" s="544"/>
      <c r="AZ60" s="544"/>
      <c r="BA60" s="544"/>
      <c r="BB60" s="544"/>
      <c r="BC60" s="544"/>
      <c r="BD60" s="544"/>
      <c r="BE60" s="544"/>
      <c r="BF60" s="544"/>
      <c r="BG60" s="544"/>
      <c r="BH60" s="544"/>
      <c r="BI60" s="544"/>
      <c r="BJ60" s="544"/>
      <c r="BK60" s="544"/>
      <c r="BL60" s="544"/>
      <c r="BM60" s="544"/>
      <c r="BN60" s="544"/>
      <c r="BO60" s="544"/>
      <c r="BP60" s="544"/>
      <c r="BQ60" s="544"/>
      <c r="BR60" s="544"/>
      <c r="BS60" s="544"/>
      <c r="BT60" s="544"/>
      <c r="BU60" s="544"/>
      <c r="BV60" s="544"/>
      <c r="BW60" s="544"/>
      <c r="BX60" s="544"/>
      <c r="BY60" s="544"/>
      <c r="BZ60" s="544"/>
      <c r="CA60" s="544"/>
      <c r="CB60" s="544"/>
      <c r="CC60" s="544"/>
      <c r="CD60" s="544"/>
      <c r="CE60" s="544"/>
      <c r="CF60" s="544"/>
      <c r="CG60" s="544"/>
      <c r="CH60" s="544"/>
      <c r="CI60" s="545"/>
      <c r="CK60" s="1293"/>
    </row>
    <row r="61" spans="1:89" s="1292" customFormat="1" x14ac:dyDescent="0.2">
      <c r="A61" s="1284"/>
      <c r="B61" s="543" t="s">
        <v>525</v>
      </c>
      <c r="C61" s="536" t="s">
        <v>243</v>
      </c>
      <c r="D61" s="537" t="s">
        <v>526</v>
      </c>
      <c r="E61" s="538" t="s">
        <v>236</v>
      </c>
      <c r="F61" s="539">
        <v>2</v>
      </c>
      <c r="G61" s="547">
        <f>SUM(G55:G60)</f>
        <v>0</v>
      </c>
      <c r="H61" s="547">
        <f t="shared" ref="H61:AK61" si="7">SUM(H55:H60)</f>
        <v>0</v>
      </c>
      <c r="I61" s="547">
        <f t="shared" si="7"/>
        <v>1.3210509183999999</v>
      </c>
      <c r="J61" s="547">
        <f t="shared" si="7"/>
        <v>0.81112059999999986</v>
      </c>
      <c r="K61" s="547">
        <f t="shared" si="7"/>
        <v>0.77940079999999978</v>
      </c>
      <c r="L61" s="547">
        <f t="shared" si="7"/>
        <v>0.74768099999999993</v>
      </c>
      <c r="M61" s="552">
        <f t="shared" si="7"/>
        <v>0.74768099999999993</v>
      </c>
      <c r="N61" s="552">
        <f t="shared" si="7"/>
        <v>0.74768099999999993</v>
      </c>
      <c r="O61" s="552">
        <f t="shared" si="7"/>
        <v>0.74768099999999993</v>
      </c>
      <c r="P61" s="552">
        <f t="shared" si="7"/>
        <v>0.74768099999999993</v>
      </c>
      <c r="Q61" s="552">
        <f t="shared" si="7"/>
        <v>0.74768099999999993</v>
      </c>
      <c r="R61" s="552">
        <f t="shared" si="7"/>
        <v>0.74768099999999993</v>
      </c>
      <c r="S61" s="552">
        <f t="shared" si="7"/>
        <v>0.74768099999999993</v>
      </c>
      <c r="T61" s="552">
        <f t="shared" si="7"/>
        <v>0.74768099999999993</v>
      </c>
      <c r="U61" s="552">
        <f t="shared" si="7"/>
        <v>0.74768099999999993</v>
      </c>
      <c r="V61" s="552">
        <f t="shared" si="7"/>
        <v>0.74768099999999993</v>
      </c>
      <c r="W61" s="552">
        <f t="shared" si="7"/>
        <v>0.74768099999999993</v>
      </c>
      <c r="X61" s="552">
        <f t="shared" si="7"/>
        <v>0.74768099999999993</v>
      </c>
      <c r="Y61" s="552">
        <f t="shared" si="7"/>
        <v>0.74768099999999993</v>
      </c>
      <c r="Z61" s="552">
        <f t="shared" si="7"/>
        <v>0.74768099999999993</v>
      </c>
      <c r="AA61" s="552">
        <f t="shared" si="7"/>
        <v>0.74768099999999993</v>
      </c>
      <c r="AB61" s="552">
        <f t="shared" si="7"/>
        <v>0.74768099999999993</v>
      </c>
      <c r="AC61" s="552">
        <f t="shared" si="7"/>
        <v>0.74768099999999993</v>
      </c>
      <c r="AD61" s="552">
        <f t="shared" si="7"/>
        <v>0.74768099999999982</v>
      </c>
      <c r="AE61" s="552">
        <f t="shared" si="7"/>
        <v>0.74768099999999993</v>
      </c>
      <c r="AF61" s="552">
        <f t="shared" si="7"/>
        <v>0.74768099999999993</v>
      </c>
      <c r="AG61" s="552">
        <f t="shared" si="7"/>
        <v>0.74768099999999993</v>
      </c>
      <c r="AH61" s="552">
        <f t="shared" si="7"/>
        <v>0.74768099999999993</v>
      </c>
      <c r="AI61" s="552">
        <f t="shared" si="7"/>
        <v>0.74768099999999993</v>
      </c>
      <c r="AJ61" s="552">
        <f t="shared" si="7"/>
        <v>0.74768100000000004</v>
      </c>
      <c r="AK61" s="552">
        <f t="shared" si="7"/>
        <v>0.74768099999999993</v>
      </c>
      <c r="AL61" s="552"/>
      <c r="AM61" s="552"/>
      <c r="AN61" s="552"/>
      <c r="AO61" s="552"/>
      <c r="AP61" s="552"/>
      <c r="AQ61" s="552"/>
      <c r="AR61" s="552"/>
      <c r="AS61" s="552"/>
      <c r="AT61" s="552"/>
      <c r="AU61" s="552"/>
      <c r="AV61" s="552"/>
      <c r="AW61" s="552"/>
      <c r="AX61" s="552"/>
      <c r="AY61" s="552"/>
      <c r="AZ61" s="552"/>
      <c r="BA61" s="552"/>
      <c r="BB61" s="552"/>
      <c r="BC61" s="552"/>
      <c r="BD61" s="552"/>
      <c r="BE61" s="552"/>
      <c r="BF61" s="552"/>
      <c r="BG61" s="552"/>
      <c r="BH61" s="552"/>
      <c r="BI61" s="552"/>
      <c r="BJ61" s="552"/>
      <c r="BK61" s="552"/>
      <c r="BL61" s="552"/>
      <c r="BM61" s="552"/>
      <c r="BN61" s="552"/>
      <c r="BO61" s="552"/>
      <c r="BP61" s="552"/>
      <c r="BQ61" s="552"/>
      <c r="BR61" s="552"/>
      <c r="BS61" s="552"/>
      <c r="BT61" s="552"/>
      <c r="BU61" s="552"/>
      <c r="BV61" s="552"/>
      <c r="BW61" s="552"/>
      <c r="BX61" s="552"/>
      <c r="BY61" s="552"/>
      <c r="BZ61" s="552"/>
      <c r="CA61" s="552"/>
      <c r="CB61" s="552"/>
      <c r="CC61" s="552"/>
      <c r="CD61" s="552"/>
      <c r="CE61" s="552"/>
      <c r="CF61" s="552"/>
      <c r="CG61" s="552"/>
      <c r="CH61" s="552"/>
      <c r="CI61" s="548"/>
      <c r="CK61" s="1293"/>
    </row>
    <row r="62" spans="1:89" s="1292" customFormat="1" ht="15" thickBot="1" x14ac:dyDescent="0.25">
      <c r="A62" s="1284"/>
      <c r="B62" s="585" t="s">
        <v>527</v>
      </c>
      <c r="C62" s="586" t="s">
        <v>528</v>
      </c>
      <c r="D62" s="587" t="s">
        <v>529</v>
      </c>
      <c r="E62" s="588" t="s">
        <v>530</v>
      </c>
      <c r="F62" s="558">
        <v>2</v>
      </c>
      <c r="G62" s="559" t="e">
        <f>(G61*1000000)/(G76*1000)</f>
        <v>#DIV/0!</v>
      </c>
      <c r="H62" s="559" t="e">
        <f t="shared" ref="H62:AK62" si="8">(H61*1000000)/(H76*1000)</f>
        <v>#DIV/0!</v>
      </c>
      <c r="I62" s="559">
        <f t="shared" si="8"/>
        <v>108.14989098649201</v>
      </c>
      <c r="J62" s="559">
        <f t="shared" si="8"/>
        <v>65.28526121618647</v>
      </c>
      <c r="K62" s="559">
        <f t="shared" si="8"/>
        <v>62.579721998441961</v>
      </c>
      <c r="L62" s="559">
        <f t="shared" si="8"/>
        <v>59.936829341172228</v>
      </c>
      <c r="M62" s="589">
        <f t="shared" si="8"/>
        <v>59.216113068766141</v>
      </c>
      <c r="N62" s="589">
        <f t="shared" si="8"/>
        <v>57.820681990356881</v>
      </c>
      <c r="O62" s="589">
        <f t="shared" si="8"/>
        <v>56.796353197194939</v>
      </c>
      <c r="P62" s="589">
        <f t="shared" si="8"/>
        <v>55.906153077618811</v>
      </c>
      <c r="Q62" s="589">
        <f t="shared" si="8"/>
        <v>55.181987974273319</v>
      </c>
      <c r="R62" s="589">
        <f t="shared" si="8"/>
        <v>54.563507599904966</v>
      </c>
      <c r="S62" s="589">
        <f t="shared" si="8"/>
        <v>54.058901623251337</v>
      </c>
      <c r="T62" s="589">
        <f t="shared" si="8"/>
        <v>53.601577492195666</v>
      </c>
      <c r="U62" s="589">
        <f t="shared" si="8"/>
        <v>53.16122218907455</v>
      </c>
      <c r="V62" s="589">
        <f t="shared" si="8"/>
        <v>52.732143383115599</v>
      </c>
      <c r="W62" s="589">
        <f t="shared" si="8"/>
        <v>52.317199312526931</v>
      </c>
      <c r="X62" s="589">
        <f t="shared" si="8"/>
        <v>51.922426909968607</v>
      </c>
      <c r="Y62" s="589">
        <f t="shared" si="8"/>
        <v>51.547073187701024</v>
      </c>
      <c r="Z62" s="589">
        <f t="shared" si="8"/>
        <v>51.180082557878855</v>
      </c>
      <c r="AA62" s="589">
        <f t="shared" si="8"/>
        <v>50.823074643003174</v>
      </c>
      <c r="AB62" s="589">
        <f t="shared" si="8"/>
        <v>50.475488982208617</v>
      </c>
      <c r="AC62" s="589">
        <f t="shared" si="8"/>
        <v>50.136906248739258</v>
      </c>
      <c r="AD62" s="589">
        <f t="shared" si="8"/>
        <v>49.809685277302201</v>
      </c>
      <c r="AE62" s="589">
        <f t="shared" si="8"/>
        <v>49.494562821877558</v>
      </c>
      <c r="AF62" s="589">
        <f t="shared" si="8"/>
        <v>49.190297065887904</v>
      </c>
      <c r="AG62" s="589">
        <f t="shared" si="8"/>
        <v>48.893920393566745</v>
      </c>
      <c r="AH62" s="589">
        <f t="shared" si="8"/>
        <v>48.605338908637336</v>
      </c>
      <c r="AI62" s="589">
        <f t="shared" si="8"/>
        <v>48.322056960457459</v>
      </c>
      <c r="AJ62" s="589">
        <f t="shared" si="8"/>
        <v>48.042390704201019</v>
      </c>
      <c r="AK62" s="589">
        <f t="shared" si="8"/>
        <v>47.766764635862032</v>
      </c>
      <c r="AL62" s="589"/>
      <c r="AM62" s="589"/>
      <c r="AN62" s="589"/>
      <c r="AO62" s="589"/>
      <c r="AP62" s="589"/>
      <c r="AQ62" s="589"/>
      <c r="AR62" s="589"/>
      <c r="AS62" s="589"/>
      <c r="AT62" s="589"/>
      <c r="AU62" s="589"/>
      <c r="AV62" s="589"/>
      <c r="AW62" s="589"/>
      <c r="AX62" s="589"/>
      <c r="AY62" s="589"/>
      <c r="AZ62" s="589"/>
      <c r="BA62" s="589"/>
      <c r="BB62" s="589"/>
      <c r="BC62" s="589"/>
      <c r="BD62" s="589"/>
      <c r="BE62" s="589"/>
      <c r="BF62" s="589"/>
      <c r="BG62" s="589"/>
      <c r="BH62" s="589"/>
      <c r="BI62" s="589"/>
      <c r="BJ62" s="589"/>
      <c r="BK62" s="589"/>
      <c r="BL62" s="589"/>
      <c r="BM62" s="589"/>
      <c r="BN62" s="589"/>
      <c r="BO62" s="589"/>
      <c r="BP62" s="589"/>
      <c r="BQ62" s="589"/>
      <c r="BR62" s="589"/>
      <c r="BS62" s="589"/>
      <c r="BT62" s="589"/>
      <c r="BU62" s="589"/>
      <c r="BV62" s="589"/>
      <c r="BW62" s="589"/>
      <c r="BX62" s="589"/>
      <c r="BY62" s="589"/>
      <c r="BZ62" s="589"/>
      <c r="CA62" s="589"/>
      <c r="CB62" s="589"/>
      <c r="CC62" s="589"/>
      <c r="CD62" s="589"/>
      <c r="CE62" s="589"/>
      <c r="CF62" s="589"/>
      <c r="CG62" s="589"/>
      <c r="CH62" s="589"/>
      <c r="CI62" s="560"/>
      <c r="CK62" s="1293"/>
    </row>
    <row r="63" spans="1:89" s="1292" customFormat="1" x14ac:dyDescent="0.2">
      <c r="A63" s="1284"/>
      <c r="B63" s="561" t="s">
        <v>531</v>
      </c>
      <c r="C63" s="562" t="s">
        <v>532</v>
      </c>
      <c r="D63" s="590" t="s">
        <v>86</v>
      </c>
      <c r="E63" s="591" t="s">
        <v>344</v>
      </c>
      <c r="F63" s="592">
        <v>2</v>
      </c>
      <c r="G63" s="593"/>
      <c r="H63" s="593"/>
      <c r="I63" s="593">
        <v>1.014</v>
      </c>
      <c r="J63" s="593">
        <v>0.98031574431569324</v>
      </c>
      <c r="K63" s="593">
        <v>0.9849750066774059</v>
      </c>
      <c r="L63" s="593">
        <v>1.0023965775536272</v>
      </c>
      <c r="M63" s="594">
        <v>1.0229647393385948</v>
      </c>
      <c r="N63" s="594">
        <v>1.0276383775893927</v>
      </c>
      <c r="O63" s="594">
        <v>1.0323120158401904</v>
      </c>
      <c r="P63" s="594">
        <v>1.0369856540909881</v>
      </c>
      <c r="Q63" s="594">
        <v>1.041659292341786</v>
      </c>
      <c r="R63" s="594">
        <v>1.0463329305925837</v>
      </c>
      <c r="S63" s="594">
        <v>1.0510065688433818</v>
      </c>
      <c r="T63" s="594">
        <v>1.0556802070941793</v>
      </c>
      <c r="U63" s="594">
        <v>1.0603538453449775</v>
      </c>
      <c r="V63" s="594">
        <v>1.0650274835957751</v>
      </c>
      <c r="W63" s="594">
        <v>1.0697011218465726</v>
      </c>
      <c r="X63" s="594">
        <v>1.0743747600973708</v>
      </c>
      <c r="Y63" s="594">
        <v>1.0790483983481685</v>
      </c>
      <c r="Z63" s="594">
        <v>1.0837220365989664</v>
      </c>
      <c r="AA63" s="594">
        <v>1.0883956748497641</v>
      </c>
      <c r="AB63" s="594">
        <v>1.093069313100562</v>
      </c>
      <c r="AC63" s="594">
        <v>1.0977429513513597</v>
      </c>
      <c r="AD63" s="594">
        <v>1.1024165896021574</v>
      </c>
      <c r="AE63" s="594">
        <v>1.1070902278529553</v>
      </c>
      <c r="AF63" s="594">
        <v>1.111763866103753</v>
      </c>
      <c r="AG63" s="594">
        <v>1.1164375043545509</v>
      </c>
      <c r="AH63" s="594">
        <v>1.1211111426053486</v>
      </c>
      <c r="AI63" s="594">
        <v>1.1257847808561465</v>
      </c>
      <c r="AJ63" s="594">
        <v>1.1304584191069442</v>
      </c>
      <c r="AK63" s="594">
        <v>1.1351320573577419</v>
      </c>
      <c r="AL63" s="594"/>
      <c r="AM63" s="594"/>
      <c r="AN63" s="594"/>
      <c r="AO63" s="594"/>
      <c r="AP63" s="594"/>
      <c r="AQ63" s="594"/>
      <c r="AR63" s="594"/>
      <c r="AS63" s="594"/>
      <c r="AT63" s="594"/>
      <c r="AU63" s="594"/>
      <c r="AV63" s="594"/>
      <c r="AW63" s="594"/>
      <c r="AX63" s="594"/>
      <c r="AY63" s="594"/>
      <c r="AZ63" s="594"/>
      <c r="BA63" s="594"/>
      <c r="BB63" s="594"/>
      <c r="BC63" s="594"/>
      <c r="BD63" s="594"/>
      <c r="BE63" s="594"/>
      <c r="BF63" s="594"/>
      <c r="BG63" s="594"/>
      <c r="BH63" s="594"/>
      <c r="BI63" s="594"/>
      <c r="BJ63" s="594"/>
      <c r="BK63" s="594"/>
      <c r="BL63" s="594"/>
      <c r="BM63" s="594"/>
      <c r="BN63" s="594"/>
      <c r="BO63" s="594"/>
      <c r="BP63" s="594"/>
      <c r="BQ63" s="594"/>
      <c r="BR63" s="594"/>
      <c r="BS63" s="594"/>
      <c r="BT63" s="594"/>
      <c r="BU63" s="594"/>
      <c r="BV63" s="594"/>
      <c r="BW63" s="594"/>
      <c r="BX63" s="594"/>
      <c r="BY63" s="594"/>
      <c r="BZ63" s="594"/>
      <c r="CA63" s="594"/>
      <c r="CB63" s="594"/>
      <c r="CC63" s="594"/>
      <c r="CD63" s="594"/>
      <c r="CE63" s="594"/>
      <c r="CF63" s="594"/>
      <c r="CG63" s="594"/>
      <c r="CH63" s="594"/>
      <c r="CI63" s="595"/>
      <c r="CK63" s="1293"/>
    </row>
    <row r="64" spans="1:89" s="1292" customFormat="1" x14ac:dyDescent="0.2">
      <c r="A64" s="1284"/>
      <c r="B64" s="563" t="s">
        <v>533</v>
      </c>
      <c r="C64" s="564" t="s">
        <v>534</v>
      </c>
      <c r="D64" s="596" t="s">
        <v>86</v>
      </c>
      <c r="E64" s="573" t="s">
        <v>344</v>
      </c>
      <c r="F64" s="574">
        <v>2</v>
      </c>
      <c r="G64" s="597"/>
      <c r="H64" s="597"/>
      <c r="I64" s="597">
        <v>2.5000000000000001E-2</v>
      </c>
      <c r="J64" s="597">
        <v>2.4537662498036496E-2</v>
      </c>
      <c r="K64" s="597">
        <v>2.4426054805893868E-2</v>
      </c>
      <c r="L64" s="597">
        <v>1.5149974863556437E-2</v>
      </c>
      <c r="M64" s="598">
        <v>8.3642927414918616E-3</v>
      </c>
      <c r="N64" s="598">
        <v>8.2053659268648289E-3</v>
      </c>
      <c r="O64" s="598">
        <v>8.0464391122377962E-3</v>
      </c>
      <c r="P64" s="598">
        <v>7.88751229761076E-3</v>
      </c>
      <c r="Q64" s="598">
        <v>7.7285854829837264E-3</v>
      </c>
      <c r="R64" s="598">
        <v>7.569658668356692E-3</v>
      </c>
      <c r="S64" s="598">
        <v>7.4107318537296575E-3</v>
      </c>
      <c r="T64" s="598">
        <v>7.2518050391026231E-3</v>
      </c>
      <c r="U64" s="598">
        <v>7.0928782244755887E-3</v>
      </c>
      <c r="V64" s="598">
        <v>7.0928782244755887E-3</v>
      </c>
      <c r="W64" s="598">
        <v>7.0928782244755887E-3</v>
      </c>
      <c r="X64" s="598">
        <v>7.0928782244755887E-3</v>
      </c>
      <c r="Y64" s="598">
        <v>7.0928782244755887E-3</v>
      </c>
      <c r="Z64" s="598">
        <v>7.0928782244755887E-3</v>
      </c>
      <c r="AA64" s="598">
        <v>7.0928782244755887E-3</v>
      </c>
      <c r="AB64" s="598">
        <v>7.0928782244755887E-3</v>
      </c>
      <c r="AC64" s="598">
        <v>7.0928782244755887E-3</v>
      </c>
      <c r="AD64" s="598">
        <v>7.0928782244755887E-3</v>
      </c>
      <c r="AE64" s="598">
        <v>7.0928782244755887E-3</v>
      </c>
      <c r="AF64" s="598">
        <v>7.0928782244755887E-3</v>
      </c>
      <c r="AG64" s="598">
        <v>7.0928782244755887E-3</v>
      </c>
      <c r="AH64" s="598">
        <v>7.0928782244755887E-3</v>
      </c>
      <c r="AI64" s="598">
        <v>7.0928782244755887E-3</v>
      </c>
      <c r="AJ64" s="598">
        <v>7.0928782244755887E-3</v>
      </c>
      <c r="AK64" s="598">
        <v>7.0928782244755887E-3</v>
      </c>
      <c r="AL64" s="598"/>
      <c r="AM64" s="598"/>
      <c r="AN64" s="598"/>
      <c r="AO64" s="598"/>
      <c r="AP64" s="598"/>
      <c r="AQ64" s="598"/>
      <c r="AR64" s="598"/>
      <c r="AS64" s="598"/>
      <c r="AT64" s="598"/>
      <c r="AU64" s="598"/>
      <c r="AV64" s="598"/>
      <c r="AW64" s="598"/>
      <c r="AX64" s="598"/>
      <c r="AY64" s="598"/>
      <c r="AZ64" s="598"/>
      <c r="BA64" s="598"/>
      <c r="BB64" s="598"/>
      <c r="BC64" s="598"/>
      <c r="BD64" s="598"/>
      <c r="BE64" s="598"/>
      <c r="BF64" s="598"/>
      <c r="BG64" s="598"/>
      <c r="BH64" s="598"/>
      <c r="BI64" s="598"/>
      <c r="BJ64" s="598"/>
      <c r="BK64" s="598"/>
      <c r="BL64" s="598"/>
      <c r="BM64" s="598"/>
      <c r="BN64" s="598"/>
      <c r="BO64" s="598"/>
      <c r="BP64" s="598"/>
      <c r="BQ64" s="598"/>
      <c r="BR64" s="598"/>
      <c r="BS64" s="598"/>
      <c r="BT64" s="598"/>
      <c r="BU64" s="598"/>
      <c r="BV64" s="598"/>
      <c r="BW64" s="598"/>
      <c r="BX64" s="598"/>
      <c r="BY64" s="598"/>
      <c r="BZ64" s="598"/>
      <c r="CA64" s="598"/>
      <c r="CB64" s="598"/>
      <c r="CC64" s="598"/>
      <c r="CD64" s="598"/>
      <c r="CE64" s="598"/>
      <c r="CF64" s="598"/>
      <c r="CG64" s="598"/>
      <c r="CH64" s="598"/>
      <c r="CI64" s="599"/>
      <c r="CK64" s="1293"/>
    </row>
    <row r="65" spans="1:89" s="1292" customFormat="1" x14ac:dyDescent="0.2">
      <c r="A65" s="1284"/>
      <c r="B65" s="600" t="s">
        <v>535</v>
      </c>
      <c r="C65" s="601" t="s">
        <v>536</v>
      </c>
      <c r="D65" s="596" t="s">
        <v>86</v>
      </c>
      <c r="E65" s="573" t="s">
        <v>344</v>
      </c>
      <c r="F65" s="574">
        <v>2</v>
      </c>
      <c r="G65" s="597"/>
      <c r="H65" s="597"/>
      <c r="I65" s="597">
        <v>0.11</v>
      </c>
      <c r="J65" s="597">
        <v>0.14776366643834205</v>
      </c>
      <c r="K65" s="597">
        <v>0.14833308502084383</v>
      </c>
      <c r="L65" s="597">
        <v>0.14530466733903188</v>
      </c>
      <c r="M65" s="598">
        <v>0.13663926092820045</v>
      </c>
      <c r="N65" s="598">
        <v>0.13724162274410151</v>
      </c>
      <c r="O65" s="598">
        <v>0.13784398456000252</v>
      </c>
      <c r="P65" s="598">
        <v>0.13844634637590361</v>
      </c>
      <c r="Q65" s="598">
        <v>0.13904870819180465</v>
      </c>
      <c r="R65" s="598">
        <v>0.13965107000770569</v>
      </c>
      <c r="S65" s="598">
        <v>0.14025343182360675</v>
      </c>
      <c r="T65" s="598">
        <v>0.14085579363950776</v>
      </c>
      <c r="U65" s="598">
        <v>0.14145815545540885</v>
      </c>
      <c r="V65" s="598">
        <v>0.14207817580626844</v>
      </c>
      <c r="W65" s="598">
        <v>0.14269819615712806</v>
      </c>
      <c r="X65" s="598">
        <v>0.14331821650798765</v>
      </c>
      <c r="Y65" s="598">
        <v>0.14393823685884727</v>
      </c>
      <c r="Z65" s="598">
        <v>0.14455825720970689</v>
      </c>
      <c r="AA65" s="598">
        <v>0.14517827756056648</v>
      </c>
      <c r="AB65" s="598">
        <v>0.14579829791142609</v>
      </c>
      <c r="AC65" s="598">
        <v>0.14641831826228568</v>
      </c>
      <c r="AD65" s="598">
        <v>0.1470383386131453</v>
      </c>
      <c r="AE65" s="598">
        <v>0.14765835896400489</v>
      </c>
      <c r="AF65" s="598">
        <v>0.14827837931486451</v>
      </c>
      <c r="AG65" s="598">
        <v>0.14889839966572413</v>
      </c>
      <c r="AH65" s="598">
        <v>0.14951842001658372</v>
      </c>
      <c r="AI65" s="598">
        <v>0.15013844036744334</v>
      </c>
      <c r="AJ65" s="598">
        <v>0.15075846071830293</v>
      </c>
      <c r="AK65" s="598">
        <v>0.15137848106916255</v>
      </c>
      <c r="AL65" s="598"/>
      <c r="AM65" s="598"/>
      <c r="AN65" s="598"/>
      <c r="AO65" s="598"/>
      <c r="AP65" s="598"/>
      <c r="AQ65" s="598"/>
      <c r="AR65" s="598"/>
      <c r="AS65" s="598"/>
      <c r="AT65" s="598"/>
      <c r="AU65" s="598"/>
      <c r="AV65" s="598"/>
      <c r="AW65" s="598"/>
      <c r="AX65" s="598"/>
      <c r="AY65" s="598"/>
      <c r="AZ65" s="598"/>
      <c r="BA65" s="598"/>
      <c r="BB65" s="598"/>
      <c r="BC65" s="598"/>
      <c r="BD65" s="598"/>
      <c r="BE65" s="598"/>
      <c r="BF65" s="598"/>
      <c r="BG65" s="598"/>
      <c r="BH65" s="598"/>
      <c r="BI65" s="598"/>
      <c r="BJ65" s="598"/>
      <c r="BK65" s="598"/>
      <c r="BL65" s="598"/>
      <c r="BM65" s="598"/>
      <c r="BN65" s="598"/>
      <c r="BO65" s="598"/>
      <c r="BP65" s="598"/>
      <c r="BQ65" s="598"/>
      <c r="BR65" s="598"/>
      <c r="BS65" s="598"/>
      <c r="BT65" s="598"/>
      <c r="BU65" s="598"/>
      <c r="BV65" s="598"/>
      <c r="BW65" s="598"/>
      <c r="BX65" s="598"/>
      <c r="BY65" s="598"/>
      <c r="BZ65" s="598"/>
      <c r="CA65" s="598"/>
      <c r="CB65" s="598"/>
      <c r="CC65" s="598"/>
      <c r="CD65" s="598"/>
      <c r="CE65" s="598"/>
      <c r="CF65" s="598"/>
      <c r="CG65" s="598"/>
      <c r="CH65" s="598"/>
      <c r="CI65" s="599"/>
      <c r="CK65" s="1293"/>
    </row>
    <row r="66" spans="1:89" s="1292" customFormat="1" ht="28.5" x14ac:dyDescent="0.2">
      <c r="A66" s="1284"/>
      <c r="B66" s="600" t="s">
        <v>537</v>
      </c>
      <c r="C66" s="601" t="s">
        <v>538</v>
      </c>
      <c r="D66" s="602" t="s">
        <v>539</v>
      </c>
      <c r="E66" s="603" t="s">
        <v>344</v>
      </c>
      <c r="F66" s="604">
        <v>2</v>
      </c>
      <c r="G66" s="597"/>
      <c r="H66" s="597"/>
      <c r="I66" s="597">
        <v>7.3440000000000003</v>
      </c>
      <c r="J66" s="552">
        <f t="shared" ref="J66:L66" si="9">I66+SUM(J67:J72)</f>
        <v>7.5865449684765069</v>
      </c>
      <c r="K66" s="552">
        <f t="shared" si="9"/>
        <v>7.6596690797111844</v>
      </c>
      <c r="L66" s="552">
        <f t="shared" si="9"/>
        <v>7.9921755713071558</v>
      </c>
      <c r="M66" s="552">
        <f t="shared" ref="M66" si="10">L66+SUM(M67:M72)</f>
        <v>8.6487425229360451</v>
      </c>
      <c r="N66" s="552">
        <f t="shared" ref="N66" si="11">M66+SUM(N67:N72)</f>
        <v>9.1964481319821498</v>
      </c>
      <c r="O66" s="552">
        <f t="shared" ref="O66" si="12">N66+SUM(O67:O72)</f>
        <v>9.4899375312493799</v>
      </c>
      <c r="P66" s="552">
        <f t="shared" ref="P66" si="13">O66+SUM(P67:P72)</f>
        <v>9.7605503152469293</v>
      </c>
      <c r="Q66" s="552">
        <f t="shared" ref="Q66" si="14">P66+SUM(Q67:Q72)</f>
        <v>9.9980964459118002</v>
      </c>
      <c r="R66" s="552">
        <f t="shared" ref="R66" si="15">Q66+SUM(R67:R72)</f>
        <v>10.181047243456462</v>
      </c>
      <c r="S66" s="552">
        <f t="shared" ref="S66" si="16">R66+SUM(S67:S72)</f>
        <v>10.305767977566617</v>
      </c>
      <c r="T66" s="552">
        <f t="shared" ref="T66" si="17">S66+SUM(T67:T72)</f>
        <v>10.420886299814192</v>
      </c>
      <c r="U66" s="552">
        <f t="shared" ref="U66" si="18">T66+SUM(U67:U72)</f>
        <v>10.533619896676786</v>
      </c>
      <c r="V66" s="552">
        <f t="shared" ref="V66" si="19">U66+SUM(V67:V72)</f>
        <v>10.645113409038391</v>
      </c>
      <c r="W66" s="552">
        <f t="shared" ref="W66" si="20">V66+SUM(W67:W72)</f>
        <v>10.7546830014628</v>
      </c>
      <c r="X66" s="552">
        <f t="shared" ref="X66" si="21">W66+SUM(X67:X72)</f>
        <v>10.860570149991901</v>
      </c>
      <c r="Y66" s="552">
        <f t="shared" ref="Y66" si="22">X66+SUM(Y67:Y72)</f>
        <v>10.962771995766582</v>
      </c>
      <c r="Z66" s="552">
        <f t="shared" ref="Z66" si="23">Y66+SUM(Z67:Z72)</f>
        <v>11.064150506888945</v>
      </c>
      <c r="AA66" s="552">
        <f t="shared" ref="AA66" si="24">Z66+SUM(AA67:AA72)</f>
        <v>11.164183541369237</v>
      </c>
      <c r="AB66" s="552">
        <f t="shared" ref="AB66" si="25">AA66+SUM(AB67:AB72)</f>
        <v>11.262942975957918</v>
      </c>
      <c r="AC66" s="552">
        <f t="shared" ref="AC66" si="26">AB66+SUM(AC67:AC72)</f>
        <v>11.360467867524145</v>
      </c>
      <c r="AD66" s="552">
        <f t="shared" ref="AD66" si="27">AC66+SUM(AD67:AD72)</f>
        <v>11.455991252337629</v>
      </c>
      <c r="AE66" s="552">
        <f t="shared" ref="AE66" si="28">AD66+SUM(AE67:AE72)</f>
        <v>11.549190017493906</v>
      </c>
      <c r="AF66" s="552">
        <f t="shared" ref="AF66" si="29">AE66+SUM(AF67:AF72)</f>
        <v>11.640323123301783</v>
      </c>
      <c r="AG66" s="552">
        <f t="shared" ref="AG66" si="30">AF66+SUM(AG67:AG72)</f>
        <v>11.730191425308295</v>
      </c>
      <c r="AH66" s="552">
        <f t="shared" ref="AH66" si="31">AG66+SUM(AH67:AH72)</f>
        <v>11.818757102326934</v>
      </c>
      <c r="AI66" s="552">
        <f t="shared" ref="AI66" si="32">AH66+SUM(AI67:AI72)</f>
        <v>11.906728905541105</v>
      </c>
      <c r="AJ66" s="552">
        <f t="shared" ref="AJ66" si="33">AI66+SUM(AJ67:AJ72)</f>
        <v>11.994596198945739</v>
      </c>
      <c r="AK66" s="552">
        <f t="shared" ref="AK66" si="34">AJ66+SUM(AK67:AK72)</f>
        <v>12.082202458360332</v>
      </c>
      <c r="AL66" s="552"/>
      <c r="AM66" s="552"/>
      <c r="AN66" s="552"/>
      <c r="AO66" s="552"/>
      <c r="AP66" s="552"/>
      <c r="AQ66" s="552"/>
      <c r="AR66" s="552"/>
      <c r="AS66" s="552"/>
      <c r="AT66" s="552"/>
      <c r="AU66" s="552"/>
      <c r="AV66" s="552"/>
      <c r="AW66" s="552"/>
      <c r="AX66" s="552"/>
      <c r="AY66" s="552"/>
      <c r="AZ66" s="552"/>
      <c r="BA66" s="552"/>
      <c r="BB66" s="552"/>
      <c r="BC66" s="552"/>
      <c r="BD66" s="552"/>
      <c r="BE66" s="552"/>
      <c r="BF66" s="552"/>
      <c r="BG66" s="552"/>
      <c r="BH66" s="552"/>
      <c r="BI66" s="552"/>
      <c r="BJ66" s="552"/>
      <c r="BK66" s="552"/>
      <c r="BL66" s="552"/>
      <c r="BM66" s="552"/>
      <c r="BN66" s="552"/>
      <c r="BO66" s="552"/>
      <c r="BP66" s="552"/>
      <c r="BQ66" s="552"/>
      <c r="BR66" s="552"/>
      <c r="BS66" s="552"/>
      <c r="BT66" s="552"/>
      <c r="BU66" s="552"/>
      <c r="BV66" s="552"/>
      <c r="BW66" s="552"/>
      <c r="BX66" s="552"/>
      <c r="BY66" s="552"/>
      <c r="BZ66" s="552"/>
      <c r="CA66" s="552"/>
      <c r="CB66" s="552"/>
      <c r="CC66" s="552"/>
      <c r="CD66" s="552"/>
      <c r="CE66" s="552"/>
      <c r="CF66" s="552"/>
      <c r="CG66" s="552"/>
      <c r="CH66" s="552"/>
      <c r="CI66" s="548"/>
      <c r="CK66" s="1293"/>
    </row>
    <row r="67" spans="1:89" s="1292" customFormat="1" x14ac:dyDescent="0.2">
      <c r="A67" s="1284"/>
      <c r="B67" s="600" t="s">
        <v>540</v>
      </c>
      <c r="C67" s="601" t="s">
        <v>541</v>
      </c>
      <c r="D67" s="602" t="s">
        <v>542</v>
      </c>
      <c r="E67" s="603" t="s">
        <v>344</v>
      </c>
      <c r="F67" s="604">
        <v>2</v>
      </c>
      <c r="G67" s="597"/>
      <c r="H67" s="597"/>
      <c r="I67" s="597">
        <v>0.115</v>
      </c>
      <c r="J67" s="597">
        <v>0.20896027825484997</v>
      </c>
      <c r="K67" s="597">
        <v>2.8480759731273793E-2</v>
      </c>
      <c r="L67" s="597">
        <v>1.8164601843074706E-2</v>
      </c>
      <c r="M67" s="598">
        <v>0.14929849552025007</v>
      </c>
      <c r="N67" s="598">
        <v>0.30219266443827475</v>
      </c>
      <c r="O67" s="598">
        <v>0.23068482350819977</v>
      </c>
      <c r="P67" s="598">
        <v>0.20708795498415203</v>
      </c>
      <c r="Q67" s="598">
        <v>0.1731568079605986</v>
      </c>
      <c r="R67" s="598">
        <v>0.15123160265419938</v>
      </c>
      <c r="S67" s="598">
        <v>0.12555723024699911</v>
      </c>
      <c r="T67" s="598">
        <v>0.11565249357315224</v>
      </c>
      <c r="U67" s="598">
        <v>0.11319268687919976</v>
      </c>
      <c r="V67" s="598">
        <v>0.11191355923799892</v>
      </c>
      <c r="W67" s="598">
        <v>0.10992906610937643</v>
      </c>
      <c r="X67" s="598">
        <v>0.10613068320087404</v>
      </c>
      <c r="Y67" s="598">
        <v>0.10232935142419956</v>
      </c>
      <c r="Z67" s="598">
        <v>0.1014800946913765</v>
      </c>
      <c r="AA67" s="598">
        <v>0.1009751834636736</v>
      </c>
      <c r="AB67" s="598">
        <v>9.9661485224651181E-2</v>
      </c>
      <c r="AC67" s="598">
        <v>9.838807353132506E-2</v>
      </c>
      <c r="AD67" s="598">
        <v>9.6323550823848567E-2</v>
      </c>
      <c r="AE67" s="598">
        <v>9.3925742241899576E-2</v>
      </c>
      <c r="AF67" s="598">
        <v>9.1795047141902619E-2</v>
      </c>
      <c r="AG67" s="598">
        <v>9.0490421931497617E-2</v>
      </c>
      <c r="AH67" s="598">
        <v>8.9146784762600878E-2</v>
      </c>
      <c r="AI67" s="598">
        <v>8.8534213282126073E-2</v>
      </c>
      <c r="AJ67" s="598">
        <v>8.8426413058798059E-2</v>
      </c>
      <c r="AK67" s="598">
        <v>8.8157160607301194E-2</v>
      </c>
      <c r="AL67" s="598"/>
      <c r="AM67" s="598"/>
      <c r="AN67" s="598"/>
      <c r="AO67" s="598"/>
      <c r="AP67" s="598"/>
      <c r="AQ67" s="598"/>
      <c r="AR67" s="598"/>
      <c r="AS67" s="598"/>
      <c r="AT67" s="598"/>
      <c r="AU67" s="598"/>
      <c r="AV67" s="598"/>
      <c r="AW67" s="598"/>
      <c r="AX67" s="598"/>
      <c r="AY67" s="598"/>
      <c r="AZ67" s="598"/>
      <c r="BA67" s="598"/>
      <c r="BB67" s="598"/>
      <c r="BC67" s="598"/>
      <c r="BD67" s="598"/>
      <c r="BE67" s="598"/>
      <c r="BF67" s="598"/>
      <c r="BG67" s="598"/>
      <c r="BH67" s="598"/>
      <c r="BI67" s="598"/>
      <c r="BJ67" s="598"/>
      <c r="BK67" s="598"/>
      <c r="BL67" s="598"/>
      <c r="BM67" s="598"/>
      <c r="BN67" s="598"/>
      <c r="BO67" s="598"/>
      <c r="BP67" s="598"/>
      <c r="BQ67" s="598"/>
      <c r="BR67" s="598"/>
      <c r="BS67" s="598"/>
      <c r="BT67" s="598"/>
      <c r="BU67" s="598"/>
      <c r="BV67" s="598"/>
      <c r="BW67" s="598"/>
      <c r="BX67" s="598"/>
      <c r="BY67" s="598"/>
      <c r="BZ67" s="598"/>
      <c r="CA67" s="598"/>
      <c r="CB67" s="598"/>
      <c r="CC67" s="598"/>
      <c r="CD67" s="598"/>
      <c r="CE67" s="598"/>
      <c r="CF67" s="598"/>
      <c r="CG67" s="598"/>
      <c r="CH67" s="598"/>
      <c r="CI67" s="599"/>
      <c r="CK67" s="1293"/>
    </row>
    <row r="68" spans="1:89" s="1292" customFormat="1" x14ac:dyDescent="0.2">
      <c r="A68" s="1284"/>
      <c r="B68" s="600" t="s">
        <v>543</v>
      </c>
      <c r="C68" s="601" t="s">
        <v>544</v>
      </c>
      <c r="D68" s="602" t="s">
        <v>545</v>
      </c>
      <c r="E68" s="603" t="s">
        <v>344</v>
      </c>
      <c r="F68" s="604">
        <v>2</v>
      </c>
      <c r="G68" s="597"/>
      <c r="H68" s="597"/>
      <c r="I68" s="597">
        <v>0</v>
      </c>
      <c r="J68" s="597">
        <v>4.3630818481489524E-2</v>
      </c>
      <c r="K68" s="597">
        <v>4.8000000000000001E-2</v>
      </c>
      <c r="L68" s="597">
        <v>0.30599999999999999</v>
      </c>
      <c r="M68" s="598">
        <v>0.50802924746961042</v>
      </c>
      <c r="N68" s="598">
        <v>0.26134631738673691</v>
      </c>
      <c r="O68" s="598">
        <v>7.0634139834253221E-2</v>
      </c>
      <c r="P68" s="598">
        <v>7.0634139834253221E-2</v>
      </c>
      <c r="Q68" s="598">
        <v>7.0634139834253221E-2</v>
      </c>
      <c r="R68" s="598">
        <v>3.7745118473929064E-2</v>
      </c>
      <c r="S68" s="598">
        <v>4.8560971136049087E-3</v>
      </c>
      <c r="T68" s="598">
        <v>4.8560971136049087E-3</v>
      </c>
      <c r="U68" s="598">
        <v>4.8560971136049087E-3</v>
      </c>
      <c r="V68" s="598">
        <v>4.8560971136049087E-3</v>
      </c>
      <c r="W68" s="598">
        <v>4.8560971136049087E-3</v>
      </c>
      <c r="X68" s="598">
        <v>4.8560971136049087E-3</v>
      </c>
      <c r="Y68" s="598">
        <v>4.8560971136049087E-3</v>
      </c>
      <c r="Z68" s="598">
        <v>4.8560971136049087E-3</v>
      </c>
      <c r="AA68" s="598">
        <v>4.8560971136049087E-3</v>
      </c>
      <c r="AB68" s="598">
        <v>4.8560971136049087E-3</v>
      </c>
      <c r="AC68" s="598">
        <v>4.8560971136049087E-3</v>
      </c>
      <c r="AD68" s="598">
        <v>4.8560971136049087E-3</v>
      </c>
      <c r="AE68" s="598">
        <v>4.8560971136049087E-3</v>
      </c>
      <c r="AF68" s="598">
        <v>4.8560971136049087E-3</v>
      </c>
      <c r="AG68" s="598">
        <v>4.8560971136049087E-3</v>
      </c>
      <c r="AH68" s="598">
        <v>4.8560971136049087E-3</v>
      </c>
      <c r="AI68" s="598">
        <v>4.8560971136049087E-3</v>
      </c>
      <c r="AJ68" s="598">
        <v>4.8560971136049087E-3</v>
      </c>
      <c r="AK68" s="598">
        <v>4.8560971136049087E-3</v>
      </c>
      <c r="AL68" s="598"/>
      <c r="AM68" s="598"/>
      <c r="AN68" s="598"/>
      <c r="AO68" s="598"/>
      <c r="AP68" s="598"/>
      <c r="AQ68" s="598"/>
      <c r="AR68" s="598"/>
      <c r="AS68" s="598"/>
      <c r="AT68" s="598"/>
      <c r="AU68" s="598"/>
      <c r="AV68" s="598"/>
      <c r="AW68" s="598"/>
      <c r="AX68" s="598"/>
      <c r="AY68" s="598"/>
      <c r="AZ68" s="598"/>
      <c r="BA68" s="598"/>
      <c r="BB68" s="598"/>
      <c r="BC68" s="598"/>
      <c r="BD68" s="598"/>
      <c r="BE68" s="598"/>
      <c r="BF68" s="598"/>
      <c r="BG68" s="598"/>
      <c r="BH68" s="598"/>
      <c r="BI68" s="598"/>
      <c r="BJ68" s="598"/>
      <c r="BK68" s="598"/>
      <c r="BL68" s="598"/>
      <c r="BM68" s="598"/>
      <c r="BN68" s="598"/>
      <c r="BO68" s="598"/>
      <c r="BP68" s="598"/>
      <c r="BQ68" s="598"/>
      <c r="BR68" s="598"/>
      <c r="BS68" s="598"/>
      <c r="BT68" s="598"/>
      <c r="BU68" s="598"/>
      <c r="BV68" s="598"/>
      <c r="BW68" s="598"/>
      <c r="BX68" s="598"/>
      <c r="BY68" s="598"/>
      <c r="BZ68" s="598"/>
      <c r="CA68" s="598"/>
      <c r="CB68" s="598"/>
      <c r="CC68" s="598"/>
      <c r="CD68" s="598"/>
      <c r="CE68" s="598"/>
      <c r="CF68" s="598"/>
      <c r="CG68" s="598"/>
      <c r="CH68" s="598"/>
      <c r="CI68" s="599"/>
      <c r="CK68" s="1293"/>
    </row>
    <row r="69" spans="1:89" s="1292" customFormat="1" ht="28.5" x14ac:dyDescent="0.2">
      <c r="A69" s="1284"/>
      <c r="B69" s="600" t="s">
        <v>546</v>
      </c>
      <c r="C69" s="601" t="s">
        <v>547</v>
      </c>
      <c r="D69" s="602" t="s">
        <v>548</v>
      </c>
      <c r="E69" s="603" t="s">
        <v>344</v>
      </c>
      <c r="F69" s="604">
        <v>2</v>
      </c>
      <c r="G69" s="597"/>
      <c r="H69" s="597"/>
      <c r="I69" s="597">
        <v>0</v>
      </c>
      <c r="J69" s="597">
        <v>0</v>
      </c>
      <c r="K69" s="597">
        <v>0</v>
      </c>
      <c r="L69" s="597">
        <v>0</v>
      </c>
      <c r="M69" s="598">
        <v>0</v>
      </c>
      <c r="N69" s="598">
        <v>0</v>
      </c>
      <c r="O69" s="598">
        <v>3.0000000000000001E-3</v>
      </c>
      <c r="P69" s="598">
        <v>3.0000000000000001E-3</v>
      </c>
      <c r="Q69" s="598">
        <v>3.0000000000000001E-3</v>
      </c>
      <c r="R69" s="598">
        <v>1.5E-3</v>
      </c>
      <c r="S69" s="598">
        <v>0</v>
      </c>
      <c r="T69" s="598">
        <v>0</v>
      </c>
      <c r="U69" s="598">
        <v>0</v>
      </c>
      <c r="V69" s="598">
        <v>0</v>
      </c>
      <c r="W69" s="598">
        <v>0</v>
      </c>
      <c r="X69" s="598">
        <v>0</v>
      </c>
      <c r="Y69" s="598">
        <v>0</v>
      </c>
      <c r="Z69" s="598">
        <v>0</v>
      </c>
      <c r="AA69" s="598">
        <v>0</v>
      </c>
      <c r="AB69" s="598">
        <v>0</v>
      </c>
      <c r="AC69" s="598">
        <v>0</v>
      </c>
      <c r="AD69" s="598">
        <v>0</v>
      </c>
      <c r="AE69" s="598">
        <v>0</v>
      </c>
      <c r="AF69" s="598">
        <v>0</v>
      </c>
      <c r="AG69" s="598">
        <v>0</v>
      </c>
      <c r="AH69" s="598">
        <v>0</v>
      </c>
      <c r="AI69" s="598">
        <v>0</v>
      </c>
      <c r="AJ69" s="598">
        <v>0</v>
      </c>
      <c r="AK69" s="598">
        <v>0</v>
      </c>
      <c r="AL69" s="598"/>
      <c r="AM69" s="598"/>
      <c r="AN69" s="598"/>
      <c r="AO69" s="598"/>
      <c r="AP69" s="598"/>
      <c r="AQ69" s="598"/>
      <c r="AR69" s="598"/>
      <c r="AS69" s="598"/>
      <c r="AT69" s="598"/>
      <c r="AU69" s="598"/>
      <c r="AV69" s="598"/>
      <c r="AW69" s="598"/>
      <c r="AX69" s="598"/>
      <c r="AY69" s="598"/>
      <c r="AZ69" s="598"/>
      <c r="BA69" s="598"/>
      <c r="BB69" s="598"/>
      <c r="BC69" s="598"/>
      <c r="BD69" s="598"/>
      <c r="BE69" s="598"/>
      <c r="BF69" s="598"/>
      <c r="BG69" s="598"/>
      <c r="BH69" s="598"/>
      <c r="BI69" s="598"/>
      <c r="BJ69" s="598"/>
      <c r="BK69" s="598"/>
      <c r="BL69" s="598"/>
      <c r="BM69" s="598"/>
      <c r="BN69" s="598"/>
      <c r="BO69" s="598"/>
      <c r="BP69" s="598"/>
      <c r="BQ69" s="598"/>
      <c r="BR69" s="598"/>
      <c r="BS69" s="598"/>
      <c r="BT69" s="598"/>
      <c r="BU69" s="598"/>
      <c r="BV69" s="598"/>
      <c r="BW69" s="598"/>
      <c r="BX69" s="598"/>
      <c r="BY69" s="598"/>
      <c r="BZ69" s="598"/>
      <c r="CA69" s="598"/>
      <c r="CB69" s="598"/>
      <c r="CC69" s="598"/>
      <c r="CD69" s="598"/>
      <c r="CE69" s="598"/>
      <c r="CF69" s="598"/>
      <c r="CG69" s="598"/>
      <c r="CH69" s="598"/>
      <c r="CI69" s="599"/>
      <c r="CK69" s="1293"/>
    </row>
    <row r="70" spans="1:89" s="1292" customFormat="1" ht="28.5" x14ac:dyDescent="0.2">
      <c r="A70" s="1284"/>
      <c r="B70" s="600" t="s">
        <v>549</v>
      </c>
      <c r="C70" s="601" t="s">
        <v>550</v>
      </c>
      <c r="D70" s="602" t="s">
        <v>551</v>
      </c>
      <c r="E70" s="603" t="s">
        <v>344</v>
      </c>
      <c r="F70" s="604">
        <v>2</v>
      </c>
      <c r="G70" s="597"/>
      <c r="H70" s="597"/>
      <c r="I70" s="597">
        <v>0</v>
      </c>
      <c r="J70" s="597">
        <v>0</v>
      </c>
      <c r="K70" s="597">
        <v>0</v>
      </c>
      <c r="L70" s="597">
        <v>0</v>
      </c>
      <c r="M70" s="598">
        <v>0</v>
      </c>
      <c r="N70" s="598">
        <v>0</v>
      </c>
      <c r="O70" s="598">
        <v>0</v>
      </c>
      <c r="P70" s="598">
        <v>0</v>
      </c>
      <c r="Q70" s="598">
        <v>0</v>
      </c>
      <c r="R70" s="598">
        <v>0</v>
      </c>
      <c r="S70" s="598">
        <v>0</v>
      </c>
      <c r="T70" s="598">
        <v>0</v>
      </c>
      <c r="U70" s="598">
        <v>0</v>
      </c>
      <c r="V70" s="598">
        <v>0</v>
      </c>
      <c r="W70" s="598">
        <v>0</v>
      </c>
      <c r="X70" s="598">
        <v>0</v>
      </c>
      <c r="Y70" s="598">
        <v>0</v>
      </c>
      <c r="Z70" s="598">
        <v>0</v>
      </c>
      <c r="AA70" s="598">
        <v>0</v>
      </c>
      <c r="AB70" s="598">
        <v>0</v>
      </c>
      <c r="AC70" s="598">
        <v>0</v>
      </c>
      <c r="AD70" s="598">
        <v>0</v>
      </c>
      <c r="AE70" s="598">
        <v>0</v>
      </c>
      <c r="AF70" s="598">
        <v>0</v>
      </c>
      <c r="AG70" s="598">
        <v>0</v>
      </c>
      <c r="AH70" s="598">
        <v>0</v>
      </c>
      <c r="AI70" s="598">
        <v>0</v>
      </c>
      <c r="AJ70" s="598">
        <v>0</v>
      </c>
      <c r="AK70" s="598">
        <v>0</v>
      </c>
      <c r="AL70" s="598"/>
      <c r="AM70" s="598"/>
      <c r="AN70" s="598"/>
      <c r="AO70" s="598"/>
      <c r="AP70" s="598"/>
      <c r="AQ70" s="598"/>
      <c r="AR70" s="598"/>
      <c r="AS70" s="598"/>
      <c r="AT70" s="598"/>
      <c r="AU70" s="598"/>
      <c r="AV70" s="598"/>
      <c r="AW70" s="598"/>
      <c r="AX70" s="598"/>
      <c r="AY70" s="598"/>
      <c r="AZ70" s="598"/>
      <c r="BA70" s="598"/>
      <c r="BB70" s="598"/>
      <c r="BC70" s="598"/>
      <c r="BD70" s="598"/>
      <c r="BE70" s="598"/>
      <c r="BF70" s="598"/>
      <c r="BG70" s="598"/>
      <c r="BH70" s="598"/>
      <c r="BI70" s="598"/>
      <c r="BJ70" s="598"/>
      <c r="BK70" s="598"/>
      <c r="BL70" s="598"/>
      <c r="BM70" s="598"/>
      <c r="BN70" s="598"/>
      <c r="BO70" s="598"/>
      <c r="BP70" s="598"/>
      <c r="BQ70" s="598"/>
      <c r="BR70" s="598"/>
      <c r="BS70" s="598"/>
      <c r="BT70" s="598"/>
      <c r="BU70" s="598"/>
      <c r="BV70" s="598"/>
      <c r="BW70" s="598"/>
      <c r="BX70" s="598"/>
      <c r="BY70" s="598"/>
      <c r="BZ70" s="598"/>
      <c r="CA70" s="598"/>
      <c r="CB70" s="598"/>
      <c r="CC70" s="598"/>
      <c r="CD70" s="598"/>
      <c r="CE70" s="598"/>
      <c r="CF70" s="598"/>
      <c r="CG70" s="598"/>
      <c r="CH70" s="598"/>
      <c r="CI70" s="599"/>
      <c r="CK70" s="1293"/>
    </row>
    <row r="71" spans="1:89" s="1292" customFormat="1" x14ac:dyDescent="0.2">
      <c r="A71" s="1284"/>
      <c r="B71" s="600" t="s">
        <v>552</v>
      </c>
      <c r="C71" s="601" t="s">
        <v>553</v>
      </c>
      <c r="D71" s="602" t="s">
        <v>554</v>
      </c>
      <c r="E71" s="603" t="s">
        <v>344</v>
      </c>
      <c r="F71" s="604">
        <v>2</v>
      </c>
      <c r="G71" s="597"/>
      <c r="H71" s="597"/>
      <c r="I71" s="597">
        <v>0</v>
      </c>
      <c r="J71" s="597">
        <v>1.35E-4</v>
      </c>
      <c r="K71" s="597">
        <v>2.7E-4</v>
      </c>
      <c r="L71" s="597">
        <v>2.0135E-2</v>
      </c>
      <c r="M71" s="598">
        <v>2.1499999999999998E-2</v>
      </c>
      <c r="N71" s="598">
        <v>3.0000000000000001E-3</v>
      </c>
      <c r="O71" s="598">
        <v>3.0000000000000001E-3</v>
      </c>
      <c r="P71" s="598">
        <v>3.0000000000000001E-3</v>
      </c>
      <c r="Q71" s="598">
        <v>3.0000000000000001E-3</v>
      </c>
      <c r="R71" s="598">
        <v>1.5E-3</v>
      </c>
      <c r="S71" s="598">
        <v>0</v>
      </c>
      <c r="T71" s="598">
        <v>0</v>
      </c>
      <c r="U71" s="598">
        <v>0</v>
      </c>
      <c r="V71" s="598">
        <v>0</v>
      </c>
      <c r="W71" s="598">
        <v>0</v>
      </c>
      <c r="X71" s="598">
        <v>0</v>
      </c>
      <c r="Y71" s="598">
        <v>0</v>
      </c>
      <c r="Z71" s="598">
        <v>0</v>
      </c>
      <c r="AA71" s="598">
        <v>0</v>
      </c>
      <c r="AB71" s="598">
        <v>0</v>
      </c>
      <c r="AC71" s="598">
        <v>0</v>
      </c>
      <c r="AD71" s="598">
        <v>0</v>
      </c>
      <c r="AE71" s="598">
        <v>0</v>
      </c>
      <c r="AF71" s="598">
        <v>0</v>
      </c>
      <c r="AG71" s="598">
        <v>0</v>
      </c>
      <c r="AH71" s="598">
        <v>0</v>
      </c>
      <c r="AI71" s="598">
        <v>0</v>
      </c>
      <c r="AJ71" s="598">
        <v>0</v>
      </c>
      <c r="AK71" s="598">
        <v>0</v>
      </c>
      <c r="AL71" s="598"/>
      <c r="AM71" s="598"/>
      <c r="AN71" s="598"/>
      <c r="AO71" s="598"/>
      <c r="AP71" s="598"/>
      <c r="AQ71" s="598"/>
      <c r="AR71" s="598"/>
      <c r="AS71" s="598"/>
      <c r="AT71" s="598"/>
      <c r="AU71" s="598"/>
      <c r="AV71" s="598"/>
      <c r="AW71" s="598"/>
      <c r="AX71" s="598"/>
      <c r="AY71" s="598"/>
      <c r="AZ71" s="598"/>
      <c r="BA71" s="598"/>
      <c r="BB71" s="598"/>
      <c r="BC71" s="598"/>
      <c r="BD71" s="598"/>
      <c r="BE71" s="598"/>
      <c r="BF71" s="598"/>
      <c r="BG71" s="598"/>
      <c r="BH71" s="598"/>
      <c r="BI71" s="598"/>
      <c r="BJ71" s="598"/>
      <c r="BK71" s="598"/>
      <c r="BL71" s="598"/>
      <c r="BM71" s="598"/>
      <c r="BN71" s="598"/>
      <c r="BO71" s="598"/>
      <c r="BP71" s="598"/>
      <c r="BQ71" s="598"/>
      <c r="BR71" s="598"/>
      <c r="BS71" s="598"/>
      <c r="BT71" s="598"/>
      <c r="BU71" s="598"/>
      <c r="BV71" s="598"/>
      <c r="BW71" s="598"/>
      <c r="BX71" s="598"/>
      <c r="BY71" s="598"/>
      <c r="BZ71" s="598"/>
      <c r="CA71" s="598"/>
      <c r="CB71" s="598"/>
      <c r="CC71" s="598"/>
      <c r="CD71" s="598"/>
      <c r="CE71" s="598"/>
      <c r="CF71" s="598"/>
      <c r="CG71" s="598"/>
      <c r="CH71" s="598"/>
      <c r="CI71" s="599"/>
      <c r="CK71" s="1293"/>
    </row>
    <row r="72" spans="1:89" s="1292" customFormat="1" ht="28.5" x14ac:dyDescent="0.2">
      <c r="A72" s="1284"/>
      <c r="B72" s="600" t="s">
        <v>555</v>
      </c>
      <c r="C72" s="601" t="s">
        <v>556</v>
      </c>
      <c r="D72" s="602" t="s">
        <v>557</v>
      </c>
      <c r="E72" s="603" t="s">
        <v>344</v>
      </c>
      <c r="F72" s="604">
        <v>2</v>
      </c>
      <c r="G72" s="597"/>
      <c r="H72" s="597"/>
      <c r="I72" s="597">
        <v>0</v>
      </c>
      <c r="J72" s="597">
        <v>-1.0181128259833194E-2</v>
      </c>
      <c r="K72" s="597">
        <v>-3.6266484965965518E-3</v>
      </c>
      <c r="L72" s="597">
        <v>-1.1793110247102945E-2</v>
      </c>
      <c r="M72" s="598">
        <v>-2.22607913609707E-2</v>
      </c>
      <c r="N72" s="598">
        <v>-1.8833372778907176E-2</v>
      </c>
      <c r="O72" s="598">
        <v>-1.3829564075223288E-2</v>
      </c>
      <c r="P72" s="598">
        <v>-1.3109310820855313E-2</v>
      </c>
      <c r="Q72" s="598">
        <v>-1.224481712998049E-2</v>
      </c>
      <c r="R72" s="598">
        <v>-9.0259235834668772E-3</v>
      </c>
      <c r="S72" s="598">
        <v>-5.6925932504476862E-3</v>
      </c>
      <c r="T72" s="598">
        <v>-5.390268439182222E-3</v>
      </c>
      <c r="U72" s="598">
        <v>-5.3151871302112852E-3</v>
      </c>
      <c r="V72" s="598">
        <v>-5.2761439899988716E-3</v>
      </c>
      <c r="W72" s="598">
        <v>-5.2155707985725996E-3</v>
      </c>
      <c r="X72" s="598">
        <v>-5.0996317853773121E-3</v>
      </c>
      <c r="Y72" s="598">
        <v>-4.9836027631222635E-3</v>
      </c>
      <c r="Z72" s="598">
        <v>-4.9576806826188147E-3</v>
      </c>
      <c r="AA72" s="598">
        <v>-5.7982460969867589E-3</v>
      </c>
      <c r="AB72" s="598">
        <v>-5.7581477495745048E-3</v>
      </c>
      <c r="AC72" s="598">
        <v>-5.7192790787023995E-3</v>
      </c>
      <c r="AD72" s="598">
        <v>-5.6562631239689409E-3</v>
      </c>
      <c r="AE72" s="598">
        <v>-5.5830741992277666E-3</v>
      </c>
      <c r="AF72" s="598">
        <v>-5.5180384476294364E-3</v>
      </c>
      <c r="AG72" s="598">
        <v>-5.4782170385916373E-3</v>
      </c>
      <c r="AH72" s="598">
        <v>-5.437204857566158E-3</v>
      </c>
      <c r="AI72" s="598">
        <v>-5.4185071815613384E-3</v>
      </c>
      <c r="AJ72" s="598">
        <v>-5.4152167677674612E-3</v>
      </c>
      <c r="AK72" s="598">
        <v>-5.4069983063147475E-3</v>
      </c>
      <c r="AL72" s="598"/>
      <c r="AM72" s="598"/>
      <c r="AN72" s="598"/>
      <c r="AO72" s="598"/>
      <c r="AP72" s="598"/>
      <c r="AQ72" s="598"/>
      <c r="AR72" s="598"/>
      <c r="AS72" s="598"/>
      <c r="AT72" s="598"/>
      <c r="AU72" s="598"/>
      <c r="AV72" s="598"/>
      <c r="AW72" s="598"/>
      <c r="AX72" s="598"/>
      <c r="AY72" s="598"/>
      <c r="AZ72" s="598"/>
      <c r="BA72" s="598"/>
      <c r="BB72" s="598"/>
      <c r="BC72" s="598"/>
      <c r="BD72" s="598"/>
      <c r="BE72" s="598"/>
      <c r="BF72" s="598"/>
      <c r="BG72" s="598"/>
      <c r="BH72" s="598"/>
      <c r="BI72" s="598"/>
      <c r="BJ72" s="598"/>
      <c r="BK72" s="598"/>
      <c r="BL72" s="598"/>
      <c r="BM72" s="598"/>
      <c r="BN72" s="598"/>
      <c r="BO72" s="598"/>
      <c r="BP72" s="598"/>
      <c r="BQ72" s="598"/>
      <c r="BR72" s="598"/>
      <c r="BS72" s="598"/>
      <c r="BT72" s="598"/>
      <c r="BU72" s="598"/>
      <c r="BV72" s="598"/>
      <c r="BW72" s="598"/>
      <c r="BX72" s="598"/>
      <c r="BY72" s="598"/>
      <c r="BZ72" s="598"/>
      <c r="CA72" s="598"/>
      <c r="CB72" s="598"/>
      <c r="CC72" s="598"/>
      <c r="CD72" s="598"/>
      <c r="CE72" s="598"/>
      <c r="CF72" s="598"/>
      <c r="CG72" s="598"/>
      <c r="CH72" s="598"/>
      <c r="CI72" s="599"/>
      <c r="CK72" s="1293"/>
    </row>
    <row r="73" spans="1:89" s="1292" customFormat="1" x14ac:dyDescent="0.2">
      <c r="A73" s="1284"/>
      <c r="B73" s="600" t="s">
        <v>558</v>
      </c>
      <c r="C73" s="601" t="s">
        <v>559</v>
      </c>
      <c r="D73" s="596" t="s">
        <v>86</v>
      </c>
      <c r="E73" s="573" t="s">
        <v>344</v>
      </c>
      <c r="F73" s="574">
        <v>2</v>
      </c>
      <c r="G73" s="597"/>
      <c r="H73" s="597"/>
      <c r="I73" s="597">
        <v>0.23</v>
      </c>
      <c r="J73" s="597">
        <v>0.238856738137941</v>
      </c>
      <c r="K73" s="597">
        <v>0.24115899651264597</v>
      </c>
      <c r="L73" s="597">
        <v>0.25162771663785649</v>
      </c>
      <c r="M73" s="598">
        <v>0.27229923985255911</v>
      </c>
      <c r="N73" s="598">
        <v>0.28954334448519514</v>
      </c>
      <c r="O73" s="598">
        <v>0.2987836404141484</v>
      </c>
      <c r="P73" s="598">
        <v>0.3073036830887339</v>
      </c>
      <c r="Q73" s="598">
        <v>0.31478264672286033</v>
      </c>
      <c r="R73" s="598">
        <v>0.3205427168104733</v>
      </c>
      <c r="S73" s="598">
        <v>0.32446945656506587</v>
      </c>
      <c r="T73" s="598">
        <v>0.32809387150839281</v>
      </c>
      <c r="U73" s="598">
        <v>0.33164320514274737</v>
      </c>
      <c r="V73" s="598">
        <v>0.33515349563689084</v>
      </c>
      <c r="W73" s="598">
        <v>0.33860321293960832</v>
      </c>
      <c r="X73" s="598">
        <v>0.34193699122913029</v>
      </c>
      <c r="Y73" s="598">
        <v>0.3451547404963991</v>
      </c>
      <c r="Z73" s="598">
        <v>0.34834656768316019</v>
      </c>
      <c r="AA73" s="598">
        <v>0.35149603353636283</v>
      </c>
      <c r="AB73" s="598">
        <v>0.35460540104215332</v>
      </c>
      <c r="AC73" s="598">
        <v>0.35767589987707205</v>
      </c>
      <c r="AD73" s="598">
        <v>0.3606833827572567</v>
      </c>
      <c r="AE73" s="598">
        <v>0.36361767671270168</v>
      </c>
      <c r="AF73" s="598">
        <v>0.36648693491654788</v>
      </c>
      <c r="AG73" s="598">
        <v>0.36931637171135556</v>
      </c>
      <c r="AH73" s="598">
        <v>0.37210479632513588</v>
      </c>
      <c r="AI73" s="598">
        <v>0.37487452326291332</v>
      </c>
      <c r="AJ73" s="598">
        <v>0.37764095978689732</v>
      </c>
      <c r="AK73" s="598">
        <v>0.38039917784942573</v>
      </c>
      <c r="AL73" s="598"/>
      <c r="AM73" s="598"/>
      <c r="AN73" s="598"/>
      <c r="AO73" s="598"/>
      <c r="AP73" s="598"/>
      <c r="AQ73" s="598"/>
      <c r="AR73" s="598"/>
      <c r="AS73" s="598"/>
      <c r="AT73" s="598"/>
      <c r="AU73" s="598"/>
      <c r="AV73" s="598"/>
      <c r="AW73" s="598"/>
      <c r="AX73" s="598"/>
      <c r="AY73" s="598"/>
      <c r="AZ73" s="598"/>
      <c r="BA73" s="598"/>
      <c r="BB73" s="598"/>
      <c r="BC73" s="598"/>
      <c r="BD73" s="598"/>
      <c r="BE73" s="598"/>
      <c r="BF73" s="598"/>
      <c r="BG73" s="598"/>
      <c r="BH73" s="598"/>
      <c r="BI73" s="598"/>
      <c r="BJ73" s="598"/>
      <c r="BK73" s="598"/>
      <c r="BL73" s="598"/>
      <c r="BM73" s="598"/>
      <c r="BN73" s="598"/>
      <c r="BO73" s="598"/>
      <c r="BP73" s="598"/>
      <c r="BQ73" s="598"/>
      <c r="BR73" s="598"/>
      <c r="BS73" s="598"/>
      <c r="BT73" s="598"/>
      <c r="BU73" s="598"/>
      <c r="BV73" s="598"/>
      <c r="BW73" s="598"/>
      <c r="BX73" s="598"/>
      <c r="BY73" s="598"/>
      <c r="BZ73" s="598"/>
      <c r="CA73" s="598"/>
      <c r="CB73" s="598"/>
      <c r="CC73" s="598"/>
      <c r="CD73" s="598"/>
      <c r="CE73" s="598"/>
      <c r="CF73" s="598"/>
      <c r="CG73" s="598"/>
      <c r="CH73" s="598"/>
      <c r="CI73" s="599"/>
      <c r="CK73" s="1293"/>
    </row>
    <row r="74" spans="1:89" s="1292" customFormat="1" ht="28.5" x14ac:dyDescent="0.2">
      <c r="A74" s="1284"/>
      <c r="B74" s="600" t="s">
        <v>560</v>
      </c>
      <c r="C74" s="601" t="s">
        <v>561</v>
      </c>
      <c r="D74" s="596" t="s">
        <v>86</v>
      </c>
      <c r="E74" s="573" t="s">
        <v>344</v>
      </c>
      <c r="F74" s="574">
        <v>2</v>
      </c>
      <c r="G74" s="597"/>
      <c r="H74" s="597"/>
      <c r="I74" s="597">
        <v>3.4140000000000001</v>
      </c>
      <c r="J74" s="597">
        <v>3.3693005048847255</v>
      </c>
      <c r="K74" s="597">
        <v>3.3201527315590238</v>
      </c>
      <c r="L74" s="597">
        <v>2.9993430120398479</v>
      </c>
      <c r="M74" s="598">
        <v>2.480657290987704</v>
      </c>
      <c r="N74" s="598">
        <v>2.2212345605374773</v>
      </c>
      <c r="O74" s="598">
        <v>2.1482665520446864</v>
      </c>
      <c r="P74" s="598">
        <v>2.075298543551896</v>
      </c>
      <c r="Q74" s="598">
        <v>2.0023305350591047</v>
      </c>
      <c r="R74" s="598">
        <v>1.9629838479649597</v>
      </c>
      <c r="S74" s="598">
        <v>1.9572584822694608</v>
      </c>
      <c r="T74" s="598">
        <v>1.9515331165739616</v>
      </c>
      <c r="U74" s="598">
        <v>1.9458077508784621</v>
      </c>
      <c r="V74" s="598">
        <v>1.9400823851829632</v>
      </c>
      <c r="W74" s="598">
        <v>1.934357019487464</v>
      </c>
      <c r="X74" s="598">
        <v>1.9286316537919648</v>
      </c>
      <c r="Y74" s="598">
        <v>1.9229062880964654</v>
      </c>
      <c r="Z74" s="598">
        <v>1.9171809224009664</v>
      </c>
      <c r="AA74" s="598">
        <v>1.9114555567054672</v>
      </c>
      <c r="AB74" s="598">
        <v>1.905730191009968</v>
      </c>
      <c r="AC74" s="598">
        <v>1.9000048253144688</v>
      </c>
      <c r="AD74" s="598">
        <v>1.8942794596189696</v>
      </c>
      <c r="AE74" s="598">
        <v>1.8885540939234704</v>
      </c>
      <c r="AF74" s="598">
        <v>1.8828287282279712</v>
      </c>
      <c r="AG74" s="598">
        <v>1.8771033625324722</v>
      </c>
      <c r="AH74" s="598">
        <v>1.8713779968369728</v>
      </c>
      <c r="AI74" s="598">
        <v>1.8656526311414736</v>
      </c>
      <c r="AJ74" s="598">
        <v>1.8599272654459744</v>
      </c>
      <c r="AK74" s="598">
        <v>1.8542018997504754</v>
      </c>
      <c r="AL74" s="598"/>
      <c r="AM74" s="598"/>
      <c r="AN74" s="598"/>
      <c r="AO74" s="598"/>
      <c r="AP74" s="598"/>
      <c r="AQ74" s="598"/>
      <c r="AR74" s="598"/>
      <c r="AS74" s="598"/>
      <c r="AT74" s="598"/>
      <c r="AU74" s="598"/>
      <c r="AV74" s="598"/>
      <c r="AW74" s="598"/>
      <c r="AX74" s="598"/>
      <c r="AY74" s="598"/>
      <c r="AZ74" s="598"/>
      <c r="BA74" s="598"/>
      <c r="BB74" s="598"/>
      <c r="BC74" s="598"/>
      <c r="BD74" s="598"/>
      <c r="BE74" s="598"/>
      <c r="BF74" s="598"/>
      <c r="BG74" s="598"/>
      <c r="BH74" s="598"/>
      <c r="BI74" s="598"/>
      <c r="BJ74" s="598"/>
      <c r="BK74" s="598"/>
      <c r="BL74" s="598"/>
      <c r="BM74" s="598"/>
      <c r="BN74" s="598"/>
      <c r="BO74" s="598"/>
      <c r="BP74" s="598"/>
      <c r="BQ74" s="598"/>
      <c r="BR74" s="598"/>
      <c r="BS74" s="598"/>
      <c r="BT74" s="598"/>
      <c r="BU74" s="598"/>
      <c r="BV74" s="598"/>
      <c r="BW74" s="598"/>
      <c r="BX74" s="598"/>
      <c r="BY74" s="598"/>
      <c r="BZ74" s="598"/>
      <c r="CA74" s="598"/>
      <c r="CB74" s="598"/>
      <c r="CC74" s="598"/>
      <c r="CD74" s="598"/>
      <c r="CE74" s="598"/>
      <c r="CF74" s="598"/>
      <c r="CG74" s="598"/>
      <c r="CH74" s="598"/>
      <c r="CI74" s="599"/>
      <c r="CK74" s="1293"/>
    </row>
    <row r="75" spans="1:89" s="1292" customFormat="1" x14ac:dyDescent="0.2">
      <c r="A75" s="1284"/>
      <c r="B75" s="600" t="s">
        <v>562</v>
      </c>
      <c r="C75" s="601" t="s">
        <v>563</v>
      </c>
      <c r="D75" s="596" t="s">
        <v>86</v>
      </c>
      <c r="E75" s="573" t="s">
        <v>344</v>
      </c>
      <c r="F75" s="574">
        <v>2</v>
      </c>
      <c r="G75" s="597"/>
      <c r="H75" s="597"/>
      <c r="I75" s="597">
        <v>7.8E-2</v>
      </c>
      <c r="J75" s="597">
        <v>7.6933676633784712E-2</v>
      </c>
      <c r="K75" s="597">
        <v>7.5811449959485896E-2</v>
      </c>
      <c r="L75" s="597">
        <v>6.8486169478661624E-2</v>
      </c>
      <c r="M75" s="598">
        <v>5.6642643061194646E-2</v>
      </c>
      <c r="N75" s="598">
        <v>5.0719056124684782E-2</v>
      </c>
      <c r="O75" s="598">
        <v>4.9052924783221763E-2</v>
      </c>
      <c r="P75" s="598">
        <v>4.7386793441758737E-2</v>
      </c>
      <c r="Q75" s="598">
        <v>4.5720662100295718E-2</v>
      </c>
      <c r="R75" s="598">
        <v>4.4822230720511377E-2</v>
      </c>
      <c r="S75" s="598">
        <v>4.4691499302405714E-2</v>
      </c>
      <c r="T75" s="598">
        <v>4.4560767884300058E-2</v>
      </c>
      <c r="U75" s="598">
        <v>4.4430036466194395E-2</v>
      </c>
      <c r="V75" s="598">
        <v>4.4299305048088732E-2</v>
      </c>
      <c r="W75" s="598">
        <v>4.4168573629983075E-2</v>
      </c>
      <c r="X75" s="598">
        <v>4.4037842211877412E-2</v>
      </c>
      <c r="Y75" s="598">
        <v>4.3907110793771749E-2</v>
      </c>
      <c r="Z75" s="598">
        <v>4.3776379375666093E-2</v>
      </c>
      <c r="AA75" s="598">
        <v>4.3645647957560436E-2</v>
      </c>
      <c r="AB75" s="598">
        <v>4.3514916539454773E-2</v>
      </c>
      <c r="AC75" s="598">
        <v>4.338418512134911E-2</v>
      </c>
      <c r="AD75" s="598">
        <v>4.3253453703243454E-2</v>
      </c>
      <c r="AE75" s="598">
        <v>4.3122722285137791E-2</v>
      </c>
      <c r="AF75" s="598">
        <v>4.2991990867032127E-2</v>
      </c>
      <c r="AG75" s="598">
        <v>4.2861259448926471E-2</v>
      </c>
      <c r="AH75" s="598">
        <v>4.2730528030820808E-2</v>
      </c>
      <c r="AI75" s="598">
        <v>4.2599796612715145E-2</v>
      </c>
      <c r="AJ75" s="598">
        <v>4.2469065194609482E-2</v>
      </c>
      <c r="AK75" s="598">
        <v>4.2338333776503825E-2</v>
      </c>
      <c r="AL75" s="598"/>
      <c r="AM75" s="598"/>
      <c r="AN75" s="598"/>
      <c r="AO75" s="598"/>
      <c r="AP75" s="598"/>
      <c r="AQ75" s="598"/>
      <c r="AR75" s="598"/>
      <c r="AS75" s="598"/>
      <c r="AT75" s="598"/>
      <c r="AU75" s="598"/>
      <c r="AV75" s="598"/>
      <c r="AW75" s="598"/>
      <c r="AX75" s="598"/>
      <c r="AY75" s="598"/>
      <c r="AZ75" s="598"/>
      <c r="BA75" s="598"/>
      <c r="BB75" s="598"/>
      <c r="BC75" s="598"/>
      <c r="BD75" s="598"/>
      <c r="BE75" s="598"/>
      <c r="BF75" s="598"/>
      <c r="BG75" s="598"/>
      <c r="BH75" s="598"/>
      <c r="BI75" s="598"/>
      <c r="BJ75" s="598"/>
      <c r="BK75" s="598"/>
      <c r="BL75" s="598"/>
      <c r="BM75" s="598"/>
      <c r="BN75" s="598"/>
      <c r="BO75" s="598"/>
      <c r="BP75" s="598"/>
      <c r="BQ75" s="598"/>
      <c r="BR75" s="598"/>
      <c r="BS75" s="598"/>
      <c r="BT75" s="598"/>
      <c r="BU75" s="598"/>
      <c r="BV75" s="598"/>
      <c r="BW75" s="598"/>
      <c r="BX75" s="598"/>
      <c r="BY75" s="598"/>
      <c r="BZ75" s="598"/>
      <c r="CA75" s="598"/>
      <c r="CB75" s="598"/>
      <c r="CC75" s="598"/>
      <c r="CD75" s="598"/>
      <c r="CE75" s="598"/>
      <c r="CF75" s="598"/>
      <c r="CG75" s="598"/>
      <c r="CH75" s="598"/>
      <c r="CI75" s="599"/>
      <c r="CK75" s="1293"/>
    </row>
    <row r="76" spans="1:89" s="1292" customFormat="1" ht="29.25" thickBot="1" x14ac:dyDescent="0.25">
      <c r="A76" s="1284"/>
      <c r="B76" s="605" t="s">
        <v>564</v>
      </c>
      <c r="C76" s="606" t="s">
        <v>565</v>
      </c>
      <c r="D76" s="607" t="s">
        <v>566</v>
      </c>
      <c r="E76" s="608" t="s">
        <v>344</v>
      </c>
      <c r="F76" s="609">
        <v>2</v>
      </c>
      <c r="G76" s="559">
        <f>SUM(G63:G66)+G73+G74+G75</f>
        <v>0</v>
      </c>
      <c r="H76" s="559">
        <f t="shared" ref="H76:AK76" si="35">SUM(H63:H66)+H73+H74+H75</f>
        <v>0</v>
      </c>
      <c r="I76" s="559">
        <f t="shared" si="35"/>
        <v>12.215</v>
      </c>
      <c r="J76" s="559">
        <f t="shared" si="35"/>
        <v>12.424252961385028</v>
      </c>
      <c r="K76" s="559">
        <f t="shared" si="35"/>
        <v>12.454526404246483</v>
      </c>
      <c r="L76" s="559">
        <f t="shared" si="35"/>
        <v>12.474483689219737</v>
      </c>
      <c r="M76" s="559">
        <f t="shared" si="35"/>
        <v>12.626309989845792</v>
      </c>
      <c r="N76" s="559">
        <f t="shared" si="35"/>
        <v>12.931030459389865</v>
      </c>
      <c r="O76" s="559">
        <f t="shared" si="35"/>
        <v>13.164243088003868</v>
      </c>
      <c r="P76" s="559">
        <f t="shared" si="35"/>
        <v>13.373858848093819</v>
      </c>
      <c r="Q76" s="559">
        <f t="shared" si="35"/>
        <v>13.549366875810637</v>
      </c>
      <c r="R76" s="559">
        <f t="shared" si="35"/>
        <v>13.702949698221053</v>
      </c>
      <c r="S76" s="559">
        <f t="shared" si="35"/>
        <v>13.830858148224268</v>
      </c>
      <c r="T76" s="559">
        <f t="shared" si="35"/>
        <v>13.948861861553636</v>
      </c>
      <c r="U76" s="559">
        <f t="shared" si="35"/>
        <v>14.064405768189051</v>
      </c>
      <c r="V76" s="559">
        <f t="shared" si="35"/>
        <v>14.178847132532853</v>
      </c>
      <c r="W76" s="559">
        <f t="shared" si="35"/>
        <v>14.291304003748031</v>
      </c>
      <c r="X76" s="559">
        <f t="shared" si="35"/>
        <v>14.399962492054707</v>
      </c>
      <c r="Y76" s="559">
        <f t="shared" si="35"/>
        <v>14.504819648584709</v>
      </c>
      <c r="Z76" s="559">
        <f t="shared" si="35"/>
        <v>14.608827548381887</v>
      </c>
      <c r="AA76" s="559">
        <f t="shared" si="35"/>
        <v>14.711447610203434</v>
      </c>
      <c r="AB76" s="559">
        <f t="shared" si="35"/>
        <v>14.812753973785956</v>
      </c>
      <c r="AC76" s="559">
        <f t="shared" si="35"/>
        <v>14.912786925675157</v>
      </c>
      <c r="AD76" s="559">
        <f t="shared" si="35"/>
        <v>15.010755354856878</v>
      </c>
      <c r="AE76" s="559">
        <f t="shared" si="35"/>
        <v>15.106325975456651</v>
      </c>
      <c r="AF76" s="559">
        <f t="shared" si="35"/>
        <v>15.199765900956427</v>
      </c>
      <c r="AG76" s="559">
        <f t="shared" si="35"/>
        <v>15.2919012012458</v>
      </c>
      <c r="AH76" s="559">
        <f t="shared" si="35"/>
        <v>15.382692864366271</v>
      </c>
      <c r="AI76" s="559">
        <f t="shared" si="35"/>
        <v>15.472871956006273</v>
      </c>
      <c r="AJ76" s="559">
        <f t="shared" si="35"/>
        <v>15.562943247422943</v>
      </c>
      <c r="AK76" s="559">
        <f t="shared" si="35"/>
        <v>15.652745286388116</v>
      </c>
      <c r="AL76" s="559"/>
      <c r="AM76" s="559"/>
      <c r="AN76" s="559"/>
      <c r="AO76" s="559"/>
      <c r="AP76" s="559"/>
      <c r="AQ76" s="559"/>
      <c r="AR76" s="559"/>
      <c r="AS76" s="559"/>
      <c r="AT76" s="559"/>
      <c r="AU76" s="559"/>
      <c r="AV76" s="559"/>
      <c r="AW76" s="559"/>
      <c r="AX76" s="559"/>
      <c r="AY76" s="559"/>
      <c r="AZ76" s="559"/>
      <c r="BA76" s="559"/>
      <c r="BB76" s="559"/>
      <c r="BC76" s="559"/>
      <c r="BD76" s="559"/>
      <c r="BE76" s="559"/>
      <c r="BF76" s="559"/>
      <c r="BG76" s="559"/>
      <c r="BH76" s="559"/>
      <c r="BI76" s="559"/>
      <c r="BJ76" s="559"/>
      <c r="BK76" s="559"/>
      <c r="BL76" s="559"/>
      <c r="BM76" s="559"/>
      <c r="BN76" s="559"/>
      <c r="BO76" s="559"/>
      <c r="BP76" s="559"/>
      <c r="BQ76" s="559"/>
      <c r="BR76" s="559"/>
      <c r="BS76" s="559"/>
      <c r="BT76" s="559"/>
      <c r="BU76" s="559"/>
      <c r="BV76" s="559"/>
      <c r="BW76" s="559"/>
      <c r="BX76" s="559"/>
      <c r="BY76" s="559"/>
      <c r="BZ76" s="559"/>
      <c r="CA76" s="559"/>
      <c r="CB76" s="559"/>
      <c r="CC76" s="559"/>
      <c r="CD76" s="559"/>
      <c r="CE76" s="559"/>
      <c r="CF76" s="559"/>
      <c r="CG76" s="559"/>
      <c r="CH76" s="559"/>
      <c r="CI76" s="559"/>
      <c r="CK76" s="1293"/>
    </row>
    <row r="77" spans="1:89" s="1292" customFormat="1" x14ac:dyDescent="0.2">
      <c r="A77" s="1284"/>
      <c r="B77" s="527" t="s">
        <v>567</v>
      </c>
      <c r="C77" s="528" t="s">
        <v>568</v>
      </c>
      <c r="D77" s="529" t="s">
        <v>86</v>
      </c>
      <c r="E77" s="610" t="s">
        <v>344</v>
      </c>
      <c r="F77" s="611">
        <v>2</v>
      </c>
      <c r="G77" s="593"/>
      <c r="H77" s="593"/>
      <c r="I77" s="593">
        <v>0.2228945</v>
      </c>
      <c r="J77" s="593">
        <v>0.22953270318025651</v>
      </c>
      <c r="K77" s="593">
        <v>0.2352137440827955</v>
      </c>
      <c r="L77" s="593">
        <v>0.2404254557778335</v>
      </c>
      <c r="M77" s="594">
        <v>0.24655893937977372</v>
      </c>
      <c r="N77" s="594">
        <v>0.25357297295599301</v>
      </c>
      <c r="O77" s="594">
        <v>0.26036976253301897</v>
      </c>
      <c r="P77" s="594">
        <v>0.26720628711451949</v>
      </c>
      <c r="Q77" s="594">
        <v>0.27450776596569404</v>
      </c>
      <c r="R77" s="594">
        <v>0.28006789667672954</v>
      </c>
      <c r="S77" s="594">
        <v>0.28867842500048929</v>
      </c>
      <c r="T77" s="594">
        <v>0.297718929825527</v>
      </c>
      <c r="U77" s="594">
        <v>0.305002365485046</v>
      </c>
      <c r="V77" s="594">
        <v>0.31085030756813603</v>
      </c>
      <c r="W77" s="594">
        <v>0.31530343317580456</v>
      </c>
      <c r="X77" s="594">
        <v>0.31939113187034279</v>
      </c>
      <c r="Y77" s="594">
        <v>0.32309601277342725</v>
      </c>
      <c r="Z77" s="594">
        <v>0.32740176288351802</v>
      </c>
      <c r="AA77" s="594">
        <v>0.33128847402541856</v>
      </c>
      <c r="AB77" s="594">
        <v>0.33503907073575379</v>
      </c>
      <c r="AC77" s="594">
        <v>0.33928252586763902</v>
      </c>
      <c r="AD77" s="594">
        <v>0.34449314920012103</v>
      </c>
      <c r="AE77" s="594">
        <v>0.35039029404144284</v>
      </c>
      <c r="AF77" s="594">
        <v>0.35630140162372131</v>
      </c>
      <c r="AG77" s="594">
        <v>0.36301425451317926</v>
      </c>
      <c r="AH77" s="594">
        <v>0.37002278916514059</v>
      </c>
      <c r="AI77" s="594">
        <v>0.37724776566979534</v>
      </c>
      <c r="AJ77" s="594">
        <v>0.38489577556049653</v>
      </c>
      <c r="AK77" s="594">
        <v>0.39249443734212774</v>
      </c>
      <c r="AL77" s="594"/>
      <c r="AM77" s="594"/>
      <c r="AN77" s="594"/>
      <c r="AO77" s="594"/>
      <c r="AP77" s="594"/>
      <c r="AQ77" s="594"/>
      <c r="AR77" s="594"/>
      <c r="AS77" s="594"/>
      <c r="AT77" s="594"/>
      <c r="AU77" s="594"/>
      <c r="AV77" s="594"/>
      <c r="AW77" s="594"/>
      <c r="AX77" s="594"/>
      <c r="AY77" s="594"/>
      <c r="AZ77" s="594"/>
      <c r="BA77" s="594"/>
      <c r="BB77" s="594"/>
      <c r="BC77" s="594"/>
      <c r="BD77" s="594"/>
      <c r="BE77" s="594"/>
      <c r="BF77" s="594"/>
      <c r="BG77" s="594"/>
      <c r="BH77" s="594"/>
      <c r="BI77" s="594"/>
      <c r="BJ77" s="594"/>
      <c r="BK77" s="594"/>
      <c r="BL77" s="594"/>
      <c r="BM77" s="594"/>
      <c r="BN77" s="594"/>
      <c r="BO77" s="594"/>
      <c r="BP77" s="594"/>
      <c r="BQ77" s="594"/>
      <c r="BR77" s="594"/>
      <c r="BS77" s="594"/>
      <c r="BT77" s="594"/>
      <c r="BU77" s="594"/>
      <c r="BV77" s="594"/>
      <c r="BW77" s="594"/>
      <c r="BX77" s="594"/>
      <c r="BY77" s="594"/>
      <c r="BZ77" s="594"/>
      <c r="CA77" s="594"/>
      <c r="CB77" s="594"/>
      <c r="CC77" s="594"/>
      <c r="CD77" s="594"/>
      <c r="CE77" s="594"/>
      <c r="CF77" s="594"/>
      <c r="CG77" s="594"/>
      <c r="CH77" s="594"/>
      <c r="CI77" s="595"/>
      <c r="CK77" s="1293"/>
    </row>
    <row r="78" spans="1:89" s="1292" customFormat="1" x14ac:dyDescent="0.2">
      <c r="A78" s="1284"/>
      <c r="B78" s="543" t="s">
        <v>569</v>
      </c>
      <c r="C78" s="546" t="s">
        <v>570</v>
      </c>
      <c r="D78" s="537" t="s">
        <v>86</v>
      </c>
      <c r="E78" s="612" t="s">
        <v>344</v>
      </c>
      <c r="F78" s="613">
        <v>2</v>
      </c>
      <c r="G78" s="597"/>
      <c r="H78" s="597"/>
      <c r="I78" s="597">
        <v>0</v>
      </c>
      <c r="J78" s="597">
        <v>0</v>
      </c>
      <c r="K78" s="597">
        <v>0</v>
      </c>
      <c r="L78" s="597">
        <v>0</v>
      </c>
      <c r="M78" s="598">
        <v>0</v>
      </c>
      <c r="N78" s="598">
        <v>0</v>
      </c>
      <c r="O78" s="598">
        <v>0</v>
      </c>
      <c r="P78" s="598">
        <v>0</v>
      </c>
      <c r="Q78" s="598">
        <v>0</v>
      </c>
      <c r="R78" s="598">
        <v>0</v>
      </c>
      <c r="S78" s="598">
        <v>0</v>
      </c>
      <c r="T78" s="598">
        <v>0</v>
      </c>
      <c r="U78" s="598">
        <v>0</v>
      </c>
      <c r="V78" s="598">
        <v>0</v>
      </c>
      <c r="W78" s="598">
        <v>0</v>
      </c>
      <c r="X78" s="598">
        <v>0</v>
      </c>
      <c r="Y78" s="598">
        <v>0</v>
      </c>
      <c r="Z78" s="598">
        <v>0</v>
      </c>
      <c r="AA78" s="598">
        <v>0</v>
      </c>
      <c r="AB78" s="598">
        <v>0</v>
      </c>
      <c r="AC78" s="598">
        <v>0</v>
      </c>
      <c r="AD78" s="598">
        <v>0</v>
      </c>
      <c r="AE78" s="598">
        <v>0</v>
      </c>
      <c r="AF78" s="598">
        <v>0</v>
      </c>
      <c r="AG78" s="598">
        <v>0</v>
      </c>
      <c r="AH78" s="598">
        <v>0</v>
      </c>
      <c r="AI78" s="598">
        <v>0</v>
      </c>
      <c r="AJ78" s="598">
        <v>0</v>
      </c>
      <c r="AK78" s="598">
        <v>0</v>
      </c>
      <c r="AL78" s="598"/>
      <c r="AM78" s="598"/>
      <c r="AN78" s="598"/>
      <c r="AO78" s="598"/>
      <c r="AP78" s="598"/>
      <c r="AQ78" s="598"/>
      <c r="AR78" s="598"/>
      <c r="AS78" s="598"/>
      <c r="AT78" s="598"/>
      <c r="AU78" s="598"/>
      <c r="AV78" s="598"/>
      <c r="AW78" s="598"/>
      <c r="AX78" s="598"/>
      <c r="AY78" s="598"/>
      <c r="AZ78" s="598"/>
      <c r="BA78" s="598"/>
      <c r="BB78" s="598"/>
      <c r="BC78" s="598"/>
      <c r="BD78" s="598"/>
      <c r="BE78" s="598"/>
      <c r="BF78" s="598"/>
      <c r="BG78" s="598"/>
      <c r="BH78" s="598"/>
      <c r="BI78" s="598"/>
      <c r="BJ78" s="598"/>
      <c r="BK78" s="598"/>
      <c r="BL78" s="598"/>
      <c r="BM78" s="598"/>
      <c r="BN78" s="598"/>
      <c r="BO78" s="598"/>
      <c r="BP78" s="598"/>
      <c r="BQ78" s="598"/>
      <c r="BR78" s="598"/>
      <c r="BS78" s="598"/>
      <c r="BT78" s="598"/>
      <c r="BU78" s="598"/>
      <c r="BV78" s="598"/>
      <c r="BW78" s="598"/>
      <c r="BX78" s="598"/>
      <c r="BY78" s="598"/>
      <c r="BZ78" s="598"/>
      <c r="CA78" s="598"/>
      <c r="CB78" s="598"/>
      <c r="CC78" s="598"/>
      <c r="CD78" s="598"/>
      <c r="CE78" s="598"/>
      <c r="CF78" s="598"/>
      <c r="CG78" s="598"/>
      <c r="CH78" s="598"/>
      <c r="CI78" s="599"/>
      <c r="CK78" s="1293"/>
    </row>
    <row r="79" spans="1:89" s="1292" customFormat="1" x14ac:dyDescent="0.2">
      <c r="A79" s="1284"/>
      <c r="B79" s="535" t="s">
        <v>571</v>
      </c>
      <c r="C79" s="614" t="s">
        <v>572</v>
      </c>
      <c r="D79" s="537" t="s">
        <v>86</v>
      </c>
      <c r="E79" s="612" t="s">
        <v>344</v>
      </c>
      <c r="F79" s="613">
        <v>2</v>
      </c>
      <c r="G79" s="597"/>
      <c r="H79" s="597"/>
      <c r="I79" s="597">
        <v>16.861414125280735</v>
      </c>
      <c r="J79" s="597">
        <v>17.406992489696009</v>
      </c>
      <c r="K79" s="597">
        <v>17.54518716501147</v>
      </c>
      <c r="L79" s="597">
        <v>18.191790789120915</v>
      </c>
      <c r="M79" s="598">
        <v>19.622145315675187</v>
      </c>
      <c r="N79" s="598">
        <v>20.825551516925177</v>
      </c>
      <c r="O79" s="598">
        <v>21.473879584378516</v>
      </c>
      <c r="P79" s="598">
        <v>22.05846901819919</v>
      </c>
      <c r="Q79" s="598">
        <v>22.542224122232394</v>
      </c>
      <c r="R79" s="598">
        <v>22.899086068280972</v>
      </c>
      <c r="S79" s="598">
        <v>23.124160820810129</v>
      </c>
      <c r="T79" s="598">
        <v>23.329613339164254</v>
      </c>
      <c r="U79" s="598">
        <v>23.534478926466178</v>
      </c>
      <c r="V79" s="598">
        <v>23.74343435830426</v>
      </c>
      <c r="W79" s="598">
        <v>23.957570648620869</v>
      </c>
      <c r="X79" s="598">
        <v>24.166438139205461</v>
      </c>
      <c r="Y79" s="598">
        <v>24.380238553672271</v>
      </c>
      <c r="Z79" s="598">
        <v>24.59135623173816</v>
      </c>
      <c r="AA79" s="598">
        <v>24.784884156531412</v>
      </c>
      <c r="AB79" s="598">
        <v>24.969337696564487</v>
      </c>
      <c r="AC79" s="598">
        <v>25.154174263575335</v>
      </c>
      <c r="AD79" s="598">
        <v>25.341263044659108</v>
      </c>
      <c r="AE79" s="598">
        <v>25.527762503691591</v>
      </c>
      <c r="AF79" s="598">
        <v>25.71386436368136</v>
      </c>
      <c r="AG79" s="598">
        <v>25.895072326227137</v>
      </c>
      <c r="AH79" s="598">
        <v>26.073465299623333</v>
      </c>
      <c r="AI79" s="598">
        <v>26.260530266082078</v>
      </c>
      <c r="AJ79" s="598">
        <v>26.456166977253034</v>
      </c>
      <c r="AK79" s="598">
        <v>26.658435631977348</v>
      </c>
      <c r="AL79" s="598"/>
      <c r="AM79" s="598"/>
      <c r="AN79" s="598"/>
      <c r="AO79" s="598"/>
      <c r="AP79" s="598"/>
      <c r="AQ79" s="598"/>
      <c r="AR79" s="598"/>
      <c r="AS79" s="598"/>
      <c r="AT79" s="598"/>
      <c r="AU79" s="598"/>
      <c r="AV79" s="598"/>
      <c r="AW79" s="598"/>
      <c r="AX79" s="598"/>
      <c r="AY79" s="598"/>
      <c r="AZ79" s="598"/>
      <c r="BA79" s="598"/>
      <c r="BB79" s="598"/>
      <c r="BC79" s="598"/>
      <c r="BD79" s="598"/>
      <c r="BE79" s="598"/>
      <c r="BF79" s="598"/>
      <c r="BG79" s="598"/>
      <c r="BH79" s="598"/>
      <c r="BI79" s="598"/>
      <c r="BJ79" s="598"/>
      <c r="BK79" s="598"/>
      <c r="BL79" s="598"/>
      <c r="BM79" s="598"/>
      <c r="BN79" s="598"/>
      <c r="BO79" s="598"/>
      <c r="BP79" s="598"/>
      <c r="BQ79" s="598"/>
      <c r="BR79" s="598"/>
      <c r="BS79" s="598"/>
      <c r="BT79" s="598"/>
      <c r="BU79" s="598"/>
      <c r="BV79" s="598"/>
      <c r="BW79" s="598"/>
      <c r="BX79" s="598"/>
      <c r="BY79" s="598"/>
      <c r="BZ79" s="598"/>
      <c r="CA79" s="598"/>
      <c r="CB79" s="598"/>
      <c r="CC79" s="598"/>
      <c r="CD79" s="598"/>
      <c r="CE79" s="598"/>
      <c r="CF79" s="598"/>
      <c r="CG79" s="598"/>
      <c r="CH79" s="598"/>
      <c r="CI79" s="599"/>
      <c r="CK79" s="1293"/>
    </row>
    <row r="80" spans="1:89" s="1292" customFormat="1" x14ac:dyDescent="0.2">
      <c r="A80" s="1284"/>
      <c r="B80" s="535" t="s">
        <v>573</v>
      </c>
      <c r="C80" s="614" t="s">
        <v>574</v>
      </c>
      <c r="D80" s="537" t="s">
        <v>86</v>
      </c>
      <c r="E80" s="612" t="s">
        <v>344</v>
      </c>
      <c r="F80" s="613">
        <v>2</v>
      </c>
      <c r="G80" s="597"/>
      <c r="H80" s="597"/>
      <c r="I80" s="597">
        <v>9.8881450554464365</v>
      </c>
      <c r="J80" s="597">
        <v>9.7649371057985839</v>
      </c>
      <c r="K80" s="597">
        <v>9.6319790058662473</v>
      </c>
      <c r="L80" s="597">
        <v>8.9202220783995561</v>
      </c>
      <c r="M80" s="598">
        <v>7.7877719028905092</v>
      </c>
      <c r="N80" s="598">
        <v>7.2035308735989654</v>
      </c>
      <c r="O80" s="598">
        <v>7.0059948515725248</v>
      </c>
      <c r="P80" s="598">
        <v>6.8079996649102563</v>
      </c>
      <c r="Q80" s="598">
        <v>6.6095746897384897</v>
      </c>
      <c r="R80" s="598">
        <v>6.4833049231550159</v>
      </c>
      <c r="S80" s="598">
        <v>6.4298956896124597</v>
      </c>
      <c r="T80" s="598">
        <v>6.3769855407931031</v>
      </c>
      <c r="U80" s="598">
        <v>6.3245906744837326</v>
      </c>
      <c r="V80" s="598">
        <v>6.2727318513506249</v>
      </c>
      <c r="W80" s="598">
        <v>6.2214354973393835</v>
      </c>
      <c r="X80" s="598">
        <v>6.1707363125491463</v>
      </c>
      <c r="Y80" s="598">
        <v>6.1206428644643127</v>
      </c>
      <c r="Z80" s="598">
        <v>6.0712004577656948</v>
      </c>
      <c r="AA80" s="598">
        <v>6.0223983265473446</v>
      </c>
      <c r="AB80" s="598">
        <v>5.9741760314879402</v>
      </c>
      <c r="AC80" s="598">
        <v>5.926506036047293</v>
      </c>
      <c r="AD80" s="598">
        <v>5.879395245596319</v>
      </c>
      <c r="AE80" s="598">
        <v>5.832862657978958</v>
      </c>
      <c r="AF80" s="598">
        <v>5.7869184302895595</v>
      </c>
      <c r="AG80" s="598">
        <v>5.7415702229390089</v>
      </c>
      <c r="AH80" s="598">
        <v>5.6968029564988116</v>
      </c>
      <c r="AI80" s="598">
        <v>5.6526092593821371</v>
      </c>
      <c r="AJ80" s="598">
        <v>5.6090148715334029</v>
      </c>
      <c r="AK80" s="598">
        <v>5.5660396193058697</v>
      </c>
      <c r="AL80" s="598"/>
      <c r="AM80" s="598"/>
      <c r="AN80" s="598"/>
      <c r="AO80" s="598"/>
      <c r="AP80" s="598"/>
      <c r="AQ80" s="598"/>
      <c r="AR80" s="598"/>
      <c r="AS80" s="598"/>
      <c r="AT80" s="598"/>
      <c r="AU80" s="598"/>
      <c r="AV80" s="598"/>
      <c r="AW80" s="598"/>
      <c r="AX80" s="598"/>
      <c r="AY80" s="598"/>
      <c r="AZ80" s="598"/>
      <c r="BA80" s="598"/>
      <c r="BB80" s="598"/>
      <c r="BC80" s="598"/>
      <c r="BD80" s="598"/>
      <c r="BE80" s="598"/>
      <c r="BF80" s="598"/>
      <c r="BG80" s="598"/>
      <c r="BH80" s="598"/>
      <c r="BI80" s="598"/>
      <c r="BJ80" s="598"/>
      <c r="BK80" s="598"/>
      <c r="BL80" s="598"/>
      <c r="BM80" s="598"/>
      <c r="BN80" s="598"/>
      <c r="BO80" s="598"/>
      <c r="BP80" s="598"/>
      <c r="BQ80" s="598"/>
      <c r="BR80" s="598"/>
      <c r="BS80" s="598"/>
      <c r="BT80" s="598"/>
      <c r="BU80" s="598"/>
      <c r="BV80" s="598"/>
      <c r="BW80" s="598"/>
      <c r="BX80" s="598"/>
      <c r="BY80" s="598"/>
      <c r="BZ80" s="598"/>
      <c r="CA80" s="598"/>
      <c r="CB80" s="598"/>
      <c r="CC80" s="598"/>
      <c r="CD80" s="598"/>
      <c r="CE80" s="598"/>
      <c r="CF80" s="598"/>
      <c r="CG80" s="598"/>
      <c r="CH80" s="598"/>
      <c r="CI80" s="599"/>
      <c r="CK80" s="1293"/>
    </row>
    <row r="81" spans="1:89" s="1292" customFormat="1" x14ac:dyDescent="0.2">
      <c r="A81" s="1284"/>
      <c r="B81" s="615" t="s">
        <v>575</v>
      </c>
      <c r="C81" s="614" t="s">
        <v>576</v>
      </c>
      <c r="D81" s="616" t="s">
        <v>577</v>
      </c>
      <c r="E81" s="612" t="s">
        <v>344</v>
      </c>
      <c r="F81" s="613">
        <v>2</v>
      </c>
      <c r="G81" s="547">
        <f>SUM(G77:G80)</f>
        <v>0</v>
      </c>
      <c r="H81" s="547">
        <f t="shared" ref="H81:AK81" si="36">SUM(H77:H80)</f>
        <v>0</v>
      </c>
      <c r="I81" s="547">
        <f t="shared" si="36"/>
        <v>26.97245368072717</v>
      </c>
      <c r="J81" s="547">
        <f t="shared" si="36"/>
        <v>27.401462298674851</v>
      </c>
      <c r="K81" s="547">
        <f t="shared" si="36"/>
        <v>27.412379914960511</v>
      </c>
      <c r="L81" s="547">
        <f t="shared" si="36"/>
        <v>27.352438323298308</v>
      </c>
      <c r="M81" s="552">
        <f t="shared" si="36"/>
        <v>27.65647615794547</v>
      </c>
      <c r="N81" s="552">
        <f t="shared" si="36"/>
        <v>28.282655363480135</v>
      </c>
      <c r="O81" s="552">
        <f t="shared" si="36"/>
        <v>28.74024419848406</v>
      </c>
      <c r="P81" s="552">
        <f t="shared" si="36"/>
        <v>29.133674970223964</v>
      </c>
      <c r="Q81" s="552">
        <f t="shared" si="36"/>
        <v>29.426306577936579</v>
      </c>
      <c r="R81" s="552">
        <f t="shared" si="36"/>
        <v>29.662458888112717</v>
      </c>
      <c r="S81" s="552">
        <f t="shared" si="36"/>
        <v>29.842734935423081</v>
      </c>
      <c r="T81" s="552">
        <f t="shared" si="36"/>
        <v>30.004317809782886</v>
      </c>
      <c r="U81" s="552">
        <f t="shared" si="36"/>
        <v>30.164071966434957</v>
      </c>
      <c r="V81" s="552">
        <f t="shared" si="36"/>
        <v>30.327016517223019</v>
      </c>
      <c r="W81" s="552">
        <f t="shared" si="36"/>
        <v>30.494309579136058</v>
      </c>
      <c r="X81" s="552">
        <f t="shared" si="36"/>
        <v>30.65656558362495</v>
      </c>
      <c r="Y81" s="552">
        <f t="shared" si="36"/>
        <v>30.823977430910009</v>
      </c>
      <c r="Z81" s="552">
        <f t="shared" si="36"/>
        <v>30.989958452387373</v>
      </c>
      <c r="AA81" s="552">
        <f t="shared" si="36"/>
        <v>31.138570957104172</v>
      </c>
      <c r="AB81" s="552">
        <f t="shared" si="36"/>
        <v>31.27855279878818</v>
      </c>
      <c r="AC81" s="552">
        <f t="shared" si="36"/>
        <v>31.419962825490266</v>
      </c>
      <c r="AD81" s="552">
        <f t="shared" si="36"/>
        <v>31.565151439455548</v>
      </c>
      <c r="AE81" s="552">
        <f t="shared" si="36"/>
        <v>31.711015455711991</v>
      </c>
      <c r="AF81" s="552">
        <f t="shared" si="36"/>
        <v>31.857084195594641</v>
      </c>
      <c r="AG81" s="552">
        <f t="shared" si="36"/>
        <v>31.999656803679322</v>
      </c>
      <c r="AH81" s="552">
        <f t="shared" si="36"/>
        <v>32.140291045287285</v>
      </c>
      <c r="AI81" s="552">
        <f t="shared" si="36"/>
        <v>32.29038729113401</v>
      </c>
      <c r="AJ81" s="552">
        <f t="shared" si="36"/>
        <v>32.450077624346932</v>
      </c>
      <c r="AK81" s="552">
        <f t="shared" si="36"/>
        <v>32.616969688625346</v>
      </c>
      <c r="AL81" s="552"/>
      <c r="AM81" s="552"/>
      <c r="AN81" s="552"/>
      <c r="AO81" s="552"/>
      <c r="AP81" s="552"/>
      <c r="AQ81" s="552"/>
      <c r="AR81" s="552"/>
      <c r="AS81" s="552"/>
      <c r="AT81" s="552"/>
      <c r="AU81" s="552"/>
      <c r="AV81" s="552"/>
      <c r="AW81" s="552"/>
      <c r="AX81" s="552"/>
      <c r="AY81" s="552"/>
      <c r="AZ81" s="552"/>
      <c r="BA81" s="552"/>
      <c r="BB81" s="552"/>
      <c r="BC81" s="552"/>
      <c r="BD81" s="552"/>
      <c r="BE81" s="552"/>
      <c r="BF81" s="552"/>
      <c r="BG81" s="552"/>
      <c r="BH81" s="552"/>
      <c r="BI81" s="552"/>
      <c r="BJ81" s="552"/>
      <c r="BK81" s="552"/>
      <c r="BL81" s="552"/>
      <c r="BM81" s="552"/>
      <c r="BN81" s="552"/>
      <c r="BO81" s="552"/>
      <c r="BP81" s="552"/>
      <c r="BQ81" s="552"/>
      <c r="BR81" s="552"/>
      <c r="BS81" s="552"/>
      <c r="BT81" s="552"/>
      <c r="BU81" s="552"/>
      <c r="BV81" s="552"/>
      <c r="BW81" s="552"/>
      <c r="BX81" s="552"/>
      <c r="BY81" s="552"/>
      <c r="BZ81" s="552"/>
      <c r="CA81" s="552"/>
      <c r="CB81" s="552"/>
      <c r="CC81" s="552"/>
      <c r="CD81" s="552"/>
      <c r="CE81" s="552"/>
      <c r="CF81" s="552"/>
      <c r="CG81" s="552"/>
      <c r="CH81" s="552"/>
      <c r="CI81" s="548"/>
      <c r="CK81" s="1293"/>
    </row>
    <row r="82" spans="1:89" s="1292" customFormat="1" ht="28.5" x14ac:dyDescent="0.2">
      <c r="A82" s="1284"/>
      <c r="B82" s="615" t="s">
        <v>578</v>
      </c>
      <c r="C82" s="614" t="s">
        <v>579</v>
      </c>
      <c r="D82" s="616" t="s">
        <v>580</v>
      </c>
      <c r="E82" s="612" t="s">
        <v>581</v>
      </c>
      <c r="F82" s="613">
        <v>1</v>
      </c>
      <c r="G82" s="575" t="e">
        <f>(G80+G79)/(G66+G74)</f>
        <v>#DIV/0!</v>
      </c>
      <c r="H82" s="575" t="e">
        <f t="shared" ref="H82:AK82" si="37">(H80+H79)/(H66+H74)</f>
        <v>#DIV/0!</v>
      </c>
      <c r="I82" s="575">
        <f t="shared" si="37"/>
        <v>2.4864806823505456</v>
      </c>
      <c r="J82" s="575">
        <f t="shared" si="37"/>
        <v>2.4801307814684153</v>
      </c>
      <c r="K82" s="575">
        <f t="shared" si="37"/>
        <v>2.4751919145884309</v>
      </c>
      <c r="L82" s="575">
        <f t="shared" si="37"/>
        <v>2.4666303078991518</v>
      </c>
      <c r="M82" s="575">
        <f t="shared" si="37"/>
        <v>2.462838758319541</v>
      </c>
      <c r="N82" s="575">
        <f t="shared" si="37"/>
        <v>2.4548836349154795</v>
      </c>
      <c r="O82" s="575">
        <f t="shared" si="37"/>
        <v>2.4471021673208297</v>
      </c>
      <c r="P82" s="575">
        <f t="shared" si="37"/>
        <v>2.4389014279824952</v>
      </c>
      <c r="Q82" s="575">
        <f t="shared" si="37"/>
        <v>2.4292301314109017</v>
      </c>
      <c r="R82" s="575">
        <f t="shared" si="37"/>
        <v>2.4194924049718378</v>
      </c>
      <c r="S82" s="575">
        <f t="shared" si="37"/>
        <v>2.4100132709668509</v>
      </c>
      <c r="T82" s="575">
        <f t="shared" si="37"/>
        <v>2.401033935255124</v>
      </c>
      <c r="U82" s="575">
        <f t="shared" si="37"/>
        <v>2.3926633852314039</v>
      </c>
      <c r="V82" s="575">
        <f t="shared" si="37"/>
        <v>2.3850376824043669</v>
      </c>
      <c r="W82" s="575">
        <f t="shared" si="37"/>
        <v>2.3783521918232697</v>
      </c>
      <c r="X82" s="575">
        <f t="shared" si="37"/>
        <v>2.3720928731282456</v>
      </c>
      <c r="Y82" s="575">
        <f t="shared" si="37"/>
        <v>2.3670373220735574</v>
      </c>
      <c r="Z82" s="575">
        <f t="shared" si="37"/>
        <v>2.362050214689043</v>
      </c>
      <c r="AA82" s="575">
        <f t="shared" si="37"/>
        <v>2.3560823491690677</v>
      </c>
      <c r="AB82" s="575">
        <f t="shared" si="37"/>
        <v>2.3497821941295274</v>
      </c>
      <c r="AC82" s="575">
        <f t="shared" si="37"/>
        <v>2.3438591534076996</v>
      </c>
      <c r="AD82" s="575">
        <f t="shared" si="37"/>
        <v>2.3385786673444744</v>
      </c>
      <c r="AE82" s="575">
        <f t="shared" si="37"/>
        <v>2.333771569219345</v>
      </c>
      <c r="AF82" s="575">
        <f t="shared" si="37"/>
        <v>2.329396514940969</v>
      </c>
      <c r="AG82" s="575">
        <f t="shared" si="37"/>
        <v>2.3249766424870932</v>
      </c>
      <c r="AH82" s="575">
        <f t="shared" si="37"/>
        <v>2.32066871699918</v>
      </c>
      <c r="AI82" s="575">
        <f t="shared" si="37"/>
        <v>2.317183810255615</v>
      </c>
      <c r="AJ82" s="575">
        <f t="shared" si="37"/>
        <v>2.3144196861912252</v>
      </c>
      <c r="AK82" s="575">
        <f t="shared" si="37"/>
        <v>2.3122517417865383</v>
      </c>
      <c r="AL82" s="575"/>
      <c r="AM82" s="575"/>
      <c r="AN82" s="575"/>
      <c r="AO82" s="575"/>
      <c r="AP82" s="575"/>
      <c r="AQ82" s="575"/>
      <c r="AR82" s="575"/>
      <c r="AS82" s="575"/>
      <c r="AT82" s="575"/>
      <c r="AU82" s="575"/>
      <c r="AV82" s="575"/>
      <c r="AW82" s="575"/>
      <c r="AX82" s="575"/>
      <c r="AY82" s="575"/>
      <c r="AZ82" s="575"/>
      <c r="BA82" s="575"/>
      <c r="BB82" s="575"/>
      <c r="BC82" s="575"/>
      <c r="BD82" s="575"/>
      <c r="BE82" s="575"/>
      <c r="BF82" s="575"/>
      <c r="BG82" s="575"/>
      <c r="BH82" s="575"/>
      <c r="BI82" s="575"/>
      <c r="BJ82" s="575"/>
      <c r="BK82" s="575"/>
      <c r="BL82" s="575"/>
      <c r="BM82" s="575"/>
      <c r="BN82" s="575"/>
      <c r="BO82" s="575"/>
      <c r="BP82" s="575"/>
      <c r="BQ82" s="575"/>
      <c r="BR82" s="575"/>
      <c r="BS82" s="575"/>
      <c r="BT82" s="575"/>
      <c r="BU82" s="575"/>
      <c r="BV82" s="575"/>
      <c r="BW82" s="575"/>
      <c r="BX82" s="575"/>
      <c r="BY82" s="575"/>
      <c r="BZ82" s="575"/>
      <c r="CA82" s="575"/>
      <c r="CB82" s="575"/>
      <c r="CC82" s="575"/>
      <c r="CD82" s="575"/>
      <c r="CE82" s="575"/>
      <c r="CF82" s="575"/>
      <c r="CG82" s="575"/>
      <c r="CH82" s="575"/>
      <c r="CI82" s="575"/>
      <c r="CK82" s="1293"/>
    </row>
    <row r="83" spans="1:89" s="1292" customFormat="1" ht="28.5" x14ac:dyDescent="0.2">
      <c r="A83" s="1284"/>
      <c r="B83" s="615" t="s">
        <v>582</v>
      </c>
      <c r="C83" s="614" t="s">
        <v>583</v>
      </c>
      <c r="D83" s="616" t="s">
        <v>584</v>
      </c>
      <c r="E83" s="612" t="s">
        <v>375</v>
      </c>
      <c r="F83" s="613">
        <v>1</v>
      </c>
      <c r="G83" s="617" t="e">
        <f>G66/(G66+G74)</f>
        <v>#DIV/0!</v>
      </c>
      <c r="H83" s="617" t="e">
        <f t="shared" ref="H83:AK83" si="38">H66/(H66+H74)</f>
        <v>#DIV/0!</v>
      </c>
      <c r="I83" s="617">
        <f t="shared" si="38"/>
        <v>0.68265476854433904</v>
      </c>
      <c r="J83" s="617">
        <f t="shared" si="38"/>
        <v>0.69246549587824457</v>
      </c>
      <c r="K83" s="617">
        <f t="shared" si="38"/>
        <v>0.69761324103173861</v>
      </c>
      <c r="L83" s="617">
        <f t="shared" si="38"/>
        <v>0.72712205421877885</v>
      </c>
      <c r="M83" s="618">
        <f t="shared" si="38"/>
        <v>0.77710772076997292</v>
      </c>
      <c r="N83" s="618">
        <f t="shared" si="38"/>
        <v>0.80545662194722456</v>
      </c>
      <c r="O83" s="618">
        <f t="shared" si="38"/>
        <v>0.81541253816571302</v>
      </c>
      <c r="P83" s="618">
        <f t="shared" si="38"/>
        <v>0.82465993201585108</v>
      </c>
      <c r="Q83" s="618">
        <f t="shared" si="38"/>
        <v>0.83314505906879788</v>
      </c>
      <c r="R83" s="618">
        <f t="shared" si="38"/>
        <v>0.83835813386943503</v>
      </c>
      <c r="S83" s="618">
        <f t="shared" si="38"/>
        <v>0.84039352041848048</v>
      </c>
      <c r="T83" s="618">
        <f t="shared" si="38"/>
        <v>0.84226746193319169</v>
      </c>
      <c r="U83" s="618">
        <f t="shared" si="38"/>
        <v>0.84407876660436021</v>
      </c>
      <c r="V83" s="618">
        <f t="shared" si="38"/>
        <v>0.84584408404088751</v>
      </c>
      <c r="W83" s="618">
        <f t="shared" si="38"/>
        <v>0.84755686669017194</v>
      </c>
      <c r="X83" s="618">
        <f t="shared" si="38"/>
        <v>0.84919843447764265</v>
      </c>
      <c r="Y83" s="618">
        <f t="shared" si="38"/>
        <v>0.85077182234911508</v>
      </c>
      <c r="Z83" s="618">
        <f t="shared" si="38"/>
        <v>0.852312458637701</v>
      </c>
      <c r="AA83" s="618">
        <f t="shared" si="38"/>
        <v>0.85381551583303361</v>
      </c>
      <c r="AB83" s="618">
        <f t="shared" si="38"/>
        <v>0.85528305191822407</v>
      </c>
      <c r="AC83" s="618">
        <f t="shared" si="38"/>
        <v>0.85671665940381025</v>
      </c>
      <c r="AD83" s="618">
        <f t="shared" si="38"/>
        <v>0.85810928478608006</v>
      </c>
      <c r="AE83" s="618">
        <f t="shared" si="38"/>
        <v>0.85945899265049541</v>
      </c>
      <c r="AF83" s="618">
        <f t="shared" si="38"/>
        <v>0.86076997811608669</v>
      </c>
      <c r="AG83" s="618">
        <f t="shared" si="38"/>
        <v>0.86205168684889388</v>
      </c>
      <c r="AH83" s="618">
        <f t="shared" si="38"/>
        <v>0.86330463627409615</v>
      </c>
      <c r="AI83" s="618">
        <f t="shared" si="38"/>
        <v>0.86453667245767696</v>
      </c>
      <c r="AJ83" s="618">
        <f t="shared" si="38"/>
        <v>0.86575306828659404</v>
      </c>
      <c r="AK83" s="618">
        <f t="shared" si="38"/>
        <v>0.86695263339777073</v>
      </c>
      <c r="AL83" s="618"/>
      <c r="AM83" s="618"/>
      <c r="AN83" s="618"/>
      <c r="AO83" s="618"/>
      <c r="AP83" s="618"/>
      <c r="AQ83" s="618"/>
      <c r="AR83" s="618"/>
      <c r="AS83" s="618"/>
      <c r="AT83" s="618"/>
      <c r="AU83" s="618"/>
      <c r="AV83" s="618"/>
      <c r="AW83" s="618"/>
      <c r="AX83" s="618"/>
      <c r="AY83" s="618"/>
      <c r="AZ83" s="618"/>
      <c r="BA83" s="618"/>
      <c r="BB83" s="618"/>
      <c r="BC83" s="618"/>
      <c r="BD83" s="618"/>
      <c r="BE83" s="618"/>
      <c r="BF83" s="618"/>
      <c r="BG83" s="618"/>
      <c r="BH83" s="618"/>
      <c r="BI83" s="618"/>
      <c r="BJ83" s="618"/>
      <c r="BK83" s="618"/>
      <c r="BL83" s="618"/>
      <c r="BM83" s="618"/>
      <c r="BN83" s="618"/>
      <c r="BO83" s="618"/>
      <c r="BP83" s="618"/>
      <c r="BQ83" s="618"/>
      <c r="BR83" s="618"/>
      <c r="BS83" s="618"/>
      <c r="BT83" s="618"/>
      <c r="BU83" s="618"/>
      <c r="BV83" s="618"/>
      <c r="BW83" s="618"/>
      <c r="BX83" s="618"/>
      <c r="BY83" s="618"/>
      <c r="BZ83" s="618"/>
      <c r="CA83" s="618"/>
      <c r="CB83" s="618"/>
      <c r="CC83" s="618"/>
      <c r="CD83" s="618"/>
      <c r="CE83" s="618"/>
      <c r="CF83" s="618"/>
      <c r="CG83" s="618"/>
      <c r="CH83" s="618"/>
      <c r="CI83" s="619"/>
      <c r="CK83" s="1293"/>
    </row>
    <row r="84" spans="1:89" s="1292" customFormat="1" ht="29.25" thickBot="1" x14ac:dyDescent="0.25">
      <c r="A84" s="1284"/>
      <c r="B84" s="620" t="s">
        <v>585</v>
      </c>
      <c r="C84" s="621" t="s">
        <v>586</v>
      </c>
      <c r="D84" s="622" t="s">
        <v>587</v>
      </c>
      <c r="E84" s="623" t="s">
        <v>375</v>
      </c>
      <c r="F84" s="624">
        <v>1</v>
      </c>
      <c r="G84" s="625" t="e">
        <f>(G66)/(G66+G75+G74+G73)</f>
        <v>#DIV/0!</v>
      </c>
      <c r="H84" s="625" t="e">
        <f t="shared" ref="H84:AK84" si="39">(H66)/(H66+H75+H74+H73)</f>
        <v>#DIV/0!</v>
      </c>
      <c r="I84" s="625">
        <f t="shared" si="39"/>
        <v>0.66365443701427795</v>
      </c>
      <c r="J84" s="625">
        <f t="shared" si="39"/>
        <v>0.67306512060629986</v>
      </c>
      <c r="K84" s="625">
        <f t="shared" si="39"/>
        <v>0.67803929690409015</v>
      </c>
      <c r="L84" s="625">
        <f t="shared" si="39"/>
        <v>0.70654484159404463</v>
      </c>
      <c r="M84" s="625">
        <f t="shared" si="39"/>
        <v>0.75479879652420323</v>
      </c>
      <c r="N84" s="625">
        <f t="shared" si="39"/>
        <v>0.78214756567930299</v>
      </c>
      <c r="O84" s="625">
        <f t="shared" si="39"/>
        <v>0.79174915299855775</v>
      </c>
      <c r="P84" s="625">
        <f t="shared" si="39"/>
        <v>0.80066599571685459</v>
      </c>
      <c r="Q84" s="625">
        <f t="shared" si="39"/>
        <v>0.8088466006613465</v>
      </c>
      <c r="R84" s="625">
        <f t="shared" si="39"/>
        <v>0.81387200563114226</v>
      </c>
      <c r="S84" s="625">
        <f t="shared" si="39"/>
        <v>0.81583399916590271</v>
      </c>
      <c r="T84" s="625">
        <f t="shared" si="39"/>
        <v>0.81764030983307934</v>
      </c>
      <c r="U84" s="625">
        <f t="shared" si="39"/>
        <v>0.81938619019936443</v>
      </c>
      <c r="V84" s="625">
        <f t="shared" si="39"/>
        <v>0.82108769328470166</v>
      </c>
      <c r="W84" s="625">
        <f t="shared" si="39"/>
        <v>0.82273851244369389</v>
      </c>
      <c r="X84" s="625">
        <f t="shared" si="39"/>
        <v>0.82432064852221187</v>
      </c>
      <c r="Y84" s="625">
        <f t="shared" si="39"/>
        <v>0.82583703214918336</v>
      </c>
      <c r="Z84" s="625">
        <f t="shared" si="39"/>
        <v>0.82732181196625987</v>
      </c>
      <c r="AA84" s="625">
        <f t="shared" si="39"/>
        <v>0.82877033811597267</v>
      </c>
      <c r="AB84" s="625">
        <f t="shared" si="39"/>
        <v>0.83018459658759391</v>
      </c>
      <c r="AC84" s="625">
        <f t="shared" si="39"/>
        <v>0.83156612455332357</v>
      </c>
      <c r="AD84" s="625">
        <f t="shared" si="39"/>
        <v>0.83290812735016784</v>
      </c>
      <c r="AE84" s="625">
        <f t="shared" si="39"/>
        <v>0.83420874275278667</v>
      </c>
      <c r="AF84" s="625">
        <f t="shared" si="39"/>
        <v>0.83547201597101517</v>
      </c>
      <c r="AG84" s="625">
        <f t="shared" si="39"/>
        <v>0.83670705107347565</v>
      </c>
      <c r="AH84" s="625">
        <f t="shared" si="39"/>
        <v>0.83791434844977075</v>
      </c>
      <c r="AI84" s="625">
        <f t="shared" si="39"/>
        <v>0.83910146980373335</v>
      </c>
      <c r="AJ84" s="625">
        <f t="shared" si="39"/>
        <v>0.84027349689049047</v>
      </c>
      <c r="AK84" s="625">
        <f t="shared" si="39"/>
        <v>0.84142928372514569</v>
      </c>
      <c r="AL84" s="625"/>
      <c r="AM84" s="625"/>
      <c r="AN84" s="625"/>
      <c r="AO84" s="625"/>
      <c r="AP84" s="625"/>
      <c r="AQ84" s="625"/>
      <c r="AR84" s="625"/>
      <c r="AS84" s="625"/>
      <c r="AT84" s="625"/>
      <c r="AU84" s="625"/>
      <c r="AV84" s="625"/>
      <c r="AW84" s="625"/>
      <c r="AX84" s="625"/>
      <c r="AY84" s="625"/>
      <c r="AZ84" s="625"/>
      <c r="BA84" s="625"/>
      <c r="BB84" s="625"/>
      <c r="BC84" s="625"/>
      <c r="BD84" s="625"/>
      <c r="BE84" s="625"/>
      <c r="BF84" s="625"/>
      <c r="BG84" s="625"/>
      <c r="BH84" s="625"/>
      <c r="BI84" s="625"/>
      <c r="BJ84" s="625"/>
      <c r="BK84" s="625"/>
      <c r="BL84" s="625"/>
      <c r="BM84" s="625"/>
      <c r="BN84" s="625"/>
      <c r="BO84" s="625"/>
      <c r="BP84" s="625"/>
      <c r="BQ84" s="625"/>
      <c r="BR84" s="625"/>
      <c r="BS84" s="625"/>
      <c r="BT84" s="625"/>
      <c r="BU84" s="625"/>
      <c r="BV84" s="625"/>
      <c r="BW84" s="625"/>
      <c r="BX84" s="625"/>
      <c r="BY84" s="625"/>
      <c r="BZ84" s="625"/>
      <c r="CA84" s="625"/>
      <c r="CB84" s="625"/>
      <c r="CC84" s="625"/>
      <c r="CD84" s="625"/>
      <c r="CE84" s="625"/>
      <c r="CF84" s="625"/>
      <c r="CG84" s="625"/>
      <c r="CH84" s="625"/>
      <c r="CI84" s="625"/>
      <c r="CK84" s="1293"/>
    </row>
    <row r="85" spans="1:89" s="1292" customFormat="1" ht="29.25" thickBot="1" x14ac:dyDescent="0.25">
      <c r="A85" s="1284"/>
      <c r="B85" s="626" t="s">
        <v>588</v>
      </c>
      <c r="C85" s="627" t="s">
        <v>245</v>
      </c>
      <c r="D85" s="627" t="s">
        <v>589</v>
      </c>
      <c r="E85" s="627" t="s">
        <v>236</v>
      </c>
      <c r="F85" s="628">
        <v>2</v>
      </c>
      <c r="G85" s="629">
        <f>SUM(G45:G47)+G43+G54+G59+G60+G53</f>
        <v>0</v>
      </c>
      <c r="H85" s="629">
        <f>SUM(H45:H47)+H43+H54+H59+H60+H53</f>
        <v>0</v>
      </c>
      <c r="I85" s="629">
        <f t="shared" ref="I85:AK85" si="40">SUM(I45:I47)+I43+I54+I59+I60+I53</f>
        <v>9.9432240535373975</v>
      </c>
      <c r="J85" s="629">
        <f t="shared" si="40"/>
        <v>13.386806821728531</v>
      </c>
      <c r="K85" s="629">
        <f t="shared" si="40"/>
        <v>13.290196712470939</v>
      </c>
      <c r="L85" s="629">
        <f t="shared" si="40"/>
        <v>13.278712321828502</v>
      </c>
      <c r="M85" s="629">
        <f t="shared" si="40"/>
        <v>13.256484305659887</v>
      </c>
      <c r="N85" s="629">
        <f t="shared" si="40"/>
        <v>13.321012145669858</v>
      </c>
      <c r="O85" s="629">
        <f t="shared" si="40"/>
        <v>13.374240358088448</v>
      </c>
      <c r="P85" s="629">
        <f t="shared" si="40"/>
        <v>13.419517804941673</v>
      </c>
      <c r="Q85" s="629">
        <f t="shared" si="40"/>
        <v>13.451488743603232</v>
      </c>
      <c r="R85" s="629">
        <f t="shared" si="40"/>
        <v>13.480818285077762</v>
      </c>
      <c r="S85" s="629">
        <f t="shared" si="40"/>
        <v>13.507709659785643</v>
      </c>
      <c r="T85" s="629">
        <f t="shared" si="40"/>
        <v>13.53265884828939</v>
      </c>
      <c r="U85" s="629">
        <f t="shared" si="40"/>
        <v>13.557214819916497</v>
      </c>
      <c r="V85" s="629">
        <f t="shared" si="40"/>
        <v>13.582642863353673</v>
      </c>
      <c r="W85" s="629">
        <f t="shared" si="40"/>
        <v>13.608757820955063</v>
      </c>
      <c r="X85" s="629">
        <f t="shared" si="40"/>
        <v>13.635272169039428</v>
      </c>
      <c r="Y85" s="629">
        <f t="shared" si="40"/>
        <v>13.662449489251429</v>
      </c>
      <c r="Z85" s="629">
        <f t="shared" si="40"/>
        <v>13.68991476479272</v>
      </c>
      <c r="AA85" s="629">
        <f t="shared" si="40"/>
        <v>13.71445267403455</v>
      </c>
      <c r="AB85" s="629">
        <f t="shared" si="40"/>
        <v>13.733556388492374</v>
      </c>
      <c r="AC85" s="629">
        <f t="shared" si="40"/>
        <v>13.756624488265825</v>
      </c>
      <c r="AD85" s="629">
        <f t="shared" si="40"/>
        <v>13.781156724612254</v>
      </c>
      <c r="AE85" s="629">
        <f t="shared" si="40"/>
        <v>13.80581944356393</v>
      </c>
      <c r="AF85" s="629">
        <f t="shared" si="40"/>
        <v>13.830494950932271</v>
      </c>
      <c r="AG85" s="629">
        <f t="shared" si="40"/>
        <v>13.854341278472582</v>
      </c>
      <c r="AH85" s="629">
        <f t="shared" si="40"/>
        <v>13.87879279202112</v>
      </c>
      <c r="AI85" s="629">
        <f t="shared" si="40"/>
        <v>13.903852601082949</v>
      </c>
      <c r="AJ85" s="629">
        <f t="shared" si="40"/>
        <v>13.929928606511218</v>
      </c>
      <c r="AK85" s="629">
        <f t="shared" si="40"/>
        <v>13.956219126197997</v>
      </c>
      <c r="AL85" s="629"/>
      <c r="AM85" s="629"/>
      <c r="AN85" s="629"/>
      <c r="AO85" s="629"/>
      <c r="AP85" s="629"/>
      <c r="AQ85" s="629"/>
      <c r="AR85" s="629"/>
      <c r="AS85" s="629"/>
      <c r="AT85" s="629"/>
      <c r="AU85" s="629"/>
      <c r="AV85" s="629"/>
      <c r="AW85" s="629"/>
      <c r="AX85" s="629"/>
      <c r="AY85" s="629"/>
      <c r="AZ85" s="629"/>
      <c r="BA85" s="629"/>
      <c r="BB85" s="629"/>
      <c r="BC85" s="629"/>
      <c r="BD85" s="629"/>
      <c r="BE85" s="629"/>
      <c r="BF85" s="629"/>
      <c r="BG85" s="629"/>
      <c r="BH85" s="629"/>
      <c r="BI85" s="629"/>
      <c r="BJ85" s="629"/>
      <c r="BK85" s="629"/>
      <c r="BL85" s="629"/>
      <c r="BM85" s="629"/>
      <c r="BN85" s="629"/>
      <c r="BO85" s="629"/>
      <c r="BP85" s="629"/>
      <c r="BQ85" s="629"/>
      <c r="BR85" s="629"/>
      <c r="BS85" s="629"/>
      <c r="BT85" s="629"/>
      <c r="BU85" s="629"/>
      <c r="BV85" s="629"/>
      <c r="BW85" s="629"/>
      <c r="BX85" s="629"/>
      <c r="BY85" s="629"/>
      <c r="BZ85" s="629"/>
      <c r="CA85" s="629"/>
      <c r="CB85" s="629"/>
      <c r="CC85" s="629"/>
      <c r="CD85" s="629"/>
      <c r="CE85" s="629"/>
      <c r="CF85" s="629"/>
      <c r="CG85" s="629"/>
      <c r="CH85" s="629"/>
      <c r="CI85" s="629"/>
      <c r="CK85" s="1293"/>
    </row>
    <row r="86" spans="1:89" s="1292" customFormat="1" ht="28.5" x14ac:dyDescent="0.2">
      <c r="A86" s="1585"/>
      <c r="B86" s="630" t="s">
        <v>590</v>
      </c>
      <c r="C86" s="631" t="s">
        <v>591</v>
      </c>
      <c r="D86" s="529" t="s">
        <v>86</v>
      </c>
      <c r="E86" s="631" t="s">
        <v>236</v>
      </c>
      <c r="F86" s="632">
        <v>2</v>
      </c>
      <c r="G86" s="633"/>
      <c r="H86" s="540"/>
      <c r="I86" s="540">
        <v>0.16965122416421308</v>
      </c>
      <c r="J86" s="540">
        <v>3.9998080696744931E-2</v>
      </c>
      <c r="K86" s="540">
        <v>0.17982425504739907</v>
      </c>
      <c r="L86" s="540">
        <v>-6.4054155278751024E-2</v>
      </c>
      <c r="M86" s="541">
        <v>0.20378274629459514</v>
      </c>
      <c r="N86" s="541">
        <v>5.2139727503224043E-2</v>
      </c>
      <c r="O86" s="541">
        <v>0.12062670732334202</v>
      </c>
      <c r="P86" s="541">
        <v>8.0861442695626007E-2</v>
      </c>
      <c r="Q86" s="541">
        <v>6.1071751769004035E-2</v>
      </c>
      <c r="R86" s="541">
        <v>1.2375484121591951E-2</v>
      </c>
      <c r="S86" s="541">
        <v>1.3804554965359817E-3</v>
      </c>
      <c r="T86" s="541">
        <v>2.3052309999941012E-2</v>
      </c>
      <c r="U86" s="541">
        <v>1.7932055550664017E-2</v>
      </c>
      <c r="V86" s="541">
        <v>1.1074267351771971E-2</v>
      </c>
      <c r="W86" s="541">
        <v>1.5736741790331965E-2</v>
      </c>
      <c r="X86" s="541">
        <v>2.4257943658335002E-2</v>
      </c>
      <c r="Y86" s="541">
        <v>2.3781527352468967E-2</v>
      </c>
      <c r="Z86" s="541">
        <v>2.0918047327269984E-2</v>
      </c>
      <c r="AA86" s="541">
        <v>2.0586477823569982E-2</v>
      </c>
      <c r="AB86" s="541">
        <v>2.4425556646087976E-2</v>
      </c>
      <c r="AC86" s="541">
        <v>2.9952494812696961E-2</v>
      </c>
      <c r="AD86" s="541">
        <v>2.1433653534167013E-2</v>
      </c>
      <c r="AE86" s="541">
        <v>2.3783559680964017E-2</v>
      </c>
      <c r="AF86" s="541">
        <v>2.2481234750340001E-2</v>
      </c>
      <c r="AG86" s="541">
        <v>2.5881774231235999E-2</v>
      </c>
      <c r="AH86" s="541">
        <v>2.5220859946501001E-2</v>
      </c>
      <c r="AI86" s="541">
        <v>2.5460433302284979E-2</v>
      </c>
      <c r="AJ86" s="541">
        <v>3.4742750116859011E-2</v>
      </c>
      <c r="AK86" s="541">
        <v>3.2628495409901009E-2</v>
      </c>
      <c r="AL86" s="541"/>
      <c r="AM86" s="541"/>
      <c r="AN86" s="541"/>
      <c r="AO86" s="541"/>
      <c r="AP86" s="541"/>
      <c r="AQ86" s="541"/>
      <c r="AR86" s="541"/>
      <c r="AS86" s="541"/>
      <c r="AT86" s="541"/>
      <c r="AU86" s="541"/>
      <c r="AV86" s="541"/>
      <c r="AW86" s="541"/>
      <c r="AX86" s="541"/>
      <c r="AY86" s="541"/>
      <c r="AZ86" s="541"/>
      <c r="BA86" s="541"/>
      <c r="BB86" s="541"/>
      <c r="BC86" s="541"/>
      <c r="BD86" s="541"/>
      <c r="BE86" s="541"/>
      <c r="BF86" s="541"/>
      <c r="BG86" s="541"/>
      <c r="BH86" s="541"/>
      <c r="BI86" s="541"/>
      <c r="BJ86" s="541"/>
      <c r="BK86" s="541"/>
      <c r="BL86" s="541"/>
      <c r="BM86" s="541"/>
      <c r="BN86" s="541"/>
      <c r="BO86" s="541"/>
      <c r="BP86" s="541"/>
      <c r="BQ86" s="541"/>
      <c r="BR86" s="541"/>
      <c r="BS86" s="541"/>
      <c r="BT86" s="541"/>
      <c r="BU86" s="541"/>
      <c r="BV86" s="541"/>
      <c r="BW86" s="541"/>
      <c r="BX86" s="541"/>
      <c r="BY86" s="541"/>
      <c r="BZ86" s="541"/>
      <c r="CA86" s="541"/>
      <c r="CB86" s="541"/>
      <c r="CC86" s="541"/>
      <c r="CD86" s="541"/>
      <c r="CE86" s="541"/>
      <c r="CF86" s="541"/>
      <c r="CG86" s="541"/>
      <c r="CH86" s="541"/>
      <c r="CI86" s="542"/>
    </row>
    <row r="87" spans="1:89" s="1292" customFormat="1" x14ac:dyDescent="0.2">
      <c r="A87" s="1585"/>
      <c r="B87" s="634" t="s">
        <v>592</v>
      </c>
      <c r="C87" s="635" t="s">
        <v>593</v>
      </c>
      <c r="D87" s="537" t="s">
        <v>86</v>
      </c>
      <c r="E87" s="635" t="s">
        <v>236</v>
      </c>
      <c r="F87" s="636">
        <v>2</v>
      </c>
      <c r="G87" s="637"/>
      <c r="H87" s="540"/>
      <c r="I87" s="540">
        <v>0.88034877583578697</v>
      </c>
      <c r="J87" s="540">
        <v>0.91000191930325502</v>
      </c>
      <c r="K87" s="540">
        <v>0.92017574495260102</v>
      </c>
      <c r="L87" s="540">
        <v>0.97405415527875105</v>
      </c>
      <c r="M87" s="541">
        <v>0.90621725370540496</v>
      </c>
      <c r="N87" s="541">
        <v>0.94786027249677596</v>
      </c>
      <c r="O87" s="541">
        <v>0.85937329267665796</v>
      </c>
      <c r="P87" s="541">
        <v>0.93913855730437401</v>
      </c>
      <c r="Q87" s="541">
        <v>0.93892824823099597</v>
      </c>
      <c r="R87" s="541">
        <v>0.677624515878408</v>
      </c>
      <c r="S87" s="541">
        <v>0.50861954450346403</v>
      </c>
      <c r="T87" s="541">
        <v>0.31694769000005901</v>
      </c>
      <c r="U87" s="541">
        <v>0.32206794444933601</v>
      </c>
      <c r="V87" s="541">
        <v>0.29892573264822803</v>
      </c>
      <c r="W87" s="541">
        <v>0.27426325820966801</v>
      </c>
      <c r="X87" s="541">
        <v>0.27574205634166499</v>
      </c>
      <c r="Y87" s="541">
        <v>0.27621847264753102</v>
      </c>
      <c r="Z87" s="541">
        <v>0.27908195267273</v>
      </c>
      <c r="AA87" s="541">
        <v>0.27941352217643001</v>
      </c>
      <c r="AB87" s="541">
        <v>0.27557444335391201</v>
      </c>
      <c r="AC87" s="541">
        <v>0.26004750518730302</v>
      </c>
      <c r="AD87" s="541">
        <v>0.248566346465833</v>
      </c>
      <c r="AE87" s="541">
        <v>0.23621644031903599</v>
      </c>
      <c r="AF87" s="541">
        <v>0.22751876524966</v>
      </c>
      <c r="AG87" s="541">
        <v>0.21411822576876399</v>
      </c>
      <c r="AH87" s="541">
        <v>0.21477914005349899</v>
      </c>
      <c r="AI87" s="541">
        <v>0.21453956669771501</v>
      </c>
      <c r="AJ87" s="541">
        <v>0.21525724988314099</v>
      </c>
      <c r="AK87" s="541">
        <v>0.21737150459009899</v>
      </c>
      <c r="AL87" s="541"/>
      <c r="AM87" s="541"/>
      <c r="AN87" s="541"/>
      <c r="AO87" s="541"/>
      <c r="AP87" s="541"/>
      <c r="AQ87" s="541"/>
      <c r="AR87" s="541"/>
      <c r="AS87" s="541"/>
      <c r="AT87" s="541"/>
      <c r="AU87" s="541"/>
      <c r="AV87" s="541"/>
      <c r="AW87" s="541"/>
      <c r="AX87" s="541"/>
      <c r="AY87" s="541"/>
      <c r="AZ87" s="541"/>
      <c r="BA87" s="541"/>
      <c r="BB87" s="541"/>
      <c r="BC87" s="541"/>
      <c r="BD87" s="541"/>
      <c r="BE87" s="541"/>
      <c r="BF87" s="541"/>
      <c r="BG87" s="541"/>
      <c r="BH87" s="541"/>
      <c r="BI87" s="541"/>
      <c r="BJ87" s="541"/>
      <c r="BK87" s="541"/>
      <c r="BL87" s="541"/>
      <c r="BM87" s="541"/>
      <c r="BN87" s="541"/>
      <c r="BO87" s="541"/>
      <c r="BP87" s="541"/>
      <c r="BQ87" s="541"/>
      <c r="BR87" s="541"/>
      <c r="BS87" s="541"/>
      <c r="BT87" s="541"/>
      <c r="BU87" s="541"/>
      <c r="BV87" s="541"/>
      <c r="BW87" s="541"/>
      <c r="BX87" s="541"/>
      <c r="BY87" s="541"/>
      <c r="BZ87" s="541"/>
      <c r="CA87" s="541"/>
      <c r="CB87" s="541"/>
      <c r="CC87" s="541"/>
      <c r="CD87" s="541"/>
      <c r="CE87" s="541"/>
      <c r="CF87" s="541"/>
      <c r="CG87" s="541"/>
      <c r="CH87" s="541"/>
      <c r="CI87" s="542"/>
    </row>
    <row r="88" spans="1:89" s="1292" customFormat="1" x14ac:dyDescent="0.2">
      <c r="A88" s="1284"/>
      <c r="B88" s="634" t="s">
        <v>594</v>
      </c>
      <c r="C88" s="635" t="s">
        <v>384</v>
      </c>
      <c r="D88" s="537" t="s">
        <v>595</v>
      </c>
      <c r="E88" s="635" t="s">
        <v>236</v>
      </c>
      <c r="F88" s="636">
        <v>2</v>
      </c>
      <c r="G88" s="638">
        <f>G86+G87</f>
        <v>0</v>
      </c>
      <c r="H88" s="638">
        <f t="shared" ref="H88:AK88" si="41">H86+H87</f>
        <v>0</v>
      </c>
      <c r="I88" s="638">
        <f t="shared" si="41"/>
        <v>1.05</v>
      </c>
      <c r="J88" s="638">
        <f t="shared" si="41"/>
        <v>0.95</v>
      </c>
      <c r="K88" s="638">
        <f t="shared" si="41"/>
        <v>1.1000000000000001</v>
      </c>
      <c r="L88" s="638">
        <f t="shared" si="41"/>
        <v>0.91</v>
      </c>
      <c r="M88" s="639">
        <f t="shared" si="41"/>
        <v>1.1100000000000001</v>
      </c>
      <c r="N88" s="639">
        <f t="shared" si="41"/>
        <v>1</v>
      </c>
      <c r="O88" s="639">
        <f t="shared" si="41"/>
        <v>0.98</v>
      </c>
      <c r="P88" s="639">
        <f t="shared" si="41"/>
        <v>1.02</v>
      </c>
      <c r="Q88" s="639">
        <f t="shared" si="41"/>
        <v>1</v>
      </c>
      <c r="R88" s="639">
        <f t="shared" si="41"/>
        <v>0.69</v>
      </c>
      <c r="S88" s="639">
        <f t="shared" si="41"/>
        <v>0.51</v>
      </c>
      <c r="T88" s="639">
        <f t="shared" si="41"/>
        <v>0.34</v>
      </c>
      <c r="U88" s="639">
        <f t="shared" si="41"/>
        <v>0.34</v>
      </c>
      <c r="V88" s="639">
        <f t="shared" si="41"/>
        <v>0.31</v>
      </c>
      <c r="W88" s="639">
        <f t="shared" si="41"/>
        <v>0.28999999999999998</v>
      </c>
      <c r="X88" s="639">
        <f t="shared" si="41"/>
        <v>0.3</v>
      </c>
      <c r="Y88" s="639">
        <f t="shared" si="41"/>
        <v>0.3</v>
      </c>
      <c r="Z88" s="639">
        <f t="shared" si="41"/>
        <v>0.3</v>
      </c>
      <c r="AA88" s="639">
        <f t="shared" si="41"/>
        <v>0.3</v>
      </c>
      <c r="AB88" s="639">
        <f t="shared" si="41"/>
        <v>0.3</v>
      </c>
      <c r="AC88" s="639">
        <f t="shared" si="41"/>
        <v>0.28999999999999998</v>
      </c>
      <c r="AD88" s="639">
        <f t="shared" si="41"/>
        <v>0.27</v>
      </c>
      <c r="AE88" s="639">
        <f t="shared" si="41"/>
        <v>0.26</v>
      </c>
      <c r="AF88" s="639">
        <f t="shared" si="41"/>
        <v>0.25</v>
      </c>
      <c r="AG88" s="639">
        <f t="shared" si="41"/>
        <v>0.24</v>
      </c>
      <c r="AH88" s="639">
        <f t="shared" si="41"/>
        <v>0.24</v>
      </c>
      <c r="AI88" s="639">
        <f t="shared" si="41"/>
        <v>0.24</v>
      </c>
      <c r="AJ88" s="639">
        <f t="shared" si="41"/>
        <v>0.25</v>
      </c>
      <c r="AK88" s="639">
        <f t="shared" si="41"/>
        <v>0.25</v>
      </c>
      <c r="AL88" s="639"/>
      <c r="AM88" s="639"/>
      <c r="AN88" s="639"/>
      <c r="AO88" s="639"/>
      <c r="AP88" s="639"/>
      <c r="AQ88" s="639"/>
      <c r="AR88" s="639"/>
      <c r="AS88" s="639"/>
      <c r="AT88" s="639"/>
      <c r="AU88" s="639"/>
      <c r="AV88" s="639"/>
      <c r="AW88" s="639"/>
      <c r="AX88" s="639"/>
      <c r="AY88" s="639"/>
      <c r="AZ88" s="639"/>
      <c r="BA88" s="639"/>
      <c r="BB88" s="639"/>
      <c r="BC88" s="639"/>
      <c r="BD88" s="639"/>
      <c r="BE88" s="639"/>
      <c r="BF88" s="639"/>
      <c r="BG88" s="639"/>
      <c r="BH88" s="639"/>
      <c r="BI88" s="639"/>
      <c r="BJ88" s="639"/>
      <c r="BK88" s="639"/>
      <c r="BL88" s="639"/>
      <c r="BM88" s="639"/>
      <c r="BN88" s="639"/>
      <c r="BO88" s="639"/>
      <c r="BP88" s="639"/>
      <c r="BQ88" s="639"/>
      <c r="BR88" s="639"/>
      <c r="BS88" s="639"/>
      <c r="BT88" s="639"/>
      <c r="BU88" s="639"/>
      <c r="BV88" s="639"/>
      <c r="BW88" s="639"/>
      <c r="BX88" s="639"/>
      <c r="BY88" s="639"/>
      <c r="BZ88" s="639"/>
      <c r="CA88" s="639"/>
      <c r="CB88" s="639"/>
      <c r="CC88" s="639"/>
      <c r="CD88" s="639"/>
      <c r="CE88" s="639"/>
      <c r="CF88" s="639"/>
      <c r="CG88" s="639"/>
      <c r="CH88" s="639"/>
      <c r="CI88" s="640"/>
    </row>
    <row r="89" spans="1:89" s="1292" customFormat="1" x14ac:dyDescent="0.2">
      <c r="A89" s="1284"/>
      <c r="B89" s="1055" t="s">
        <v>596</v>
      </c>
      <c r="C89" s="1056" t="s">
        <v>597</v>
      </c>
      <c r="D89" s="1057" t="s">
        <v>598</v>
      </c>
      <c r="E89" s="1056" t="s">
        <v>236</v>
      </c>
      <c r="F89" s="1058">
        <v>2</v>
      </c>
      <c r="G89" s="638">
        <f>G42-G85</f>
        <v>0</v>
      </c>
      <c r="H89" s="639">
        <f t="shared" ref="H89:AK89" si="42">H42-H85</f>
        <v>0</v>
      </c>
      <c r="I89" s="639">
        <f t="shared" si="42"/>
        <v>-2.1032240535373967</v>
      </c>
      <c r="J89" s="639">
        <f t="shared" si="42"/>
        <v>-5.5468068217285298</v>
      </c>
      <c r="K89" s="639">
        <f t="shared" si="42"/>
        <v>-5.4501967124709383</v>
      </c>
      <c r="L89" s="639">
        <f t="shared" si="42"/>
        <v>-5.4387123218285014</v>
      </c>
      <c r="M89" s="639">
        <f t="shared" si="42"/>
        <v>-5.4164843056598864</v>
      </c>
      <c r="N89" s="639">
        <f t="shared" si="42"/>
        <v>-5.4810121456698573</v>
      </c>
      <c r="O89" s="639">
        <f t="shared" si="42"/>
        <v>-5.5342403580884474</v>
      </c>
      <c r="P89" s="639">
        <f t="shared" si="42"/>
        <v>-5.5795178049416725</v>
      </c>
      <c r="Q89" s="639">
        <f t="shared" si="42"/>
        <v>-5.611488743603231</v>
      </c>
      <c r="R89" s="639">
        <f t="shared" si="42"/>
        <v>-6.1708182850777611</v>
      </c>
      <c r="S89" s="639">
        <f t="shared" si="42"/>
        <v>-6.1977096597856427</v>
      </c>
      <c r="T89" s="639">
        <f t="shared" si="42"/>
        <v>-6.2226588482893899</v>
      </c>
      <c r="U89" s="639">
        <f t="shared" si="42"/>
        <v>-6.247214819916497</v>
      </c>
      <c r="V89" s="639">
        <f t="shared" si="42"/>
        <v>-6.2726428633536724</v>
      </c>
      <c r="W89" s="639">
        <f t="shared" si="42"/>
        <v>-6.2987578209550623</v>
      </c>
      <c r="X89" s="639">
        <f t="shared" si="42"/>
        <v>-6.3252721690394278</v>
      </c>
      <c r="Y89" s="639">
        <f t="shared" si="42"/>
        <v>-6.3524494892514287</v>
      </c>
      <c r="Z89" s="639">
        <f t="shared" si="42"/>
        <v>-6.3799147647927192</v>
      </c>
      <c r="AA89" s="639">
        <f t="shared" si="42"/>
        <v>-6.40445267403455</v>
      </c>
      <c r="AB89" s="639">
        <f t="shared" si="42"/>
        <v>-7.0735563884923742</v>
      </c>
      <c r="AC89" s="639">
        <f t="shared" si="42"/>
        <v>-7.0966244882658245</v>
      </c>
      <c r="AD89" s="639">
        <f t="shared" si="42"/>
        <v>-7.1211567246122538</v>
      </c>
      <c r="AE89" s="639">
        <f t="shared" si="42"/>
        <v>-7.14581944356393</v>
      </c>
      <c r="AF89" s="639">
        <f t="shared" si="42"/>
        <v>-7.1704949509322713</v>
      </c>
      <c r="AG89" s="639">
        <f t="shared" si="42"/>
        <v>-7.8343412784725812</v>
      </c>
      <c r="AH89" s="639">
        <f t="shared" si="42"/>
        <v>-7.8587927920211191</v>
      </c>
      <c r="AI89" s="639">
        <f t="shared" si="42"/>
        <v>-7.8838526010829488</v>
      </c>
      <c r="AJ89" s="639">
        <f t="shared" si="42"/>
        <v>-7.909928606511218</v>
      </c>
      <c r="AK89" s="639">
        <f t="shared" si="42"/>
        <v>-7.9362191261979964</v>
      </c>
      <c r="AL89" s="642"/>
      <c r="AM89" s="642"/>
      <c r="AN89" s="642"/>
      <c r="AO89" s="642"/>
      <c r="AP89" s="642"/>
      <c r="AQ89" s="642"/>
      <c r="AR89" s="642"/>
      <c r="AS89" s="642"/>
      <c r="AT89" s="642"/>
      <c r="AU89" s="642"/>
      <c r="AV89" s="642"/>
      <c r="AW89" s="642"/>
      <c r="AX89" s="642"/>
      <c r="AY89" s="642"/>
      <c r="AZ89" s="642"/>
      <c r="BA89" s="642"/>
      <c r="BB89" s="642"/>
      <c r="BC89" s="642"/>
      <c r="BD89" s="642"/>
      <c r="BE89" s="642"/>
      <c r="BF89" s="642"/>
      <c r="BG89" s="642"/>
      <c r="BH89" s="642"/>
      <c r="BI89" s="642"/>
      <c r="BJ89" s="642"/>
      <c r="BK89" s="642"/>
      <c r="BL89" s="642"/>
      <c r="BM89" s="642"/>
      <c r="BN89" s="642"/>
      <c r="BO89" s="642"/>
      <c r="BP89" s="642"/>
      <c r="BQ89" s="642"/>
      <c r="BR89" s="642"/>
      <c r="BS89" s="642"/>
      <c r="BT89" s="642"/>
      <c r="BU89" s="642"/>
      <c r="BV89" s="642"/>
      <c r="BW89" s="642"/>
      <c r="BX89" s="642"/>
      <c r="BY89" s="642"/>
      <c r="BZ89" s="642"/>
      <c r="CA89" s="642"/>
      <c r="CB89" s="642"/>
      <c r="CC89" s="642"/>
      <c r="CD89" s="642"/>
      <c r="CE89" s="642"/>
      <c r="CF89" s="642"/>
      <c r="CG89" s="642"/>
      <c r="CH89" s="642"/>
      <c r="CI89" s="643"/>
    </row>
    <row r="90" spans="1:89" s="1292" customFormat="1" ht="15" thickBot="1" x14ac:dyDescent="0.25">
      <c r="A90" s="1284"/>
      <c r="B90" s="1055" t="s">
        <v>599</v>
      </c>
      <c r="C90" s="1056" t="s">
        <v>600</v>
      </c>
      <c r="D90" s="1057" t="s">
        <v>601</v>
      </c>
      <c r="E90" s="1056" t="s">
        <v>236</v>
      </c>
      <c r="F90" s="1501">
        <v>2</v>
      </c>
      <c r="G90" s="1074">
        <f>G25-G44</f>
        <v>0</v>
      </c>
      <c r="H90" s="1493">
        <f t="shared" ref="H90:AK90" si="43">H25-H44</f>
        <v>0</v>
      </c>
      <c r="I90" s="1493">
        <f t="shared" si="43"/>
        <v>0</v>
      </c>
      <c r="J90" s="1493">
        <f t="shared" si="43"/>
        <v>0</v>
      </c>
      <c r="K90" s="1493">
        <f t="shared" si="43"/>
        <v>0</v>
      </c>
      <c r="L90" s="1493">
        <f t="shared" si="43"/>
        <v>0</v>
      </c>
      <c r="M90" s="1493">
        <f t="shared" si="43"/>
        <v>0</v>
      </c>
      <c r="N90" s="1493">
        <f t="shared" si="43"/>
        <v>0</v>
      </c>
      <c r="O90" s="1493">
        <f t="shared" si="43"/>
        <v>0</v>
      </c>
      <c r="P90" s="1493">
        <f t="shared" si="43"/>
        <v>0</v>
      </c>
      <c r="Q90" s="1493">
        <f t="shared" si="43"/>
        <v>0</v>
      </c>
      <c r="R90" s="1493">
        <f t="shared" si="43"/>
        <v>0</v>
      </c>
      <c r="S90" s="1493">
        <f t="shared" si="43"/>
        <v>0</v>
      </c>
      <c r="T90" s="1493">
        <f t="shared" si="43"/>
        <v>0</v>
      </c>
      <c r="U90" s="1493">
        <f t="shared" si="43"/>
        <v>0</v>
      </c>
      <c r="V90" s="1493">
        <f t="shared" si="43"/>
        <v>0</v>
      </c>
      <c r="W90" s="1493">
        <f t="shared" si="43"/>
        <v>0</v>
      </c>
      <c r="X90" s="1493">
        <f t="shared" si="43"/>
        <v>0</v>
      </c>
      <c r="Y90" s="1493">
        <f t="shared" si="43"/>
        <v>0</v>
      </c>
      <c r="Z90" s="1493">
        <f t="shared" si="43"/>
        <v>0</v>
      </c>
      <c r="AA90" s="1493">
        <f t="shared" si="43"/>
        <v>0</v>
      </c>
      <c r="AB90" s="1493">
        <f t="shared" si="43"/>
        <v>0</v>
      </c>
      <c r="AC90" s="1493">
        <f t="shared" si="43"/>
        <v>0</v>
      </c>
      <c r="AD90" s="1493">
        <f t="shared" si="43"/>
        <v>0</v>
      </c>
      <c r="AE90" s="1493">
        <f t="shared" si="43"/>
        <v>0</v>
      </c>
      <c r="AF90" s="1493">
        <f t="shared" si="43"/>
        <v>0</v>
      </c>
      <c r="AG90" s="1493">
        <f t="shared" si="43"/>
        <v>0</v>
      </c>
      <c r="AH90" s="1493">
        <f t="shared" si="43"/>
        <v>0</v>
      </c>
      <c r="AI90" s="1493">
        <f t="shared" si="43"/>
        <v>0</v>
      </c>
      <c r="AJ90" s="1493">
        <f t="shared" si="43"/>
        <v>0</v>
      </c>
      <c r="AK90" s="1493">
        <f t="shared" si="43"/>
        <v>0</v>
      </c>
      <c r="AL90" s="1499"/>
      <c r="AM90" s="1054"/>
      <c r="AN90" s="1054"/>
      <c r="AO90" s="1054"/>
      <c r="AP90" s="1054"/>
      <c r="AQ90" s="1054"/>
      <c r="AR90" s="1054"/>
      <c r="AS90" s="1054"/>
      <c r="AT90" s="1054"/>
      <c r="AU90" s="1054"/>
      <c r="AV90" s="1054"/>
      <c r="AW90" s="1054"/>
      <c r="AX90" s="1054"/>
      <c r="AY90" s="1054"/>
      <c r="AZ90" s="1054"/>
      <c r="BA90" s="1054"/>
      <c r="BB90" s="1054"/>
      <c r="BC90" s="1054"/>
      <c r="BD90" s="1054"/>
      <c r="BE90" s="1054"/>
      <c r="BF90" s="1054"/>
      <c r="BG90" s="1054"/>
      <c r="BH90" s="1054"/>
      <c r="BI90" s="1054"/>
      <c r="BJ90" s="1054"/>
      <c r="BK90" s="1054"/>
      <c r="BL90" s="1054"/>
      <c r="BM90" s="1054"/>
      <c r="BN90" s="1054"/>
      <c r="BO90" s="1054"/>
      <c r="BP90" s="1054"/>
      <c r="BQ90" s="1054"/>
      <c r="BR90" s="1054"/>
      <c r="BS90" s="1054"/>
      <c r="BT90" s="1054"/>
      <c r="BU90" s="1054"/>
      <c r="BV90" s="1054"/>
      <c r="BW90" s="1054"/>
      <c r="BX90" s="1054"/>
      <c r="BY90" s="1054"/>
      <c r="BZ90" s="1054"/>
      <c r="CA90" s="1054"/>
      <c r="CB90" s="1054"/>
      <c r="CC90" s="1054"/>
      <c r="CD90" s="1054"/>
      <c r="CE90" s="1054"/>
      <c r="CF90" s="1054"/>
      <c r="CG90" s="1054"/>
      <c r="CH90" s="1054"/>
      <c r="CI90" s="1054"/>
    </row>
    <row r="91" spans="1:89" s="1292" customFormat="1" x14ac:dyDescent="0.2">
      <c r="A91" s="1284"/>
      <c r="B91" s="644" t="s">
        <v>602</v>
      </c>
      <c r="C91" s="645" t="s">
        <v>393</v>
      </c>
      <c r="D91" s="646" t="s">
        <v>603</v>
      </c>
      <c r="E91" s="645" t="s">
        <v>236</v>
      </c>
      <c r="F91" s="647">
        <v>2</v>
      </c>
      <c r="G91" s="1499">
        <f>G89-G88</f>
        <v>0</v>
      </c>
      <c r="H91" s="1499">
        <f t="shared" ref="H91:AK91" si="44">H89-H88</f>
        <v>0</v>
      </c>
      <c r="I91" s="1499">
        <f t="shared" si="44"/>
        <v>-3.1532240535373965</v>
      </c>
      <c r="J91" s="1499">
        <f t="shared" si="44"/>
        <v>-6.49680682172853</v>
      </c>
      <c r="K91" s="1499">
        <f t="shared" si="44"/>
        <v>-6.5501967124709388</v>
      </c>
      <c r="L91" s="1499">
        <f t="shared" si="44"/>
        <v>-6.3487123218285015</v>
      </c>
      <c r="M91" s="1500">
        <f t="shared" si="44"/>
        <v>-6.5264843056598867</v>
      </c>
      <c r="N91" s="1500">
        <f t="shared" si="44"/>
        <v>-6.4810121456698573</v>
      </c>
      <c r="O91" s="1500">
        <f t="shared" si="44"/>
        <v>-6.5142403580884469</v>
      </c>
      <c r="P91" s="1500">
        <f t="shared" si="44"/>
        <v>-6.5995178049416729</v>
      </c>
      <c r="Q91" s="1500">
        <f t="shared" si="44"/>
        <v>-6.611488743603231</v>
      </c>
      <c r="R91" s="1500">
        <f t="shared" si="44"/>
        <v>-6.8608182850777606</v>
      </c>
      <c r="S91" s="1500">
        <f t="shared" si="44"/>
        <v>-6.7077096597856425</v>
      </c>
      <c r="T91" s="1500">
        <f t="shared" si="44"/>
        <v>-6.5626588482893897</v>
      </c>
      <c r="U91" s="1500">
        <f t="shared" si="44"/>
        <v>-6.5872148199164968</v>
      </c>
      <c r="V91" s="1500">
        <f t="shared" si="44"/>
        <v>-6.582642863353672</v>
      </c>
      <c r="W91" s="1500">
        <f t="shared" si="44"/>
        <v>-6.5887578209550623</v>
      </c>
      <c r="X91" s="1500">
        <f t="shared" si="44"/>
        <v>-6.6252721690394276</v>
      </c>
      <c r="Y91" s="1500">
        <f t="shared" si="44"/>
        <v>-6.6524494892514285</v>
      </c>
      <c r="Z91" s="1500">
        <f t="shared" si="44"/>
        <v>-6.6799147647927191</v>
      </c>
      <c r="AA91" s="1500">
        <f t="shared" si="44"/>
        <v>-6.7044526740345498</v>
      </c>
      <c r="AB91" s="1500">
        <f t="shared" si="44"/>
        <v>-7.373556388492374</v>
      </c>
      <c r="AC91" s="1500">
        <f t="shared" si="44"/>
        <v>-7.3866244882658245</v>
      </c>
      <c r="AD91" s="1500">
        <f t="shared" si="44"/>
        <v>-7.3911567246122534</v>
      </c>
      <c r="AE91" s="1500">
        <f t="shared" si="44"/>
        <v>-7.4058194435639297</v>
      </c>
      <c r="AF91" s="1500">
        <f t="shared" si="44"/>
        <v>-7.4204949509322713</v>
      </c>
      <c r="AG91" s="1500">
        <f t="shared" si="44"/>
        <v>-8.0743412784725805</v>
      </c>
      <c r="AH91" s="1500">
        <f t="shared" si="44"/>
        <v>-8.0987927920211185</v>
      </c>
      <c r="AI91" s="1500">
        <f t="shared" si="44"/>
        <v>-8.1238526010829482</v>
      </c>
      <c r="AJ91" s="1500">
        <f t="shared" si="44"/>
        <v>-8.1599286065112189</v>
      </c>
      <c r="AK91" s="1500">
        <f t="shared" si="44"/>
        <v>-8.1862191261979973</v>
      </c>
      <c r="AL91" s="649"/>
      <c r="AM91" s="649"/>
      <c r="AN91" s="649"/>
      <c r="AO91" s="649"/>
      <c r="AP91" s="649"/>
      <c r="AQ91" s="649"/>
      <c r="AR91" s="649"/>
      <c r="AS91" s="649"/>
      <c r="AT91" s="649"/>
      <c r="AU91" s="649"/>
      <c r="AV91" s="649"/>
      <c r="AW91" s="649"/>
      <c r="AX91" s="649"/>
      <c r="AY91" s="649"/>
      <c r="AZ91" s="649"/>
      <c r="BA91" s="649"/>
      <c r="BB91" s="649"/>
      <c r="BC91" s="649"/>
      <c r="BD91" s="649"/>
      <c r="BE91" s="649"/>
      <c r="BF91" s="649"/>
      <c r="BG91" s="649"/>
      <c r="BH91" s="649"/>
      <c r="BI91" s="649"/>
      <c r="BJ91" s="649"/>
      <c r="BK91" s="649"/>
      <c r="BL91" s="649"/>
      <c r="BM91" s="649"/>
      <c r="BN91" s="649"/>
      <c r="BO91" s="649"/>
      <c r="BP91" s="649"/>
      <c r="BQ91" s="649"/>
      <c r="BR91" s="649"/>
      <c r="BS91" s="649"/>
      <c r="BT91" s="649"/>
      <c r="BU91" s="649"/>
      <c r="BV91" s="649"/>
      <c r="BW91" s="649"/>
      <c r="BX91" s="649"/>
      <c r="BY91" s="649"/>
      <c r="BZ91" s="649"/>
      <c r="CA91" s="649"/>
      <c r="CB91" s="649"/>
      <c r="CC91" s="649"/>
      <c r="CD91" s="649"/>
      <c r="CE91" s="649"/>
      <c r="CF91" s="649"/>
      <c r="CG91" s="649"/>
      <c r="CH91" s="649"/>
      <c r="CI91" s="650"/>
    </row>
    <row r="92" spans="1:89" ht="15" thickBot="1" x14ac:dyDescent="0.25">
      <c r="B92" s="1404"/>
      <c r="C92" s="1405"/>
      <c r="D92" s="1406"/>
      <c r="E92" s="1405"/>
      <c r="F92" s="1407"/>
      <c r="G92" s="1403"/>
      <c r="H92" s="809"/>
      <c r="I92" s="809"/>
      <c r="J92" s="809"/>
      <c r="K92" s="809"/>
      <c r="L92" s="809"/>
      <c r="M92" s="809"/>
      <c r="N92" s="809"/>
      <c r="O92" s="809"/>
      <c r="P92" s="809"/>
      <c r="Q92" s="809"/>
      <c r="R92" s="809"/>
      <c r="S92" s="809"/>
      <c r="T92" s="809"/>
      <c r="U92" s="809"/>
      <c r="V92" s="809"/>
      <c r="W92" s="809"/>
      <c r="X92" s="809"/>
      <c r="Y92" s="809"/>
      <c r="Z92" s="809"/>
      <c r="AA92" s="809"/>
      <c r="AB92" s="809"/>
      <c r="AC92" s="809"/>
      <c r="AD92" s="809"/>
      <c r="AE92" s="809"/>
      <c r="AF92" s="809"/>
      <c r="AG92" s="809"/>
      <c r="AH92" s="809"/>
      <c r="AI92" s="809"/>
      <c r="AJ92" s="809"/>
      <c r="AK92" s="809"/>
      <c r="AL92" s="809"/>
      <c r="AM92" s="809"/>
      <c r="AN92" s="809"/>
      <c r="AO92" s="809"/>
      <c r="AP92" s="809"/>
      <c r="AQ92" s="809"/>
      <c r="AR92" s="809"/>
      <c r="AS92" s="809"/>
      <c r="AT92" s="809"/>
      <c r="AU92" s="809"/>
      <c r="AV92" s="809"/>
      <c r="AW92" s="809"/>
      <c r="AX92" s="809"/>
      <c r="AY92" s="809"/>
      <c r="AZ92" s="809"/>
      <c r="BA92" s="809"/>
      <c r="BB92" s="809"/>
      <c r="BC92" s="809"/>
      <c r="BD92" s="809"/>
      <c r="BE92" s="809"/>
      <c r="BF92" s="809"/>
      <c r="BG92" s="809"/>
      <c r="BH92" s="809"/>
      <c r="BI92" s="809"/>
      <c r="BJ92" s="809"/>
      <c r="BK92" s="809"/>
      <c r="BL92" s="809"/>
      <c r="BM92" s="809"/>
      <c r="BN92" s="809"/>
      <c r="BO92" s="809"/>
      <c r="BP92" s="809"/>
      <c r="BQ92" s="809"/>
      <c r="BR92" s="809"/>
      <c r="BS92" s="809"/>
      <c r="BT92" s="809"/>
      <c r="BU92" s="809"/>
      <c r="BV92" s="809"/>
      <c r="BW92" s="809"/>
      <c r="BX92" s="809"/>
      <c r="BY92" s="809"/>
      <c r="BZ92" s="809"/>
      <c r="CA92" s="809"/>
      <c r="CB92" s="809"/>
      <c r="CC92" s="809"/>
      <c r="CD92" s="809"/>
      <c r="CE92" s="809"/>
      <c r="CF92" s="809"/>
      <c r="CG92" s="809"/>
      <c r="CH92" s="809"/>
      <c r="CI92" s="809"/>
    </row>
    <row r="93" spans="1:89" ht="36.6" customHeight="1" thickBot="1" x14ac:dyDescent="0.25">
      <c r="B93" s="655" t="s">
        <v>439</v>
      </c>
      <c r="C93" s="1307" t="s">
        <v>204</v>
      </c>
      <c r="D93" s="53"/>
      <c r="E93" s="652"/>
      <c r="F93" s="653"/>
      <c r="G93" s="654"/>
      <c r="H93" s="654"/>
      <c r="I93" s="654"/>
      <c r="J93" s="654"/>
      <c r="K93" s="654"/>
      <c r="L93" s="654"/>
      <c r="M93" s="654"/>
      <c r="N93" s="654"/>
      <c r="O93" s="654"/>
      <c r="P93" s="654"/>
      <c r="Q93" s="654"/>
      <c r="R93" s="654"/>
      <c r="S93" s="654"/>
      <c r="T93" s="654"/>
      <c r="U93" s="654"/>
      <c r="V93" s="654"/>
      <c r="W93" s="654"/>
      <c r="X93" s="654"/>
      <c r="Y93" s="654"/>
      <c r="Z93" s="654"/>
      <c r="AA93" s="654"/>
      <c r="AB93" s="654"/>
      <c r="AC93" s="654"/>
      <c r="AD93" s="654"/>
      <c r="AE93" s="654"/>
      <c r="AF93" s="654"/>
      <c r="AG93" s="654"/>
      <c r="AH93" s="654"/>
      <c r="AI93" s="654"/>
      <c r="AJ93" s="654"/>
      <c r="AK93" s="654"/>
      <c r="AL93" s="654"/>
      <c r="AM93" s="654"/>
      <c r="AN93" s="654"/>
      <c r="AO93" s="654"/>
      <c r="AP93" s="654"/>
      <c r="AQ93" s="654"/>
      <c r="AR93" s="654"/>
      <c r="AS93" s="654"/>
      <c r="AT93" s="654"/>
      <c r="AU93" s="654"/>
      <c r="AV93" s="654"/>
      <c r="AW93" s="654"/>
      <c r="AX93" s="654"/>
      <c r="AY93" s="654"/>
      <c r="AZ93" s="654"/>
      <c r="BA93" s="654"/>
      <c r="BB93" s="654"/>
      <c r="BC93" s="654"/>
      <c r="BD93" s="654"/>
      <c r="BE93" s="654"/>
      <c r="BF93" s="654"/>
      <c r="BG93" s="654"/>
      <c r="BH93" s="654"/>
      <c r="BI93" s="654"/>
      <c r="BJ93" s="654"/>
      <c r="BK93" s="654"/>
      <c r="BL93" s="654"/>
      <c r="BM93" s="654"/>
      <c r="BN93" s="654"/>
      <c r="BO93" s="654"/>
      <c r="BP93" s="654"/>
      <c r="BQ93" s="654"/>
      <c r="BR93" s="654"/>
      <c r="BS93" s="654"/>
      <c r="BT93" s="654"/>
      <c r="BU93" s="654"/>
      <c r="BV93" s="654"/>
      <c r="BW93" s="654"/>
      <c r="BX93" s="654"/>
      <c r="BY93" s="654"/>
      <c r="BZ93" s="654"/>
      <c r="CA93" s="654"/>
      <c r="CB93" s="654"/>
      <c r="CC93" s="654"/>
      <c r="CD93" s="654"/>
      <c r="CE93" s="654"/>
      <c r="CF93" s="654"/>
      <c r="CG93" s="654"/>
      <c r="CH93" s="654"/>
      <c r="CI93" s="654"/>
    </row>
    <row r="94" spans="1:89" ht="15.75" thickBot="1" x14ac:dyDescent="0.25">
      <c r="B94" s="656" t="s">
        <v>446</v>
      </c>
      <c r="C94" s="657" t="s">
        <v>604</v>
      </c>
      <c r="D94" s="657" t="s">
        <v>605</v>
      </c>
      <c r="E94" s="657" t="s">
        <v>206</v>
      </c>
      <c r="F94" s="658" t="s">
        <v>207</v>
      </c>
      <c r="G94" s="659" t="s">
        <v>208</v>
      </c>
      <c r="H94" s="659" t="s">
        <v>209</v>
      </c>
      <c r="I94" s="659" t="s">
        <v>210</v>
      </c>
      <c r="J94" s="659" t="s">
        <v>211</v>
      </c>
      <c r="K94" s="659" t="s">
        <v>212</v>
      </c>
      <c r="L94" s="659" t="s">
        <v>213</v>
      </c>
      <c r="M94" s="657" t="s">
        <v>214</v>
      </c>
      <c r="N94" s="657" t="s">
        <v>215</v>
      </c>
      <c r="O94" s="657" t="s">
        <v>216</v>
      </c>
      <c r="P94" s="657" t="s">
        <v>217</v>
      </c>
      <c r="Q94" s="657" t="s">
        <v>218</v>
      </c>
      <c r="R94" s="657" t="s">
        <v>247</v>
      </c>
      <c r="S94" s="657" t="s">
        <v>248</v>
      </c>
      <c r="T94" s="657" t="s">
        <v>249</v>
      </c>
      <c r="U94" s="657" t="s">
        <v>250</v>
      </c>
      <c r="V94" s="657" t="s">
        <v>219</v>
      </c>
      <c r="W94" s="657" t="s">
        <v>251</v>
      </c>
      <c r="X94" s="657" t="s">
        <v>252</v>
      </c>
      <c r="Y94" s="657" t="s">
        <v>253</v>
      </c>
      <c r="Z94" s="657" t="s">
        <v>254</v>
      </c>
      <c r="AA94" s="657" t="s">
        <v>220</v>
      </c>
      <c r="AB94" s="657" t="s">
        <v>255</v>
      </c>
      <c r="AC94" s="657" t="s">
        <v>256</v>
      </c>
      <c r="AD94" s="657" t="s">
        <v>257</v>
      </c>
      <c r="AE94" s="657" t="s">
        <v>258</v>
      </c>
      <c r="AF94" s="657" t="s">
        <v>221</v>
      </c>
      <c r="AG94" s="657" t="s">
        <v>259</v>
      </c>
      <c r="AH94" s="657" t="s">
        <v>260</v>
      </c>
      <c r="AI94" s="657" t="s">
        <v>261</v>
      </c>
      <c r="AJ94" s="657" t="s">
        <v>262</v>
      </c>
      <c r="AK94" s="657" t="s">
        <v>222</v>
      </c>
      <c r="AL94" s="657" t="s">
        <v>263</v>
      </c>
      <c r="AM94" s="657" t="s">
        <v>264</v>
      </c>
      <c r="AN94" s="657" t="s">
        <v>265</v>
      </c>
      <c r="AO94" s="657" t="s">
        <v>266</v>
      </c>
      <c r="AP94" s="657" t="s">
        <v>223</v>
      </c>
      <c r="AQ94" s="657" t="s">
        <v>267</v>
      </c>
      <c r="AR94" s="657" t="s">
        <v>268</v>
      </c>
      <c r="AS94" s="657" t="s">
        <v>269</v>
      </c>
      <c r="AT94" s="657" t="s">
        <v>270</v>
      </c>
      <c r="AU94" s="657" t="s">
        <v>224</v>
      </c>
      <c r="AV94" s="657" t="s">
        <v>271</v>
      </c>
      <c r="AW94" s="657" t="s">
        <v>272</v>
      </c>
      <c r="AX94" s="657" t="s">
        <v>273</v>
      </c>
      <c r="AY94" s="657" t="s">
        <v>274</v>
      </c>
      <c r="AZ94" s="657" t="s">
        <v>225</v>
      </c>
      <c r="BA94" s="657" t="s">
        <v>275</v>
      </c>
      <c r="BB94" s="657" t="s">
        <v>276</v>
      </c>
      <c r="BC94" s="657" t="s">
        <v>277</v>
      </c>
      <c r="BD94" s="657" t="s">
        <v>278</v>
      </c>
      <c r="BE94" s="657" t="s">
        <v>226</v>
      </c>
      <c r="BF94" s="657" t="s">
        <v>279</v>
      </c>
      <c r="BG94" s="657" t="s">
        <v>280</v>
      </c>
      <c r="BH94" s="657" t="s">
        <v>281</v>
      </c>
      <c r="BI94" s="657" t="s">
        <v>282</v>
      </c>
      <c r="BJ94" s="657" t="s">
        <v>227</v>
      </c>
      <c r="BK94" s="657" t="s">
        <v>283</v>
      </c>
      <c r="BL94" s="657" t="s">
        <v>284</v>
      </c>
      <c r="BM94" s="657" t="s">
        <v>285</v>
      </c>
      <c r="BN94" s="657" t="s">
        <v>286</v>
      </c>
      <c r="BO94" s="657" t="s">
        <v>228</v>
      </c>
      <c r="BP94" s="657" t="s">
        <v>287</v>
      </c>
      <c r="BQ94" s="657" t="s">
        <v>288</v>
      </c>
      <c r="BR94" s="657" t="s">
        <v>289</v>
      </c>
      <c r="BS94" s="657" t="s">
        <v>290</v>
      </c>
      <c r="BT94" s="657" t="s">
        <v>229</v>
      </c>
      <c r="BU94" s="657" t="s">
        <v>291</v>
      </c>
      <c r="BV94" s="657" t="s">
        <v>292</v>
      </c>
      <c r="BW94" s="657" t="s">
        <v>293</v>
      </c>
      <c r="BX94" s="657" t="s">
        <v>294</v>
      </c>
      <c r="BY94" s="657" t="s">
        <v>230</v>
      </c>
      <c r="BZ94" s="657" t="s">
        <v>295</v>
      </c>
      <c r="CA94" s="657" t="s">
        <v>296</v>
      </c>
      <c r="CB94" s="657" t="s">
        <v>297</v>
      </c>
      <c r="CC94" s="657" t="s">
        <v>298</v>
      </c>
      <c r="CD94" s="657" t="s">
        <v>231</v>
      </c>
      <c r="CE94" s="657" t="s">
        <v>299</v>
      </c>
      <c r="CF94" s="657" t="s">
        <v>300</v>
      </c>
      <c r="CG94" s="657" t="s">
        <v>301</v>
      </c>
      <c r="CH94" s="657" t="s">
        <v>302</v>
      </c>
      <c r="CI94" s="660" t="s">
        <v>232</v>
      </c>
    </row>
    <row r="95" spans="1:89" ht="28.5" x14ac:dyDescent="0.2">
      <c r="B95" s="667" t="s">
        <v>607</v>
      </c>
      <c r="C95" s="668" t="s">
        <v>608</v>
      </c>
      <c r="D95" s="668" t="s">
        <v>609</v>
      </c>
      <c r="E95" s="668" t="s">
        <v>236</v>
      </c>
      <c r="F95" s="669">
        <v>2</v>
      </c>
      <c r="G95" s="670"/>
      <c r="H95" s="671"/>
      <c r="I95" s="671">
        <v>0</v>
      </c>
      <c r="J95" s="671">
        <v>0</v>
      </c>
      <c r="K95" s="671">
        <v>0</v>
      </c>
      <c r="L95" s="671">
        <v>0</v>
      </c>
      <c r="M95" s="666">
        <v>0</v>
      </c>
      <c r="N95" s="666">
        <v>0</v>
      </c>
      <c r="O95" s="666">
        <v>0</v>
      </c>
      <c r="P95" s="666">
        <v>0</v>
      </c>
      <c r="Q95" s="666">
        <v>0</v>
      </c>
      <c r="R95" s="666">
        <v>0</v>
      </c>
      <c r="S95" s="666">
        <v>0</v>
      </c>
      <c r="T95" s="666">
        <v>0</v>
      </c>
      <c r="U95" s="666">
        <v>0</v>
      </c>
      <c r="V95" s="666">
        <v>0</v>
      </c>
      <c r="W95" s="666">
        <v>0</v>
      </c>
      <c r="X95" s="666">
        <v>0</v>
      </c>
      <c r="Y95" s="666">
        <v>0</v>
      </c>
      <c r="Z95" s="666">
        <v>0</v>
      </c>
      <c r="AA95" s="666">
        <v>0</v>
      </c>
      <c r="AB95" s="666">
        <v>0</v>
      </c>
      <c r="AC95" s="666">
        <v>0</v>
      </c>
      <c r="AD95" s="666">
        <v>0</v>
      </c>
      <c r="AE95" s="666">
        <v>0</v>
      </c>
      <c r="AF95" s="666">
        <v>0</v>
      </c>
      <c r="AG95" s="666">
        <v>0</v>
      </c>
      <c r="AH95" s="666">
        <v>0</v>
      </c>
      <c r="AI95" s="666">
        <v>0</v>
      </c>
      <c r="AJ95" s="666">
        <v>0</v>
      </c>
      <c r="AK95" s="666">
        <v>0</v>
      </c>
      <c r="AL95" s="666"/>
      <c r="AM95" s="666"/>
      <c r="AN95" s="666"/>
      <c r="AO95" s="666"/>
      <c r="AP95" s="666"/>
      <c r="AQ95" s="666"/>
      <c r="AR95" s="666"/>
      <c r="AS95" s="666"/>
      <c r="AT95" s="666"/>
      <c r="AU95" s="666"/>
      <c r="AV95" s="666"/>
      <c r="AW95" s="666"/>
      <c r="AX95" s="666"/>
      <c r="AY95" s="666"/>
      <c r="AZ95" s="666"/>
      <c r="BA95" s="666"/>
      <c r="BB95" s="666"/>
      <c r="BC95" s="666"/>
      <c r="BD95" s="666"/>
      <c r="BE95" s="666"/>
      <c r="BF95" s="666"/>
      <c r="BG95" s="666"/>
      <c r="BH95" s="666"/>
      <c r="BI95" s="666"/>
      <c r="BJ95" s="666"/>
      <c r="BK95" s="666"/>
      <c r="BL95" s="666"/>
      <c r="BM95" s="666"/>
      <c r="BN95" s="666"/>
      <c r="BO95" s="666"/>
      <c r="BP95" s="666"/>
      <c r="BQ95" s="666"/>
      <c r="BR95" s="666"/>
      <c r="BS95" s="666"/>
      <c r="BT95" s="666"/>
      <c r="BU95" s="666"/>
      <c r="BV95" s="666"/>
      <c r="BW95" s="666"/>
      <c r="BX95" s="666"/>
      <c r="BY95" s="666"/>
      <c r="BZ95" s="666"/>
      <c r="CA95" s="666"/>
      <c r="CB95" s="666"/>
      <c r="CC95" s="666"/>
      <c r="CD95" s="666"/>
      <c r="CE95" s="666"/>
      <c r="CF95" s="666"/>
      <c r="CG95" s="666"/>
      <c r="CH95" s="666"/>
      <c r="CI95" s="666"/>
    </row>
    <row r="96" spans="1:89" x14ac:dyDescent="0.2">
      <c r="B96" s="661" t="s">
        <v>610</v>
      </c>
      <c r="C96" s="662" t="s">
        <v>611</v>
      </c>
      <c r="D96" s="662" t="s">
        <v>612</v>
      </c>
      <c r="E96" s="662" t="s">
        <v>236</v>
      </c>
      <c r="F96" s="663">
        <v>2</v>
      </c>
      <c r="G96" s="670"/>
      <c r="H96" s="671"/>
      <c r="I96" s="671">
        <v>0</v>
      </c>
      <c r="J96" s="671">
        <v>0</v>
      </c>
      <c r="K96" s="671">
        <v>0</v>
      </c>
      <c r="L96" s="671">
        <v>0</v>
      </c>
      <c r="M96" s="666">
        <v>0</v>
      </c>
      <c r="N96" s="666">
        <v>0</v>
      </c>
      <c r="O96" s="666">
        <v>0</v>
      </c>
      <c r="P96" s="666">
        <v>0</v>
      </c>
      <c r="Q96" s="666">
        <v>0</v>
      </c>
      <c r="R96" s="666">
        <v>0</v>
      </c>
      <c r="S96" s="666">
        <v>0</v>
      </c>
      <c r="T96" s="666">
        <v>0</v>
      </c>
      <c r="U96" s="666">
        <v>0</v>
      </c>
      <c r="V96" s="666">
        <v>0</v>
      </c>
      <c r="W96" s="666">
        <v>0</v>
      </c>
      <c r="X96" s="666">
        <v>0</v>
      </c>
      <c r="Y96" s="666">
        <v>0</v>
      </c>
      <c r="Z96" s="666">
        <v>0</v>
      </c>
      <c r="AA96" s="666">
        <v>0</v>
      </c>
      <c r="AB96" s="666">
        <v>0</v>
      </c>
      <c r="AC96" s="666">
        <v>0</v>
      </c>
      <c r="AD96" s="666">
        <v>0</v>
      </c>
      <c r="AE96" s="666">
        <v>0</v>
      </c>
      <c r="AF96" s="666">
        <v>0</v>
      </c>
      <c r="AG96" s="666">
        <v>0</v>
      </c>
      <c r="AH96" s="666">
        <v>0</v>
      </c>
      <c r="AI96" s="666">
        <v>0</v>
      </c>
      <c r="AJ96" s="666">
        <v>0</v>
      </c>
      <c r="AK96" s="666">
        <v>0</v>
      </c>
      <c r="AL96" s="666"/>
      <c r="AM96" s="666"/>
      <c r="AN96" s="666"/>
      <c r="AO96" s="666"/>
      <c r="AP96" s="666"/>
      <c r="AQ96" s="666"/>
      <c r="AR96" s="666"/>
      <c r="AS96" s="666"/>
      <c r="AT96" s="666"/>
      <c r="AU96" s="666"/>
      <c r="AV96" s="666"/>
      <c r="AW96" s="666"/>
      <c r="AX96" s="666"/>
      <c r="AY96" s="666"/>
      <c r="AZ96" s="666"/>
      <c r="BA96" s="666"/>
      <c r="BB96" s="666"/>
      <c r="BC96" s="666"/>
      <c r="BD96" s="666"/>
      <c r="BE96" s="666"/>
      <c r="BF96" s="666"/>
      <c r="BG96" s="666"/>
      <c r="BH96" s="666"/>
      <c r="BI96" s="666"/>
      <c r="BJ96" s="666"/>
      <c r="BK96" s="666"/>
      <c r="BL96" s="666"/>
      <c r="BM96" s="666"/>
      <c r="BN96" s="666"/>
      <c r="BO96" s="666"/>
      <c r="BP96" s="666"/>
      <c r="BQ96" s="666"/>
      <c r="BR96" s="666"/>
      <c r="BS96" s="666"/>
      <c r="BT96" s="666"/>
      <c r="BU96" s="666"/>
      <c r="BV96" s="666"/>
      <c r="BW96" s="666"/>
      <c r="BX96" s="666"/>
      <c r="BY96" s="666"/>
      <c r="BZ96" s="666"/>
      <c r="CA96" s="666"/>
      <c r="CB96" s="666"/>
      <c r="CC96" s="666"/>
      <c r="CD96" s="666"/>
      <c r="CE96" s="666"/>
      <c r="CF96" s="666"/>
      <c r="CG96" s="666"/>
      <c r="CH96" s="666"/>
      <c r="CI96" s="666"/>
    </row>
    <row r="97" spans="2:87" ht="30" x14ac:dyDescent="0.2">
      <c r="B97" s="1502" t="s">
        <v>613</v>
      </c>
      <c r="C97" s="1510" t="s">
        <v>798</v>
      </c>
      <c r="D97" s="668" t="s">
        <v>615</v>
      </c>
      <c r="E97" s="668" t="s">
        <v>236</v>
      </c>
      <c r="F97" s="669">
        <v>2</v>
      </c>
      <c r="G97" s="670"/>
      <c r="H97" s="671"/>
      <c r="I97" s="671">
        <v>0</v>
      </c>
      <c r="J97" s="671">
        <v>0</v>
      </c>
      <c r="K97" s="671">
        <v>0</v>
      </c>
      <c r="L97" s="671">
        <v>0</v>
      </c>
      <c r="M97" s="666">
        <v>0</v>
      </c>
      <c r="N97" s="666">
        <v>0</v>
      </c>
      <c r="O97" s="666">
        <v>0</v>
      </c>
      <c r="P97" s="1511">
        <v>2.0191658334342422</v>
      </c>
      <c r="Q97" s="1511">
        <v>1.9750342851558536</v>
      </c>
      <c r="R97" s="1511">
        <v>2.1602800871321528</v>
      </c>
      <c r="S97" s="1511">
        <v>1.9415896480311743</v>
      </c>
      <c r="T97" s="1511">
        <v>5.654349269798713</v>
      </c>
      <c r="U97" s="1511">
        <v>5.613079458205263</v>
      </c>
      <c r="V97" s="1511">
        <v>5.5425060693968762</v>
      </c>
      <c r="W97" s="1511">
        <v>5.4853809871869776</v>
      </c>
      <c r="X97" s="1511">
        <v>5.4584486292165808</v>
      </c>
      <c r="Y97" s="1511">
        <v>5.4218804505148581</v>
      </c>
      <c r="Z97" s="1511">
        <v>5.4008407809205563</v>
      </c>
      <c r="AA97" s="1511">
        <v>5.3775638656158131</v>
      </c>
      <c r="AB97" s="1511">
        <v>6.0010081839225338</v>
      </c>
      <c r="AC97" s="1511">
        <v>5.9673451728357021</v>
      </c>
      <c r="AD97" s="1511">
        <v>5.9252281773674884</v>
      </c>
      <c r="AE97" s="1511">
        <v>5.9053244604307817</v>
      </c>
      <c r="AF97" s="1511">
        <v>5.9066312118793931</v>
      </c>
      <c r="AG97" s="1511">
        <v>6.547291354179122</v>
      </c>
      <c r="AH97" s="1511">
        <v>6.5585931432347309</v>
      </c>
      <c r="AI97" s="1511">
        <v>6.5702706405093627</v>
      </c>
      <c r="AJ97" s="1511">
        <v>6.5927342527358581</v>
      </c>
      <c r="AK97" s="1511">
        <v>6.6051322929039378</v>
      </c>
      <c r="AL97" s="666"/>
      <c r="AM97" s="666"/>
      <c r="AN97" s="666"/>
      <c r="AO97" s="666"/>
      <c r="AP97" s="666"/>
      <c r="AQ97" s="666"/>
      <c r="AR97" s="666"/>
      <c r="AS97" s="666"/>
      <c r="AT97" s="666"/>
      <c r="AU97" s="666"/>
      <c r="AV97" s="666"/>
      <c r="AW97" s="666"/>
      <c r="AX97" s="666"/>
      <c r="AY97" s="666"/>
      <c r="AZ97" s="666"/>
      <c r="BA97" s="666"/>
      <c r="BB97" s="666"/>
      <c r="BC97" s="666"/>
      <c r="BD97" s="666"/>
      <c r="BE97" s="666"/>
      <c r="BF97" s="666"/>
      <c r="BG97" s="666"/>
      <c r="BH97" s="666"/>
      <c r="BI97" s="666"/>
      <c r="BJ97" s="666"/>
      <c r="BK97" s="666"/>
      <c r="BL97" s="666"/>
      <c r="BM97" s="666"/>
      <c r="BN97" s="666"/>
      <c r="BO97" s="666"/>
      <c r="BP97" s="666"/>
      <c r="BQ97" s="666"/>
      <c r="BR97" s="666"/>
      <c r="BS97" s="666"/>
      <c r="BT97" s="666"/>
      <c r="BU97" s="666"/>
      <c r="BV97" s="666"/>
      <c r="BW97" s="666"/>
      <c r="BX97" s="666"/>
      <c r="BY97" s="666"/>
      <c r="BZ97" s="666"/>
      <c r="CA97" s="666"/>
      <c r="CB97" s="666"/>
      <c r="CC97" s="666"/>
      <c r="CD97" s="666"/>
      <c r="CE97" s="666"/>
      <c r="CF97" s="666"/>
      <c r="CG97" s="666"/>
      <c r="CH97" s="666"/>
      <c r="CI97" s="666"/>
    </row>
    <row r="98" spans="2:87" ht="28.5" x14ac:dyDescent="0.2">
      <c r="B98" s="667" t="s">
        <v>616</v>
      </c>
      <c r="C98" s="668" t="s">
        <v>617</v>
      </c>
      <c r="D98" s="668" t="s">
        <v>618</v>
      </c>
      <c r="E98" s="668" t="s">
        <v>236</v>
      </c>
      <c r="F98" s="669">
        <v>2</v>
      </c>
      <c r="G98" s="670"/>
      <c r="H98" s="671"/>
      <c r="I98" s="671">
        <v>0</v>
      </c>
      <c r="J98" s="671">
        <v>0</v>
      </c>
      <c r="K98" s="671">
        <v>0</v>
      </c>
      <c r="L98" s="671">
        <v>0</v>
      </c>
      <c r="M98" s="666">
        <v>0</v>
      </c>
      <c r="N98" s="666">
        <v>0</v>
      </c>
      <c r="O98" s="666">
        <v>0</v>
      </c>
      <c r="P98" s="666">
        <v>0</v>
      </c>
      <c r="Q98" s="666">
        <v>0</v>
      </c>
      <c r="R98" s="666">
        <v>0</v>
      </c>
      <c r="S98" s="666">
        <v>0</v>
      </c>
      <c r="T98" s="666">
        <v>0</v>
      </c>
      <c r="U98" s="666">
        <v>0</v>
      </c>
      <c r="V98" s="666">
        <v>0</v>
      </c>
      <c r="W98" s="666">
        <v>0</v>
      </c>
      <c r="X98" s="666">
        <v>0</v>
      </c>
      <c r="Y98" s="666">
        <v>0</v>
      </c>
      <c r="Z98" s="666">
        <v>0</v>
      </c>
      <c r="AA98" s="666">
        <v>0</v>
      </c>
      <c r="AB98" s="666">
        <v>0</v>
      </c>
      <c r="AC98" s="666">
        <v>0</v>
      </c>
      <c r="AD98" s="666">
        <v>0</v>
      </c>
      <c r="AE98" s="666">
        <v>0</v>
      </c>
      <c r="AF98" s="666">
        <v>0</v>
      </c>
      <c r="AG98" s="666">
        <v>0</v>
      </c>
      <c r="AH98" s="666">
        <v>0</v>
      </c>
      <c r="AI98" s="666">
        <v>0</v>
      </c>
      <c r="AJ98" s="666">
        <v>0</v>
      </c>
      <c r="AK98" s="666">
        <v>0</v>
      </c>
      <c r="AL98" s="666"/>
      <c r="AM98" s="666"/>
      <c r="AN98" s="666"/>
      <c r="AO98" s="666"/>
      <c r="AP98" s="666"/>
      <c r="AQ98" s="666"/>
      <c r="AR98" s="666"/>
      <c r="AS98" s="666"/>
      <c r="AT98" s="666"/>
      <c r="AU98" s="666"/>
      <c r="AV98" s="666"/>
      <c r="AW98" s="666"/>
      <c r="AX98" s="666"/>
      <c r="AY98" s="666"/>
      <c r="AZ98" s="666"/>
      <c r="BA98" s="666"/>
      <c r="BB98" s="666"/>
      <c r="BC98" s="666"/>
      <c r="BD98" s="666"/>
      <c r="BE98" s="666"/>
      <c r="BF98" s="666"/>
      <c r="BG98" s="666"/>
      <c r="BH98" s="666"/>
      <c r="BI98" s="666"/>
      <c r="BJ98" s="666"/>
      <c r="BK98" s="666"/>
      <c r="BL98" s="666"/>
      <c r="BM98" s="666"/>
      <c r="BN98" s="666"/>
      <c r="BO98" s="666"/>
      <c r="BP98" s="666"/>
      <c r="BQ98" s="666"/>
      <c r="BR98" s="666"/>
      <c r="BS98" s="666"/>
      <c r="BT98" s="666"/>
      <c r="BU98" s="666"/>
      <c r="BV98" s="666"/>
      <c r="BW98" s="666"/>
      <c r="BX98" s="666"/>
      <c r="BY98" s="666"/>
      <c r="BZ98" s="666"/>
      <c r="CA98" s="666"/>
      <c r="CB98" s="666"/>
      <c r="CC98" s="666"/>
      <c r="CD98" s="666"/>
      <c r="CE98" s="666"/>
      <c r="CF98" s="666"/>
      <c r="CG98" s="666"/>
      <c r="CH98" s="666"/>
      <c r="CI98" s="666"/>
    </row>
    <row r="99" spans="2:87" ht="28.5" x14ac:dyDescent="0.2">
      <c r="B99" s="667" t="s">
        <v>619</v>
      </c>
      <c r="C99" s="668" t="s">
        <v>620</v>
      </c>
      <c r="D99" s="668" t="s">
        <v>621</v>
      </c>
      <c r="E99" s="668" t="s">
        <v>236</v>
      </c>
      <c r="F99" s="669">
        <v>2</v>
      </c>
      <c r="G99" s="670"/>
      <c r="H99" s="671"/>
      <c r="I99" s="671">
        <v>0</v>
      </c>
      <c r="J99" s="671">
        <v>0</v>
      </c>
      <c r="K99" s="671">
        <v>0</v>
      </c>
      <c r="L99" s="671">
        <v>0</v>
      </c>
      <c r="M99" s="666">
        <v>0</v>
      </c>
      <c r="N99" s="666">
        <v>0</v>
      </c>
      <c r="O99" s="666">
        <v>0</v>
      </c>
      <c r="P99" s="666">
        <v>0</v>
      </c>
      <c r="Q99" s="666">
        <v>0</v>
      </c>
      <c r="R99" s="666">
        <v>0</v>
      </c>
      <c r="S99" s="666">
        <v>0</v>
      </c>
      <c r="T99" s="666">
        <v>0</v>
      </c>
      <c r="U99" s="666">
        <v>0</v>
      </c>
      <c r="V99" s="666">
        <v>0</v>
      </c>
      <c r="W99" s="666">
        <v>0</v>
      </c>
      <c r="X99" s="666">
        <v>0</v>
      </c>
      <c r="Y99" s="666">
        <v>0</v>
      </c>
      <c r="Z99" s="666">
        <v>0</v>
      </c>
      <c r="AA99" s="666">
        <v>0</v>
      </c>
      <c r="AB99" s="666">
        <v>0</v>
      </c>
      <c r="AC99" s="666">
        <v>0</v>
      </c>
      <c r="AD99" s="666">
        <v>0</v>
      </c>
      <c r="AE99" s="666">
        <v>0</v>
      </c>
      <c r="AF99" s="666">
        <v>0</v>
      </c>
      <c r="AG99" s="666">
        <v>0</v>
      </c>
      <c r="AH99" s="666">
        <v>0</v>
      </c>
      <c r="AI99" s="666">
        <v>0</v>
      </c>
      <c r="AJ99" s="666">
        <v>0</v>
      </c>
      <c r="AK99" s="666">
        <v>0</v>
      </c>
      <c r="AL99" s="666"/>
      <c r="AM99" s="666"/>
      <c r="AN99" s="666"/>
      <c r="AO99" s="666"/>
      <c r="AP99" s="666"/>
      <c r="AQ99" s="666"/>
      <c r="AR99" s="666"/>
      <c r="AS99" s="666"/>
      <c r="AT99" s="666"/>
      <c r="AU99" s="666"/>
      <c r="AV99" s="666"/>
      <c r="AW99" s="666"/>
      <c r="AX99" s="666"/>
      <c r="AY99" s="666"/>
      <c r="AZ99" s="666"/>
      <c r="BA99" s="666"/>
      <c r="BB99" s="666"/>
      <c r="BC99" s="666"/>
      <c r="BD99" s="666"/>
      <c r="BE99" s="666"/>
      <c r="BF99" s="666"/>
      <c r="BG99" s="666"/>
      <c r="BH99" s="666"/>
      <c r="BI99" s="666"/>
      <c r="BJ99" s="666"/>
      <c r="BK99" s="666"/>
      <c r="BL99" s="666"/>
      <c r="BM99" s="666"/>
      <c r="BN99" s="666"/>
      <c r="BO99" s="666"/>
      <c r="BP99" s="666"/>
      <c r="BQ99" s="666"/>
      <c r="BR99" s="666"/>
      <c r="BS99" s="666"/>
      <c r="BT99" s="666"/>
      <c r="BU99" s="666"/>
      <c r="BV99" s="666"/>
      <c r="BW99" s="666"/>
      <c r="BX99" s="666"/>
      <c r="BY99" s="666"/>
      <c r="BZ99" s="666"/>
      <c r="CA99" s="666"/>
      <c r="CB99" s="666"/>
      <c r="CC99" s="666"/>
      <c r="CD99" s="666"/>
      <c r="CE99" s="666"/>
      <c r="CF99" s="666"/>
      <c r="CG99" s="666"/>
      <c r="CH99" s="666"/>
      <c r="CI99" s="666"/>
    </row>
    <row r="100" spans="2:87" ht="28.5" x14ac:dyDescent="0.2">
      <c r="B100" s="672" t="s">
        <v>622</v>
      </c>
      <c r="C100" s="673" t="s">
        <v>623</v>
      </c>
      <c r="D100" s="673" t="s">
        <v>624</v>
      </c>
      <c r="E100" s="673" t="s">
        <v>236</v>
      </c>
      <c r="F100" s="669">
        <v>2</v>
      </c>
      <c r="G100" s="670"/>
      <c r="H100" s="671"/>
      <c r="I100" s="671">
        <v>0</v>
      </c>
      <c r="J100" s="671">
        <v>0</v>
      </c>
      <c r="K100" s="671">
        <v>0</v>
      </c>
      <c r="L100" s="671">
        <v>0</v>
      </c>
      <c r="M100" s="666">
        <v>0</v>
      </c>
      <c r="N100" s="666">
        <v>0</v>
      </c>
      <c r="O100" s="666">
        <v>0</v>
      </c>
      <c r="P100" s="666">
        <v>0</v>
      </c>
      <c r="Q100" s="666">
        <v>0</v>
      </c>
      <c r="R100" s="666">
        <v>0</v>
      </c>
      <c r="S100" s="666">
        <v>0</v>
      </c>
      <c r="T100" s="666">
        <v>0</v>
      </c>
      <c r="U100" s="666">
        <v>0</v>
      </c>
      <c r="V100" s="666">
        <v>0</v>
      </c>
      <c r="W100" s="666">
        <v>0</v>
      </c>
      <c r="X100" s="666">
        <v>0</v>
      </c>
      <c r="Y100" s="666">
        <v>0</v>
      </c>
      <c r="Z100" s="666">
        <v>0</v>
      </c>
      <c r="AA100" s="666">
        <v>0</v>
      </c>
      <c r="AB100" s="666">
        <v>0</v>
      </c>
      <c r="AC100" s="666">
        <v>0</v>
      </c>
      <c r="AD100" s="666">
        <v>0</v>
      </c>
      <c r="AE100" s="666">
        <v>0</v>
      </c>
      <c r="AF100" s="666">
        <v>0</v>
      </c>
      <c r="AG100" s="666">
        <v>0</v>
      </c>
      <c r="AH100" s="666">
        <v>0</v>
      </c>
      <c r="AI100" s="666">
        <v>0</v>
      </c>
      <c r="AJ100" s="666">
        <v>0</v>
      </c>
      <c r="AK100" s="666">
        <v>0</v>
      </c>
      <c r="AL100" s="666"/>
      <c r="AM100" s="666"/>
      <c r="AN100" s="666"/>
      <c r="AO100" s="666"/>
      <c r="AP100" s="666"/>
      <c r="AQ100" s="666"/>
      <c r="AR100" s="666"/>
      <c r="AS100" s="666"/>
      <c r="AT100" s="666"/>
      <c r="AU100" s="666"/>
      <c r="AV100" s="666"/>
      <c r="AW100" s="666"/>
      <c r="AX100" s="666"/>
      <c r="AY100" s="666"/>
      <c r="AZ100" s="666"/>
      <c r="BA100" s="666"/>
      <c r="BB100" s="666"/>
      <c r="BC100" s="666"/>
      <c r="BD100" s="666"/>
      <c r="BE100" s="666"/>
      <c r="BF100" s="666"/>
      <c r="BG100" s="666"/>
      <c r="BH100" s="666"/>
      <c r="BI100" s="666"/>
      <c r="BJ100" s="666"/>
      <c r="BK100" s="666"/>
      <c r="BL100" s="666"/>
      <c r="BM100" s="666"/>
      <c r="BN100" s="666"/>
      <c r="BO100" s="666"/>
      <c r="BP100" s="666"/>
      <c r="BQ100" s="666"/>
      <c r="BR100" s="666"/>
      <c r="BS100" s="666"/>
      <c r="BT100" s="666"/>
      <c r="BU100" s="666"/>
      <c r="BV100" s="666"/>
      <c r="BW100" s="666"/>
      <c r="BX100" s="666"/>
      <c r="BY100" s="666"/>
      <c r="BZ100" s="666"/>
      <c r="CA100" s="666"/>
      <c r="CB100" s="666"/>
      <c r="CC100" s="666"/>
      <c r="CD100" s="666"/>
      <c r="CE100" s="666"/>
      <c r="CF100" s="666"/>
      <c r="CG100" s="666"/>
      <c r="CH100" s="666"/>
      <c r="CI100" s="666"/>
    </row>
    <row r="101" spans="2:87" x14ac:dyDescent="0.2">
      <c r="B101" s="667" t="s">
        <v>625</v>
      </c>
      <c r="C101" s="668" t="s">
        <v>626</v>
      </c>
      <c r="D101" s="668" t="s">
        <v>627</v>
      </c>
      <c r="E101" s="668" t="s">
        <v>236</v>
      </c>
      <c r="F101" s="669">
        <v>2</v>
      </c>
      <c r="G101" s="670"/>
      <c r="H101" s="671"/>
      <c r="I101" s="671">
        <v>0</v>
      </c>
      <c r="J101" s="671">
        <v>0</v>
      </c>
      <c r="K101" s="671">
        <v>0</v>
      </c>
      <c r="L101" s="671">
        <v>0</v>
      </c>
      <c r="M101" s="1511">
        <v>2.27</v>
      </c>
      <c r="N101" s="1511">
        <v>2.27</v>
      </c>
      <c r="O101" s="1511">
        <v>2.27</v>
      </c>
      <c r="P101" s="666">
        <v>0</v>
      </c>
      <c r="Q101" s="666">
        <v>0</v>
      </c>
      <c r="R101" s="666">
        <v>0</v>
      </c>
      <c r="S101" s="666">
        <v>0</v>
      </c>
      <c r="T101" s="666">
        <v>0</v>
      </c>
      <c r="U101" s="666">
        <v>0</v>
      </c>
      <c r="V101" s="666">
        <v>0</v>
      </c>
      <c r="W101" s="666">
        <v>0</v>
      </c>
      <c r="X101" s="666">
        <v>0</v>
      </c>
      <c r="Y101" s="666">
        <v>0</v>
      </c>
      <c r="Z101" s="666">
        <v>0</v>
      </c>
      <c r="AA101" s="666">
        <v>0</v>
      </c>
      <c r="AB101" s="666">
        <v>0</v>
      </c>
      <c r="AC101" s="666">
        <v>0</v>
      </c>
      <c r="AD101" s="666">
        <v>0</v>
      </c>
      <c r="AE101" s="666">
        <v>0</v>
      </c>
      <c r="AF101" s="666">
        <v>0</v>
      </c>
      <c r="AG101" s="666">
        <v>0</v>
      </c>
      <c r="AH101" s="666">
        <v>0</v>
      </c>
      <c r="AI101" s="666">
        <v>0</v>
      </c>
      <c r="AJ101" s="666">
        <v>0</v>
      </c>
      <c r="AK101" s="666">
        <v>0</v>
      </c>
      <c r="AL101" s="666"/>
      <c r="AM101" s="666"/>
      <c r="AN101" s="666"/>
      <c r="AO101" s="666"/>
      <c r="AP101" s="666"/>
      <c r="AQ101" s="666"/>
      <c r="AR101" s="666"/>
      <c r="AS101" s="666"/>
      <c r="AT101" s="666"/>
      <c r="AU101" s="666"/>
      <c r="AV101" s="666"/>
      <c r="AW101" s="666"/>
      <c r="AX101" s="666"/>
      <c r="AY101" s="666"/>
      <c r="AZ101" s="666"/>
      <c r="BA101" s="666"/>
      <c r="BB101" s="666"/>
      <c r="BC101" s="666"/>
      <c r="BD101" s="666"/>
      <c r="BE101" s="666"/>
      <c r="BF101" s="666"/>
      <c r="BG101" s="666"/>
      <c r="BH101" s="666"/>
      <c r="BI101" s="666"/>
      <c r="BJ101" s="666"/>
      <c r="BK101" s="666"/>
      <c r="BL101" s="666"/>
      <c r="BM101" s="666"/>
      <c r="BN101" s="666"/>
      <c r="BO101" s="666"/>
      <c r="BP101" s="666"/>
      <c r="BQ101" s="666"/>
      <c r="BR101" s="666"/>
      <c r="BS101" s="666"/>
      <c r="BT101" s="666"/>
      <c r="BU101" s="666"/>
      <c r="BV101" s="666"/>
      <c r="BW101" s="666"/>
      <c r="BX101" s="666"/>
      <c r="BY101" s="666"/>
      <c r="BZ101" s="666"/>
      <c r="CA101" s="666"/>
      <c r="CB101" s="666"/>
      <c r="CC101" s="666"/>
      <c r="CD101" s="666"/>
      <c r="CE101" s="666"/>
      <c r="CF101" s="666"/>
      <c r="CG101" s="666"/>
      <c r="CH101" s="666"/>
      <c r="CI101" s="666"/>
    </row>
    <row r="102" spans="2:87" ht="38.25" customHeight="1" x14ac:dyDescent="0.2">
      <c r="B102" s="674" t="s">
        <v>628</v>
      </c>
      <c r="C102" s="675" t="s">
        <v>629</v>
      </c>
      <c r="D102" s="676" t="s">
        <v>630</v>
      </c>
      <c r="E102" s="675" t="s">
        <v>236</v>
      </c>
      <c r="F102" s="677">
        <v>2</v>
      </c>
      <c r="G102" s="670"/>
      <c r="H102" s="671"/>
      <c r="I102" s="671">
        <v>0</v>
      </c>
      <c r="J102" s="671">
        <v>0</v>
      </c>
      <c r="K102" s="671">
        <v>0</v>
      </c>
      <c r="L102" s="671">
        <v>0</v>
      </c>
      <c r="M102" s="666">
        <v>0</v>
      </c>
      <c r="N102" s="666">
        <v>0</v>
      </c>
      <c r="O102" s="666">
        <v>0</v>
      </c>
      <c r="P102" s="666">
        <v>0</v>
      </c>
      <c r="Q102" s="666">
        <v>0</v>
      </c>
      <c r="R102" s="666">
        <v>0</v>
      </c>
      <c r="S102" s="666">
        <v>0</v>
      </c>
      <c r="T102" s="666">
        <v>0</v>
      </c>
      <c r="U102" s="666">
        <v>0</v>
      </c>
      <c r="V102" s="666">
        <v>0</v>
      </c>
      <c r="W102" s="666">
        <v>0</v>
      </c>
      <c r="X102" s="666">
        <v>0</v>
      </c>
      <c r="Y102" s="666">
        <v>0</v>
      </c>
      <c r="Z102" s="666">
        <v>0</v>
      </c>
      <c r="AA102" s="666">
        <v>0</v>
      </c>
      <c r="AB102" s="666">
        <v>0</v>
      </c>
      <c r="AC102" s="666">
        <v>0</v>
      </c>
      <c r="AD102" s="666">
        <v>0</v>
      </c>
      <c r="AE102" s="666">
        <v>0</v>
      </c>
      <c r="AF102" s="666">
        <v>0</v>
      </c>
      <c r="AG102" s="666">
        <v>0</v>
      </c>
      <c r="AH102" s="666">
        <v>0</v>
      </c>
      <c r="AI102" s="666">
        <v>0</v>
      </c>
      <c r="AJ102" s="666">
        <v>0</v>
      </c>
      <c r="AK102" s="666">
        <v>0</v>
      </c>
      <c r="AL102" s="666"/>
      <c r="AM102" s="666"/>
      <c r="AN102" s="666"/>
      <c r="AO102" s="666"/>
      <c r="AP102" s="666"/>
      <c r="AQ102" s="666"/>
      <c r="AR102" s="666"/>
      <c r="AS102" s="666"/>
      <c r="AT102" s="666"/>
      <c r="AU102" s="666"/>
      <c r="AV102" s="666"/>
      <c r="AW102" s="666"/>
      <c r="AX102" s="666"/>
      <c r="AY102" s="666"/>
      <c r="AZ102" s="666"/>
      <c r="BA102" s="666"/>
      <c r="BB102" s="666"/>
      <c r="BC102" s="666"/>
      <c r="BD102" s="666"/>
      <c r="BE102" s="666"/>
      <c r="BF102" s="666"/>
      <c r="BG102" s="666"/>
      <c r="BH102" s="666"/>
      <c r="BI102" s="666"/>
      <c r="BJ102" s="666"/>
      <c r="BK102" s="666"/>
      <c r="BL102" s="666"/>
      <c r="BM102" s="666"/>
      <c r="BN102" s="666"/>
      <c r="BO102" s="666"/>
      <c r="BP102" s="666"/>
      <c r="BQ102" s="666"/>
      <c r="BR102" s="666"/>
      <c r="BS102" s="666"/>
      <c r="BT102" s="666"/>
      <c r="BU102" s="666"/>
      <c r="BV102" s="666"/>
      <c r="BW102" s="666"/>
      <c r="BX102" s="666"/>
      <c r="BY102" s="666"/>
      <c r="BZ102" s="666"/>
      <c r="CA102" s="666"/>
      <c r="CB102" s="666"/>
      <c r="CC102" s="666"/>
      <c r="CD102" s="666"/>
      <c r="CE102" s="666"/>
      <c r="CF102" s="666"/>
      <c r="CG102" s="666"/>
      <c r="CH102" s="666"/>
      <c r="CI102" s="666"/>
    </row>
    <row r="103" spans="2:87" ht="38.25" customHeight="1" x14ac:dyDescent="0.2">
      <c r="B103" s="1503" t="s">
        <v>631</v>
      </c>
      <c r="C103" s="675" t="s">
        <v>632</v>
      </c>
      <c r="D103" s="676" t="s">
        <v>633</v>
      </c>
      <c r="E103" s="675" t="s">
        <v>236</v>
      </c>
      <c r="F103" s="677">
        <v>2</v>
      </c>
      <c r="G103" s="670"/>
      <c r="H103" s="671"/>
      <c r="I103" s="671">
        <v>0.43328262222033598</v>
      </c>
      <c r="J103" s="671">
        <v>0.43938299452265295</v>
      </c>
      <c r="K103" s="671">
        <v>0.4302387972878946</v>
      </c>
      <c r="L103" s="671">
        <v>0.41098302982203827</v>
      </c>
      <c r="M103" s="666">
        <v>0.38028984793346549</v>
      </c>
      <c r="N103" s="666">
        <v>0.3602416007237168</v>
      </c>
      <c r="O103" s="666">
        <v>0.36984452497855302</v>
      </c>
      <c r="P103" s="666">
        <v>0.37021996484493647</v>
      </c>
      <c r="Q103" s="666">
        <v>0.36916493378332049</v>
      </c>
      <c r="R103" s="666">
        <v>0.36791952990139337</v>
      </c>
      <c r="S103" s="666">
        <v>0.36626166457699899</v>
      </c>
      <c r="T103" s="666">
        <v>0.36429244627103752</v>
      </c>
      <c r="U103" s="666">
        <v>0.36128564068149494</v>
      </c>
      <c r="V103" s="666">
        <v>0.35836749267741241</v>
      </c>
      <c r="W103" s="666">
        <v>0.35572005104500182</v>
      </c>
      <c r="X103" s="666">
        <v>0.35310843555069449</v>
      </c>
      <c r="Y103" s="666">
        <v>0.35055501916810961</v>
      </c>
      <c r="Z103" s="666">
        <v>0.34805688134554302</v>
      </c>
      <c r="AA103" s="666">
        <v>0.34533086366841814</v>
      </c>
      <c r="AB103" s="666">
        <v>0.34225252569032449</v>
      </c>
      <c r="AC103" s="666">
        <v>0.3394897442434982</v>
      </c>
      <c r="AD103" s="666">
        <v>0.33691168224217283</v>
      </c>
      <c r="AE103" s="666">
        <v>0.33567792609046093</v>
      </c>
      <c r="AF103" s="666">
        <v>0.33676593441807057</v>
      </c>
      <c r="AG103" s="666">
        <v>0.33779731916037981</v>
      </c>
      <c r="AH103" s="666">
        <v>0.33891187196066619</v>
      </c>
      <c r="AI103" s="666">
        <v>0.34007948941540311</v>
      </c>
      <c r="AJ103" s="666">
        <v>0.34134278156848397</v>
      </c>
      <c r="AK103" s="666">
        <v>0.34260849803452265</v>
      </c>
      <c r="AL103" s="666"/>
      <c r="AM103" s="666"/>
      <c r="AN103" s="666"/>
      <c r="AO103" s="666"/>
      <c r="AP103" s="666"/>
      <c r="AQ103" s="666"/>
      <c r="AR103" s="666"/>
      <c r="AS103" s="666"/>
      <c r="AT103" s="666"/>
      <c r="AU103" s="666"/>
      <c r="AV103" s="666"/>
      <c r="AW103" s="666"/>
      <c r="AX103" s="666"/>
      <c r="AY103" s="666"/>
      <c r="AZ103" s="666"/>
      <c r="BA103" s="666"/>
      <c r="BB103" s="666"/>
      <c r="BC103" s="666"/>
      <c r="BD103" s="666"/>
      <c r="BE103" s="666"/>
      <c r="BF103" s="666"/>
      <c r="BG103" s="666"/>
      <c r="BH103" s="666"/>
      <c r="BI103" s="666"/>
      <c r="BJ103" s="666"/>
      <c r="BK103" s="666"/>
      <c r="BL103" s="666"/>
      <c r="BM103" s="666"/>
      <c r="BN103" s="666"/>
      <c r="BO103" s="666"/>
      <c r="BP103" s="666"/>
      <c r="BQ103" s="666"/>
      <c r="BR103" s="666"/>
      <c r="BS103" s="666"/>
      <c r="BT103" s="666"/>
      <c r="BU103" s="666"/>
      <c r="BV103" s="666"/>
      <c r="BW103" s="666"/>
      <c r="BX103" s="666"/>
      <c r="BY103" s="666"/>
      <c r="BZ103" s="666"/>
      <c r="CA103" s="666"/>
      <c r="CB103" s="666"/>
      <c r="CC103" s="666"/>
      <c r="CD103" s="666"/>
      <c r="CE103" s="666"/>
      <c r="CF103" s="666"/>
      <c r="CG103" s="666"/>
      <c r="CH103" s="666"/>
      <c r="CI103" s="666"/>
    </row>
    <row r="104" spans="2:87" ht="42.75" x14ac:dyDescent="0.2">
      <c r="B104" s="667" t="s">
        <v>634</v>
      </c>
      <c r="C104" s="668" t="s">
        <v>635</v>
      </c>
      <c r="D104" s="668" t="s">
        <v>636</v>
      </c>
      <c r="E104" s="668" t="s">
        <v>236</v>
      </c>
      <c r="F104" s="669">
        <v>2</v>
      </c>
      <c r="G104" s="670"/>
      <c r="H104" s="671"/>
      <c r="I104" s="671">
        <v>0</v>
      </c>
      <c r="J104" s="671">
        <v>0</v>
      </c>
      <c r="K104" s="671">
        <v>0</v>
      </c>
      <c r="L104" s="671">
        <v>0</v>
      </c>
      <c r="M104" s="666">
        <v>0</v>
      </c>
      <c r="N104" s="666">
        <v>0</v>
      </c>
      <c r="O104" s="666">
        <v>0</v>
      </c>
      <c r="P104" s="666">
        <v>0</v>
      </c>
      <c r="Q104" s="666">
        <v>0</v>
      </c>
      <c r="R104" s="666">
        <v>0</v>
      </c>
      <c r="S104" s="666">
        <v>0</v>
      </c>
      <c r="T104" s="666">
        <v>0</v>
      </c>
      <c r="U104" s="666">
        <v>0</v>
      </c>
      <c r="V104" s="666">
        <v>0</v>
      </c>
      <c r="W104" s="666">
        <v>0</v>
      </c>
      <c r="X104" s="666">
        <v>0</v>
      </c>
      <c r="Y104" s="666">
        <v>0</v>
      </c>
      <c r="Z104" s="666">
        <v>0</v>
      </c>
      <c r="AA104" s="666">
        <v>0</v>
      </c>
      <c r="AB104" s="666">
        <v>0</v>
      </c>
      <c r="AC104" s="666">
        <v>0</v>
      </c>
      <c r="AD104" s="666">
        <v>0</v>
      </c>
      <c r="AE104" s="666">
        <v>0</v>
      </c>
      <c r="AF104" s="666">
        <v>0</v>
      </c>
      <c r="AG104" s="666">
        <v>0</v>
      </c>
      <c r="AH104" s="666">
        <v>0</v>
      </c>
      <c r="AI104" s="666">
        <v>0</v>
      </c>
      <c r="AJ104" s="666">
        <v>0</v>
      </c>
      <c r="AK104" s="666">
        <v>0</v>
      </c>
      <c r="AL104" s="666"/>
      <c r="AM104" s="666"/>
      <c r="AN104" s="666"/>
      <c r="AO104" s="666"/>
      <c r="AP104" s="666"/>
      <c r="AQ104" s="666"/>
      <c r="AR104" s="666"/>
      <c r="AS104" s="666"/>
      <c r="AT104" s="666"/>
      <c r="AU104" s="666"/>
      <c r="AV104" s="666"/>
      <c r="AW104" s="666"/>
      <c r="AX104" s="666"/>
      <c r="AY104" s="666"/>
      <c r="AZ104" s="666"/>
      <c r="BA104" s="666"/>
      <c r="BB104" s="666"/>
      <c r="BC104" s="666"/>
      <c r="BD104" s="666"/>
      <c r="BE104" s="666"/>
      <c r="BF104" s="666"/>
      <c r="BG104" s="666"/>
      <c r="BH104" s="666"/>
      <c r="BI104" s="666"/>
      <c r="BJ104" s="666"/>
      <c r="BK104" s="666"/>
      <c r="BL104" s="666"/>
      <c r="BM104" s="666"/>
      <c r="BN104" s="666"/>
      <c r="BO104" s="666"/>
      <c r="BP104" s="666"/>
      <c r="BQ104" s="666"/>
      <c r="BR104" s="666"/>
      <c r="BS104" s="666"/>
      <c r="BT104" s="666"/>
      <c r="BU104" s="666"/>
      <c r="BV104" s="666"/>
      <c r="BW104" s="666"/>
      <c r="BX104" s="666"/>
      <c r="BY104" s="666"/>
      <c r="BZ104" s="666"/>
      <c r="CA104" s="666"/>
      <c r="CB104" s="666"/>
      <c r="CC104" s="666"/>
      <c r="CD104" s="666"/>
      <c r="CE104" s="666"/>
      <c r="CF104" s="666"/>
      <c r="CG104" s="666"/>
      <c r="CH104" s="666"/>
      <c r="CI104" s="666"/>
    </row>
    <row r="105" spans="2:87" x14ac:dyDescent="0.2">
      <c r="B105" s="667" t="s">
        <v>637</v>
      </c>
      <c r="C105" s="668" t="s">
        <v>638</v>
      </c>
      <c r="D105" s="668" t="s">
        <v>639</v>
      </c>
      <c r="E105" s="668" t="s">
        <v>236</v>
      </c>
      <c r="F105" s="669">
        <v>2</v>
      </c>
      <c r="G105" s="670"/>
      <c r="H105" s="671"/>
      <c r="I105" s="671">
        <v>0</v>
      </c>
      <c r="J105" s="671">
        <v>0</v>
      </c>
      <c r="K105" s="671">
        <v>0</v>
      </c>
      <c r="L105" s="671">
        <v>0</v>
      </c>
      <c r="M105" s="666">
        <v>0</v>
      </c>
      <c r="N105" s="666">
        <v>0</v>
      </c>
      <c r="O105" s="666">
        <v>0</v>
      </c>
      <c r="P105" s="666">
        <v>0</v>
      </c>
      <c r="Q105" s="666">
        <v>0</v>
      </c>
      <c r="R105" s="666">
        <v>0</v>
      </c>
      <c r="S105" s="666">
        <v>0</v>
      </c>
      <c r="T105" s="666">
        <v>0</v>
      </c>
      <c r="U105" s="666">
        <v>0</v>
      </c>
      <c r="V105" s="666">
        <v>0</v>
      </c>
      <c r="W105" s="666">
        <v>0</v>
      </c>
      <c r="X105" s="666">
        <v>0</v>
      </c>
      <c r="Y105" s="666">
        <v>0</v>
      </c>
      <c r="Z105" s="666">
        <v>0</v>
      </c>
      <c r="AA105" s="666">
        <v>0</v>
      </c>
      <c r="AB105" s="666">
        <v>0</v>
      </c>
      <c r="AC105" s="666">
        <v>0</v>
      </c>
      <c r="AD105" s="666">
        <v>0</v>
      </c>
      <c r="AE105" s="666">
        <v>0</v>
      </c>
      <c r="AF105" s="666">
        <v>0</v>
      </c>
      <c r="AG105" s="666">
        <v>0</v>
      </c>
      <c r="AH105" s="666">
        <v>0</v>
      </c>
      <c r="AI105" s="666">
        <v>0</v>
      </c>
      <c r="AJ105" s="666">
        <v>0</v>
      </c>
      <c r="AK105" s="666">
        <v>0</v>
      </c>
      <c r="AL105" s="666"/>
      <c r="AM105" s="666"/>
      <c r="AN105" s="666"/>
      <c r="AO105" s="666"/>
      <c r="AP105" s="666"/>
      <c r="AQ105" s="666"/>
      <c r="AR105" s="666"/>
      <c r="AS105" s="666"/>
      <c r="AT105" s="666"/>
      <c r="AU105" s="666"/>
      <c r="AV105" s="666"/>
      <c r="AW105" s="666"/>
      <c r="AX105" s="666"/>
      <c r="AY105" s="666"/>
      <c r="AZ105" s="666"/>
      <c r="BA105" s="666"/>
      <c r="BB105" s="666"/>
      <c r="BC105" s="666"/>
      <c r="BD105" s="666"/>
      <c r="BE105" s="666"/>
      <c r="BF105" s="666"/>
      <c r="BG105" s="666"/>
      <c r="BH105" s="666"/>
      <c r="BI105" s="666"/>
      <c r="BJ105" s="666"/>
      <c r="BK105" s="666"/>
      <c r="BL105" s="666"/>
      <c r="BM105" s="666"/>
      <c r="BN105" s="666"/>
      <c r="BO105" s="666"/>
      <c r="BP105" s="666"/>
      <c r="BQ105" s="666"/>
      <c r="BR105" s="666"/>
      <c r="BS105" s="666"/>
      <c r="BT105" s="666"/>
      <c r="BU105" s="666"/>
      <c r="BV105" s="666"/>
      <c r="BW105" s="666"/>
      <c r="BX105" s="666"/>
      <c r="BY105" s="666"/>
      <c r="BZ105" s="666"/>
      <c r="CA105" s="666"/>
      <c r="CB105" s="666"/>
      <c r="CC105" s="666"/>
      <c r="CD105" s="666"/>
      <c r="CE105" s="666"/>
      <c r="CF105" s="666"/>
      <c r="CG105" s="666"/>
      <c r="CH105" s="666"/>
      <c r="CI105" s="666"/>
    </row>
    <row r="106" spans="2:87" ht="15" thickBot="1" x14ac:dyDescent="0.25">
      <c r="B106" s="678" t="s">
        <v>640</v>
      </c>
      <c r="C106" s="679" t="s">
        <v>641</v>
      </c>
      <c r="D106" s="679" t="s">
        <v>642</v>
      </c>
      <c r="E106" s="679" t="s">
        <v>236</v>
      </c>
      <c r="F106" s="680">
        <v>2</v>
      </c>
      <c r="G106" s="681"/>
      <c r="H106" s="682"/>
      <c r="I106" s="682">
        <v>0</v>
      </c>
      <c r="J106" s="682">
        <v>0</v>
      </c>
      <c r="K106" s="682">
        <v>0</v>
      </c>
      <c r="L106" s="682">
        <v>0</v>
      </c>
      <c r="M106" s="666">
        <v>0</v>
      </c>
      <c r="N106" s="666">
        <v>0</v>
      </c>
      <c r="O106" s="666">
        <v>0</v>
      </c>
      <c r="P106" s="666">
        <v>0</v>
      </c>
      <c r="Q106" s="666">
        <v>0</v>
      </c>
      <c r="R106" s="666">
        <v>0</v>
      </c>
      <c r="S106" s="666">
        <v>0</v>
      </c>
      <c r="T106" s="666">
        <v>0</v>
      </c>
      <c r="U106" s="666">
        <v>0</v>
      </c>
      <c r="V106" s="666">
        <v>0</v>
      </c>
      <c r="W106" s="666">
        <v>0</v>
      </c>
      <c r="X106" s="666">
        <v>0</v>
      </c>
      <c r="Y106" s="666">
        <v>0</v>
      </c>
      <c r="Z106" s="666">
        <v>0</v>
      </c>
      <c r="AA106" s="666">
        <v>0</v>
      </c>
      <c r="AB106" s="666">
        <v>0</v>
      </c>
      <c r="AC106" s="666">
        <v>0</v>
      </c>
      <c r="AD106" s="666">
        <v>0</v>
      </c>
      <c r="AE106" s="666">
        <v>0</v>
      </c>
      <c r="AF106" s="666">
        <v>0</v>
      </c>
      <c r="AG106" s="666">
        <v>0</v>
      </c>
      <c r="AH106" s="666">
        <v>0</v>
      </c>
      <c r="AI106" s="666">
        <v>0</v>
      </c>
      <c r="AJ106" s="666">
        <v>0</v>
      </c>
      <c r="AK106" s="666">
        <v>0</v>
      </c>
      <c r="AL106" s="666"/>
      <c r="AM106" s="666"/>
      <c r="AN106" s="666"/>
      <c r="AO106" s="666"/>
      <c r="AP106" s="666"/>
      <c r="AQ106" s="666"/>
      <c r="AR106" s="666"/>
      <c r="AS106" s="666"/>
      <c r="AT106" s="666"/>
      <c r="AU106" s="666"/>
      <c r="AV106" s="666"/>
      <c r="AW106" s="666"/>
      <c r="AX106" s="666"/>
      <c r="AY106" s="666"/>
      <c r="AZ106" s="666"/>
      <c r="BA106" s="666"/>
      <c r="BB106" s="666"/>
      <c r="BC106" s="666"/>
      <c r="BD106" s="666"/>
      <c r="BE106" s="666"/>
      <c r="BF106" s="666"/>
      <c r="BG106" s="666"/>
      <c r="BH106" s="666"/>
      <c r="BI106" s="666"/>
      <c r="BJ106" s="666"/>
      <c r="BK106" s="666"/>
      <c r="BL106" s="666"/>
      <c r="BM106" s="666"/>
      <c r="BN106" s="666"/>
      <c r="BO106" s="666"/>
      <c r="BP106" s="666"/>
      <c r="BQ106" s="666"/>
      <c r="BR106" s="666"/>
      <c r="BS106" s="666"/>
      <c r="BT106" s="666"/>
      <c r="BU106" s="666"/>
      <c r="BV106" s="666"/>
      <c r="BW106" s="666"/>
      <c r="BX106" s="666"/>
      <c r="BY106" s="666"/>
      <c r="BZ106" s="666"/>
      <c r="CA106" s="666"/>
      <c r="CB106" s="666"/>
      <c r="CC106" s="666"/>
      <c r="CD106" s="666"/>
      <c r="CE106" s="666"/>
      <c r="CF106" s="666"/>
      <c r="CG106" s="666"/>
      <c r="CH106" s="666"/>
      <c r="CI106" s="666"/>
    </row>
    <row r="107" spans="2:87" ht="57" x14ac:dyDescent="0.2">
      <c r="B107" s="684" t="s">
        <v>643</v>
      </c>
      <c r="C107" s="685" t="s">
        <v>644</v>
      </c>
      <c r="D107" s="686" t="s">
        <v>645</v>
      </c>
      <c r="E107" s="685" t="s">
        <v>236</v>
      </c>
      <c r="F107" s="687">
        <v>2</v>
      </c>
      <c r="G107" s="664"/>
      <c r="H107" s="1513"/>
      <c r="I107" s="1513">
        <v>0</v>
      </c>
      <c r="J107" s="1513">
        <v>-4.2756956085342859</v>
      </c>
      <c r="K107" s="1513">
        <v>-4.0998783156012308</v>
      </c>
      <c r="L107" s="1513">
        <v>-4.0759494718184088</v>
      </c>
      <c r="M107" s="665">
        <v>-3.905469029586083</v>
      </c>
      <c r="N107" s="665">
        <v>-3.87747974519701</v>
      </c>
      <c r="O107" s="665">
        <v>-3.8959416507606965</v>
      </c>
      <c r="P107" s="665">
        <v>-3.9144551774038527</v>
      </c>
      <c r="Q107" s="665">
        <v>-3.9323436450141251</v>
      </c>
      <c r="R107" s="665">
        <v>-3.9589176098208858</v>
      </c>
      <c r="S107" s="665">
        <v>-3.9853882540561427</v>
      </c>
      <c r="T107" s="665">
        <v>-8.7376580387680036E-2</v>
      </c>
      <c r="U107" s="665">
        <v>-0.10375884590573214</v>
      </c>
      <c r="V107" s="665">
        <v>-0.12014116909078609</v>
      </c>
      <c r="W107" s="665">
        <v>-0.13535907864766017</v>
      </c>
      <c r="X107" s="665">
        <v>-0.15057704587153431</v>
      </c>
      <c r="Y107" s="665">
        <v>-0.16579507076241207</v>
      </c>
      <c r="Z107" s="665">
        <v>-0.16580213150277068</v>
      </c>
      <c r="AA107" s="665">
        <v>-0.16580924991013113</v>
      </c>
      <c r="AB107" s="665">
        <v>-0.16581642598449342</v>
      </c>
      <c r="AC107" s="665">
        <v>-0.16582365972586111</v>
      </c>
      <c r="AD107" s="665">
        <v>-0.1658309511342253</v>
      </c>
      <c r="AE107" s="665">
        <v>-0.16583830020959844</v>
      </c>
      <c r="AF107" s="665">
        <v>-0.16584570695196987</v>
      </c>
      <c r="AG107" s="665">
        <v>-0.16585317136134492</v>
      </c>
      <c r="AH107" s="665">
        <v>-0.16586069343772358</v>
      </c>
      <c r="AI107" s="665">
        <v>-0.16586827318110231</v>
      </c>
      <c r="AJ107" s="665">
        <v>-0.16587591059148288</v>
      </c>
      <c r="AK107" s="665">
        <v>-0.16588360566886529</v>
      </c>
      <c r="AL107" s="665"/>
      <c r="AM107" s="665"/>
      <c r="AN107" s="665"/>
      <c r="AO107" s="665"/>
      <c r="AP107" s="665"/>
      <c r="AQ107" s="665"/>
      <c r="AR107" s="665"/>
      <c r="AS107" s="665"/>
      <c r="AT107" s="665"/>
      <c r="AU107" s="665"/>
      <c r="AV107" s="665"/>
      <c r="AW107" s="665"/>
      <c r="AX107" s="665"/>
      <c r="AY107" s="665"/>
      <c r="AZ107" s="665"/>
      <c r="BA107" s="665"/>
      <c r="BB107" s="665"/>
      <c r="BC107" s="665"/>
      <c r="BD107" s="665"/>
      <c r="BE107" s="665"/>
      <c r="BF107" s="665"/>
      <c r="BG107" s="665"/>
      <c r="BH107" s="665"/>
      <c r="BI107" s="665"/>
      <c r="BJ107" s="665"/>
      <c r="BK107" s="665"/>
      <c r="BL107" s="665"/>
      <c r="BM107" s="665"/>
      <c r="BN107" s="665"/>
      <c r="BO107" s="665"/>
      <c r="BP107" s="665"/>
      <c r="BQ107" s="665"/>
      <c r="BR107" s="665"/>
      <c r="BS107" s="665"/>
      <c r="BT107" s="665"/>
      <c r="BU107" s="665"/>
      <c r="BV107" s="665"/>
      <c r="BW107" s="665"/>
      <c r="BX107" s="665"/>
      <c r="BY107" s="665"/>
      <c r="BZ107" s="665"/>
      <c r="CA107" s="665"/>
      <c r="CB107" s="665"/>
      <c r="CC107" s="665"/>
      <c r="CD107" s="665"/>
      <c r="CE107" s="665"/>
      <c r="CF107" s="665"/>
      <c r="CG107" s="665"/>
      <c r="CH107" s="665"/>
      <c r="CI107" s="665"/>
    </row>
    <row r="108" spans="2:87" ht="57" x14ac:dyDescent="0.2">
      <c r="B108" s="688" t="s">
        <v>646</v>
      </c>
      <c r="C108" s="689" t="s">
        <v>647</v>
      </c>
      <c r="D108" s="690" t="s">
        <v>648</v>
      </c>
      <c r="E108" s="689" t="s">
        <v>236</v>
      </c>
      <c r="F108" s="691">
        <v>2</v>
      </c>
      <c r="G108" s="670"/>
      <c r="H108" s="671"/>
      <c r="I108" s="671">
        <v>0</v>
      </c>
      <c r="J108" s="671">
        <v>0</v>
      </c>
      <c r="K108" s="671">
        <v>0</v>
      </c>
      <c r="L108" s="671">
        <v>0</v>
      </c>
      <c r="M108" s="666">
        <v>-1.118926988616549E-6</v>
      </c>
      <c r="N108" s="666">
        <v>-2.1953333463574365E-6</v>
      </c>
      <c r="O108" s="666">
        <v>-3.2292190732213615E-6</v>
      </c>
      <c r="P108" s="666">
        <v>-4.2205841692091912E-6</v>
      </c>
      <c r="Q108" s="666">
        <v>-5.1694286343209259E-6</v>
      </c>
      <c r="R108" s="666">
        <v>-6.0757524685561316E-6</v>
      </c>
      <c r="S108" s="666">
        <v>-6.9395556719152422E-6</v>
      </c>
      <c r="T108" s="666">
        <v>-7.760838244397824E-6</v>
      </c>
      <c r="U108" s="666">
        <v>-8.5396001860043105E-6</v>
      </c>
      <c r="V108" s="666">
        <v>-9.4884446511160452E-6</v>
      </c>
      <c r="W108" s="666">
        <v>-1.0437289116227346E-5</v>
      </c>
      <c r="X108" s="666">
        <v>-1.1386133581339081E-5</v>
      </c>
      <c r="Y108" s="666">
        <v>-1.2334978046450815E-5</v>
      </c>
      <c r="Z108" s="666">
        <v>-1.3283822511562116E-5</v>
      </c>
      <c r="AA108" s="666">
        <v>-1.4232666976673851E-5</v>
      </c>
      <c r="AB108" s="666">
        <v>-1.5181511441785586E-5</v>
      </c>
      <c r="AC108" s="666">
        <v>-1.613035590689732E-5</v>
      </c>
      <c r="AD108" s="666">
        <v>-1.7079200372008621E-5</v>
      </c>
      <c r="AE108" s="666">
        <v>-1.8028044837120356E-5</v>
      </c>
      <c r="AF108" s="666">
        <v>-1.897688930223209E-5</v>
      </c>
      <c r="AG108" s="666">
        <v>-1.9925733767343391E-5</v>
      </c>
      <c r="AH108" s="666">
        <v>-2.0874578232455126E-5</v>
      </c>
      <c r="AI108" s="666">
        <v>-2.182342269756686E-5</v>
      </c>
      <c r="AJ108" s="666">
        <v>-2.2772267162678595E-5</v>
      </c>
      <c r="AK108" s="666">
        <v>-2.3721111627789896E-5</v>
      </c>
      <c r="AL108" s="666"/>
      <c r="AM108" s="666"/>
      <c r="AN108" s="666"/>
      <c r="AO108" s="666"/>
      <c r="AP108" s="666"/>
      <c r="AQ108" s="666"/>
      <c r="AR108" s="666"/>
      <c r="AS108" s="666"/>
      <c r="AT108" s="666"/>
      <c r="AU108" s="666"/>
      <c r="AV108" s="666"/>
      <c r="AW108" s="666"/>
      <c r="AX108" s="666"/>
      <c r="AY108" s="666"/>
      <c r="AZ108" s="666"/>
      <c r="BA108" s="666"/>
      <c r="BB108" s="666"/>
      <c r="BC108" s="666"/>
      <c r="BD108" s="666"/>
      <c r="BE108" s="666"/>
      <c r="BF108" s="666"/>
      <c r="BG108" s="666"/>
      <c r="BH108" s="666"/>
      <c r="BI108" s="666"/>
      <c r="BJ108" s="666"/>
      <c r="BK108" s="666"/>
      <c r="BL108" s="666"/>
      <c r="BM108" s="666"/>
      <c r="BN108" s="666"/>
      <c r="BO108" s="666"/>
      <c r="BP108" s="666"/>
      <c r="BQ108" s="666"/>
      <c r="BR108" s="666"/>
      <c r="BS108" s="666"/>
      <c r="BT108" s="666"/>
      <c r="BU108" s="666"/>
      <c r="BV108" s="666"/>
      <c r="BW108" s="666"/>
      <c r="BX108" s="666"/>
      <c r="BY108" s="666"/>
      <c r="BZ108" s="666"/>
      <c r="CA108" s="666"/>
      <c r="CB108" s="666"/>
      <c r="CC108" s="666"/>
      <c r="CD108" s="666"/>
      <c r="CE108" s="666"/>
      <c r="CF108" s="666"/>
      <c r="CG108" s="666"/>
      <c r="CH108" s="666"/>
      <c r="CI108" s="666"/>
    </row>
    <row r="109" spans="2:87" ht="57" x14ac:dyDescent="0.2">
      <c r="B109" s="688" t="s">
        <v>649</v>
      </c>
      <c r="C109" s="689" t="s">
        <v>650</v>
      </c>
      <c r="D109" s="690" t="s">
        <v>651</v>
      </c>
      <c r="E109" s="689" t="s">
        <v>236</v>
      </c>
      <c r="F109" s="691">
        <v>2</v>
      </c>
      <c r="G109" s="670"/>
      <c r="H109" s="671"/>
      <c r="I109" s="671">
        <v>0</v>
      </c>
      <c r="J109" s="671">
        <v>0</v>
      </c>
      <c r="K109" s="671">
        <v>0</v>
      </c>
      <c r="L109" s="671">
        <v>0</v>
      </c>
      <c r="M109" s="666">
        <v>0.4394588978105447</v>
      </c>
      <c r="N109" s="666">
        <v>0.89939879415934509</v>
      </c>
      <c r="O109" s="666">
        <v>0.925646394024354</v>
      </c>
      <c r="P109" s="666">
        <v>0.8650316962785487</v>
      </c>
      <c r="Q109" s="666">
        <v>0.80234244792639764</v>
      </c>
      <c r="R109" s="666">
        <v>0.75205744082417425</v>
      </c>
      <c r="S109" s="666">
        <v>0.71196980263080301</v>
      </c>
      <c r="T109" s="666">
        <v>0.6705270673973116</v>
      </c>
      <c r="U109" s="666">
        <v>0.61898883198225318</v>
      </c>
      <c r="V109" s="666">
        <v>0.56738751456290792</v>
      </c>
      <c r="W109" s="666">
        <v>0.51827526015023828</v>
      </c>
      <c r="X109" s="666">
        <v>0.46902764824044541</v>
      </c>
      <c r="Y109" s="666">
        <v>0.41949198548035449</v>
      </c>
      <c r="Z109" s="666">
        <v>0.37024261939039027</v>
      </c>
      <c r="AA109" s="666">
        <v>0.32141525240686697</v>
      </c>
      <c r="AB109" s="666">
        <v>0.27464188300152648</v>
      </c>
      <c r="AC109" s="666">
        <v>0.22747627351743605</v>
      </c>
      <c r="AD109" s="666">
        <v>0.18094959176409597</v>
      </c>
      <c r="AE109" s="666">
        <v>0.1479389122523731</v>
      </c>
      <c r="AF109" s="666">
        <v>0.1380751774456499</v>
      </c>
      <c r="AG109" s="666">
        <v>0.1283145090863349</v>
      </c>
      <c r="AH109" s="666">
        <v>0.11889303490215619</v>
      </c>
      <c r="AI109" s="666">
        <v>0.10926526336825049</v>
      </c>
      <c r="AJ109" s="666">
        <v>9.9560344762051667E-2</v>
      </c>
      <c r="AK109" s="666">
        <v>8.9394403061455741E-2</v>
      </c>
      <c r="AL109" s="666"/>
      <c r="AM109" s="666"/>
      <c r="AN109" s="666"/>
      <c r="AO109" s="666"/>
      <c r="AP109" s="666"/>
      <c r="AQ109" s="666"/>
      <c r="AR109" s="666"/>
      <c r="AS109" s="666"/>
      <c r="AT109" s="666"/>
      <c r="AU109" s="666"/>
      <c r="AV109" s="666"/>
      <c r="AW109" s="666"/>
      <c r="AX109" s="666"/>
      <c r="AY109" s="666"/>
      <c r="AZ109" s="666"/>
      <c r="BA109" s="666"/>
      <c r="BB109" s="666"/>
      <c r="BC109" s="666"/>
      <c r="BD109" s="666"/>
      <c r="BE109" s="666"/>
      <c r="BF109" s="666"/>
      <c r="BG109" s="666"/>
      <c r="BH109" s="666"/>
      <c r="BI109" s="666"/>
      <c r="BJ109" s="666"/>
      <c r="BK109" s="666"/>
      <c r="BL109" s="666"/>
      <c r="BM109" s="666"/>
      <c r="BN109" s="666"/>
      <c r="BO109" s="666"/>
      <c r="BP109" s="666"/>
      <c r="BQ109" s="666"/>
      <c r="BR109" s="666"/>
      <c r="BS109" s="666"/>
      <c r="BT109" s="666"/>
      <c r="BU109" s="666"/>
      <c r="BV109" s="666"/>
      <c r="BW109" s="666"/>
      <c r="BX109" s="666"/>
      <c r="BY109" s="666"/>
      <c r="BZ109" s="666"/>
      <c r="CA109" s="666"/>
      <c r="CB109" s="666"/>
      <c r="CC109" s="666"/>
      <c r="CD109" s="666"/>
      <c r="CE109" s="666"/>
      <c r="CF109" s="666"/>
      <c r="CG109" s="666"/>
      <c r="CH109" s="666"/>
      <c r="CI109" s="666"/>
    </row>
    <row r="110" spans="2:87" ht="57" x14ac:dyDescent="0.2">
      <c r="B110" s="688" t="s">
        <v>652</v>
      </c>
      <c r="C110" s="689" t="s">
        <v>653</v>
      </c>
      <c r="D110" s="690" t="s">
        <v>654</v>
      </c>
      <c r="E110" s="689" t="s">
        <v>236</v>
      </c>
      <c r="F110" s="691">
        <v>2</v>
      </c>
      <c r="G110" s="670"/>
      <c r="H110" s="671"/>
      <c r="I110" s="671">
        <v>0</v>
      </c>
      <c r="J110" s="671">
        <v>0</v>
      </c>
      <c r="K110" s="671">
        <v>0</v>
      </c>
      <c r="L110" s="671">
        <v>0</v>
      </c>
      <c r="M110" s="666">
        <v>-0.50397949714672974</v>
      </c>
      <c r="N110" s="666">
        <v>-1.0300788254683961</v>
      </c>
      <c r="O110" s="666">
        <v>-0.99975534274929845</v>
      </c>
      <c r="P110" s="666">
        <v>-0.96928895790620218</v>
      </c>
      <c r="Q110" s="666">
        <v>-0.9387517837531909</v>
      </c>
      <c r="R110" s="666">
        <v>-0.92030099485365024</v>
      </c>
      <c r="S110" s="666">
        <v>-0.91425265725196314</v>
      </c>
      <c r="T110" s="666">
        <v>-0.90826002502781378</v>
      </c>
      <c r="U110" s="666">
        <v>-0.90246310637099525</v>
      </c>
      <c r="V110" s="666">
        <v>-0.89670162075446647</v>
      </c>
      <c r="W110" s="666">
        <v>-0.8915724702876342</v>
      </c>
      <c r="X110" s="666">
        <v>-0.88648821108097919</v>
      </c>
      <c r="Y110" s="666">
        <v>-0.88136528327514985</v>
      </c>
      <c r="Z110" s="666">
        <v>-0.87645423314320681</v>
      </c>
      <c r="AA110" s="666">
        <v>-0.87151224604530431</v>
      </c>
      <c r="AB110" s="666">
        <v>-0.86683381627871769</v>
      </c>
      <c r="AC110" s="666">
        <v>-0.86253168139961867</v>
      </c>
      <c r="AD110" s="666">
        <v>-0.85861016141292956</v>
      </c>
      <c r="AE110" s="666">
        <v>-0.85478515049449211</v>
      </c>
      <c r="AF110" s="666">
        <v>-0.85059514632933708</v>
      </c>
      <c r="AG110" s="666">
        <v>-0.84639035681513863</v>
      </c>
      <c r="AH110" s="666">
        <v>-0.84241296954243294</v>
      </c>
      <c r="AI110" s="666">
        <v>-0.83841733309837108</v>
      </c>
      <c r="AJ110" s="666">
        <v>-0.8344880360969601</v>
      </c>
      <c r="AK110" s="666">
        <v>-0.83038422262678102</v>
      </c>
      <c r="AL110" s="666"/>
      <c r="AM110" s="666"/>
      <c r="AN110" s="666"/>
      <c r="AO110" s="666"/>
      <c r="AP110" s="666"/>
      <c r="AQ110" s="666"/>
      <c r="AR110" s="666"/>
      <c r="AS110" s="666"/>
      <c r="AT110" s="666"/>
      <c r="AU110" s="666"/>
      <c r="AV110" s="666"/>
      <c r="AW110" s="666"/>
      <c r="AX110" s="666"/>
      <c r="AY110" s="666"/>
      <c r="AZ110" s="666"/>
      <c r="BA110" s="666"/>
      <c r="BB110" s="666"/>
      <c r="BC110" s="666"/>
      <c r="BD110" s="666"/>
      <c r="BE110" s="666"/>
      <c r="BF110" s="666"/>
      <c r="BG110" s="666"/>
      <c r="BH110" s="666"/>
      <c r="BI110" s="666"/>
      <c r="BJ110" s="666"/>
      <c r="BK110" s="666"/>
      <c r="BL110" s="666"/>
      <c r="BM110" s="666"/>
      <c r="BN110" s="666"/>
      <c r="BO110" s="666"/>
      <c r="BP110" s="666"/>
      <c r="BQ110" s="666"/>
      <c r="BR110" s="666"/>
      <c r="BS110" s="666"/>
      <c r="BT110" s="666"/>
      <c r="BU110" s="666"/>
      <c r="BV110" s="666"/>
      <c r="BW110" s="666"/>
      <c r="BX110" s="666"/>
      <c r="BY110" s="666"/>
      <c r="BZ110" s="666"/>
      <c r="CA110" s="666"/>
      <c r="CB110" s="666"/>
      <c r="CC110" s="666"/>
      <c r="CD110" s="666"/>
      <c r="CE110" s="666"/>
      <c r="CF110" s="666"/>
      <c r="CG110" s="666"/>
      <c r="CH110" s="666"/>
      <c r="CI110" s="666"/>
    </row>
    <row r="111" spans="2:87" ht="28.5" x14ac:dyDescent="0.2">
      <c r="B111" s="688" t="s">
        <v>655</v>
      </c>
      <c r="C111" s="689" t="s">
        <v>656</v>
      </c>
      <c r="D111" s="690" t="s">
        <v>657</v>
      </c>
      <c r="E111" s="689" t="s">
        <v>236</v>
      </c>
      <c r="F111" s="691">
        <v>2</v>
      </c>
      <c r="G111" s="670"/>
      <c r="H111" s="671"/>
      <c r="I111" s="671">
        <v>0</v>
      </c>
      <c r="J111" s="671">
        <v>0</v>
      </c>
      <c r="K111" s="671">
        <v>0</v>
      </c>
      <c r="L111" s="671">
        <v>0</v>
      </c>
      <c r="M111" s="666">
        <v>-1.3398829156545389E-4</v>
      </c>
      <c r="N111" s="666">
        <v>-2.6361367803000302E-4</v>
      </c>
      <c r="O111" s="666">
        <v>-2.5488786782816575E-4</v>
      </c>
      <c r="P111" s="666">
        <v>-2.4616205762632848E-4</v>
      </c>
      <c r="Q111" s="666">
        <v>-2.3743624742449121E-4</v>
      </c>
      <c r="R111" s="666">
        <v>-2.3277757984332959E-4</v>
      </c>
      <c r="S111" s="666">
        <v>-2.3218605488284361E-4</v>
      </c>
      <c r="T111" s="666">
        <v>-2.3159452992235763E-4</v>
      </c>
      <c r="U111" s="666">
        <v>-2.3100300496187165E-4</v>
      </c>
      <c r="V111" s="666">
        <v>-2.3041148000138567E-4</v>
      </c>
      <c r="W111" s="666">
        <v>-2.2981995504088581E-4</v>
      </c>
      <c r="X111" s="666">
        <v>-2.2922843008039984E-4</v>
      </c>
      <c r="Y111" s="666">
        <v>-2.2863690511991386E-4</v>
      </c>
      <c r="Z111" s="666">
        <v>-2.2804538015942788E-4</v>
      </c>
      <c r="AA111" s="666">
        <v>-2.274538551989419E-4</v>
      </c>
      <c r="AB111" s="666">
        <v>-2.2692323562674421E-4</v>
      </c>
      <c r="AC111" s="666">
        <v>-2.2645352144282094E-4</v>
      </c>
      <c r="AD111" s="666">
        <v>-2.2598380725889766E-4</v>
      </c>
      <c r="AE111" s="666">
        <v>-2.2551409307497439E-4</v>
      </c>
      <c r="AF111" s="666">
        <v>-2.2504437889105111E-4</v>
      </c>
      <c r="AG111" s="666">
        <v>-2.2457466470712784E-4</v>
      </c>
      <c r="AH111" s="666">
        <v>-2.2410495052320456E-4</v>
      </c>
      <c r="AI111" s="666">
        <v>-2.2363523633928128E-4</v>
      </c>
      <c r="AJ111" s="666">
        <v>-2.2316552215535801E-4</v>
      </c>
      <c r="AK111" s="666">
        <v>-2.2269580797143473E-4</v>
      </c>
      <c r="AL111" s="666"/>
      <c r="AM111" s="666"/>
      <c r="AN111" s="666"/>
      <c r="AO111" s="666"/>
      <c r="AP111" s="666"/>
      <c r="AQ111" s="666"/>
      <c r="AR111" s="666"/>
      <c r="AS111" s="666"/>
      <c r="AT111" s="666"/>
      <c r="AU111" s="666"/>
      <c r="AV111" s="666"/>
      <c r="AW111" s="666"/>
      <c r="AX111" s="666"/>
      <c r="AY111" s="666"/>
      <c r="AZ111" s="666"/>
      <c r="BA111" s="666"/>
      <c r="BB111" s="666"/>
      <c r="BC111" s="666"/>
      <c r="BD111" s="666"/>
      <c r="BE111" s="666"/>
      <c r="BF111" s="666"/>
      <c r="BG111" s="666"/>
      <c r="BH111" s="666"/>
      <c r="BI111" s="666"/>
      <c r="BJ111" s="666"/>
      <c r="BK111" s="666"/>
      <c r="BL111" s="666"/>
      <c r="BM111" s="666"/>
      <c r="BN111" s="666"/>
      <c r="BO111" s="666"/>
      <c r="BP111" s="666"/>
      <c r="BQ111" s="666"/>
      <c r="BR111" s="666"/>
      <c r="BS111" s="666"/>
      <c r="BT111" s="666"/>
      <c r="BU111" s="666"/>
      <c r="BV111" s="666"/>
      <c r="BW111" s="666"/>
      <c r="BX111" s="666"/>
      <c r="BY111" s="666"/>
      <c r="BZ111" s="666"/>
      <c r="CA111" s="666"/>
      <c r="CB111" s="666"/>
      <c r="CC111" s="666"/>
      <c r="CD111" s="666"/>
      <c r="CE111" s="666"/>
      <c r="CF111" s="666"/>
      <c r="CG111" s="666"/>
      <c r="CH111" s="666"/>
      <c r="CI111" s="666"/>
    </row>
    <row r="112" spans="2:87" ht="29.25" thickBot="1" x14ac:dyDescent="0.25">
      <c r="B112" s="692" t="s">
        <v>658</v>
      </c>
      <c r="C112" s="693" t="s">
        <v>659</v>
      </c>
      <c r="D112" s="693" t="s">
        <v>660</v>
      </c>
      <c r="E112" s="693" t="s">
        <v>236</v>
      </c>
      <c r="F112" s="694">
        <v>2</v>
      </c>
      <c r="G112" s="695"/>
      <c r="H112" s="682"/>
      <c r="I112" s="682">
        <v>0</v>
      </c>
      <c r="J112" s="682">
        <v>0</v>
      </c>
      <c r="K112" s="682">
        <v>0</v>
      </c>
      <c r="L112" s="682">
        <v>0</v>
      </c>
      <c r="M112" s="696">
        <v>0</v>
      </c>
      <c r="N112" s="696">
        <v>0</v>
      </c>
      <c r="O112" s="696">
        <v>0</v>
      </c>
      <c r="P112" s="696">
        <v>0</v>
      </c>
      <c r="Q112" s="696">
        <v>0</v>
      </c>
      <c r="R112" s="696">
        <v>0</v>
      </c>
      <c r="S112" s="696">
        <v>0</v>
      </c>
      <c r="T112" s="696">
        <v>0</v>
      </c>
      <c r="U112" s="696">
        <v>0</v>
      </c>
      <c r="V112" s="696">
        <v>0</v>
      </c>
      <c r="W112" s="696">
        <v>0</v>
      </c>
      <c r="X112" s="696">
        <v>0</v>
      </c>
      <c r="Y112" s="696">
        <v>0</v>
      </c>
      <c r="Z112" s="696">
        <v>0</v>
      </c>
      <c r="AA112" s="696">
        <v>0</v>
      </c>
      <c r="AB112" s="696">
        <v>0</v>
      </c>
      <c r="AC112" s="696">
        <v>0</v>
      </c>
      <c r="AD112" s="696">
        <v>0</v>
      </c>
      <c r="AE112" s="696">
        <v>0</v>
      </c>
      <c r="AF112" s="696">
        <v>0</v>
      </c>
      <c r="AG112" s="696">
        <v>0</v>
      </c>
      <c r="AH112" s="696">
        <v>0</v>
      </c>
      <c r="AI112" s="696">
        <v>0</v>
      </c>
      <c r="AJ112" s="696">
        <v>0</v>
      </c>
      <c r="AK112" s="696">
        <v>0</v>
      </c>
      <c r="AL112" s="696"/>
      <c r="AM112" s="696"/>
      <c r="AN112" s="696"/>
      <c r="AO112" s="696"/>
      <c r="AP112" s="696"/>
      <c r="AQ112" s="696"/>
      <c r="AR112" s="696"/>
      <c r="AS112" s="696"/>
      <c r="AT112" s="696"/>
      <c r="AU112" s="696"/>
      <c r="AV112" s="696"/>
      <c r="AW112" s="696"/>
      <c r="AX112" s="696"/>
      <c r="AY112" s="696"/>
      <c r="AZ112" s="696"/>
      <c r="BA112" s="696"/>
      <c r="BB112" s="696"/>
      <c r="BC112" s="696"/>
      <c r="BD112" s="696"/>
      <c r="BE112" s="696"/>
      <c r="BF112" s="696"/>
      <c r="BG112" s="696"/>
      <c r="BH112" s="696"/>
      <c r="BI112" s="696"/>
      <c r="BJ112" s="696"/>
      <c r="BK112" s="696"/>
      <c r="BL112" s="696"/>
      <c r="BM112" s="696"/>
      <c r="BN112" s="696"/>
      <c r="BO112" s="696"/>
      <c r="BP112" s="696"/>
      <c r="BQ112" s="696"/>
      <c r="BR112" s="696"/>
      <c r="BS112" s="696"/>
      <c r="BT112" s="696"/>
      <c r="BU112" s="696"/>
      <c r="BV112" s="696"/>
      <c r="BW112" s="696"/>
      <c r="BX112" s="696"/>
      <c r="BY112" s="696"/>
      <c r="BZ112" s="696"/>
      <c r="CA112" s="696"/>
      <c r="CB112" s="696"/>
      <c r="CC112" s="696"/>
      <c r="CD112" s="696"/>
      <c r="CE112" s="696"/>
      <c r="CF112" s="696"/>
      <c r="CG112" s="696"/>
      <c r="CH112" s="696"/>
      <c r="CI112" s="696"/>
    </row>
    <row r="113" spans="2:89" ht="28.5" x14ac:dyDescent="0.2">
      <c r="B113" s="697" t="s">
        <v>661</v>
      </c>
      <c r="C113" s="698" t="s">
        <v>662</v>
      </c>
      <c r="D113" s="699" t="s">
        <v>663</v>
      </c>
      <c r="E113" s="698" t="s">
        <v>236</v>
      </c>
      <c r="F113" s="700">
        <v>2</v>
      </c>
      <c r="G113" s="664"/>
      <c r="H113" s="671"/>
      <c r="I113" s="671">
        <v>0</v>
      </c>
      <c r="J113" s="671">
        <v>0</v>
      </c>
      <c r="K113" s="671">
        <v>0</v>
      </c>
      <c r="L113" s="671">
        <v>0</v>
      </c>
      <c r="M113" s="665">
        <v>-6.368442685427203E-5</v>
      </c>
      <c r="N113" s="665">
        <v>-1.2795076618681532E-4</v>
      </c>
      <c r="O113" s="665">
        <v>-1.9279901799762727E-4</v>
      </c>
      <c r="P113" s="665">
        <v>-2.5822918228671481E-4</v>
      </c>
      <c r="Q113" s="665">
        <v>-3.2424125905407188E-4</v>
      </c>
      <c r="R113" s="665">
        <v>-3.9083524829969934E-4</v>
      </c>
      <c r="S113" s="665">
        <v>-4.5801115002359807E-4</v>
      </c>
      <c r="T113" s="665">
        <v>-5.2576896422576805E-4</v>
      </c>
      <c r="U113" s="665">
        <v>-5.9410869090620756E-4</v>
      </c>
      <c r="V113" s="665">
        <v>-6.6303033006492092E-4</v>
      </c>
      <c r="W113" s="665">
        <v>-7.3253388170190468E-4</v>
      </c>
      <c r="X113" s="665">
        <v>-8.0261934581715884E-4</v>
      </c>
      <c r="Y113" s="665">
        <v>-8.7328672241068512E-4</v>
      </c>
      <c r="Z113" s="665">
        <v>-9.4453601148248093E-4</v>
      </c>
      <c r="AA113" s="665">
        <v>-1.0163672130325471E-3</v>
      </c>
      <c r="AB113" s="665">
        <v>-1.0887803270608863E-3</v>
      </c>
      <c r="AC113" s="665">
        <v>-1.1617753535674994E-3</v>
      </c>
      <c r="AD113" s="665">
        <v>-1.2353522925523811E-3</v>
      </c>
      <c r="AE113" s="665">
        <v>-1.3095111440155341E-3</v>
      </c>
      <c r="AF113" s="665">
        <v>-1.3842519079569548E-3</v>
      </c>
      <c r="AG113" s="665">
        <v>-1.4595745843766512E-3</v>
      </c>
      <c r="AH113" s="665">
        <v>-1.5354791732746171E-3</v>
      </c>
      <c r="AI113" s="665">
        <v>-1.6119656746508542E-3</v>
      </c>
      <c r="AJ113" s="665">
        <v>-1.6890340885053626E-3</v>
      </c>
      <c r="AK113" s="665">
        <v>-1.7666844148381423E-3</v>
      </c>
      <c r="AL113" s="665"/>
      <c r="AM113" s="665"/>
      <c r="AN113" s="665"/>
      <c r="AO113" s="665"/>
      <c r="AP113" s="665"/>
      <c r="AQ113" s="665"/>
      <c r="AR113" s="665"/>
      <c r="AS113" s="665"/>
      <c r="AT113" s="665"/>
      <c r="AU113" s="665"/>
      <c r="AV113" s="665"/>
      <c r="AW113" s="665"/>
      <c r="AX113" s="665"/>
      <c r="AY113" s="665"/>
      <c r="AZ113" s="665"/>
      <c r="BA113" s="665"/>
      <c r="BB113" s="665"/>
      <c r="BC113" s="665"/>
      <c r="BD113" s="665"/>
      <c r="BE113" s="665"/>
      <c r="BF113" s="665"/>
      <c r="BG113" s="665"/>
      <c r="BH113" s="665"/>
      <c r="BI113" s="665"/>
      <c r="BJ113" s="665"/>
      <c r="BK113" s="665"/>
      <c r="BL113" s="665"/>
      <c r="BM113" s="665"/>
      <c r="BN113" s="665"/>
      <c r="BO113" s="665"/>
      <c r="BP113" s="665"/>
      <c r="BQ113" s="665"/>
      <c r="BR113" s="665"/>
      <c r="BS113" s="665"/>
      <c r="BT113" s="665"/>
      <c r="BU113" s="665"/>
      <c r="BV113" s="665"/>
      <c r="BW113" s="665"/>
      <c r="BX113" s="665"/>
      <c r="BY113" s="665"/>
      <c r="BZ113" s="665"/>
      <c r="CA113" s="665"/>
      <c r="CB113" s="665"/>
      <c r="CC113" s="665"/>
      <c r="CD113" s="665"/>
      <c r="CE113" s="665"/>
      <c r="CF113" s="665"/>
      <c r="CG113" s="665"/>
      <c r="CH113" s="665"/>
      <c r="CI113" s="665"/>
    </row>
    <row r="114" spans="2:89" ht="28.5" x14ac:dyDescent="0.2">
      <c r="B114" s="674" t="s">
        <v>664</v>
      </c>
      <c r="C114" s="675" t="s">
        <v>665</v>
      </c>
      <c r="D114" s="676" t="s">
        <v>666</v>
      </c>
      <c r="E114" s="675" t="s">
        <v>236</v>
      </c>
      <c r="F114" s="677">
        <v>2</v>
      </c>
      <c r="G114" s="670"/>
      <c r="H114" s="671"/>
      <c r="I114" s="671">
        <v>0</v>
      </c>
      <c r="J114" s="671">
        <v>0</v>
      </c>
      <c r="K114" s="671">
        <v>0</v>
      </c>
      <c r="L114" s="671">
        <v>0</v>
      </c>
      <c r="M114" s="666">
        <v>-1.1189269886167523E-6</v>
      </c>
      <c r="N114" s="666">
        <v>-2.1953333463572196E-6</v>
      </c>
      <c r="O114" s="666">
        <v>-3.229219073221375E-6</v>
      </c>
      <c r="P114" s="666">
        <v>-4.2205841692092861E-6</v>
      </c>
      <c r="Q114" s="666">
        <v>-5.1694286343208852E-6</v>
      </c>
      <c r="R114" s="666">
        <v>-6.0757524685562129E-6</v>
      </c>
      <c r="S114" s="666">
        <v>-6.9395556719152558E-6</v>
      </c>
      <c r="T114" s="666">
        <v>-7.7608382443980001E-6</v>
      </c>
      <c r="U114" s="666">
        <v>-8.5396001860045003E-6</v>
      </c>
      <c r="V114" s="666">
        <v>-9.4884446511160858E-6</v>
      </c>
      <c r="W114" s="666">
        <v>-1.0437289116227698E-5</v>
      </c>
      <c r="X114" s="666">
        <v>-1.1386133581339311E-5</v>
      </c>
      <c r="Y114" s="666">
        <v>-1.2334978046450937E-5</v>
      </c>
      <c r="Z114" s="666">
        <v>-1.3283822511562509E-5</v>
      </c>
      <c r="AA114" s="666">
        <v>-1.4232666976674122E-5</v>
      </c>
      <c r="AB114" s="666">
        <v>-1.5181511441785735E-5</v>
      </c>
      <c r="AC114" s="666">
        <v>-1.6130355906897347E-5</v>
      </c>
      <c r="AD114" s="666">
        <v>-1.7079200372008973E-5</v>
      </c>
      <c r="AE114" s="666">
        <v>-1.8028044837120573E-5</v>
      </c>
      <c r="AF114" s="666">
        <v>-1.8976889302232158E-5</v>
      </c>
      <c r="AG114" s="666">
        <v>-1.9925733767343784E-5</v>
      </c>
      <c r="AH114" s="666">
        <v>-2.0874578232455397E-5</v>
      </c>
      <c r="AI114" s="666">
        <v>-2.1823422697566996E-5</v>
      </c>
      <c r="AJ114" s="666">
        <v>-2.2772267162678609E-5</v>
      </c>
      <c r="AK114" s="666">
        <v>-2.3721111627790221E-5</v>
      </c>
      <c r="AL114" s="666"/>
      <c r="AM114" s="666"/>
      <c r="AN114" s="666"/>
      <c r="AO114" s="666"/>
      <c r="AP114" s="666"/>
      <c r="AQ114" s="666"/>
      <c r="AR114" s="666"/>
      <c r="AS114" s="666"/>
      <c r="AT114" s="666"/>
      <c r="AU114" s="666"/>
      <c r="AV114" s="666"/>
      <c r="AW114" s="666"/>
      <c r="AX114" s="666"/>
      <c r="AY114" s="666"/>
      <c r="AZ114" s="666"/>
      <c r="BA114" s="666"/>
      <c r="BB114" s="666"/>
      <c r="BC114" s="666"/>
      <c r="BD114" s="666"/>
      <c r="BE114" s="666"/>
      <c r="BF114" s="666"/>
      <c r="BG114" s="666"/>
      <c r="BH114" s="666"/>
      <c r="BI114" s="666"/>
      <c r="BJ114" s="666"/>
      <c r="BK114" s="666"/>
      <c r="BL114" s="666"/>
      <c r="BM114" s="666"/>
      <c r="BN114" s="666"/>
      <c r="BO114" s="666"/>
      <c r="BP114" s="666"/>
      <c r="BQ114" s="666"/>
      <c r="BR114" s="666"/>
      <c r="BS114" s="666"/>
      <c r="BT114" s="666"/>
      <c r="BU114" s="666"/>
      <c r="BV114" s="666"/>
      <c r="BW114" s="666"/>
      <c r="BX114" s="666"/>
      <c r="BY114" s="666"/>
      <c r="BZ114" s="666"/>
      <c r="CA114" s="666"/>
      <c r="CB114" s="666"/>
      <c r="CC114" s="666"/>
      <c r="CD114" s="666"/>
      <c r="CE114" s="666"/>
      <c r="CF114" s="666"/>
      <c r="CG114" s="666"/>
      <c r="CH114" s="666"/>
      <c r="CI114" s="666"/>
    </row>
    <row r="115" spans="2:89" ht="28.5" x14ac:dyDescent="0.2">
      <c r="B115" s="674" t="s">
        <v>667</v>
      </c>
      <c r="C115" s="675" t="s">
        <v>668</v>
      </c>
      <c r="D115" s="676" t="s">
        <v>669</v>
      </c>
      <c r="E115" s="675" t="s">
        <v>236</v>
      </c>
      <c r="F115" s="677">
        <v>2</v>
      </c>
      <c r="G115" s="670"/>
      <c r="H115" s="671"/>
      <c r="I115" s="671">
        <v>0</v>
      </c>
      <c r="J115" s="671">
        <v>0</v>
      </c>
      <c r="K115" s="671">
        <v>0</v>
      </c>
      <c r="L115" s="671">
        <v>0</v>
      </c>
      <c r="M115" s="666">
        <v>5.0877098511416391E-3</v>
      </c>
      <c r="N115" s="666">
        <v>9.7373818973604809E-3</v>
      </c>
      <c r="O115" s="666">
        <v>8.4614909159219445E-3</v>
      </c>
      <c r="P115" s="666">
        <v>7.165556662669173E-3</v>
      </c>
      <c r="Q115" s="666">
        <v>5.8562381308811945E-3</v>
      </c>
      <c r="R115" s="666">
        <v>4.7776281282315702E-3</v>
      </c>
      <c r="S115" s="666">
        <v>3.9349087753873246E-3</v>
      </c>
      <c r="T115" s="666">
        <v>3.0831311542475343E-3</v>
      </c>
      <c r="U115" s="666">
        <v>2.2203247023553224E-3</v>
      </c>
      <c r="V115" s="666">
        <v>1.3462573151501178E-3</v>
      </c>
      <c r="W115" s="666">
        <v>4.6155294388998402E-4</v>
      </c>
      <c r="X115" s="666">
        <v>-4.3229740957778651E-4</v>
      </c>
      <c r="Y115" s="666">
        <v>-1.334673597204683E-3</v>
      </c>
      <c r="Z115" s="666">
        <v>-2.2471786394941684E-3</v>
      </c>
      <c r="AA115" s="666">
        <v>-3.1687256741200764E-3</v>
      </c>
      <c r="AB115" s="666">
        <v>-4.0973427142418639E-3</v>
      </c>
      <c r="AC115" s="666">
        <v>-5.0329348823789505E-3</v>
      </c>
      <c r="AD115" s="666">
        <v>-5.9768116093260881E-3</v>
      </c>
      <c r="AE115" s="666">
        <v>-6.9282958448240589E-3</v>
      </c>
      <c r="AF115" s="666">
        <v>-7.8872854825947358E-3</v>
      </c>
      <c r="AG115" s="666">
        <v>-8.8543693237975868E-3</v>
      </c>
      <c r="AH115" s="666">
        <v>-9.8292889430124653E-3</v>
      </c>
      <c r="AI115" s="666">
        <v>-1.0812733006804312E-2</v>
      </c>
      <c r="AJ115" s="666">
        <v>-1.1805255775335297E-2</v>
      </c>
      <c r="AK115" s="666">
        <v>-1.2806622071554169E-2</v>
      </c>
      <c r="AL115" s="666"/>
      <c r="AM115" s="666"/>
      <c r="AN115" s="666"/>
      <c r="AO115" s="666"/>
      <c r="AP115" s="666"/>
      <c r="AQ115" s="666"/>
      <c r="AR115" s="666"/>
      <c r="AS115" s="666"/>
      <c r="AT115" s="666"/>
      <c r="AU115" s="666"/>
      <c r="AV115" s="666"/>
      <c r="AW115" s="666"/>
      <c r="AX115" s="666"/>
      <c r="AY115" s="666"/>
      <c r="AZ115" s="666"/>
      <c r="BA115" s="666"/>
      <c r="BB115" s="666"/>
      <c r="BC115" s="666"/>
      <c r="BD115" s="666"/>
      <c r="BE115" s="666"/>
      <c r="BF115" s="666"/>
      <c r="BG115" s="666"/>
      <c r="BH115" s="666"/>
      <c r="BI115" s="666"/>
      <c r="BJ115" s="666"/>
      <c r="BK115" s="666"/>
      <c r="BL115" s="666"/>
      <c r="BM115" s="666"/>
      <c r="BN115" s="666"/>
      <c r="BO115" s="666"/>
      <c r="BP115" s="666"/>
      <c r="BQ115" s="666"/>
      <c r="BR115" s="666"/>
      <c r="BS115" s="666"/>
      <c r="BT115" s="666"/>
      <c r="BU115" s="666"/>
      <c r="BV115" s="666"/>
      <c r="BW115" s="666"/>
      <c r="BX115" s="666"/>
      <c r="BY115" s="666"/>
      <c r="BZ115" s="666"/>
      <c r="CA115" s="666"/>
      <c r="CB115" s="666"/>
      <c r="CC115" s="666"/>
      <c r="CD115" s="666"/>
      <c r="CE115" s="666"/>
      <c r="CF115" s="666"/>
      <c r="CG115" s="666"/>
      <c r="CH115" s="666"/>
      <c r="CI115" s="666"/>
    </row>
    <row r="116" spans="2:89" ht="28.5" x14ac:dyDescent="0.2">
      <c r="B116" s="674" t="s">
        <v>670</v>
      </c>
      <c r="C116" s="675" t="s">
        <v>671</v>
      </c>
      <c r="D116" s="676" t="s">
        <v>672</v>
      </c>
      <c r="E116" s="675" t="s">
        <v>236</v>
      </c>
      <c r="F116" s="677">
        <v>2</v>
      </c>
      <c r="G116" s="670"/>
      <c r="H116" s="671"/>
      <c r="I116" s="671">
        <v>0</v>
      </c>
      <c r="J116" s="671">
        <v>0</v>
      </c>
      <c r="K116" s="671">
        <v>0</v>
      </c>
      <c r="L116" s="671">
        <v>0</v>
      </c>
      <c r="M116" s="666">
        <v>-1.4360846158234457E-2</v>
      </c>
      <c r="N116" s="666">
        <v>-2.791243294708309E-2</v>
      </c>
      <c r="O116" s="666">
        <v>-2.7002369790680911E-2</v>
      </c>
      <c r="P116" s="666">
        <v>-2.6091521907023778E-2</v>
      </c>
      <c r="Q116" s="666">
        <v>-2.517988929611167E-2</v>
      </c>
      <c r="R116" s="666">
        <v>-2.4698466265921537E-2</v>
      </c>
      <c r="S116" s="666">
        <v>-2.4647645180080852E-2</v>
      </c>
      <c r="T116" s="666">
        <v>-2.4596562518488511E-2</v>
      </c>
      <c r="U116" s="666">
        <v>-2.4545218281144515E-2</v>
      </c>
      <c r="V116" s="666">
        <v>-2.4493612468048868E-2</v>
      </c>
      <c r="W116" s="666">
        <v>-2.4441745079201566E-2</v>
      </c>
      <c r="X116" s="666">
        <v>-2.4389616114602605E-2</v>
      </c>
      <c r="Y116" s="666">
        <v>-2.4337225574251994E-2</v>
      </c>
      <c r="Z116" s="666">
        <v>-2.428457345814973E-2</v>
      </c>
      <c r="AA116" s="666">
        <v>-2.4231659766295807E-2</v>
      </c>
      <c r="AB116" s="666">
        <v>-2.4183880576490156E-2</v>
      </c>
      <c r="AC116" s="666">
        <v>-2.4141039706919033E-2</v>
      </c>
      <c r="AD116" s="666">
        <v>-2.4097675685844609E-2</v>
      </c>
      <c r="AE116" s="666">
        <v>-2.405378851326687E-2</v>
      </c>
      <c r="AF116" s="666">
        <v>-2.4009378189185818E-2</v>
      </c>
      <c r="AG116" s="666">
        <v>-2.3964444713601468E-2</v>
      </c>
      <c r="AH116" s="666">
        <v>-2.3918988086513802E-2</v>
      </c>
      <c r="AI116" s="666">
        <v>-2.3873008307922831E-2</v>
      </c>
      <c r="AJ116" s="666">
        <v>-2.3826505377828544E-2</v>
      </c>
      <c r="AK116" s="666">
        <v>-2.3779479296230956E-2</v>
      </c>
      <c r="AL116" s="666"/>
      <c r="AM116" s="666"/>
      <c r="AN116" s="666"/>
      <c r="AO116" s="666"/>
      <c r="AP116" s="666"/>
      <c r="AQ116" s="666"/>
      <c r="AR116" s="666"/>
      <c r="AS116" s="666"/>
      <c r="AT116" s="666"/>
      <c r="AU116" s="666"/>
      <c r="AV116" s="666"/>
      <c r="AW116" s="666"/>
      <c r="AX116" s="666"/>
      <c r="AY116" s="666"/>
      <c r="AZ116" s="666"/>
      <c r="BA116" s="666"/>
      <c r="BB116" s="666"/>
      <c r="BC116" s="666"/>
      <c r="BD116" s="666"/>
      <c r="BE116" s="666"/>
      <c r="BF116" s="666"/>
      <c r="BG116" s="666"/>
      <c r="BH116" s="666"/>
      <c r="BI116" s="666"/>
      <c r="BJ116" s="666"/>
      <c r="BK116" s="666"/>
      <c r="BL116" s="666"/>
      <c r="BM116" s="666"/>
      <c r="BN116" s="666"/>
      <c r="BO116" s="666"/>
      <c r="BP116" s="666"/>
      <c r="BQ116" s="666"/>
      <c r="BR116" s="666"/>
      <c r="BS116" s="666"/>
      <c r="BT116" s="666"/>
      <c r="BU116" s="666"/>
      <c r="BV116" s="666"/>
      <c r="BW116" s="666"/>
      <c r="BX116" s="666"/>
      <c r="BY116" s="666"/>
      <c r="BZ116" s="666"/>
      <c r="CA116" s="666"/>
      <c r="CB116" s="666"/>
      <c r="CC116" s="666"/>
      <c r="CD116" s="666"/>
      <c r="CE116" s="666"/>
      <c r="CF116" s="666"/>
      <c r="CG116" s="666"/>
      <c r="CH116" s="666"/>
      <c r="CI116" s="666"/>
    </row>
    <row r="117" spans="2:89" ht="28.5" x14ac:dyDescent="0.2">
      <c r="B117" s="674" t="s">
        <v>673</v>
      </c>
      <c r="C117" s="675" t="s">
        <v>674</v>
      </c>
      <c r="D117" s="676" t="s">
        <v>675</v>
      </c>
      <c r="E117" s="675" t="s">
        <v>236</v>
      </c>
      <c r="F117" s="677">
        <v>2</v>
      </c>
      <c r="G117" s="670"/>
      <c r="H117" s="671"/>
      <c r="I117" s="671">
        <v>0</v>
      </c>
      <c r="J117" s="671">
        <v>0</v>
      </c>
      <c r="K117" s="671">
        <v>0</v>
      </c>
      <c r="L117" s="671">
        <v>0</v>
      </c>
      <c r="M117" s="666">
        <v>1.3398829156546256E-4</v>
      </c>
      <c r="N117" s="666">
        <v>2.6361367803000475E-4</v>
      </c>
      <c r="O117" s="666">
        <v>2.5488786782816575E-4</v>
      </c>
      <c r="P117" s="666">
        <v>2.4616205762632935E-4</v>
      </c>
      <c r="Q117" s="666">
        <v>2.3743624742448947E-4</v>
      </c>
      <c r="R117" s="666">
        <v>2.3277757984332785E-4</v>
      </c>
      <c r="S117" s="666">
        <v>2.32186054882841E-4</v>
      </c>
      <c r="T117" s="666">
        <v>2.3159452992235503E-4</v>
      </c>
      <c r="U117" s="666">
        <v>2.3100300496186645E-4</v>
      </c>
      <c r="V117" s="666">
        <v>2.3041148000137873E-4</v>
      </c>
      <c r="W117" s="666">
        <v>2.2981995504089102E-4</v>
      </c>
      <c r="X117" s="666">
        <v>2.2922843008040331E-4</v>
      </c>
      <c r="Y117" s="666">
        <v>2.2863690511991559E-4</v>
      </c>
      <c r="Z117" s="666">
        <v>2.2804538015942961E-4</v>
      </c>
      <c r="AA117" s="666">
        <v>2.2745385519894017E-4</v>
      </c>
      <c r="AB117" s="666">
        <v>2.2692323562673554E-4</v>
      </c>
      <c r="AC117" s="666">
        <v>2.2645352144281573E-4</v>
      </c>
      <c r="AD117" s="666">
        <v>2.2598380725889419E-4</v>
      </c>
      <c r="AE117" s="666">
        <v>2.2551409307497092E-4</v>
      </c>
      <c r="AF117" s="666">
        <v>2.2504437889105285E-4</v>
      </c>
      <c r="AG117" s="666">
        <v>2.245746647071261E-4</v>
      </c>
      <c r="AH117" s="666">
        <v>2.2410495052320629E-4</v>
      </c>
      <c r="AI117" s="666">
        <v>2.2363523633928822E-4</v>
      </c>
      <c r="AJ117" s="666">
        <v>2.2316552215536321E-4</v>
      </c>
      <c r="AK117" s="666">
        <v>2.2269580797144341E-4</v>
      </c>
      <c r="AL117" s="666"/>
      <c r="AM117" s="666"/>
      <c r="AN117" s="666"/>
      <c r="AO117" s="666"/>
      <c r="AP117" s="666"/>
      <c r="AQ117" s="666"/>
      <c r="AR117" s="666"/>
      <c r="AS117" s="666"/>
      <c r="AT117" s="666"/>
      <c r="AU117" s="666"/>
      <c r="AV117" s="666"/>
      <c r="AW117" s="666"/>
      <c r="AX117" s="666"/>
      <c r="AY117" s="666"/>
      <c r="AZ117" s="666"/>
      <c r="BA117" s="666"/>
      <c r="BB117" s="666"/>
      <c r="BC117" s="666"/>
      <c r="BD117" s="666"/>
      <c r="BE117" s="666"/>
      <c r="BF117" s="666"/>
      <c r="BG117" s="666"/>
      <c r="BH117" s="666"/>
      <c r="BI117" s="666"/>
      <c r="BJ117" s="666"/>
      <c r="BK117" s="666"/>
      <c r="BL117" s="666"/>
      <c r="BM117" s="666"/>
      <c r="BN117" s="666"/>
      <c r="BO117" s="666"/>
      <c r="BP117" s="666"/>
      <c r="BQ117" s="666"/>
      <c r="BR117" s="666"/>
      <c r="BS117" s="666"/>
      <c r="BT117" s="666"/>
      <c r="BU117" s="666"/>
      <c r="BV117" s="666"/>
      <c r="BW117" s="666"/>
      <c r="BX117" s="666"/>
      <c r="BY117" s="666"/>
      <c r="BZ117" s="666"/>
      <c r="CA117" s="666"/>
      <c r="CB117" s="666"/>
      <c r="CC117" s="666"/>
      <c r="CD117" s="666"/>
      <c r="CE117" s="666"/>
      <c r="CF117" s="666"/>
      <c r="CG117" s="666"/>
      <c r="CH117" s="666"/>
      <c r="CI117" s="666"/>
    </row>
    <row r="118" spans="2:89" x14ac:dyDescent="0.2">
      <c r="B118" s="701" t="s">
        <v>676</v>
      </c>
      <c r="C118" s="702" t="s">
        <v>677</v>
      </c>
      <c r="D118" s="702" t="s">
        <v>678</v>
      </c>
      <c r="E118" s="702" t="s">
        <v>236</v>
      </c>
      <c r="F118" s="703">
        <v>2</v>
      </c>
      <c r="G118" s="695"/>
      <c r="H118" s="671"/>
      <c r="I118" s="671">
        <v>0</v>
      </c>
      <c r="J118" s="671">
        <v>0</v>
      </c>
      <c r="K118" s="671">
        <v>0</v>
      </c>
      <c r="L118" s="671">
        <v>0</v>
      </c>
      <c r="M118" s="696">
        <v>1.6145513693702762E-3</v>
      </c>
      <c r="N118" s="696">
        <v>2.862783471225816E-3</v>
      </c>
      <c r="O118" s="696">
        <v>-4.2861807559981813E-3</v>
      </c>
      <c r="P118" s="696">
        <v>-1.1415347046815683E-2</v>
      </c>
      <c r="Q118" s="696">
        <v>-1.8531374394505473E-2</v>
      </c>
      <c r="R118" s="696">
        <v>-2.5451428441384927E-2</v>
      </c>
      <c r="S118" s="696">
        <v>-3.2180298944493591E-2</v>
      </c>
      <c r="T118" s="696">
        <v>-3.8899833363210901E-2</v>
      </c>
      <c r="U118" s="696">
        <v>-4.5608061135080202E-2</v>
      </c>
      <c r="V118" s="696">
        <v>-5.2304537552386288E-2</v>
      </c>
      <c r="W118" s="696">
        <v>-5.8990056648910771E-2</v>
      </c>
      <c r="X118" s="696">
        <v>-6.5666109426501196E-2</v>
      </c>
      <c r="Y118" s="696">
        <v>-7.2333316033205697E-2</v>
      </c>
      <c r="Z118" s="696">
        <v>-7.8990073448521048E-2</v>
      </c>
      <c r="AA118" s="696">
        <v>-8.5637468534773387E-2</v>
      </c>
      <c r="AB118" s="696">
        <v>-9.2272138106391566E-2</v>
      </c>
      <c r="AC118" s="696">
        <v>-9.8894373222669807E-2</v>
      </c>
      <c r="AD118" s="696">
        <v>-0.10550826501916322</v>
      </c>
      <c r="AE118" s="696">
        <v>-0.11211449054613076</v>
      </c>
      <c r="AF118" s="696">
        <v>-0.11871315190985066</v>
      </c>
      <c r="AG118" s="696">
        <v>-0.1253036603091634</v>
      </c>
      <c r="AH118" s="696">
        <v>-0.13188627416948917</v>
      </c>
      <c r="AI118" s="696">
        <v>-0.13846030482426297</v>
      </c>
      <c r="AJ118" s="696">
        <v>-0.14502519801332275</v>
      </c>
      <c r="AK118" s="696">
        <v>-0.15158118891372041</v>
      </c>
      <c r="AL118" s="696"/>
      <c r="AM118" s="696"/>
      <c r="AN118" s="696"/>
      <c r="AO118" s="696"/>
      <c r="AP118" s="696"/>
      <c r="AQ118" s="696"/>
      <c r="AR118" s="696"/>
      <c r="AS118" s="696"/>
      <c r="AT118" s="696"/>
      <c r="AU118" s="696"/>
      <c r="AV118" s="696"/>
      <c r="AW118" s="696"/>
      <c r="AX118" s="696"/>
      <c r="AY118" s="696"/>
      <c r="AZ118" s="696"/>
      <c r="BA118" s="696"/>
      <c r="BB118" s="696"/>
      <c r="BC118" s="696"/>
      <c r="BD118" s="696"/>
      <c r="BE118" s="696"/>
      <c r="BF118" s="696"/>
      <c r="BG118" s="696"/>
      <c r="BH118" s="696"/>
      <c r="BI118" s="696"/>
      <c r="BJ118" s="696"/>
      <c r="BK118" s="696"/>
      <c r="BL118" s="696"/>
      <c r="BM118" s="696"/>
      <c r="BN118" s="696"/>
      <c r="BO118" s="696"/>
      <c r="BP118" s="696"/>
      <c r="BQ118" s="696"/>
      <c r="BR118" s="696"/>
      <c r="BS118" s="696"/>
      <c r="BT118" s="696"/>
      <c r="BU118" s="696"/>
      <c r="BV118" s="696"/>
      <c r="BW118" s="696"/>
      <c r="BX118" s="696"/>
      <c r="BY118" s="696"/>
      <c r="BZ118" s="696"/>
      <c r="CA118" s="696"/>
      <c r="CB118" s="696"/>
      <c r="CC118" s="696"/>
      <c r="CD118" s="696"/>
      <c r="CE118" s="696"/>
      <c r="CF118" s="696"/>
      <c r="CG118" s="696"/>
      <c r="CH118" s="696"/>
      <c r="CI118" s="696"/>
    </row>
    <row r="119" spans="2:89" ht="15.75" thickBot="1" x14ac:dyDescent="0.25">
      <c r="B119" s="1425"/>
      <c r="C119" s="1426"/>
      <c r="D119" s="1427"/>
      <c r="E119" s="1426"/>
      <c r="F119" s="1428"/>
      <c r="G119" s="1429"/>
      <c r="H119" s="1430"/>
      <c r="I119" s="1430"/>
      <c r="J119" s="1430"/>
      <c r="K119" s="1430"/>
      <c r="L119" s="1430"/>
      <c r="M119" s="1431"/>
      <c r="N119" s="1431"/>
      <c r="O119" s="1431"/>
      <c r="P119" s="1431"/>
      <c r="Q119" s="1431"/>
      <c r="R119" s="1431"/>
      <c r="S119" s="1431"/>
      <c r="T119" s="1431"/>
      <c r="U119" s="1431"/>
      <c r="V119" s="1431"/>
      <c r="W119" s="1431"/>
      <c r="X119" s="1431"/>
      <c r="Y119" s="1431"/>
      <c r="Z119" s="1431"/>
      <c r="AA119" s="1431"/>
      <c r="AB119" s="1431"/>
      <c r="AC119" s="1431"/>
      <c r="AD119" s="1431"/>
      <c r="AE119" s="1431"/>
      <c r="AF119" s="1431"/>
      <c r="AG119" s="1431"/>
      <c r="AH119" s="1431"/>
      <c r="AI119" s="1431"/>
      <c r="AJ119" s="1431"/>
      <c r="AK119" s="1431"/>
      <c r="AL119" s="1431"/>
      <c r="AM119" s="1431"/>
      <c r="AN119" s="1431"/>
      <c r="AO119" s="1431"/>
      <c r="AP119" s="1431"/>
      <c r="AQ119" s="1431"/>
      <c r="AR119" s="1431"/>
      <c r="AS119" s="1431"/>
      <c r="AT119" s="1431"/>
      <c r="AU119" s="1431"/>
      <c r="AV119" s="1431"/>
      <c r="AW119" s="1431"/>
      <c r="AX119" s="1431"/>
      <c r="AY119" s="1431"/>
      <c r="AZ119" s="1431"/>
      <c r="BA119" s="1431"/>
      <c r="BB119" s="1431"/>
      <c r="BC119" s="1431"/>
      <c r="BD119" s="1431"/>
      <c r="BE119" s="1431"/>
      <c r="BF119" s="1431"/>
      <c r="BG119" s="1431"/>
      <c r="BH119" s="1431"/>
      <c r="BI119" s="1431"/>
      <c r="BJ119" s="1431"/>
      <c r="BK119" s="1431"/>
      <c r="BL119" s="1431"/>
      <c r="BM119" s="1431"/>
      <c r="BN119" s="1431"/>
      <c r="BO119" s="1431"/>
      <c r="BP119" s="1431"/>
      <c r="BQ119" s="1431"/>
      <c r="BR119" s="1431"/>
      <c r="BS119" s="1431"/>
      <c r="BT119" s="1431"/>
      <c r="BU119" s="1431"/>
      <c r="BV119" s="1431"/>
      <c r="BW119" s="1431"/>
      <c r="BX119" s="1431"/>
      <c r="BY119" s="1431"/>
      <c r="BZ119" s="1431"/>
      <c r="CA119" s="1431"/>
      <c r="CB119" s="1431"/>
      <c r="CC119" s="1431"/>
      <c r="CD119" s="1431"/>
      <c r="CE119" s="1431"/>
      <c r="CF119" s="1431"/>
      <c r="CG119" s="1431"/>
      <c r="CH119" s="1431"/>
      <c r="CI119" s="1432"/>
      <c r="CJ119" s="523"/>
    </row>
    <row r="120" spans="2:89" ht="30.75" thickBot="1" x14ac:dyDescent="0.25">
      <c r="B120" s="655" t="s">
        <v>440</v>
      </c>
      <c r="C120" s="1306" t="s">
        <v>204</v>
      </c>
      <c r="D120" s="523"/>
      <c r="E120" s="523"/>
      <c r="F120" s="523"/>
      <c r="G120" s="523"/>
      <c r="H120" s="523"/>
      <c r="I120" s="523"/>
      <c r="J120" s="523"/>
      <c r="K120" s="523"/>
      <c r="L120" s="523"/>
      <c r="M120" s="523"/>
      <c r="N120" s="523"/>
      <c r="O120" s="523"/>
      <c r="P120" s="523"/>
      <c r="Q120" s="523"/>
      <c r="R120" s="523"/>
      <c r="S120" s="523"/>
      <c r="T120" s="523"/>
      <c r="U120" s="523"/>
      <c r="V120" s="523"/>
      <c r="W120" s="523"/>
      <c r="X120" s="523"/>
      <c r="Y120" s="523"/>
      <c r="Z120" s="523"/>
      <c r="AA120" s="523"/>
      <c r="AB120" s="523"/>
      <c r="AC120" s="523"/>
      <c r="AD120" s="523"/>
      <c r="AE120" s="523"/>
      <c r="AF120" s="523"/>
      <c r="AG120" s="523"/>
      <c r="AH120" s="523"/>
      <c r="AI120" s="523"/>
      <c r="AJ120" s="523"/>
      <c r="AK120" s="523"/>
      <c r="AL120" s="523"/>
      <c r="AM120" s="523"/>
      <c r="AN120" s="523"/>
      <c r="AO120" s="523"/>
      <c r="AP120" s="523"/>
      <c r="AQ120" s="523"/>
      <c r="AR120" s="523"/>
      <c r="AS120" s="523"/>
      <c r="AT120" s="523"/>
      <c r="AU120" s="523"/>
      <c r="AV120" s="523"/>
      <c r="AW120" s="523"/>
      <c r="AX120" s="523"/>
      <c r="AY120" s="523"/>
      <c r="AZ120" s="523"/>
      <c r="BA120" s="523"/>
      <c r="BB120" s="523"/>
      <c r="BC120" s="523"/>
      <c r="BD120" s="523"/>
      <c r="BE120" s="523"/>
      <c r="BF120" s="523"/>
      <c r="BG120" s="523"/>
      <c r="BH120" s="523"/>
      <c r="BI120" s="523"/>
      <c r="BJ120" s="523"/>
      <c r="BK120" s="523"/>
      <c r="BL120" s="523"/>
      <c r="BM120" s="523"/>
      <c r="BN120" s="523"/>
      <c r="BO120" s="523"/>
      <c r="BP120" s="523"/>
      <c r="BQ120" s="523"/>
      <c r="BR120" s="523"/>
      <c r="BS120" s="523"/>
      <c r="BT120" s="523"/>
      <c r="BU120" s="523"/>
      <c r="BV120" s="523"/>
      <c r="BW120" s="523"/>
      <c r="BX120" s="523"/>
      <c r="BY120" s="523"/>
      <c r="BZ120" s="523"/>
      <c r="CA120" s="523"/>
      <c r="CB120" s="523"/>
      <c r="CC120" s="523"/>
      <c r="CD120" s="523"/>
      <c r="CE120" s="523"/>
      <c r="CF120" s="523"/>
      <c r="CG120" s="523"/>
      <c r="CH120" s="523"/>
      <c r="CI120" s="523"/>
    </row>
    <row r="121" spans="2:89" ht="15.75" thickBot="1" x14ac:dyDescent="0.25">
      <c r="B121" s="705" t="s">
        <v>446</v>
      </c>
      <c r="C121" s="706" t="s">
        <v>205</v>
      </c>
      <c r="D121" s="706" t="s">
        <v>71</v>
      </c>
      <c r="E121" s="706" t="s">
        <v>206</v>
      </c>
      <c r="F121" s="707" t="s">
        <v>207</v>
      </c>
      <c r="G121" s="705" t="s">
        <v>208</v>
      </c>
      <c r="H121" s="705" t="s">
        <v>209</v>
      </c>
      <c r="I121" s="705" t="s">
        <v>210</v>
      </c>
      <c r="J121" s="705" t="s">
        <v>211</v>
      </c>
      <c r="K121" s="705" t="s">
        <v>212</v>
      </c>
      <c r="L121" s="705" t="s">
        <v>213</v>
      </c>
      <c r="M121" s="706" t="s">
        <v>214</v>
      </c>
      <c r="N121" s="706" t="s">
        <v>215</v>
      </c>
      <c r="O121" s="706" t="s">
        <v>216</v>
      </c>
      <c r="P121" s="706" t="s">
        <v>217</v>
      </c>
      <c r="Q121" s="706" t="s">
        <v>218</v>
      </c>
      <c r="R121" s="706" t="s">
        <v>247</v>
      </c>
      <c r="S121" s="706" t="s">
        <v>248</v>
      </c>
      <c r="T121" s="706" t="s">
        <v>249</v>
      </c>
      <c r="U121" s="706" t="s">
        <v>250</v>
      </c>
      <c r="V121" s="706" t="s">
        <v>219</v>
      </c>
      <c r="W121" s="706" t="s">
        <v>251</v>
      </c>
      <c r="X121" s="706" t="s">
        <v>252</v>
      </c>
      <c r="Y121" s="706" t="s">
        <v>253</v>
      </c>
      <c r="Z121" s="706" t="s">
        <v>254</v>
      </c>
      <c r="AA121" s="706" t="s">
        <v>220</v>
      </c>
      <c r="AB121" s="706" t="s">
        <v>255</v>
      </c>
      <c r="AC121" s="706" t="s">
        <v>256</v>
      </c>
      <c r="AD121" s="706" t="s">
        <v>257</v>
      </c>
      <c r="AE121" s="706" t="s">
        <v>258</v>
      </c>
      <c r="AF121" s="706" t="s">
        <v>221</v>
      </c>
      <c r="AG121" s="706" t="s">
        <v>259</v>
      </c>
      <c r="AH121" s="706" t="s">
        <v>260</v>
      </c>
      <c r="AI121" s="706" t="s">
        <v>261</v>
      </c>
      <c r="AJ121" s="706" t="s">
        <v>262</v>
      </c>
      <c r="AK121" s="706" t="s">
        <v>222</v>
      </c>
      <c r="AL121" s="706" t="s">
        <v>263</v>
      </c>
      <c r="AM121" s="706" t="s">
        <v>264</v>
      </c>
      <c r="AN121" s="706" t="s">
        <v>265</v>
      </c>
      <c r="AO121" s="706" t="s">
        <v>266</v>
      </c>
      <c r="AP121" s="706" t="s">
        <v>223</v>
      </c>
      <c r="AQ121" s="706" t="s">
        <v>267</v>
      </c>
      <c r="AR121" s="706" t="s">
        <v>268</v>
      </c>
      <c r="AS121" s="706" t="s">
        <v>269</v>
      </c>
      <c r="AT121" s="706" t="s">
        <v>270</v>
      </c>
      <c r="AU121" s="706" t="s">
        <v>224</v>
      </c>
      <c r="AV121" s="706" t="s">
        <v>271</v>
      </c>
      <c r="AW121" s="706" t="s">
        <v>272</v>
      </c>
      <c r="AX121" s="706" t="s">
        <v>273</v>
      </c>
      <c r="AY121" s="706" t="s">
        <v>274</v>
      </c>
      <c r="AZ121" s="706" t="s">
        <v>225</v>
      </c>
      <c r="BA121" s="706" t="s">
        <v>275</v>
      </c>
      <c r="BB121" s="706" t="s">
        <v>276</v>
      </c>
      <c r="BC121" s="706" t="s">
        <v>277</v>
      </c>
      <c r="BD121" s="706" t="s">
        <v>278</v>
      </c>
      <c r="BE121" s="706" t="s">
        <v>226</v>
      </c>
      <c r="BF121" s="706" t="s">
        <v>279</v>
      </c>
      <c r="BG121" s="706" t="s">
        <v>280</v>
      </c>
      <c r="BH121" s="706" t="s">
        <v>281</v>
      </c>
      <c r="BI121" s="706" t="s">
        <v>282</v>
      </c>
      <c r="BJ121" s="706" t="s">
        <v>227</v>
      </c>
      <c r="BK121" s="706" t="s">
        <v>283</v>
      </c>
      <c r="BL121" s="706" t="s">
        <v>284</v>
      </c>
      <c r="BM121" s="706" t="s">
        <v>285</v>
      </c>
      <c r="BN121" s="706" t="s">
        <v>286</v>
      </c>
      <c r="BO121" s="706" t="s">
        <v>228</v>
      </c>
      <c r="BP121" s="706" t="s">
        <v>287</v>
      </c>
      <c r="BQ121" s="706" t="s">
        <v>288</v>
      </c>
      <c r="BR121" s="706" t="s">
        <v>289</v>
      </c>
      <c r="BS121" s="706" t="s">
        <v>290</v>
      </c>
      <c r="BT121" s="706" t="s">
        <v>229</v>
      </c>
      <c r="BU121" s="706" t="s">
        <v>291</v>
      </c>
      <c r="BV121" s="706" t="s">
        <v>292</v>
      </c>
      <c r="BW121" s="706" t="s">
        <v>293</v>
      </c>
      <c r="BX121" s="706" t="s">
        <v>294</v>
      </c>
      <c r="BY121" s="706" t="s">
        <v>230</v>
      </c>
      <c r="BZ121" s="706" t="s">
        <v>295</v>
      </c>
      <c r="CA121" s="706" t="s">
        <v>296</v>
      </c>
      <c r="CB121" s="706" t="s">
        <v>297</v>
      </c>
      <c r="CC121" s="706" t="s">
        <v>298</v>
      </c>
      <c r="CD121" s="706" t="s">
        <v>231</v>
      </c>
      <c r="CE121" s="706" t="s">
        <v>299</v>
      </c>
      <c r="CF121" s="706" t="s">
        <v>300</v>
      </c>
      <c r="CG121" s="706" t="s">
        <v>301</v>
      </c>
      <c r="CH121" s="706" t="s">
        <v>302</v>
      </c>
      <c r="CI121" s="707" t="s">
        <v>232</v>
      </c>
      <c r="CK121" s="1296"/>
    </row>
    <row r="122" spans="2:89" x14ac:dyDescent="0.2">
      <c r="B122" s="1049" t="s">
        <v>679</v>
      </c>
      <c r="C122" s="1050" t="s">
        <v>448</v>
      </c>
      <c r="D122" s="1051" t="s">
        <v>86</v>
      </c>
      <c r="E122" s="1052" t="s">
        <v>236</v>
      </c>
      <c r="F122" s="1053">
        <v>2</v>
      </c>
      <c r="G122" s="532"/>
      <c r="H122" s="593"/>
      <c r="I122" s="593">
        <v>9.6345563440519442</v>
      </c>
      <c r="J122" s="593">
        <v>9.6111189864372317</v>
      </c>
      <c r="K122" s="593">
        <v>9.5489618023081562</v>
      </c>
      <c r="L122" s="593">
        <v>9.4970501812428889</v>
      </c>
      <c r="M122" s="594">
        <v>9.559989158389806</v>
      </c>
      <c r="N122" s="594">
        <v>9.5840041190259821</v>
      </c>
      <c r="O122" s="594">
        <v>9.5991924072111612</v>
      </c>
      <c r="P122" s="594">
        <v>9.557242466873344</v>
      </c>
      <c r="Q122" s="594">
        <v>9.514289261440787</v>
      </c>
      <c r="R122" s="594">
        <v>9.3821258195129893</v>
      </c>
      <c r="S122" s="594">
        <v>9.3479021232244346</v>
      </c>
      <c r="T122" s="594">
        <v>12.95834535613792</v>
      </c>
      <c r="U122" s="594">
        <v>12.91652819253474</v>
      </c>
      <c r="V122" s="594">
        <v>12.876164492488684</v>
      </c>
      <c r="W122" s="594">
        <v>12.845126651194981</v>
      </c>
      <c r="X122" s="594">
        <v>12.816271895861616</v>
      </c>
      <c r="Y122" s="594">
        <v>12.811597550033804</v>
      </c>
      <c r="Z122" s="594">
        <v>12.808348916704958</v>
      </c>
      <c r="AA122" s="594">
        <v>12.80382834811263</v>
      </c>
      <c r="AB122" s="594">
        <v>12.781084060078435</v>
      </c>
      <c r="AC122" s="594">
        <v>12.775544527153444</v>
      </c>
      <c r="AD122" s="594">
        <v>12.770937572863048</v>
      </c>
      <c r="AE122" s="594">
        <v>12.777891818654558</v>
      </c>
      <c r="AF122" s="594">
        <v>12.784732178902862</v>
      </c>
      <c r="AG122" s="594">
        <v>12.777023168623874</v>
      </c>
      <c r="AH122" s="594">
        <v>12.784098563740441</v>
      </c>
      <c r="AI122" s="594">
        <v>12.791764485633644</v>
      </c>
      <c r="AJ122" s="594">
        <v>12.801090193727132</v>
      </c>
      <c r="AK122" s="594">
        <v>12.811398925119093</v>
      </c>
      <c r="AL122" s="594"/>
      <c r="AM122" s="594"/>
      <c r="AN122" s="594"/>
      <c r="AO122" s="594"/>
      <c r="AP122" s="594"/>
      <c r="AQ122" s="594"/>
      <c r="AR122" s="594"/>
      <c r="AS122" s="594"/>
      <c r="AT122" s="594"/>
      <c r="AU122" s="594"/>
      <c r="AV122" s="594"/>
      <c r="AW122" s="594"/>
      <c r="AX122" s="594"/>
      <c r="AY122" s="594"/>
      <c r="AZ122" s="594"/>
      <c r="BA122" s="594"/>
      <c r="BB122" s="594"/>
      <c r="BC122" s="594"/>
      <c r="BD122" s="594"/>
      <c r="BE122" s="594"/>
      <c r="BF122" s="594"/>
      <c r="BG122" s="594"/>
      <c r="BH122" s="594"/>
      <c r="BI122" s="594"/>
      <c r="BJ122" s="594"/>
      <c r="BK122" s="594"/>
      <c r="BL122" s="594"/>
      <c r="BM122" s="594"/>
      <c r="BN122" s="594"/>
      <c r="BO122" s="594"/>
      <c r="BP122" s="594"/>
      <c r="BQ122" s="594"/>
      <c r="BR122" s="594"/>
      <c r="BS122" s="594"/>
      <c r="BT122" s="594"/>
      <c r="BU122" s="594"/>
      <c r="BV122" s="594"/>
      <c r="BW122" s="594"/>
      <c r="BX122" s="594"/>
      <c r="BY122" s="594"/>
      <c r="BZ122" s="594"/>
      <c r="CA122" s="594"/>
      <c r="CB122" s="594"/>
      <c r="CC122" s="594"/>
      <c r="CD122" s="594"/>
      <c r="CE122" s="594"/>
      <c r="CF122" s="594"/>
      <c r="CG122" s="594"/>
      <c r="CH122" s="594"/>
      <c r="CI122" s="595"/>
      <c r="CK122" s="1296"/>
    </row>
    <row r="123" spans="2:89" x14ac:dyDescent="0.2">
      <c r="B123" s="1048" t="s">
        <v>680</v>
      </c>
      <c r="C123" s="1039" t="s">
        <v>681</v>
      </c>
      <c r="D123" s="1040" t="s">
        <v>682</v>
      </c>
      <c r="E123" s="1041" t="s">
        <v>236</v>
      </c>
      <c r="F123" s="1042">
        <v>2</v>
      </c>
      <c r="G123" s="798">
        <f>G25+G95</f>
        <v>0</v>
      </c>
      <c r="H123" s="798">
        <f t="shared" ref="H123:AK123" si="45">H25+H95</f>
        <v>0</v>
      </c>
      <c r="I123" s="798">
        <f t="shared" si="45"/>
        <v>0</v>
      </c>
      <c r="J123" s="798">
        <f t="shared" si="45"/>
        <v>0</v>
      </c>
      <c r="K123" s="798">
        <f t="shared" si="45"/>
        <v>0</v>
      </c>
      <c r="L123" s="798">
        <f t="shared" si="45"/>
        <v>0</v>
      </c>
      <c r="M123" s="798">
        <f t="shared" si="45"/>
        <v>0</v>
      </c>
      <c r="N123" s="798">
        <f t="shared" si="45"/>
        <v>0</v>
      </c>
      <c r="O123" s="798">
        <f t="shared" si="45"/>
        <v>0</v>
      </c>
      <c r="P123" s="798">
        <f t="shared" si="45"/>
        <v>0</v>
      </c>
      <c r="Q123" s="798">
        <f t="shared" si="45"/>
        <v>0</v>
      </c>
      <c r="R123" s="798">
        <f t="shared" si="45"/>
        <v>0</v>
      </c>
      <c r="S123" s="798">
        <f t="shared" si="45"/>
        <v>0</v>
      </c>
      <c r="T123" s="798">
        <f t="shared" si="45"/>
        <v>0</v>
      </c>
      <c r="U123" s="798">
        <f t="shared" si="45"/>
        <v>0</v>
      </c>
      <c r="V123" s="798">
        <f t="shared" si="45"/>
        <v>0</v>
      </c>
      <c r="W123" s="798">
        <f t="shared" si="45"/>
        <v>0</v>
      </c>
      <c r="X123" s="798">
        <f t="shared" si="45"/>
        <v>0</v>
      </c>
      <c r="Y123" s="798">
        <f t="shared" si="45"/>
        <v>0</v>
      </c>
      <c r="Z123" s="798">
        <f t="shared" si="45"/>
        <v>0</v>
      </c>
      <c r="AA123" s="798">
        <f t="shared" si="45"/>
        <v>0</v>
      </c>
      <c r="AB123" s="798">
        <f t="shared" si="45"/>
        <v>0</v>
      </c>
      <c r="AC123" s="798">
        <f t="shared" si="45"/>
        <v>0</v>
      </c>
      <c r="AD123" s="798">
        <f t="shared" si="45"/>
        <v>0</v>
      </c>
      <c r="AE123" s="798">
        <f t="shared" si="45"/>
        <v>0</v>
      </c>
      <c r="AF123" s="798">
        <f t="shared" si="45"/>
        <v>0</v>
      </c>
      <c r="AG123" s="798">
        <f t="shared" si="45"/>
        <v>0</v>
      </c>
      <c r="AH123" s="798">
        <f t="shared" si="45"/>
        <v>0</v>
      </c>
      <c r="AI123" s="798">
        <f t="shared" si="45"/>
        <v>0</v>
      </c>
      <c r="AJ123" s="798">
        <f t="shared" si="45"/>
        <v>0</v>
      </c>
      <c r="AK123" s="798">
        <f t="shared" si="45"/>
        <v>0</v>
      </c>
      <c r="AL123" s="798"/>
      <c r="AM123" s="798"/>
      <c r="AN123" s="798"/>
      <c r="AO123" s="798"/>
      <c r="AP123" s="798"/>
      <c r="AQ123" s="798"/>
      <c r="AR123" s="798"/>
      <c r="AS123" s="798"/>
      <c r="AT123" s="798"/>
      <c r="AU123" s="798"/>
      <c r="AV123" s="798"/>
      <c r="AW123" s="798"/>
      <c r="AX123" s="798"/>
      <c r="AY123" s="798"/>
      <c r="AZ123" s="798"/>
      <c r="BA123" s="798"/>
      <c r="BB123" s="798"/>
      <c r="BC123" s="798"/>
      <c r="BD123" s="798"/>
      <c r="BE123" s="798"/>
      <c r="BF123" s="798"/>
      <c r="BG123" s="798"/>
      <c r="BH123" s="798"/>
      <c r="BI123" s="798"/>
      <c r="BJ123" s="798"/>
      <c r="BK123" s="798"/>
      <c r="BL123" s="798"/>
      <c r="BM123" s="798"/>
      <c r="BN123" s="798"/>
      <c r="BO123" s="798"/>
      <c r="BP123" s="798"/>
      <c r="BQ123" s="798"/>
      <c r="BR123" s="798"/>
      <c r="BS123" s="798"/>
      <c r="BT123" s="798"/>
      <c r="BU123" s="798"/>
      <c r="BV123" s="798"/>
      <c r="BW123" s="798"/>
      <c r="BX123" s="798"/>
      <c r="BY123" s="798"/>
      <c r="BZ123" s="798"/>
      <c r="CA123" s="798"/>
      <c r="CB123" s="798"/>
      <c r="CC123" s="798"/>
      <c r="CD123" s="798"/>
      <c r="CE123" s="798"/>
      <c r="CF123" s="798"/>
      <c r="CG123" s="798"/>
      <c r="CH123" s="798"/>
      <c r="CI123" s="719"/>
      <c r="CK123" s="1296"/>
    </row>
    <row r="124" spans="2:89" x14ac:dyDescent="0.2">
      <c r="B124" s="1038" t="s">
        <v>683</v>
      </c>
      <c r="C124" s="1039" t="s">
        <v>452</v>
      </c>
      <c r="D124" s="1040" t="s">
        <v>684</v>
      </c>
      <c r="E124" s="1041" t="s">
        <v>236</v>
      </c>
      <c r="F124" s="1042">
        <v>2</v>
      </c>
      <c r="G124" s="569">
        <f t="shared" ref="G124:AK127" si="46">G26+G96</f>
        <v>0</v>
      </c>
      <c r="H124" s="569">
        <f t="shared" si="46"/>
        <v>0</v>
      </c>
      <c r="I124" s="569">
        <f t="shared" si="46"/>
        <v>2</v>
      </c>
      <c r="J124" s="569">
        <f t="shared" si="46"/>
        <v>2</v>
      </c>
      <c r="K124" s="569">
        <f t="shared" si="46"/>
        <v>2</v>
      </c>
      <c r="L124" s="569">
        <f t="shared" si="46"/>
        <v>2</v>
      </c>
      <c r="M124" s="718">
        <f t="shared" si="46"/>
        <v>2</v>
      </c>
      <c r="N124" s="718">
        <f t="shared" si="46"/>
        <v>2</v>
      </c>
      <c r="O124" s="718">
        <f t="shared" si="46"/>
        <v>2</v>
      </c>
      <c r="P124" s="718">
        <f t="shared" si="46"/>
        <v>2</v>
      </c>
      <c r="Q124" s="718">
        <f t="shared" si="46"/>
        <v>2</v>
      </c>
      <c r="R124" s="718">
        <f t="shared" si="46"/>
        <v>1.46</v>
      </c>
      <c r="S124" s="718">
        <f t="shared" si="46"/>
        <v>1.46</v>
      </c>
      <c r="T124" s="718">
        <f t="shared" si="46"/>
        <v>1.46</v>
      </c>
      <c r="U124" s="718">
        <f t="shared" si="46"/>
        <v>1.46</v>
      </c>
      <c r="V124" s="718">
        <f t="shared" si="46"/>
        <v>1.46</v>
      </c>
      <c r="W124" s="718">
        <f t="shared" si="46"/>
        <v>1.46</v>
      </c>
      <c r="X124" s="718">
        <f t="shared" si="46"/>
        <v>1.46</v>
      </c>
      <c r="Y124" s="718">
        <f t="shared" si="46"/>
        <v>1.46</v>
      </c>
      <c r="Z124" s="718">
        <f t="shared" si="46"/>
        <v>1.46</v>
      </c>
      <c r="AA124" s="718">
        <f t="shared" si="46"/>
        <v>1.46</v>
      </c>
      <c r="AB124" s="718">
        <f t="shared" si="46"/>
        <v>1.0900000000000001</v>
      </c>
      <c r="AC124" s="718">
        <f t="shared" si="46"/>
        <v>1.0900000000000001</v>
      </c>
      <c r="AD124" s="718">
        <f t="shared" si="46"/>
        <v>1.0900000000000001</v>
      </c>
      <c r="AE124" s="718">
        <f t="shared" si="46"/>
        <v>1.0900000000000001</v>
      </c>
      <c r="AF124" s="718">
        <f t="shared" si="46"/>
        <v>1.0900000000000001</v>
      </c>
      <c r="AG124" s="718">
        <f t="shared" si="46"/>
        <v>0.73</v>
      </c>
      <c r="AH124" s="718">
        <f t="shared" si="46"/>
        <v>0.73</v>
      </c>
      <c r="AI124" s="718">
        <f t="shared" si="46"/>
        <v>0.73</v>
      </c>
      <c r="AJ124" s="718">
        <f t="shared" si="46"/>
        <v>0.73</v>
      </c>
      <c r="AK124" s="718">
        <f t="shared" si="46"/>
        <v>0.73</v>
      </c>
      <c r="AL124" s="718"/>
      <c r="AM124" s="718"/>
      <c r="AN124" s="718"/>
      <c r="AO124" s="718"/>
      <c r="AP124" s="718"/>
      <c r="AQ124" s="718"/>
      <c r="AR124" s="718"/>
      <c r="AS124" s="718"/>
      <c r="AT124" s="718"/>
      <c r="AU124" s="718"/>
      <c r="AV124" s="718"/>
      <c r="AW124" s="718"/>
      <c r="AX124" s="718"/>
      <c r="AY124" s="718"/>
      <c r="AZ124" s="718"/>
      <c r="BA124" s="718"/>
      <c r="BB124" s="718"/>
      <c r="BC124" s="718"/>
      <c r="BD124" s="718"/>
      <c r="BE124" s="718"/>
      <c r="BF124" s="718"/>
      <c r="BG124" s="718"/>
      <c r="BH124" s="718"/>
      <c r="BI124" s="718"/>
      <c r="BJ124" s="718"/>
      <c r="BK124" s="718"/>
      <c r="BL124" s="718"/>
      <c r="BM124" s="718"/>
      <c r="BN124" s="718"/>
      <c r="BO124" s="718"/>
      <c r="BP124" s="718"/>
      <c r="BQ124" s="718"/>
      <c r="BR124" s="718"/>
      <c r="BS124" s="718"/>
      <c r="BT124" s="718"/>
      <c r="BU124" s="718"/>
      <c r="BV124" s="718"/>
      <c r="BW124" s="718"/>
      <c r="BX124" s="718"/>
      <c r="BY124" s="718"/>
      <c r="BZ124" s="718"/>
      <c r="CA124" s="718"/>
      <c r="CB124" s="718"/>
      <c r="CC124" s="718"/>
      <c r="CD124" s="718"/>
      <c r="CE124" s="718"/>
      <c r="CF124" s="718"/>
      <c r="CG124" s="718"/>
      <c r="CH124" s="718"/>
      <c r="CI124" s="719"/>
      <c r="CK124" s="1296"/>
    </row>
    <row r="125" spans="2:89" x14ac:dyDescent="0.2">
      <c r="B125" s="713" t="s">
        <v>685</v>
      </c>
      <c r="C125" s="714" t="s">
        <v>454</v>
      </c>
      <c r="D125" s="715" t="s">
        <v>686</v>
      </c>
      <c r="E125" s="716" t="s">
        <v>236</v>
      </c>
      <c r="F125" s="717">
        <v>2</v>
      </c>
      <c r="G125" s="569">
        <f t="shared" si="46"/>
        <v>0</v>
      </c>
      <c r="H125" s="569">
        <f t="shared" si="46"/>
        <v>0</v>
      </c>
      <c r="I125" s="569">
        <f t="shared" si="46"/>
        <v>0</v>
      </c>
      <c r="J125" s="569">
        <f t="shared" si="46"/>
        <v>0</v>
      </c>
      <c r="K125" s="569">
        <f t="shared" si="46"/>
        <v>0</v>
      </c>
      <c r="L125" s="569">
        <f t="shared" si="46"/>
        <v>0</v>
      </c>
      <c r="M125" s="718">
        <f t="shared" si="46"/>
        <v>0</v>
      </c>
      <c r="N125" s="718">
        <f t="shared" si="46"/>
        <v>0</v>
      </c>
      <c r="O125" s="718">
        <f t="shared" si="46"/>
        <v>0</v>
      </c>
      <c r="P125" s="718">
        <f t="shared" si="46"/>
        <v>2.0191658334342422</v>
      </c>
      <c r="Q125" s="718">
        <f t="shared" si="46"/>
        <v>1.9750342851558536</v>
      </c>
      <c r="R125" s="718">
        <f>R27+R97</f>
        <v>2.1602800871321528</v>
      </c>
      <c r="S125" s="718">
        <f t="shared" si="46"/>
        <v>1.9415896480311743</v>
      </c>
      <c r="T125" s="718">
        <f t="shared" si="46"/>
        <v>5.654349269798713</v>
      </c>
      <c r="U125" s="718">
        <f t="shared" si="46"/>
        <v>5.613079458205263</v>
      </c>
      <c r="V125" s="718">
        <f t="shared" si="46"/>
        <v>5.5425060693968762</v>
      </c>
      <c r="W125" s="718">
        <f t="shared" si="46"/>
        <v>5.4853809871869776</v>
      </c>
      <c r="X125" s="718">
        <f t="shared" si="46"/>
        <v>5.4584486292165808</v>
      </c>
      <c r="Y125" s="718">
        <f t="shared" si="46"/>
        <v>5.4218804505148581</v>
      </c>
      <c r="Z125" s="718">
        <f t="shared" si="46"/>
        <v>5.4008407809205563</v>
      </c>
      <c r="AA125" s="718">
        <f t="shared" si="46"/>
        <v>5.3775638656158131</v>
      </c>
      <c r="AB125" s="718">
        <f t="shared" si="46"/>
        <v>6.0010081839225338</v>
      </c>
      <c r="AC125" s="718">
        <f t="shared" si="46"/>
        <v>5.9673451728357021</v>
      </c>
      <c r="AD125" s="718">
        <f t="shared" si="46"/>
        <v>5.9252281773674884</v>
      </c>
      <c r="AE125" s="718">
        <f t="shared" si="46"/>
        <v>5.9053244604307817</v>
      </c>
      <c r="AF125" s="718">
        <f t="shared" si="46"/>
        <v>5.9066312118793931</v>
      </c>
      <c r="AG125" s="718">
        <f t="shared" si="46"/>
        <v>6.547291354179122</v>
      </c>
      <c r="AH125" s="718">
        <f t="shared" si="46"/>
        <v>6.5585931432347309</v>
      </c>
      <c r="AI125" s="718">
        <f t="shared" si="46"/>
        <v>6.5702706405093627</v>
      </c>
      <c r="AJ125" s="718">
        <f t="shared" si="46"/>
        <v>6.5927342527358581</v>
      </c>
      <c r="AK125" s="718">
        <f t="shared" si="46"/>
        <v>6.6051322929039378</v>
      </c>
      <c r="AL125" s="718"/>
      <c r="AM125" s="718"/>
      <c r="AN125" s="718"/>
      <c r="AO125" s="718"/>
      <c r="AP125" s="718"/>
      <c r="AQ125" s="718"/>
      <c r="AR125" s="718"/>
      <c r="AS125" s="718"/>
      <c r="AT125" s="718"/>
      <c r="AU125" s="718"/>
      <c r="AV125" s="718"/>
      <c r="AW125" s="718"/>
      <c r="AX125" s="718"/>
      <c r="AY125" s="718"/>
      <c r="AZ125" s="718"/>
      <c r="BA125" s="718"/>
      <c r="BB125" s="718"/>
      <c r="BC125" s="718"/>
      <c r="BD125" s="718"/>
      <c r="BE125" s="718"/>
      <c r="BF125" s="718"/>
      <c r="BG125" s="718"/>
      <c r="BH125" s="718"/>
      <c r="BI125" s="718"/>
      <c r="BJ125" s="718"/>
      <c r="BK125" s="718"/>
      <c r="BL125" s="718"/>
      <c r="BM125" s="718"/>
      <c r="BN125" s="718"/>
      <c r="BO125" s="718"/>
      <c r="BP125" s="718"/>
      <c r="BQ125" s="718"/>
      <c r="BR125" s="718"/>
      <c r="BS125" s="718"/>
      <c r="BT125" s="718"/>
      <c r="BU125" s="718"/>
      <c r="BV125" s="718"/>
      <c r="BW125" s="718"/>
      <c r="BX125" s="718"/>
      <c r="BY125" s="718"/>
      <c r="BZ125" s="718"/>
      <c r="CA125" s="718"/>
      <c r="CB125" s="718"/>
      <c r="CC125" s="718"/>
      <c r="CD125" s="718"/>
      <c r="CE125" s="718"/>
      <c r="CF125" s="718"/>
      <c r="CG125" s="718"/>
      <c r="CH125" s="718"/>
      <c r="CI125" s="719"/>
      <c r="CK125" s="1296"/>
    </row>
    <row r="126" spans="2:89" x14ac:dyDescent="0.2">
      <c r="B126" s="720" t="s">
        <v>687</v>
      </c>
      <c r="C126" s="714" t="s">
        <v>456</v>
      </c>
      <c r="D126" s="715" t="s">
        <v>688</v>
      </c>
      <c r="E126" s="716" t="s">
        <v>236</v>
      </c>
      <c r="F126" s="717">
        <v>2</v>
      </c>
      <c r="G126" s="569">
        <f t="shared" si="46"/>
        <v>0</v>
      </c>
      <c r="H126" s="569">
        <f t="shared" si="46"/>
        <v>0</v>
      </c>
      <c r="I126" s="569">
        <f>I28+I98</f>
        <v>0</v>
      </c>
      <c r="J126" s="569">
        <f t="shared" si="46"/>
        <v>0</v>
      </c>
      <c r="K126" s="569">
        <f t="shared" si="46"/>
        <v>0</v>
      </c>
      <c r="L126" s="569">
        <f>L28+L98</f>
        <v>0</v>
      </c>
      <c r="M126" s="569">
        <f t="shared" si="46"/>
        <v>0</v>
      </c>
      <c r="N126" s="569">
        <f t="shared" si="46"/>
        <v>0</v>
      </c>
      <c r="O126" s="569">
        <f t="shared" si="46"/>
        <v>0</v>
      </c>
      <c r="P126" s="569">
        <f t="shared" si="46"/>
        <v>0</v>
      </c>
      <c r="Q126" s="569">
        <f t="shared" si="46"/>
        <v>0</v>
      </c>
      <c r="R126" s="569">
        <f t="shared" si="46"/>
        <v>0</v>
      </c>
      <c r="S126" s="569">
        <f t="shared" si="46"/>
        <v>0</v>
      </c>
      <c r="T126" s="569">
        <f t="shared" si="46"/>
        <v>0</v>
      </c>
      <c r="U126" s="569">
        <f t="shared" si="46"/>
        <v>0</v>
      </c>
      <c r="V126" s="569">
        <f t="shared" si="46"/>
        <v>0</v>
      </c>
      <c r="W126" s="569">
        <f t="shared" si="46"/>
        <v>0</v>
      </c>
      <c r="X126" s="569">
        <f t="shared" si="46"/>
        <v>0</v>
      </c>
      <c r="Y126" s="569">
        <f t="shared" si="46"/>
        <v>0</v>
      </c>
      <c r="Z126" s="569">
        <f t="shared" si="46"/>
        <v>0</v>
      </c>
      <c r="AA126" s="569">
        <f t="shared" si="46"/>
        <v>0</v>
      </c>
      <c r="AB126" s="569">
        <f t="shared" si="46"/>
        <v>0</v>
      </c>
      <c r="AC126" s="569">
        <f t="shared" si="46"/>
        <v>0</v>
      </c>
      <c r="AD126" s="569">
        <f t="shared" si="46"/>
        <v>0</v>
      </c>
      <c r="AE126" s="569">
        <f t="shared" si="46"/>
        <v>0</v>
      </c>
      <c r="AF126" s="569">
        <f t="shared" si="46"/>
        <v>0</v>
      </c>
      <c r="AG126" s="569">
        <f t="shared" si="46"/>
        <v>0</v>
      </c>
      <c r="AH126" s="569">
        <f t="shared" si="46"/>
        <v>0</v>
      </c>
      <c r="AI126" s="569">
        <f t="shared" si="46"/>
        <v>0</v>
      </c>
      <c r="AJ126" s="569">
        <f t="shared" si="46"/>
        <v>0</v>
      </c>
      <c r="AK126" s="569">
        <f t="shared" si="46"/>
        <v>0</v>
      </c>
      <c r="AL126" s="569"/>
      <c r="AM126" s="569"/>
      <c r="AN126" s="569"/>
      <c r="AO126" s="569"/>
      <c r="AP126" s="569"/>
      <c r="AQ126" s="569"/>
      <c r="AR126" s="569"/>
      <c r="AS126" s="569"/>
      <c r="AT126" s="569"/>
      <c r="AU126" s="569"/>
      <c r="AV126" s="569"/>
      <c r="AW126" s="569"/>
      <c r="AX126" s="569"/>
      <c r="AY126" s="569"/>
      <c r="AZ126" s="569"/>
      <c r="BA126" s="569"/>
      <c r="BB126" s="569"/>
      <c r="BC126" s="569"/>
      <c r="BD126" s="569"/>
      <c r="BE126" s="569"/>
      <c r="BF126" s="569"/>
      <c r="BG126" s="569"/>
      <c r="BH126" s="569"/>
      <c r="BI126" s="569"/>
      <c r="BJ126" s="569"/>
      <c r="BK126" s="569"/>
      <c r="BL126" s="569"/>
      <c r="BM126" s="569"/>
      <c r="BN126" s="569"/>
      <c r="BO126" s="569"/>
      <c r="BP126" s="569"/>
      <c r="BQ126" s="569"/>
      <c r="BR126" s="569"/>
      <c r="BS126" s="569"/>
      <c r="BT126" s="569"/>
      <c r="BU126" s="569"/>
      <c r="BV126" s="569"/>
      <c r="BW126" s="569"/>
      <c r="BX126" s="569"/>
      <c r="BY126" s="569"/>
      <c r="BZ126" s="569"/>
      <c r="CA126" s="569"/>
      <c r="CB126" s="569"/>
      <c r="CC126" s="569"/>
      <c r="CD126" s="569"/>
      <c r="CE126" s="569"/>
      <c r="CF126" s="569"/>
      <c r="CG126" s="569"/>
      <c r="CH126" s="569"/>
      <c r="CI126" s="719"/>
      <c r="CK126" s="1296"/>
    </row>
    <row r="127" spans="2:89" x14ac:dyDescent="0.2">
      <c r="B127" s="720" t="s">
        <v>689</v>
      </c>
      <c r="C127" s="714" t="s">
        <v>458</v>
      </c>
      <c r="D127" s="715" t="s">
        <v>690</v>
      </c>
      <c r="E127" s="716" t="s">
        <v>236</v>
      </c>
      <c r="F127" s="717">
        <v>2</v>
      </c>
      <c r="G127" s="569">
        <f t="shared" si="46"/>
        <v>0</v>
      </c>
      <c r="H127" s="569">
        <f t="shared" si="46"/>
        <v>0</v>
      </c>
      <c r="I127" s="569">
        <f t="shared" si="46"/>
        <v>-0.2</v>
      </c>
      <c r="J127" s="569">
        <f t="shared" si="46"/>
        <v>-0.2</v>
      </c>
      <c r="K127" s="569">
        <f t="shared" si="46"/>
        <v>-0.2</v>
      </c>
      <c r="L127" s="569">
        <f t="shared" si="46"/>
        <v>-0.2</v>
      </c>
      <c r="M127" s="718">
        <f t="shared" si="46"/>
        <v>-0.2</v>
      </c>
      <c r="N127" s="718">
        <f t="shared" si="46"/>
        <v>-0.2</v>
      </c>
      <c r="O127" s="718">
        <f t="shared" si="46"/>
        <v>-0.2</v>
      </c>
      <c r="P127" s="718">
        <f t="shared" si="46"/>
        <v>-0.2</v>
      </c>
      <c r="Q127" s="718">
        <f t="shared" si="46"/>
        <v>-0.2</v>
      </c>
      <c r="R127" s="718">
        <f t="shared" si="46"/>
        <v>-0.2</v>
      </c>
      <c r="S127" s="718">
        <f t="shared" si="46"/>
        <v>-0.2</v>
      </c>
      <c r="T127" s="718">
        <f t="shared" si="46"/>
        <v>-0.2</v>
      </c>
      <c r="U127" s="718">
        <f t="shared" si="46"/>
        <v>-0.2</v>
      </c>
      <c r="V127" s="718">
        <f t="shared" si="46"/>
        <v>-0.2</v>
      </c>
      <c r="W127" s="718">
        <f t="shared" si="46"/>
        <v>-0.2</v>
      </c>
      <c r="X127" s="718">
        <f t="shared" si="46"/>
        <v>-0.2</v>
      </c>
      <c r="Y127" s="718">
        <f t="shared" si="46"/>
        <v>-0.2</v>
      </c>
      <c r="Z127" s="718">
        <f t="shared" si="46"/>
        <v>-0.2</v>
      </c>
      <c r="AA127" s="718">
        <f t="shared" si="46"/>
        <v>-0.2</v>
      </c>
      <c r="AB127" s="718">
        <f t="shared" si="46"/>
        <v>-0.2</v>
      </c>
      <c r="AC127" s="718">
        <f t="shared" si="46"/>
        <v>-0.2</v>
      </c>
      <c r="AD127" s="718">
        <f t="shared" si="46"/>
        <v>-0.2</v>
      </c>
      <c r="AE127" s="718">
        <f t="shared" si="46"/>
        <v>-0.2</v>
      </c>
      <c r="AF127" s="718">
        <f t="shared" si="46"/>
        <v>-0.2</v>
      </c>
      <c r="AG127" s="718">
        <f t="shared" si="46"/>
        <v>-0.2</v>
      </c>
      <c r="AH127" s="718">
        <f t="shared" si="46"/>
        <v>-0.2</v>
      </c>
      <c r="AI127" s="718">
        <f t="shared" si="46"/>
        <v>-0.2</v>
      </c>
      <c r="AJ127" s="718">
        <f t="shared" si="46"/>
        <v>-0.2</v>
      </c>
      <c r="AK127" s="718">
        <f t="shared" si="46"/>
        <v>-0.2</v>
      </c>
      <c r="AL127" s="718"/>
      <c r="AM127" s="718"/>
      <c r="AN127" s="718"/>
      <c r="AO127" s="718"/>
      <c r="AP127" s="718"/>
      <c r="AQ127" s="718"/>
      <c r="AR127" s="718"/>
      <c r="AS127" s="718"/>
      <c r="AT127" s="718"/>
      <c r="AU127" s="718"/>
      <c r="AV127" s="718"/>
      <c r="AW127" s="718"/>
      <c r="AX127" s="718"/>
      <c r="AY127" s="718"/>
      <c r="AZ127" s="718"/>
      <c r="BA127" s="718"/>
      <c r="BB127" s="718"/>
      <c r="BC127" s="718"/>
      <c r="BD127" s="718"/>
      <c r="BE127" s="718"/>
      <c r="BF127" s="718"/>
      <c r="BG127" s="718"/>
      <c r="BH127" s="718"/>
      <c r="BI127" s="718"/>
      <c r="BJ127" s="718"/>
      <c r="BK127" s="718"/>
      <c r="BL127" s="718"/>
      <c r="BM127" s="718"/>
      <c r="BN127" s="718"/>
      <c r="BO127" s="718"/>
      <c r="BP127" s="718"/>
      <c r="BQ127" s="718"/>
      <c r="BR127" s="718"/>
      <c r="BS127" s="718"/>
      <c r="BT127" s="718"/>
      <c r="BU127" s="718"/>
      <c r="BV127" s="718"/>
      <c r="BW127" s="718"/>
      <c r="BX127" s="718"/>
      <c r="BY127" s="718"/>
      <c r="BZ127" s="718"/>
      <c r="CA127" s="718"/>
      <c r="CB127" s="718"/>
      <c r="CC127" s="718"/>
      <c r="CD127" s="718"/>
      <c r="CE127" s="718"/>
      <c r="CF127" s="718"/>
      <c r="CG127" s="718"/>
      <c r="CH127" s="718"/>
      <c r="CI127" s="719"/>
      <c r="CK127" s="1296"/>
    </row>
    <row r="128" spans="2:89" ht="28.5" x14ac:dyDescent="0.2">
      <c r="B128" s="720" t="s">
        <v>691</v>
      </c>
      <c r="C128" s="721" t="s">
        <v>462</v>
      </c>
      <c r="D128" s="715" t="s">
        <v>692</v>
      </c>
      <c r="E128" s="716" t="s">
        <v>236</v>
      </c>
      <c r="F128" s="717">
        <v>2</v>
      </c>
      <c r="G128" s="569">
        <f>G31+G100+G101+G102+G103</f>
        <v>0</v>
      </c>
      <c r="H128" s="569">
        <f t="shared" ref="H128:AK128" si="47">H31+H100+H101+H102+H103</f>
        <v>0</v>
      </c>
      <c r="I128" s="569">
        <f t="shared" si="47"/>
        <v>6.8132826222203366</v>
      </c>
      <c r="J128" s="569">
        <f t="shared" si="47"/>
        <v>6.8193829945226536</v>
      </c>
      <c r="K128" s="569">
        <f t="shared" si="47"/>
        <v>6.8102387972878953</v>
      </c>
      <c r="L128" s="569">
        <f>L31+L100+L101+L102+L103</f>
        <v>6.7909830298220388</v>
      </c>
      <c r="M128" s="569">
        <f>M31+M100+M101+M102+M103</f>
        <v>9.0302898479334655</v>
      </c>
      <c r="N128" s="569">
        <f t="shared" si="47"/>
        <v>9.0102416007237167</v>
      </c>
      <c r="O128" s="569">
        <f t="shared" si="47"/>
        <v>9.0198445249785539</v>
      </c>
      <c r="P128" s="569">
        <f t="shared" si="47"/>
        <v>6.7502199648449377</v>
      </c>
      <c r="Q128" s="569">
        <f t="shared" si="47"/>
        <v>6.7491649337833213</v>
      </c>
      <c r="R128" s="569">
        <f t="shared" si="47"/>
        <v>6.7479195299013943</v>
      </c>
      <c r="S128" s="569">
        <f t="shared" si="47"/>
        <v>6.7462616645770002</v>
      </c>
      <c r="T128" s="569">
        <f t="shared" si="47"/>
        <v>6.7442924462710385</v>
      </c>
      <c r="U128" s="569">
        <f t="shared" si="47"/>
        <v>6.7412856406814958</v>
      </c>
      <c r="V128" s="569">
        <f t="shared" si="47"/>
        <v>6.7383674926774129</v>
      </c>
      <c r="W128" s="569">
        <f t="shared" si="47"/>
        <v>6.7357200510450026</v>
      </c>
      <c r="X128" s="569">
        <f t="shared" si="47"/>
        <v>6.7331084355506956</v>
      </c>
      <c r="Y128" s="569">
        <f t="shared" si="47"/>
        <v>6.7305550191681105</v>
      </c>
      <c r="Z128" s="569">
        <f t="shared" si="47"/>
        <v>6.7280568813455437</v>
      </c>
      <c r="AA128" s="569">
        <f t="shared" si="47"/>
        <v>6.725330863668419</v>
      </c>
      <c r="AB128" s="569">
        <f t="shared" si="47"/>
        <v>6.3922525256903251</v>
      </c>
      <c r="AC128" s="569">
        <f t="shared" si="47"/>
        <v>6.389489744243499</v>
      </c>
      <c r="AD128" s="569">
        <f t="shared" si="47"/>
        <v>6.3869116822421734</v>
      </c>
      <c r="AE128" s="569">
        <f t="shared" si="47"/>
        <v>6.3856779260904615</v>
      </c>
      <c r="AF128" s="569">
        <f t="shared" si="47"/>
        <v>6.3867659344180714</v>
      </c>
      <c r="AG128" s="569">
        <f t="shared" si="47"/>
        <v>6.0677973191603805</v>
      </c>
      <c r="AH128" s="569">
        <f t="shared" si="47"/>
        <v>6.0689118719606663</v>
      </c>
      <c r="AI128" s="569">
        <f t="shared" si="47"/>
        <v>6.070079489415404</v>
      </c>
      <c r="AJ128" s="569">
        <f t="shared" si="47"/>
        <v>6.0713427815684842</v>
      </c>
      <c r="AK128" s="569">
        <f t="shared" si="47"/>
        <v>6.0726084980345227</v>
      </c>
      <c r="AL128" s="569"/>
      <c r="AM128" s="569"/>
      <c r="AN128" s="569"/>
      <c r="AO128" s="569"/>
      <c r="AP128" s="569"/>
      <c r="AQ128" s="569"/>
      <c r="AR128" s="569"/>
      <c r="AS128" s="569"/>
      <c r="AT128" s="569"/>
      <c r="AU128" s="569"/>
      <c r="AV128" s="569"/>
      <c r="AW128" s="569"/>
      <c r="AX128" s="569"/>
      <c r="AY128" s="569"/>
      <c r="AZ128" s="569"/>
      <c r="BA128" s="569"/>
      <c r="BB128" s="569"/>
      <c r="BC128" s="569"/>
      <c r="BD128" s="569"/>
      <c r="BE128" s="569"/>
      <c r="BF128" s="569"/>
      <c r="BG128" s="569"/>
      <c r="BH128" s="569"/>
      <c r="BI128" s="569"/>
      <c r="BJ128" s="569"/>
      <c r="BK128" s="569"/>
      <c r="BL128" s="569"/>
      <c r="BM128" s="569"/>
      <c r="BN128" s="569"/>
      <c r="BO128" s="569"/>
      <c r="BP128" s="569"/>
      <c r="BQ128" s="569"/>
      <c r="BR128" s="569"/>
      <c r="BS128" s="569"/>
      <c r="BT128" s="569"/>
      <c r="BU128" s="569"/>
      <c r="BV128" s="569"/>
      <c r="BW128" s="569"/>
      <c r="BX128" s="569"/>
      <c r="BY128" s="569"/>
      <c r="BZ128" s="569"/>
      <c r="CA128" s="569"/>
      <c r="CB128" s="569"/>
      <c r="CC128" s="569"/>
      <c r="CD128" s="569"/>
      <c r="CE128" s="569"/>
      <c r="CF128" s="569"/>
      <c r="CG128" s="569"/>
      <c r="CH128" s="569"/>
      <c r="CI128" s="719"/>
      <c r="CK128" s="1296"/>
    </row>
    <row r="129" spans="2:89" ht="28.5" x14ac:dyDescent="0.2">
      <c r="B129" s="720" t="s">
        <v>693</v>
      </c>
      <c r="C129" s="721" t="s">
        <v>694</v>
      </c>
      <c r="D129" s="715" t="s">
        <v>695</v>
      </c>
      <c r="E129" s="716" t="s">
        <v>236</v>
      </c>
      <c r="F129" s="717">
        <v>2</v>
      </c>
      <c r="G129" s="569">
        <f t="shared" ref="G129:AK129" si="48">G39+G104+G105</f>
        <v>0</v>
      </c>
      <c r="H129" s="569">
        <f t="shared" si="48"/>
        <v>0</v>
      </c>
      <c r="I129" s="569">
        <f t="shared" si="48"/>
        <v>0.3</v>
      </c>
      <c r="J129" s="569">
        <f t="shared" si="48"/>
        <v>0.3</v>
      </c>
      <c r="K129" s="569">
        <f t="shared" si="48"/>
        <v>0.3</v>
      </c>
      <c r="L129" s="569">
        <f t="shared" si="48"/>
        <v>0.3</v>
      </c>
      <c r="M129" s="718">
        <f t="shared" si="48"/>
        <v>0.3</v>
      </c>
      <c r="N129" s="718">
        <f t="shared" si="48"/>
        <v>0.3</v>
      </c>
      <c r="O129" s="718">
        <f t="shared" si="48"/>
        <v>0.3</v>
      </c>
      <c r="P129" s="718">
        <f t="shared" si="48"/>
        <v>0.3</v>
      </c>
      <c r="Q129" s="718">
        <f t="shared" si="48"/>
        <v>0.3</v>
      </c>
      <c r="R129" s="718">
        <f t="shared" si="48"/>
        <v>0.28999999999999998</v>
      </c>
      <c r="S129" s="718">
        <f t="shared" si="48"/>
        <v>0.28999999999999998</v>
      </c>
      <c r="T129" s="718">
        <f t="shared" si="48"/>
        <v>0.28999999999999998</v>
      </c>
      <c r="U129" s="718">
        <f t="shared" si="48"/>
        <v>0.28999999999999998</v>
      </c>
      <c r="V129" s="718">
        <f t="shared" si="48"/>
        <v>0.28999999999999998</v>
      </c>
      <c r="W129" s="718">
        <f t="shared" si="48"/>
        <v>0.28999999999999998</v>
      </c>
      <c r="X129" s="718">
        <f t="shared" si="48"/>
        <v>0.28999999999999998</v>
      </c>
      <c r="Y129" s="718">
        <f t="shared" si="48"/>
        <v>0.28999999999999998</v>
      </c>
      <c r="Z129" s="718">
        <f t="shared" si="48"/>
        <v>0.28999999999999998</v>
      </c>
      <c r="AA129" s="718">
        <f t="shared" si="48"/>
        <v>0.28999999999999998</v>
      </c>
      <c r="AB129" s="718">
        <f t="shared" si="48"/>
        <v>0.24</v>
      </c>
      <c r="AC129" s="718">
        <f t="shared" si="48"/>
        <v>0.24</v>
      </c>
      <c r="AD129" s="718">
        <f t="shared" si="48"/>
        <v>0.24</v>
      </c>
      <c r="AE129" s="718">
        <f t="shared" si="48"/>
        <v>0.24</v>
      </c>
      <c r="AF129" s="718">
        <f t="shared" si="48"/>
        <v>0.24</v>
      </c>
      <c r="AG129" s="718">
        <f t="shared" si="48"/>
        <v>0.2</v>
      </c>
      <c r="AH129" s="718">
        <f t="shared" si="48"/>
        <v>0.2</v>
      </c>
      <c r="AI129" s="718">
        <f t="shared" si="48"/>
        <v>0.2</v>
      </c>
      <c r="AJ129" s="718">
        <f t="shared" si="48"/>
        <v>0.2</v>
      </c>
      <c r="AK129" s="718">
        <f t="shared" si="48"/>
        <v>0.2</v>
      </c>
      <c r="AL129" s="718"/>
      <c r="AM129" s="718"/>
      <c r="AN129" s="718"/>
      <c r="AO129" s="718"/>
      <c r="AP129" s="718"/>
      <c r="AQ129" s="718"/>
      <c r="AR129" s="718"/>
      <c r="AS129" s="718"/>
      <c r="AT129" s="718"/>
      <c r="AU129" s="718"/>
      <c r="AV129" s="718"/>
      <c r="AW129" s="718"/>
      <c r="AX129" s="718"/>
      <c r="AY129" s="718"/>
      <c r="AZ129" s="718"/>
      <c r="BA129" s="718"/>
      <c r="BB129" s="718"/>
      <c r="BC129" s="718"/>
      <c r="BD129" s="718"/>
      <c r="BE129" s="718"/>
      <c r="BF129" s="718"/>
      <c r="BG129" s="718"/>
      <c r="BH129" s="718"/>
      <c r="BI129" s="718"/>
      <c r="BJ129" s="718"/>
      <c r="BK129" s="718"/>
      <c r="BL129" s="718"/>
      <c r="BM129" s="718"/>
      <c r="BN129" s="718"/>
      <c r="BO129" s="718"/>
      <c r="BP129" s="718"/>
      <c r="BQ129" s="718"/>
      <c r="BR129" s="718"/>
      <c r="BS129" s="718"/>
      <c r="BT129" s="718"/>
      <c r="BU129" s="718"/>
      <c r="BV129" s="718"/>
      <c r="BW129" s="718"/>
      <c r="BX129" s="718"/>
      <c r="BY129" s="718"/>
      <c r="BZ129" s="718"/>
      <c r="CA129" s="718"/>
      <c r="CB129" s="718"/>
      <c r="CC129" s="718"/>
      <c r="CD129" s="718"/>
      <c r="CE129" s="718"/>
      <c r="CF129" s="718"/>
      <c r="CG129" s="718"/>
      <c r="CH129" s="718"/>
      <c r="CI129" s="719"/>
      <c r="CK129" s="1296"/>
    </row>
    <row r="130" spans="2:89" x14ac:dyDescent="0.2">
      <c r="B130" s="720" t="s">
        <v>696</v>
      </c>
      <c r="C130" s="721" t="s">
        <v>483</v>
      </c>
      <c r="D130" s="715" t="s">
        <v>697</v>
      </c>
      <c r="E130" s="716" t="s">
        <v>236</v>
      </c>
      <c r="F130" s="717">
        <v>2</v>
      </c>
      <c r="G130" s="569">
        <f t="shared" ref="G130:AK130" si="49">G40+G106</f>
        <v>0</v>
      </c>
      <c r="H130" s="569">
        <f t="shared" si="49"/>
        <v>0</v>
      </c>
      <c r="I130" s="569">
        <f t="shared" si="49"/>
        <v>0.04</v>
      </c>
      <c r="J130" s="569">
        <f t="shared" si="49"/>
        <v>0.04</v>
      </c>
      <c r="K130" s="569">
        <f t="shared" si="49"/>
        <v>0.04</v>
      </c>
      <c r="L130" s="569">
        <f t="shared" si="49"/>
        <v>0.04</v>
      </c>
      <c r="M130" s="718">
        <f t="shared" si="49"/>
        <v>0.04</v>
      </c>
      <c r="N130" s="718">
        <f t="shared" si="49"/>
        <v>0.04</v>
      </c>
      <c r="O130" s="718">
        <f t="shared" si="49"/>
        <v>0.04</v>
      </c>
      <c r="P130" s="718">
        <f t="shared" si="49"/>
        <v>0.04</v>
      </c>
      <c r="Q130" s="718">
        <f t="shared" si="49"/>
        <v>0.04</v>
      </c>
      <c r="R130" s="718">
        <f t="shared" si="49"/>
        <v>0.04</v>
      </c>
      <c r="S130" s="718">
        <f t="shared" si="49"/>
        <v>0.04</v>
      </c>
      <c r="T130" s="718">
        <f t="shared" si="49"/>
        <v>0.04</v>
      </c>
      <c r="U130" s="718">
        <f t="shared" si="49"/>
        <v>0.04</v>
      </c>
      <c r="V130" s="718">
        <f t="shared" si="49"/>
        <v>0.04</v>
      </c>
      <c r="W130" s="718">
        <f t="shared" si="49"/>
        <v>0.04</v>
      </c>
      <c r="X130" s="718">
        <f t="shared" si="49"/>
        <v>0.04</v>
      </c>
      <c r="Y130" s="718">
        <f t="shared" si="49"/>
        <v>0.04</v>
      </c>
      <c r="Z130" s="718">
        <f t="shared" si="49"/>
        <v>0.04</v>
      </c>
      <c r="AA130" s="718">
        <f t="shared" si="49"/>
        <v>0.04</v>
      </c>
      <c r="AB130" s="718">
        <f t="shared" si="49"/>
        <v>0.04</v>
      </c>
      <c r="AC130" s="718">
        <f t="shared" si="49"/>
        <v>0.04</v>
      </c>
      <c r="AD130" s="718">
        <f t="shared" si="49"/>
        <v>0.04</v>
      </c>
      <c r="AE130" s="718">
        <f t="shared" si="49"/>
        <v>0.04</v>
      </c>
      <c r="AF130" s="718">
        <f t="shared" si="49"/>
        <v>0.04</v>
      </c>
      <c r="AG130" s="718">
        <f t="shared" si="49"/>
        <v>0.04</v>
      </c>
      <c r="AH130" s="718">
        <f t="shared" si="49"/>
        <v>0.04</v>
      </c>
      <c r="AI130" s="718">
        <f t="shared" si="49"/>
        <v>0.04</v>
      </c>
      <c r="AJ130" s="718">
        <f t="shared" si="49"/>
        <v>0.04</v>
      </c>
      <c r="AK130" s="718">
        <f t="shared" si="49"/>
        <v>0.04</v>
      </c>
      <c r="AL130" s="718"/>
      <c r="AM130" s="718"/>
      <c r="AN130" s="718"/>
      <c r="AO130" s="718"/>
      <c r="AP130" s="718"/>
      <c r="AQ130" s="718"/>
      <c r="AR130" s="718"/>
      <c r="AS130" s="718"/>
      <c r="AT130" s="718"/>
      <c r="AU130" s="718"/>
      <c r="AV130" s="718"/>
      <c r="AW130" s="718"/>
      <c r="AX130" s="718"/>
      <c r="AY130" s="718"/>
      <c r="AZ130" s="718"/>
      <c r="BA130" s="718"/>
      <c r="BB130" s="718"/>
      <c r="BC130" s="718"/>
      <c r="BD130" s="718"/>
      <c r="BE130" s="718"/>
      <c r="BF130" s="718"/>
      <c r="BG130" s="718"/>
      <c r="BH130" s="718"/>
      <c r="BI130" s="718"/>
      <c r="BJ130" s="718"/>
      <c r="BK130" s="718"/>
      <c r="BL130" s="718"/>
      <c r="BM130" s="718"/>
      <c r="BN130" s="718"/>
      <c r="BO130" s="718"/>
      <c r="BP130" s="718"/>
      <c r="BQ130" s="718"/>
      <c r="BR130" s="718"/>
      <c r="BS130" s="718"/>
      <c r="BT130" s="718"/>
      <c r="BU130" s="718"/>
      <c r="BV130" s="718"/>
      <c r="BW130" s="718"/>
      <c r="BX130" s="718"/>
      <c r="BY130" s="718"/>
      <c r="BZ130" s="718"/>
      <c r="CA130" s="718"/>
      <c r="CB130" s="718"/>
      <c r="CC130" s="718"/>
      <c r="CD130" s="718"/>
      <c r="CE130" s="718"/>
      <c r="CF130" s="718"/>
      <c r="CG130" s="718"/>
      <c r="CH130" s="718"/>
      <c r="CI130" s="719"/>
      <c r="CK130" s="1296"/>
    </row>
    <row r="131" spans="2:89" x14ac:dyDescent="0.2">
      <c r="B131" s="722" t="s">
        <v>698</v>
      </c>
      <c r="C131" s="723" t="s">
        <v>387</v>
      </c>
      <c r="D131" s="723" t="s">
        <v>699</v>
      </c>
      <c r="E131" s="724" t="s">
        <v>236</v>
      </c>
      <c r="F131" s="717">
        <v>2</v>
      </c>
      <c r="G131" s="569">
        <f>(G128)-(G129+G130)</f>
        <v>0</v>
      </c>
      <c r="H131" s="569">
        <f t="shared" ref="H131:AK131" si="50">(H128)-(H129+H130)</f>
        <v>0</v>
      </c>
      <c r="I131" s="569">
        <f t="shared" si="50"/>
        <v>6.4732826222203368</v>
      </c>
      <c r="J131" s="569">
        <f t="shared" si="50"/>
        <v>6.4793829945226538</v>
      </c>
      <c r="K131" s="569">
        <f t="shared" si="50"/>
        <v>6.4702387972878954</v>
      </c>
      <c r="L131" s="569">
        <f>(L128)-(L129+L130)</f>
        <v>6.450983029822039</v>
      </c>
      <c r="M131" s="569">
        <f>(M128)-(M129+M130)</f>
        <v>8.6902898479334656</v>
      </c>
      <c r="N131" s="569">
        <f t="shared" si="50"/>
        <v>8.6702416007237169</v>
      </c>
      <c r="O131" s="569">
        <f t="shared" si="50"/>
        <v>8.6798445249785541</v>
      </c>
      <c r="P131" s="569">
        <f t="shared" si="50"/>
        <v>6.4102199648449378</v>
      </c>
      <c r="Q131" s="569">
        <f t="shared" si="50"/>
        <v>6.4091649337833214</v>
      </c>
      <c r="R131" s="569">
        <f t="shared" si="50"/>
        <v>6.4179195299013942</v>
      </c>
      <c r="S131" s="569">
        <f t="shared" si="50"/>
        <v>6.4162616645770001</v>
      </c>
      <c r="T131" s="569">
        <f t="shared" si="50"/>
        <v>6.4142924462710385</v>
      </c>
      <c r="U131" s="569">
        <f t="shared" si="50"/>
        <v>6.4112856406814958</v>
      </c>
      <c r="V131" s="569">
        <f t="shared" si="50"/>
        <v>6.4083674926774128</v>
      </c>
      <c r="W131" s="569">
        <f t="shared" si="50"/>
        <v>6.4057200510450025</v>
      </c>
      <c r="X131" s="569">
        <f t="shared" si="50"/>
        <v>6.4031084355506955</v>
      </c>
      <c r="Y131" s="569">
        <f t="shared" si="50"/>
        <v>6.4005550191681104</v>
      </c>
      <c r="Z131" s="569">
        <f t="shared" si="50"/>
        <v>6.3980568813455436</v>
      </c>
      <c r="AA131" s="569">
        <f t="shared" si="50"/>
        <v>6.395330863668419</v>
      </c>
      <c r="AB131" s="569">
        <f t="shared" si="50"/>
        <v>6.1122525256903248</v>
      </c>
      <c r="AC131" s="569">
        <f t="shared" si="50"/>
        <v>6.1094897442434988</v>
      </c>
      <c r="AD131" s="569">
        <f t="shared" si="50"/>
        <v>6.1069116822421732</v>
      </c>
      <c r="AE131" s="569">
        <f t="shared" si="50"/>
        <v>6.1056779260904612</v>
      </c>
      <c r="AF131" s="569">
        <f t="shared" si="50"/>
        <v>6.1067659344180711</v>
      </c>
      <c r="AG131" s="569">
        <f t="shared" si="50"/>
        <v>5.8277973191603802</v>
      </c>
      <c r="AH131" s="569">
        <f t="shared" si="50"/>
        <v>5.8289118719606661</v>
      </c>
      <c r="AI131" s="569">
        <f t="shared" si="50"/>
        <v>5.8300794894154038</v>
      </c>
      <c r="AJ131" s="569">
        <f t="shared" si="50"/>
        <v>5.831342781568484</v>
      </c>
      <c r="AK131" s="569">
        <f t="shared" si="50"/>
        <v>5.8326084980345225</v>
      </c>
      <c r="AL131" s="569"/>
      <c r="AM131" s="569"/>
      <c r="AN131" s="569"/>
      <c r="AO131" s="569"/>
      <c r="AP131" s="569"/>
      <c r="AQ131" s="569"/>
      <c r="AR131" s="569"/>
      <c r="AS131" s="569"/>
      <c r="AT131" s="569"/>
      <c r="AU131" s="569"/>
      <c r="AV131" s="569"/>
      <c r="AW131" s="569"/>
      <c r="AX131" s="569"/>
      <c r="AY131" s="569"/>
      <c r="AZ131" s="569"/>
      <c r="BA131" s="569"/>
      <c r="BB131" s="569"/>
      <c r="BC131" s="569"/>
      <c r="BD131" s="569"/>
      <c r="BE131" s="569"/>
      <c r="BF131" s="569"/>
      <c r="BG131" s="569"/>
      <c r="BH131" s="569"/>
      <c r="BI131" s="569"/>
      <c r="BJ131" s="569"/>
      <c r="BK131" s="569"/>
      <c r="BL131" s="569"/>
      <c r="BM131" s="569"/>
      <c r="BN131" s="569"/>
      <c r="BO131" s="569"/>
      <c r="BP131" s="569"/>
      <c r="BQ131" s="569"/>
      <c r="BR131" s="569"/>
      <c r="BS131" s="569"/>
      <c r="BT131" s="569"/>
      <c r="BU131" s="569"/>
      <c r="BV131" s="569"/>
      <c r="BW131" s="569"/>
      <c r="BX131" s="569"/>
      <c r="BY131" s="569"/>
      <c r="BZ131" s="569"/>
      <c r="CA131" s="569"/>
      <c r="CB131" s="569"/>
      <c r="CC131" s="569"/>
      <c r="CD131" s="569"/>
      <c r="CE131" s="569"/>
      <c r="CF131" s="569"/>
      <c r="CG131" s="569"/>
      <c r="CH131" s="569"/>
      <c r="CI131" s="569"/>
      <c r="CK131" s="1296"/>
    </row>
    <row r="132" spans="2:89" ht="34.5" customHeight="1" thickBot="1" x14ac:dyDescent="0.25">
      <c r="B132" s="725" t="s">
        <v>700</v>
      </c>
      <c r="C132" s="726" t="s">
        <v>390</v>
      </c>
      <c r="D132" s="726" t="s">
        <v>701</v>
      </c>
      <c r="E132" s="727" t="s">
        <v>236</v>
      </c>
      <c r="F132" s="728">
        <v>2</v>
      </c>
      <c r="G132" s="729">
        <f t="shared" ref="G132:AK132" si="51">G131+SUM(G124:G127)</f>
        <v>0</v>
      </c>
      <c r="H132" s="729">
        <f t="shared" si="51"/>
        <v>0</v>
      </c>
      <c r="I132" s="729">
        <f t="shared" si="51"/>
        <v>8.2732826222203375</v>
      </c>
      <c r="J132" s="729">
        <f t="shared" si="51"/>
        <v>8.2793829945226545</v>
      </c>
      <c r="K132" s="729">
        <f t="shared" si="51"/>
        <v>8.2702387972878952</v>
      </c>
      <c r="L132" s="729">
        <f>L131+SUM(L124:L127)</f>
        <v>8.2509830298220397</v>
      </c>
      <c r="M132" s="729">
        <f>M131+SUM(M124:M127)</f>
        <v>10.490289847933466</v>
      </c>
      <c r="N132" s="729">
        <f t="shared" si="51"/>
        <v>10.470241600723718</v>
      </c>
      <c r="O132" s="729">
        <f t="shared" si="51"/>
        <v>10.479844524978555</v>
      </c>
      <c r="P132" s="729">
        <f t="shared" si="51"/>
        <v>10.229385798279178</v>
      </c>
      <c r="Q132" s="729">
        <f t="shared" si="51"/>
        <v>10.184199218939174</v>
      </c>
      <c r="R132" s="729">
        <f>R131+SUM(R124:R127)</f>
        <v>9.8381996170335473</v>
      </c>
      <c r="S132" s="729">
        <f t="shared" si="51"/>
        <v>9.6178513126081739</v>
      </c>
      <c r="T132" s="729">
        <f t="shared" si="51"/>
        <v>13.32864171606975</v>
      </c>
      <c r="U132" s="729">
        <f t="shared" si="51"/>
        <v>13.284365098886759</v>
      </c>
      <c r="V132" s="729">
        <f t="shared" si="51"/>
        <v>13.210873562074289</v>
      </c>
      <c r="W132" s="729">
        <f t="shared" si="51"/>
        <v>13.15110103823198</v>
      </c>
      <c r="X132" s="729">
        <f t="shared" si="51"/>
        <v>13.121557064767277</v>
      </c>
      <c r="Y132" s="729">
        <f t="shared" si="51"/>
        <v>13.082435469682968</v>
      </c>
      <c r="Z132" s="729">
        <f t="shared" si="51"/>
        <v>13.0588976622661</v>
      </c>
      <c r="AA132" s="729">
        <f t="shared" si="51"/>
        <v>13.032894729284232</v>
      </c>
      <c r="AB132" s="729">
        <f t="shared" si="51"/>
        <v>13.003260709612858</v>
      </c>
      <c r="AC132" s="729">
        <f t="shared" si="51"/>
        <v>12.966834917079201</v>
      </c>
      <c r="AD132" s="729">
        <f t="shared" si="51"/>
        <v>12.922139859609661</v>
      </c>
      <c r="AE132" s="729">
        <f t="shared" si="51"/>
        <v>12.901002386521242</v>
      </c>
      <c r="AF132" s="729">
        <f t="shared" si="51"/>
        <v>12.903397146297465</v>
      </c>
      <c r="AG132" s="729">
        <f t="shared" si="51"/>
        <v>12.905088673339502</v>
      </c>
      <c r="AH132" s="729">
        <f t="shared" si="51"/>
        <v>12.917505015195397</v>
      </c>
      <c r="AI132" s="729">
        <f t="shared" si="51"/>
        <v>12.930350129924765</v>
      </c>
      <c r="AJ132" s="729">
        <f t="shared" si="51"/>
        <v>12.954077034304341</v>
      </c>
      <c r="AK132" s="729">
        <f t="shared" si="51"/>
        <v>12.967740790938461</v>
      </c>
      <c r="AL132" s="729"/>
      <c r="AM132" s="729"/>
      <c r="AN132" s="729"/>
      <c r="AO132" s="729"/>
      <c r="AP132" s="729"/>
      <c r="AQ132" s="729"/>
      <c r="AR132" s="729"/>
      <c r="AS132" s="729"/>
      <c r="AT132" s="729"/>
      <c r="AU132" s="729"/>
      <c r="AV132" s="729"/>
      <c r="AW132" s="729"/>
      <c r="AX132" s="729"/>
      <c r="AY132" s="729"/>
      <c r="AZ132" s="729"/>
      <c r="BA132" s="729"/>
      <c r="BB132" s="729"/>
      <c r="BC132" s="729"/>
      <c r="BD132" s="729"/>
      <c r="BE132" s="729"/>
      <c r="BF132" s="729"/>
      <c r="BG132" s="729"/>
      <c r="BH132" s="729"/>
      <c r="BI132" s="729"/>
      <c r="BJ132" s="729"/>
      <c r="BK132" s="729"/>
      <c r="BL132" s="729"/>
      <c r="BM132" s="729"/>
      <c r="BN132" s="729"/>
      <c r="BO132" s="729"/>
      <c r="BP132" s="729"/>
      <c r="BQ132" s="729"/>
      <c r="BR132" s="729"/>
      <c r="BS132" s="729"/>
      <c r="BT132" s="729"/>
      <c r="BU132" s="729"/>
      <c r="BV132" s="729"/>
      <c r="BW132" s="729"/>
      <c r="BX132" s="729"/>
      <c r="BY132" s="729"/>
      <c r="BZ132" s="729"/>
      <c r="CA132" s="729"/>
      <c r="CB132" s="729"/>
      <c r="CC132" s="729"/>
      <c r="CD132" s="729"/>
      <c r="CE132" s="729"/>
      <c r="CF132" s="729"/>
      <c r="CG132" s="729"/>
      <c r="CH132" s="729"/>
      <c r="CI132" s="729"/>
      <c r="CK132" s="1296"/>
    </row>
    <row r="133" spans="2:89" x14ac:dyDescent="0.2">
      <c r="B133" s="730" t="s">
        <v>702</v>
      </c>
      <c r="C133" s="731" t="s">
        <v>489</v>
      </c>
      <c r="D133" s="732" t="s">
        <v>703</v>
      </c>
      <c r="E133" s="733" t="s">
        <v>236</v>
      </c>
      <c r="F133" s="734">
        <v>2</v>
      </c>
      <c r="G133" s="735">
        <f t="shared" ref="G133:AK133" si="52">G43+G107</f>
        <v>0</v>
      </c>
      <c r="H133" s="735">
        <f t="shared" si="52"/>
        <v>0</v>
      </c>
      <c r="I133" s="735">
        <f t="shared" si="52"/>
        <v>4.4845193488201689</v>
      </c>
      <c r="J133" s="735">
        <f t="shared" si="52"/>
        <v>4.1147397598715552</v>
      </c>
      <c r="K133" s="735">
        <f t="shared" si="52"/>
        <v>4.3055557473943953</v>
      </c>
      <c r="L133" s="735">
        <f t="shared" si="52"/>
        <v>4.5051332204014036</v>
      </c>
      <c r="M133" s="736">
        <f t="shared" si="52"/>
        <v>4.6874835554502194</v>
      </c>
      <c r="N133" s="736">
        <f t="shared" si="52"/>
        <v>4.726191060230895</v>
      </c>
      <c r="O133" s="736">
        <f t="shared" si="52"/>
        <v>4.7185478748389302</v>
      </c>
      <c r="P133" s="736">
        <f t="shared" si="52"/>
        <v>4.7109046317799654</v>
      </c>
      <c r="Q133" s="736">
        <f t="shared" si="52"/>
        <v>4.7032613310539961</v>
      </c>
      <c r="R133" s="736">
        <f t="shared" si="52"/>
        <v>4.6868820791120944</v>
      </c>
      <c r="S133" s="736">
        <f t="shared" si="52"/>
        <v>4.6705027695031882</v>
      </c>
      <c r="T133" s="736">
        <f t="shared" si="52"/>
        <v>8.5784662338549396</v>
      </c>
      <c r="U133" s="736">
        <f t="shared" si="52"/>
        <v>8.571941176876793</v>
      </c>
      <c r="V133" s="736">
        <f t="shared" si="52"/>
        <v>8.5652617180939785</v>
      </c>
      <c r="W133" s="736">
        <f t="shared" si="52"/>
        <v>8.5595684705135611</v>
      </c>
      <c r="X133" s="736">
        <f t="shared" si="52"/>
        <v>8.5537493686702657</v>
      </c>
      <c r="Y133" s="736">
        <f t="shared" si="52"/>
        <v>8.5477661306089168</v>
      </c>
      <c r="Z133" s="736">
        <f t="shared" si="52"/>
        <v>8.5568187375194178</v>
      </c>
      <c r="AA133" s="736">
        <f t="shared" si="52"/>
        <v>8.5657541497685887</v>
      </c>
      <c r="AB133" s="736">
        <f t="shared" si="52"/>
        <v>8.5745732224472313</v>
      </c>
      <c r="AC133" s="736">
        <f t="shared" si="52"/>
        <v>8.5832702337296425</v>
      </c>
      <c r="AD133" s="736">
        <f t="shared" si="52"/>
        <v>8.5918349460902732</v>
      </c>
      <c r="AE133" s="736">
        <f t="shared" si="52"/>
        <v>8.6002762182305137</v>
      </c>
      <c r="AF133" s="736">
        <f t="shared" si="52"/>
        <v>8.6085887421335912</v>
      </c>
      <c r="AG133" s="736">
        <f t="shared" si="52"/>
        <v>8.6167841758104782</v>
      </c>
      <c r="AH133" s="736">
        <f t="shared" si="52"/>
        <v>8.6248632947413366</v>
      </c>
      <c r="AI133" s="736">
        <f t="shared" si="52"/>
        <v>8.6328319912318889</v>
      </c>
      <c r="AJ133" s="736">
        <f t="shared" si="52"/>
        <v>8.6407084845482878</v>
      </c>
      <c r="AK133" s="736">
        <f t="shared" si="52"/>
        <v>8.6484976593038212</v>
      </c>
      <c r="AL133" s="736"/>
      <c r="AM133" s="736"/>
      <c r="AN133" s="736"/>
      <c r="AO133" s="736"/>
      <c r="AP133" s="736"/>
      <c r="AQ133" s="736"/>
      <c r="AR133" s="736"/>
      <c r="AS133" s="736"/>
      <c r="AT133" s="736"/>
      <c r="AU133" s="736"/>
      <c r="AV133" s="736"/>
      <c r="AW133" s="736"/>
      <c r="AX133" s="736"/>
      <c r="AY133" s="736"/>
      <c r="AZ133" s="736"/>
      <c r="BA133" s="736"/>
      <c r="BB133" s="736"/>
      <c r="BC133" s="736"/>
      <c r="BD133" s="736"/>
      <c r="BE133" s="736"/>
      <c r="BF133" s="736"/>
      <c r="BG133" s="736"/>
      <c r="BH133" s="736"/>
      <c r="BI133" s="736"/>
      <c r="BJ133" s="736"/>
      <c r="BK133" s="736"/>
      <c r="BL133" s="736"/>
      <c r="BM133" s="736"/>
      <c r="BN133" s="736"/>
      <c r="BO133" s="736"/>
      <c r="BP133" s="736"/>
      <c r="BQ133" s="736"/>
      <c r="BR133" s="736"/>
      <c r="BS133" s="736"/>
      <c r="BT133" s="736"/>
      <c r="BU133" s="736"/>
      <c r="BV133" s="736"/>
      <c r="BW133" s="736"/>
      <c r="BX133" s="736"/>
      <c r="BY133" s="736"/>
      <c r="BZ133" s="736"/>
      <c r="CA133" s="736"/>
      <c r="CB133" s="736"/>
      <c r="CC133" s="736"/>
      <c r="CD133" s="736"/>
      <c r="CE133" s="736"/>
      <c r="CF133" s="736"/>
      <c r="CG133" s="736"/>
      <c r="CH133" s="736"/>
      <c r="CI133" s="737"/>
      <c r="CK133" s="1296"/>
    </row>
    <row r="134" spans="2:89" x14ac:dyDescent="0.2">
      <c r="B134" s="1043" t="s">
        <v>704</v>
      </c>
      <c r="C134" s="1044" t="s">
        <v>705</v>
      </c>
      <c r="D134" s="1045" t="s">
        <v>86</v>
      </c>
      <c r="E134" s="1046" t="s">
        <v>236</v>
      </c>
      <c r="F134" s="1047">
        <v>2</v>
      </c>
      <c r="G134" s="540"/>
      <c r="H134" s="1008"/>
      <c r="I134" s="1008">
        <v>0</v>
      </c>
      <c r="J134" s="1008">
        <v>0</v>
      </c>
      <c r="K134" s="1008">
        <v>0</v>
      </c>
      <c r="L134" s="1008">
        <v>0</v>
      </c>
      <c r="M134" s="1344">
        <v>0</v>
      </c>
      <c r="N134" s="1344">
        <v>0</v>
      </c>
      <c r="O134" s="1344">
        <v>0</v>
      </c>
      <c r="P134" s="1344">
        <v>0</v>
      </c>
      <c r="Q134" s="1344">
        <v>0</v>
      </c>
      <c r="R134" s="1344">
        <v>0</v>
      </c>
      <c r="S134" s="1344">
        <v>0</v>
      </c>
      <c r="T134" s="1344">
        <v>0</v>
      </c>
      <c r="U134" s="1344">
        <v>0</v>
      </c>
      <c r="V134" s="1344">
        <v>0</v>
      </c>
      <c r="W134" s="1344">
        <v>0</v>
      </c>
      <c r="X134" s="1344">
        <v>0</v>
      </c>
      <c r="Y134" s="1344">
        <v>0</v>
      </c>
      <c r="Z134" s="1344">
        <v>0</v>
      </c>
      <c r="AA134" s="1344">
        <v>0</v>
      </c>
      <c r="AB134" s="1344">
        <v>0</v>
      </c>
      <c r="AC134" s="1344">
        <v>0</v>
      </c>
      <c r="AD134" s="1344">
        <v>0</v>
      </c>
      <c r="AE134" s="1344">
        <v>0</v>
      </c>
      <c r="AF134" s="1344">
        <v>0</v>
      </c>
      <c r="AG134" s="1344">
        <v>0</v>
      </c>
      <c r="AH134" s="1344">
        <v>0</v>
      </c>
      <c r="AI134" s="1344">
        <v>0</v>
      </c>
      <c r="AJ134" s="1344">
        <v>0</v>
      </c>
      <c r="AK134" s="1344">
        <v>0</v>
      </c>
      <c r="AL134" s="1344"/>
      <c r="AM134" s="1344"/>
      <c r="AN134" s="1344"/>
      <c r="AO134" s="1344"/>
      <c r="AP134" s="1344"/>
      <c r="AQ134" s="1344"/>
      <c r="AR134" s="1344"/>
      <c r="AS134" s="1344"/>
      <c r="AT134" s="1344"/>
      <c r="AU134" s="1344"/>
      <c r="AV134" s="1344"/>
      <c r="AW134" s="1344"/>
      <c r="AX134" s="1344"/>
      <c r="AY134" s="1344"/>
      <c r="AZ134" s="1344"/>
      <c r="BA134" s="1344"/>
      <c r="BB134" s="1344"/>
      <c r="BC134" s="1344"/>
      <c r="BD134" s="1344"/>
      <c r="BE134" s="1344"/>
      <c r="BF134" s="1344"/>
      <c r="BG134" s="1344"/>
      <c r="BH134" s="1344"/>
      <c r="BI134" s="1344"/>
      <c r="BJ134" s="1344"/>
      <c r="BK134" s="1344"/>
      <c r="BL134" s="1344"/>
      <c r="BM134" s="1344"/>
      <c r="BN134" s="1344"/>
      <c r="BO134" s="1344"/>
      <c r="BP134" s="1344"/>
      <c r="BQ134" s="1344"/>
      <c r="BR134" s="1344"/>
      <c r="BS134" s="1344"/>
      <c r="BT134" s="1344"/>
      <c r="BU134" s="1344"/>
      <c r="BV134" s="1344"/>
      <c r="BW134" s="1344"/>
      <c r="BX134" s="1344"/>
      <c r="BY134" s="1344"/>
      <c r="BZ134" s="1344"/>
      <c r="CA134" s="1344"/>
      <c r="CB134" s="1344"/>
      <c r="CC134" s="1344"/>
      <c r="CD134" s="1344"/>
      <c r="CE134" s="1344"/>
      <c r="CF134" s="1344"/>
      <c r="CG134" s="1344"/>
      <c r="CH134" s="1344"/>
      <c r="CI134" s="1344"/>
      <c r="CK134" s="1296"/>
    </row>
    <row r="135" spans="2:89" x14ac:dyDescent="0.2">
      <c r="B135" s="1043" t="s">
        <v>706</v>
      </c>
      <c r="C135" s="1044" t="s">
        <v>493</v>
      </c>
      <c r="D135" s="1045" t="s">
        <v>707</v>
      </c>
      <c r="E135" s="1046" t="s">
        <v>236</v>
      </c>
      <c r="F135" s="1047">
        <v>2</v>
      </c>
      <c r="G135" s="569">
        <f t="shared" ref="G135:AK137" si="53">G45+G108</f>
        <v>0</v>
      </c>
      <c r="H135" s="569">
        <f t="shared" si="53"/>
        <v>0</v>
      </c>
      <c r="I135" s="569">
        <f t="shared" si="53"/>
        <v>7.6214072997018408E-3</v>
      </c>
      <c r="J135" s="569">
        <f t="shared" si="53"/>
        <v>7.4667416056178864E-3</v>
      </c>
      <c r="K135" s="569">
        <f t="shared" si="53"/>
        <v>7.4191229022997828E-3</v>
      </c>
      <c r="L135" s="569">
        <f t="shared" si="53"/>
        <v>4.5931537549502915E-3</v>
      </c>
      <c r="M135" s="718">
        <f t="shared" si="53"/>
        <v>2.5347587202742337E-3</v>
      </c>
      <c r="N135" s="718">
        <f t="shared" si="53"/>
        <v>2.4854990461592365E-3</v>
      </c>
      <c r="O135" s="718">
        <f t="shared" si="53"/>
        <v>2.4362818926751155E-3</v>
      </c>
      <c r="P135" s="718">
        <f t="shared" si="53"/>
        <v>2.38710725982187E-3</v>
      </c>
      <c r="Q135" s="718">
        <f t="shared" si="53"/>
        <v>2.337975147599502E-3</v>
      </c>
      <c r="R135" s="718">
        <f t="shared" si="53"/>
        <v>2.2888855560080101E-3</v>
      </c>
      <c r="S135" s="718">
        <f t="shared" si="53"/>
        <v>2.2398384850473938E-3</v>
      </c>
      <c r="T135" s="718">
        <f t="shared" si="53"/>
        <v>2.1908339347176541E-3</v>
      </c>
      <c r="U135" s="718">
        <f t="shared" si="53"/>
        <v>2.1418719050187909E-3</v>
      </c>
      <c r="V135" s="718">
        <f t="shared" si="53"/>
        <v>2.1409230605536791E-3</v>
      </c>
      <c r="W135" s="718">
        <f t="shared" si="53"/>
        <v>2.1399742160885678E-3</v>
      </c>
      <c r="X135" s="718">
        <f t="shared" si="53"/>
        <v>2.1390253716234561E-3</v>
      </c>
      <c r="Y135" s="718">
        <f t="shared" si="53"/>
        <v>2.1380765271583444E-3</v>
      </c>
      <c r="Z135" s="718">
        <f t="shared" si="53"/>
        <v>2.1371276826932331E-3</v>
      </c>
      <c r="AA135" s="718">
        <f t="shared" si="53"/>
        <v>2.1361788382281213E-3</v>
      </c>
      <c r="AB135" s="718">
        <f t="shared" si="53"/>
        <v>2.1352299937630096E-3</v>
      </c>
      <c r="AC135" s="718">
        <f t="shared" si="53"/>
        <v>2.1342811492978979E-3</v>
      </c>
      <c r="AD135" s="718">
        <f t="shared" si="53"/>
        <v>2.1333323048327866E-3</v>
      </c>
      <c r="AE135" s="718">
        <f t="shared" si="53"/>
        <v>2.1323834603676748E-3</v>
      </c>
      <c r="AF135" s="718">
        <f t="shared" si="53"/>
        <v>2.1314346159025631E-3</v>
      </c>
      <c r="AG135" s="718">
        <f t="shared" si="53"/>
        <v>2.1304857714374518E-3</v>
      </c>
      <c r="AH135" s="718">
        <f t="shared" si="53"/>
        <v>2.12953692697234E-3</v>
      </c>
      <c r="AI135" s="718">
        <f t="shared" si="53"/>
        <v>2.1285880825072283E-3</v>
      </c>
      <c r="AJ135" s="718">
        <f t="shared" si="53"/>
        <v>2.1276392380421166E-3</v>
      </c>
      <c r="AK135" s="718">
        <f t="shared" si="53"/>
        <v>2.1266903935770053E-3</v>
      </c>
      <c r="AL135" s="718"/>
      <c r="AM135" s="718"/>
      <c r="AN135" s="718"/>
      <c r="AO135" s="718"/>
      <c r="AP135" s="718"/>
      <c r="AQ135" s="718"/>
      <c r="AR135" s="718"/>
      <c r="AS135" s="718"/>
      <c r="AT135" s="718"/>
      <c r="AU135" s="718"/>
      <c r="AV135" s="718"/>
      <c r="AW135" s="718"/>
      <c r="AX135" s="718"/>
      <c r="AY135" s="718"/>
      <c r="AZ135" s="718"/>
      <c r="BA135" s="718"/>
      <c r="BB135" s="718"/>
      <c r="BC135" s="718"/>
      <c r="BD135" s="718"/>
      <c r="BE135" s="718"/>
      <c r="BF135" s="718"/>
      <c r="BG135" s="718"/>
      <c r="BH135" s="718"/>
      <c r="BI135" s="718"/>
      <c r="BJ135" s="718"/>
      <c r="BK135" s="718"/>
      <c r="BL135" s="718"/>
      <c r="BM135" s="718"/>
      <c r="BN135" s="718"/>
      <c r="BO135" s="718"/>
      <c r="BP135" s="718"/>
      <c r="BQ135" s="718"/>
      <c r="BR135" s="718"/>
      <c r="BS135" s="718"/>
      <c r="BT135" s="718"/>
      <c r="BU135" s="718"/>
      <c r="BV135" s="718"/>
      <c r="BW135" s="718"/>
      <c r="BX135" s="718"/>
      <c r="BY135" s="718"/>
      <c r="BZ135" s="718"/>
      <c r="CA135" s="718"/>
      <c r="CB135" s="718"/>
      <c r="CC135" s="718"/>
      <c r="CD135" s="718"/>
      <c r="CE135" s="718"/>
      <c r="CF135" s="718"/>
      <c r="CG135" s="718"/>
      <c r="CH135" s="718"/>
      <c r="CI135" s="719"/>
      <c r="CK135" s="1296"/>
    </row>
    <row r="136" spans="2:89" x14ac:dyDescent="0.2">
      <c r="B136" s="738" t="s">
        <v>708</v>
      </c>
      <c r="C136" s="739" t="s">
        <v>495</v>
      </c>
      <c r="D136" s="740" t="s">
        <v>709</v>
      </c>
      <c r="E136" s="741" t="s">
        <v>236</v>
      </c>
      <c r="F136" s="742">
        <v>2</v>
      </c>
      <c r="G136" s="569">
        <f t="shared" si="53"/>
        <v>0</v>
      </c>
      <c r="H136" s="569">
        <f t="shared" si="53"/>
        <v>0</v>
      </c>
      <c r="I136" s="569">
        <f t="shared" si="53"/>
        <v>2.4762183685446653</v>
      </c>
      <c r="J136" s="569">
        <f t="shared" si="53"/>
        <v>2.482808901615789</v>
      </c>
      <c r="K136" s="569">
        <f t="shared" si="53"/>
        <v>2.4423360962409451</v>
      </c>
      <c r="L136" s="569">
        <f t="shared" si="53"/>
        <v>2.4236451741240406</v>
      </c>
      <c r="M136" s="718">
        <f t="shared" si="53"/>
        <v>3.0260760436022358</v>
      </c>
      <c r="N136" s="718">
        <f t="shared" si="53"/>
        <v>3.6355060496645364</v>
      </c>
      <c r="O136" s="718">
        <f t="shared" si="53"/>
        <v>3.7386590968301907</v>
      </c>
      <c r="P136" s="718">
        <f t="shared" si="53"/>
        <v>3.7467374493493759</v>
      </c>
      <c r="Q136" s="718">
        <f t="shared" si="53"/>
        <v>3.7398827369272736</v>
      </c>
      <c r="R136" s="718">
        <f t="shared" si="53"/>
        <v>3.730401718013542</v>
      </c>
      <c r="S136" s="718">
        <f t="shared" si="53"/>
        <v>3.7160199003731504</v>
      </c>
      <c r="T136" s="718">
        <f t="shared" si="53"/>
        <v>3.6983200357786745</v>
      </c>
      <c r="U136" s="718">
        <f t="shared" si="53"/>
        <v>3.6702001814645135</v>
      </c>
      <c r="V136" s="718">
        <f t="shared" si="53"/>
        <v>3.6429045667099005</v>
      </c>
      <c r="W136" s="718">
        <f t="shared" si="53"/>
        <v>3.6181842536529771</v>
      </c>
      <c r="X136" s="718">
        <f t="shared" si="53"/>
        <v>3.593740850983052</v>
      </c>
      <c r="Y136" s="718">
        <f t="shared" si="53"/>
        <v>3.5698149580141263</v>
      </c>
      <c r="Z136" s="718">
        <f t="shared" si="53"/>
        <v>3.5463617376289092</v>
      </c>
      <c r="AA136" s="718">
        <f t="shared" si="53"/>
        <v>3.5205040082567685</v>
      </c>
      <c r="AB136" s="718">
        <f t="shared" si="53"/>
        <v>3.4914080334836721</v>
      </c>
      <c r="AC136" s="718">
        <f t="shared" si="53"/>
        <v>3.4659043503612073</v>
      </c>
      <c r="AD136" s="718">
        <f t="shared" si="53"/>
        <v>3.442144247664868</v>
      </c>
      <c r="AE136" s="718">
        <f t="shared" si="53"/>
        <v>3.431719453235317</v>
      </c>
      <c r="AF136" s="718">
        <f t="shared" si="53"/>
        <v>3.4444767829882386</v>
      </c>
      <c r="AG136" s="718">
        <f t="shared" si="53"/>
        <v>3.4566121722442507</v>
      </c>
      <c r="AH136" s="718">
        <f t="shared" si="53"/>
        <v>3.4695334974801475</v>
      </c>
      <c r="AI136" s="718">
        <f t="shared" si="53"/>
        <v>3.4829637152987174</v>
      </c>
      <c r="AJ136" s="718">
        <f t="shared" si="53"/>
        <v>3.4973340180667178</v>
      </c>
      <c r="AK136" s="718">
        <f t="shared" si="53"/>
        <v>3.5117133502333693</v>
      </c>
      <c r="AL136" s="718"/>
      <c r="AM136" s="718"/>
      <c r="AN136" s="718"/>
      <c r="AO136" s="718"/>
      <c r="AP136" s="718"/>
      <c r="AQ136" s="718"/>
      <c r="AR136" s="718"/>
      <c r="AS136" s="718"/>
      <c r="AT136" s="718"/>
      <c r="AU136" s="718"/>
      <c r="AV136" s="718"/>
      <c r="AW136" s="718"/>
      <c r="AX136" s="718"/>
      <c r="AY136" s="718"/>
      <c r="AZ136" s="718"/>
      <c r="BA136" s="718"/>
      <c r="BB136" s="718"/>
      <c r="BC136" s="718"/>
      <c r="BD136" s="718"/>
      <c r="BE136" s="718"/>
      <c r="BF136" s="718"/>
      <c r="BG136" s="718"/>
      <c r="BH136" s="718"/>
      <c r="BI136" s="718"/>
      <c r="BJ136" s="718"/>
      <c r="BK136" s="718"/>
      <c r="BL136" s="718"/>
      <c r="BM136" s="718"/>
      <c r="BN136" s="718"/>
      <c r="BO136" s="718"/>
      <c r="BP136" s="718"/>
      <c r="BQ136" s="718"/>
      <c r="BR136" s="718"/>
      <c r="BS136" s="718"/>
      <c r="BT136" s="718"/>
      <c r="BU136" s="718"/>
      <c r="BV136" s="718"/>
      <c r="BW136" s="718"/>
      <c r="BX136" s="718"/>
      <c r="BY136" s="718"/>
      <c r="BZ136" s="718"/>
      <c r="CA136" s="718"/>
      <c r="CB136" s="718"/>
      <c r="CC136" s="718"/>
      <c r="CD136" s="718"/>
      <c r="CE136" s="718"/>
      <c r="CF136" s="718"/>
      <c r="CG136" s="718"/>
      <c r="CH136" s="718"/>
      <c r="CI136" s="719"/>
      <c r="CK136" s="1296"/>
    </row>
    <row r="137" spans="2:89" x14ac:dyDescent="0.2">
      <c r="B137" s="738" t="s">
        <v>710</v>
      </c>
      <c r="C137" s="739" t="s">
        <v>497</v>
      </c>
      <c r="D137" s="740" t="s">
        <v>711</v>
      </c>
      <c r="E137" s="741" t="s">
        <v>236</v>
      </c>
      <c r="F137" s="742">
        <v>2</v>
      </c>
      <c r="G137" s="569">
        <f t="shared" si="53"/>
        <v>0</v>
      </c>
      <c r="H137" s="569">
        <f t="shared" si="53"/>
        <v>0</v>
      </c>
      <c r="I137" s="569">
        <f t="shared" si="53"/>
        <v>1.5637264450483459</v>
      </c>
      <c r="J137" s="569">
        <f t="shared" si="53"/>
        <v>1.6028432343315078</v>
      </c>
      <c r="K137" s="569">
        <f t="shared" si="53"/>
        <v>1.559284038782238</v>
      </c>
      <c r="L137" s="569">
        <f t="shared" si="53"/>
        <v>1.4199510209484087</v>
      </c>
      <c r="M137" s="718">
        <f t="shared" si="53"/>
        <v>0.71927642496946653</v>
      </c>
      <c r="N137" s="718">
        <f t="shared" si="53"/>
        <v>9.7854312859102732E-2</v>
      </c>
      <c r="O137" s="718">
        <f t="shared" si="53"/>
        <v>9.4664132629566744E-2</v>
      </c>
      <c r="P137" s="718">
        <f t="shared" si="53"/>
        <v>9.1690628588200984E-2</v>
      </c>
      <c r="Q137" s="718">
        <f t="shared" si="53"/>
        <v>8.8767247657298709E-2</v>
      </c>
      <c r="R137" s="718">
        <f t="shared" si="53"/>
        <v>8.6260388768711893E-2</v>
      </c>
      <c r="S137" s="718">
        <f t="shared" si="53"/>
        <v>8.4156048037454245E-2</v>
      </c>
      <c r="T137" s="718">
        <f t="shared" si="53"/>
        <v>8.2099074869155686E-2</v>
      </c>
      <c r="U137" s="718">
        <f t="shared" si="53"/>
        <v>7.985805344862662E-2</v>
      </c>
      <c r="V137" s="718">
        <f t="shared" si="53"/>
        <v>7.7667502903952967E-2</v>
      </c>
      <c r="W137" s="718">
        <f t="shared" si="53"/>
        <v>7.561204968926194E-2</v>
      </c>
      <c r="X137" s="718">
        <f t="shared" si="53"/>
        <v>7.3602685326607409E-2</v>
      </c>
      <c r="Y137" s="718">
        <f t="shared" si="53"/>
        <v>7.1631520074641353E-2</v>
      </c>
      <c r="Z137" s="718">
        <f t="shared" si="53"/>
        <v>6.9720288804376973E-2</v>
      </c>
      <c r="AA137" s="718">
        <f t="shared" si="53"/>
        <v>6.7844891206224722E-2</v>
      </c>
      <c r="AB137" s="718">
        <f t="shared" si="53"/>
        <v>6.567269130347686E-2</v>
      </c>
      <c r="AC137" s="718">
        <f t="shared" si="53"/>
        <v>6.3218710492042862E-2</v>
      </c>
      <c r="AD137" s="718">
        <f t="shared" si="53"/>
        <v>6.0863918544248108E-2</v>
      </c>
      <c r="AE137" s="718">
        <f t="shared" si="53"/>
        <v>5.8833325382104507E-2</v>
      </c>
      <c r="AF137" s="718">
        <f t="shared" si="53"/>
        <v>5.7261717323627392E-2</v>
      </c>
      <c r="AG137" s="718">
        <f t="shared" si="53"/>
        <v>5.5710224597445235E-2</v>
      </c>
      <c r="AH137" s="718">
        <f t="shared" si="53"/>
        <v>5.4198274461988771E-2</v>
      </c>
      <c r="AI137" s="718">
        <f t="shared" si="53"/>
        <v>5.2704516496568377E-2</v>
      </c>
      <c r="AJ137" s="718">
        <f t="shared" si="53"/>
        <v>5.1234921807377765E-2</v>
      </c>
      <c r="AK137" s="718">
        <f t="shared" si="53"/>
        <v>4.9770024553112413E-2</v>
      </c>
      <c r="AL137" s="718"/>
      <c r="AM137" s="718"/>
      <c r="AN137" s="718"/>
      <c r="AO137" s="718"/>
      <c r="AP137" s="718"/>
      <c r="AQ137" s="718"/>
      <c r="AR137" s="718"/>
      <c r="AS137" s="718"/>
      <c r="AT137" s="718"/>
      <c r="AU137" s="718"/>
      <c r="AV137" s="718"/>
      <c r="AW137" s="718"/>
      <c r="AX137" s="718"/>
      <c r="AY137" s="718"/>
      <c r="AZ137" s="718"/>
      <c r="BA137" s="718"/>
      <c r="BB137" s="718"/>
      <c r="BC137" s="718"/>
      <c r="BD137" s="718"/>
      <c r="BE137" s="718"/>
      <c r="BF137" s="718"/>
      <c r="BG137" s="718"/>
      <c r="BH137" s="718"/>
      <c r="BI137" s="718"/>
      <c r="BJ137" s="718"/>
      <c r="BK137" s="718"/>
      <c r="BL137" s="718"/>
      <c r="BM137" s="718"/>
      <c r="BN137" s="718"/>
      <c r="BO137" s="718"/>
      <c r="BP137" s="718"/>
      <c r="BQ137" s="718"/>
      <c r="BR137" s="718"/>
      <c r="BS137" s="718"/>
      <c r="BT137" s="718"/>
      <c r="BU137" s="718"/>
      <c r="BV137" s="718"/>
      <c r="BW137" s="718"/>
      <c r="BX137" s="718"/>
      <c r="BY137" s="718"/>
      <c r="BZ137" s="718"/>
      <c r="CA137" s="718"/>
      <c r="CB137" s="718"/>
      <c r="CC137" s="718"/>
      <c r="CD137" s="718"/>
      <c r="CE137" s="718"/>
      <c r="CF137" s="718"/>
      <c r="CG137" s="718"/>
      <c r="CH137" s="718"/>
      <c r="CI137" s="719"/>
      <c r="CK137" s="1296"/>
    </row>
    <row r="138" spans="2:89" ht="28.5" x14ac:dyDescent="0.2">
      <c r="B138" s="738" t="s">
        <v>712</v>
      </c>
      <c r="C138" s="739" t="s">
        <v>499</v>
      </c>
      <c r="D138" s="740" t="s">
        <v>498</v>
      </c>
      <c r="E138" s="741" t="s">
        <v>375</v>
      </c>
      <c r="F138" s="742">
        <v>1</v>
      </c>
      <c r="G138" s="743">
        <f t="shared" ref="G138:AK138" si="54">G48</f>
        <v>0</v>
      </c>
      <c r="H138" s="743">
        <f t="shared" si="54"/>
        <v>0</v>
      </c>
      <c r="I138" s="743">
        <f t="shared" si="54"/>
        <v>0</v>
      </c>
      <c r="J138" s="743">
        <f t="shared" si="54"/>
        <v>8.3639040194991346E-4</v>
      </c>
      <c r="K138" s="743">
        <f t="shared" si="54"/>
        <v>8.8613716608645639E-4</v>
      </c>
      <c r="L138" s="743">
        <f t="shared" si="54"/>
        <v>9.7723618464091565E-4</v>
      </c>
      <c r="M138" s="744">
        <f t="shared" si="54"/>
        <v>1.0503477585324552E-3</v>
      </c>
      <c r="N138" s="744">
        <f t="shared" si="54"/>
        <v>1.1262118940746151E-3</v>
      </c>
      <c r="O138" s="744">
        <f t="shared" si="54"/>
        <v>1.1741177655281126E-3</v>
      </c>
      <c r="P138" s="744">
        <f t="shared" si="54"/>
        <v>1.2502026428506056E-3</v>
      </c>
      <c r="Q138" s="744">
        <f t="shared" si="54"/>
        <v>1.3247096710390473E-3</v>
      </c>
      <c r="R138" s="744">
        <f t="shared" si="54"/>
        <v>1.3705890401614859E-3</v>
      </c>
      <c r="S138" s="744">
        <f t="shared" si="54"/>
        <v>1.4459415803518205E-3</v>
      </c>
      <c r="T138" s="744">
        <f t="shared" si="54"/>
        <v>1.5207233037298588E-3</v>
      </c>
      <c r="U138" s="744">
        <f t="shared" si="54"/>
        <v>1.5946223283010051E-3</v>
      </c>
      <c r="V138" s="744">
        <f t="shared" si="54"/>
        <v>1.6401745237211375E-3</v>
      </c>
      <c r="W138" s="744">
        <f t="shared" si="54"/>
        <v>1.7132966814480898E-3</v>
      </c>
      <c r="X138" s="744">
        <f t="shared" si="54"/>
        <v>1.7862116675929969E-3</v>
      </c>
      <c r="Y138" s="744">
        <f t="shared" si="54"/>
        <v>1.8318260192945856E-3</v>
      </c>
      <c r="Z138" s="744">
        <f t="shared" si="54"/>
        <v>1.9044591417153483E-3</v>
      </c>
      <c r="AA138" s="744">
        <f t="shared" si="54"/>
        <v>1.9752207033829593E-3</v>
      </c>
      <c r="AB138" s="744">
        <f t="shared" si="54"/>
        <v>2.0161610991199395E-3</v>
      </c>
      <c r="AC138" s="744">
        <f t="shared" si="54"/>
        <v>2.0873382809725627E-3</v>
      </c>
      <c r="AD138" s="744">
        <f t="shared" si="54"/>
        <v>2.1485237311556138E-3</v>
      </c>
      <c r="AE138" s="744">
        <f t="shared" si="54"/>
        <v>2.209622321597444E-3</v>
      </c>
      <c r="AF138" s="744">
        <f t="shared" si="54"/>
        <v>2.2705863718425917E-3</v>
      </c>
      <c r="AG138" s="744">
        <f t="shared" si="54"/>
        <v>2.3308575799294647E-3</v>
      </c>
      <c r="AH138" s="744">
        <f t="shared" si="54"/>
        <v>2.3911977388158235E-3</v>
      </c>
      <c r="AI138" s="744">
        <f t="shared" si="54"/>
        <v>2.4515432875562289E-3</v>
      </c>
      <c r="AJ138" s="744">
        <f t="shared" si="54"/>
        <v>2.5120428912037106E-3</v>
      </c>
      <c r="AK138" s="744">
        <f t="shared" si="54"/>
        <v>2.5723145268354572E-3</v>
      </c>
      <c r="AL138" s="744"/>
      <c r="AM138" s="744"/>
      <c r="AN138" s="744"/>
      <c r="AO138" s="744"/>
      <c r="AP138" s="744"/>
      <c r="AQ138" s="744"/>
      <c r="AR138" s="744"/>
      <c r="AS138" s="744"/>
      <c r="AT138" s="744"/>
      <c r="AU138" s="744"/>
      <c r="AV138" s="744"/>
      <c r="AW138" s="744"/>
      <c r="AX138" s="744"/>
      <c r="AY138" s="744"/>
      <c r="AZ138" s="744"/>
      <c r="BA138" s="744"/>
      <c r="BB138" s="744"/>
      <c r="BC138" s="744"/>
      <c r="BD138" s="744"/>
      <c r="BE138" s="744"/>
      <c r="BF138" s="744"/>
      <c r="BG138" s="744"/>
      <c r="BH138" s="744"/>
      <c r="BI138" s="744"/>
      <c r="BJ138" s="744"/>
      <c r="BK138" s="744"/>
      <c r="BL138" s="744"/>
      <c r="BM138" s="744"/>
      <c r="BN138" s="744"/>
      <c r="BO138" s="744"/>
      <c r="BP138" s="744"/>
      <c r="BQ138" s="744"/>
      <c r="BR138" s="744"/>
      <c r="BS138" s="744"/>
      <c r="BT138" s="744"/>
      <c r="BU138" s="744"/>
      <c r="BV138" s="744"/>
      <c r="BW138" s="744"/>
      <c r="BX138" s="744"/>
      <c r="BY138" s="744"/>
      <c r="BZ138" s="744"/>
      <c r="CA138" s="744"/>
      <c r="CB138" s="744"/>
      <c r="CC138" s="744"/>
      <c r="CD138" s="744"/>
      <c r="CE138" s="744"/>
      <c r="CF138" s="744"/>
      <c r="CG138" s="744"/>
      <c r="CH138" s="744"/>
      <c r="CI138" s="745"/>
      <c r="CK138" s="1296"/>
    </row>
    <row r="139" spans="2:89" ht="28.5" x14ac:dyDescent="0.2">
      <c r="B139" s="738" t="s">
        <v>713</v>
      </c>
      <c r="C139" s="739" t="s">
        <v>501</v>
      </c>
      <c r="D139" s="740" t="s">
        <v>714</v>
      </c>
      <c r="E139" s="741" t="s">
        <v>236</v>
      </c>
      <c r="F139" s="742">
        <v>2</v>
      </c>
      <c r="G139" s="569">
        <f>G138*(G133+SUM(G135:G137)-SUM(G145:G148))</f>
        <v>0</v>
      </c>
      <c r="H139" s="569">
        <f t="shared" ref="H139" si="55">H138*(SUM(H133:H137)-SUM(H145:H148))</f>
        <v>0</v>
      </c>
      <c r="I139" s="569">
        <f t="shared" ref="I139" si="56">I138*(SUM(I133:I137)-SUM(I145:I148))</f>
        <v>0</v>
      </c>
      <c r="J139" s="569">
        <f t="shared" ref="J139:AK139" si="57">J138*(SUM(J133:J137)-SUM(J145:J148))</f>
        <v>6.7757455418755632E-3</v>
      </c>
      <c r="K139" s="569">
        <f t="shared" si="57"/>
        <v>7.2770723691623082E-3</v>
      </c>
      <c r="L139" s="569">
        <f t="shared" si="57"/>
        <v>8.0683498014161494E-3</v>
      </c>
      <c r="M139" s="569">
        <f t="shared" si="57"/>
        <v>8.7697374740390768E-3</v>
      </c>
      <c r="N139" s="569">
        <f t="shared" si="57"/>
        <v>9.443136531995135E-3</v>
      </c>
      <c r="O139" s="569">
        <f t="shared" si="57"/>
        <v>9.9527100145343998E-3</v>
      </c>
      <c r="P139" s="569">
        <f t="shared" si="57"/>
        <v>1.0594133516338566E-2</v>
      </c>
      <c r="Q139" s="569">
        <f t="shared" si="57"/>
        <v>1.1202304626222247E-2</v>
      </c>
      <c r="R139" s="569">
        <f t="shared" si="57"/>
        <v>1.1551446114897529E-2</v>
      </c>
      <c r="S139" s="569">
        <f t="shared" si="57"/>
        <v>1.2139250179109932E-2</v>
      </c>
      <c r="T139" s="569">
        <f t="shared" si="57"/>
        <v>1.868031367844137E-2</v>
      </c>
      <c r="U139" s="569">
        <f t="shared" si="57"/>
        <v>1.9529669138725659E-2</v>
      </c>
      <c r="V139" s="569">
        <f t="shared" si="57"/>
        <v>2.0028767005168188E-2</v>
      </c>
      <c r="W139" s="569">
        <f t="shared" si="57"/>
        <v>2.0866648247089479E-2</v>
      </c>
      <c r="X139" s="569">
        <f t="shared" si="57"/>
        <v>2.1697719987799798E-2</v>
      </c>
      <c r="Y139" s="569">
        <f t="shared" si="57"/>
        <v>2.2194151320189301E-2</v>
      </c>
      <c r="Z139" s="569">
        <f t="shared" si="57"/>
        <v>2.3043894144265463E-2</v>
      </c>
      <c r="AA139" s="569">
        <f t="shared" si="57"/>
        <v>2.3863841573780242E-2</v>
      </c>
      <c r="AB139" s="569">
        <f t="shared" si="57"/>
        <v>2.4314128587343505E-2</v>
      </c>
      <c r="AC139" s="569">
        <f t="shared" si="57"/>
        <v>2.5133289551989291E-2</v>
      </c>
      <c r="AD139" s="569">
        <f t="shared" si="57"/>
        <v>2.5833371971600339E-2</v>
      </c>
      <c r="AE139" s="569">
        <f t="shared" si="57"/>
        <v>2.6560279293689523E-2</v>
      </c>
      <c r="AF139" s="569">
        <f t="shared" si="57"/>
        <v>2.7338572242162868E-2</v>
      </c>
      <c r="AG139" s="569">
        <f t="shared" si="57"/>
        <v>2.8109311416340238E-2</v>
      </c>
      <c r="AH139" s="569">
        <f t="shared" si="57"/>
        <v>2.8884945220122683E-2</v>
      </c>
      <c r="AI139" s="569">
        <f t="shared" si="57"/>
        <v>2.9664114833161361E-2</v>
      </c>
      <c r="AJ139" s="569">
        <f t="shared" si="57"/>
        <v>3.0449838715147108E-2</v>
      </c>
      <c r="AK139" s="569">
        <f t="shared" si="57"/>
        <v>3.1235216704075308E-2</v>
      </c>
      <c r="AL139" s="569"/>
      <c r="AM139" s="569"/>
      <c r="AN139" s="569"/>
      <c r="AO139" s="569"/>
      <c r="AP139" s="569"/>
      <c r="AQ139" s="569"/>
      <c r="AR139" s="569"/>
      <c r="AS139" s="569"/>
      <c r="AT139" s="569"/>
      <c r="AU139" s="569"/>
      <c r="AV139" s="569"/>
      <c r="AW139" s="569"/>
      <c r="AX139" s="569"/>
      <c r="AY139" s="569"/>
      <c r="AZ139" s="569"/>
      <c r="BA139" s="569"/>
      <c r="BB139" s="569"/>
      <c r="BC139" s="569"/>
      <c r="BD139" s="569"/>
      <c r="BE139" s="569"/>
      <c r="BF139" s="569"/>
      <c r="BG139" s="569"/>
      <c r="BH139" s="569"/>
      <c r="BI139" s="569"/>
      <c r="BJ139" s="569"/>
      <c r="BK139" s="569"/>
      <c r="BL139" s="569"/>
      <c r="BM139" s="569"/>
      <c r="BN139" s="569"/>
      <c r="BO139" s="569"/>
      <c r="BP139" s="569"/>
      <c r="BQ139" s="569"/>
      <c r="BR139" s="569"/>
      <c r="BS139" s="569"/>
      <c r="BT139" s="569"/>
      <c r="BU139" s="569"/>
      <c r="BV139" s="569"/>
      <c r="BW139" s="569"/>
      <c r="BX139" s="569"/>
      <c r="BY139" s="569"/>
      <c r="BZ139" s="569"/>
      <c r="CA139" s="569"/>
      <c r="CB139" s="569"/>
      <c r="CC139" s="569"/>
      <c r="CD139" s="569"/>
      <c r="CE139" s="569"/>
      <c r="CF139" s="569"/>
      <c r="CG139" s="569"/>
      <c r="CH139" s="569"/>
      <c r="CI139" s="569"/>
      <c r="CK139" s="1296"/>
    </row>
    <row r="140" spans="2:89" ht="28.5" x14ac:dyDescent="0.2">
      <c r="B140" s="738" t="s">
        <v>715</v>
      </c>
      <c r="C140" s="746" t="s">
        <v>305</v>
      </c>
      <c r="D140" s="747" t="s">
        <v>716</v>
      </c>
      <c r="E140" s="748" t="s">
        <v>239</v>
      </c>
      <c r="F140" s="749">
        <v>1</v>
      </c>
      <c r="G140" s="750" t="e">
        <f>(((G136-G147))*1000000)/((G169)*1000)</f>
        <v>#DIV/0!</v>
      </c>
      <c r="H140" s="750" t="e">
        <f t="shared" ref="H140:AK141" si="58">(((H136-H147))*1000000)/((H169)*1000)</f>
        <v>#DIV/0!</v>
      </c>
      <c r="I140" s="750">
        <f t="shared" si="58"/>
        <v>143.77327514560517</v>
      </c>
      <c r="J140" s="750">
        <f t="shared" si="58"/>
        <v>139.66633021656634</v>
      </c>
      <c r="K140" s="750">
        <f t="shared" si="58"/>
        <v>136.34023996630717</v>
      </c>
      <c r="L140" s="750">
        <f t="shared" si="58"/>
        <v>130.41557735415631</v>
      </c>
      <c r="M140" s="751">
        <f t="shared" si="58"/>
        <v>130.0665469929958</v>
      </c>
      <c r="N140" s="751">
        <f t="shared" si="58"/>
        <v>130.20322258912171</v>
      </c>
      <c r="O140" s="751">
        <f t="shared" si="58"/>
        <v>131.71871276672772</v>
      </c>
      <c r="P140" s="751">
        <f t="shared" si="58"/>
        <v>130.13236294715264</v>
      </c>
      <c r="Q140" s="751">
        <f t="shared" si="58"/>
        <v>128.5305796497517</v>
      </c>
      <c r="R140" s="751">
        <f t="shared" si="58"/>
        <v>127.12400376150042</v>
      </c>
      <c r="S140" s="751">
        <f t="shared" si="58"/>
        <v>125.83986486928214</v>
      </c>
      <c r="T140" s="751">
        <f t="shared" si="58"/>
        <v>124.54226679143657</v>
      </c>
      <c r="U140" s="751">
        <f t="shared" si="58"/>
        <v>122.90499358944524</v>
      </c>
      <c r="V140" s="751">
        <f t="shared" si="58"/>
        <v>121.29577504596236</v>
      </c>
      <c r="W140" s="751">
        <f t="shared" si="58"/>
        <v>119.76955230178426</v>
      </c>
      <c r="X140" s="751">
        <f t="shared" si="58"/>
        <v>118.29024936955705</v>
      </c>
      <c r="Y140" s="751">
        <f t="shared" si="58"/>
        <v>116.82455889235015</v>
      </c>
      <c r="Z140" s="751">
        <f t="shared" si="58"/>
        <v>115.40005701747924</v>
      </c>
      <c r="AA140" s="751">
        <f t="shared" si="58"/>
        <v>113.97707210863321</v>
      </c>
      <c r="AB140" s="751">
        <f t="shared" si="58"/>
        <v>112.48457913231346</v>
      </c>
      <c r="AC140" s="751">
        <f t="shared" si="58"/>
        <v>111.11198227498126</v>
      </c>
      <c r="AD140" s="751">
        <f t="shared" si="58"/>
        <v>109.8008403032085</v>
      </c>
      <c r="AE140" s="751">
        <f t="shared" si="58"/>
        <v>108.93572236199093</v>
      </c>
      <c r="AF140" s="751">
        <f t="shared" si="58"/>
        <v>108.8264326916879</v>
      </c>
      <c r="AG140" s="751">
        <f t="shared" si="58"/>
        <v>108.71440635953083</v>
      </c>
      <c r="AH140" s="751">
        <f t="shared" si="58"/>
        <v>108.63738250353988</v>
      </c>
      <c r="AI140" s="751">
        <f t="shared" si="58"/>
        <v>108.54635676298027</v>
      </c>
      <c r="AJ140" s="751">
        <f t="shared" si="58"/>
        <v>108.45540464245856</v>
      </c>
      <c r="AK140" s="751">
        <f t="shared" si="58"/>
        <v>108.34188971623088</v>
      </c>
      <c r="AL140" s="751"/>
      <c r="AM140" s="751"/>
      <c r="AN140" s="751"/>
      <c r="AO140" s="751"/>
      <c r="AP140" s="751"/>
      <c r="AQ140" s="751"/>
      <c r="AR140" s="751"/>
      <c r="AS140" s="751"/>
      <c r="AT140" s="751"/>
      <c r="AU140" s="751"/>
      <c r="AV140" s="751"/>
      <c r="AW140" s="751"/>
      <c r="AX140" s="751"/>
      <c r="AY140" s="751"/>
      <c r="AZ140" s="751"/>
      <c r="BA140" s="751"/>
      <c r="BB140" s="751"/>
      <c r="BC140" s="751"/>
      <c r="BD140" s="751"/>
      <c r="BE140" s="751"/>
      <c r="BF140" s="751"/>
      <c r="BG140" s="751"/>
      <c r="BH140" s="751"/>
      <c r="BI140" s="751"/>
      <c r="BJ140" s="751"/>
      <c r="BK140" s="751"/>
      <c r="BL140" s="751"/>
      <c r="BM140" s="751"/>
      <c r="BN140" s="751"/>
      <c r="BO140" s="751"/>
      <c r="BP140" s="751"/>
      <c r="BQ140" s="751"/>
      <c r="BR140" s="751"/>
      <c r="BS140" s="751"/>
      <c r="BT140" s="751"/>
      <c r="BU140" s="751"/>
      <c r="BV140" s="751"/>
      <c r="BW140" s="751"/>
      <c r="BX140" s="751"/>
      <c r="BY140" s="751"/>
      <c r="BZ140" s="751"/>
      <c r="CA140" s="751"/>
      <c r="CB140" s="751"/>
      <c r="CC140" s="751"/>
      <c r="CD140" s="751"/>
      <c r="CE140" s="751"/>
      <c r="CF140" s="751"/>
      <c r="CG140" s="751"/>
      <c r="CH140" s="751"/>
      <c r="CI140" s="752"/>
      <c r="CK140" s="1296"/>
    </row>
    <row r="141" spans="2:89" ht="28.5" x14ac:dyDescent="0.2">
      <c r="B141" s="738" t="s">
        <v>717</v>
      </c>
      <c r="C141" s="746" t="s">
        <v>324</v>
      </c>
      <c r="D141" s="747" t="s">
        <v>718</v>
      </c>
      <c r="E141" s="748" t="s">
        <v>239</v>
      </c>
      <c r="F141" s="749">
        <v>1</v>
      </c>
      <c r="G141" s="750" t="e">
        <f>(((G137-G148))*1000000)/((G170)*1000)</f>
        <v>#DIV/0!</v>
      </c>
      <c r="H141" s="750" t="e">
        <f t="shared" si="58"/>
        <v>#DIV/0!</v>
      </c>
      <c r="I141" s="750">
        <f t="shared" si="58"/>
        <v>153.01222380103448</v>
      </c>
      <c r="J141" s="750">
        <f t="shared" si="58"/>
        <v>159.20959935116429</v>
      </c>
      <c r="K141" s="750">
        <f t="shared" si="58"/>
        <v>157.15062561581374</v>
      </c>
      <c r="L141" s="750">
        <f t="shared" si="58"/>
        <v>154.75206347357559</v>
      </c>
      <c r="M141" s="751">
        <f t="shared" si="58"/>
        <v>151.85006683426147</v>
      </c>
      <c r="N141" s="751">
        <f t="shared" si="58"/>
        <v>150.46494480549651</v>
      </c>
      <c r="O141" s="751">
        <f t="shared" si="58"/>
        <v>148.7359558388992</v>
      </c>
      <c r="P141" s="751">
        <f t="shared" si="58"/>
        <v>147.00794701771835</v>
      </c>
      <c r="Q141" s="751">
        <f t="shared" si="58"/>
        <v>145.2649178772995</v>
      </c>
      <c r="R141" s="751">
        <f t="shared" si="58"/>
        <v>143.72990791492327</v>
      </c>
      <c r="S141" s="751">
        <f t="shared" si="58"/>
        <v>142.39773165817158</v>
      </c>
      <c r="T141" s="751">
        <f t="shared" si="58"/>
        <v>141.06987025346771</v>
      </c>
      <c r="U141" s="751">
        <f t="shared" si="58"/>
        <v>139.33863114772294</v>
      </c>
      <c r="V141" s="751">
        <f t="shared" si="58"/>
        <v>137.60803384667665</v>
      </c>
      <c r="W141" s="751">
        <f t="shared" si="58"/>
        <v>136.03420070882549</v>
      </c>
      <c r="X141" s="751">
        <f t="shared" si="58"/>
        <v>134.46110338546248</v>
      </c>
      <c r="Y141" s="751">
        <f t="shared" si="58"/>
        <v>132.87571549879027</v>
      </c>
      <c r="Z141" s="751">
        <f t="shared" si="58"/>
        <v>131.32033961480454</v>
      </c>
      <c r="AA141" s="751">
        <f t="shared" si="58"/>
        <v>129.75162681431425</v>
      </c>
      <c r="AB141" s="751">
        <f t="shared" si="58"/>
        <v>128.19221324603484</v>
      </c>
      <c r="AC141" s="751">
        <f t="shared" si="58"/>
        <v>126.63603812619591</v>
      </c>
      <c r="AD141" s="751">
        <f t="shared" si="58"/>
        <v>125.1474514036077</v>
      </c>
      <c r="AE141" s="751">
        <f t="shared" si="58"/>
        <v>124.2171930038602</v>
      </c>
      <c r="AF141" s="751">
        <f t="shared" si="58"/>
        <v>124.19051057454945</v>
      </c>
      <c r="AG141" s="751">
        <f t="shared" si="58"/>
        <v>124.15251680648319</v>
      </c>
      <c r="AH141" s="751">
        <f t="shared" si="58"/>
        <v>124.14920221168055</v>
      </c>
      <c r="AI141" s="751">
        <f t="shared" si="58"/>
        <v>124.13427858283158</v>
      </c>
      <c r="AJ141" s="751">
        <f t="shared" si="58"/>
        <v>124.12283932675861</v>
      </c>
      <c r="AK141" s="751">
        <f t="shared" si="58"/>
        <v>124.06757081527621</v>
      </c>
      <c r="AL141" s="751"/>
      <c r="AM141" s="751"/>
      <c r="AN141" s="751"/>
      <c r="AO141" s="751"/>
      <c r="AP141" s="751"/>
      <c r="AQ141" s="751"/>
      <c r="AR141" s="751"/>
      <c r="AS141" s="751"/>
      <c r="AT141" s="751"/>
      <c r="AU141" s="751"/>
      <c r="AV141" s="751"/>
      <c r="AW141" s="751"/>
      <c r="AX141" s="751"/>
      <c r="AY141" s="751"/>
      <c r="AZ141" s="751"/>
      <c r="BA141" s="751"/>
      <c r="BB141" s="751"/>
      <c r="BC141" s="751"/>
      <c r="BD141" s="751"/>
      <c r="BE141" s="751"/>
      <c r="BF141" s="751"/>
      <c r="BG141" s="751"/>
      <c r="BH141" s="751"/>
      <c r="BI141" s="751"/>
      <c r="BJ141" s="751"/>
      <c r="BK141" s="751"/>
      <c r="BL141" s="751"/>
      <c r="BM141" s="751"/>
      <c r="BN141" s="751"/>
      <c r="BO141" s="751"/>
      <c r="BP141" s="751"/>
      <c r="BQ141" s="751"/>
      <c r="BR141" s="751"/>
      <c r="BS141" s="751"/>
      <c r="BT141" s="751"/>
      <c r="BU141" s="751"/>
      <c r="BV141" s="751"/>
      <c r="BW141" s="751"/>
      <c r="BX141" s="751"/>
      <c r="BY141" s="751"/>
      <c r="BZ141" s="751"/>
      <c r="CA141" s="751"/>
      <c r="CB141" s="751"/>
      <c r="CC141" s="751"/>
      <c r="CD141" s="751"/>
      <c r="CE141" s="751"/>
      <c r="CF141" s="751"/>
      <c r="CG141" s="751"/>
      <c r="CH141" s="751"/>
      <c r="CI141" s="752"/>
      <c r="CK141" s="1296"/>
    </row>
    <row r="142" spans="2:89" ht="28.5" x14ac:dyDescent="0.2">
      <c r="B142" s="738" t="s">
        <v>719</v>
      </c>
      <c r="C142" s="746" t="s">
        <v>238</v>
      </c>
      <c r="D142" s="747" t="s">
        <v>720</v>
      </c>
      <c r="E142" s="748" t="s">
        <v>239</v>
      </c>
      <c r="F142" s="749">
        <v>1</v>
      </c>
      <c r="G142" s="750" t="e">
        <f>(((G136-G147)+(G137-G148))*1000000)/((G169+G170)*1000)</f>
        <v>#DIV/0!</v>
      </c>
      <c r="H142" s="750" t="e">
        <f t="shared" ref="H142:AK142" si="59">(((H136-H147)+(H137-H148))*1000000)/((H169+H170)*1000)</f>
        <v>#DIV/0!</v>
      </c>
      <c r="I142" s="750">
        <f t="shared" si="59"/>
        <v>147.18851140604153</v>
      </c>
      <c r="J142" s="750">
        <f t="shared" si="59"/>
        <v>146.68971047634321</v>
      </c>
      <c r="K142" s="750">
        <f t="shared" si="59"/>
        <v>143.71574028226058</v>
      </c>
      <c r="L142" s="750">
        <f t="shared" si="59"/>
        <v>138.42261327044469</v>
      </c>
      <c r="M142" s="751">
        <f t="shared" si="59"/>
        <v>133.73505221543834</v>
      </c>
      <c r="N142" s="751">
        <f t="shared" si="59"/>
        <v>130.66680686675585</v>
      </c>
      <c r="O142" s="751">
        <f t="shared" si="59"/>
        <v>132.09374683575095</v>
      </c>
      <c r="P142" s="751">
        <f t="shared" si="59"/>
        <v>130.49198456094209</v>
      </c>
      <c r="Q142" s="751">
        <f t="shared" si="59"/>
        <v>128.87658330161358</v>
      </c>
      <c r="R142" s="751">
        <f t="shared" si="59"/>
        <v>127.4585840887772</v>
      </c>
      <c r="S142" s="751">
        <f t="shared" si="59"/>
        <v>126.16645994387187</v>
      </c>
      <c r="T142" s="751">
        <f t="shared" si="59"/>
        <v>124.86162742722256</v>
      </c>
      <c r="U142" s="751">
        <f t="shared" si="59"/>
        <v>123.21608571765964</v>
      </c>
      <c r="V142" s="751">
        <f t="shared" si="59"/>
        <v>121.5982596051108</v>
      </c>
      <c r="W142" s="751">
        <f t="shared" si="59"/>
        <v>120.06494731008975</v>
      </c>
      <c r="X142" s="751">
        <f t="shared" si="59"/>
        <v>118.57795459773055</v>
      </c>
      <c r="Y142" s="751">
        <f t="shared" si="59"/>
        <v>117.10427533883177</v>
      </c>
      <c r="Z142" s="751">
        <f t="shared" si="59"/>
        <v>115.67183220115109</v>
      </c>
      <c r="AA142" s="751">
        <f t="shared" si="59"/>
        <v>114.24102299874171</v>
      </c>
      <c r="AB142" s="751">
        <f t="shared" si="59"/>
        <v>112.74094428740364</v>
      </c>
      <c r="AC142" s="751">
        <f t="shared" si="59"/>
        <v>111.35778253824654</v>
      </c>
      <c r="AD142" s="751">
        <f t="shared" si="59"/>
        <v>110.03649578982971</v>
      </c>
      <c r="AE142" s="751">
        <f t="shared" si="59"/>
        <v>109.16323793933277</v>
      </c>
      <c r="AF142" s="751">
        <f t="shared" si="59"/>
        <v>109.04815902049893</v>
      </c>
      <c r="AG142" s="751">
        <f t="shared" si="59"/>
        <v>108.93033402485669</v>
      </c>
      <c r="AH142" s="751">
        <f t="shared" si="59"/>
        <v>108.84760618652544</v>
      </c>
      <c r="AI142" s="751">
        <f t="shared" si="59"/>
        <v>108.75092961986883</v>
      </c>
      <c r="AJ142" s="751">
        <f t="shared" si="59"/>
        <v>108.65439378580558</v>
      </c>
      <c r="AK142" s="751">
        <f t="shared" si="59"/>
        <v>108.53506969079325</v>
      </c>
      <c r="AL142" s="751"/>
      <c r="AM142" s="751"/>
      <c r="AN142" s="751"/>
      <c r="AO142" s="751"/>
      <c r="AP142" s="751"/>
      <c r="AQ142" s="751"/>
      <c r="AR142" s="751"/>
      <c r="AS142" s="751"/>
      <c r="AT142" s="751"/>
      <c r="AU142" s="751"/>
      <c r="AV142" s="751"/>
      <c r="AW142" s="751"/>
      <c r="AX142" s="751"/>
      <c r="AY142" s="751"/>
      <c r="AZ142" s="751"/>
      <c r="BA142" s="751"/>
      <c r="BB142" s="751"/>
      <c r="BC142" s="751"/>
      <c r="BD142" s="751"/>
      <c r="BE142" s="751"/>
      <c r="BF142" s="751"/>
      <c r="BG142" s="751"/>
      <c r="BH142" s="751"/>
      <c r="BI142" s="751"/>
      <c r="BJ142" s="751"/>
      <c r="BK142" s="751"/>
      <c r="BL142" s="751"/>
      <c r="BM142" s="751"/>
      <c r="BN142" s="751"/>
      <c r="BO142" s="751"/>
      <c r="BP142" s="751"/>
      <c r="BQ142" s="751"/>
      <c r="BR142" s="751"/>
      <c r="BS142" s="751"/>
      <c r="BT142" s="751"/>
      <c r="BU142" s="751"/>
      <c r="BV142" s="751"/>
      <c r="BW142" s="751"/>
      <c r="BX142" s="751"/>
      <c r="BY142" s="751"/>
      <c r="BZ142" s="751"/>
      <c r="CA142" s="751"/>
      <c r="CB142" s="751"/>
      <c r="CC142" s="751"/>
      <c r="CD142" s="751"/>
      <c r="CE142" s="751"/>
      <c r="CF142" s="751"/>
      <c r="CG142" s="751"/>
      <c r="CH142" s="751"/>
      <c r="CI142" s="752"/>
      <c r="CK142" s="1296"/>
    </row>
    <row r="143" spans="2:89" x14ac:dyDescent="0.2">
      <c r="B143" s="738" t="s">
        <v>721</v>
      </c>
      <c r="C143" s="746" t="s">
        <v>510</v>
      </c>
      <c r="D143" s="747" t="s">
        <v>722</v>
      </c>
      <c r="E143" s="748" t="s">
        <v>236</v>
      </c>
      <c r="F143" s="749">
        <v>2</v>
      </c>
      <c r="G143" s="569">
        <f t="shared" ref="G143:AK146" si="60">G53+G111</f>
        <v>0</v>
      </c>
      <c r="H143" s="569">
        <f t="shared" si="60"/>
        <v>0</v>
      </c>
      <c r="I143" s="569">
        <f t="shared" si="60"/>
        <v>0.12522906351860397</v>
      </c>
      <c r="J143" s="569">
        <f t="shared" si="60"/>
        <v>0.1245522987868988</v>
      </c>
      <c r="K143" s="569">
        <f t="shared" si="60"/>
        <v>0.1245263084426773</v>
      </c>
      <c r="L143" s="569">
        <f t="shared" si="60"/>
        <v>0.12452459964281626</v>
      </c>
      <c r="M143" s="718">
        <f t="shared" si="60"/>
        <v>0.12438819586099592</v>
      </c>
      <c r="N143" s="718">
        <f t="shared" si="60"/>
        <v>0.12408144069516208</v>
      </c>
      <c r="O143" s="718">
        <f t="shared" si="60"/>
        <v>0.12396869364166695</v>
      </c>
      <c r="P143" s="718">
        <f t="shared" si="60"/>
        <v>0.12386664688082405</v>
      </c>
      <c r="Q143" s="718">
        <f t="shared" si="60"/>
        <v>0.12378006669418888</v>
      </c>
      <c r="R143" s="718">
        <f t="shared" si="60"/>
        <v>0.12370355057456653</v>
      </c>
      <c r="S143" s="718">
        <f t="shared" si="60"/>
        <v>0.12363879862827151</v>
      </c>
      <c r="T143" s="718">
        <f t="shared" si="60"/>
        <v>0.12357853810764791</v>
      </c>
      <c r="U143" s="718">
        <f t="shared" si="60"/>
        <v>0.12351939301687323</v>
      </c>
      <c r="V143" s="718">
        <f t="shared" si="60"/>
        <v>0.12346056562203823</v>
      </c>
      <c r="W143" s="718">
        <f t="shared" si="60"/>
        <v>0.12340263812022172</v>
      </c>
      <c r="X143" s="718">
        <f t="shared" si="60"/>
        <v>0.12334643304223804</v>
      </c>
      <c r="Y143" s="718">
        <f t="shared" si="60"/>
        <v>0.12329195172528805</v>
      </c>
      <c r="Z143" s="718">
        <f t="shared" si="60"/>
        <v>0.12323785551433501</v>
      </c>
      <c r="AA143" s="718">
        <f t="shared" si="60"/>
        <v>0.12318438863572233</v>
      </c>
      <c r="AB143" s="718">
        <f t="shared" si="60"/>
        <v>0.12313145656447876</v>
      </c>
      <c r="AC143" s="718">
        <f t="shared" si="60"/>
        <v>0.12307904103217056</v>
      </c>
      <c r="AD143" s="718">
        <f t="shared" si="60"/>
        <v>0.1230275616832858</v>
      </c>
      <c r="AE143" s="718">
        <f t="shared" si="60"/>
        <v>0.12297716965043727</v>
      </c>
      <c r="AF143" s="718">
        <f t="shared" si="60"/>
        <v>0.12292774380770415</v>
      </c>
      <c r="AG143" s="718">
        <f t="shared" si="60"/>
        <v>0.12287890956345109</v>
      </c>
      <c r="AH143" s="718">
        <f t="shared" si="60"/>
        <v>0.12283068460813443</v>
      </c>
      <c r="AI143" s="718">
        <f t="shared" si="60"/>
        <v>0.12278273743095197</v>
      </c>
      <c r="AJ143" s="718">
        <f t="shared" si="60"/>
        <v>0.12273483913711759</v>
      </c>
      <c r="AK143" s="718">
        <f t="shared" si="60"/>
        <v>0.12268706293914629</v>
      </c>
      <c r="AL143" s="718"/>
      <c r="AM143" s="718"/>
      <c r="AN143" s="718"/>
      <c r="AO143" s="718"/>
      <c r="AP143" s="718"/>
      <c r="AQ143" s="718"/>
      <c r="AR143" s="718"/>
      <c r="AS143" s="718"/>
      <c r="AT143" s="718"/>
      <c r="AU143" s="718"/>
      <c r="AV143" s="718"/>
      <c r="AW143" s="718"/>
      <c r="AX143" s="718"/>
      <c r="AY143" s="718"/>
      <c r="AZ143" s="718"/>
      <c r="BA143" s="718"/>
      <c r="BB143" s="718"/>
      <c r="BC143" s="718"/>
      <c r="BD143" s="718"/>
      <c r="BE143" s="718"/>
      <c r="BF143" s="718"/>
      <c r="BG143" s="718"/>
      <c r="BH143" s="718"/>
      <c r="BI143" s="718"/>
      <c r="BJ143" s="718"/>
      <c r="BK143" s="718"/>
      <c r="BL143" s="718"/>
      <c r="BM143" s="718"/>
      <c r="BN143" s="718"/>
      <c r="BO143" s="718"/>
      <c r="BP143" s="718"/>
      <c r="BQ143" s="718"/>
      <c r="BR143" s="718"/>
      <c r="BS143" s="718"/>
      <c r="BT143" s="718"/>
      <c r="BU143" s="718"/>
      <c r="BV143" s="718"/>
      <c r="BW143" s="718"/>
      <c r="BX143" s="718"/>
      <c r="BY143" s="718"/>
      <c r="BZ143" s="718"/>
      <c r="CA143" s="718"/>
      <c r="CB143" s="718"/>
      <c r="CC143" s="718"/>
      <c r="CD143" s="718"/>
      <c r="CE143" s="718"/>
      <c r="CF143" s="718"/>
      <c r="CG143" s="718"/>
      <c r="CH143" s="718"/>
      <c r="CI143" s="719"/>
      <c r="CK143" s="1296"/>
    </row>
    <row r="144" spans="2:89" ht="15" thickBot="1" x14ac:dyDescent="0.25">
      <c r="B144" s="753" t="s">
        <v>723</v>
      </c>
      <c r="C144" s="754" t="s">
        <v>512</v>
      </c>
      <c r="D144" s="755" t="s">
        <v>724</v>
      </c>
      <c r="E144" s="756" t="s">
        <v>236</v>
      </c>
      <c r="F144" s="757">
        <v>2</v>
      </c>
      <c r="G144" s="729">
        <f t="shared" si="60"/>
        <v>0</v>
      </c>
      <c r="H144" s="729">
        <f t="shared" si="60"/>
        <v>0</v>
      </c>
      <c r="I144" s="729">
        <f t="shared" si="60"/>
        <v>7.4262683889618764E-2</v>
      </c>
      <c r="J144" s="729">
        <f t="shared" si="60"/>
        <v>7.4262683889618764E-2</v>
      </c>
      <c r="K144" s="729">
        <f t="shared" si="60"/>
        <v>7.4262683889618764E-2</v>
      </c>
      <c r="L144" s="729">
        <f t="shared" si="60"/>
        <v>7.4262683889618764E-2</v>
      </c>
      <c r="M144" s="758">
        <f t="shared" si="60"/>
        <v>7.4262683889618764E-2</v>
      </c>
      <c r="N144" s="758">
        <f t="shared" si="60"/>
        <v>7.4262683889618764E-2</v>
      </c>
      <c r="O144" s="758">
        <f t="shared" si="60"/>
        <v>7.4262683889618764E-2</v>
      </c>
      <c r="P144" s="758">
        <f t="shared" si="60"/>
        <v>7.4262683889618764E-2</v>
      </c>
      <c r="Q144" s="758">
        <f t="shared" si="60"/>
        <v>7.4262683889618764E-2</v>
      </c>
      <c r="R144" s="758">
        <f t="shared" si="60"/>
        <v>7.4262683889618764E-2</v>
      </c>
      <c r="S144" s="758">
        <f t="shared" si="60"/>
        <v>7.4262683889618764E-2</v>
      </c>
      <c r="T144" s="758">
        <f t="shared" si="60"/>
        <v>7.4262683889618764E-2</v>
      </c>
      <c r="U144" s="758">
        <f t="shared" si="60"/>
        <v>7.4262683889618764E-2</v>
      </c>
      <c r="V144" s="758">
        <f t="shared" si="60"/>
        <v>7.4262683889618764E-2</v>
      </c>
      <c r="W144" s="758">
        <f t="shared" si="60"/>
        <v>7.4262683889618764E-2</v>
      </c>
      <c r="X144" s="758">
        <f t="shared" si="60"/>
        <v>7.4262683889618764E-2</v>
      </c>
      <c r="Y144" s="758">
        <f t="shared" si="60"/>
        <v>7.4262683889618764E-2</v>
      </c>
      <c r="Z144" s="758">
        <f t="shared" si="60"/>
        <v>7.4262683889618764E-2</v>
      </c>
      <c r="AA144" s="758">
        <f t="shared" si="60"/>
        <v>7.4262683889618764E-2</v>
      </c>
      <c r="AB144" s="758">
        <f t="shared" si="60"/>
        <v>7.4262683889618764E-2</v>
      </c>
      <c r="AC144" s="758">
        <f t="shared" si="60"/>
        <v>7.4262683889618764E-2</v>
      </c>
      <c r="AD144" s="758">
        <f t="shared" si="60"/>
        <v>7.4262683889618764E-2</v>
      </c>
      <c r="AE144" s="758">
        <f t="shared" si="60"/>
        <v>7.4262683889618764E-2</v>
      </c>
      <c r="AF144" s="758">
        <f t="shared" si="60"/>
        <v>7.4262683889618764E-2</v>
      </c>
      <c r="AG144" s="758">
        <f t="shared" si="60"/>
        <v>7.4262683889618764E-2</v>
      </c>
      <c r="AH144" s="758">
        <f t="shared" si="60"/>
        <v>7.4262683889618764E-2</v>
      </c>
      <c r="AI144" s="758">
        <f t="shared" si="60"/>
        <v>7.4262683889618764E-2</v>
      </c>
      <c r="AJ144" s="758">
        <f t="shared" si="60"/>
        <v>7.4262683889618764E-2</v>
      </c>
      <c r="AK144" s="758">
        <f t="shared" si="60"/>
        <v>7.4262683889618764E-2</v>
      </c>
      <c r="AL144" s="758"/>
      <c r="AM144" s="758"/>
      <c r="AN144" s="758"/>
      <c r="AO144" s="758"/>
      <c r="AP144" s="758"/>
      <c r="AQ144" s="758"/>
      <c r="AR144" s="758"/>
      <c r="AS144" s="758"/>
      <c r="AT144" s="758"/>
      <c r="AU144" s="758"/>
      <c r="AV144" s="758"/>
      <c r="AW144" s="758"/>
      <c r="AX144" s="758"/>
      <c r="AY144" s="758"/>
      <c r="AZ144" s="758"/>
      <c r="BA144" s="758"/>
      <c r="BB144" s="758"/>
      <c r="BC144" s="758"/>
      <c r="BD144" s="758"/>
      <c r="BE144" s="758"/>
      <c r="BF144" s="758"/>
      <c r="BG144" s="758"/>
      <c r="BH144" s="758"/>
      <c r="BI144" s="758"/>
      <c r="BJ144" s="758"/>
      <c r="BK144" s="758"/>
      <c r="BL144" s="758"/>
      <c r="BM144" s="758"/>
      <c r="BN144" s="758"/>
      <c r="BO144" s="758"/>
      <c r="BP144" s="758"/>
      <c r="BQ144" s="758"/>
      <c r="BR144" s="758"/>
      <c r="BS144" s="758"/>
      <c r="BT144" s="758"/>
      <c r="BU144" s="758"/>
      <c r="BV144" s="758"/>
      <c r="BW144" s="758"/>
      <c r="BX144" s="758"/>
      <c r="BY144" s="758"/>
      <c r="BZ144" s="758"/>
      <c r="CA144" s="758"/>
      <c r="CB144" s="758"/>
      <c r="CC144" s="758"/>
      <c r="CD144" s="758"/>
      <c r="CE144" s="758"/>
      <c r="CF144" s="758"/>
      <c r="CG144" s="758"/>
      <c r="CH144" s="758"/>
      <c r="CI144" s="759"/>
      <c r="CK144" s="1296"/>
    </row>
    <row r="145" spans="2:89" x14ac:dyDescent="0.2">
      <c r="B145" s="708" t="s">
        <v>725</v>
      </c>
      <c r="C145" s="709" t="s">
        <v>514</v>
      </c>
      <c r="D145" s="710" t="s">
        <v>726</v>
      </c>
      <c r="E145" s="711" t="s">
        <v>236</v>
      </c>
      <c r="F145" s="712">
        <v>2</v>
      </c>
      <c r="G145" s="735">
        <f t="shared" si="60"/>
        <v>0</v>
      </c>
      <c r="H145" s="735">
        <f t="shared" si="60"/>
        <v>0</v>
      </c>
      <c r="I145" s="735">
        <f t="shared" si="60"/>
        <v>6.3157576700386192E-3</v>
      </c>
      <c r="J145" s="735">
        <f t="shared" si="60"/>
        <v>6.5225369249426908E-3</v>
      </c>
      <c r="K145" s="735">
        <f t="shared" si="60"/>
        <v>6.2972537723940273E-3</v>
      </c>
      <c r="L145" s="735">
        <f t="shared" si="60"/>
        <v>6.1478187782822253E-3</v>
      </c>
      <c r="M145" s="736">
        <f t="shared" si="60"/>
        <v>6.2102813615913105E-3</v>
      </c>
      <c r="N145" s="736">
        <f t="shared" si="60"/>
        <v>6.174679007795586E-3</v>
      </c>
      <c r="O145" s="736">
        <f t="shared" si="60"/>
        <v>6.1384947415215902E-3</v>
      </c>
      <c r="P145" s="736">
        <f t="shared" si="60"/>
        <v>6.1017285627693206E-3</v>
      </c>
      <c r="Q145" s="736">
        <f t="shared" si="60"/>
        <v>6.0643804715387823E-3</v>
      </c>
      <c r="R145" s="736">
        <f t="shared" si="60"/>
        <v>6.0264504678299718E-3</v>
      </c>
      <c r="S145" s="736">
        <f t="shared" si="60"/>
        <v>5.9879385516428919E-3</v>
      </c>
      <c r="T145" s="736">
        <f t="shared" si="60"/>
        <v>5.948844722977539E-3</v>
      </c>
      <c r="U145" s="736">
        <f t="shared" si="60"/>
        <v>5.9091689818339165E-3</v>
      </c>
      <c r="V145" s="736">
        <f t="shared" si="60"/>
        <v>5.868911328212021E-3</v>
      </c>
      <c r="W145" s="736">
        <f t="shared" si="60"/>
        <v>5.8280717621118552E-3</v>
      </c>
      <c r="X145" s="736">
        <f t="shared" si="60"/>
        <v>5.7866502835334198E-3</v>
      </c>
      <c r="Y145" s="736">
        <f t="shared" si="60"/>
        <v>5.7446468924767097E-3</v>
      </c>
      <c r="Z145" s="736">
        <f t="shared" si="60"/>
        <v>5.7020615889417335E-3</v>
      </c>
      <c r="AA145" s="736">
        <f t="shared" si="60"/>
        <v>5.6588943729284826E-3</v>
      </c>
      <c r="AB145" s="736">
        <f t="shared" si="60"/>
        <v>5.6151452444369622E-3</v>
      </c>
      <c r="AC145" s="736">
        <f t="shared" si="60"/>
        <v>5.570814203467167E-3</v>
      </c>
      <c r="AD145" s="736">
        <f t="shared" si="60"/>
        <v>5.5259012500191032E-3</v>
      </c>
      <c r="AE145" s="736">
        <f t="shared" si="60"/>
        <v>5.4804063840927682E-3</v>
      </c>
      <c r="AF145" s="736">
        <f t="shared" si="60"/>
        <v>5.4343296056881636E-3</v>
      </c>
      <c r="AG145" s="736">
        <f t="shared" si="60"/>
        <v>5.387670914805286E-3</v>
      </c>
      <c r="AH145" s="736">
        <f t="shared" si="60"/>
        <v>5.3404303114441372E-3</v>
      </c>
      <c r="AI145" s="736">
        <f t="shared" si="60"/>
        <v>5.2926077956047188E-3</v>
      </c>
      <c r="AJ145" s="736">
        <f t="shared" si="60"/>
        <v>5.2442033672870283E-3</v>
      </c>
      <c r="AK145" s="736">
        <f t="shared" si="60"/>
        <v>5.1952170264910657E-3</v>
      </c>
      <c r="AL145" s="736"/>
      <c r="AM145" s="736"/>
      <c r="AN145" s="736"/>
      <c r="AO145" s="736"/>
      <c r="AP145" s="736"/>
      <c r="AQ145" s="736"/>
      <c r="AR145" s="736"/>
      <c r="AS145" s="736"/>
      <c r="AT145" s="736"/>
      <c r="AU145" s="736"/>
      <c r="AV145" s="736"/>
      <c r="AW145" s="736"/>
      <c r="AX145" s="736"/>
      <c r="AY145" s="736"/>
      <c r="AZ145" s="736"/>
      <c r="BA145" s="736"/>
      <c r="BB145" s="736"/>
      <c r="BC145" s="736"/>
      <c r="BD145" s="736"/>
      <c r="BE145" s="736"/>
      <c r="BF145" s="736"/>
      <c r="BG145" s="736"/>
      <c r="BH145" s="736"/>
      <c r="BI145" s="736"/>
      <c r="BJ145" s="736"/>
      <c r="BK145" s="736"/>
      <c r="BL145" s="736"/>
      <c r="BM145" s="736"/>
      <c r="BN145" s="736"/>
      <c r="BO145" s="736"/>
      <c r="BP145" s="736"/>
      <c r="BQ145" s="736"/>
      <c r="BR145" s="736"/>
      <c r="BS145" s="736"/>
      <c r="BT145" s="736"/>
      <c r="BU145" s="736"/>
      <c r="BV145" s="736"/>
      <c r="BW145" s="736"/>
      <c r="BX145" s="736"/>
      <c r="BY145" s="736"/>
      <c r="BZ145" s="736"/>
      <c r="CA145" s="736"/>
      <c r="CB145" s="736"/>
      <c r="CC145" s="736"/>
      <c r="CD145" s="736"/>
      <c r="CE145" s="736"/>
      <c r="CF145" s="736"/>
      <c r="CG145" s="736"/>
      <c r="CH145" s="736"/>
      <c r="CI145" s="737"/>
      <c r="CK145" s="1296"/>
    </row>
    <row r="146" spans="2:89" x14ac:dyDescent="0.2">
      <c r="B146" s="720" t="s">
        <v>727</v>
      </c>
      <c r="C146" s="721" t="s">
        <v>516</v>
      </c>
      <c r="D146" s="715" t="s">
        <v>728</v>
      </c>
      <c r="E146" s="716" t="s">
        <v>236</v>
      </c>
      <c r="F146" s="717">
        <v>2</v>
      </c>
      <c r="G146" s="569">
        <f t="shared" si="60"/>
        <v>0</v>
      </c>
      <c r="H146" s="569">
        <f t="shared" si="60"/>
        <v>0</v>
      </c>
      <c r="I146" s="569">
        <f t="shared" si="60"/>
        <v>3.7140729970184004E-4</v>
      </c>
      <c r="J146" s="569">
        <f t="shared" si="60"/>
        <v>3.5081948118730337E-4</v>
      </c>
      <c r="K146" s="569">
        <f t="shared" si="60"/>
        <v>3.3556700859056033E-4</v>
      </c>
      <c r="L146" s="569">
        <f t="shared" si="60"/>
        <v>1.9966104451892499E-4</v>
      </c>
      <c r="M146" s="718">
        <f t="shared" si="60"/>
        <v>1.0911382524159336E-4</v>
      </c>
      <c r="N146" s="718">
        <f t="shared" si="60"/>
        <v>1.0594292736843595E-4</v>
      </c>
      <c r="O146" s="718">
        <f t="shared" si="60"/>
        <v>1.0281455012615483E-4</v>
      </c>
      <c r="P146" s="718">
        <f t="shared" si="60"/>
        <v>9.9728693514749932E-5</v>
      </c>
      <c r="Q146" s="718">
        <f t="shared" si="60"/>
        <v>9.6685357534221386E-5</v>
      </c>
      <c r="R146" s="718">
        <f t="shared" si="60"/>
        <v>9.3684542184569098E-5</v>
      </c>
      <c r="S146" s="718">
        <f t="shared" si="60"/>
        <v>9.0726247465793081E-5</v>
      </c>
      <c r="T146" s="718">
        <f t="shared" si="60"/>
        <v>8.7810473377893377E-5</v>
      </c>
      <c r="U146" s="718">
        <f t="shared" si="60"/>
        <v>8.4937219920869916E-5</v>
      </c>
      <c r="V146" s="718">
        <f t="shared" si="60"/>
        <v>8.3988375455758331E-5</v>
      </c>
      <c r="W146" s="718">
        <f t="shared" si="60"/>
        <v>8.3039530990646718E-5</v>
      </c>
      <c r="X146" s="718">
        <f t="shared" si="60"/>
        <v>8.2090686525535106E-5</v>
      </c>
      <c r="Y146" s="718">
        <f t="shared" si="60"/>
        <v>8.1141842060423479E-5</v>
      </c>
      <c r="Z146" s="718">
        <f t="shared" si="60"/>
        <v>8.0192997595311907E-5</v>
      </c>
      <c r="AA146" s="718">
        <f t="shared" si="60"/>
        <v>7.9244153130200295E-5</v>
      </c>
      <c r="AB146" s="718">
        <f t="shared" si="60"/>
        <v>7.8295308665088682E-5</v>
      </c>
      <c r="AC146" s="718">
        <f t="shared" si="60"/>
        <v>7.7346464199977069E-5</v>
      </c>
      <c r="AD146" s="718">
        <f t="shared" si="60"/>
        <v>7.6397619734865443E-5</v>
      </c>
      <c r="AE146" s="718">
        <f t="shared" si="60"/>
        <v>7.5448775269753844E-5</v>
      </c>
      <c r="AF146" s="718">
        <f t="shared" si="60"/>
        <v>7.4499930804642259E-5</v>
      </c>
      <c r="AG146" s="718">
        <f t="shared" si="60"/>
        <v>7.3551086339530632E-5</v>
      </c>
      <c r="AH146" s="718">
        <f t="shared" si="60"/>
        <v>7.260224187441902E-5</v>
      </c>
      <c r="AI146" s="718">
        <f t="shared" si="60"/>
        <v>7.1653397409307421E-5</v>
      </c>
      <c r="AJ146" s="718">
        <f t="shared" si="60"/>
        <v>7.0704552944195808E-5</v>
      </c>
      <c r="AK146" s="718">
        <f t="shared" si="60"/>
        <v>6.9755708479084195E-5</v>
      </c>
      <c r="AL146" s="718"/>
      <c r="AM146" s="718"/>
      <c r="AN146" s="718"/>
      <c r="AO146" s="718"/>
      <c r="AP146" s="718"/>
      <c r="AQ146" s="718"/>
      <c r="AR146" s="718"/>
      <c r="AS146" s="718"/>
      <c r="AT146" s="718"/>
      <c r="AU146" s="718"/>
      <c r="AV146" s="718"/>
      <c r="AW146" s="718"/>
      <c r="AX146" s="718"/>
      <c r="AY146" s="718"/>
      <c r="AZ146" s="718"/>
      <c r="BA146" s="718"/>
      <c r="BB146" s="718"/>
      <c r="BC146" s="718"/>
      <c r="BD146" s="718"/>
      <c r="BE146" s="718"/>
      <c r="BF146" s="718"/>
      <c r="BG146" s="718"/>
      <c r="BH146" s="718"/>
      <c r="BI146" s="718"/>
      <c r="BJ146" s="718"/>
      <c r="BK146" s="718"/>
      <c r="BL146" s="718"/>
      <c r="BM146" s="718"/>
      <c r="BN146" s="718"/>
      <c r="BO146" s="718"/>
      <c r="BP146" s="718"/>
      <c r="BQ146" s="718"/>
      <c r="BR146" s="718"/>
      <c r="BS146" s="718"/>
      <c r="BT146" s="718"/>
      <c r="BU146" s="718"/>
      <c r="BV146" s="718"/>
      <c r="BW146" s="718"/>
      <c r="BX146" s="718"/>
      <c r="BY146" s="718"/>
      <c r="BZ146" s="718"/>
      <c r="CA146" s="718"/>
      <c r="CB146" s="718"/>
      <c r="CC146" s="718"/>
      <c r="CD146" s="718"/>
      <c r="CE146" s="718"/>
      <c r="CF146" s="718"/>
      <c r="CG146" s="718"/>
      <c r="CH146" s="718"/>
      <c r="CI146" s="719"/>
      <c r="CK146" s="1296"/>
    </row>
    <row r="147" spans="2:89" x14ac:dyDescent="0.2">
      <c r="B147" s="720" t="s">
        <v>729</v>
      </c>
      <c r="C147" s="721" t="s">
        <v>518</v>
      </c>
      <c r="D147" s="715" t="s">
        <v>730</v>
      </c>
      <c r="E147" s="716" t="s">
        <v>236</v>
      </c>
      <c r="F147" s="717">
        <v>2</v>
      </c>
      <c r="G147" s="569">
        <f t="shared" ref="G147:AK150" si="61">G57+G115</f>
        <v>0</v>
      </c>
      <c r="H147" s="569">
        <f t="shared" si="61"/>
        <v>0</v>
      </c>
      <c r="I147" s="569">
        <f t="shared" si="61"/>
        <v>5.1997636166684347E-2</v>
      </c>
      <c r="J147" s="569">
        <f t="shared" si="61"/>
        <v>5.1638140472616272E-2</v>
      </c>
      <c r="K147" s="569">
        <f t="shared" si="61"/>
        <v>5.0221067909508789E-2</v>
      </c>
      <c r="L147" s="569">
        <f t="shared" si="61"/>
        <v>5.1152275254813445E-2</v>
      </c>
      <c r="M147" s="718">
        <f t="shared" si="61"/>
        <v>6.1354099493096233E-2</v>
      </c>
      <c r="N147" s="718">
        <f t="shared" si="61"/>
        <v>6.9528519349039503E-2</v>
      </c>
      <c r="O147" s="718">
        <f t="shared" si="61"/>
        <v>7.0000337947231539E-2</v>
      </c>
      <c r="P147" s="718">
        <f t="shared" si="61"/>
        <v>7.0326519572611837E-2</v>
      </c>
      <c r="Q147" s="718">
        <f t="shared" si="61"/>
        <v>7.0456994451047403E-2</v>
      </c>
      <c r="R147" s="718">
        <f t="shared" si="61"/>
        <v>7.0452517447737784E-2</v>
      </c>
      <c r="S147" s="718">
        <f t="shared" si="61"/>
        <v>7.029825841565622E-2</v>
      </c>
      <c r="T147" s="718">
        <f t="shared" si="61"/>
        <v>7.0082197828555418E-2</v>
      </c>
      <c r="U147" s="718">
        <f t="shared" si="61"/>
        <v>6.9842034350786841E-2</v>
      </c>
      <c r="V147" s="718">
        <f t="shared" si="61"/>
        <v>6.9583825942136093E-2</v>
      </c>
      <c r="W147" s="718">
        <f t="shared" si="61"/>
        <v>6.930443502314268E-2</v>
      </c>
      <c r="X147" s="718">
        <f t="shared" si="61"/>
        <v>6.8995681463259517E-2</v>
      </c>
      <c r="Y147" s="718">
        <f t="shared" si="61"/>
        <v>6.8658166214374344E-2</v>
      </c>
      <c r="Z147" s="718">
        <f t="shared" si="61"/>
        <v>6.8306020278033841E-2</v>
      </c>
      <c r="AA147" s="718">
        <f t="shared" si="61"/>
        <v>6.7934079599618571E-2</v>
      </c>
      <c r="AB147" s="718">
        <f t="shared" si="61"/>
        <v>6.7548089556525054E-2</v>
      </c>
      <c r="AC147" s="718">
        <f t="shared" si="61"/>
        <v>6.7148358493075336E-2</v>
      </c>
      <c r="AD147" s="718">
        <f t="shared" si="61"/>
        <v>6.672935767789559E-2</v>
      </c>
      <c r="AE147" s="718">
        <f t="shared" si="61"/>
        <v>6.6289985390650022E-2</v>
      </c>
      <c r="AF147" s="718">
        <f t="shared" si="61"/>
        <v>6.5831766238835562E-2</v>
      </c>
      <c r="AG147" s="718">
        <f t="shared" si="61"/>
        <v>6.5358514789849401E-2</v>
      </c>
      <c r="AH147" s="718">
        <f t="shared" si="61"/>
        <v>6.4870280401502334E-2</v>
      </c>
      <c r="AI147" s="718">
        <f t="shared" si="61"/>
        <v>6.4370271991193218E-2</v>
      </c>
      <c r="AJ147" s="718">
        <f t="shared" si="61"/>
        <v>6.386062662650667E-2</v>
      </c>
      <c r="AK147" s="718">
        <f t="shared" si="61"/>
        <v>6.3340718136827928E-2</v>
      </c>
      <c r="AL147" s="718"/>
      <c r="AM147" s="718"/>
      <c r="AN147" s="718"/>
      <c r="AO147" s="718"/>
      <c r="AP147" s="718"/>
      <c r="AQ147" s="718"/>
      <c r="AR147" s="718"/>
      <c r="AS147" s="718"/>
      <c r="AT147" s="718"/>
      <c r="AU147" s="718"/>
      <c r="AV147" s="718"/>
      <c r="AW147" s="718"/>
      <c r="AX147" s="718"/>
      <c r="AY147" s="718"/>
      <c r="AZ147" s="718"/>
      <c r="BA147" s="718"/>
      <c r="BB147" s="718"/>
      <c r="BC147" s="718"/>
      <c r="BD147" s="718"/>
      <c r="BE147" s="718"/>
      <c r="BF147" s="718"/>
      <c r="BG147" s="718"/>
      <c r="BH147" s="718"/>
      <c r="BI147" s="718"/>
      <c r="BJ147" s="718"/>
      <c r="BK147" s="718"/>
      <c r="BL147" s="718"/>
      <c r="BM147" s="718"/>
      <c r="BN147" s="718"/>
      <c r="BO147" s="718"/>
      <c r="BP147" s="718"/>
      <c r="BQ147" s="718"/>
      <c r="BR147" s="718"/>
      <c r="BS147" s="718"/>
      <c r="BT147" s="718"/>
      <c r="BU147" s="718"/>
      <c r="BV147" s="718"/>
      <c r="BW147" s="718"/>
      <c r="BX147" s="718"/>
      <c r="BY147" s="718"/>
      <c r="BZ147" s="718"/>
      <c r="CA147" s="718"/>
      <c r="CB147" s="718"/>
      <c r="CC147" s="718"/>
      <c r="CD147" s="718"/>
      <c r="CE147" s="718"/>
      <c r="CF147" s="718"/>
      <c r="CG147" s="718"/>
      <c r="CH147" s="718"/>
      <c r="CI147" s="719"/>
      <c r="CK147" s="1296"/>
    </row>
    <row r="148" spans="2:89" x14ac:dyDescent="0.2">
      <c r="B148" s="720" t="s">
        <v>731</v>
      </c>
      <c r="C148" s="721" t="s">
        <v>520</v>
      </c>
      <c r="D148" s="715" t="s">
        <v>732</v>
      </c>
      <c r="E148" s="716" t="s">
        <v>236</v>
      </c>
      <c r="F148" s="717">
        <v>2</v>
      </c>
      <c r="G148" s="569">
        <f t="shared" si="61"/>
        <v>0</v>
      </c>
      <c r="H148" s="569">
        <f t="shared" si="61"/>
        <v>0</v>
      </c>
      <c r="I148" s="569">
        <f t="shared" si="61"/>
        <v>5.0719380847283273E-2</v>
      </c>
      <c r="J148" s="569">
        <f t="shared" si="61"/>
        <v>4.8171510027997314E-2</v>
      </c>
      <c r="K148" s="569">
        <f t="shared" si="61"/>
        <v>4.5612512091973402E-2</v>
      </c>
      <c r="L148" s="569">
        <f t="shared" si="61"/>
        <v>3.952824767353013E-2</v>
      </c>
      <c r="M148" s="718">
        <f t="shared" si="61"/>
        <v>1.8331658632880624E-2</v>
      </c>
      <c r="N148" s="718">
        <f t="shared" si="61"/>
        <v>1.3611477995940299E-3</v>
      </c>
      <c r="O148" s="718">
        <f t="shared" si="61"/>
        <v>1.3095678560342341E-3</v>
      </c>
      <c r="P148" s="718">
        <f t="shared" si="61"/>
        <v>1.2587726397293962E-3</v>
      </c>
      <c r="Q148" s="718">
        <f t="shared" si="61"/>
        <v>1.2087621506795265E-3</v>
      </c>
      <c r="R148" s="718">
        <f t="shared" si="61"/>
        <v>1.1716364232427362E-3</v>
      </c>
      <c r="S148" s="718">
        <f t="shared" si="61"/>
        <v>1.1470030937915515E-3</v>
      </c>
      <c r="T148" s="718">
        <f t="shared" si="61"/>
        <v>1.1226313400920229E-3</v>
      </c>
      <c r="U148" s="718">
        <f t="shared" si="61"/>
        <v>1.0985211621441469E-3</v>
      </c>
      <c r="V148" s="718">
        <f t="shared" si="61"/>
        <v>1.0746725599479236E-3</v>
      </c>
      <c r="W148" s="718">
        <f t="shared" si="61"/>
        <v>1.0510855335033563E-3</v>
      </c>
      <c r="X148" s="718">
        <f t="shared" si="61"/>
        <v>1.0277600828104451E-3</v>
      </c>
      <c r="Y148" s="718">
        <f t="shared" si="61"/>
        <v>1.0046962078691865E-3</v>
      </c>
      <c r="Z148" s="718">
        <f t="shared" si="61"/>
        <v>9.8189390867958054E-4</v>
      </c>
      <c r="AA148" s="718">
        <f t="shared" si="61"/>
        <v>9.5935318524163066E-4</v>
      </c>
      <c r="AB148" s="718">
        <f t="shared" si="61"/>
        <v>9.3167795975541284E-4</v>
      </c>
      <c r="AC148" s="718">
        <f t="shared" si="61"/>
        <v>8.9906441403466222E-4</v>
      </c>
      <c r="AD148" s="718">
        <f t="shared" si="61"/>
        <v>8.669740198172203E-4</v>
      </c>
      <c r="AE148" s="718">
        <f t="shared" si="61"/>
        <v>8.3540677710308708E-4</v>
      </c>
      <c r="AF148" s="718">
        <f t="shared" si="61"/>
        <v>8.0436268589226603E-4</v>
      </c>
      <c r="AG148" s="718">
        <f t="shared" si="61"/>
        <v>7.7384174618475021E-4</v>
      </c>
      <c r="AH148" s="718">
        <f t="shared" si="61"/>
        <v>7.4384395798054309E-4</v>
      </c>
      <c r="AI148" s="718">
        <f t="shared" si="61"/>
        <v>7.1436932127964467E-4</v>
      </c>
      <c r="AJ148" s="718">
        <f t="shared" si="61"/>
        <v>6.8541783608205842E-4</v>
      </c>
      <c r="AK148" s="718">
        <f t="shared" si="61"/>
        <v>6.569895023877774E-4</v>
      </c>
      <c r="AL148" s="718"/>
      <c r="AM148" s="718"/>
      <c r="AN148" s="718"/>
      <c r="AO148" s="718"/>
      <c r="AP148" s="718"/>
      <c r="AQ148" s="718"/>
      <c r="AR148" s="718"/>
      <c r="AS148" s="718"/>
      <c r="AT148" s="718"/>
      <c r="AU148" s="718"/>
      <c r="AV148" s="718"/>
      <c r="AW148" s="718"/>
      <c r="AX148" s="718"/>
      <c r="AY148" s="718"/>
      <c r="AZ148" s="718"/>
      <c r="BA148" s="718"/>
      <c r="BB148" s="718"/>
      <c r="BC148" s="718"/>
      <c r="BD148" s="718"/>
      <c r="BE148" s="718"/>
      <c r="BF148" s="718"/>
      <c r="BG148" s="718"/>
      <c r="BH148" s="718"/>
      <c r="BI148" s="718"/>
      <c r="BJ148" s="718"/>
      <c r="BK148" s="718"/>
      <c r="BL148" s="718"/>
      <c r="BM148" s="718"/>
      <c r="BN148" s="718"/>
      <c r="BO148" s="718"/>
      <c r="BP148" s="718"/>
      <c r="BQ148" s="718"/>
      <c r="BR148" s="718"/>
      <c r="BS148" s="718"/>
      <c r="BT148" s="718"/>
      <c r="BU148" s="718"/>
      <c r="BV148" s="718"/>
      <c r="BW148" s="718"/>
      <c r="BX148" s="718"/>
      <c r="BY148" s="718"/>
      <c r="BZ148" s="718"/>
      <c r="CA148" s="718"/>
      <c r="CB148" s="718"/>
      <c r="CC148" s="718"/>
      <c r="CD148" s="718"/>
      <c r="CE148" s="718"/>
      <c r="CF148" s="718"/>
      <c r="CG148" s="718"/>
      <c r="CH148" s="718"/>
      <c r="CI148" s="719"/>
      <c r="CK148" s="1296"/>
    </row>
    <row r="149" spans="2:89" x14ac:dyDescent="0.2">
      <c r="B149" s="720" t="s">
        <v>733</v>
      </c>
      <c r="C149" s="721" t="s">
        <v>522</v>
      </c>
      <c r="D149" s="715" t="s">
        <v>734</v>
      </c>
      <c r="E149" s="716" t="s">
        <v>236</v>
      </c>
      <c r="F149" s="717">
        <v>2</v>
      </c>
      <c r="G149" s="569">
        <f t="shared" si="61"/>
        <v>0</v>
      </c>
      <c r="H149" s="569">
        <f t="shared" si="61"/>
        <v>0</v>
      </c>
      <c r="I149" s="569">
        <f t="shared" si="61"/>
        <v>6.209930051014766E-3</v>
      </c>
      <c r="J149" s="569">
        <f t="shared" si="61"/>
        <v>6.8866947827199492E-3</v>
      </c>
      <c r="K149" s="569">
        <f t="shared" si="61"/>
        <v>6.9126851269414487E-3</v>
      </c>
      <c r="L149" s="569">
        <f t="shared" si="61"/>
        <v>6.914393926802492E-3</v>
      </c>
      <c r="M149" s="718">
        <f t="shared" si="61"/>
        <v>7.050797708622829E-3</v>
      </c>
      <c r="N149" s="718">
        <f t="shared" si="61"/>
        <v>7.3575528744566692E-3</v>
      </c>
      <c r="O149" s="718">
        <f t="shared" si="61"/>
        <v>7.4702999279518045E-3</v>
      </c>
      <c r="P149" s="718">
        <f t="shared" si="61"/>
        <v>7.5723466887946947E-3</v>
      </c>
      <c r="Q149" s="718">
        <f t="shared" si="61"/>
        <v>7.6589268754298579E-3</v>
      </c>
      <c r="R149" s="718">
        <f t="shared" si="61"/>
        <v>7.7354429950522111E-3</v>
      </c>
      <c r="S149" s="718">
        <f t="shared" si="61"/>
        <v>7.8001949413472275E-3</v>
      </c>
      <c r="T149" s="718">
        <f t="shared" si="61"/>
        <v>7.8604554619708424E-3</v>
      </c>
      <c r="U149" s="718">
        <f t="shared" si="61"/>
        <v>7.9196005527455166E-3</v>
      </c>
      <c r="V149" s="718">
        <f t="shared" si="61"/>
        <v>7.9784279475805086E-3</v>
      </c>
      <c r="W149" s="718">
        <f t="shared" si="61"/>
        <v>8.0363554493970285E-3</v>
      </c>
      <c r="X149" s="718">
        <f t="shared" si="61"/>
        <v>8.0925605273807037E-3</v>
      </c>
      <c r="Y149" s="718">
        <f t="shared" si="61"/>
        <v>8.1470418443306963E-3</v>
      </c>
      <c r="Z149" s="718">
        <f t="shared" si="61"/>
        <v>8.2011380552837309E-3</v>
      </c>
      <c r="AA149" s="718">
        <f t="shared" si="61"/>
        <v>8.254604933896412E-3</v>
      </c>
      <c r="AB149" s="718">
        <f t="shared" si="61"/>
        <v>8.3075370051399859E-3</v>
      </c>
      <c r="AC149" s="718">
        <f t="shared" si="61"/>
        <v>8.3599525374481835E-3</v>
      </c>
      <c r="AD149" s="718">
        <f t="shared" si="61"/>
        <v>8.4114318863329433E-3</v>
      </c>
      <c r="AE149" s="718">
        <f t="shared" si="61"/>
        <v>8.461823919181476E-3</v>
      </c>
      <c r="AF149" s="718">
        <f t="shared" si="61"/>
        <v>8.5112497619145959E-3</v>
      </c>
      <c r="AG149" s="718">
        <f t="shared" si="61"/>
        <v>8.5600840061676609E-3</v>
      </c>
      <c r="AH149" s="718">
        <f t="shared" si="61"/>
        <v>8.6083089614843161E-3</v>
      </c>
      <c r="AI149" s="718">
        <f t="shared" si="61"/>
        <v>8.656256138666777E-3</v>
      </c>
      <c r="AJ149" s="718">
        <f t="shared" si="61"/>
        <v>8.7041544325011568E-3</v>
      </c>
      <c r="AK149" s="718">
        <f t="shared" si="61"/>
        <v>8.7519306304724622E-3</v>
      </c>
      <c r="AL149" s="718"/>
      <c r="AM149" s="718"/>
      <c r="AN149" s="718"/>
      <c r="AO149" s="718"/>
      <c r="AP149" s="718"/>
      <c r="AQ149" s="718"/>
      <c r="AR149" s="718"/>
      <c r="AS149" s="718"/>
      <c r="AT149" s="718"/>
      <c r="AU149" s="718"/>
      <c r="AV149" s="718"/>
      <c r="AW149" s="718"/>
      <c r="AX149" s="718"/>
      <c r="AY149" s="718"/>
      <c r="AZ149" s="718"/>
      <c r="BA149" s="718"/>
      <c r="BB149" s="718"/>
      <c r="BC149" s="718"/>
      <c r="BD149" s="718"/>
      <c r="BE149" s="718"/>
      <c r="BF149" s="718"/>
      <c r="BG149" s="718"/>
      <c r="BH149" s="718"/>
      <c r="BI149" s="718"/>
      <c r="BJ149" s="718"/>
      <c r="BK149" s="718"/>
      <c r="BL149" s="718"/>
      <c r="BM149" s="718"/>
      <c r="BN149" s="718"/>
      <c r="BO149" s="718"/>
      <c r="BP149" s="718"/>
      <c r="BQ149" s="718"/>
      <c r="BR149" s="718"/>
      <c r="BS149" s="718"/>
      <c r="BT149" s="718"/>
      <c r="BU149" s="718"/>
      <c r="BV149" s="718"/>
      <c r="BW149" s="718"/>
      <c r="BX149" s="718"/>
      <c r="BY149" s="718"/>
      <c r="BZ149" s="718"/>
      <c r="CA149" s="718"/>
      <c r="CB149" s="718"/>
      <c r="CC149" s="718"/>
      <c r="CD149" s="718"/>
      <c r="CE149" s="718"/>
      <c r="CF149" s="718"/>
      <c r="CG149" s="718"/>
      <c r="CH149" s="718"/>
      <c r="CI149" s="719"/>
      <c r="CK149" s="1296"/>
    </row>
    <row r="150" spans="2:89" x14ac:dyDescent="0.2">
      <c r="B150" s="720" t="s">
        <v>735</v>
      </c>
      <c r="C150" s="714" t="s">
        <v>524</v>
      </c>
      <c r="D150" s="715" t="s">
        <v>736</v>
      </c>
      <c r="E150" s="716" t="s">
        <v>236</v>
      </c>
      <c r="F150" s="717">
        <v>2</v>
      </c>
      <c r="G150" s="569">
        <f t="shared" si="61"/>
        <v>0</v>
      </c>
      <c r="H150" s="569">
        <f t="shared" si="61"/>
        <v>0</v>
      </c>
      <c r="I150" s="569">
        <f t="shared" si="61"/>
        <v>1.2054368063652769</v>
      </c>
      <c r="J150" s="569">
        <f t="shared" si="61"/>
        <v>0.69755089831053629</v>
      </c>
      <c r="K150" s="569">
        <f t="shared" si="61"/>
        <v>0.67002171409059152</v>
      </c>
      <c r="L150" s="569">
        <f t="shared" si="61"/>
        <v>0.64373860332205268</v>
      </c>
      <c r="M150" s="718">
        <f t="shared" si="61"/>
        <v>0.64703564897856736</v>
      </c>
      <c r="N150" s="718">
        <f t="shared" si="61"/>
        <v>0.64797435804174575</v>
      </c>
      <c r="O150" s="718">
        <f t="shared" si="61"/>
        <v>0.63989128497713477</v>
      </c>
      <c r="P150" s="718">
        <f t="shared" si="61"/>
        <v>0.63196430384258007</v>
      </c>
      <c r="Q150" s="718">
        <f t="shared" si="61"/>
        <v>0.62424825069377032</v>
      </c>
      <c r="R150" s="718">
        <f t="shared" si="61"/>
        <v>0.61666486812395283</v>
      </c>
      <c r="S150" s="718">
        <f t="shared" si="61"/>
        <v>0.60923107875009641</v>
      </c>
      <c r="T150" s="718">
        <f t="shared" si="61"/>
        <v>0.60186386017302651</v>
      </c>
      <c r="U150" s="718">
        <f t="shared" si="61"/>
        <v>0.5945221377325689</v>
      </c>
      <c r="V150" s="718">
        <f t="shared" si="61"/>
        <v>0.58719717384666792</v>
      </c>
      <c r="W150" s="718">
        <f t="shared" si="61"/>
        <v>0.57989461270085474</v>
      </c>
      <c r="X150" s="718">
        <f t="shared" si="61"/>
        <v>0.57262345695649064</v>
      </c>
      <c r="Y150" s="718">
        <f t="shared" si="61"/>
        <v>0.56538310699888894</v>
      </c>
      <c r="Z150" s="718">
        <f t="shared" si="61"/>
        <v>0.55815809317146614</v>
      </c>
      <c r="AA150" s="718">
        <f t="shared" si="61"/>
        <v>0.55095382375518509</v>
      </c>
      <c r="AB150" s="718">
        <f t="shared" si="61"/>
        <v>0.54376985492547791</v>
      </c>
      <c r="AC150" s="718">
        <f t="shared" si="61"/>
        <v>0.5366056638877752</v>
      </c>
      <c r="AD150" s="718">
        <f t="shared" si="61"/>
        <v>0.52946173754620074</v>
      </c>
      <c r="AE150" s="718">
        <f t="shared" si="61"/>
        <v>0.52233932875370348</v>
      </c>
      <c r="AF150" s="718">
        <f t="shared" si="61"/>
        <v>0.51523679177686532</v>
      </c>
      <c r="AG150" s="718">
        <f t="shared" si="61"/>
        <v>0.50814993745665393</v>
      </c>
      <c r="AH150" s="718">
        <f t="shared" si="61"/>
        <v>0.50107873412571491</v>
      </c>
      <c r="AI150" s="718">
        <f t="shared" si="61"/>
        <v>0.49401964135584697</v>
      </c>
      <c r="AJ150" s="718">
        <f t="shared" si="61"/>
        <v>0.4869702931846796</v>
      </c>
      <c r="AK150" s="718">
        <f t="shared" si="61"/>
        <v>0.4799313889953416</v>
      </c>
      <c r="AL150" s="718"/>
      <c r="AM150" s="718"/>
      <c r="AN150" s="718"/>
      <c r="AO150" s="718"/>
      <c r="AP150" s="718"/>
      <c r="AQ150" s="718"/>
      <c r="AR150" s="718"/>
      <c r="AS150" s="718"/>
      <c r="AT150" s="718"/>
      <c r="AU150" s="718"/>
      <c r="AV150" s="718"/>
      <c r="AW150" s="718"/>
      <c r="AX150" s="718"/>
      <c r="AY150" s="718"/>
      <c r="AZ150" s="718"/>
      <c r="BA150" s="718"/>
      <c r="BB150" s="718"/>
      <c r="BC150" s="718"/>
      <c r="BD150" s="718"/>
      <c r="BE150" s="718"/>
      <c r="BF150" s="718"/>
      <c r="BG150" s="718"/>
      <c r="BH150" s="718"/>
      <c r="BI150" s="718"/>
      <c r="BJ150" s="718"/>
      <c r="BK150" s="718"/>
      <c r="BL150" s="718"/>
      <c r="BM150" s="718"/>
      <c r="BN150" s="718"/>
      <c r="BO150" s="718"/>
      <c r="BP150" s="718"/>
      <c r="BQ150" s="718"/>
      <c r="BR150" s="718"/>
      <c r="BS150" s="718"/>
      <c r="BT150" s="718"/>
      <c r="BU150" s="718"/>
      <c r="BV150" s="718"/>
      <c r="BW150" s="718"/>
      <c r="BX150" s="718"/>
      <c r="BY150" s="718"/>
      <c r="BZ150" s="718"/>
      <c r="CA150" s="718"/>
      <c r="CB150" s="718"/>
      <c r="CC150" s="718"/>
      <c r="CD150" s="718"/>
      <c r="CE150" s="718"/>
      <c r="CF150" s="718"/>
      <c r="CG150" s="718"/>
      <c r="CH150" s="718"/>
      <c r="CI150" s="719"/>
      <c r="CK150" s="1296"/>
    </row>
    <row r="151" spans="2:89" x14ac:dyDescent="0.2">
      <c r="B151" s="720" t="s">
        <v>737</v>
      </c>
      <c r="C151" s="714" t="s">
        <v>243</v>
      </c>
      <c r="D151" s="715" t="s">
        <v>738</v>
      </c>
      <c r="E151" s="716" t="s">
        <v>236</v>
      </c>
      <c r="F151" s="717">
        <v>2</v>
      </c>
      <c r="G151" s="569">
        <f>SUM(G145:G150)</f>
        <v>0</v>
      </c>
      <c r="H151" s="569">
        <f t="shared" ref="H151:AK151" si="62">SUM(H145:H150)</f>
        <v>0</v>
      </c>
      <c r="I151" s="569">
        <f t="shared" si="62"/>
        <v>1.3210509183999999</v>
      </c>
      <c r="J151" s="569">
        <f t="shared" si="62"/>
        <v>0.81112059999999986</v>
      </c>
      <c r="K151" s="569">
        <f t="shared" si="62"/>
        <v>0.77940079999999978</v>
      </c>
      <c r="L151" s="569">
        <f t="shared" si="62"/>
        <v>0.74768099999999993</v>
      </c>
      <c r="M151" s="718">
        <f t="shared" si="62"/>
        <v>0.74009159999999996</v>
      </c>
      <c r="N151" s="718">
        <f t="shared" si="62"/>
        <v>0.73250219999999999</v>
      </c>
      <c r="O151" s="718">
        <f t="shared" si="62"/>
        <v>0.72491280000000013</v>
      </c>
      <c r="P151" s="718">
        <f t="shared" si="62"/>
        <v>0.71732340000000006</v>
      </c>
      <c r="Q151" s="718">
        <f t="shared" si="62"/>
        <v>0.70973400000000009</v>
      </c>
      <c r="R151" s="718">
        <f t="shared" si="62"/>
        <v>0.70214460000000012</v>
      </c>
      <c r="S151" s="718">
        <f t="shared" si="62"/>
        <v>0.69455520000000015</v>
      </c>
      <c r="T151" s="718">
        <f t="shared" si="62"/>
        <v>0.68696580000000018</v>
      </c>
      <c r="U151" s="718">
        <f t="shared" si="62"/>
        <v>0.67937640000000021</v>
      </c>
      <c r="V151" s="718">
        <f t="shared" si="62"/>
        <v>0.67178700000000025</v>
      </c>
      <c r="W151" s="718">
        <f t="shared" si="62"/>
        <v>0.66419760000000028</v>
      </c>
      <c r="X151" s="718">
        <f t="shared" si="62"/>
        <v>0.65660820000000031</v>
      </c>
      <c r="Y151" s="718">
        <f t="shared" si="62"/>
        <v>0.64901880000000034</v>
      </c>
      <c r="Z151" s="718">
        <f t="shared" si="62"/>
        <v>0.64142940000000037</v>
      </c>
      <c r="AA151" s="718">
        <f t="shared" si="62"/>
        <v>0.6338400000000004</v>
      </c>
      <c r="AB151" s="718">
        <f t="shared" si="62"/>
        <v>0.62625060000000043</v>
      </c>
      <c r="AC151" s="718">
        <f t="shared" si="62"/>
        <v>0.61866120000000047</v>
      </c>
      <c r="AD151" s="718">
        <f t="shared" si="62"/>
        <v>0.6110718000000005</v>
      </c>
      <c r="AE151" s="718">
        <f t="shared" si="62"/>
        <v>0.60348240000000053</v>
      </c>
      <c r="AF151" s="718">
        <f t="shared" si="62"/>
        <v>0.59589300000000056</v>
      </c>
      <c r="AG151" s="718">
        <f t="shared" si="62"/>
        <v>0.58830360000000059</v>
      </c>
      <c r="AH151" s="718">
        <f t="shared" si="62"/>
        <v>0.58071420000000062</v>
      </c>
      <c r="AI151" s="718">
        <f t="shared" si="62"/>
        <v>0.57312480000000066</v>
      </c>
      <c r="AJ151" s="718">
        <f t="shared" si="62"/>
        <v>0.56553540000000069</v>
      </c>
      <c r="AK151" s="718">
        <f t="shared" si="62"/>
        <v>0.55794599999999994</v>
      </c>
      <c r="AL151" s="718"/>
      <c r="AM151" s="718"/>
      <c r="AN151" s="718"/>
      <c r="AO151" s="718"/>
      <c r="AP151" s="718"/>
      <c r="AQ151" s="718"/>
      <c r="AR151" s="718"/>
      <c r="AS151" s="718"/>
      <c r="AT151" s="718"/>
      <c r="AU151" s="718"/>
      <c r="AV151" s="718"/>
      <c r="AW151" s="718"/>
      <c r="AX151" s="718"/>
      <c r="AY151" s="718"/>
      <c r="AZ151" s="718"/>
      <c r="BA151" s="718"/>
      <c r="BB151" s="718"/>
      <c r="BC151" s="718"/>
      <c r="BD151" s="718"/>
      <c r="BE151" s="718"/>
      <c r="BF151" s="718"/>
      <c r="BG151" s="718"/>
      <c r="BH151" s="718"/>
      <c r="BI151" s="718"/>
      <c r="BJ151" s="718"/>
      <c r="BK151" s="718"/>
      <c r="BL151" s="718"/>
      <c r="BM151" s="718"/>
      <c r="BN151" s="718"/>
      <c r="BO151" s="718"/>
      <c r="BP151" s="718"/>
      <c r="BQ151" s="718"/>
      <c r="BR151" s="718"/>
      <c r="BS151" s="718"/>
      <c r="BT151" s="718"/>
      <c r="BU151" s="718"/>
      <c r="BV151" s="718"/>
      <c r="BW151" s="718"/>
      <c r="BX151" s="718"/>
      <c r="BY151" s="718"/>
      <c r="BZ151" s="718"/>
      <c r="CA151" s="718"/>
      <c r="CB151" s="718"/>
      <c r="CC151" s="718"/>
      <c r="CD151" s="718"/>
      <c r="CE151" s="718"/>
      <c r="CF151" s="718"/>
      <c r="CG151" s="718"/>
      <c r="CH151" s="718"/>
      <c r="CI151" s="719"/>
      <c r="CK151" s="1296"/>
    </row>
    <row r="152" spans="2:89" ht="15" thickBot="1" x14ac:dyDescent="0.25">
      <c r="B152" s="760" t="s">
        <v>739</v>
      </c>
      <c r="C152" s="761" t="s">
        <v>528</v>
      </c>
      <c r="D152" s="762" t="s">
        <v>740</v>
      </c>
      <c r="E152" s="763" t="s">
        <v>530</v>
      </c>
      <c r="F152" s="728">
        <v>2</v>
      </c>
      <c r="G152" s="729" t="e">
        <f>(G151*1000000)/(G166*1000)</f>
        <v>#DIV/0!</v>
      </c>
      <c r="H152" s="729" t="e">
        <f t="shared" ref="H152:AK152" si="63">(H151*1000000)/(H166*1000)</f>
        <v>#DIV/0!</v>
      </c>
      <c r="I152" s="729">
        <f t="shared" si="63"/>
        <v>108.14989098649201</v>
      </c>
      <c r="J152" s="729">
        <f t="shared" si="63"/>
        <v>65.28526121618647</v>
      </c>
      <c r="K152" s="729">
        <f t="shared" si="63"/>
        <v>62.579721998441961</v>
      </c>
      <c r="L152" s="729">
        <f t="shared" si="63"/>
        <v>59.936829341172228</v>
      </c>
      <c r="M152" s="758">
        <f t="shared" si="63"/>
        <v>58.615034843528278</v>
      </c>
      <c r="N152" s="758">
        <f t="shared" si="63"/>
        <v>56.646854425131565</v>
      </c>
      <c r="O152" s="758">
        <f t="shared" si="63"/>
        <v>55.066804460682498</v>
      </c>
      <c r="P152" s="758">
        <f t="shared" si="63"/>
        <v>53.636232305699885</v>
      </c>
      <c r="Q152" s="758">
        <f t="shared" si="63"/>
        <v>52.38134050876365</v>
      </c>
      <c r="R152" s="758">
        <f t="shared" si="63"/>
        <v>51.240398269224777</v>
      </c>
      <c r="S152" s="758">
        <f t="shared" si="63"/>
        <v>50.217795060617668</v>
      </c>
      <c r="T152" s="758">
        <f t="shared" si="63"/>
        <v>49.248878282567304</v>
      </c>
      <c r="U152" s="758">
        <f t="shared" si="63"/>
        <v>48.304664356073786</v>
      </c>
      <c r="V152" s="758">
        <f t="shared" si="63"/>
        <v>47.379522024651024</v>
      </c>
      <c r="W152" s="758">
        <f t="shared" si="63"/>
        <v>46.475646996649729</v>
      </c>
      <c r="X152" s="758">
        <f t="shared" si="63"/>
        <v>45.597910436384055</v>
      </c>
      <c r="Y152" s="758">
        <f t="shared" si="63"/>
        <v>44.745044455849381</v>
      </c>
      <c r="Z152" s="758">
        <f t="shared" si="63"/>
        <v>43.906973223942728</v>
      </c>
      <c r="AA152" s="758">
        <f t="shared" si="63"/>
        <v>43.084815090554869</v>
      </c>
      <c r="AB152" s="758">
        <f t="shared" si="63"/>
        <v>42.277796627708284</v>
      </c>
      <c r="AC152" s="758">
        <f t="shared" si="63"/>
        <v>41.485283943463259</v>
      </c>
      <c r="AD152" s="758">
        <f t="shared" si="63"/>
        <v>40.708930733607765</v>
      </c>
      <c r="AE152" s="758">
        <f t="shared" si="63"/>
        <v>39.948985675304669</v>
      </c>
      <c r="AF152" s="758">
        <f t="shared" si="63"/>
        <v>39.204090634218566</v>
      </c>
      <c r="AG152" s="758">
        <f t="shared" si="63"/>
        <v>38.471579972807618</v>
      </c>
      <c r="AH152" s="758">
        <f t="shared" si="63"/>
        <v>37.751140526585857</v>
      </c>
      <c r="AI152" s="758">
        <f t="shared" si="63"/>
        <v>37.040621911016636</v>
      </c>
      <c r="AJ152" s="758">
        <f t="shared" si="63"/>
        <v>36.338589109334919</v>
      </c>
      <c r="AK152" s="758">
        <f t="shared" si="63"/>
        <v>35.645248791290243</v>
      </c>
      <c r="AL152" s="758"/>
      <c r="AM152" s="758"/>
      <c r="AN152" s="758"/>
      <c r="AO152" s="758"/>
      <c r="AP152" s="758"/>
      <c r="AQ152" s="758"/>
      <c r="AR152" s="758"/>
      <c r="AS152" s="758"/>
      <c r="AT152" s="758"/>
      <c r="AU152" s="758"/>
      <c r="AV152" s="758"/>
      <c r="AW152" s="758"/>
      <c r="AX152" s="758"/>
      <c r="AY152" s="758"/>
      <c r="AZ152" s="758"/>
      <c r="BA152" s="758"/>
      <c r="BB152" s="758"/>
      <c r="BC152" s="758"/>
      <c r="BD152" s="758"/>
      <c r="BE152" s="758"/>
      <c r="BF152" s="758"/>
      <c r="BG152" s="758"/>
      <c r="BH152" s="758"/>
      <c r="BI152" s="758"/>
      <c r="BJ152" s="758"/>
      <c r="BK152" s="758"/>
      <c r="BL152" s="758"/>
      <c r="BM152" s="758"/>
      <c r="BN152" s="758"/>
      <c r="BO152" s="758"/>
      <c r="BP152" s="758"/>
      <c r="BQ152" s="758"/>
      <c r="BR152" s="758"/>
      <c r="BS152" s="758"/>
      <c r="BT152" s="758"/>
      <c r="BU152" s="758"/>
      <c r="BV152" s="758"/>
      <c r="BW152" s="758"/>
      <c r="BX152" s="758"/>
      <c r="BY152" s="758"/>
      <c r="BZ152" s="758"/>
      <c r="CA152" s="758"/>
      <c r="CB152" s="758"/>
      <c r="CC152" s="758"/>
      <c r="CD152" s="758"/>
      <c r="CE152" s="758"/>
      <c r="CF152" s="758"/>
      <c r="CG152" s="758"/>
      <c r="CH152" s="758"/>
      <c r="CI152" s="759"/>
      <c r="CK152" s="1296"/>
    </row>
    <row r="153" spans="2:89" x14ac:dyDescent="0.2">
      <c r="B153" s="730" t="s">
        <v>741</v>
      </c>
      <c r="C153" s="731" t="s">
        <v>532</v>
      </c>
      <c r="D153" s="686" t="s">
        <v>86</v>
      </c>
      <c r="E153" s="764" t="s">
        <v>344</v>
      </c>
      <c r="F153" s="765">
        <v>2</v>
      </c>
      <c r="G153" s="593"/>
      <c r="H153" s="593"/>
      <c r="I153" s="593">
        <v>1.014</v>
      </c>
      <c r="J153" s="593">
        <v>0.98031574431569324</v>
      </c>
      <c r="K153" s="593">
        <v>0.9849750066774059</v>
      </c>
      <c r="L153" s="593">
        <v>1.0023965775536272</v>
      </c>
      <c r="M153" s="594">
        <v>1.0229647393385948</v>
      </c>
      <c r="N153" s="594">
        <v>1.0276383775893927</v>
      </c>
      <c r="O153" s="594">
        <v>1.0323120158401904</v>
      </c>
      <c r="P153" s="594">
        <v>1.0369856540909881</v>
      </c>
      <c r="Q153" s="594">
        <v>1.041659292341786</v>
      </c>
      <c r="R153" s="594">
        <v>1.0463329305925837</v>
      </c>
      <c r="S153" s="594">
        <v>1.0510065688433818</v>
      </c>
      <c r="T153" s="594">
        <v>1.0556802070941793</v>
      </c>
      <c r="U153" s="594">
        <v>1.0603538453449775</v>
      </c>
      <c r="V153" s="594">
        <v>1.0650274835957751</v>
      </c>
      <c r="W153" s="594">
        <v>1.0697011218465726</v>
      </c>
      <c r="X153" s="594">
        <v>1.0743747600973708</v>
      </c>
      <c r="Y153" s="594">
        <v>1.0790483983481685</v>
      </c>
      <c r="Z153" s="594">
        <v>1.0837220365989664</v>
      </c>
      <c r="AA153" s="594">
        <v>1.0883956748497641</v>
      </c>
      <c r="AB153" s="594">
        <v>1.093069313100562</v>
      </c>
      <c r="AC153" s="594">
        <v>1.0977429513513597</v>
      </c>
      <c r="AD153" s="594">
        <v>1.1024165896021574</v>
      </c>
      <c r="AE153" s="594">
        <v>1.1070902278529553</v>
      </c>
      <c r="AF153" s="594">
        <v>1.111763866103753</v>
      </c>
      <c r="AG153" s="594">
        <v>1.1164375043545509</v>
      </c>
      <c r="AH153" s="594">
        <v>1.1211111426053486</v>
      </c>
      <c r="AI153" s="594">
        <v>1.1257847808561465</v>
      </c>
      <c r="AJ153" s="594">
        <v>1.1304584191069442</v>
      </c>
      <c r="AK153" s="594">
        <v>1.1351320573577419</v>
      </c>
      <c r="AL153" s="594"/>
      <c r="AM153" s="594"/>
      <c r="AN153" s="594"/>
      <c r="AO153" s="594"/>
      <c r="AP153" s="594"/>
      <c r="AQ153" s="594"/>
      <c r="AR153" s="594"/>
      <c r="AS153" s="594"/>
      <c r="AT153" s="594"/>
      <c r="AU153" s="594"/>
      <c r="AV153" s="594"/>
      <c r="AW153" s="594"/>
      <c r="AX153" s="594"/>
      <c r="AY153" s="594"/>
      <c r="AZ153" s="594"/>
      <c r="BA153" s="594"/>
      <c r="BB153" s="594"/>
      <c r="BC153" s="594"/>
      <c r="BD153" s="594"/>
      <c r="BE153" s="594"/>
      <c r="BF153" s="594"/>
      <c r="BG153" s="594"/>
      <c r="BH153" s="594"/>
      <c r="BI153" s="594"/>
      <c r="BJ153" s="594"/>
      <c r="BK153" s="594"/>
      <c r="BL153" s="594"/>
      <c r="BM153" s="594"/>
      <c r="BN153" s="594"/>
      <c r="BO153" s="594"/>
      <c r="BP153" s="594"/>
      <c r="BQ153" s="594"/>
      <c r="BR153" s="594"/>
      <c r="BS153" s="594"/>
      <c r="BT153" s="594"/>
      <c r="BU153" s="594"/>
      <c r="BV153" s="594"/>
      <c r="BW153" s="594"/>
      <c r="BX153" s="594"/>
      <c r="BY153" s="594"/>
      <c r="BZ153" s="594"/>
      <c r="CA153" s="594"/>
      <c r="CB153" s="594"/>
      <c r="CC153" s="594"/>
      <c r="CD153" s="594"/>
      <c r="CE153" s="594"/>
      <c r="CF153" s="594"/>
      <c r="CG153" s="594"/>
      <c r="CH153" s="594"/>
      <c r="CI153" s="595"/>
      <c r="CK153" s="1296"/>
    </row>
    <row r="154" spans="2:89" x14ac:dyDescent="0.2">
      <c r="B154" s="738" t="s">
        <v>742</v>
      </c>
      <c r="C154" s="739" t="s">
        <v>534</v>
      </c>
      <c r="D154" s="690" t="s">
        <v>86</v>
      </c>
      <c r="E154" s="748" t="s">
        <v>344</v>
      </c>
      <c r="F154" s="749">
        <v>2</v>
      </c>
      <c r="G154" s="597"/>
      <c r="H154" s="597"/>
      <c r="I154" s="597">
        <v>2.5000000000000001E-2</v>
      </c>
      <c r="J154" s="597">
        <v>2.4537662498036496E-2</v>
      </c>
      <c r="K154" s="597">
        <v>2.4426054805893868E-2</v>
      </c>
      <c r="L154" s="597">
        <v>1.5149974863556437E-2</v>
      </c>
      <c r="M154" s="598">
        <v>8.3642927414918616E-3</v>
      </c>
      <c r="N154" s="598">
        <v>8.2053659268648289E-3</v>
      </c>
      <c r="O154" s="598">
        <v>8.0464391122377962E-3</v>
      </c>
      <c r="P154" s="598">
        <v>7.88751229761076E-3</v>
      </c>
      <c r="Q154" s="598">
        <v>7.7285854829837264E-3</v>
      </c>
      <c r="R154" s="598">
        <v>7.569658668356692E-3</v>
      </c>
      <c r="S154" s="598">
        <v>7.4107318537296575E-3</v>
      </c>
      <c r="T154" s="598">
        <v>7.2518050391026231E-3</v>
      </c>
      <c r="U154" s="598">
        <v>7.0928782244755887E-3</v>
      </c>
      <c r="V154" s="598">
        <v>7.0928782244755887E-3</v>
      </c>
      <c r="W154" s="598">
        <v>7.0928782244755887E-3</v>
      </c>
      <c r="X154" s="598">
        <v>7.0928782244755887E-3</v>
      </c>
      <c r="Y154" s="598">
        <v>7.0928782244755887E-3</v>
      </c>
      <c r="Z154" s="598">
        <v>7.0928782244755887E-3</v>
      </c>
      <c r="AA154" s="598">
        <v>7.0928782244755887E-3</v>
      </c>
      <c r="AB154" s="598">
        <v>7.0928782244755887E-3</v>
      </c>
      <c r="AC154" s="598">
        <v>7.0928782244755887E-3</v>
      </c>
      <c r="AD154" s="598">
        <v>7.0928782244755887E-3</v>
      </c>
      <c r="AE154" s="598">
        <v>7.0928782244755887E-3</v>
      </c>
      <c r="AF154" s="598">
        <v>7.0928782244755887E-3</v>
      </c>
      <c r="AG154" s="598">
        <v>7.0928782244755887E-3</v>
      </c>
      <c r="AH154" s="598">
        <v>7.0928782244755887E-3</v>
      </c>
      <c r="AI154" s="598">
        <v>7.0928782244755887E-3</v>
      </c>
      <c r="AJ154" s="598">
        <v>7.0928782244755887E-3</v>
      </c>
      <c r="AK154" s="598">
        <v>7.0928782244755887E-3</v>
      </c>
      <c r="AL154" s="598"/>
      <c r="AM154" s="598"/>
      <c r="AN154" s="598"/>
      <c r="AO154" s="598"/>
      <c r="AP154" s="598"/>
      <c r="AQ154" s="598"/>
      <c r="AR154" s="598"/>
      <c r="AS154" s="598"/>
      <c r="AT154" s="598"/>
      <c r="AU154" s="598"/>
      <c r="AV154" s="598"/>
      <c r="AW154" s="598"/>
      <c r="AX154" s="598"/>
      <c r="AY154" s="598"/>
      <c r="AZ154" s="598"/>
      <c r="BA154" s="598"/>
      <c r="BB154" s="598"/>
      <c r="BC154" s="598"/>
      <c r="BD154" s="598"/>
      <c r="BE154" s="598"/>
      <c r="BF154" s="598"/>
      <c r="BG154" s="598"/>
      <c r="BH154" s="598"/>
      <c r="BI154" s="598"/>
      <c r="BJ154" s="598"/>
      <c r="BK154" s="598"/>
      <c r="BL154" s="598"/>
      <c r="BM154" s="598"/>
      <c r="BN154" s="598"/>
      <c r="BO154" s="598"/>
      <c r="BP154" s="598"/>
      <c r="BQ154" s="598"/>
      <c r="BR154" s="598"/>
      <c r="BS154" s="598"/>
      <c r="BT154" s="598"/>
      <c r="BU154" s="598"/>
      <c r="BV154" s="598"/>
      <c r="BW154" s="598"/>
      <c r="BX154" s="598"/>
      <c r="BY154" s="598"/>
      <c r="BZ154" s="598"/>
      <c r="CA154" s="598"/>
      <c r="CB154" s="598"/>
      <c r="CC154" s="598"/>
      <c r="CD154" s="598"/>
      <c r="CE154" s="598"/>
      <c r="CF154" s="598"/>
      <c r="CG154" s="598"/>
      <c r="CH154" s="598"/>
      <c r="CI154" s="599"/>
      <c r="CK154" s="1296"/>
    </row>
    <row r="155" spans="2:89" x14ac:dyDescent="0.2">
      <c r="B155" s="766" t="s">
        <v>743</v>
      </c>
      <c r="C155" s="767" t="s">
        <v>536</v>
      </c>
      <c r="D155" s="690" t="s">
        <v>86</v>
      </c>
      <c r="E155" s="748" t="s">
        <v>344</v>
      </c>
      <c r="F155" s="749">
        <v>2</v>
      </c>
      <c r="G155" s="597"/>
      <c r="H155" s="597"/>
      <c r="I155" s="597">
        <v>0.11</v>
      </c>
      <c r="J155" s="597">
        <v>0.14776366643834205</v>
      </c>
      <c r="K155" s="597">
        <v>0.14833308502084383</v>
      </c>
      <c r="L155" s="597">
        <v>0.14530466733903188</v>
      </c>
      <c r="M155" s="598">
        <v>0.13663926092820045</v>
      </c>
      <c r="N155" s="598">
        <v>0.13724162274410151</v>
      </c>
      <c r="O155" s="598">
        <v>0.13784398456000252</v>
      </c>
      <c r="P155" s="598">
        <v>0.13844634637590361</v>
      </c>
      <c r="Q155" s="598">
        <v>0.13904870819180465</v>
      </c>
      <c r="R155" s="598">
        <v>0.13965107000770569</v>
      </c>
      <c r="S155" s="598">
        <v>0.14025343182360675</v>
      </c>
      <c r="T155" s="598">
        <v>0.14085579363950776</v>
      </c>
      <c r="U155" s="598">
        <v>0.14145815545540885</v>
      </c>
      <c r="V155" s="598">
        <v>0.14207817580626844</v>
      </c>
      <c r="W155" s="598">
        <v>0.14269819615712806</v>
      </c>
      <c r="X155" s="598">
        <v>0.14331821650798765</v>
      </c>
      <c r="Y155" s="598">
        <v>0.14393823685884727</v>
      </c>
      <c r="Z155" s="598">
        <v>0.14455825720970689</v>
      </c>
      <c r="AA155" s="598">
        <v>0.14517827756056648</v>
      </c>
      <c r="AB155" s="598">
        <v>0.14579829791142609</v>
      </c>
      <c r="AC155" s="598">
        <v>0.14641831826228568</v>
      </c>
      <c r="AD155" s="598">
        <v>0.1470383386131453</v>
      </c>
      <c r="AE155" s="598">
        <v>0.14765835896400489</v>
      </c>
      <c r="AF155" s="598">
        <v>0.14827837931486451</v>
      </c>
      <c r="AG155" s="598">
        <v>0.14889839966572413</v>
      </c>
      <c r="AH155" s="598">
        <v>0.14951842001658372</v>
      </c>
      <c r="AI155" s="598">
        <v>0.15013844036744334</v>
      </c>
      <c r="AJ155" s="598">
        <v>0.15075846071830293</v>
      </c>
      <c r="AK155" s="598">
        <v>0.15137848106916255</v>
      </c>
      <c r="AL155" s="598"/>
      <c r="AM155" s="598"/>
      <c r="AN155" s="598"/>
      <c r="AO155" s="598"/>
      <c r="AP155" s="598"/>
      <c r="AQ155" s="598"/>
      <c r="AR155" s="598"/>
      <c r="AS155" s="598"/>
      <c r="AT155" s="598"/>
      <c r="AU155" s="598"/>
      <c r="AV155" s="598"/>
      <c r="AW155" s="598"/>
      <c r="AX155" s="598"/>
      <c r="AY155" s="598"/>
      <c r="AZ155" s="598"/>
      <c r="BA155" s="598"/>
      <c r="BB155" s="598"/>
      <c r="BC155" s="598"/>
      <c r="BD155" s="598"/>
      <c r="BE155" s="598"/>
      <c r="BF155" s="598"/>
      <c r="BG155" s="598"/>
      <c r="BH155" s="598"/>
      <c r="BI155" s="598"/>
      <c r="BJ155" s="598"/>
      <c r="BK155" s="598"/>
      <c r="BL155" s="598"/>
      <c r="BM155" s="598"/>
      <c r="BN155" s="598"/>
      <c r="BO155" s="598"/>
      <c r="BP155" s="598"/>
      <c r="BQ155" s="598"/>
      <c r="BR155" s="598"/>
      <c r="BS155" s="598"/>
      <c r="BT155" s="598"/>
      <c r="BU155" s="598"/>
      <c r="BV155" s="598"/>
      <c r="BW155" s="598"/>
      <c r="BX155" s="598"/>
      <c r="BY155" s="598"/>
      <c r="BZ155" s="598"/>
      <c r="CA155" s="598"/>
      <c r="CB155" s="598"/>
      <c r="CC155" s="598"/>
      <c r="CD155" s="598"/>
      <c r="CE155" s="598"/>
      <c r="CF155" s="598"/>
      <c r="CG155" s="598"/>
      <c r="CH155" s="598"/>
      <c r="CI155" s="599"/>
      <c r="CK155" s="1296"/>
    </row>
    <row r="156" spans="2:89" ht="28.5" x14ac:dyDescent="0.2">
      <c r="B156" s="766" t="s">
        <v>744</v>
      </c>
      <c r="C156" s="767" t="s">
        <v>538</v>
      </c>
      <c r="D156" s="602" t="s">
        <v>539</v>
      </c>
      <c r="E156" s="603" t="s">
        <v>344</v>
      </c>
      <c r="F156" s="604">
        <v>2</v>
      </c>
      <c r="G156" s="597"/>
      <c r="H156" s="597"/>
      <c r="I156" s="597">
        <v>7.3440000000000003</v>
      </c>
      <c r="J156" s="552">
        <f t="shared" ref="J156:L156" si="64">I156+SUM(J157:J162)</f>
        <v>7.5865449684765069</v>
      </c>
      <c r="K156" s="552">
        <f t="shared" si="64"/>
        <v>7.6596690797111844</v>
      </c>
      <c r="L156" s="552">
        <f t="shared" si="64"/>
        <v>7.9921755713071558</v>
      </c>
      <c r="M156" s="552">
        <f t="shared" ref="M156" si="65">L156+SUM(M157:M162)</f>
        <v>9.7151385867990818</v>
      </c>
      <c r="N156" s="552">
        <f t="shared" ref="N156" si="66">M156+SUM(N157:N162)</f>
        <v>11.294516443378685</v>
      </c>
      <c r="O156" s="552">
        <f t="shared" ref="O156" si="67">N156+SUM(O157:O162)</f>
        <v>11.518558209986836</v>
      </c>
      <c r="P156" s="552">
        <f t="shared" ref="P156" si="68">O156+SUM(P157:P162)</f>
        <v>11.719723361325304</v>
      </c>
      <c r="Q156" s="552">
        <f t="shared" ref="Q156" si="69">P156+SUM(Q157:Q162)</f>
        <v>11.887821859331096</v>
      </c>
      <c r="R156" s="552">
        <f t="shared" ref="R156" si="70">Q156+SUM(R157:R162)</f>
        <v>12.033694903936642</v>
      </c>
      <c r="S156" s="552">
        <f t="shared" ref="S156" si="71">R156+SUM(S157:S162)</f>
        <v>12.153707764827647</v>
      </c>
      <c r="T156" s="552">
        <f t="shared" ref="T156" si="72">S156+SUM(T157:T162)</f>
        <v>12.264118213856072</v>
      </c>
      <c r="U156" s="552">
        <f t="shared" ref="U156" si="73">T156+SUM(U157:U162)</f>
        <v>12.372143937499519</v>
      </c>
      <c r="V156" s="552">
        <f t="shared" ref="V156" si="74">U156+SUM(V157:V162)</f>
        <v>12.478929576641974</v>
      </c>
      <c r="W156" s="552">
        <f t="shared" ref="W156" si="75">V156+SUM(W157:W162)</f>
        <v>12.583791295847233</v>
      </c>
      <c r="X156" s="552">
        <f t="shared" ref="X156" si="76">W156+SUM(X157:X162)</f>
        <v>12.684970571157187</v>
      </c>
      <c r="Y156" s="552">
        <f t="shared" ref="Y156" si="77">X156+SUM(Y157:Y162)</f>
        <v>12.782464543712718</v>
      </c>
      <c r="Z156" s="552">
        <f t="shared" ref="Z156" si="78">Y156+SUM(Z157:Z162)</f>
        <v>12.879135181615933</v>
      </c>
      <c r="AA156" s="552">
        <f t="shared" ref="AA156" si="79">Z156+SUM(AA157:AA162)</f>
        <v>12.974460342877077</v>
      </c>
      <c r="AB156" s="552">
        <f t="shared" ref="AB156" si="80">AA156+SUM(AB157:AB162)</f>
        <v>13.068996642618702</v>
      </c>
      <c r="AC156" s="552">
        <f t="shared" ref="AC156" si="81">AB156+SUM(AC157:AC162)</f>
        <v>13.162783137709967</v>
      </c>
      <c r="AD156" s="552">
        <f t="shared" ref="AD156" si="82">AC156+SUM(AD157:AD162)</f>
        <v>13.25456812604849</v>
      </c>
      <c r="AE156" s="552">
        <f t="shared" ref="AE156" si="83">AD156+SUM(AE157:AE162)</f>
        <v>13.3440284947298</v>
      </c>
      <c r="AF156" s="552">
        <f t="shared" ref="AF156" si="84">AE156+SUM(AF157:AF162)</f>
        <v>13.431423204062716</v>
      </c>
      <c r="AG156" s="552">
        <f t="shared" ref="AG156" si="85">AF156+SUM(AG157:AG162)</f>
        <v>13.517553109594262</v>
      </c>
      <c r="AH156" s="552">
        <f t="shared" ref="AH156" si="86">AG156+SUM(AH157:AH162)</f>
        <v>13.602380390137942</v>
      </c>
      <c r="AI156" s="552">
        <f t="shared" ref="AI156" si="87">AH156+SUM(AI157:AI162)</f>
        <v>13.686613796877147</v>
      </c>
      <c r="AJ156" s="552">
        <f t="shared" ref="AJ156" si="88">AI156+SUM(AJ157:AJ162)</f>
        <v>13.77074269380682</v>
      </c>
      <c r="AK156" s="552">
        <f t="shared" ref="AK156" si="89">AJ156+SUM(AK157:AK162)</f>
        <v>13.854610556746451</v>
      </c>
      <c r="AL156" s="552"/>
      <c r="AM156" s="552"/>
      <c r="AN156" s="552"/>
      <c r="AO156" s="552"/>
      <c r="AP156" s="552"/>
      <c r="AQ156" s="552"/>
      <c r="AR156" s="552"/>
      <c r="AS156" s="552"/>
      <c r="AT156" s="552"/>
      <c r="AU156" s="552"/>
      <c r="AV156" s="552"/>
      <c r="AW156" s="552"/>
      <c r="AX156" s="552"/>
      <c r="AY156" s="552"/>
      <c r="AZ156" s="552"/>
      <c r="BA156" s="552"/>
      <c r="BB156" s="552"/>
      <c r="BC156" s="552"/>
      <c r="BD156" s="552"/>
      <c r="BE156" s="552"/>
      <c r="BF156" s="552"/>
      <c r="BG156" s="552"/>
      <c r="BH156" s="552"/>
      <c r="BI156" s="552"/>
      <c r="BJ156" s="552"/>
      <c r="BK156" s="552"/>
      <c r="BL156" s="552"/>
      <c r="BM156" s="552"/>
      <c r="BN156" s="552"/>
      <c r="BO156" s="552"/>
      <c r="BP156" s="552"/>
      <c r="BQ156" s="552"/>
      <c r="BR156" s="552"/>
      <c r="BS156" s="552"/>
      <c r="BT156" s="552"/>
      <c r="BU156" s="552"/>
      <c r="BV156" s="552"/>
      <c r="BW156" s="552"/>
      <c r="BX156" s="552"/>
      <c r="BY156" s="552"/>
      <c r="BZ156" s="552"/>
      <c r="CA156" s="552"/>
      <c r="CB156" s="552"/>
      <c r="CC156" s="552"/>
      <c r="CD156" s="552"/>
      <c r="CE156" s="552"/>
      <c r="CF156" s="552"/>
      <c r="CG156" s="552"/>
      <c r="CH156" s="552"/>
      <c r="CI156" s="548"/>
      <c r="CK156" s="1296"/>
    </row>
    <row r="157" spans="2:89" x14ac:dyDescent="0.2">
      <c r="B157" s="766" t="s">
        <v>745</v>
      </c>
      <c r="C157" s="767" t="s">
        <v>541</v>
      </c>
      <c r="D157" s="602" t="s">
        <v>542</v>
      </c>
      <c r="E157" s="603" t="s">
        <v>344</v>
      </c>
      <c r="F157" s="604">
        <v>2</v>
      </c>
      <c r="G157" s="597"/>
      <c r="H157" s="597"/>
      <c r="I157" s="597">
        <v>0.115</v>
      </c>
      <c r="J157" s="597">
        <v>0.20896027825484997</v>
      </c>
      <c r="K157" s="597">
        <v>2.8480759731273793E-2</v>
      </c>
      <c r="L157" s="597">
        <v>1.8164601843074706E-2</v>
      </c>
      <c r="M157" s="598">
        <v>0.14929849552025007</v>
      </c>
      <c r="N157" s="598">
        <v>0.30219266443827475</v>
      </c>
      <c r="O157" s="598">
        <v>0.23068482350819977</v>
      </c>
      <c r="P157" s="598">
        <v>0.20708795498415203</v>
      </c>
      <c r="Q157" s="598">
        <v>0.1731568079605986</v>
      </c>
      <c r="R157" s="598">
        <v>0.15123160265419938</v>
      </c>
      <c r="S157" s="598">
        <v>0.12555723024699911</v>
      </c>
      <c r="T157" s="598">
        <v>0.11565249357315224</v>
      </c>
      <c r="U157" s="598">
        <v>0.11319268687919976</v>
      </c>
      <c r="V157" s="598">
        <v>0.11191355923799892</v>
      </c>
      <c r="W157" s="598">
        <v>0.10992906610937643</v>
      </c>
      <c r="X157" s="598">
        <v>0.10613068320087404</v>
      </c>
      <c r="Y157" s="598">
        <v>0.10232935142419956</v>
      </c>
      <c r="Z157" s="598">
        <v>0.1014800946913765</v>
      </c>
      <c r="AA157" s="598">
        <v>0.1009751834636736</v>
      </c>
      <c r="AB157" s="598">
        <v>9.9661485224651181E-2</v>
      </c>
      <c r="AC157" s="598">
        <v>9.838807353132506E-2</v>
      </c>
      <c r="AD157" s="598">
        <v>9.6323550823848567E-2</v>
      </c>
      <c r="AE157" s="598">
        <v>9.3925742241899576E-2</v>
      </c>
      <c r="AF157" s="598">
        <v>9.1795047141902619E-2</v>
      </c>
      <c r="AG157" s="598">
        <v>9.0490421931497617E-2</v>
      </c>
      <c r="AH157" s="598">
        <v>8.9146784762600878E-2</v>
      </c>
      <c r="AI157" s="598">
        <v>8.8534213282126073E-2</v>
      </c>
      <c r="AJ157" s="598">
        <v>8.8426413058798059E-2</v>
      </c>
      <c r="AK157" s="598">
        <v>8.8157160607301194E-2</v>
      </c>
      <c r="AL157" s="598"/>
      <c r="AM157" s="598"/>
      <c r="AN157" s="598"/>
      <c r="AO157" s="598"/>
      <c r="AP157" s="598"/>
      <c r="AQ157" s="598"/>
      <c r="AR157" s="598"/>
      <c r="AS157" s="598"/>
      <c r="AT157" s="598"/>
      <c r="AU157" s="598"/>
      <c r="AV157" s="598"/>
      <c r="AW157" s="598"/>
      <c r="AX157" s="598"/>
      <c r="AY157" s="598"/>
      <c r="AZ157" s="598"/>
      <c r="BA157" s="598"/>
      <c r="BB157" s="598"/>
      <c r="BC157" s="598"/>
      <c r="BD157" s="598"/>
      <c r="BE157" s="598"/>
      <c r="BF157" s="598"/>
      <c r="BG157" s="598"/>
      <c r="BH157" s="598"/>
      <c r="BI157" s="598"/>
      <c r="BJ157" s="598"/>
      <c r="BK157" s="598"/>
      <c r="BL157" s="598"/>
      <c r="BM157" s="598"/>
      <c r="BN157" s="598"/>
      <c r="BO157" s="598"/>
      <c r="BP157" s="598"/>
      <c r="BQ157" s="598"/>
      <c r="BR157" s="598"/>
      <c r="BS157" s="598"/>
      <c r="BT157" s="598"/>
      <c r="BU157" s="598"/>
      <c r="BV157" s="598"/>
      <c r="BW157" s="598"/>
      <c r="BX157" s="598"/>
      <c r="BY157" s="598"/>
      <c r="BZ157" s="598"/>
      <c r="CA157" s="598"/>
      <c r="CB157" s="598"/>
      <c r="CC157" s="598"/>
      <c r="CD157" s="598"/>
      <c r="CE157" s="598"/>
      <c r="CF157" s="598"/>
      <c r="CG157" s="598"/>
      <c r="CH157" s="598"/>
      <c r="CI157" s="599"/>
      <c r="CK157" s="1296"/>
    </row>
    <row r="158" spans="2:89" x14ac:dyDescent="0.2">
      <c r="B158" s="766" t="s">
        <v>746</v>
      </c>
      <c r="C158" s="767" t="s">
        <v>544</v>
      </c>
      <c r="D158" s="602" t="s">
        <v>545</v>
      </c>
      <c r="E158" s="603" t="s">
        <v>344</v>
      </c>
      <c r="F158" s="604">
        <v>2</v>
      </c>
      <c r="G158" s="597"/>
      <c r="H158" s="597"/>
      <c r="I158" s="597">
        <v>0</v>
      </c>
      <c r="J158" s="597">
        <v>4.3630818481489524E-2</v>
      </c>
      <c r="K158" s="597">
        <v>4.8000000000000001E-2</v>
      </c>
      <c r="L158" s="597">
        <v>0.30599999999999999</v>
      </c>
      <c r="M158" s="598">
        <v>0.44068999999999997</v>
      </c>
      <c r="N158" s="598">
        <v>0.15969</v>
      </c>
      <c r="O158" s="598">
        <v>2E-3</v>
      </c>
      <c r="P158" s="598">
        <v>2E-3</v>
      </c>
      <c r="Q158" s="598">
        <v>2E-3</v>
      </c>
      <c r="R158" s="598">
        <v>1E-3</v>
      </c>
      <c r="S158" s="598">
        <v>0</v>
      </c>
      <c r="T158" s="598">
        <v>0</v>
      </c>
      <c r="U158" s="598">
        <v>0</v>
      </c>
      <c r="V158" s="598">
        <v>0</v>
      </c>
      <c r="W158" s="598">
        <v>0</v>
      </c>
      <c r="X158" s="598">
        <v>0</v>
      </c>
      <c r="Y158" s="598">
        <v>0</v>
      </c>
      <c r="Z158" s="598">
        <v>0</v>
      </c>
      <c r="AA158" s="598">
        <v>0</v>
      </c>
      <c r="AB158" s="598">
        <v>0</v>
      </c>
      <c r="AC158" s="598">
        <v>0</v>
      </c>
      <c r="AD158" s="598">
        <v>0</v>
      </c>
      <c r="AE158" s="598">
        <v>0</v>
      </c>
      <c r="AF158" s="598">
        <v>0</v>
      </c>
      <c r="AG158" s="598">
        <v>0</v>
      </c>
      <c r="AH158" s="598">
        <v>0</v>
      </c>
      <c r="AI158" s="598">
        <v>0</v>
      </c>
      <c r="AJ158" s="598">
        <v>0</v>
      </c>
      <c r="AK158" s="598">
        <v>0</v>
      </c>
      <c r="AL158" s="598"/>
      <c r="AM158" s="598"/>
      <c r="AN158" s="598"/>
      <c r="AO158" s="598"/>
      <c r="AP158" s="598"/>
      <c r="AQ158" s="598"/>
      <c r="AR158" s="598"/>
      <c r="AS158" s="598"/>
      <c r="AT158" s="598"/>
      <c r="AU158" s="598"/>
      <c r="AV158" s="598"/>
      <c r="AW158" s="598"/>
      <c r="AX158" s="598"/>
      <c r="AY158" s="598"/>
      <c r="AZ158" s="598"/>
      <c r="BA158" s="598"/>
      <c r="BB158" s="598"/>
      <c r="BC158" s="598"/>
      <c r="BD158" s="598"/>
      <c r="BE158" s="598"/>
      <c r="BF158" s="598"/>
      <c r="BG158" s="598"/>
      <c r="BH158" s="598"/>
      <c r="BI158" s="598"/>
      <c r="BJ158" s="598"/>
      <c r="BK158" s="598"/>
      <c r="BL158" s="598"/>
      <c r="BM158" s="598"/>
      <c r="BN158" s="598"/>
      <c r="BO158" s="598"/>
      <c r="BP158" s="598"/>
      <c r="BQ158" s="598"/>
      <c r="BR158" s="598"/>
      <c r="BS158" s="598"/>
      <c r="BT158" s="598"/>
      <c r="BU158" s="598"/>
      <c r="BV158" s="598"/>
      <c r="BW158" s="598"/>
      <c r="BX158" s="598"/>
      <c r="BY158" s="598"/>
      <c r="BZ158" s="598"/>
      <c r="CA158" s="598"/>
      <c r="CB158" s="598"/>
      <c r="CC158" s="598"/>
      <c r="CD158" s="598"/>
      <c r="CE158" s="598"/>
      <c r="CF158" s="598"/>
      <c r="CG158" s="598"/>
      <c r="CH158" s="598"/>
      <c r="CI158" s="599"/>
      <c r="CK158" s="1296"/>
    </row>
    <row r="159" spans="2:89" ht="28.5" x14ac:dyDescent="0.2">
      <c r="B159" s="766" t="s">
        <v>747</v>
      </c>
      <c r="C159" s="767" t="s">
        <v>547</v>
      </c>
      <c r="D159" s="602" t="s">
        <v>548</v>
      </c>
      <c r="E159" s="603" t="s">
        <v>344</v>
      </c>
      <c r="F159" s="604">
        <v>2</v>
      </c>
      <c r="G159" s="597"/>
      <c r="H159" s="597"/>
      <c r="I159" s="597">
        <v>0</v>
      </c>
      <c r="J159" s="597">
        <v>0</v>
      </c>
      <c r="K159" s="597">
        <v>0</v>
      </c>
      <c r="L159" s="597">
        <v>0</v>
      </c>
      <c r="M159" s="598">
        <v>0</v>
      </c>
      <c r="N159" s="598">
        <v>0</v>
      </c>
      <c r="O159" s="598">
        <v>0</v>
      </c>
      <c r="P159" s="598">
        <v>0</v>
      </c>
      <c r="Q159" s="598">
        <v>0</v>
      </c>
      <c r="R159" s="598">
        <v>0</v>
      </c>
      <c r="S159" s="598">
        <v>0</v>
      </c>
      <c r="T159" s="598">
        <v>0</v>
      </c>
      <c r="U159" s="598">
        <v>0</v>
      </c>
      <c r="V159" s="598">
        <v>0</v>
      </c>
      <c r="W159" s="598">
        <v>0</v>
      </c>
      <c r="X159" s="598">
        <v>0</v>
      </c>
      <c r="Y159" s="598">
        <v>0</v>
      </c>
      <c r="Z159" s="598">
        <v>0</v>
      </c>
      <c r="AA159" s="598">
        <v>0</v>
      </c>
      <c r="AB159" s="598">
        <v>5.0000000000000001E-4</v>
      </c>
      <c r="AC159" s="598">
        <v>1E-3</v>
      </c>
      <c r="AD159" s="598">
        <v>1E-3</v>
      </c>
      <c r="AE159" s="598">
        <v>1E-3</v>
      </c>
      <c r="AF159" s="598">
        <v>1E-3</v>
      </c>
      <c r="AG159" s="598">
        <v>1E-3</v>
      </c>
      <c r="AH159" s="598">
        <v>1E-3</v>
      </c>
      <c r="AI159" s="598">
        <v>1E-3</v>
      </c>
      <c r="AJ159" s="598">
        <v>1E-3</v>
      </c>
      <c r="AK159" s="598">
        <v>1E-3</v>
      </c>
      <c r="AL159" s="598"/>
      <c r="AM159" s="598"/>
      <c r="AN159" s="598"/>
      <c r="AO159" s="598"/>
      <c r="AP159" s="598"/>
      <c r="AQ159" s="598"/>
      <c r="AR159" s="598"/>
      <c r="AS159" s="598"/>
      <c r="AT159" s="598"/>
      <c r="AU159" s="598"/>
      <c r="AV159" s="598"/>
      <c r="AW159" s="598"/>
      <c r="AX159" s="598"/>
      <c r="AY159" s="598"/>
      <c r="AZ159" s="598"/>
      <c r="BA159" s="598"/>
      <c r="BB159" s="598"/>
      <c r="BC159" s="598"/>
      <c r="BD159" s="598"/>
      <c r="BE159" s="598"/>
      <c r="BF159" s="598"/>
      <c r="BG159" s="598"/>
      <c r="BH159" s="598"/>
      <c r="BI159" s="598"/>
      <c r="BJ159" s="598"/>
      <c r="BK159" s="598"/>
      <c r="BL159" s="598"/>
      <c r="BM159" s="598"/>
      <c r="BN159" s="598"/>
      <c r="BO159" s="598"/>
      <c r="BP159" s="598"/>
      <c r="BQ159" s="598"/>
      <c r="BR159" s="598"/>
      <c r="BS159" s="598"/>
      <c r="BT159" s="598"/>
      <c r="BU159" s="598"/>
      <c r="BV159" s="598"/>
      <c r="BW159" s="598"/>
      <c r="BX159" s="598"/>
      <c r="BY159" s="598"/>
      <c r="BZ159" s="598"/>
      <c r="CA159" s="598"/>
      <c r="CB159" s="598"/>
      <c r="CC159" s="598"/>
      <c r="CD159" s="598"/>
      <c r="CE159" s="598"/>
      <c r="CF159" s="598"/>
      <c r="CG159" s="598"/>
      <c r="CH159" s="598"/>
      <c r="CI159" s="599"/>
      <c r="CK159" s="1296"/>
    </row>
    <row r="160" spans="2:89" ht="28.5" x14ac:dyDescent="0.2">
      <c r="B160" s="766" t="s">
        <v>748</v>
      </c>
      <c r="C160" s="767" t="s">
        <v>550</v>
      </c>
      <c r="D160" s="602" t="s">
        <v>551</v>
      </c>
      <c r="E160" s="603" t="s">
        <v>344</v>
      </c>
      <c r="F160" s="604">
        <v>2</v>
      </c>
      <c r="G160" s="597"/>
      <c r="H160" s="597"/>
      <c r="I160" s="597">
        <v>0</v>
      </c>
      <c r="J160" s="597">
        <v>0</v>
      </c>
      <c r="K160" s="597">
        <v>0</v>
      </c>
      <c r="L160" s="597">
        <v>0</v>
      </c>
      <c r="M160" s="598">
        <v>0</v>
      </c>
      <c r="N160" s="598">
        <v>0</v>
      </c>
      <c r="O160" s="598">
        <v>0</v>
      </c>
      <c r="P160" s="598">
        <v>0</v>
      </c>
      <c r="Q160" s="598">
        <v>0</v>
      </c>
      <c r="R160" s="598">
        <v>0</v>
      </c>
      <c r="S160" s="598">
        <v>0</v>
      </c>
      <c r="T160" s="598">
        <v>0</v>
      </c>
      <c r="U160" s="598">
        <v>0</v>
      </c>
      <c r="V160" s="598">
        <v>0</v>
      </c>
      <c r="W160" s="598">
        <v>0</v>
      </c>
      <c r="X160" s="598">
        <v>0</v>
      </c>
      <c r="Y160" s="598">
        <v>0</v>
      </c>
      <c r="Z160" s="598">
        <v>0</v>
      </c>
      <c r="AA160" s="598">
        <v>0</v>
      </c>
      <c r="AB160" s="598">
        <v>0</v>
      </c>
      <c r="AC160" s="598">
        <v>0</v>
      </c>
      <c r="AD160" s="598">
        <v>0</v>
      </c>
      <c r="AE160" s="598">
        <v>0</v>
      </c>
      <c r="AF160" s="598">
        <v>0</v>
      </c>
      <c r="AG160" s="598">
        <v>0</v>
      </c>
      <c r="AH160" s="598">
        <v>0</v>
      </c>
      <c r="AI160" s="598">
        <v>0</v>
      </c>
      <c r="AJ160" s="598">
        <v>0</v>
      </c>
      <c r="AK160" s="598">
        <v>0</v>
      </c>
      <c r="AL160" s="598"/>
      <c r="AM160" s="598"/>
      <c r="AN160" s="598"/>
      <c r="AO160" s="598"/>
      <c r="AP160" s="598"/>
      <c r="AQ160" s="598"/>
      <c r="AR160" s="598"/>
      <c r="AS160" s="598"/>
      <c r="AT160" s="598"/>
      <c r="AU160" s="598"/>
      <c r="AV160" s="598"/>
      <c r="AW160" s="598"/>
      <c r="AX160" s="598"/>
      <c r="AY160" s="598"/>
      <c r="AZ160" s="598"/>
      <c r="BA160" s="598"/>
      <c r="BB160" s="598"/>
      <c r="BC160" s="598"/>
      <c r="BD160" s="598"/>
      <c r="BE160" s="598"/>
      <c r="BF160" s="598"/>
      <c r="BG160" s="598"/>
      <c r="BH160" s="598"/>
      <c r="BI160" s="598"/>
      <c r="BJ160" s="598"/>
      <c r="BK160" s="598"/>
      <c r="BL160" s="598"/>
      <c r="BM160" s="598"/>
      <c r="BN160" s="598"/>
      <c r="BO160" s="598"/>
      <c r="BP160" s="598"/>
      <c r="BQ160" s="598"/>
      <c r="BR160" s="598"/>
      <c r="BS160" s="598"/>
      <c r="BT160" s="598"/>
      <c r="BU160" s="598"/>
      <c r="BV160" s="598"/>
      <c r="BW160" s="598"/>
      <c r="BX160" s="598"/>
      <c r="BY160" s="598"/>
      <c r="BZ160" s="598"/>
      <c r="CA160" s="598"/>
      <c r="CB160" s="598"/>
      <c r="CC160" s="598"/>
      <c r="CD160" s="598"/>
      <c r="CE160" s="598"/>
      <c r="CF160" s="598"/>
      <c r="CG160" s="598"/>
      <c r="CH160" s="598"/>
      <c r="CI160" s="599"/>
      <c r="CK160" s="1296"/>
    </row>
    <row r="161" spans="2:89" x14ac:dyDescent="0.2">
      <c r="B161" s="766" t="s">
        <v>749</v>
      </c>
      <c r="C161" s="767" t="s">
        <v>553</v>
      </c>
      <c r="D161" s="602" t="s">
        <v>554</v>
      </c>
      <c r="E161" s="603" t="s">
        <v>344</v>
      </c>
      <c r="F161" s="604">
        <v>2</v>
      </c>
      <c r="G161" s="597"/>
      <c r="H161" s="597"/>
      <c r="I161" s="597">
        <v>0</v>
      </c>
      <c r="J161" s="597">
        <v>1.35E-4</v>
      </c>
      <c r="K161" s="597">
        <v>2.7E-4</v>
      </c>
      <c r="L161" s="597">
        <v>2.0135E-2</v>
      </c>
      <c r="M161" s="598">
        <v>1.1888100000000001</v>
      </c>
      <c r="N161" s="598">
        <v>1.1688100000000001</v>
      </c>
      <c r="O161" s="598">
        <v>0</v>
      </c>
      <c r="P161" s="598">
        <v>0</v>
      </c>
      <c r="Q161" s="598">
        <v>0</v>
      </c>
      <c r="R161" s="598">
        <v>0</v>
      </c>
      <c r="S161" s="598">
        <v>0</v>
      </c>
      <c r="T161" s="598">
        <v>0</v>
      </c>
      <c r="U161" s="598">
        <v>0</v>
      </c>
      <c r="V161" s="598">
        <v>0</v>
      </c>
      <c r="W161" s="598">
        <v>0</v>
      </c>
      <c r="X161" s="598">
        <v>0</v>
      </c>
      <c r="Y161" s="598">
        <v>0</v>
      </c>
      <c r="Z161" s="598">
        <v>0</v>
      </c>
      <c r="AA161" s="598">
        <v>0</v>
      </c>
      <c r="AB161" s="598">
        <v>5.0000000000000001E-4</v>
      </c>
      <c r="AC161" s="598">
        <v>1E-3</v>
      </c>
      <c r="AD161" s="598">
        <v>1E-3</v>
      </c>
      <c r="AE161" s="598">
        <v>1E-3</v>
      </c>
      <c r="AF161" s="598">
        <v>1E-3</v>
      </c>
      <c r="AG161" s="598">
        <v>1E-3</v>
      </c>
      <c r="AH161" s="598">
        <v>1E-3</v>
      </c>
      <c r="AI161" s="598">
        <v>1E-3</v>
      </c>
      <c r="AJ161" s="598">
        <v>1E-3</v>
      </c>
      <c r="AK161" s="598">
        <v>1E-3</v>
      </c>
      <c r="AL161" s="598"/>
      <c r="AM161" s="598"/>
      <c r="AN161" s="598"/>
      <c r="AO161" s="598"/>
      <c r="AP161" s="598"/>
      <c r="AQ161" s="598"/>
      <c r="AR161" s="598"/>
      <c r="AS161" s="598"/>
      <c r="AT161" s="598"/>
      <c r="AU161" s="598"/>
      <c r="AV161" s="598"/>
      <c r="AW161" s="598"/>
      <c r="AX161" s="598"/>
      <c r="AY161" s="598"/>
      <c r="AZ161" s="598"/>
      <c r="BA161" s="598"/>
      <c r="BB161" s="598"/>
      <c r="BC161" s="598"/>
      <c r="BD161" s="598"/>
      <c r="BE161" s="598"/>
      <c r="BF161" s="598"/>
      <c r="BG161" s="598"/>
      <c r="BH161" s="598"/>
      <c r="BI161" s="598"/>
      <c r="BJ161" s="598"/>
      <c r="BK161" s="598"/>
      <c r="BL161" s="598"/>
      <c r="BM161" s="598"/>
      <c r="BN161" s="598"/>
      <c r="BO161" s="598"/>
      <c r="BP161" s="598"/>
      <c r="BQ161" s="598"/>
      <c r="BR161" s="598"/>
      <c r="BS161" s="598"/>
      <c r="BT161" s="598"/>
      <c r="BU161" s="598"/>
      <c r="BV161" s="598"/>
      <c r="BW161" s="598"/>
      <c r="BX161" s="598"/>
      <c r="BY161" s="598"/>
      <c r="BZ161" s="598"/>
      <c r="CA161" s="598"/>
      <c r="CB161" s="598"/>
      <c r="CC161" s="598"/>
      <c r="CD161" s="598"/>
      <c r="CE161" s="598"/>
      <c r="CF161" s="598"/>
      <c r="CG161" s="598"/>
      <c r="CH161" s="598"/>
      <c r="CI161" s="599"/>
      <c r="CK161" s="1296"/>
    </row>
    <row r="162" spans="2:89" ht="28.5" x14ac:dyDescent="0.2">
      <c r="B162" s="766" t="s">
        <v>750</v>
      </c>
      <c r="C162" s="767" t="s">
        <v>556</v>
      </c>
      <c r="D162" s="602" t="s">
        <v>557</v>
      </c>
      <c r="E162" s="603" t="s">
        <v>344</v>
      </c>
      <c r="F162" s="604">
        <v>2</v>
      </c>
      <c r="G162" s="597"/>
      <c r="H162" s="597"/>
      <c r="I162" s="597">
        <v>0</v>
      </c>
      <c r="J162" s="597">
        <v>-1.0181128259833194E-2</v>
      </c>
      <c r="K162" s="597">
        <v>-3.6266484965965518E-3</v>
      </c>
      <c r="L162" s="597">
        <v>-1.1793110247102945E-2</v>
      </c>
      <c r="M162" s="598">
        <v>-5.5835480028324724E-2</v>
      </c>
      <c r="N162" s="598">
        <v>-5.131480785867204E-2</v>
      </c>
      <c r="O162" s="598">
        <v>-8.643056900048407E-3</v>
      </c>
      <c r="P162" s="598">
        <v>-7.9228036456839845E-3</v>
      </c>
      <c r="Q162" s="598">
        <v>-7.0583099548073847E-3</v>
      </c>
      <c r="R162" s="598">
        <v>-6.3585580486531512E-3</v>
      </c>
      <c r="S162" s="598">
        <v>-5.5443693559933394E-3</v>
      </c>
      <c r="T162" s="598">
        <v>-5.2420445447278752E-3</v>
      </c>
      <c r="U162" s="598">
        <v>-5.1669632357533857E-3</v>
      </c>
      <c r="V162" s="598">
        <v>-5.1279200955445248E-3</v>
      </c>
      <c r="W162" s="598">
        <v>-5.0673469041182528E-3</v>
      </c>
      <c r="X162" s="598">
        <v>-4.9514078909194126E-3</v>
      </c>
      <c r="Y162" s="598">
        <v>-4.8353788686679167E-3</v>
      </c>
      <c r="Z162" s="598">
        <v>-4.8094567881626915E-3</v>
      </c>
      <c r="AA162" s="598">
        <v>-5.6500222025288593E-3</v>
      </c>
      <c r="AB162" s="598">
        <v>-6.1251854830253194E-3</v>
      </c>
      <c r="AC162" s="598">
        <v>-6.6015784400601518E-3</v>
      </c>
      <c r="AD162" s="598">
        <v>-6.5385624853266933E-3</v>
      </c>
      <c r="AE162" s="598">
        <v>-6.4653735605890716E-3</v>
      </c>
      <c r="AF162" s="598">
        <v>-6.4003378089871887E-3</v>
      </c>
      <c r="AG162" s="598">
        <v>-6.360516399951166E-3</v>
      </c>
      <c r="AH162" s="598">
        <v>-6.319504218922134E-3</v>
      </c>
      <c r="AI162" s="598">
        <v>-6.3008065429208671E-3</v>
      </c>
      <c r="AJ162" s="598">
        <v>-6.2975161291252135E-3</v>
      </c>
      <c r="AK162" s="598">
        <v>-6.2892976676707235E-3</v>
      </c>
      <c r="AL162" s="598"/>
      <c r="AM162" s="598"/>
      <c r="AN162" s="598"/>
      <c r="AO162" s="598"/>
      <c r="AP162" s="598"/>
      <c r="AQ162" s="598"/>
      <c r="AR162" s="598"/>
      <c r="AS162" s="598"/>
      <c r="AT162" s="598"/>
      <c r="AU162" s="598"/>
      <c r="AV162" s="598"/>
      <c r="AW162" s="598"/>
      <c r="AX162" s="598"/>
      <c r="AY162" s="598"/>
      <c r="AZ162" s="598"/>
      <c r="BA162" s="598"/>
      <c r="BB162" s="598"/>
      <c r="BC162" s="598"/>
      <c r="BD162" s="598"/>
      <c r="BE162" s="598"/>
      <c r="BF162" s="598"/>
      <c r="BG162" s="598"/>
      <c r="BH162" s="598"/>
      <c r="BI162" s="598"/>
      <c r="BJ162" s="598"/>
      <c r="BK162" s="598"/>
      <c r="BL162" s="598"/>
      <c r="BM162" s="598"/>
      <c r="BN162" s="598"/>
      <c r="BO162" s="598"/>
      <c r="BP162" s="598"/>
      <c r="BQ162" s="598"/>
      <c r="BR162" s="598"/>
      <c r="BS162" s="598"/>
      <c r="BT162" s="598"/>
      <c r="BU162" s="598"/>
      <c r="BV162" s="598"/>
      <c r="BW162" s="598"/>
      <c r="BX162" s="598"/>
      <c r="BY162" s="598"/>
      <c r="BZ162" s="598"/>
      <c r="CA162" s="598"/>
      <c r="CB162" s="598"/>
      <c r="CC162" s="598"/>
      <c r="CD162" s="598"/>
      <c r="CE162" s="598"/>
      <c r="CF162" s="598"/>
      <c r="CG162" s="598"/>
      <c r="CH162" s="598"/>
      <c r="CI162" s="599"/>
      <c r="CK162" s="1296"/>
    </row>
    <row r="163" spans="2:89" x14ac:dyDescent="0.2">
      <c r="B163" s="766" t="s">
        <v>751</v>
      </c>
      <c r="C163" s="767" t="s">
        <v>559</v>
      </c>
      <c r="D163" s="690" t="s">
        <v>86</v>
      </c>
      <c r="E163" s="748" t="s">
        <v>344</v>
      </c>
      <c r="F163" s="749">
        <v>2</v>
      </c>
      <c r="G163" s="597"/>
      <c r="H163" s="597"/>
      <c r="I163" s="597">
        <v>0.23</v>
      </c>
      <c r="J163" s="597">
        <v>0.238856738137941</v>
      </c>
      <c r="K163" s="597">
        <v>0.24115899651264597</v>
      </c>
      <c r="L163" s="597">
        <v>0.25162771663785649</v>
      </c>
      <c r="M163" s="598">
        <v>0.30587392851991108</v>
      </c>
      <c r="N163" s="598">
        <v>0.35559946823231242</v>
      </c>
      <c r="O163" s="598">
        <v>0.36265325698609224</v>
      </c>
      <c r="P163" s="598">
        <v>0.36898679248550431</v>
      </c>
      <c r="Q163" s="598">
        <v>0.37427924894445724</v>
      </c>
      <c r="R163" s="598">
        <v>0.37887195349725555</v>
      </c>
      <c r="S163" s="598">
        <v>0.38265046935739216</v>
      </c>
      <c r="T163" s="598">
        <v>0.38612666040626314</v>
      </c>
      <c r="U163" s="598">
        <v>0.38952777014616174</v>
      </c>
      <c r="V163" s="598">
        <v>0.39288983674584926</v>
      </c>
      <c r="W163" s="598">
        <v>0.39619133015411079</v>
      </c>
      <c r="X163" s="598">
        <v>0.3993768845491768</v>
      </c>
      <c r="Y163" s="598">
        <v>0.4024464099219896</v>
      </c>
      <c r="Z163" s="598">
        <v>0.40549001321429479</v>
      </c>
      <c r="AA163" s="598">
        <v>0.40849125517304141</v>
      </c>
      <c r="AB163" s="598">
        <v>0.41146766041228294</v>
      </c>
      <c r="AC163" s="598">
        <v>0.41442045860855969</v>
      </c>
      <c r="AD163" s="598">
        <v>0.41731024085010232</v>
      </c>
      <c r="AE163" s="598">
        <v>0.42012683416690527</v>
      </c>
      <c r="AF163" s="598">
        <v>0.42287839173210945</v>
      </c>
      <c r="AG163" s="598">
        <v>0.4255901278882751</v>
      </c>
      <c r="AH163" s="598">
        <v>0.42826085186341345</v>
      </c>
      <c r="AI163" s="598">
        <v>0.43091287816254886</v>
      </c>
      <c r="AJ163" s="598">
        <v>0.4335616140478909</v>
      </c>
      <c r="AK163" s="598">
        <v>0.43620213147177733</v>
      </c>
      <c r="AL163" s="598"/>
      <c r="AM163" s="598"/>
      <c r="AN163" s="598"/>
      <c r="AO163" s="598"/>
      <c r="AP163" s="598"/>
      <c r="AQ163" s="598"/>
      <c r="AR163" s="598"/>
      <c r="AS163" s="598"/>
      <c r="AT163" s="598"/>
      <c r="AU163" s="598"/>
      <c r="AV163" s="598"/>
      <c r="AW163" s="598"/>
      <c r="AX163" s="598"/>
      <c r="AY163" s="598"/>
      <c r="AZ163" s="598"/>
      <c r="BA163" s="598"/>
      <c r="BB163" s="598"/>
      <c r="BC163" s="598"/>
      <c r="BD163" s="598"/>
      <c r="BE163" s="598"/>
      <c r="BF163" s="598"/>
      <c r="BG163" s="598"/>
      <c r="BH163" s="598"/>
      <c r="BI163" s="598"/>
      <c r="BJ163" s="598"/>
      <c r="BK163" s="598"/>
      <c r="BL163" s="598"/>
      <c r="BM163" s="598"/>
      <c r="BN163" s="598"/>
      <c r="BO163" s="598"/>
      <c r="BP163" s="598"/>
      <c r="BQ163" s="598"/>
      <c r="BR163" s="598"/>
      <c r="BS163" s="598"/>
      <c r="BT163" s="598"/>
      <c r="BU163" s="598"/>
      <c r="BV163" s="598"/>
      <c r="BW163" s="598"/>
      <c r="BX163" s="598"/>
      <c r="BY163" s="598"/>
      <c r="BZ163" s="598"/>
      <c r="CA163" s="598"/>
      <c r="CB163" s="598"/>
      <c r="CC163" s="598"/>
      <c r="CD163" s="598"/>
      <c r="CE163" s="598"/>
      <c r="CF163" s="598"/>
      <c r="CG163" s="598"/>
      <c r="CH163" s="598"/>
      <c r="CI163" s="599"/>
      <c r="CK163" s="1296"/>
    </row>
    <row r="164" spans="2:89" ht="28.5" x14ac:dyDescent="0.2">
      <c r="B164" s="766" t="s">
        <v>752</v>
      </c>
      <c r="C164" s="767" t="s">
        <v>561</v>
      </c>
      <c r="D164" s="690" t="s">
        <v>86</v>
      </c>
      <c r="E164" s="748" t="s">
        <v>344</v>
      </c>
      <c r="F164" s="749">
        <v>2</v>
      </c>
      <c r="G164" s="597"/>
      <c r="H164" s="597"/>
      <c r="I164" s="597">
        <v>3.4140000000000001</v>
      </c>
      <c r="J164" s="597">
        <v>3.3693005048847255</v>
      </c>
      <c r="K164" s="597">
        <v>3.3201527315590238</v>
      </c>
      <c r="L164" s="597">
        <v>2.9993430120398479</v>
      </c>
      <c r="M164" s="598">
        <v>1.4052422679070486</v>
      </c>
      <c r="N164" s="598">
        <v>0.10542200459851973</v>
      </c>
      <c r="O164" s="598">
        <v>0.10248897655043732</v>
      </c>
      <c r="P164" s="598">
        <v>9.9555948502354885E-2</v>
      </c>
      <c r="Q164" s="598">
        <v>9.6622920454272454E-2</v>
      </c>
      <c r="R164" s="598">
        <v>9.4667568422217505E-2</v>
      </c>
      <c r="S164" s="598">
        <v>9.3689892406190023E-2</v>
      </c>
      <c r="T164" s="598">
        <v>9.2712216390162555E-2</v>
      </c>
      <c r="U164" s="598">
        <v>9.1734540374135073E-2</v>
      </c>
      <c r="V164" s="598">
        <v>9.0756864358107606E-2</v>
      </c>
      <c r="W164" s="598">
        <v>8.9779188342080138E-2</v>
      </c>
      <c r="X164" s="598">
        <v>8.8801512326052656E-2</v>
      </c>
      <c r="Y164" s="598">
        <v>8.7823836310025175E-2</v>
      </c>
      <c r="Z164" s="598">
        <v>8.6846160293997693E-2</v>
      </c>
      <c r="AA164" s="598">
        <v>8.5868484277970225E-2</v>
      </c>
      <c r="AB164" s="598">
        <v>8.440197025392901E-2</v>
      </c>
      <c r="AC164" s="598">
        <v>8.244661822187406E-2</v>
      </c>
      <c r="AD164" s="598">
        <v>8.0491266189819111E-2</v>
      </c>
      <c r="AE164" s="598">
        <v>7.8535914157764147E-2</v>
      </c>
      <c r="AF164" s="598">
        <v>7.6580562125709212E-2</v>
      </c>
      <c r="AG164" s="598">
        <v>7.4625210093654262E-2</v>
      </c>
      <c r="AH164" s="598">
        <v>7.2669858061599299E-2</v>
      </c>
      <c r="AI164" s="598">
        <v>7.0714506029544349E-2</v>
      </c>
      <c r="AJ164" s="598">
        <v>6.87591539974894E-2</v>
      </c>
      <c r="AK164" s="598">
        <v>6.6803801965434451E-2</v>
      </c>
      <c r="AL164" s="598"/>
      <c r="AM164" s="598"/>
      <c r="AN164" s="598"/>
      <c r="AO164" s="598"/>
      <c r="AP164" s="598"/>
      <c r="AQ164" s="598"/>
      <c r="AR164" s="598"/>
      <c r="AS164" s="598"/>
      <c r="AT164" s="598"/>
      <c r="AU164" s="598"/>
      <c r="AV164" s="598"/>
      <c r="AW164" s="598"/>
      <c r="AX164" s="598"/>
      <c r="AY164" s="598"/>
      <c r="AZ164" s="598"/>
      <c r="BA164" s="598"/>
      <c r="BB164" s="598"/>
      <c r="BC164" s="598"/>
      <c r="BD164" s="598"/>
      <c r="BE164" s="598"/>
      <c r="BF164" s="598"/>
      <c r="BG164" s="598"/>
      <c r="BH164" s="598"/>
      <c r="BI164" s="598"/>
      <c r="BJ164" s="598"/>
      <c r="BK164" s="598"/>
      <c r="BL164" s="598"/>
      <c r="BM164" s="598"/>
      <c r="BN164" s="598"/>
      <c r="BO164" s="598"/>
      <c r="BP164" s="598"/>
      <c r="BQ164" s="598"/>
      <c r="BR164" s="598"/>
      <c r="BS164" s="598"/>
      <c r="BT164" s="598"/>
      <c r="BU164" s="598"/>
      <c r="BV164" s="598"/>
      <c r="BW164" s="598"/>
      <c r="BX164" s="598"/>
      <c r="BY164" s="598"/>
      <c r="BZ164" s="598"/>
      <c r="CA164" s="598"/>
      <c r="CB164" s="598"/>
      <c r="CC164" s="598"/>
      <c r="CD164" s="598"/>
      <c r="CE164" s="598"/>
      <c r="CF164" s="598"/>
      <c r="CG164" s="598"/>
      <c r="CH164" s="598"/>
      <c r="CI164" s="599"/>
      <c r="CK164" s="1296"/>
    </row>
    <row r="165" spans="2:89" x14ac:dyDescent="0.2">
      <c r="B165" s="766" t="s">
        <v>753</v>
      </c>
      <c r="C165" s="767" t="s">
        <v>563</v>
      </c>
      <c r="D165" s="690" t="s">
        <v>86</v>
      </c>
      <c r="E165" s="748" t="s">
        <v>344</v>
      </c>
      <c r="F165" s="749">
        <v>2</v>
      </c>
      <c r="G165" s="597"/>
      <c r="H165" s="597"/>
      <c r="I165" s="597">
        <v>7.8E-2</v>
      </c>
      <c r="J165" s="597">
        <v>7.6933676633784712E-2</v>
      </c>
      <c r="K165" s="597">
        <v>7.5811449959485896E-2</v>
      </c>
      <c r="L165" s="597">
        <v>6.8486169478661624E-2</v>
      </c>
      <c r="M165" s="598">
        <v>3.208691361146071E-2</v>
      </c>
      <c r="N165" s="598">
        <v>2.4071769199896192E-3</v>
      </c>
      <c r="O165" s="598">
        <v>2.3402049680720464E-3</v>
      </c>
      <c r="P165" s="598">
        <v>2.2732330161544731E-3</v>
      </c>
      <c r="Q165" s="598">
        <v>2.2062610642369002E-3</v>
      </c>
      <c r="R165" s="598">
        <v>2.1616130962918518E-3</v>
      </c>
      <c r="S165" s="598">
        <v>2.1392891123193274E-3</v>
      </c>
      <c r="T165" s="598">
        <v>2.116965128346803E-3</v>
      </c>
      <c r="U165" s="598">
        <v>2.0946411443742785E-3</v>
      </c>
      <c r="V165" s="598">
        <v>2.0723171604017545E-3</v>
      </c>
      <c r="W165" s="598">
        <v>2.0499931764292301E-3</v>
      </c>
      <c r="X165" s="598">
        <v>2.0276691924567057E-3</v>
      </c>
      <c r="Y165" s="598">
        <v>2.0053452084841813E-3</v>
      </c>
      <c r="Z165" s="598">
        <v>1.9830212245116573E-3</v>
      </c>
      <c r="AA165" s="598">
        <v>1.9606972405391328E-3</v>
      </c>
      <c r="AB165" s="598">
        <v>1.9272112645803462E-3</v>
      </c>
      <c r="AC165" s="598">
        <v>1.8825632966352976E-3</v>
      </c>
      <c r="AD165" s="598">
        <v>1.8379153286902489E-3</v>
      </c>
      <c r="AE165" s="598">
        <v>1.7932673607452003E-3</v>
      </c>
      <c r="AF165" s="598">
        <v>1.7486193928001516E-3</v>
      </c>
      <c r="AG165" s="598">
        <v>1.703971424855103E-3</v>
      </c>
      <c r="AH165" s="598">
        <v>1.6593234569100544E-3</v>
      </c>
      <c r="AI165" s="598">
        <v>1.6146754889650057E-3</v>
      </c>
      <c r="AJ165" s="598">
        <v>1.5700275210199571E-3</v>
      </c>
      <c r="AK165" s="598">
        <v>1.5253795530749085E-3</v>
      </c>
      <c r="AL165" s="598"/>
      <c r="AM165" s="598"/>
      <c r="AN165" s="598"/>
      <c r="AO165" s="598"/>
      <c r="AP165" s="598"/>
      <c r="AQ165" s="598"/>
      <c r="AR165" s="598"/>
      <c r="AS165" s="598"/>
      <c r="AT165" s="598"/>
      <c r="AU165" s="598"/>
      <c r="AV165" s="598"/>
      <c r="AW165" s="598"/>
      <c r="AX165" s="598"/>
      <c r="AY165" s="598"/>
      <c r="AZ165" s="598"/>
      <c r="BA165" s="598"/>
      <c r="BB165" s="598"/>
      <c r="BC165" s="598"/>
      <c r="BD165" s="598"/>
      <c r="BE165" s="598"/>
      <c r="BF165" s="598"/>
      <c r="BG165" s="598"/>
      <c r="BH165" s="598"/>
      <c r="BI165" s="598"/>
      <c r="BJ165" s="598"/>
      <c r="BK165" s="598"/>
      <c r="BL165" s="598"/>
      <c r="BM165" s="598"/>
      <c r="BN165" s="598"/>
      <c r="BO165" s="598"/>
      <c r="BP165" s="598"/>
      <c r="BQ165" s="598"/>
      <c r="BR165" s="598"/>
      <c r="BS165" s="598"/>
      <c r="BT165" s="598"/>
      <c r="BU165" s="598"/>
      <c r="BV165" s="598"/>
      <c r="BW165" s="598"/>
      <c r="BX165" s="598"/>
      <c r="BY165" s="598"/>
      <c r="BZ165" s="598"/>
      <c r="CA165" s="598"/>
      <c r="CB165" s="598"/>
      <c r="CC165" s="598"/>
      <c r="CD165" s="598"/>
      <c r="CE165" s="598"/>
      <c r="CF165" s="598"/>
      <c r="CG165" s="598"/>
      <c r="CH165" s="598"/>
      <c r="CI165" s="599"/>
      <c r="CK165" s="1296"/>
    </row>
    <row r="166" spans="2:89" ht="29.25" thickBot="1" x14ac:dyDescent="0.25">
      <c r="B166" s="768" t="s">
        <v>754</v>
      </c>
      <c r="C166" s="769" t="s">
        <v>565</v>
      </c>
      <c r="D166" s="770" t="s">
        <v>755</v>
      </c>
      <c r="E166" s="771" t="s">
        <v>344</v>
      </c>
      <c r="F166" s="772">
        <v>2</v>
      </c>
      <c r="G166" s="729">
        <f>SUM(G153:G156)+G163+G164+G165</f>
        <v>0</v>
      </c>
      <c r="H166" s="729">
        <f t="shared" ref="H166:AK166" si="90">SUM(H153:H156)+H163+H164+H165</f>
        <v>0</v>
      </c>
      <c r="I166" s="729">
        <f t="shared" si="90"/>
        <v>12.215</v>
      </c>
      <c r="J166" s="729">
        <f t="shared" si="90"/>
        <v>12.424252961385028</v>
      </c>
      <c r="K166" s="729">
        <f t="shared" si="90"/>
        <v>12.454526404246483</v>
      </c>
      <c r="L166" s="729">
        <f t="shared" si="90"/>
        <v>12.474483689219737</v>
      </c>
      <c r="M166" s="729">
        <f t="shared" si="90"/>
        <v>12.626309989845788</v>
      </c>
      <c r="N166" s="729">
        <f t="shared" si="90"/>
        <v>12.931030459389866</v>
      </c>
      <c r="O166" s="729">
        <f t="shared" si="90"/>
        <v>13.164243088003868</v>
      </c>
      <c r="P166" s="729">
        <f t="shared" si="90"/>
        <v>13.373858848093819</v>
      </c>
      <c r="Q166" s="729">
        <f t="shared" si="90"/>
        <v>13.549366875810637</v>
      </c>
      <c r="R166" s="729">
        <f t="shared" si="90"/>
        <v>13.702949698221051</v>
      </c>
      <c r="S166" s="729">
        <f t="shared" si="90"/>
        <v>13.830858148224266</v>
      </c>
      <c r="T166" s="729">
        <f t="shared" si="90"/>
        <v>13.948861861553635</v>
      </c>
      <c r="U166" s="729">
        <f t="shared" si="90"/>
        <v>14.064405768189053</v>
      </c>
      <c r="V166" s="729">
        <f t="shared" si="90"/>
        <v>14.178847132532852</v>
      </c>
      <c r="W166" s="729">
        <f t="shared" si="90"/>
        <v>14.291304003748028</v>
      </c>
      <c r="X166" s="729">
        <f t="shared" si="90"/>
        <v>14.399962492054707</v>
      </c>
      <c r="Y166" s="729">
        <f t="shared" si="90"/>
        <v>14.504819648584709</v>
      </c>
      <c r="Z166" s="729">
        <f t="shared" si="90"/>
        <v>14.608827548381885</v>
      </c>
      <c r="AA166" s="729">
        <f t="shared" si="90"/>
        <v>14.711447610203434</v>
      </c>
      <c r="AB166" s="729">
        <f t="shared" si="90"/>
        <v>14.812753973785957</v>
      </c>
      <c r="AC166" s="729">
        <f t="shared" si="90"/>
        <v>14.912786925675158</v>
      </c>
      <c r="AD166" s="729">
        <f t="shared" si="90"/>
        <v>15.01075535485688</v>
      </c>
      <c r="AE166" s="729">
        <f t="shared" si="90"/>
        <v>15.106325975456649</v>
      </c>
      <c r="AF166" s="729">
        <f t="shared" si="90"/>
        <v>15.199765900956427</v>
      </c>
      <c r="AG166" s="729">
        <f t="shared" si="90"/>
        <v>15.291901201245796</v>
      </c>
      <c r="AH166" s="729">
        <f t="shared" si="90"/>
        <v>15.382692864366271</v>
      </c>
      <c r="AI166" s="729">
        <f t="shared" si="90"/>
        <v>15.472871956006269</v>
      </c>
      <c r="AJ166" s="729">
        <f t="shared" si="90"/>
        <v>15.562943247422941</v>
      </c>
      <c r="AK166" s="729">
        <f t="shared" si="90"/>
        <v>15.652745286388116</v>
      </c>
      <c r="AL166" s="729"/>
      <c r="AM166" s="729"/>
      <c r="AN166" s="729"/>
      <c r="AO166" s="729"/>
      <c r="AP166" s="729"/>
      <c r="AQ166" s="729"/>
      <c r="AR166" s="729"/>
      <c r="AS166" s="729"/>
      <c r="AT166" s="729"/>
      <c r="AU166" s="729"/>
      <c r="AV166" s="729"/>
      <c r="AW166" s="729"/>
      <c r="AX166" s="729"/>
      <c r="AY166" s="729"/>
      <c r="AZ166" s="729"/>
      <c r="BA166" s="729"/>
      <c r="BB166" s="729"/>
      <c r="BC166" s="729"/>
      <c r="BD166" s="729"/>
      <c r="BE166" s="729"/>
      <c r="BF166" s="729"/>
      <c r="BG166" s="729"/>
      <c r="BH166" s="729"/>
      <c r="BI166" s="729"/>
      <c r="BJ166" s="729"/>
      <c r="BK166" s="729"/>
      <c r="BL166" s="729"/>
      <c r="BM166" s="729"/>
      <c r="BN166" s="729"/>
      <c r="BO166" s="729"/>
      <c r="BP166" s="729"/>
      <c r="BQ166" s="729"/>
      <c r="BR166" s="729"/>
      <c r="BS166" s="729"/>
      <c r="BT166" s="729"/>
      <c r="BU166" s="729"/>
      <c r="BV166" s="729"/>
      <c r="BW166" s="729"/>
      <c r="BX166" s="729"/>
      <c r="BY166" s="729"/>
      <c r="BZ166" s="729"/>
      <c r="CA166" s="729"/>
      <c r="CB166" s="729"/>
      <c r="CC166" s="729"/>
      <c r="CD166" s="729"/>
      <c r="CE166" s="729"/>
      <c r="CF166" s="729"/>
      <c r="CG166" s="729"/>
      <c r="CH166" s="729"/>
      <c r="CI166" s="729"/>
      <c r="CK166" s="1296"/>
    </row>
    <row r="167" spans="2:89" x14ac:dyDescent="0.2">
      <c r="B167" s="708" t="s">
        <v>756</v>
      </c>
      <c r="C167" s="709" t="s">
        <v>568</v>
      </c>
      <c r="D167" s="710" t="s">
        <v>86</v>
      </c>
      <c r="E167" s="773" t="s">
        <v>344</v>
      </c>
      <c r="F167" s="774">
        <v>2</v>
      </c>
      <c r="G167" s="593"/>
      <c r="H167" s="593"/>
      <c r="I167" s="593">
        <v>0.2228945</v>
      </c>
      <c r="J167" s="593">
        <v>0.22953270318025651</v>
      </c>
      <c r="K167" s="593">
        <v>0.2352137440827955</v>
      </c>
      <c r="L167" s="593">
        <v>0.2404254557778335</v>
      </c>
      <c r="M167" s="594">
        <v>0.24655893937977372</v>
      </c>
      <c r="N167" s="594">
        <v>0.25357297295599301</v>
      </c>
      <c r="O167" s="594">
        <v>0.26036976253301897</v>
      </c>
      <c r="P167" s="594">
        <v>0.26720628711451949</v>
      </c>
      <c r="Q167" s="594">
        <v>0.27450776596569404</v>
      </c>
      <c r="R167" s="594">
        <v>0.28006789667672954</v>
      </c>
      <c r="S167" s="594">
        <v>0.28867842500048929</v>
      </c>
      <c r="T167" s="594">
        <v>0.297718929825527</v>
      </c>
      <c r="U167" s="594">
        <v>0.305002365485046</v>
      </c>
      <c r="V167" s="594">
        <v>0.31085030756813603</v>
      </c>
      <c r="W167" s="594">
        <v>0.31530343317580456</v>
      </c>
      <c r="X167" s="594">
        <v>0.31939113187034279</v>
      </c>
      <c r="Y167" s="594">
        <v>0.32309601277342725</v>
      </c>
      <c r="Z167" s="594">
        <v>0.32740176288351802</v>
      </c>
      <c r="AA167" s="594">
        <v>0.33128847402541856</v>
      </c>
      <c r="AB167" s="594">
        <v>0.33503907073575379</v>
      </c>
      <c r="AC167" s="594">
        <v>0.33928252586763902</v>
      </c>
      <c r="AD167" s="594">
        <v>0.34449314920012103</v>
      </c>
      <c r="AE167" s="594">
        <v>0.35039029404144284</v>
      </c>
      <c r="AF167" s="594">
        <v>0.35630140162372131</v>
      </c>
      <c r="AG167" s="594">
        <v>0.36301425451317926</v>
      </c>
      <c r="AH167" s="594">
        <v>0.37002278916514059</v>
      </c>
      <c r="AI167" s="594">
        <v>0.37724776566979534</v>
      </c>
      <c r="AJ167" s="594">
        <v>0.38489577556049653</v>
      </c>
      <c r="AK167" s="594">
        <v>0.39249443734212774</v>
      </c>
      <c r="AL167" s="594"/>
      <c r="AM167" s="594"/>
      <c r="AN167" s="594"/>
      <c r="AO167" s="594"/>
      <c r="AP167" s="594"/>
      <c r="AQ167" s="594"/>
      <c r="AR167" s="594"/>
      <c r="AS167" s="594"/>
      <c r="AT167" s="594"/>
      <c r="AU167" s="594"/>
      <c r="AV167" s="594"/>
      <c r="AW167" s="594"/>
      <c r="AX167" s="594"/>
      <c r="AY167" s="594"/>
      <c r="AZ167" s="594"/>
      <c r="BA167" s="594"/>
      <c r="BB167" s="594"/>
      <c r="BC167" s="594"/>
      <c r="BD167" s="594"/>
      <c r="BE167" s="594"/>
      <c r="BF167" s="594"/>
      <c r="BG167" s="594"/>
      <c r="BH167" s="594"/>
      <c r="BI167" s="594"/>
      <c r="BJ167" s="594"/>
      <c r="BK167" s="594"/>
      <c r="BL167" s="594"/>
      <c r="BM167" s="594"/>
      <c r="BN167" s="594"/>
      <c r="BO167" s="594"/>
      <c r="BP167" s="594"/>
      <c r="BQ167" s="594"/>
      <c r="BR167" s="594"/>
      <c r="BS167" s="594"/>
      <c r="BT167" s="594"/>
      <c r="BU167" s="594"/>
      <c r="BV167" s="594"/>
      <c r="BW167" s="594"/>
      <c r="BX167" s="594"/>
      <c r="BY167" s="594"/>
      <c r="BZ167" s="594"/>
      <c r="CA167" s="594"/>
      <c r="CB167" s="594"/>
      <c r="CC167" s="594"/>
      <c r="CD167" s="594"/>
      <c r="CE167" s="594"/>
      <c r="CF167" s="594"/>
      <c r="CG167" s="594"/>
      <c r="CH167" s="594"/>
      <c r="CI167" s="595"/>
      <c r="CK167" s="1296"/>
    </row>
    <row r="168" spans="2:89" x14ac:dyDescent="0.2">
      <c r="B168" s="720" t="s">
        <v>757</v>
      </c>
      <c r="C168" s="721" t="s">
        <v>570</v>
      </c>
      <c r="D168" s="715" t="s">
        <v>86</v>
      </c>
      <c r="E168" s="775" t="s">
        <v>344</v>
      </c>
      <c r="F168" s="776">
        <v>2</v>
      </c>
      <c r="G168" s="597"/>
      <c r="H168" s="597"/>
      <c r="I168" s="597">
        <v>0</v>
      </c>
      <c r="J168" s="597">
        <v>0</v>
      </c>
      <c r="K168" s="597">
        <v>0</v>
      </c>
      <c r="L168" s="597">
        <v>0</v>
      </c>
      <c r="M168" s="598">
        <v>0</v>
      </c>
      <c r="N168" s="598">
        <v>0</v>
      </c>
      <c r="O168" s="598">
        <v>0</v>
      </c>
      <c r="P168" s="598">
        <v>0</v>
      </c>
      <c r="Q168" s="598">
        <v>0</v>
      </c>
      <c r="R168" s="598">
        <v>0</v>
      </c>
      <c r="S168" s="598">
        <v>0</v>
      </c>
      <c r="T168" s="598">
        <v>0</v>
      </c>
      <c r="U168" s="598">
        <v>0</v>
      </c>
      <c r="V168" s="598">
        <v>0</v>
      </c>
      <c r="W168" s="598">
        <v>0</v>
      </c>
      <c r="X168" s="598">
        <v>0</v>
      </c>
      <c r="Y168" s="598">
        <v>0</v>
      </c>
      <c r="Z168" s="598">
        <v>0</v>
      </c>
      <c r="AA168" s="598">
        <v>0</v>
      </c>
      <c r="AB168" s="598">
        <v>0</v>
      </c>
      <c r="AC168" s="598">
        <v>0</v>
      </c>
      <c r="AD168" s="598">
        <v>0</v>
      </c>
      <c r="AE168" s="598">
        <v>0</v>
      </c>
      <c r="AF168" s="598">
        <v>0</v>
      </c>
      <c r="AG168" s="598">
        <v>0</v>
      </c>
      <c r="AH168" s="598">
        <v>0</v>
      </c>
      <c r="AI168" s="598">
        <v>0</v>
      </c>
      <c r="AJ168" s="598">
        <v>0</v>
      </c>
      <c r="AK168" s="598">
        <v>0</v>
      </c>
      <c r="AL168" s="598"/>
      <c r="AM168" s="598"/>
      <c r="AN168" s="598"/>
      <c r="AO168" s="598"/>
      <c r="AP168" s="598"/>
      <c r="AQ168" s="598"/>
      <c r="AR168" s="598"/>
      <c r="AS168" s="598"/>
      <c r="AT168" s="598"/>
      <c r="AU168" s="598"/>
      <c r="AV168" s="598"/>
      <c r="AW168" s="598"/>
      <c r="AX168" s="598"/>
      <c r="AY168" s="598"/>
      <c r="AZ168" s="598"/>
      <c r="BA168" s="598"/>
      <c r="BB168" s="598"/>
      <c r="BC168" s="598"/>
      <c r="BD168" s="598"/>
      <c r="BE168" s="598"/>
      <c r="BF168" s="598"/>
      <c r="BG168" s="598"/>
      <c r="BH168" s="598"/>
      <c r="BI168" s="598"/>
      <c r="BJ168" s="598"/>
      <c r="BK168" s="598"/>
      <c r="BL168" s="598"/>
      <c r="BM168" s="598"/>
      <c r="BN168" s="598"/>
      <c r="BO168" s="598"/>
      <c r="BP168" s="598"/>
      <c r="BQ168" s="598"/>
      <c r="BR168" s="598"/>
      <c r="BS168" s="598"/>
      <c r="BT168" s="598"/>
      <c r="BU168" s="598"/>
      <c r="BV168" s="598"/>
      <c r="BW168" s="598"/>
      <c r="BX168" s="598"/>
      <c r="BY168" s="598"/>
      <c r="BZ168" s="598"/>
      <c r="CA168" s="598"/>
      <c r="CB168" s="598"/>
      <c r="CC168" s="598"/>
      <c r="CD168" s="598"/>
      <c r="CE168" s="598"/>
      <c r="CF168" s="598"/>
      <c r="CG168" s="598"/>
      <c r="CH168" s="598"/>
      <c r="CI168" s="599"/>
      <c r="CK168" s="1296"/>
    </row>
    <row r="169" spans="2:89" x14ac:dyDescent="0.2">
      <c r="B169" s="713" t="s">
        <v>758</v>
      </c>
      <c r="C169" s="777" t="s">
        <v>572</v>
      </c>
      <c r="D169" s="715" t="s">
        <v>86</v>
      </c>
      <c r="E169" s="775" t="s">
        <v>344</v>
      </c>
      <c r="F169" s="776">
        <v>2</v>
      </c>
      <c r="G169" s="597"/>
      <c r="H169" s="597"/>
      <c r="I169" s="597">
        <v>16.861414125280735</v>
      </c>
      <c r="J169" s="597">
        <v>17.406992489696009</v>
      </c>
      <c r="K169" s="597">
        <v>17.54518716501147</v>
      </c>
      <c r="L169" s="597">
        <v>18.191790789120915</v>
      </c>
      <c r="M169" s="598">
        <v>22.793885227604243</v>
      </c>
      <c r="N169" s="598">
        <v>27.387782417402541</v>
      </c>
      <c r="O169" s="598">
        <v>27.85222146362841</v>
      </c>
      <c r="P169" s="598">
        <v>28.251319245388419</v>
      </c>
      <c r="Q169" s="598">
        <v>28.549048424705482</v>
      </c>
      <c r="R169" s="598">
        <v>28.790386490912443</v>
      </c>
      <c r="S169" s="598">
        <v>28.971118538187696</v>
      </c>
      <c r="T169" s="598">
        <v>29.132582306584396</v>
      </c>
      <c r="U169" s="598">
        <v>29.293831291675978</v>
      </c>
      <c r="V169" s="598">
        <v>29.459564765662559</v>
      </c>
      <c r="W169" s="598">
        <v>29.630901597491945</v>
      </c>
      <c r="X169" s="598">
        <v>29.797427837927223</v>
      </c>
      <c r="Y169" s="598">
        <v>29.969355972710741</v>
      </c>
      <c r="Z169" s="598">
        <v>30.139116108270784</v>
      </c>
      <c r="AA169" s="598">
        <v>30.291793470238076</v>
      </c>
      <c r="AB169" s="598">
        <v>30.438482948846936</v>
      </c>
      <c r="AC169" s="598">
        <v>30.588564097946254</v>
      </c>
      <c r="AD169" s="598">
        <v>30.741248251524894</v>
      </c>
      <c r="AE169" s="598">
        <v>30.893717826200493</v>
      </c>
      <c r="AF169" s="598">
        <v>31.046179987552435</v>
      </c>
      <c r="AG169" s="598">
        <v>31.194151456239776</v>
      </c>
      <c r="AH169" s="598">
        <v>31.339702215006021</v>
      </c>
      <c r="AI169" s="598">
        <v>31.494317683755142</v>
      </c>
      <c r="AJ169" s="598">
        <v>31.657928000538398</v>
      </c>
      <c r="AK169" s="598">
        <v>31.828618100796657</v>
      </c>
      <c r="AL169" s="598"/>
      <c r="AM169" s="598"/>
      <c r="AN169" s="598"/>
      <c r="AO169" s="598"/>
      <c r="AP169" s="598"/>
      <c r="AQ169" s="598"/>
      <c r="AR169" s="598"/>
      <c r="AS169" s="598"/>
      <c r="AT169" s="598"/>
      <c r="AU169" s="598"/>
      <c r="AV169" s="598"/>
      <c r="AW169" s="598"/>
      <c r="AX169" s="598"/>
      <c r="AY169" s="598"/>
      <c r="AZ169" s="598"/>
      <c r="BA169" s="598"/>
      <c r="BB169" s="598"/>
      <c r="BC169" s="598"/>
      <c r="BD169" s="598"/>
      <c r="BE169" s="598"/>
      <c r="BF169" s="598"/>
      <c r="BG169" s="598"/>
      <c r="BH169" s="598"/>
      <c r="BI169" s="598"/>
      <c r="BJ169" s="598"/>
      <c r="BK169" s="598"/>
      <c r="BL169" s="598"/>
      <c r="BM169" s="598"/>
      <c r="BN169" s="598"/>
      <c r="BO169" s="598"/>
      <c r="BP169" s="598"/>
      <c r="BQ169" s="598"/>
      <c r="BR169" s="598"/>
      <c r="BS169" s="598"/>
      <c r="BT169" s="598"/>
      <c r="BU169" s="598"/>
      <c r="BV169" s="598"/>
      <c r="BW169" s="598"/>
      <c r="BX169" s="598"/>
      <c r="BY169" s="598"/>
      <c r="BZ169" s="598"/>
      <c r="CA169" s="598"/>
      <c r="CB169" s="598"/>
      <c r="CC169" s="598"/>
      <c r="CD169" s="598"/>
      <c r="CE169" s="598"/>
      <c r="CF169" s="598"/>
      <c r="CG169" s="598"/>
      <c r="CH169" s="598"/>
      <c r="CI169" s="599"/>
      <c r="CK169" s="1296"/>
    </row>
    <row r="170" spans="2:89" x14ac:dyDescent="0.2">
      <c r="B170" s="713" t="s">
        <v>759</v>
      </c>
      <c r="C170" s="777" t="s">
        <v>574</v>
      </c>
      <c r="D170" s="715" t="s">
        <v>86</v>
      </c>
      <c r="E170" s="775" t="s">
        <v>344</v>
      </c>
      <c r="F170" s="776">
        <v>2</v>
      </c>
      <c r="G170" s="597"/>
      <c r="H170" s="597"/>
      <c r="I170" s="597">
        <v>9.8881450554464365</v>
      </c>
      <c r="J170" s="597">
        <v>9.7649371057985839</v>
      </c>
      <c r="K170" s="597">
        <v>9.6319790058662473</v>
      </c>
      <c r="L170" s="597">
        <v>8.9202220783995561</v>
      </c>
      <c r="M170" s="598">
        <v>4.6160319909614547</v>
      </c>
      <c r="N170" s="598">
        <v>0.64129997312160503</v>
      </c>
      <c r="O170" s="598">
        <v>0.62765297232263006</v>
      </c>
      <c r="P170" s="598">
        <v>0.61514943772102437</v>
      </c>
      <c r="Q170" s="598">
        <v>0.60275038726540264</v>
      </c>
      <c r="R170" s="598">
        <v>0.59200450052354414</v>
      </c>
      <c r="S170" s="598">
        <v>0.58293797223489108</v>
      </c>
      <c r="T170" s="598">
        <v>0.57401657337296041</v>
      </c>
      <c r="U170" s="598">
        <v>0.56523830927392849</v>
      </c>
      <c r="V170" s="598">
        <v>0.5566014439923257</v>
      </c>
      <c r="W170" s="598">
        <v>0.54810454846831247</v>
      </c>
      <c r="X170" s="598">
        <v>0.53974661382738243</v>
      </c>
      <c r="Y170" s="598">
        <v>0.53152544542584346</v>
      </c>
      <c r="Z170" s="598">
        <v>0.52344058123306969</v>
      </c>
      <c r="AA170" s="598">
        <v>0.51548901284067961</v>
      </c>
      <c r="AB170" s="598">
        <v>0.50503077920549111</v>
      </c>
      <c r="AC170" s="598">
        <v>0.49211620167637549</v>
      </c>
      <c r="AD170" s="598">
        <v>0.47941003873053156</v>
      </c>
      <c r="AE170" s="598">
        <v>0.46690733547005092</v>
      </c>
      <c r="AF170" s="598">
        <v>0.45460280641848833</v>
      </c>
      <c r="AG170" s="598">
        <v>0.44249109292637173</v>
      </c>
      <c r="AH170" s="598">
        <v>0.43056604111612229</v>
      </c>
      <c r="AI170" s="598">
        <v>0.41882184170907355</v>
      </c>
      <c r="AJ170" s="598">
        <v>0.4072538482480409</v>
      </c>
      <c r="AK170" s="598">
        <v>0.39585715048655917</v>
      </c>
      <c r="AL170" s="598"/>
      <c r="AM170" s="598"/>
      <c r="AN170" s="598"/>
      <c r="AO170" s="598"/>
      <c r="AP170" s="598"/>
      <c r="AQ170" s="598"/>
      <c r="AR170" s="598"/>
      <c r="AS170" s="598"/>
      <c r="AT170" s="598"/>
      <c r="AU170" s="598"/>
      <c r="AV170" s="598"/>
      <c r="AW170" s="598"/>
      <c r="AX170" s="598"/>
      <c r="AY170" s="598"/>
      <c r="AZ170" s="598"/>
      <c r="BA170" s="598"/>
      <c r="BB170" s="598"/>
      <c r="BC170" s="598"/>
      <c r="BD170" s="598"/>
      <c r="BE170" s="598"/>
      <c r="BF170" s="598"/>
      <c r="BG170" s="598"/>
      <c r="BH170" s="598"/>
      <c r="BI170" s="598"/>
      <c r="BJ170" s="598"/>
      <c r="BK170" s="598"/>
      <c r="BL170" s="598"/>
      <c r="BM170" s="598"/>
      <c r="BN170" s="598"/>
      <c r="BO170" s="598"/>
      <c r="BP170" s="598"/>
      <c r="BQ170" s="598"/>
      <c r="BR170" s="598"/>
      <c r="BS170" s="598"/>
      <c r="BT170" s="598"/>
      <c r="BU170" s="598"/>
      <c r="BV170" s="598"/>
      <c r="BW170" s="598"/>
      <c r="BX170" s="598"/>
      <c r="BY170" s="598"/>
      <c r="BZ170" s="598"/>
      <c r="CA170" s="598"/>
      <c r="CB170" s="598"/>
      <c r="CC170" s="598"/>
      <c r="CD170" s="598"/>
      <c r="CE170" s="598"/>
      <c r="CF170" s="598"/>
      <c r="CG170" s="598"/>
      <c r="CH170" s="598"/>
      <c r="CI170" s="599"/>
      <c r="CK170" s="1296"/>
    </row>
    <row r="171" spans="2:89" x14ac:dyDescent="0.2">
      <c r="B171" s="778" t="s">
        <v>760</v>
      </c>
      <c r="C171" s="777" t="s">
        <v>576</v>
      </c>
      <c r="D171" s="779" t="s">
        <v>761</v>
      </c>
      <c r="E171" s="775" t="s">
        <v>344</v>
      </c>
      <c r="F171" s="776">
        <v>2</v>
      </c>
      <c r="G171" s="569">
        <f t="shared" ref="G171:AK171" si="91">SUM(G167:G170)</f>
        <v>0</v>
      </c>
      <c r="H171" s="569">
        <f t="shared" si="91"/>
        <v>0</v>
      </c>
      <c r="I171" s="569">
        <f t="shared" si="91"/>
        <v>26.97245368072717</v>
      </c>
      <c r="J171" s="569">
        <f t="shared" si="91"/>
        <v>27.401462298674851</v>
      </c>
      <c r="K171" s="569">
        <f t="shared" si="91"/>
        <v>27.412379914960511</v>
      </c>
      <c r="L171" s="569">
        <f t="shared" si="91"/>
        <v>27.352438323298308</v>
      </c>
      <c r="M171" s="718">
        <f t="shared" si="91"/>
        <v>27.65647615794547</v>
      </c>
      <c r="N171" s="718">
        <f t="shared" si="91"/>
        <v>28.282655363480139</v>
      </c>
      <c r="O171" s="718">
        <f t="shared" si="91"/>
        <v>28.74024419848406</v>
      </c>
      <c r="P171" s="718">
        <f t="shared" si="91"/>
        <v>29.133674970223961</v>
      </c>
      <c r="Q171" s="718">
        <f t="shared" si="91"/>
        <v>29.426306577936579</v>
      </c>
      <c r="R171" s="718">
        <f t="shared" si="91"/>
        <v>29.662458888112717</v>
      </c>
      <c r="S171" s="718">
        <f t="shared" si="91"/>
        <v>29.842734935423078</v>
      </c>
      <c r="T171" s="718">
        <f t="shared" si="91"/>
        <v>30.004317809782886</v>
      </c>
      <c r="U171" s="718">
        <f t="shared" si="91"/>
        <v>30.164071966434953</v>
      </c>
      <c r="V171" s="718">
        <f t="shared" si="91"/>
        <v>30.327016517223019</v>
      </c>
      <c r="W171" s="718">
        <f t="shared" si="91"/>
        <v>30.494309579136061</v>
      </c>
      <c r="X171" s="718">
        <f t="shared" si="91"/>
        <v>30.65656558362495</v>
      </c>
      <c r="Y171" s="718">
        <f t="shared" si="91"/>
        <v>30.823977430910009</v>
      </c>
      <c r="Z171" s="718">
        <f t="shared" si="91"/>
        <v>30.989958452387373</v>
      </c>
      <c r="AA171" s="718">
        <f t="shared" si="91"/>
        <v>31.138570957104172</v>
      </c>
      <c r="AB171" s="718">
        <f t="shared" si="91"/>
        <v>31.27855279878818</v>
      </c>
      <c r="AC171" s="718">
        <f t="shared" si="91"/>
        <v>31.419962825490266</v>
      </c>
      <c r="AD171" s="718">
        <f t="shared" si="91"/>
        <v>31.565151439455548</v>
      </c>
      <c r="AE171" s="718">
        <f t="shared" si="91"/>
        <v>31.711015455711987</v>
      </c>
      <c r="AF171" s="718">
        <f t="shared" si="91"/>
        <v>31.857084195594645</v>
      </c>
      <c r="AG171" s="718">
        <f t="shared" si="91"/>
        <v>31.999656803679326</v>
      </c>
      <c r="AH171" s="718">
        <f t="shared" si="91"/>
        <v>32.140291045287285</v>
      </c>
      <c r="AI171" s="718">
        <f t="shared" si="91"/>
        <v>32.29038729113401</v>
      </c>
      <c r="AJ171" s="718">
        <f t="shared" si="91"/>
        <v>32.450077624346932</v>
      </c>
      <c r="AK171" s="718">
        <f t="shared" si="91"/>
        <v>32.616969688625339</v>
      </c>
      <c r="AL171" s="718"/>
      <c r="AM171" s="718"/>
      <c r="AN171" s="718"/>
      <c r="AO171" s="718"/>
      <c r="AP171" s="718"/>
      <c r="AQ171" s="718"/>
      <c r="AR171" s="718"/>
      <c r="AS171" s="718"/>
      <c r="AT171" s="718"/>
      <c r="AU171" s="718"/>
      <c r="AV171" s="718"/>
      <c r="AW171" s="718"/>
      <c r="AX171" s="718"/>
      <c r="AY171" s="718"/>
      <c r="AZ171" s="718"/>
      <c r="BA171" s="718"/>
      <c r="BB171" s="718"/>
      <c r="BC171" s="718"/>
      <c r="BD171" s="718"/>
      <c r="BE171" s="718"/>
      <c r="BF171" s="718"/>
      <c r="BG171" s="718"/>
      <c r="BH171" s="718"/>
      <c r="BI171" s="718"/>
      <c r="BJ171" s="718"/>
      <c r="BK171" s="718"/>
      <c r="BL171" s="718"/>
      <c r="BM171" s="718"/>
      <c r="BN171" s="718"/>
      <c r="BO171" s="718"/>
      <c r="BP171" s="718"/>
      <c r="BQ171" s="718"/>
      <c r="BR171" s="718"/>
      <c r="BS171" s="718"/>
      <c r="BT171" s="718"/>
      <c r="BU171" s="718"/>
      <c r="BV171" s="718"/>
      <c r="BW171" s="718"/>
      <c r="BX171" s="718"/>
      <c r="BY171" s="718"/>
      <c r="BZ171" s="718"/>
      <c r="CA171" s="718"/>
      <c r="CB171" s="718"/>
      <c r="CC171" s="718"/>
      <c r="CD171" s="718"/>
      <c r="CE171" s="718"/>
      <c r="CF171" s="718"/>
      <c r="CG171" s="718"/>
      <c r="CH171" s="718"/>
      <c r="CI171" s="719"/>
      <c r="CK171" s="1296"/>
    </row>
    <row r="172" spans="2:89" ht="28.5" x14ac:dyDescent="0.2">
      <c r="B172" s="778" t="s">
        <v>762</v>
      </c>
      <c r="C172" s="777" t="s">
        <v>579</v>
      </c>
      <c r="D172" s="779" t="s">
        <v>763</v>
      </c>
      <c r="E172" s="775" t="s">
        <v>581</v>
      </c>
      <c r="F172" s="776">
        <v>1</v>
      </c>
      <c r="G172" s="750" t="e">
        <f>(G170+G169)/(G156+G164)</f>
        <v>#DIV/0!</v>
      </c>
      <c r="H172" s="750" t="e">
        <f t="shared" ref="H172:AK172" si="92">(H170+H169)/(H156+H164)</f>
        <v>#DIV/0!</v>
      </c>
      <c r="I172" s="750">
        <f t="shared" si="92"/>
        <v>2.4864806823505456</v>
      </c>
      <c r="J172" s="750">
        <f t="shared" si="92"/>
        <v>2.4801307814684153</v>
      </c>
      <c r="K172" s="750">
        <f t="shared" si="92"/>
        <v>2.4751919145884309</v>
      </c>
      <c r="L172" s="750">
        <f t="shared" si="92"/>
        <v>2.4666303078991518</v>
      </c>
      <c r="M172" s="750">
        <f t="shared" si="92"/>
        <v>2.4648361937141616</v>
      </c>
      <c r="N172" s="750">
        <f t="shared" si="92"/>
        <v>2.4587047130502362</v>
      </c>
      <c r="O172" s="750">
        <f t="shared" si="92"/>
        <v>2.4507149810857274</v>
      </c>
      <c r="P172" s="750">
        <f t="shared" si="92"/>
        <v>2.4423205447989669</v>
      </c>
      <c r="Q172" s="750">
        <f t="shared" si="92"/>
        <v>2.4324697011531451</v>
      </c>
      <c r="R172" s="750">
        <f t="shared" si="92"/>
        <v>2.4226181447330517</v>
      </c>
      <c r="S172" s="750">
        <f t="shared" si="92"/>
        <v>2.4130886689195314</v>
      </c>
      <c r="T172" s="750">
        <f t="shared" si="92"/>
        <v>2.4040630036682789</v>
      </c>
      <c r="U172" s="750">
        <f t="shared" si="92"/>
        <v>2.3956483251948302</v>
      </c>
      <c r="V172" s="750">
        <f t="shared" si="92"/>
        <v>2.3879805077513696</v>
      </c>
      <c r="W172" s="750">
        <f t="shared" si="92"/>
        <v>2.3812552416550283</v>
      </c>
      <c r="X172" s="750">
        <f t="shared" si="92"/>
        <v>2.374958176291655</v>
      </c>
      <c r="Y172" s="750">
        <f t="shared" si="92"/>
        <v>2.3698677541274082</v>
      </c>
      <c r="Z172" s="750">
        <f t="shared" si="92"/>
        <v>2.3648465843764019</v>
      </c>
      <c r="AA172" s="750">
        <f t="shared" si="92"/>
        <v>2.3588443209044039</v>
      </c>
      <c r="AB172" s="750">
        <f t="shared" si="92"/>
        <v>2.3525109090641734</v>
      </c>
      <c r="AC172" s="750">
        <f t="shared" si="92"/>
        <v>2.3465565242991144</v>
      </c>
      <c r="AD172" s="750">
        <f t="shared" si="92"/>
        <v>2.3412462870939637</v>
      </c>
      <c r="AE172" s="750">
        <f t="shared" si="92"/>
        <v>2.3364108531232337</v>
      </c>
      <c r="AF172" s="750">
        <f t="shared" si="92"/>
        <v>2.3320087363922575</v>
      </c>
      <c r="AG172" s="750">
        <f t="shared" si="92"/>
        <v>2.3275623527791196</v>
      </c>
      <c r="AH172" s="750">
        <f t="shared" si="92"/>
        <v>2.3232286302059491</v>
      </c>
      <c r="AI172" s="750">
        <f t="shared" si="92"/>
        <v>2.3197192669103863</v>
      </c>
      <c r="AJ172" s="750">
        <f t="shared" si="92"/>
        <v>2.3169317943242085</v>
      </c>
      <c r="AK172" s="750">
        <f t="shared" si="92"/>
        <v>2.314741478197397</v>
      </c>
      <c r="AL172" s="750"/>
      <c r="AM172" s="750"/>
      <c r="AN172" s="750"/>
      <c r="AO172" s="750"/>
      <c r="AP172" s="750"/>
      <c r="AQ172" s="750"/>
      <c r="AR172" s="750"/>
      <c r="AS172" s="750"/>
      <c r="AT172" s="750"/>
      <c r="AU172" s="750"/>
      <c r="AV172" s="750"/>
      <c r="AW172" s="750"/>
      <c r="AX172" s="750"/>
      <c r="AY172" s="750"/>
      <c r="AZ172" s="750"/>
      <c r="BA172" s="750"/>
      <c r="BB172" s="750"/>
      <c r="BC172" s="750"/>
      <c r="BD172" s="750"/>
      <c r="BE172" s="750"/>
      <c r="BF172" s="750"/>
      <c r="BG172" s="750"/>
      <c r="BH172" s="750"/>
      <c r="BI172" s="750"/>
      <c r="BJ172" s="750"/>
      <c r="BK172" s="750"/>
      <c r="BL172" s="750"/>
      <c r="BM172" s="750"/>
      <c r="BN172" s="750"/>
      <c r="BO172" s="750"/>
      <c r="BP172" s="750"/>
      <c r="BQ172" s="750"/>
      <c r="BR172" s="750"/>
      <c r="BS172" s="750"/>
      <c r="BT172" s="750"/>
      <c r="BU172" s="750"/>
      <c r="BV172" s="750"/>
      <c r="BW172" s="750"/>
      <c r="BX172" s="750"/>
      <c r="BY172" s="750"/>
      <c r="BZ172" s="750"/>
      <c r="CA172" s="750"/>
      <c r="CB172" s="750"/>
      <c r="CC172" s="750"/>
      <c r="CD172" s="750"/>
      <c r="CE172" s="750"/>
      <c r="CF172" s="750"/>
      <c r="CG172" s="750"/>
      <c r="CH172" s="750"/>
      <c r="CI172" s="750"/>
      <c r="CK172" s="1296"/>
    </row>
    <row r="173" spans="2:89" ht="28.5" x14ac:dyDescent="0.2">
      <c r="B173" s="778" t="s">
        <v>764</v>
      </c>
      <c r="C173" s="777" t="s">
        <v>583</v>
      </c>
      <c r="D173" s="779" t="s">
        <v>765</v>
      </c>
      <c r="E173" s="775" t="s">
        <v>375</v>
      </c>
      <c r="F173" s="776">
        <v>1</v>
      </c>
      <c r="G173" s="743" t="e">
        <f>G156/(G156+G164)</f>
        <v>#DIV/0!</v>
      </c>
      <c r="H173" s="743" t="e">
        <f t="shared" ref="H173:AK173" si="93">H156/(H156+H164)</f>
        <v>#DIV/0!</v>
      </c>
      <c r="I173" s="743">
        <f t="shared" si="93"/>
        <v>0.68265476854433904</v>
      </c>
      <c r="J173" s="743">
        <f t="shared" si="93"/>
        <v>0.69246549587824457</v>
      </c>
      <c r="K173" s="743">
        <f t="shared" si="93"/>
        <v>0.69761324103173861</v>
      </c>
      <c r="L173" s="743">
        <f t="shared" si="93"/>
        <v>0.72712205421877885</v>
      </c>
      <c r="M173" s="744">
        <f t="shared" si="93"/>
        <v>0.87363362044274295</v>
      </c>
      <c r="N173" s="744">
        <f t="shared" si="93"/>
        <v>0.99075240580643431</v>
      </c>
      <c r="O173" s="744">
        <f t="shared" si="93"/>
        <v>0.99118074516820054</v>
      </c>
      <c r="P173" s="744">
        <f t="shared" si="93"/>
        <v>0.99157681734286673</v>
      </c>
      <c r="Q173" s="744">
        <f t="shared" si="93"/>
        <v>0.9919376389787159</v>
      </c>
      <c r="R173" s="744">
        <f t="shared" si="93"/>
        <v>0.99219453008285585</v>
      </c>
      <c r="S173" s="744">
        <f t="shared" si="93"/>
        <v>0.9923502204281861</v>
      </c>
      <c r="T173" s="744">
        <f t="shared" si="93"/>
        <v>0.99249708758944943</v>
      </c>
      <c r="U173" s="744">
        <f t="shared" si="93"/>
        <v>0.99263996832631307</v>
      </c>
      <c r="V173" s="744">
        <f t="shared" si="93"/>
        <v>0.99277970339323063</v>
      </c>
      <c r="W173" s="744">
        <f t="shared" si="93"/>
        <v>0.99291603037564813</v>
      </c>
      <c r="X173" s="744">
        <f t="shared" si="93"/>
        <v>0.99304813709328088</v>
      </c>
      <c r="Y173" s="744">
        <f t="shared" si="93"/>
        <v>0.99317623399594168</v>
      </c>
      <c r="Z173" s="744">
        <f t="shared" si="93"/>
        <v>0.99330199866837032</v>
      </c>
      <c r="AA173" s="744">
        <f t="shared" si="93"/>
        <v>0.99342524331397897</v>
      </c>
      <c r="AB173" s="744">
        <f t="shared" si="93"/>
        <v>0.9935832576250424</v>
      </c>
      <c r="AC173" s="744">
        <f t="shared" si="93"/>
        <v>0.99377537273863059</v>
      </c>
      <c r="AD173" s="744">
        <f t="shared" si="93"/>
        <v>0.99396393643085912</v>
      </c>
      <c r="AE173" s="744">
        <f t="shared" si="93"/>
        <v>0.99414896350910698</v>
      </c>
      <c r="AF173" s="744">
        <f t="shared" si="93"/>
        <v>0.99433072691929536</v>
      </c>
      <c r="AG173" s="744">
        <f t="shared" si="93"/>
        <v>0.99450969459504801</v>
      </c>
      <c r="AH173" s="744">
        <f t="shared" si="93"/>
        <v>0.99468595312319474</v>
      </c>
      <c r="AI173" s="744">
        <f t="shared" si="93"/>
        <v>0.99485986635831003</v>
      </c>
      <c r="AJ173" s="744">
        <f t="shared" si="93"/>
        <v>0.99503167420665528</v>
      </c>
      <c r="AK173" s="744">
        <f t="shared" si="93"/>
        <v>0.99520136386690983</v>
      </c>
      <c r="AL173" s="744"/>
      <c r="AM173" s="744"/>
      <c r="AN173" s="744"/>
      <c r="AO173" s="744"/>
      <c r="AP173" s="744"/>
      <c r="AQ173" s="744"/>
      <c r="AR173" s="744"/>
      <c r="AS173" s="744"/>
      <c r="AT173" s="744"/>
      <c r="AU173" s="744"/>
      <c r="AV173" s="744"/>
      <c r="AW173" s="744"/>
      <c r="AX173" s="744"/>
      <c r="AY173" s="744"/>
      <c r="AZ173" s="744"/>
      <c r="BA173" s="744"/>
      <c r="BB173" s="744"/>
      <c r="BC173" s="744"/>
      <c r="BD173" s="744"/>
      <c r="BE173" s="744"/>
      <c r="BF173" s="744"/>
      <c r="BG173" s="744"/>
      <c r="BH173" s="744"/>
      <c r="BI173" s="744"/>
      <c r="BJ173" s="744"/>
      <c r="BK173" s="744"/>
      <c r="BL173" s="744"/>
      <c r="BM173" s="744"/>
      <c r="BN173" s="744"/>
      <c r="BO173" s="744"/>
      <c r="BP173" s="744"/>
      <c r="BQ173" s="744"/>
      <c r="BR173" s="744"/>
      <c r="BS173" s="744"/>
      <c r="BT173" s="744"/>
      <c r="BU173" s="744"/>
      <c r="BV173" s="744"/>
      <c r="BW173" s="744"/>
      <c r="BX173" s="744"/>
      <c r="BY173" s="744"/>
      <c r="BZ173" s="744"/>
      <c r="CA173" s="744"/>
      <c r="CB173" s="744"/>
      <c r="CC173" s="744"/>
      <c r="CD173" s="744"/>
      <c r="CE173" s="744"/>
      <c r="CF173" s="744"/>
      <c r="CG173" s="744"/>
      <c r="CH173" s="744"/>
      <c r="CI173" s="745"/>
      <c r="CK173" s="1296"/>
    </row>
    <row r="174" spans="2:89" ht="29.25" thickBot="1" x14ac:dyDescent="0.25">
      <c r="B174" s="780" t="s">
        <v>766</v>
      </c>
      <c r="C174" s="781" t="s">
        <v>586</v>
      </c>
      <c r="D174" s="782" t="s">
        <v>767</v>
      </c>
      <c r="E174" s="783" t="s">
        <v>375</v>
      </c>
      <c r="F174" s="784">
        <v>1</v>
      </c>
      <c r="G174" s="785" t="e">
        <f>(G156)/(G156+G165+G164+G163)</f>
        <v>#DIV/0!</v>
      </c>
      <c r="H174" s="785" t="e">
        <f t="shared" ref="H174:AK174" si="94">(H156)/(H156+H165+H164+H163)</f>
        <v>#DIV/0!</v>
      </c>
      <c r="I174" s="785">
        <f t="shared" si="94"/>
        <v>0.66365443701427795</v>
      </c>
      <c r="J174" s="785">
        <f t="shared" si="94"/>
        <v>0.67306512060629986</v>
      </c>
      <c r="K174" s="785">
        <f t="shared" si="94"/>
        <v>0.67803929690409015</v>
      </c>
      <c r="L174" s="785">
        <f t="shared" si="94"/>
        <v>0.70654484159404463</v>
      </c>
      <c r="M174" s="785">
        <f t="shared" si="94"/>
        <v>0.84786602144012302</v>
      </c>
      <c r="N174" s="785">
        <f t="shared" si="94"/>
        <v>0.96058591479376643</v>
      </c>
      <c r="O174" s="785">
        <f t="shared" si="94"/>
        <v>0.96099775962603307</v>
      </c>
      <c r="P174" s="785">
        <f t="shared" si="94"/>
        <v>0.96137857718570785</v>
      </c>
      <c r="Q174" s="785">
        <f t="shared" si="94"/>
        <v>0.96172549966942267</v>
      </c>
      <c r="R174" s="785">
        <f t="shared" si="94"/>
        <v>0.96197249383307537</v>
      </c>
      <c r="S174" s="785">
        <f t="shared" si="94"/>
        <v>0.96212218556217077</v>
      </c>
      <c r="T174" s="785">
        <f t="shared" si="94"/>
        <v>0.96226339369863267</v>
      </c>
      <c r="U174" s="785">
        <f t="shared" si="94"/>
        <v>0.96240076868011504</v>
      </c>
      <c r="V174" s="785">
        <f t="shared" si="94"/>
        <v>0.96253511888820553</v>
      </c>
      <c r="W174" s="785">
        <f t="shared" si="94"/>
        <v>0.9626661920429519</v>
      </c>
      <c r="X174" s="785">
        <f t="shared" si="94"/>
        <v>0.96279320728933027</v>
      </c>
      <c r="Y174" s="785">
        <f t="shared" si="94"/>
        <v>0.96291636699260952</v>
      </c>
      <c r="Z174" s="785">
        <f t="shared" si="94"/>
        <v>0.96303728409863809</v>
      </c>
      <c r="AA174" s="785">
        <f t="shared" si="94"/>
        <v>0.96315577806415431</v>
      </c>
      <c r="AB174" s="785">
        <f t="shared" si="94"/>
        <v>0.9633077010792781</v>
      </c>
      <c r="AC174" s="785">
        <f t="shared" si="94"/>
        <v>0.9634924098022013</v>
      </c>
      <c r="AD174" s="785">
        <f t="shared" si="94"/>
        <v>0.96367370343876246</v>
      </c>
      <c r="AE174" s="785">
        <f t="shared" si="94"/>
        <v>0.96385159625777905</v>
      </c>
      <c r="AF174" s="785">
        <f t="shared" si="94"/>
        <v>0.96402635071140053</v>
      </c>
      <c r="AG174" s="785">
        <f t="shared" si="94"/>
        <v>0.96419841671598738</v>
      </c>
      <c r="AH174" s="785">
        <f t="shared" si="94"/>
        <v>0.96436787754309217</v>
      </c>
      <c r="AI174" s="785">
        <f t="shared" si="94"/>
        <v>0.96453508303620505</v>
      </c>
      <c r="AJ174" s="785">
        <f t="shared" si="94"/>
        <v>0.96470026386726349</v>
      </c>
      <c r="AK174" s="785">
        <f t="shared" si="94"/>
        <v>0.9648634077462781</v>
      </c>
      <c r="AL174" s="785"/>
      <c r="AM174" s="785"/>
      <c r="AN174" s="785"/>
      <c r="AO174" s="785"/>
      <c r="AP174" s="785"/>
      <c r="AQ174" s="785"/>
      <c r="AR174" s="785"/>
      <c r="AS174" s="785"/>
      <c r="AT174" s="785"/>
      <c r="AU174" s="785"/>
      <c r="AV174" s="785"/>
      <c r="AW174" s="785"/>
      <c r="AX174" s="785"/>
      <c r="AY174" s="785"/>
      <c r="AZ174" s="785"/>
      <c r="BA174" s="785"/>
      <c r="BB174" s="785"/>
      <c r="BC174" s="785"/>
      <c r="BD174" s="785"/>
      <c r="BE174" s="785"/>
      <c r="BF174" s="785"/>
      <c r="BG174" s="785"/>
      <c r="BH174" s="785"/>
      <c r="BI174" s="785"/>
      <c r="BJ174" s="785"/>
      <c r="BK174" s="785"/>
      <c r="BL174" s="785"/>
      <c r="BM174" s="785"/>
      <c r="BN174" s="785"/>
      <c r="BO174" s="785"/>
      <c r="BP174" s="785"/>
      <c r="BQ174" s="785"/>
      <c r="BR174" s="785"/>
      <c r="BS174" s="785"/>
      <c r="BT174" s="785"/>
      <c r="BU174" s="785"/>
      <c r="BV174" s="785"/>
      <c r="BW174" s="785"/>
      <c r="BX174" s="785"/>
      <c r="BY174" s="785"/>
      <c r="BZ174" s="785"/>
      <c r="CA174" s="785"/>
      <c r="CB174" s="785"/>
      <c r="CC174" s="785"/>
      <c r="CD174" s="785"/>
      <c r="CE174" s="785"/>
      <c r="CF174" s="785"/>
      <c r="CG174" s="785"/>
      <c r="CH174" s="785"/>
      <c r="CI174" s="785"/>
      <c r="CK174" s="1296"/>
    </row>
    <row r="175" spans="2:89" ht="29.25" thickBot="1" x14ac:dyDescent="0.25">
      <c r="B175" s="786" t="s">
        <v>768</v>
      </c>
      <c r="C175" s="787" t="s">
        <v>245</v>
      </c>
      <c r="D175" s="787" t="s">
        <v>769</v>
      </c>
      <c r="E175" s="787" t="s">
        <v>236</v>
      </c>
      <c r="F175" s="788">
        <v>2</v>
      </c>
      <c r="G175" s="629">
        <f>SUM(G135:G137)+G133+G144+G149+G150+G143</f>
        <v>0</v>
      </c>
      <c r="H175" s="629">
        <f t="shared" ref="H175:AK175" si="95">SUM(H135:H137)+H133+H144+H149+H150+H143</f>
        <v>0</v>
      </c>
      <c r="I175" s="629">
        <f t="shared" si="95"/>
        <v>9.9432240535373975</v>
      </c>
      <c r="J175" s="629">
        <f t="shared" si="95"/>
        <v>9.111111213194242</v>
      </c>
      <c r="K175" s="629">
        <f t="shared" si="95"/>
        <v>9.1903183968697082</v>
      </c>
      <c r="L175" s="629">
        <f t="shared" si="95"/>
        <v>9.2027628500100942</v>
      </c>
      <c r="M175" s="629">
        <f>SUM(M135:M137)+M133+M144+M149+M150+M143</f>
        <v>9.2881081091800013</v>
      </c>
      <c r="N175" s="629">
        <f t="shared" si="95"/>
        <v>9.3157129573016739</v>
      </c>
      <c r="O175" s="629">
        <f t="shared" si="95"/>
        <v>9.399900348627737</v>
      </c>
      <c r="P175" s="629">
        <f t="shared" si="95"/>
        <v>9.3893857982791804</v>
      </c>
      <c r="Q175" s="629">
        <f t="shared" si="95"/>
        <v>9.3641992189391754</v>
      </c>
      <c r="R175" s="629">
        <f t="shared" si="95"/>
        <v>9.3281996170335475</v>
      </c>
      <c r="S175" s="629">
        <f t="shared" si="95"/>
        <v>9.2878513126081739</v>
      </c>
      <c r="T175" s="629">
        <f t="shared" si="95"/>
        <v>13.168641716069752</v>
      </c>
      <c r="U175" s="629">
        <f t="shared" si="95"/>
        <v>13.124365098886759</v>
      </c>
      <c r="V175" s="629">
        <f t="shared" si="95"/>
        <v>13.08087356207429</v>
      </c>
      <c r="W175" s="629">
        <f t="shared" si="95"/>
        <v>13.041101038231981</v>
      </c>
      <c r="X175" s="629">
        <f t="shared" si="95"/>
        <v>13.001557064767276</v>
      </c>
      <c r="Y175" s="629">
        <f t="shared" si="95"/>
        <v>12.962435469682969</v>
      </c>
      <c r="Z175" s="629">
        <f t="shared" si="95"/>
        <v>12.9388976622661</v>
      </c>
      <c r="AA175" s="629">
        <f t="shared" si="95"/>
        <v>12.912894729284233</v>
      </c>
      <c r="AB175" s="629">
        <f t="shared" si="95"/>
        <v>12.883260709612859</v>
      </c>
      <c r="AC175" s="629">
        <f t="shared" si="95"/>
        <v>12.856834917079201</v>
      </c>
      <c r="AD175" s="629">
        <f t="shared" si="95"/>
        <v>12.832139859609661</v>
      </c>
      <c r="AE175" s="629">
        <f t="shared" si="95"/>
        <v>12.821002386521243</v>
      </c>
      <c r="AF175" s="629">
        <f t="shared" si="95"/>
        <v>12.833397146297465</v>
      </c>
      <c r="AG175" s="629">
        <f t="shared" si="95"/>
        <v>12.845088673339502</v>
      </c>
      <c r="AH175" s="629">
        <f t="shared" si="95"/>
        <v>12.857505015195397</v>
      </c>
      <c r="AI175" s="629">
        <f t="shared" si="95"/>
        <v>12.870350129924766</v>
      </c>
      <c r="AJ175" s="629">
        <f t="shared" si="95"/>
        <v>12.884077034304342</v>
      </c>
      <c r="AK175" s="629">
        <f t="shared" si="95"/>
        <v>12.89774079093846</v>
      </c>
      <c r="AL175" s="629"/>
      <c r="AM175" s="629"/>
      <c r="AN175" s="629"/>
      <c r="AO175" s="629"/>
      <c r="AP175" s="629"/>
      <c r="AQ175" s="629"/>
      <c r="AR175" s="629"/>
      <c r="AS175" s="629"/>
      <c r="AT175" s="629"/>
      <c r="AU175" s="629"/>
      <c r="AV175" s="629"/>
      <c r="AW175" s="629"/>
      <c r="AX175" s="629"/>
      <c r="AY175" s="629"/>
      <c r="AZ175" s="629"/>
      <c r="BA175" s="629"/>
      <c r="BB175" s="629"/>
      <c r="BC175" s="629"/>
      <c r="BD175" s="629"/>
      <c r="BE175" s="629"/>
      <c r="BF175" s="629"/>
      <c r="BG175" s="629"/>
      <c r="BH175" s="629"/>
      <c r="BI175" s="629"/>
      <c r="BJ175" s="629"/>
      <c r="BK175" s="629"/>
      <c r="BL175" s="629"/>
      <c r="BM175" s="629"/>
      <c r="BN175" s="629"/>
      <c r="BO175" s="629"/>
      <c r="BP175" s="629"/>
      <c r="BQ175" s="629"/>
      <c r="BR175" s="629"/>
      <c r="BS175" s="629"/>
      <c r="BT175" s="629"/>
      <c r="BU175" s="629"/>
      <c r="BV175" s="629"/>
      <c r="BW175" s="629"/>
      <c r="BX175" s="629"/>
      <c r="BY175" s="629"/>
      <c r="BZ175" s="629"/>
      <c r="CA175" s="629"/>
      <c r="CB175" s="629"/>
      <c r="CC175" s="629"/>
      <c r="CD175" s="629"/>
      <c r="CE175" s="629"/>
      <c r="CF175" s="629"/>
      <c r="CG175" s="629"/>
      <c r="CH175" s="629"/>
      <c r="CI175" s="629"/>
      <c r="CK175" s="1296"/>
    </row>
    <row r="176" spans="2:89" ht="28.5" x14ac:dyDescent="0.2">
      <c r="B176" s="789" t="s">
        <v>770</v>
      </c>
      <c r="C176" s="790" t="s">
        <v>591</v>
      </c>
      <c r="D176" s="710" t="s">
        <v>86</v>
      </c>
      <c r="E176" s="790" t="s">
        <v>236</v>
      </c>
      <c r="F176" s="791">
        <v>2</v>
      </c>
      <c r="G176" s="633"/>
      <c r="H176" s="1507"/>
      <c r="I176" s="593">
        <v>0.16965122416421308</v>
      </c>
      <c r="J176" s="593">
        <v>3.9998080696744931E-2</v>
      </c>
      <c r="K176" s="593">
        <v>0.17982425504739907</v>
      </c>
      <c r="L176" s="593">
        <v>-6.4054155278751024E-2</v>
      </c>
      <c r="M176" s="594">
        <v>0.20378274629459514</v>
      </c>
      <c r="N176" s="594">
        <v>5.2139727503224043E-2</v>
      </c>
      <c r="O176" s="594">
        <v>0.12062670732334202</v>
      </c>
      <c r="P176" s="594">
        <v>8.0861442695626007E-2</v>
      </c>
      <c r="Q176" s="594">
        <v>6.1071751769004035E-2</v>
      </c>
      <c r="R176" s="594">
        <v>1.2375484121591951E-2</v>
      </c>
      <c r="S176" s="594">
        <v>1.3804554965359817E-3</v>
      </c>
      <c r="T176" s="594">
        <v>2.3052309999941012E-2</v>
      </c>
      <c r="U176" s="594">
        <v>1.7932055550664017E-2</v>
      </c>
      <c r="V176" s="594">
        <v>1.1074267351771971E-2</v>
      </c>
      <c r="W176" s="594">
        <v>1.5736741790331965E-2</v>
      </c>
      <c r="X176" s="594">
        <v>2.4257943658335002E-2</v>
      </c>
      <c r="Y176" s="594">
        <v>2.3781527352468967E-2</v>
      </c>
      <c r="Z176" s="594">
        <v>2.0918047327269984E-2</v>
      </c>
      <c r="AA176" s="594">
        <v>2.0586477823569982E-2</v>
      </c>
      <c r="AB176" s="594">
        <v>2.4425556646087976E-2</v>
      </c>
      <c r="AC176" s="594">
        <v>2.9952494812696961E-2</v>
      </c>
      <c r="AD176" s="594">
        <v>2.1433653534167013E-2</v>
      </c>
      <c r="AE176" s="594">
        <v>2.3783559680964017E-2</v>
      </c>
      <c r="AF176" s="594">
        <v>2.2481234750340001E-2</v>
      </c>
      <c r="AG176" s="594">
        <v>2.5881774231235999E-2</v>
      </c>
      <c r="AH176" s="594">
        <v>2.5220859946501001E-2</v>
      </c>
      <c r="AI176" s="594">
        <v>2.5460433302284979E-2</v>
      </c>
      <c r="AJ176" s="594">
        <v>3.4742750116859011E-2</v>
      </c>
      <c r="AK176" s="594">
        <v>3.2628495409901009E-2</v>
      </c>
      <c r="AL176" s="594"/>
      <c r="AM176" s="594"/>
      <c r="AN176" s="594"/>
      <c r="AO176" s="594"/>
      <c r="AP176" s="594"/>
      <c r="AQ176" s="594"/>
      <c r="AR176" s="594"/>
      <c r="AS176" s="594"/>
      <c r="AT176" s="594"/>
      <c r="AU176" s="594"/>
      <c r="AV176" s="594"/>
      <c r="AW176" s="594"/>
      <c r="AX176" s="594"/>
      <c r="AY176" s="594"/>
      <c r="AZ176" s="594"/>
      <c r="BA176" s="594"/>
      <c r="BB176" s="594"/>
      <c r="BC176" s="594"/>
      <c r="BD176" s="594"/>
      <c r="BE176" s="594"/>
      <c r="BF176" s="594"/>
      <c r="BG176" s="594"/>
      <c r="BH176" s="594"/>
      <c r="BI176" s="594"/>
      <c r="BJ176" s="594"/>
      <c r="BK176" s="594"/>
      <c r="BL176" s="594"/>
      <c r="BM176" s="594"/>
      <c r="BN176" s="594"/>
      <c r="BO176" s="594"/>
      <c r="BP176" s="594"/>
      <c r="BQ176" s="594"/>
      <c r="BR176" s="594"/>
      <c r="BS176" s="594"/>
      <c r="BT176" s="594"/>
      <c r="BU176" s="594"/>
      <c r="BV176" s="594"/>
      <c r="BW176" s="594"/>
      <c r="BX176" s="594"/>
      <c r="BY176" s="594"/>
      <c r="BZ176" s="594"/>
      <c r="CA176" s="594"/>
      <c r="CB176" s="594"/>
      <c r="CC176" s="594"/>
      <c r="CD176" s="594"/>
      <c r="CE176" s="594"/>
      <c r="CF176" s="594"/>
      <c r="CG176" s="594"/>
      <c r="CH176" s="594"/>
      <c r="CI176" s="595"/>
    </row>
    <row r="177" spans="2:87" x14ac:dyDescent="0.2">
      <c r="B177" s="792" t="s">
        <v>771</v>
      </c>
      <c r="C177" s="793" t="s">
        <v>593</v>
      </c>
      <c r="D177" s="715" t="s">
        <v>86</v>
      </c>
      <c r="E177" s="793" t="s">
        <v>236</v>
      </c>
      <c r="F177" s="794">
        <v>2</v>
      </c>
      <c r="G177" s="637"/>
      <c r="H177" s="1504"/>
      <c r="I177" s="1504">
        <v>0.88034877583578697</v>
      </c>
      <c r="J177" s="1504">
        <v>0.91000191930325502</v>
      </c>
      <c r="K177" s="1504">
        <v>0.92017574495260102</v>
      </c>
      <c r="L177" s="1504">
        <v>0.97405415527875105</v>
      </c>
      <c r="M177" s="1505">
        <v>0.90621725370540496</v>
      </c>
      <c r="N177" s="1505">
        <v>0.94786027249677596</v>
      </c>
      <c r="O177" s="1505">
        <v>0.85937329267665796</v>
      </c>
      <c r="P177" s="1505">
        <v>0.93913855730437401</v>
      </c>
      <c r="Q177" s="1505">
        <v>0.93892824823099597</v>
      </c>
      <c r="R177" s="1505">
        <v>0.677624515878408</v>
      </c>
      <c r="S177" s="1505">
        <v>0.50861954450346403</v>
      </c>
      <c r="T177" s="1505">
        <v>0.31694769000005901</v>
      </c>
      <c r="U177" s="1505">
        <v>0.32206794444933601</v>
      </c>
      <c r="V177" s="1505">
        <v>0.29892573264822803</v>
      </c>
      <c r="W177" s="1505">
        <v>0.27426325820966801</v>
      </c>
      <c r="X177" s="1505">
        <v>0.27574205634166499</v>
      </c>
      <c r="Y177" s="1505">
        <v>0.27621847264753102</v>
      </c>
      <c r="Z177" s="1505">
        <v>0.27908195267273</v>
      </c>
      <c r="AA177" s="1505">
        <v>0.27941352217643001</v>
      </c>
      <c r="AB177" s="1505">
        <v>0.27557444335391201</v>
      </c>
      <c r="AC177" s="1505">
        <v>0.26004750518730302</v>
      </c>
      <c r="AD177" s="1505">
        <v>0.248566346465833</v>
      </c>
      <c r="AE177" s="1505">
        <v>0.23621644031903599</v>
      </c>
      <c r="AF177" s="1505">
        <v>0.22751876524966</v>
      </c>
      <c r="AG177" s="1505">
        <v>0.21411822576876399</v>
      </c>
      <c r="AH177" s="1505">
        <v>0.21477914005349899</v>
      </c>
      <c r="AI177" s="1505">
        <v>0.21453956669771501</v>
      </c>
      <c r="AJ177" s="1505">
        <v>0.21525724988314099</v>
      </c>
      <c r="AK177" s="1505">
        <v>0.21737150459009899</v>
      </c>
      <c r="AL177" s="1505"/>
      <c r="AM177" s="1505"/>
      <c r="AN177" s="1505"/>
      <c r="AO177" s="1505"/>
      <c r="AP177" s="1505"/>
      <c r="AQ177" s="1505"/>
      <c r="AR177" s="1505"/>
      <c r="AS177" s="1505"/>
      <c r="AT177" s="1505"/>
      <c r="AU177" s="1505"/>
      <c r="AV177" s="1505"/>
      <c r="AW177" s="1505"/>
      <c r="AX177" s="1505"/>
      <c r="AY177" s="1505"/>
      <c r="AZ177" s="1505"/>
      <c r="BA177" s="1505"/>
      <c r="BB177" s="1505"/>
      <c r="BC177" s="1505"/>
      <c r="BD177" s="1505"/>
      <c r="BE177" s="1505"/>
      <c r="BF177" s="1505"/>
      <c r="BG177" s="1505"/>
      <c r="BH177" s="1505"/>
      <c r="BI177" s="1505"/>
      <c r="BJ177" s="1505"/>
      <c r="BK177" s="1505"/>
      <c r="BL177" s="1505"/>
      <c r="BM177" s="1505"/>
      <c r="BN177" s="1505"/>
      <c r="BO177" s="1505"/>
      <c r="BP177" s="1505"/>
      <c r="BQ177" s="1505"/>
      <c r="BR177" s="1505"/>
      <c r="BS177" s="1505"/>
      <c r="BT177" s="1505"/>
      <c r="BU177" s="1505"/>
      <c r="BV177" s="1505"/>
      <c r="BW177" s="1505"/>
      <c r="BX177" s="1505"/>
      <c r="BY177" s="1505"/>
      <c r="BZ177" s="1505"/>
      <c r="CA177" s="1505"/>
      <c r="CB177" s="1505"/>
      <c r="CC177" s="1505"/>
      <c r="CD177" s="1505"/>
      <c r="CE177" s="1505"/>
      <c r="CF177" s="1505"/>
      <c r="CG177" s="1505"/>
      <c r="CH177" s="1505"/>
      <c r="CI177" s="1506"/>
    </row>
    <row r="178" spans="2:87" x14ac:dyDescent="0.2">
      <c r="B178" s="792" t="s">
        <v>772</v>
      </c>
      <c r="C178" s="793" t="s">
        <v>384</v>
      </c>
      <c r="D178" s="715" t="s">
        <v>773</v>
      </c>
      <c r="E178" s="793" t="s">
        <v>236</v>
      </c>
      <c r="F178" s="794">
        <v>2</v>
      </c>
      <c r="G178" s="795">
        <f t="shared" ref="G178:AK178" si="96">G176+G177</f>
        <v>0</v>
      </c>
      <c r="H178" s="795">
        <f t="shared" si="96"/>
        <v>0</v>
      </c>
      <c r="I178" s="795">
        <f t="shared" si="96"/>
        <v>1.05</v>
      </c>
      <c r="J178" s="795">
        <f t="shared" si="96"/>
        <v>0.95</v>
      </c>
      <c r="K178" s="795">
        <f t="shared" si="96"/>
        <v>1.1000000000000001</v>
      </c>
      <c r="L178" s="795">
        <f t="shared" si="96"/>
        <v>0.91</v>
      </c>
      <c r="M178" s="796">
        <f t="shared" si="96"/>
        <v>1.1100000000000001</v>
      </c>
      <c r="N178" s="796">
        <f t="shared" si="96"/>
        <v>1</v>
      </c>
      <c r="O178" s="796">
        <f t="shared" si="96"/>
        <v>0.98</v>
      </c>
      <c r="P178" s="796">
        <f t="shared" si="96"/>
        <v>1.02</v>
      </c>
      <c r="Q178" s="796">
        <f t="shared" si="96"/>
        <v>1</v>
      </c>
      <c r="R178" s="796">
        <f t="shared" si="96"/>
        <v>0.69</v>
      </c>
      <c r="S178" s="796">
        <f t="shared" si="96"/>
        <v>0.51</v>
      </c>
      <c r="T178" s="796">
        <f t="shared" si="96"/>
        <v>0.34</v>
      </c>
      <c r="U178" s="796">
        <f t="shared" si="96"/>
        <v>0.34</v>
      </c>
      <c r="V178" s="796">
        <f t="shared" si="96"/>
        <v>0.31</v>
      </c>
      <c r="W178" s="796">
        <f t="shared" si="96"/>
        <v>0.28999999999999998</v>
      </c>
      <c r="X178" s="796">
        <f t="shared" si="96"/>
        <v>0.3</v>
      </c>
      <c r="Y178" s="796">
        <f t="shared" si="96"/>
        <v>0.3</v>
      </c>
      <c r="Z178" s="796">
        <f t="shared" si="96"/>
        <v>0.3</v>
      </c>
      <c r="AA178" s="796">
        <f t="shared" si="96"/>
        <v>0.3</v>
      </c>
      <c r="AB178" s="796">
        <f t="shared" si="96"/>
        <v>0.3</v>
      </c>
      <c r="AC178" s="796">
        <f t="shared" si="96"/>
        <v>0.28999999999999998</v>
      </c>
      <c r="AD178" s="796">
        <f t="shared" si="96"/>
        <v>0.27</v>
      </c>
      <c r="AE178" s="796">
        <f t="shared" si="96"/>
        <v>0.26</v>
      </c>
      <c r="AF178" s="796">
        <f t="shared" si="96"/>
        <v>0.25</v>
      </c>
      <c r="AG178" s="796">
        <f t="shared" si="96"/>
        <v>0.24</v>
      </c>
      <c r="AH178" s="796">
        <f t="shared" si="96"/>
        <v>0.24</v>
      </c>
      <c r="AI178" s="796">
        <f t="shared" si="96"/>
        <v>0.24</v>
      </c>
      <c r="AJ178" s="796">
        <f t="shared" si="96"/>
        <v>0.25</v>
      </c>
      <c r="AK178" s="796">
        <f t="shared" si="96"/>
        <v>0.25</v>
      </c>
      <c r="AL178" s="796"/>
      <c r="AM178" s="796"/>
      <c r="AN178" s="796"/>
      <c r="AO178" s="796"/>
      <c r="AP178" s="796"/>
      <c r="AQ178" s="796"/>
      <c r="AR178" s="796"/>
      <c r="AS178" s="796"/>
      <c r="AT178" s="796"/>
      <c r="AU178" s="796"/>
      <c r="AV178" s="796"/>
      <c r="AW178" s="796"/>
      <c r="AX178" s="796"/>
      <c r="AY178" s="796"/>
      <c r="AZ178" s="796"/>
      <c r="BA178" s="796"/>
      <c r="BB178" s="796"/>
      <c r="BC178" s="796"/>
      <c r="BD178" s="796"/>
      <c r="BE178" s="796"/>
      <c r="BF178" s="796"/>
      <c r="BG178" s="796"/>
      <c r="BH178" s="796"/>
      <c r="BI178" s="796"/>
      <c r="BJ178" s="796"/>
      <c r="BK178" s="796"/>
      <c r="BL178" s="796"/>
      <c r="BM178" s="796"/>
      <c r="BN178" s="796"/>
      <c r="BO178" s="796"/>
      <c r="BP178" s="796"/>
      <c r="BQ178" s="796"/>
      <c r="BR178" s="796"/>
      <c r="BS178" s="796"/>
      <c r="BT178" s="796"/>
      <c r="BU178" s="796"/>
      <c r="BV178" s="796"/>
      <c r="BW178" s="796"/>
      <c r="BX178" s="796"/>
      <c r="BY178" s="796"/>
      <c r="BZ178" s="796"/>
      <c r="CA178" s="796"/>
      <c r="CB178" s="796"/>
      <c r="CC178" s="796"/>
      <c r="CD178" s="796"/>
      <c r="CE178" s="796"/>
      <c r="CF178" s="796"/>
      <c r="CG178" s="796"/>
      <c r="CH178" s="796"/>
      <c r="CI178" s="797"/>
    </row>
    <row r="179" spans="2:87" x14ac:dyDescent="0.2">
      <c r="B179" s="1059" t="s">
        <v>774</v>
      </c>
      <c r="C179" s="1060" t="s">
        <v>597</v>
      </c>
      <c r="D179" s="1061" t="s">
        <v>775</v>
      </c>
      <c r="E179" s="1060" t="s">
        <v>236</v>
      </c>
      <c r="F179" s="1062">
        <v>2</v>
      </c>
      <c r="G179" s="798">
        <f>G132-G175</f>
        <v>0</v>
      </c>
      <c r="H179" s="798">
        <f t="shared" ref="H179:AK179" si="97">H132-H175</f>
        <v>0</v>
      </c>
      <c r="I179" s="798">
        <f t="shared" si="97"/>
        <v>-1.66994143131706</v>
      </c>
      <c r="J179" s="798">
        <f t="shared" si="97"/>
        <v>-0.83172821867158753</v>
      </c>
      <c r="K179" s="798">
        <f t="shared" si="97"/>
        <v>-0.92007959958181296</v>
      </c>
      <c r="L179" s="798">
        <f>L132-L175</f>
        <v>-0.95177982018805452</v>
      </c>
      <c r="M179" s="799">
        <f t="shared" si="97"/>
        <v>1.202181738753465</v>
      </c>
      <c r="N179" s="799">
        <f t="shared" si="97"/>
        <v>1.1545286434220436</v>
      </c>
      <c r="O179" s="799">
        <f t="shared" si="97"/>
        <v>1.0799441763508177</v>
      </c>
      <c r="P179" s="799">
        <f t="shared" si="97"/>
        <v>0.83999999999999808</v>
      </c>
      <c r="Q179" s="799">
        <f t="shared" si="97"/>
        <v>0.81999999999999851</v>
      </c>
      <c r="R179" s="799">
        <f>R132-R175</f>
        <v>0.50999999999999979</v>
      </c>
      <c r="S179" s="799">
        <f t="shared" si="97"/>
        <v>0.33000000000000007</v>
      </c>
      <c r="T179" s="799">
        <f t="shared" si="97"/>
        <v>0.15999999999999837</v>
      </c>
      <c r="U179" s="799">
        <f t="shared" si="97"/>
        <v>0.16000000000000014</v>
      </c>
      <c r="V179" s="799">
        <f t="shared" si="97"/>
        <v>0.12999999999999901</v>
      </c>
      <c r="W179" s="799">
        <f t="shared" si="97"/>
        <v>0.10999999999999943</v>
      </c>
      <c r="X179" s="799">
        <f t="shared" si="97"/>
        <v>0.12000000000000099</v>
      </c>
      <c r="Y179" s="799">
        <f t="shared" si="97"/>
        <v>0.11999999999999922</v>
      </c>
      <c r="Z179" s="799">
        <f t="shared" si="97"/>
        <v>0.11999999999999922</v>
      </c>
      <c r="AA179" s="799">
        <f t="shared" si="97"/>
        <v>0.11999999999999922</v>
      </c>
      <c r="AB179" s="799">
        <f t="shared" si="97"/>
        <v>0.11999999999999922</v>
      </c>
      <c r="AC179" s="799">
        <f t="shared" si="97"/>
        <v>0.10999999999999943</v>
      </c>
      <c r="AD179" s="799">
        <f t="shared" si="97"/>
        <v>8.9999999999999858E-2</v>
      </c>
      <c r="AE179" s="799">
        <f t="shared" si="97"/>
        <v>7.9999999999998295E-2</v>
      </c>
      <c r="AF179" s="799">
        <f t="shared" si="97"/>
        <v>7.0000000000000284E-2</v>
      </c>
      <c r="AG179" s="799">
        <f t="shared" si="97"/>
        <v>6.0000000000000497E-2</v>
      </c>
      <c r="AH179" s="799">
        <f t="shared" si="97"/>
        <v>6.0000000000000497E-2</v>
      </c>
      <c r="AI179" s="799">
        <f t="shared" si="97"/>
        <v>5.9999999999998721E-2</v>
      </c>
      <c r="AJ179" s="799">
        <f t="shared" si="97"/>
        <v>6.9999999999998508E-2</v>
      </c>
      <c r="AK179" s="799">
        <f t="shared" si="97"/>
        <v>7.0000000000000284E-2</v>
      </c>
      <c r="AL179" s="799"/>
      <c r="AM179" s="799"/>
      <c r="AN179" s="799"/>
      <c r="AO179" s="799"/>
      <c r="AP179" s="799"/>
      <c r="AQ179" s="799"/>
      <c r="AR179" s="799"/>
      <c r="AS179" s="799"/>
      <c r="AT179" s="799"/>
      <c r="AU179" s="799"/>
      <c r="AV179" s="799"/>
      <c r="AW179" s="799"/>
      <c r="AX179" s="799"/>
      <c r="AY179" s="799"/>
      <c r="AZ179" s="799"/>
      <c r="BA179" s="799"/>
      <c r="BB179" s="799"/>
      <c r="BC179" s="799"/>
      <c r="BD179" s="799"/>
      <c r="BE179" s="799"/>
      <c r="BF179" s="799"/>
      <c r="BG179" s="799"/>
      <c r="BH179" s="799"/>
      <c r="BI179" s="799"/>
      <c r="BJ179" s="799"/>
      <c r="BK179" s="799"/>
      <c r="BL179" s="799"/>
      <c r="BM179" s="799"/>
      <c r="BN179" s="799"/>
      <c r="BO179" s="799"/>
      <c r="BP179" s="799"/>
      <c r="BQ179" s="799"/>
      <c r="BR179" s="799"/>
      <c r="BS179" s="799"/>
      <c r="BT179" s="799"/>
      <c r="BU179" s="799"/>
      <c r="BV179" s="799"/>
      <c r="BW179" s="799"/>
      <c r="BX179" s="799"/>
      <c r="BY179" s="799"/>
      <c r="BZ179" s="799"/>
      <c r="CA179" s="799"/>
      <c r="CB179" s="799"/>
      <c r="CC179" s="799"/>
      <c r="CD179" s="799"/>
      <c r="CE179" s="799"/>
      <c r="CF179" s="799"/>
      <c r="CG179" s="799"/>
      <c r="CH179" s="799"/>
      <c r="CI179" s="800"/>
    </row>
    <row r="180" spans="2:87" ht="15" thickBot="1" x14ac:dyDescent="0.25">
      <c r="B180" s="1059" t="s">
        <v>776</v>
      </c>
      <c r="C180" s="1060" t="s">
        <v>600</v>
      </c>
      <c r="D180" s="1061" t="s">
        <v>777</v>
      </c>
      <c r="E180" s="1060" t="s">
        <v>236</v>
      </c>
      <c r="F180" s="1062">
        <v>2</v>
      </c>
      <c r="G180" s="798">
        <f t="shared" ref="G180:AK180" si="98">G123-G134</f>
        <v>0</v>
      </c>
      <c r="H180" s="798">
        <f t="shared" si="98"/>
        <v>0</v>
      </c>
      <c r="I180" s="798">
        <f t="shared" si="98"/>
        <v>0</v>
      </c>
      <c r="J180" s="798">
        <f t="shared" si="98"/>
        <v>0</v>
      </c>
      <c r="K180" s="798">
        <f t="shared" si="98"/>
        <v>0</v>
      </c>
      <c r="L180" s="798">
        <f t="shared" si="98"/>
        <v>0</v>
      </c>
      <c r="M180" s="798">
        <f t="shared" si="98"/>
        <v>0</v>
      </c>
      <c r="N180" s="798">
        <f t="shared" si="98"/>
        <v>0</v>
      </c>
      <c r="O180" s="798">
        <f t="shared" si="98"/>
        <v>0</v>
      </c>
      <c r="P180" s="798">
        <f t="shared" si="98"/>
        <v>0</v>
      </c>
      <c r="Q180" s="798">
        <f t="shared" si="98"/>
        <v>0</v>
      </c>
      <c r="R180" s="798">
        <f t="shared" si="98"/>
        <v>0</v>
      </c>
      <c r="S180" s="798">
        <f t="shared" si="98"/>
        <v>0</v>
      </c>
      <c r="T180" s="798">
        <f t="shared" si="98"/>
        <v>0</v>
      </c>
      <c r="U180" s="798">
        <f t="shared" si="98"/>
        <v>0</v>
      </c>
      <c r="V180" s="798">
        <f t="shared" si="98"/>
        <v>0</v>
      </c>
      <c r="W180" s="798">
        <f t="shared" si="98"/>
        <v>0</v>
      </c>
      <c r="X180" s="798">
        <f t="shared" si="98"/>
        <v>0</v>
      </c>
      <c r="Y180" s="798">
        <f t="shared" si="98"/>
        <v>0</v>
      </c>
      <c r="Z180" s="798">
        <f t="shared" si="98"/>
        <v>0</v>
      </c>
      <c r="AA180" s="798">
        <f t="shared" si="98"/>
        <v>0</v>
      </c>
      <c r="AB180" s="798">
        <f t="shared" si="98"/>
        <v>0</v>
      </c>
      <c r="AC180" s="798">
        <f t="shared" si="98"/>
        <v>0</v>
      </c>
      <c r="AD180" s="798">
        <f t="shared" si="98"/>
        <v>0</v>
      </c>
      <c r="AE180" s="798">
        <f t="shared" si="98"/>
        <v>0</v>
      </c>
      <c r="AF180" s="798">
        <f t="shared" si="98"/>
        <v>0</v>
      </c>
      <c r="AG180" s="798">
        <f t="shared" si="98"/>
        <v>0</v>
      </c>
      <c r="AH180" s="798">
        <f t="shared" si="98"/>
        <v>0</v>
      </c>
      <c r="AI180" s="798">
        <f t="shared" si="98"/>
        <v>0</v>
      </c>
      <c r="AJ180" s="798">
        <f t="shared" si="98"/>
        <v>0</v>
      </c>
      <c r="AK180" s="798">
        <f t="shared" si="98"/>
        <v>0</v>
      </c>
      <c r="AL180" s="798"/>
      <c r="AM180" s="798"/>
      <c r="AN180" s="798"/>
      <c r="AO180" s="798"/>
      <c r="AP180" s="798"/>
      <c r="AQ180" s="798"/>
      <c r="AR180" s="798"/>
      <c r="AS180" s="798"/>
      <c r="AT180" s="798"/>
      <c r="AU180" s="798"/>
      <c r="AV180" s="798"/>
      <c r="AW180" s="798"/>
      <c r="AX180" s="798"/>
      <c r="AY180" s="798"/>
      <c r="AZ180" s="798"/>
      <c r="BA180" s="798"/>
      <c r="BB180" s="798"/>
      <c r="BC180" s="798"/>
      <c r="BD180" s="798"/>
      <c r="BE180" s="798"/>
      <c r="BF180" s="798"/>
      <c r="BG180" s="798"/>
      <c r="BH180" s="798"/>
      <c r="BI180" s="798"/>
      <c r="BJ180" s="798"/>
      <c r="BK180" s="798"/>
      <c r="BL180" s="798"/>
      <c r="BM180" s="798"/>
      <c r="BN180" s="798"/>
      <c r="BO180" s="798"/>
      <c r="BP180" s="798"/>
      <c r="BQ180" s="798"/>
      <c r="BR180" s="798"/>
      <c r="BS180" s="798"/>
      <c r="BT180" s="798"/>
      <c r="BU180" s="798"/>
      <c r="BV180" s="798"/>
      <c r="BW180" s="798"/>
      <c r="BX180" s="798"/>
      <c r="BY180" s="798"/>
      <c r="BZ180" s="798"/>
      <c r="CA180" s="798"/>
      <c r="CB180" s="798"/>
      <c r="CC180" s="798"/>
      <c r="CD180" s="798"/>
      <c r="CE180" s="798"/>
      <c r="CF180" s="798"/>
      <c r="CG180" s="798"/>
      <c r="CH180" s="798"/>
      <c r="CI180" s="798"/>
    </row>
    <row r="181" spans="2:87" x14ac:dyDescent="0.2">
      <c r="B181" s="801" t="s">
        <v>778</v>
      </c>
      <c r="C181" s="802" t="s">
        <v>393</v>
      </c>
      <c r="D181" s="803" t="s">
        <v>779</v>
      </c>
      <c r="E181" s="802" t="s">
        <v>236</v>
      </c>
      <c r="F181" s="804">
        <v>2</v>
      </c>
      <c r="G181" s="805">
        <f>G179-G178</f>
        <v>0</v>
      </c>
      <c r="H181" s="805">
        <f t="shared" ref="H181:AK181" si="99">H179-H178</f>
        <v>0</v>
      </c>
      <c r="I181" s="805">
        <f t="shared" si="99"/>
        <v>-2.7199414313170598</v>
      </c>
      <c r="J181" s="805">
        <f t="shared" si="99"/>
        <v>-1.7817282186715875</v>
      </c>
      <c r="K181" s="805">
        <f t="shared" si="99"/>
        <v>-2.020079599581813</v>
      </c>
      <c r="L181" s="805">
        <f>L179-L178</f>
        <v>-1.8617798201880547</v>
      </c>
      <c r="M181" s="806">
        <f t="shared" si="99"/>
        <v>9.2181738753464915E-2</v>
      </c>
      <c r="N181" s="806">
        <f t="shared" si="99"/>
        <v>0.15452864342204364</v>
      </c>
      <c r="O181" s="806">
        <f t="shared" si="99"/>
        <v>9.9944176350817759E-2</v>
      </c>
      <c r="P181" s="806">
        <f t="shared" si="99"/>
        <v>-0.18000000000000194</v>
      </c>
      <c r="Q181" s="806">
        <f>Q179-Q178</f>
        <v>-0.18000000000000149</v>
      </c>
      <c r="R181" s="806">
        <f>R179-R178</f>
        <v>-0.18000000000000016</v>
      </c>
      <c r="S181" s="806">
        <f t="shared" si="99"/>
        <v>-0.17999999999999994</v>
      </c>
      <c r="T181" s="806">
        <f t="shared" si="99"/>
        <v>-0.18000000000000166</v>
      </c>
      <c r="U181" s="806">
        <f t="shared" si="99"/>
        <v>-0.17999999999999988</v>
      </c>
      <c r="V181" s="806">
        <f t="shared" si="99"/>
        <v>-0.18000000000000099</v>
      </c>
      <c r="W181" s="806">
        <f t="shared" si="99"/>
        <v>-0.18000000000000055</v>
      </c>
      <c r="X181" s="806">
        <f t="shared" si="99"/>
        <v>-0.17999999999999899</v>
      </c>
      <c r="Y181" s="806">
        <f t="shared" si="99"/>
        <v>-0.18000000000000077</v>
      </c>
      <c r="Z181" s="806">
        <f t="shared" si="99"/>
        <v>-0.18000000000000077</v>
      </c>
      <c r="AA181" s="806">
        <f t="shared" si="99"/>
        <v>-0.18000000000000077</v>
      </c>
      <c r="AB181" s="806">
        <f t="shared" si="99"/>
        <v>-0.18000000000000077</v>
      </c>
      <c r="AC181" s="806">
        <f t="shared" si="99"/>
        <v>-0.18000000000000055</v>
      </c>
      <c r="AD181" s="806">
        <f t="shared" si="99"/>
        <v>-0.18000000000000016</v>
      </c>
      <c r="AE181" s="806">
        <f t="shared" si="99"/>
        <v>-0.18000000000000171</v>
      </c>
      <c r="AF181" s="806">
        <f t="shared" si="99"/>
        <v>-0.17999999999999972</v>
      </c>
      <c r="AG181" s="806">
        <f t="shared" si="99"/>
        <v>-0.17999999999999949</v>
      </c>
      <c r="AH181" s="806">
        <f t="shared" si="99"/>
        <v>-0.17999999999999949</v>
      </c>
      <c r="AI181" s="806">
        <f t="shared" si="99"/>
        <v>-0.18000000000000127</v>
      </c>
      <c r="AJ181" s="806">
        <f t="shared" si="99"/>
        <v>-0.18000000000000149</v>
      </c>
      <c r="AK181" s="806">
        <f t="shared" si="99"/>
        <v>-0.17999999999999972</v>
      </c>
      <c r="AL181" s="806"/>
      <c r="AM181" s="806"/>
      <c r="AN181" s="806"/>
      <c r="AO181" s="806"/>
      <c r="AP181" s="806"/>
      <c r="AQ181" s="806"/>
      <c r="AR181" s="806"/>
      <c r="AS181" s="806"/>
      <c r="AT181" s="806"/>
      <c r="AU181" s="806"/>
      <c r="AV181" s="806"/>
      <c r="AW181" s="806"/>
      <c r="AX181" s="806"/>
      <c r="AY181" s="806"/>
      <c r="AZ181" s="806"/>
      <c r="BA181" s="806"/>
      <c r="BB181" s="806"/>
      <c r="BC181" s="806"/>
      <c r="BD181" s="806"/>
      <c r="BE181" s="806"/>
      <c r="BF181" s="806"/>
      <c r="BG181" s="806"/>
      <c r="BH181" s="806"/>
      <c r="BI181" s="806"/>
      <c r="BJ181" s="806"/>
      <c r="BK181" s="806"/>
      <c r="BL181" s="806"/>
      <c r="BM181" s="806"/>
      <c r="BN181" s="806"/>
      <c r="BO181" s="806"/>
      <c r="BP181" s="806"/>
      <c r="BQ181" s="806"/>
      <c r="BR181" s="806"/>
      <c r="BS181" s="806"/>
      <c r="BT181" s="806"/>
      <c r="BU181" s="806"/>
      <c r="BV181" s="806"/>
      <c r="BW181" s="806"/>
      <c r="BX181" s="806"/>
      <c r="BY181" s="806"/>
      <c r="BZ181" s="806"/>
      <c r="CA181" s="806"/>
      <c r="CB181" s="806"/>
      <c r="CC181" s="806"/>
      <c r="CD181" s="806"/>
      <c r="CE181" s="806"/>
      <c r="CF181" s="806"/>
      <c r="CG181" s="806"/>
      <c r="CH181" s="806"/>
      <c r="CI181" s="807"/>
    </row>
    <row r="182" spans="2:87" x14ac:dyDescent="0.2">
      <c r="B182" s="1404"/>
      <c r="C182" s="1405"/>
      <c r="D182" s="1406"/>
      <c r="E182" s="1405"/>
      <c r="F182" s="1407"/>
      <c r="G182" s="798"/>
      <c r="H182" s="798"/>
      <c r="I182" s="798"/>
      <c r="J182" s="798"/>
      <c r="K182" s="798"/>
      <c r="L182" s="798"/>
      <c r="M182" s="1537"/>
      <c r="N182" s="799"/>
      <c r="O182" s="799"/>
      <c r="P182" s="799"/>
      <c r="Q182" s="799"/>
      <c r="R182" s="799"/>
      <c r="S182" s="799"/>
      <c r="T182" s="799"/>
      <c r="U182" s="799"/>
      <c r="V182" s="799"/>
      <c r="W182" s="799"/>
      <c r="X182" s="799"/>
      <c r="Y182" s="799"/>
      <c r="Z182" s="799"/>
      <c r="AA182" s="799"/>
      <c r="AB182" s="799"/>
      <c r="AC182" s="799"/>
      <c r="AD182" s="799"/>
      <c r="AE182" s="799"/>
      <c r="AF182" s="799"/>
      <c r="AG182" s="799"/>
      <c r="AH182" s="799"/>
      <c r="AI182" s="799"/>
      <c r="AJ182" s="799"/>
      <c r="AK182" s="799"/>
      <c r="AL182" s="799"/>
      <c r="AM182" s="799"/>
      <c r="AN182" s="799"/>
      <c r="AO182" s="799"/>
      <c r="AP182" s="799"/>
      <c r="AQ182" s="799"/>
      <c r="AR182" s="799"/>
      <c r="AS182" s="799"/>
      <c r="AT182" s="799"/>
      <c r="AU182" s="799"/>
      <c r="AV182" s="799"/>
      <c r="AW182" s="799"/>
      <c r="AX182" s="799"/>
      <c r="AY182" s="799"/>
      <c r="AZ182" s="799"/>
      <c r="BA182" s="799"/>
      <c r="BB182" s="799"/>
      <c r="BC182" s="799"/>
      <c r="BD182" s="799"/>
      <c r="BE182" s="799"/>
      <c r="BF182" s="799"/>
      <c r="BG182" s="799"/>
      <c r="BH182" s="799"/>
      <c r="BI182" s="799"/>
      <c r="BJ182" s="799"/>
      <c r="BK182" s="799"/>
      <c r="BL182" s="799"/>
      <c r="BM182" s="799"/>
      <c r="BN182" s="799"/>
      <c r="BO182" s="799"/>
      <c r="BP182" s="799"/>
      <c r="BQ182" s="799"/>
      <c r="BR182" s="799"/>
      <c r="BS182" s="799"/>
      <c r="BT182" s="799"/>
      <c r="BU182" s="799"/>
      <c r="BV182" s="799"/>
      <c r="BW182" s="799"/>
      <c r="BX182" s="799"/>
      <c r="BY182" s="799"/>
      <c r="BZ182" s="799"/>
      <c r="CA182" s="799"/>
      <c r="CB182" s="799"/>
      <c r="CC182" s="799"/>
      <c r="CD182" s="799"/>
      <c r="CE182" s="799"/>
      <c r="CF182" s="799"/>
      <c r="CG182" s="799"/>
      <c r="CH182" s="799"/>
      <c r="CI182" s="800"/>
    </row>
    <row r="183" spans="2:87" ht="44.1" customHeight="1" thickBot="1" x14ac:dyDescent="0.25">
      <c r="T183" s="1292"/>
      <c r="U183" s="1292"/>
      <c r="V183" s="1292"/>
      <c r="W183" s="1292"/>
      <c r="X183" s="1292"/>
      <c r="Y183" s="1292"/>
      <c r="Z183" s="1292"/>
      <c r="AA183" s="1292"/>
      <c r="AB183" s="1292"/>
      <c r="AC183" s="1292"/>
      <c r="AD183" s="1292"/>
      <c r="AE183" s="1292"/>
      <c r="AF183" s="1292"/>
      <c r="AG183" s="1292"/>
      <c r="AH183" s="1292"/>
      <c r="AI183" s="1292"/>
      <c r="AJ183" s="1292"/>
      <c r="AK183" s="1292"/>
    </row>
    <row r="184" spans="2:87" x14ac:dyDescent="0.2">
      <c r="B184" s="1287" t="s">
        <v>64</v>
      </c>
      <c r="C184" s="1284" t="s">
        <v>444</v>
      </c>
      <c r="D184" s="1287" t="s">
        <v>2</v>
      </c>
      <c r="E184" s="1468">
        <f>E13</f>
        <v>16</v>
      </c>
    </row>
    <row r="185" spans="2:87" ht="15" thickBot="1" x14ac:dyDescent="0.25">
      <c r="B185" s="1289" t="s">
        <v>445</v>
      </c>
      <c r="C185" s="1290" t="str">
        <f ca="1">MID(CELL("filename",A182),FIND("]",CELL("filename",A182))+1,255)</f>
        <v>ESWHRT</v>
      </c>
      <c r="D185" s="1291" t="s">
        <v>200</v>
      </c>
      <c r="E185" s="1290" t="s">
        <v>780</v>
      </c>
    </row>
    <row r="186" spans="2:87" x14ac:dyDescent="0.2">
      <c r="B186" s="1296"/>
    </row>
    <row r="187" spans="2:87" x14ac:dyDescent="0.2">
      <c r="B187" s="1296"/>
    </row>
    <row r="188" spans="2:87" x14ac:dyDescent="0.2">
      <c r="B188" s="1296"/>
    </row>
    <row r="189" spans="2:87" x14ac:dyDescent="0.2">
      <c r="B189" s="1296"/>
    </row>
    <row r="190" spans="2:87" x14ac:dyDescent="0.2">
      <c r="B190" s="1296"/>
    </row>
    <row r="191" spans="2:87" x14ac:dyDescent="0.2">
      <c r="B191" s="1296"/>
    </row>
    <row r="192" spans="2:87" x14ac:dyDescent="0.2">
      <c r="B192" s="1296"/>
    </row>
    <row r="193" spans="1:89" x14ac:dyDescent="0.2">
      <c r="B193" s="1296"/>
    </row>
    <row r="194" spans="1:89" x14ac:dyDescent="0.2">
      <c r="B194" s="1296"/>
    </row>
    <row r="195" spans="1:89" x14ac:dyDescent="0.2">
      <c r="B195" s="1296"/>
    </row>
    <row r="196" spans="1:89" x14ac:dyDescent="0.2">
      <c r="B196" s="1296"/>
    </row>
    <row r="197" spans="1:89" x14ac:dyDescent="0.2">
      <c r="B197" s="1296"/>
    </row>
    <row r="198" spans="1:89" x14ac:dyDescent="0.2">
      <c r="B198" s="1296"/>
    </row>
    <row r="199" spans="1:89" x14ac:dyDescent="0.2">
      <c r="B199" s="1296"/>
    </row>
    <row r="200" spans="1:89" x14ac:dyDescent="0.2">
      <c r="B200" s="1296"/>
    </row>
    <row r="201" spans="1:89" x14ac:dyDescent="0.2">
      <c r="B201" s="1296"/>
    </row>
    <row r="202" spans="1:89" ht="15.75" thickBot="1" x14ac:dyDescent="0.25">
      <c r="CJ202" s="523"/>
    </row>
    <row r="203" spans="1:89" ht="44.1" customHeight="1" thickBot="1" x14ac:dyDescent="0.25">
      <c r="B203" s="810" t="s">
        <v>441</v>
      </c>
      <c r="C203" s="1306" t="s">
        <v>204</v>
      </c>
      <c r="D203" s="523"/>
      <c r="E203" s="523"/>
      <c r="F203" s="523"/>
      <c r="G203" s="523"/>
      <c r="H203" s="523"/>
      <c r="I203" s="523"/>
      <c r="J203" s="523"/>
      <c r="K203" s="523"/>
      <c r="L203" s="523"/>
      <c r="M203" s="523"/>
      <c r="N203" s="523"/>
      <c r="O203" s="523"/>
      <c r="P203" s="523"/>
      <c r="Q203" s="523"/>
      <c r="R203" s="523"/>
      <c r="S203" s="523"/>
      <c r="T203" s="523"/>
      <c r="U203" s="523"/>
      <c r="V203" s="523"/>
      <c r="W203" s="523"/>
      <c r="X203" s="523"/>
      <c r="Y203" s="523"/>
      <c r="Z203" s="523"/>
      <c r="AA203" s="523"/>
      <c r="AB203" s="523"/>
      <c r="AC203" s="523"/>
      <c r="AD203" s="523"/>
      <c r="AE203" s="523"/>
      <c r="AF203" s="523"/>
      <c r="AG203" s="523"/>
      <c r="AH203" s="523"/>
      <c r="AI203" s="523"/>
      <c r="AJ203" s="523"/>
      <c r="AK203" s="523"/>
      <c r="AL203" s="523"/>
      <c r="AM203" s="523"/>
      <c r="AN203" s="523"/>
      <c r="AO203" s="523"/>
      <c r="AP203" s="523"/>
      <c r="AQ203" s="523"/>
      <c r="AR203" s="523"/>
      <c r="AS203" s="523"/>
      <c r="AT203" s="523"/>
      <c r="AU203" s="523"/>
      <c r="AV203" s="523"/>
      <c r="AW203" s="523"/>
      <c r="AX203" s="523"/>
      <c r="AY203" s="523"/>
      <c r="AZ203" s="523"/>
      <c r="BA203" s="523"/>
      <c r="BB203" s="523"/>
      <c r="BC203" s="523"/>
      <c r="BD203" s="523"/>
      <c r="BE203" s="523"/>
      <c r="BF203" s="523"/>
      <c r="BG203" s="523"/>
      <c r="BH203" s="523"/>
      <c r="BI203" s="523"/>
      <c r="BJ203" s="523"/>
      <c r="BK203" s="523"/>
      <c r="BL203" s="523"/>
      <c r="BM203" s="523"/>
      <c r="BN203" s="523"/>
      <c r="BO203" s="523"/>
      <c r="BP203" s="523"/>
      <c r="BQ203" s="523"/>
      <c r="BR203" s="523"/>
      <c r="BS203" s="523"/>
      <c r="BT203" s="523"/>
      <c r="BU203" s="523"/>
      <c r="BV203" s="523"/>
      <c r="BW203" s="523"/>
      <c r="BX203" s="523"/>
      <c r="BY203" s="523"/>
      <c r="BZ203" s="523"/>
      <c r="CA203" s="523"/>
      <c r="CB203" s="523"/>
      <c r="CC203" s="523"/>
      <c r="CD203" s="523"/>
      <c r="CE203" s="523"/>
      <c r="CF203" s="523"/>
      <c r="CG203" s="523"/>
      <c r="CH203" s="523"/>
      <c r="CI203" s="523"/>
    </row>
    <row r="204" spans="1:89" s="1292" customFormat="1" ht="15.75" thickBot="1" x14ac:dyDescent="0.25">
      <c r="A204" s="1284"/>
      <c r="B204" s="811" t="s">
        <v>446</v>
      </c>
      <c r="C204" s="812" t="s">
        <v>205</v>
      </c>
      <c r="D204" s="812" t="s">
        <v>71</v>
      </c>
      <c r="E204" s="812" t="s">
        <v>206</v>
      </c>
      <c r="F204" s="813" t="s">
        <v>207</v>
      </c>
      <c r="G204" s="811" t="s">
        <v>208</v>
      </c>
      <c r="H204" s="811" t="s">
        <v>209</v>
      </c>
      <c r="I204" s="811" t="s">
        <v>210</v>
      </c>
      <c r="J204" s="811" t="s">
        <v>211</v>
      </c>
      <c r="K204" s="811" t="s">
        <v>212</v>
      </c>
      <c r="L204" s="811" t="s">
        <v>213</v>
      </c>
      <c r="M204" s="812" t="s">
        <v>214</v>
      </c>
      <c r="N204" s="812" t="s">
        <v>215</v>
      </c>
      <c r="O204" s="812" t="s">
        <v>216</v>
      </c>
      <c r="P204" s="812" t="s">
        <v>217</v>
      </c>
      <c r="Q204" s="812" t="s">
        <v>218</v>
      </c>
      <c r="R204" s="812" t="s">
        <v>247</v>
      </c>
      <c r="S204" s="812" t="s">
        <v>248</v>
      </c>
      <c r="T204" s="812" t="s">
        <v>249</v>
      </c>
      <c r="U204" s="812" t="s">
        <v>250</v>
      </c>
      <c r="V204" s="812" t="s">
        <v>219</v>
      </c>
      <c r="W204" s="812" t="s">
        <v>251</v>
      </c>
      <c r="X204" s="812" t="s">
        <v>252</v>
      </c>
      <c r="Y204" s="812" t="s">
        <v>253</v>
      </c>
      <c r="Z204" s="812" t="s">
        <v>254</v>
      </c>
      <c r="AA204" s="812" t="s">
        <v>220</v>
      </c>
      <c r="AB204" s="812" t="s">
        <v>255</v>
      </c>
      <c r="AC204" s="812" t="s">
        <v>256</v>
      </c>
      <c r="AD204" s="812" t="s">
        <v>257</v>
      </c>
      <c r="AE204" s="812" t="s">
        <v>258</v>
      </c>
      <c r="AF204" s="812" t="s">
        <v>221</v>
      </c>
      <c r="AG204" s="812" t="s">
        <v>259</v>
      </c>
      <c r="AH204" s="812" t="s">
        <v>260</v>
      </c>
      <c r="AI204" s="812" t="s">
        <v>261</v>
      </c>
      <c r="AJ204" s="812" t="s">
        <v>262</v>
      </c>
      <c r="AK204" s="812" t="s">
        <v>222</v>
      </c>
      <c r="AL204" s="812" t="s">
        <v>263</v>
      </c>
      <c r="AM204" s="812" t="s">
        <v>264</v>
      </c>
      <c r="AN204" s="812" t="s">
        <v>265</v>
      </c>
      <c r="AO204" s="812" t="s">
        <v>266</v>
      </c>
      <c r="AP204" s="812" t="s">
        <v>223</v>
      </c>
      <c r="AQ204" s="812" t="s">
        <v>267</v>
      </c>
      <c r="AR204" s="812" t="s">
        <v>268</v>
      </c>
      <c r="AS204" s="812" t="s">
        <v>269</v>
      </c>
      <c r="AT204" s="812" t="s">
        <v>270</v>
      </c>
      <c r="AU204" s="812" t="s">
        <v>224</v>
      </c>
      <c r="AV204" s="812" t="s">
        <v>271</v>
      </c>
      <c r="AW204" s="812" t="s">
        <v>272</v>
      </c>
      <c r="AX204" s="812" t="s">
        <v>273</v>
      </c>
      <c r="AY204" s="812" t="s">
        <v>274</v>
      </c>
      <c r="AZ204" s="812" t="s">
        <v>225</v>
      </c>
      <c r="BA204" s="812" t="s">
        <v>275</v>
      </c>
      <c r="BB204" s="812" t="s">
        <v>276</v>
      </c>
      <c r="BC204" s="812" t="s">
        <v>277</v>
      </c>
      <c r="BD204" s="812" t="s">
        <v>278</v>
      </c>
      <c r="BE204" s="812" t="s">
        <v>226</v>
      </c>
      <c r="BF204" s="812" t="s">
        <v>279</v>
      </c>
      <c r="BG204" s="812" t="s">
        <v>280</v>
      </c>
      <c r="BH204" s="812" t="s">
        <v>281</v>
      </c>
      <c r="BI204" s="812" t="s">
        <v>282</v>
      </c>
      <c r="BJ204" s="812" t="s">
        <v>227</v>
      </c>
      <c r="BK204" s="812" t="s">
        <v>283</v>
      </c>
      <c r="BL204" s="812" t="s">
        <v>284</v>
      </c>
      <c r="BM204" s="812" t="s">
        <v>285</v>
      </c>
      <c r="BN204" s="812" t="s">
        <v>286</v>
      </c>
      <c r="BO204" s="812" t="s">
        <v>228</v>
      </c>
      <c r="BP204" s="812" t="s">
        <v>287</v>
      </c>
      <c r="BQ204" s="812" t="s">
        <v>288</v>
      </c>
      <c r="BR204" s="812" t="s">
        <v>289</v>
      </c>
      <c r="BS204" s="812" t="s">
        <v>290</v>
      </c>
      <c r="BT204" s="812" t="s">
        <v>229</v>
      </c>
      <c r="BU204" s="812" t="s">
        <v>291</v>
      </c>
      <c r="BV204" s="812" t="s">
        <v>292</v>
      </c>
      <c r="BW204" s="812" t="s">
        <v>293</v>
      </c>
      <c r="BX204" s="812" t="s">
        <v>294</v>
      </c>
      <c r="BY204" s="812" t="s">
        <v>230</v>
      </c>
      <c r="BZ204" s="812" t="s">
        <v>295</v>
      </c>
      <c r="CA204" s="812" t="s">
        <v>296</v>
      </c>
      <c r="CB204" s="812" t="s">
        <v>297</v>
      </c>
      <c r="CC204" s="812" t="s">
        <v>298</v>
      </c>
      <c r="CD204" s="812" t="s">
        <v>231</v>
      </c>
      <c r="CE204" s="812" t="s">
        <v>299</v>
      </c>
      <c r="CF204" s="812" t="s">
        <v>300</v>
      </c>
      <c r="CG204" s="812" t="s">
        <v>301</v>
      </c>
      <c r="CH204" s="812" t="s">
        <v>302</v>
      </c>
      <c r="CI204" s="813" t="s">
        <v>232</v>
      </c>
      <c r="CK204" s="1293"/>
    </row>
    <row r="205" spans="1:89" s="1292" customFormat="1" x14ac:dyDescent="0.2">
      <c r="A205" s="1284"/>
      <c r="B205" s="814" t="s">
        <v>447</v>
      </c>
      <c r="C205" s="815" t="s">
        <v>448</v>
      </c>
      <c r="D205" s="816" t="s">
        <v>86</v>
      </c>
      <c r="E205" s="817" t="s">
        <v>236</v>
      </c>
      <c r="F205" s="818">
        <v>2</v>
      </c>
      <c r="G205" s="532"/>
      <c r="H205" s="540"/>
      <c r="I205" s="540">
        <v>10.718022468133443</v>
      </c>
      <c r="J205" s="540">
        <v>14.151574282317176</v>
      </c>
      <c r="K205" s="540">
        <v>14.094786843903242</v>
      </c>
      <c r="L205" s="540">
        <v>14.050322215111393</v>
      </c>
      <c r="M205" s="541">
        <v>14.491789357728955</v>
      </c>
      <c r="N205" s="541">
        <v>14.600176387390896</v>
      </c>
      <c r="O205" s="541">
        <v>14.69623692310498</v>
      </c>
      <c r="P205" s="541">
        <v>14.688579186881954</v>
      </c>
      <c r="Q205" s="541">
        <v>14.678974770199847</v>
      </c>
      <c r="R205" s="541">
        <v>14.679556556570807</v>
      </c>
      <c r="S205" s="541">
        <v>14.685174011118015</v>
      </c>
      <c r="T205" s="541">
        <v>14.689680041762964</v>
      </c>
      <c r="U205" s="541">
        <v>14.684171876486408</v>
      </c>
      <c r="V205" s="541">
        <v>14.679834093229772</v>
      </c>
      <c r="W205" s="541">
        <v>14.677008086818597</v>
      </c>
      <c r="X205" s="541">
        <v>14.67381319915058</v>
      </c>
      <c r="Y205" s="541">
        <v>14.672289509676402</v>
      </c>
      <c r="Z205" s="541">
        <v>14.67288922828263</v>
      </c>
      <c r="AA205" s="541">
        <v>14.671679235504961</v>
      </c>
      <c r="AB205" s="541">
        <v>14.665707942903895</v>
      </c>
      <c r="AC205" s="541">
        <v>14.66308806357956</v>
      </c>
      <c r="AD205" s="541">
        <v>14.661731580137284</v>
      </c>
      <c r="AE205" s="541">
        <v>14.675980618668564</v>
      </c>
      <c r="AF205" s="541">
        <v>14.690158154008559</v>
      </c>
      <c r="AG205" s="541">
        <v>14.704801021559504</v>
      </c>
      <c r="AH205" s="541">
        <v>14.71937040821269</v>
      </c>
      <c r="AI205" s="541">
        <v>14.73484244058816</v>
      </c>
      <c r="AJ205" s="541">
        <v>14.752638019931005</v>
      </c>
      <c r="AK205" s="541">
        <v>14.771839401999257</v>
      </c>
      <c r="AL205" s="541"/>
      <c r="AM205" s="541"/>
      <c r="AN205" s="541"/>
      <c r="AO205" s="541"/>
      <c r="AP205" s="541"/>
      <c r="AQ205" s="541"/>
      <c r="AR205" s="541"/>
      <c r="AS205" s="541"/>
      <c r="AT205" s="541"/>
      <c r="AU205" s="541"/>
      <c r="AV205" s="541"/>
      <c r="AW205" s="541"/>
      <c r="AX205" s="541"/>
      <c r="AY205" s="541"/>
      <c r="AZ205" s="541"/>
      <c r="BA205" s="541"/>
      <c r="BB205" s="541"/>
      <c r="BC205" s="541"/>
      <c r="BD205" s="541"/>
      <c r="BE205" s="541"/>
      <c r="BF205" s="541"/>
      <c r="BG205" s="541"/>
      <c r="BH205" s="541"/>
      <c r="BI205" s="541"/>
      <c r="BJ205" s="541"/>
      <c r="BK205" s="541"/>
      <c r="BL205" s="541"/>
      <c r="BM205" s="541"/>
      <c r="BN205" s="541"/>
      <c r="BO205" s="541"/>
      <c r="BP205" s="541"/>
      <c r="BQ205" s="541"/>
      <c r="BR205" s="541"/>
      <c r="BS205" s="541"/>
      <c r="BT205" s="541"/>
      <c r="BU205" s="541"/>
      <c r="BV205" s="541"/>
      <c r="BW205" s="541"/>
      <c r="BX205" s="541"/>
      <c r="BY205" s="541"/>
      <c r="BZ205" s="541"/>
      <c r="CA205" s="541"/>
      <c r="CB205" s="541"/>
      <c r="CC205" s="541"/>
      <c r="CD205" s="541"/>
      <c r="CE205" s="541"/>
      <c r="CF205" s="541"/>
      <c r="CG205" s="541"/>
      <c r="CH205" s="541"/>
      <c r="CI205" s="542"/>
      <c r="CK205" s="1293"/>
    </row>
    <row r="206" spans="1:89" s="1292" customFormat="1" x14ac:dyDescent="0.2">
      <c r="A206" s="1284"/>
      <c r="B206" s="819" t="s">
        <v>449</v>
      </c>
      <c r="C206" s="820" t="s">
        <v>681</v>
      </c>
      <c r="D206" s="821" t="s">
        <v>86</v>
      </c>
      <c r="E206" s="822" t="s">
        <v>236</v>
      </c>
      <c r="F206" s="823">
        <v>2</v>
      </c>
      <c r="G206" s="1008"/>
      <c r="H206" s="540"/>
      <c r="I206" s="540">
        <v>0</v>
      </c>
      <c r="J206" s="540">
        <v>0</v>
      </c>
      <c r="K206" s="540">
        <v>0</v>
      </c>
      <c r="L206" s="540">
        <v>0</v>
      </c>
      <c r="M206" s="541">
        <v>0</v>
      </c>
      <c r="N206" s="541">
        <v>0</v>
      </c>
      <c r="O206" s="541">
        <v>0</v>
      </c>
      <c r="P206" s="541">
        <v>0</v>
      </c>
      <c r="Q206" s="541">
        <v>0</v>
      </c>
      <c r="R206" s="541">
        <v>0</v>
      </c>
      <c r="S206" s="541">
        <v>0</v>
      </c>
      <c r="T206" s="541">
        <v>0</v>
      </c>
      <c r="U206" s="541">
        <v>0</v>
      </c>
      <c r="V206" s="541">
        <v>0</v>
      </c>
      <c r="W206" s="541">
        <v>0</v>
      </c>
      <c r="X206" s="541">
        <v>0</v>
      </c>
      <c r="Y206" s="541">
        <v>0</v>
      </c>
      <c r="Z206" s="541">
        <v>0</v>
      </c>
      <c r="AA206" s="541">
        <v>0</v>
      </c>
      <c r="AB206" s="541">
        <v>0</v>
      </c>
      <c r="AC206" s="541">
        <v>0</v>
      </c>
      <c r="AD206" s="541">
        <v>0</v>
      </c>
      <c r="AE206" s="541">
        <v>0</v>
      </c>
      <c r="AF206" s="541">
        <v>0</v>
      </c>
      <c r="AG206" s="541">
        <v>0</v>
      </c>
      <c r="AH206" s="541">
        <v>0</v>
      </c>
      <c r="AI206" s="541">
        <v>0</v>
      </c>
      <c r="AJ206" s="541">
        <v>0</v>
      </c>
      <c r="AK206" s="541">
        <v>0</v>
      </c>
      <c r="AL206" s="541"/>
      <c r="AM206" s="541"/>
      <c r="AN206" s="541"/>
      <c r="AO206" s="541"/>
      <c r="AP206" s="541"/>
      <c r="AQ206" s="541"/>
      <c r="AR206" s="541"/>
      <c r="AS206" s="541"/>
      <c r="AT206" s="541"/>
      <c r="AU206" s="541"/>
      <c r="AV206" s="541"/>
      <c r="AW206" s="541"/>
      <c r="AX206" s="541"/>
      <c r="AY206" s="541"/>
      <c r="AZ206" s="541"/>
      <c r="BA206" s="541"/>
      <c r="BB206" s="541"/>
      <c r="BC206" s="541"/>
      <c r="BD206" s="541"/>
      <c r="BE206" s="541"/>
      <c r="BF206" s="541"/>
      <c r="BG206" s="541"/>
      <c r="BH206" s="541"/>
      <c r="BI206" s="541"/>
      <c r="BJ206" s="541"/>
      <c r="BK206" s="541"/>
      <c r="BL206" s="541"/>
      <c r="BM206" s="541"/>
      <c r="BN206" s="541"/>
      <c r="BO206" s="541"/>
      <c r="BP206" s="541"/>
      <c r="BQ206" s="541"/>
      <c r="BR206" s="541"/>
      <c r="BS206" s="541"/>
      <c r="BT206" s="541"/>
      <c r="BU206" s="541"/>
      <c r="BV206" s="541"/>
      <c r="BW206" s="541"/>
      <c r="BX206" s="541"/>
      <c r="BY206" s="541"/>
      <c r="BZ206" s="541"/>
      <c r="CA206" s="541"/>
      <c r="CB206" s="541"/>
      <c r="CC206" s="541"/>
      <c r="CD206" s="541"/>
      <c r="CE206" s="541"/>
      <c r="CF206" s="541"/>
      <c r="CG206" s="541"/>
      <c r="CH206" s="541"/>
      <c r="CI206" s="542"/>
      <c r="CK206" s="1293"/>
    </row>
    <row r="207" spans="1:89" s="1292" customFormat="1" x14ac:dyDescent="0.2">
      <c r="A207" s="1284"/>
      <c r="B207" s="819" t="s">
        <v>451</v>
      </c>
      <c r="C207" s="820" t="s">
        <v>452</v>
      </c>
      <c r="D207" s="821" t="s">
        <v>86</v>
      </c>
      <c r="E207" s="822" t="s">
        <v>236</v>
      </c>
      <c r="F207" s="823">
        <v>2</v>
      </c>
      <c r="G207" s="540"/>
      <c r="H207" s="540"/>
      <c r="I207" s="540">
        <v>2</v>
      </c>
      <c r="J207" s="540">
        <v>2</v>
      </c>
      <c r="K207" s="540">
        <v>2</v>
      </c>
      <c r="L207" s="540">
        <v>2</v>
      </c>
      <c r="M207" s="1342">
        <v>2</v>
      </c>
      <c r="N207" s="1342">
        <v>2</v>
      </c>
      <c r="O207" s="1342">
        <v>2</v>
      </c>
      <c r="P207" s="1342">
        <v>2</v>
      </c>
      <c r="Q207" s="1342">
        <v>2</v>
      </c>
      <c r="R207" s="1342">
        <v>2</v>
      </c>
      <c r="S207" s="1342">
        <v>2</v>
      </c>
      <c r="T207" s="1342">
        <v>2</v>
      </c>
      <c r="U207" s="1342">
        <v>2</v>
      </c>
      <c r="V207" s="1342">
        <v>2</v>
      </c>
      <c r="W207" s="1342">
        <v>2</v>
      </c>
      <c r="X207" s="1342">
        <v>2</v>
      </c>
      <c r="Y207" s="1342">
        <v>2</v>
      </c>
      <c r="Z207" s="1342">
        <v>2</v>
      </c>
      <c r="AA207" s="1342">
        <v>2</v>
      </c>
      <c r="AB207" s="1342">
        <v>2</v>
      </c>
      <c r="AC207" s="1342">
        <v>2</v>
      </c>
      <c r="AD207" s="1342">
        <v>2</v>
      </c>
      <c r="AE207" s="1342">
        <v>2</v>
      </c>
      <c r="AF207" s="1342">
        <v>2</v>
      </c>
      <c r="AG207" s="1342">
        <v>2</v>
      </c>
      <c r="AH207" s="1342">
        <v>2</v>
      </c>
      <c r="AI207" s="1342">
        <v>2</v>
      </c>
      <c r="AJ207" s="1342">
        <v>2</v>
      </c>
      <c r="AK207" s="1342">
        <v>2</v>
      </c>
      <c r="AL207" s="1342"/>
      <c r="AM207" s="1342"/>
      <c r="AN207" s="1342"/>
      <c r="AO207" s="1342"/>
      <c r="AP207" s="1342"/>
      <c r="AQ207" s="1342"/>
      <c r="AR207" s="1342"/>
      <c r="AS207" s="1342"/>
      <c r="AT207" s="1342"/>
      <c r="AU207" s="1342"/>
      <c r="AV207" s="1342"/>
      <c r="AW207" s="1342"/>
      <c r="AX207" s="1342"/>
      <c r="AY207" s="1342"/>
      <c r="AZ207" s="1342"/>
      <c r="BA207" s="1342"/>
      <c r="BB207" s="1342"/>
      <c r="BC207" s="1342"/>
      <c r="BD207" s="1342"/>
      <c r="BE207" s="1342"/>
      <c r="BF207" s="1342"/>
      <c r="BG207" s="1342"/>
      <c r="BH207" s="1342"/>
      <c r="BI207" s="1342"/>
      <c r="BJ207" s="1342"/>
      <c r="BK207" s="1342"/>
      <c r="BL207" s="1342"/>
      <c r="BM207" s="1342"/>
      <c r="BN207" s="1342"/>
      <c r="BO207" s="1342"/>
      <c r="BP207" s="1342"/>
      <c r="BQ207" s="1342"/>
      <c r="BR207" s="1342"/>
      <c r="BS207" s="1342"/>
      <c r="BT207" s="1342"/>
      <c r="BU207" s="1342"/>
      <c r="BV207" s="1342"/>
      <c r="BW207" s="1342"/>
      <c r="BX207" s="1342"/>
      <c r="BY207" s="1342"/>
      <c r="BZ207" s="1342"/>
      <c r="CA207" s="1342"/>
      <c r="CB207" s="1342"/>
      <c r="CC207" s="1342"/>
      <c r="CD207" s="1342"/>
      <c r="CE207" s="1342"/>
      <c r="CF207" s="1342"/>
      <c r="CG207" s="1342"/>
      <c r="CH207" s="1342"/>
      <c r="CI207" s="1342"/>
      <c r="CK207" s="1293"/>
    </row>
    <row r="208" spans="1:89" s="1292" customFormat="1" x14ac:dyDescent="0.2">
      <c r="A208" s="1284"/>
      <c r="B208" s="819" t="s">
        <v>453</v>
      </c>
      <c r="C208" s="820" t="s">
        <v>454</v>
      </c>
      <c r="D208" s="821" t="s">
        <v>86</v>
      </c>
      <c r="E208" s="822" t="s">
        <v>236</v>
      </c>
      <c r="F208" s="823">
        <v>2</v>
      </c>
      <c r="G208" s="540"/>
      <c r="H208" s="540"/>
      <c r="I208" s="540">
        <v>0</v>
      </c>
      <c r="J208" s="540">
        <v>0</v>
      </c>
      <c r="K208" s="540">
        <v>0</v>
      </c>
      <c r="L208" s="540">
        <v>0</v>
      </c>
      <c r="M208" s="541">
        <v>0</v>
      </c>
      <c r="N208" s="541">
        <v>0</v>
      </c>
      <c r="O208" s="541">
        <v>0</v>
      </c>
      <c r="P208" s="541">
        <v>0</v>
      </c>
      <c r="Q208" s="541">
        <v>0</v>
      </c>
      <c r="R208" s="541">
        <v>0</v>
      </c>
      <c r="S208" s="541">
        <v>0</v>
      </c>
      <c r="T208" s="541">
        <v>0</v>
      </c>
      <c r="U208" s="541">
        <v>0</v>
      </c>
      <c r="V208" s="541">
        <v>0</v>
      </c>
      <c r="W208" s="541">
        <v>0</v>
      </c>
      <c r="X208" s="541">
        <v>0</v>
      </c>
      <c r="Y208" s="541">
        <v>0</v>
      </c>
      <c r="Z208" s="541">
        <v>0</v>
      </c>
      <c r="AA208" s="541">
        <v>0</v>
      </c>
      <c r="AB208" s="541">
        <v>0</v>
      </c>
      <c r="AC208" s="541">
        <v>0</v>
      </c>
      <c r="AD208" s="541">
        <v>0</v>
      </c>
      <c r="AE208" s="541">
        <v>0</v>
      </c>
      <c r="AF208" s="541">
        <v>0</v>
      </c>
      <c r="AG208" s="541">
        <v>0</v>
      </c>
      <c r="AH208" s="541">
        <v>0</v>
      </c>
      <c r="AI208" s="541">
        <v>0</v>
      </c>
      <c r="AJ208" s="541">
        <v>0</v>
      </c>
      <c r="AK208" s="541">
        <v>0</v>
      </c>
      <c r="AL208" s="541"/>
      <c r="AM208" s="541"/>
      <c r="AN208" s="541"/>
      <c r="AO208" s="541"/>
      <c r="AP208" s="541"/>
      <c r="AQ208" s="541"/>
      <c r="AR208" s="541"/>
      <c r="AS208" s="541"/>
      <c r="AT208" s="541"/>
      <c r="AU208" s="541"/>
      <c r="AV208" s="541"/>
      <c r="AW208" s="541"/>
      <c r="AX208" s="541"/>
      <c r="AY208" s="541"/>
      <c r="AZ208" s="541"/>
      <c r="BA208" s="541"/>
      <c r="BB208" s="541"/>
      <c r="BC208" s="541"/>
      <c r="BD208" s="541"/>
      <c r="BE208" s="541"/>
      <c r="BF208" s="541"/>
      <c r="BG208" s="541"/>
      <c r="BH208" s="541"/>
      <c r="BI208" s="541"/>
      <c r="BJ208" s="541"/>
      <c r="BK208" s="541"/>
      <c r="BL208" s="541"/>
      <c r="BM208" s="541"/>
      <c r="BN208" s="541"/>
      <c r="BO208" s="541"/>
      <c r="BP208" s="541"/>
      <c r="BQ208" s="541"/>
      <c r="BR208" s="541"/>
      <c r="BS208" s="541"/>
      <c r="BT208" s="541"/>
      <c r="BU208" s="541"/>
      <c r="BV208" s="541"/>
      <c r="BW208" s="541"/>
      <c r="BX208" s="541"/>
      <c r="BY208" s="541"/>
      <c r="BZ208" s="541"/>
      <c r="CA208" s="541"/>
      <c r="CB208" s="541"/>
      <c r="CC208" s="541"/>
      <c r="CD208" s="541"/>
      <c r="CE208" s="541"/>
      <c r="CF208" s="541"/>
      <c r="CG208" s="541"/>
      <c r="CH208" s="541"/>
      <c r="CI208" s="542"/>
      <c r="CK208" s="1293"/>
    </row>
    <row r="209" spans="1:89" s="1292" customFormat="1" x14ac:dyDescent="0.2">
      <c r="A209" s="1284"/>
      <c r="B209" s="824" t="s">
        <v>455</v>
      </c>
      <c r="C209" s="820" t="s">
        <v>456</v>
      </c>
      <c r="D209" s="821" t="s">
        <v>86</v>
      </c>
      <c r="E209" s="822" t="s">
        <v>236</v>
      </c>
      <c r="F209" s="823">
        <v>2</v>
      </c>
      <c r="G209" s="540"/>
      <c r="H209" s="540"/>
      <c r="I209" s="540">
        <v>0</v>
      </c>
      <c r="J209" s="540">
        <v>0</v>
      </c>
      <c r="K209" s="540">
        <v>0</v>
      </c>
      <c r="L209" s="540">
        <v>0</v>
      </c>
      <c r="M209" s="541">
        <v>0</v>
      </c>
      <c r="N209" s="541">
        <v>0</v>
      </c>
      <c r="O209" s="541">
        <v>0</v>
      </c>
      <c r="P209" s="541">
        <v>0</v>
      </c>
      <c r="Q209" s="541">
        <v>0</v>
      </c>
      <c r="R209" s="541">
        <v>0</v>
      </c>
      <c r="S209" s="541">
        <v>0</v>
      </c>
      <c r="T209" s="541">
        <v>0</v>
      </c>
      <c r="U209" s="541">
        <v>0</v>
      </c>
      <c r="V209" s="541">
        <v>0</v>
      </c>
      <c r="W209" s="541">
        <v>0</v>
      </c>
      <c r="X209" s="541">
        <v>0</v>
      </c>
      <c r="Y209" s="541">
        <v>0</v>
      </c>
      <c r="Z209" s="541">
        <v>0</v>
      </c>
      <c r="AA209" s="541">
        <v>0</v>
      </c>
      <c r="AB209" s="541">
        <v>0</v>
      </c>
      <c r="AC209" s="541">
        <v>0</v>
      </c>
      <c r="AD209" s="541">
        <v>0</v>
      </c>
      <c r="AE209" s="541">
        <v>0</v>
      </c>
      <c r="AF209" s="541">
        <v>0</v>
      </c>
      <c r="AG209" s="541">
        <v>0</v>
      </c>
      <c r="AH209" s="541">
        <v>0</v>
      </c>
      <c r="AI209" s="541">
        <v>0</v>
      </c>
      <c r="AJ209" s="541">
        <v>0</v>
      </c>
      <c r="AK209" s="541">
        <v>0</v>
      </c>
      <c r="AL209" s="541"/>
      <c r="AM209" s="541"/>
      <c r="AN209" s="541"/>
      <c r="AO209" s="541"/>
      <c r="AP209" s="541"/>
      <c r="AQ209" s="541"/>
      <c r="AR209" s="541"/>
      <c r="AS209" s="541"/>
      <c r="AT209" s="541"/>
      <c r="AU209" s="541"/>
      <c r="AV209" s="541"/>
      <c r="AW209" s="541"/>
      <c r="AX209" s="541"/>
      <c r="AY209" s="541"/>
      <c r="AZ209" s="541"/>
      <c r="BA209" s="541"/>
      <c r="BB209" s="541"/>
      <c r="BC209" s="541"/>
      <c r="BD209" s="541"/>
      <c r="BE209" s="541"/>
      <c r="BF209" s="541"/>
      <c r="BG209" s="541"/>
      <c r="BH209" s="541"/>
      <c r="BI209" s="541"/>
      <c r="BJ209" s="541"/>
      <c r="BK209" s="541"/>
      <c r="BL209" s="541"/>
      <c r="BM209" s="541"/>
      <c r="BN209" s="541"/>
      <c r="BO209" s="541"/>
      <c r="BP209" s="541"/>
      <c r="BQ209" s="541"/>
      <c r="BR209" s="541"/>
      <c r="BS209" s="541"/>
      <c r="BT209" s="541"/>
      <c r="BU209" s="541"/>
      <c r="BV209" s="541"/>
      <c r="BW209" s="541"/>
      <c r="BX209" s="541"/>
      <c r="BY209" s="541"/>
      <c r="BZ209" s="541"/>
      <c r="CA209" s="541"/>
      <c r="CB209" s="541"/>
      <c r="CC209" s="541"/>
      <c r="CD209" s="541"/>
      <c r="CE209" s="541"/>
      <c r="CF209" s="541"/>
      <c r="CG209" s="541"/>
      <c r="CH209" s="541"/>
      <c r="CI209" s="542"/>
      <c r="CK209" s="1293"/>
    </row>
    <row r="210" spans="1:89" s="1292" customFormat="1" x14ac:dyDescent="0.2">
      <c r="A210" s="1284"/>
      <c r="B210" s="824" t="s">
        <v>457</v>
      </c>
      <c r="C210" s="820" t="s">
        <v>458</v>
      </c>
      <c r="D210" s="821" t="s">
        <v>86</v>
      </c>
      <c r="E210" s="822" t="s">
        <v>236</v>
      </c>
      <c r="F210" s="823">
        <v>2</v>
      </c>
      <c r="G210" s="540"/>
      <c r="H210" s="540"/>
      <c r="I210" s="540">
        <v>-0.02</v>
      </c>
      <c r="J210" s="540">
        <v>-0.02</v>
      </c>
      <c r="K210" s="540">
        <v>-0.02</v>
      </c>
      <c r="L210" s="540">
        <v>-0.02</v>
      </c>
      <c r="M210" s="541">
        <v>-0.02</v>
      </c>
      <c r="N210" s="541">
        <v>-0.02</v>
      </c>
      <c r="O210" s="541">
        <v>-0.02</v>
      </c>
      <c r="P210" s="541">
        <v>-0.02</v>
      </c>
      <c r="Q210" s="541">
        <v>-0.02</v>
      </c>
      <c r="R210" s="541">
        <v>-0.02</v>
      </c>
      <c r="S210" s="541">
        <v>-0.02</v>
      </c>
      <c r="T210" s="541">
        <v>-0.02</v>
      </c>
      <c r="U210" s="541">
        <v>-0.02</v>
      </c>
      <c r="V210" s="541">
        <v>-0.02</v>
      </c>
      <c r="W210" s="541">
        <v>-0.02</v>
      </c>
      <c r="X210" s="541">
        <v>-0.02</v>
      </c>
      <c r="Y210" s="541">
        <v>-0.02</v>
      </c>
      <c r="Z210" s="541">
        <v>-0.02</v>
      </c>
      <c r="AA210" s="541">
        <v>-0.02</v>
      </c>
      <c r="AB210" s="541">
        <v>-0.02</v>
      </c>
      <c r="AC210" s="541">
        <v>-0.02</v>
      </c>
      <c r="AD210" s="541">
        <v>-0.02</v>
      </c>
      <c r="AE210" s="541">
        <v>-0.02</v>
      </c>
      <c r="AF210" s="541">
        <v>-0.02</v>
      </c>
      <c r="AG210" s="541">
        <v>-0.02</v>
      </c>
      <c r="AH210" s="541">
        <v>-0.02</v>
      </c>
      <c r="AI210" s="541">
        <v>-0.02</v>
      </c>
      <c r="AJ210" s="541">
        <v>-0.02</v>
      </c>
      <c r="AK210" s="541">
        <v>-0.02</v>
      </c>
      <c r="AL210" s="541"/>
      <c r="AM210" s="541"/>
      <c r="AN210" s="541"/>
      <c r="AO210" s="541"/>
      <c r="AP210" s="541"/>
      <c r="AQ210" s="541"/>
      <c r="AR210" s="541"/>
      <c r="AS210" s="541"/>
      <c r="AT210" s="541"/>
      <c r="AU210" s="541"/>
      <c r="AV210" s="541"/>
      <c r="AW210" s="541"/>
      <c r="AX210" s="541"/>
      <c r="AY210" s="541"/>
      <c r="AZ210" s="541"/>
      <c r="BA210" s="541"/>
      <c r="BB210" s="541"/>
      <c r="BC210" s="541"/>
      <c r="BD210" s="541"/>
      <c r="BE210" s="541"/>
      <c r="BF210" s="541"/>
      <c r="BG210" s="541"/>
      <c r="BH210" s="541"/>
      <c r="BI210" s="541"/>
      <c r="BJ210" s="541"/>
      <c r="BK210" s="541"/>
      <c r="BL210" s="541"/>
      <c r="BM210" s="541"/>
      <c r="BN210" s="541"/>
      <c r="BO210" s="541"/>
      <c r="BP210" s="541"/>
      <c r="BQ210" s="541"/>
      <c r="BR210" s="541"/>
      <c r="BS210" s="541"/>
      <c r="BT210" s="541"/>
      <c r="BU210" s="541"/>
      <c r="BV210" s="541"/>
      <c r="BW210" s="541"/>
      <c r="BX210" s="541"/>
      <c r="BY210" s="541"/>
      <c r="BZ210" s="541"/>
      <c r="CA210" s="541"/>
      <c r="CB210" s="541"/>
      <c r="CC210" s="541"/>
      <c r="CD210" s="541"/>
      <c r="CE210" s="541"/>
      <c r="CF210" s="541"/>
      <c r="CG210" s="541"/>
      <c r="CH210" s="541"/>
      <c r="CI210" s="542"/>
      <c r="CK210" s="1293"/>
    </row>
    <row r="211" spans="1:89" s="1292" customFormat="1" x14ac:dyDescent="0.2">
      <c r="A211" s="1284"/>
      <c r="B211" s="824" t="s">
        <v>459</v>
      </c>
      <c r="C211" s="820" t="s">
        <v>460</v>
      </c>
      <c r="D211" s="821" t="s">
        <v>86</v>
      </c>
      <c r="E211" s="822" t="s">
        <v>236</v>
      </c>
      <c r="F211" s="823">
        <v>2</v>
      </c>
      <c r="G211" s="540"/>
      <c r="H211" s="540"/>
      <c r="I211" s="540">
        <v>13.45</v>
      </c>
      <c r="J211" s="540">
        <v>13.45</v>
      </c>
      <c r="K211" s="540">
        <v>13.45</v>
      </c>
      <c r="L211" s="540">
        <v>13.45</v>
      </c>
      <c r="M211" s="541">
        <v>13.45</v>
      </c>
      <c r="N211" s="541">
        <v>13.45</v>
      </c>
      <c r="O211" s="541">
        <v>13.45</v>
      </c>
      <c r="P211" s="541">
        <v>13.45</v>
      </c>
      <c r="Q211" s="541">
        <v>13.45</v>
      </c>
      <c r="R211" s="541">
        <v>13.45</v>
      </c>
      <c r="S211" s="541">
        <v>13.45</v>
      </c>
      <c r="T211" s="541">
        <v>13.45</v>
      </c>
      <c r="U211" s="541">
        <v>13.45</v>
      </c>
      <c r="V211" s="541">
        <v>13.45</v>
      </c>
      <c r="W211" s="541">
        <v>13.45</v>
      </c>
      <c r="X211" s="541">
        <v>13.45</v>
      </c>
      <c r="Y211" s="541">
        <v>13.45</v>
      </c>
      <c r="Z211" s="541">
        <v>13.45</v>
      </c>
      <c r="AA211" s="541">
        <v>13.45</v>
      </c>
      <c r="AB211" s="541">
        <v>13.45</v>
      </c>
      <c r="AC211" s="541">
        <v>13.45</v>
      </c>
      <c r="AD211" s="541">
        <v>13.45</v>
      </c>
      <c r="AE211" s="541">
        <v>13.45</v>
      </c>
      <c r="AF211" s="541">
        <v>13.45</v>
      </c>
      <c r="AG211" s="541">
        <v>13.45</v>
      </c>
      <c r="AH211" s="541">
        <v>13.45</v>
      </c>
      <c r="AI211" s="541">
        <v>13.45</v>
      </c>
      <c r="AJ211" s="541">
        <v>13.45</v>
      </c>
      <c r="AK211" s="541">
        <v>13.45</v>
      </c>
      <c r="AL211" s="541"/>
      <c r="AM211" s="541"/>
      <c r="AN211" s="541"/>
      <c r="AO211" s="541"/>
      <c r="AP211" s="541"/>
      <c r="AQ211" s="541"/>
      <c r="AR211" s="541"/>
      <c r="AS211" s="541"/>
      <c r="AT211" s="541"/>
      <c r="AU211" s="541"/>
      <c r="AV211" s="541"/>
      <c r="AW211" s="541"/>
      <c r="AX211" s="541"/>
      <c r="AY211" s="541"/>
      <c r="AZ211" s="541"/>
      <c r="BA211" s="541"/>
      <c r="BB211" s="541"/>
      <c r="BC211" s="541"/>
      <c r="BD211" s="541"/>
      <c r="BE211" s="541"/>
      <c r="BF211" s="541"/>
      <c r="BG211" s="541"/>
      <c r="BH211" s="541"/>
      <c r="BI211" s="541"/>
      <c r="BJ211" s="541"/>
      <c r="BK211" s="541"/>
      <c r="BL211" s="541"/>
      <c r="BM211" s="541"/>
      <c r="BN211" s="541"/>
      <c r="BO211" s="541"/>
      <c r="BP211" s="541"/>
      <c r="BQ211" s="541"/>
      <c r="BR211" s="541"/>
      <c r="BS211" s="541"/>
      <c r="BT211" s="541"/>
      <c r="BU211" s="541"/>
      <c r="BV211" s="541"/>
      <c r="BW211" s="541"/>
      <c r="BX211" s="541"/>
      <c r="BY211" s="541"/>
      <c r="BZ211" s="541"/>
      <c r="CA211" s="541"/>
      <c r="CB211" s="541"/>
      <c r="CC211" s="541"/>
      <c r="CD211" s="541"/>
      <c r="CE211" s="541"/>
      <c r="CF211" s="541"/>
      <c r="CG211" s="541"/>
      <c r="CH211" s="541"/>
      <c r="CI211" s="542"/>
      <c r="CK211" s="1293"/>
    </row>
    <row r="212" spans="1:89" s="1292" customFormat="1" x14ac:dyDescent="0.2">
      <c r="A212" s="1284"/>
      <c r="B212" s="824" t="s">
        <v>461</v>
      </c>
      <c r="C212" s="825" t="s">
        <v>462</v>
      </c>
      <c r="D212" s="821" t="s">
        <v>463</v>
      </c>
      <c r="E212" s="822" t="s">
        <v>236</v>
      </c>
      <c r="F212" s="823">
        <v>2</v>
      </c>
      <c r="G212" s="547">
        <f>G211+G213</f>
        <v>0</v>
      </c>
      <c r="H212" s="547">
        <f t="shared" ref="H212:AK212" si="100">H211+H213</f>
        <v>0</v>
      </c>
      <c r="I212" s="547">
        <f t="shared" si="100"/>
        <v>13.45</v>
      </c>
      <c r="J212" s="547">
        <f t="shared" si="100"/>
        <v>13.45</v>
      </c>
      <c r="K212" s="547">
        <f t="shared" si="100"/>
        <v>13.45</v>
      </c>
      <c r="L212" s="547">
        <f t="shared" si="100"/>
        <v>13.45</v>
      </c>
      <c r="M212" s="552">
        <f t="shared" si="100"/>
        <v>13.45</v>
      </c>
      <c r="N212" s="552">
        <f t="shared" si="100"/>
        <v>13.45</v>
      </c>
      <c r="O212" s="552">
        <f t="shared" si="100"/>
        <v>13.45</v>
      </c>
      <c r="P212" s="552">
        <f t="shared" si="100"/>
        <v>13.45</v>
      </c>
      <c r="Q212" s="552">
        <f t="shared" si="100"/>
        <v>13.45</v>
      </c>
      <c r="R212" s="552">
        <f t="shared" si="100"/>
        <v>13.45</v>
      </c>
      <c r="S212" s="552">
        <f t="shared" si="100"/>
        <v>13.45</v>
      </c>
      <c r="T212" s="552">
        <f t="shared" si="100"/>
        <v>13.45</v>
      </c>
      <c r="U212" s="552">
        <f t="shared" si="100"/>
        <v>13.45</v>
      </c>
      <c r="V212" s="552">
        <f t="shared" si="100"/>
        <v>13.45</v>
      </c>
      <c r="W212" s="552">
        <f t="shared" si="100"/>
        <v>13.45</v>
      </c>
      <c r="X212" s="552">
        <f t="shared" si="100"/>
        <v>13.45</v>
      </c>
      <c r="Y212" s="552">
        <f t="shared" si="100"/>
        <v>13.45</v>
      </c>
      <c r="Z212" s="552">
        <f t="shared" si="100"/>
        <v>13.45</v>
      </c>
      <c r="AA212" s="552">
        <f t="shared" si="100"/>
        <v>13.45</v>
      </c>
      <c r="AB212" s="552">
        <f t="shared" si="100"/>
        <v>13.45</v>
      </c>
      <c r="AC212" s="552">
        <f t="shared" si="100"/>
        <v>13.45</v>
      </c>
      <c r="AD212" s="552">
        <f t="shared" si="100"/>
        <v>13.45</v>
      </c>
      <c r="AE212" s="552">
        <f t="shared" si="100"/>
        <v>13.45</v>
      </c>
      <c r="AF212" s="552">
        <f t="shared" si="100"/>
        <v>13.45</v>
      </c>
      <c r="AG212" s="552">
        <f t="shared" si="100"/>
        <v>13.45</v>
      </c>
      <c r="AH212" s="552">
        <f t="shared" si="100"/>
        <v>13.45</v>
      </c>
      <c r="AI212" s="552">
        <f t="shared" si="100"/>
        <v>13.45</v>
      </c>
      <c r="AJ212" s="552">
        <f t="shared" si="100"/>
        <v>13.45</v>
      </c>
      <c r="AK212" s="552">
        <f t="shared" si="100"/>
        <v>13.45</v>
      </c>
      <c r="AL212" s="552"/>
      <c r="AM212" s="552"/>
      <c r="AN212" s="552"/>
      <c r="AO212" s="552"/>
      <c r="AP212" s="552"/>
      <c r="AQ212" s="552"/>
      <c r="AR212" s="552"/>
      <c r="AS212" s="552"/>
      <c r="AT212" s="552"/>
      <c r="AU212" s="552"/>
      <c r="AV212" s="552"/>
      <c r="AW212" s="552"/>
      <c r="AX212" s="552"/>
      <c r="AY212" s="552"/>
      <c r="AZ212" s="552"/>
      <c r="BA212" s="552"/>
      <c r="BB212" s="552"/>
      <c r="BC212" s="552"/>
      <c r="BD212" s="552"/>
      <c r="BE212" s="552"/>
      <c r="BF212" s="552"/>
      <c r="BG212" s="552"/>
      <c r="BH212" s="552"/>
      <c r="BI212" s="552"/>
      <c r="BJ212" s="552"/>
      <c r="BK212" s="552"/>
      <c r="BL212" s="552"/>
      <c r="BM212" s="552"/>
      <c r="BN212" s="552"/>
      <c r="BO212" s="552"/>
      <c r="BP212" s="552"/>
      <c r="BQ212" s="552"/>
      <c r="BR212" s="552"/>
      <c r="BS212" s="552"/>
      <c r="BT212" s="552"/>
      <c r="BU212" s="552"/>
      <c r="BV212" s="552"/>
      <c r="BW212" s="552"/>
      <c r="BX212" s="552"/>
      <c r="BY212" s="552"/>
      <c r="BZ212" s="552"/>
      <c r="CA212" s="552"/>
      <c r="CB212" s="552"/>
      <c r="CC212" s="552"/>
      <c r="CD212" s="552"/>
      <c r="CE212" s="552"/>
      <c r="CF212" s="552"/>
      <c r="CG212" s="552"/>
      <c r="CH212" s="552"/>
      <c r="CI212" s="548"/>
      <c r="CK212" s="1293"/>
    </row>
    <row r="213" spans="1:89" s="1292" customFormat="1" ht="28.5" x14ac:dyDescent="0.2">
      <c r="A213" s="1284"/>
      <c r="B213" s="826" t="s">
        <v>464</v>
      </c>
      <c r="C213" s="827" t="s">
        <v>465</v>
      </c>
      <c r="D213" s="827" t="s">
        <v>466</v>
      </c>
      <c r="E213" s="828" t="s">
        <v>236</v>
      </c>
      <c r="F213" s="823">
        <v>2</v>
      </c>
      <c r="G213" s="547">
        <f>SUM(G214:G219)</f>
        <v>0</v>
      </c>
      <c r="H213" s="547">
        <f t="shared" ref="H213:AK213" si="101">SUM(H214:H219)</f>
        <v>0</v>
      </c>
      <c r="I213" s="547">
        <f t="shared" si="101"/>
        <v>0</v>
      </c>
      <c r="J213" s="547">
        <f t="shared" si="101"/>
        <v>0</v>
      </c>
      <c r="K213" s="547">
        <f t="shared" si="101"/>
        <v>0</v>
      </c>
      <c r="L213" s="547">
        <f t="shared" si="101"/>
        <v>0</v>
      </c>
      <c r="M213" s="552">
        <f t="shared" si="101"/>
        <v>0</v>
      </c>
      <c r="N213" s="552">
        <f t="shared" si="101"/>
        <v>0</v>
      </c>
      <c r="O213" s="552">
        <f t="shared" si="101"/>
        <v>0</v>
      </c>
      <c r="P213" s="552">
        <f t="shared" si="101"/>
        <v>0</v>
      </c>
      <c r="Q213" s="552">
        <f t="shared" si="101"/>
        <v>0</v>
      </c>
      <c r="R213" s="552">
        <f t="shared" si="101"/>
        <v>0</v>
      </c>
      <c r="S213" s="552">
        <f t="shared" si="101"/>
        <v>0</v>
      </c>
      <c r="T213" s="552">
        <f t="shared" si="101"/>
        <v>0</v>
      </c>
      <c r="U213" s="552">
        <f t="shared" si="101"/>
        <v>0</v>
      </c>
      <c r="V213" s="552">
        <f t="shared" si="101"/>
        <v>0</v>
      </c>
      <c r="W213" s="552">
        <f t="shared" si="101"/>
        <v>0</v>
      </c>
      <c r="X213" s="552">
        <f t="shared" si="101"/>
        <v>0</v>
      </c>
      <c r="Y213" s="552">
        <f t="shared" si="101"/>
        <v>0</v>
      </c>
      <c r="Z213" s="552">
        <f t="shared" si="101"/>
        <v>0</v>
      </c>
      <c r="AA213" s="552">
        <f t="shared" si="101"/>
        <v>0</v>
      </c>
      <c r="AB213" s="552">
        <f t="shared" si="101"/>
        <v>0</v>
      </c>
      <c r="AC213" s="552">
        <f t="shared" si="101"/>
        <v>0</v>
      </c>
      <c r="AD213" s="552">
        <f t="shared" si="101"/>
        <v>0</v>
      </c>
      <c r="AE213" s="552">
        <f t="shared" si="101"/>
        <v>0</v>
      </c>
      <c r="AF213" s="552">
        <f t="shared" si="101"/>
        <v>0</v>
      </c>
      <c r="AG213" s="552">
        <f t="shared" si="101"/>
        <v>0</v>
      </c>
      <c r="AH213" s="552">
        <f t="shared" si="101"/>
        <v>0</v>
      </c>
      <c r="AI213" s="552">
        <f t="shared" si="101"/>
        <v>0</v>
      </c>
      <c r="AJ213" s="552">
        <f t="shared" si="101"/>
        <v>0</v>
      </c>
      <c r="AK213" s="552">
        <f t="shared" si="101"/>
        <v>0</v>
      </c>
      <c r="AL213" s="552"/>
      <c r="AM213" s="552"/>
      <c r="AN213" s="552"/>
      <c r="AO213" s="552"/>
      <c r="AP213" s="552"/>
      <c r="AQ213" s="552"/>
      <c r="AR213" s="552"/>
      <c r="AS213" s="552"/>
      <c r="AT213" s="552"/>
      <c r="AU213" s="552"/>
      <c r="AV213" s="552"/>
      <c r="AW213" s="552"/>
      <c r="AX213" s="552"/>
      <c r="AY213" s="552"/>
      <c r="AZ213" s="552"/>
      <c r="BA213" s="552"/>
      <c r="BB213" s="552"/>
      <c r="BC213" s="552"/>
      <c r="BD213" s="552"/>
      <c r="BE213" s="552"/>
      <c r="BF213" s="552"/>
      <c r="BG213" s="552"/>
      <c r="BH213" s="552"/>
      <c r="BI213" s="552"/>
      <c r="BJ213" s="552"/>
      <c r="BK213" s="552"/>
      <c r="BL213" s="552"/>
      <c r="BM213" s="552"/>
      <c r="BN213" s="552"/>
      <c r="BO213" s="552"/>
      <c r="BP213" s="552"/>
      <c r="BQ213" s="552"/>
      <c r="BR213" s="552"/>
      <c r="BS213" s="552"/>
      <c r="BT213" s="552"/>
      <c r="BU213" s="552"/>
      <c r="BV213" s="552"/>
      <c r="BW213" s="552"/>
      <c r="BX213" s="552"/>
      <c r="BY213" s="552"/>
      <c r="BZ213" s="552"/>
      <c r="CA213" s="552"/>
      <c r="CB213" s="552"/>
      <c r="CC213" s="552"/>
      <c r="CD213" s="552"/>
      <c r="CE213" s="552"/>
      <c r="CF213" s="552"/>
      <c r="CG213" s="552"/>
      <c r="CH213" s="552"/>
      <c r="CI213" s="548"/>
      <c r="CK213" s="1293"/>
    </row>
    <row r="214" spans="1:89" s="1292" customFormat="1" x14ac:dyDescent="0.2">
      <c r="A214" s="1284"/>
      <c r="B214" s="824" t="s">
        <v>467</v>
      </c>
      <c r="C214" s="825" t="s">
        <v>468</v>
      </c>
      <c r="D214" s="821" t="s">
        <v>86</v>
      </c>
      <c r="E214" s="822" t="s">
        <v>236</v>
      </c>
      <c r="F214" s="823">
        <v>2</v>
      </c>
      <c r="G214" s="540"/>
      <c r="H214" s="540"/>
      <c r="I214" s="540">
        <v>0</v>
      </c>
      <c r="J214" s="540">
        <v>0</v>
      </c>
      <c r="K214" s="540">
        <v>0</v>
      </c>
      <c r="L214" s="540">
        <v>0</v>
      </c>
      <c r="M214" s="541">
        <v>0</v>
      </c>
      <c r="N214" s="541">
        <v>0</v>
      </c>
      <c r="O214" s="541">
        <v>0</v>
      </c>
      <c r="P214" s="541">
        <v>0</v>
      </c>
      <c r="Q214" s="541">
        <v>0</v>
      </c>
      <c r="R214" s="541">
        <v>0</v>
      </c>
      <c r="S214" s="541">
        <v>0</v>
      </c>
      <c r="T214" s="541">
        <v>0</v>
      </c>
      <c r="U214" s="541">
        <v>0</v>
      </c>
      <c r="V214" s="541">
        <v>0</v>
      </c>
      <c r="W214" s="541">
        <v>0</v>
      </c>
      <c r="X214" s="541">
        <v>0</v>
      </c>
      <c r="Y214" s="541">
        <v>0</v>
      </c>
      <c r="Z214" s="541">
        <v>0</v>
      </c>
      <c r="AA214" s="541">
        <v>0</v>
      </c>
      <c r="AB214" s="541">
        <v>0</v>
      </c>
      <c r="AC214" s="541">
        <v>0</v>
      </c>
      <c r="AD214" s="541">
        <v>0</v>
      </c>
      <c r="AE214" s="541">
        <v>0</v>
      </c>
      <c r="AF214" s="541">
        <v>0</v>
      </c>
      <c r="AG214" s="541">
        <v>0</v>
      </c>
      <c r="AH214" s="541">
        <v>0</v>
      </c>
      <c r="AI214" s="541">
        <v>0</v>
      </c>
      <c r="AJ214" s="541">
        <v>0</v>
      </c>
      <c r="AK214" s="541">
        <v>0</v>
      </c>
      <c r="AL214" s="541"/>
      <c r="AM214" s="541"/>
      <c r="AN214" s="541"/>
      <c r="AO214" s="541"/>
      <c r="AP214" s="541"/>
      <c r="AQ214" s="541"/>
      <c r="AR214" s="541"/>
      <c r="AS214" s="541"/>
      <c r="AT214" s="541"/>
      <c r="AU214" s="541"/>
      <c r="AV214" s="541"/>
      <c r="AW214" s="541"/>
      <c r="AX214" s="541"/>
      <c r="AY214" s="541"/>
      <c r="AZ214" s="541"/>
      <c r="BA214" s="541"/>
      <c r="BB214" s="541"/>
      <c r="BC214" s="541"/>
      <c r="BD214" s="541"/>
      <c r="BE214" s="541"/>
      <c r="BF214" s="541"/>
      <c r="BG214" s="541"/>
      <c r="BH214" s="541"/>
      <c r="BI214" s="541"/>
      <c r="BJ214" s="541"/>
      <c r="BK214" s="541"/>
      <c r="BL214" s="541"/>
      <c r="BM214" s="541"/>
      <c r="BN214" s="541"/>
      <c r="BO214" s="541"/>
      <c r="BP214" s="541"/>
      <c r="BQ214" s="541"/>
      <c r="BR214" s="541"/>
      <c r="BS214" s="541"/>
      <c r="BT214" s="541"/>
      <c r="BU214" s="541"/>
      <c r="BV214" s="541"/>
      <c r="BW214" s="541"/>
      <c r="BX214" s="541"/>
      <c r="BY214" s="541"/>
      <c r="BZ214" s="541"/>
      <c r="CA214" s="541"/>
      <c r="CB214" s="541"/>
      <c r="CC214" s="541"/>
      <c r="CD214" s="541"/>
      <c r="CE214" s="541"/>
      <c r="CF214" s="541"/>
      <c r="CG214" s="541"/>
      <c r="CH214" s="541"/>
      <c r="CI214" s="542"/>
      <c r="CK214" s="1293"/>
    </row>
    <row r="215" spans="1:89" s="1292" customFormat="1" ht="28.5" x14ac:dyDescent="0.2">
      <c r="A215" s="1284"/>
      <c r="B215" s="824" t="s">
        <v>469</v>
      </c>
      <c r="C215" s="825" t="s">
        <v>470</v>
      </c>
      <c r="D215" s="821" t="s">
        <v>86</v>
      </c>
      <c r="E215" s="822" t="s">
        <v>236</v>
      </c>
      <c r="F215" s="823">
        <v>2</v>
      </c>
      <c r="G215" s="540"/>
      <c r="H215" s="540"/>
      <c r="I215" s="540">
        <v>0</v>
      </c>
      <c r="J215" s="540">
        <v>0</v>
      </c>
      <c r="K215" s="540">
        <v>0</v>
      </c>
      <c r="L215" s="540">
        <v>0</v>
      </c>
      <c r="M215" s="541">
        <v>0</v>
      </c>
      <c r="N215" s="541">
        <v>0</v>
      </c>
      <c r="O215" s="541">
        <v>0</v>
      </c>
      <c r="P215" s="541">
        <v>0</v>
      </c>
      <c r="Q215" s="541">
        <v>0</v>
      </c>
      <c r="R215" s="541">
        <v>0</v>
      </c>
      <c r="S215" s="541">
        <v>0</v>
      </c>
      <c r="T215" s="541">
        <v>0</v>
      </c>
      <c r="U215" s="541">
        <v>0</v>
      </c>
      <c r="V215" s="541">
        <v>0</v>
      </c>
      <c r="W215" s="541">
        <v>0</v>
      </c>
      <c r="X215" s="541">
        <v>0</v>
      </c>
      <c r="Y215" s="541">
        <v>0</v>
      </c>
      <c r="Z215" s="541">
        <v>0</v>
      </c>
      <c r="AA215" s="541">
        <v>0</v>
      </c>
      <c r="AB215" s="541">
        <v>0</v>
      </c>
      <c r="AC215" s="541">
        <v>0</v>
      </c>
      <c r="AD215" s="541">
        <v>0</v>
      </c>
      <c r="AE215" s="541">
        <v>0</v>
      </c>
      <c r="AF215" s="541">
        <v>0</v>
      </c>
      <c r="AG215" s="541">
        <v>0</v>
      </c>
      <c r="AH215" s="541">
        <v>0</v>
      </c>
      <c r="AI215" s="541">
        <v>0</v>
      </c>
      <c r="AJ215" s="541">
        <v>0</v>
      </c>
      <c r="AK215" s="541">
        <v>0</v>
      </c>
      <c r="AL215" s="541"/>
      <c r="AM215" s="541"/>
      <c r="AN215" s="541"/>
      <c r="AO215" s="541"/>
      <c r="AP215" s="541"/>
      <c r="AQ215" s="541"/>
      <c r="AR215" s="541"/>
      <c r="AS215" s="541"/>
      <c r="AT215" s="541"/>
      <c r="AU215" s="541"/>
      <c r="AV215" s="541"/>
      <c r="AW215" s="541"/>
      <c r="AX215" s="541"/>
      <c r="AY215" s="541"/>
      <c r="AZ215" s="541"/>
      <c r="BA215" s="541"/>
      <c r="BB215" s="541"/>
      <c r="BC215" s="541"/>
      <c r="BD215" s="541"/>
      <c r="BE215" s="541"/>
      <c r="BF215" s="541"/>
      <c r="BG215" s="541"/>
      <c r="BH215" s="541"/>
      <c r="BI215" s="541"/>
      <c r="BJ215" s="541"/>
      <c r="BK215" s="541"/>
      <c r="BL215" s="541"/>
      <c r="BM215" s="541"/>
      <c r="BN215" s="541"/>
      <c r="BO215" s="541"/>
      <c r="BP215" s="541"/>
      <c r="BQ215" s="541"/>
      <c r="BR215" s="541"/>
      <c r="BS215" s="541"/>
      <c r="BT215" s="541"/>
      <c r="BU215" s="541"/>
      <c r="BV215" s="541"/>
      <c r="BW215" s="541"/>
      <c r="BX215" s="541"/>
      <c r="BY215" s="541"/>
      <c r="BZ215" s="541"/>
      <c r="CA215" s="541"/>
      <c r="CB215" s="541"/>
      <c r="CC215" s="541"/>
      <c r="CD215" s="541"/>
      <c r="CE215" s="541"/>
      <c r="CF215" s="541"/>
      <c r="CG215" s="541"/>
      <c r="CH215" s="541"/>
      <c r="CI215" s="542"/>
      <c r="CK215" s="1293"/>
    </row>
    <row r="216" spans="1:89" s="1292" customFormat="1" ht="57" x14ac:dyDescent="0.2">
      <c r="A216" s="1284"/>
      <c r="B216" s="824" t="s">
        <v>471</v>
      </c>
      <c r="C216" s="825" t="s">
        <v>781</v>
      </c>
      <c r="D216" s="821" t="s">
        <v>86</v>
      </c>
      <c r="E216" s="822" t="s">
        <v>236</v>
      </c>
      <c r="F216" s="823">
        <v>2</v>
      </c>
      <c r="G216" s="540"/>
      <c r="H216" s="540"/>
      <c r="I216" s="540">
        <v>0</v>
      </c>
      <c r="J216" s="540">
        <v>0</v>
      </c>
      <c r="K216" s="540">
        <v>0</v>
      </c>
      <c r="L216" s="540">
        <v>0</v>
      </c>
      <c r="M216" s="541">
        <v>0</v>
      </c>
      <c r="N216" s="541">
        <v>0</v>
      </c>
      <c r="O216" s="541">
        <v>0</v>
      </c>
      <c r="P216" s="541">
        <v>0</v>
      </c>
      <c r="Q216" s="541">
        <v>0</v>
      </c>
      <c r="R216" s="541">
        <v>0</v>
      </c>
      <c r="S216" s="541">
        <v>0</v>
      </c>
      <c r="T216" s="541">
        <v>0</v>
      </c>
      <c r="U216" s="541">
        <v>0</v>
      </c>
      <c r="V216" s="541">
        <v>0</v>
      </c>
      <c r="W216" s="541">
        <v>0</v>
      </c>
      <c r="X216" s="541">
        <v>0</v>
      </c>
      <c r="Y216" s="541">
        <v>0</v>
      </c>
      <c r="Z216" s="541">
        <v>0</v>
      </c>
      <c r="AA216" s="541">
        <v>0</v>
      </c>
      <c r="AB216" s="541">
        <v>0</v>
      </c>
      <c r="AC216" s="541">
        <v>0</v>
      </c>
      <c r="AD216" s="541">
        <v>0</v>
      </c>
      <c r="AE216" s="541">
        <v>0</v>
      </c>
      <c r="AF216" s="541">
        <v>0</v>
      </c>
      <c r="AG216" s="541">
        <v>0</v>
      </c>
      <c r="AH216" s="541">
        <v>0</v>
      </c>
      <c r="AI216" s="541">
        <v>0</v>
      </c>
      <c r="AJ216" s="541">
        <v>0</v>
      </c>
      <c r="AK216" s="541">
        <v>0</v>
      </c>
      <c r="AL216" s="541"/>
      <c r="AM216" s="541"/>
      <c r="AN216" s="541"/>
      <c r="AO216" s="541"/>
      <c r="AP216" s="541"/>
      <c r="AQ216" s="541"/>
      <c r="AR216" s="541"/>
      <c r="AS216" s="541"/>
      <c r="AT216" s="541"/>
      <c r="AU216" s="541"/>
      <c r="AV216" s="541"/>
      <c r="AW216" s="541"/>
      <c r="AX216" s="541"/>
      <c r="AY216" s="541"/>
      <c r="AZ216" s="541"/>
      <c r="BA216" s="541"/>
      <c r="BB216" s="541"/>
      <c r="BC216" s="541"/>
      <c r="BD216" s="541"/>
      <c r="BE216" s="541"/>
      <c r="BF216" s="541"/>
      <c r="BG216" s="541"/>
      <c r="BH216" s="541"/>
      <c r="BI216" s="541"/>
      <c r="BJ216" s="541"/>
      <c r="BK216" s="541"/>
      <c r="BL216" s="541"/>
      <c r="BM216" s="541"/>
      <c r="BN216" s="541"/>
      <c r="BO216" s="541"/>
      <c r="BP216" s="541"/>
      <c r="BQ216" s="541"/>
      <c r="BR216" s="541"/>
      <c r="BS216" s="541"/>
      <c r="BT216" s="541"/>
      <c r="BU216" s="541"/>
      <c r="BV216" s="541"/>
      <c r="BW216" s="541"/>
      <c r="BX216" s="541"/>
      <c r="BY216" s="541"/>
      <c r="BZ216" s="541"/>
      <c r="CA216" s="541"/>
      <c r="CB216" s="541"/>
      <c r="CC216" s="541"/>
      <c r="CD216" s="541"/>
      <c r="CE216" s="541"/>
      <c r="CF216" s="541"/>
      <c r="CG216" s="541"/>
      <c r="CH216" s="541"/>
      <c r="CI216" s="542"/>
      <c r="CK216" s="1293"/>
    </row>
    <row r="217" spans="1:89" s="1292" customFormat="1" ht="28.5" x14ac:dyDescent="0.2">
      <c r="A217" s="1284"/>
      <c r="B217" s="824" t="s">
        <v>473</v>
      </c>
      <c r="C217" s="825" t="s">
        <v>474</v>
      </c>
      <c r="D217" s="821" t="s">
        <v>86</v>
      </c>
      <c r="E217" s="822" t="s">
        <v>236</v>
      </c>
      <c r="F217" s="823">
        <v>2</v>
      </c>
      <c r="G217" s="540"/>
      <c r="H217" s="540"/>
      <c r="I217" s="540">
        <v>0</v>
      </c>
      <c r="J217" s="540">
        <v>0</v>
      </c>
      <c r="K217" s="540">
        <v>0</v>
      </c>
      <c r="L217" s="540">
        <v>0</v>
      </c>
      <c r="M217" s="541">
        <v>0</v>
      </c>
      <c r="N217" s="541">
        <v>0</v>
      </c>
      <c r="O217" s="541">
        <v>0</v>
      </c>
      <c r="P217" s="541">
        <v>0</v>
      </c>
      <c r="Q217" s="541">
        <v>0</v>
      </c>
      <c r="R217" s="541">
        <v>0</v>
      </c>
      <c r="S217" s="541">
        <v>0</v>
      </c>
      <c r="T217" s="541">
        <v>0</v>
      </c>
      <c r="U217" s="541">
        <v>0</v>
      </c>
      <c r="V217" s="541">
        <v>0</v>
      </c>
      <c r="W217" s="541">
        <v>0</v>
      </c>
      <c r="X217" s="541">
        <v>0</v>
      </c>
      <c r="Y217" s="541">
        <v>0</v>
      </c>
      <c r="Z217" s="541">
        <v>0</v>
      </c>
      <c r="AA217" s="541">
        <v>0</v>
      </c>
      <c r="AB217" s="541">
        <v>0</v>
      </c>
      <c r="AC217" s="541">
        <v>0</v>
      </c>
      <c r="AD217" s="541">
        <v>0</v>
      </c>
      <c r="AE217" s="541">
        <v>0</v>
      </c>
      <c r="AF217" s="541">
        <v>0</v>
      </c>
      <c r="AG217" s="541">
        <v>0</v>
      </c>
      <c r="AH217" s="541">
        <v>0</v>
      </c>
      <c r="AI217" s="541">
        <v>0</v>
      </c>
      <c r="AJ217" s="541">
        <v>0</v>
      </c>
      <c r="AK217" s="541">
        <v>0</v>
      </c>
      <c r="AL217" s="541"/>
      <c r="AM217" s="541"/>
      <c r="AN217" s="541"/>
      <c r="AO217" s="541"/>
      <c r="AP217" s="541"/>
      <c r="AQ217" s="541"/>
      <c r="AR217" s="541"/>
      <c r="AS217" s="541"/>
      <c r="AT217" s="541"/>
      <c r="AU217" s="541"/>
      <c r="AV217" s="541"/>
      <c r="AW217" s="541"/>
      <c r="AX217" s="541"/>
      <c r="AY217" s="541"/>
      <c r="AZ217" s="541"/>
      <c r="BA217" s="541"/>
      <c r="BB217" s="541"/>
      <c r="BC217" s="541"/>
      <c r="BD217" s="541"/>
      <c r="BE217" s="541"/>
      <c r="BF217" s="541"/>
      <c r="BG217" s="541"/>
      <c r="BH217" s="541"/>
      <c r="BI217" s="541"/>
      <c r="BJ217" s="541"/>
      <c r="BK217" s="541"/>
      <c r="BL217" s="541"/>
      <c r="BM217" s="541"/>
      <c r="BN217" s="541"/>
      <c r="BO217" s="541"/>
      <c r="BP217" s="541"/>
      <c r="BQ217" s="541"/>
      <c r="BR217" s="541"/>
      <c r="BS217" s="541"/>
      <c r="BT217" s="541"/>
      <c r="BU217" s="541"/>
      <c r="BV217" s="541"/>
      <c r="BW217" s="541"/>
      <c r="BX217" s="541"/>
      <c r="BY217" s="541"/>
      <c r="BZ217" s="541"/>
      <c r="CA217" s="541"/>
      <c r="CB217" s="541"/>
      <c r="CC217" s="541"/>
      <c r="CD217" s="541"/>
      <c r="CE217" s="541"/>
      <c r="CF217" s="541"/>
      <c r="CG217" s="541"/>
      <c r="CH217" s="541"/>
      <c r="CI217" s="542"/>
      <c r="CK217" s="1293"/>
    </row>
    <row r="218" spans="1:89" s="1292" customFormat="1" x14ac:dyDescent="0.2">
      <c r="A218" s="1284"/>
      <c r="B218" s="824" t="s">
        <v>475</v>
      </c>
      <c r="C218" s="825" t="s">
        <v>476</v>
      </c>
      <c r="D218" s="821" t="s">
        <v>477</v>
      </c>
      <c r="E218" s="822" t="s">
        <v>236</v>
      </c>
      <c r="F218" s="823">
        <v>2</v>
      </c>
      <c r="G218" s="540"/>
      <c r="H218" s="540"/>
      <c r="I218" s="540">
        <v>0</v>
      </c>
      <c r="J218" s="540">
        <v>0</v>
      </c>
      <c r="K218" s="540">
        <v>0</v>
      </c>
      <c r="L218" s="540">
        <v>0</v>
      </c>
      <c r="M218" s="541">
        <v>0</v>
      </c>
      <c r="N218" s="541">
        <v>0</v>
      </c>
      <c r="O218" s="541">
        <v>0</v>
      </c>
      <c r="P218" s="541">
        <v>0</v>
      </c>
      <c r="Q218" s="541">
        <v>0</v>
      </c>
      <c r="R218" s="541">
        <v>0</v>
      </c>
      <c r="S218" s="541">
        <v>0</v>
      </c>
      <c r="T218" s="541">
        <v>0</v>
      </c>
      <c r="U218" s="541">
        <v>0</v>
      </c>
      <c r="V218" s="541">
        <v>0</v>
      </c>
      <c r="W218" s="541">
        <v>0</v>
      </c>
      <c r="X218" s="541">
        <v>0</v>
      </c>
      <c r="Y218" s="541">
        <v>0</v>
      </c>
      <c r="Z218" s="541">
        <v>0</v>
      </c>
      <c r="AA218" s="541">
        <v>0</v>
      </c>
      <c r="AB218" s="541">
        <v>0</v>
      </c>
      <c r="AC218" s="541">
        <v>0</v>
      </c>
      <c r="AD218" s="541">
        <v>0</v>
      </c>
      <c r="AE218" s="541">
        <v>0</v>
      </c>
      <c r="AF218" s="541">
        <v>0</v>
      </c>
      <c r="AG218" s="541">
        <v>0</v>
      </c>
      <c r="AH218" s="541">
        <v>0</v>
      </c>
      <c r="AI218" s="541">
        <v>0</v>
      </c>
      <c r="AJ218" s="541">
        <v>0</v>
      </c>
      <c r="AK218" s="541">
        <v>0</v>
      </c>
      <c r="AL218" s="541"/>
      <c r="AM218" s="541"/>
      <c r="AN218" s="541"/>
      <c r="AO218" s="541"/>
      <c r="AP218" s="541"/>
      <c r="AQ218" s="541"/>
      <c r="AR218" s="541"/>
      <c r="AS218" s="541"/>
      <c r="AT218" s="541"/>
      <c r="AU218" s="541"/>
      <c r="AV218" s="541"/>
      <c r="AW218" s="541"/>
      <c r="AX218" s="541"/>
      <c r="AY218" s="541"/>
      <c r="AZ218" s="541"/>
      <c r="BA218" s="541"/>
      <c r="BB218" s="541"/>
      <c r="BC218" s="541"/>
      <c r="BD218" s="541"/>
      <c r="BE218" s="541"/>
      <c r="BF218" s="541"/>
      <c r="BG218" s="541"/>
      <c r="BH218" s="541"/>
      <c r="BI218" s="541"/>
      <c r="BJ218" s="541"/>
      <c r="BK218" s="541"/>
      <c r="BL218" s="541"/>
      <c r="BM218" s="541"/>
      <c r="BN218" s="541"/>
      <c r="BO218" s="541"/>
      <c r="BP218" s="541"/>
      <c r="BQ218" s="541"/>
      <c r="BR218" s="541"/>
      <c r="BS218" s="541"/>
      <c r="BT218" s="541"/>
      <c r="BU218" s="541"/>
      <c r="BV218" s="541"/>
      <c r="BW218" s="541"/>
      <c r="BX218" s="541"/>
      <c r="BY218" s="541"/>
      <c r="BZ218" s="541"/>
      <c r="CA218" s="541"/>
      <c r="CB218" s="541"/>
      <c r="CC218" s="541"/>
      <c r="CD218" s="541"/>
      <c r="CE218" s="541"/>
      <c r="CF218" s="541"/>
      <c r="CG218" s="541"/>
      <c r="CH218" s="541"/>
      <c r="CI218" s="542"/>
      <c r="CK218" s="1293"/>
    </row>
    <row r="219" spans="1:89" s="1292" customFormat="1" ht="28.5" x14ac:dyDescent="0.2">
      <c r="A219" s="1284"/>
      <c r="B219" s="824" t="s">
        <v>478</v>
      </c>
      <c r="C219" s="825" t="s">
        <v>782</v>
      </c>
      <c r="D219" s="821" t="s">
        <v>86</v>
      </c>
      <c r="E219" s="822" t="s">
        <v>236</v>
      </c>
      <c r="F219" s="823">
        <v>2</v>
      </c>
      <c r="G219" s="540"/>
      <c r="H219" s="540"/>
      <c r="I219" s="540">
        <v>0</v>
      </c>
      <c r="J219" s="540">
        <v>0</v>
      </c>
      <c r="K219" s="540">
        <v>0</v>
      </c>
      <c r="L219" s="540">
        <v>0</v>
      </c>
      <c r="M219" s="541">
        <v>0</v>
      </c>
      <c r="N219" s="541">
        <v>0</v>
      </c>
      <c r="O219" s="541">
        <v>0</v>
      </c>
      <c r="P219" s="541">
        <v>0</v>
      </c>
      <c r="Q219" s="541">
        <v>0</v>
      </c>
      <c r="R219" s="541">
        <v>0</v>
      </c>
      <c r="S219" s="541">
        <v>0</v>
      </c>
      <c r="T219" s="541">
        <v>0</v>
      </c>
      <c r="U219" s="541">
        <v>0</v>
      </c>
      <c r="V219" s="541">
        <v>0</v>
      </c>
      <c r="W219" s="541">
        <v>0</v>
      </c>
      <c r="X219" s="541">
        <v>0</v>
      </c>
      <c r="Y219" s="541">
        <v>0</v>
      </c>
      <c r="Z219" s="541">
        <v>0</v>
      </c>
      <c r="AA219" s="541">
        <v>0</v>
      </c>
      <c r="AB219" s="541">
        <v>0</v>
      </c>
      <c r="AC219" s="541">
        <v>0</v>
      </c>
      <c r="AD219" s="541">
        <v>0</v>
      </c>
      <c r="AE219" s="541">
        <v>0</v>
      </c>
      <c r="AF219" s="541">
        <v>0</v>
      </c>
      <c r="AG219" s="541">
        <v>0</v>
      </c>
      <c r="AH219" s="541">
        <v>0</v>
      </c>
      <c r="AI219" s="541">
        <v>0</v>
      </c>
      <c r="AJ219" s="541">
        <v>0</v>
      </c>
      <c r="AK219" s="541">
        <v>0</v>
      </c>
      <c r="AL219" s="541"/>
      <c r="AM219" s="541"/>
      <c r="AN219" s="541"/>
      <c r="AO219" s="541"/>
      <c r="AP219" s="541"/>
      <c r="AQ219" s="541"/>
      <c r="AR219" s="541"/>
      <c r="AS219" s="541"/>
      <c r="AT219" s="541"/>
      <c r="AU219" s="541"/>
      <c r="AV219" s="541"/>
      <c r="AW219" s="541"/>
      <c r="AX219" s="541"/>
      <c r="AY219" s="541"/>
      <c r="AZ219" s="541"/>
      <c r="BA219" s="541"/>
      <c r="BB219" s="541"/>
      <c r="BC219" s="541"/>
      <c r="BD219" s="541"/>
      <c r="BE219" s="541"/>
      <c r="BF219" s="541"/>
      <c r="BG219" s="541"/>
      <c r="BH219" s="541"/>
      <c r="BI219" s="541"/>
      <c r="BJ219" s="541"/>
      <c r="BK219" s="541"/>
      <c r="BL219" s="541"/>
      <c r="BM219" s="541"/>
      <c r="BN219" s="541"/>
      <c r="BO219" s="541"/>
      <c r="BP219" s="541"/>
      <c r="BQ219" s="541"/>
      <c r="BR219" s="541"/>
      <c r="BS219" s="541"/>
      <c r="BT219" s="541"/>
      <c r="BU219" s="541"/>
      <c r="BV219" s="541"/>
      <c r="BW219" s="541"/>
      <c r="BX219" s="541"/>
      <c r="BY219" s="541"/>
      <c r="BZ219" s="541"/>
      <c r="CA219" s="541"/>
      <c r="CB219" s="541"/>
      <c r="CC219" s="541"/>
      <c r="CD219" s="541"/>
      <c r="CE219" s="541"/>
      <c r="CF219" s="541"/>
      <c r="CG219" s="541"/>
      <c r="CH219" s="541"/>
      <c r="CI219" s="542"/>
      <c r="CK219" s="1293"/>
    </row>
    <row r="220" spans="1:89" s="1292" customFormat="1" ht="28.5" x14ac:dyDescent="0.2">
      <c r="A220" s="1284"/>
      <c r="B220" s="824" t="s">
        <v>480</v>
      </c>
      <c r="C220" s="825" t="s">
        <v>694</v>
      </c>
      <c r="D220" s="821" t="s">
        <v>86</v>
      </c>
      <c r="E220" s="822" t="s">
        <v>236</v>
      </c>
      <c r="F220" s="823">
        <v>2</v>
      </c>
      <c r="G220" s="540"/>
      <c r="H220" s="540"/>
      <c r="I220" s="540">
        <v>0.58028999999999997</v>
      </c>
      <c r="J220" s="540">
        <v>0.58028999999999997</v>
      </c>
      <c r="K220" s="540">
        <v>0.58028999999999997</v>
      </c>
      <c r="L220" s="540">
        <v>0.58028999999999997</v>
      </c>
      <c r="M220" s="541">
        <v>0.58028999999999997</v>
      </c>
      <c r="N220" s="541">
        <v>0.58028999999999997</v>
      </c>
      <c r="O220" s="541">
        <v>0.58028999999999997</v>
      </c>
      <c r="P220" s="541">
        <v>0.58028999999999997</v>
      </c>
      <c r="Q220" s="541">
        <v>0.58028999999999997</v>
      </c>
      <c r="R220" s="541">
        <v>0.58028999999999997</v>
      </c>
      <c r="S220" s="541">
        <v>0.58028999999999997</v>
      </c>
      <c r="T220" s="541">
        <v>0.58028999999999997</v>
      </c>
      <c r="U220" s="541">
        <v>0.58028999999999997</v>
      </c>
      <c r="V220" s="541">
        <v>0.58028999999999997</v>
      </c>
      <c r="W220" s="541">
        <v>0.58028999999999997</v>
      </c>
      <c r="X220" s="541">
        <v>0.58028999999999997</v>
      </c>
      <c r="Y220" s="541">
        <v>0.58028999999999997</v>
      </c>
      <c r="Z220" s="541">
        <v>0.58028999999999997</v>
      </c>
      <c r="AA220" s="541">
        <v>0.58028999999999997</v>
      </c>
      <c r="AB220" s="541">
        <v>0.58028999999999997</v>
      </c>
      <c r="AC220" s="541">
        <v>0.58028999999999997</v>
      </c>
      <c r="AD220" s="541">
        <v>0.58028999999999997</v>
      </c>
      <c r="AE220" s="541">
        <v>0.58028999999999997</v>
      </c>
      <c r="AF220" s="541">
        <v>0.58028999999999997</v>
      </c>
      <c r="AG220" s="541">
        <v>0.58028999999999997</v>
      </c>
      <c r="AH220" s="541">
        <v>0.58028999999999997</v>
      </c>
      <c r="AI220" s="541">
        <v>0.58028999999999997</v>
      </c>
      <c r="AJ220" s="541">
        <v>0.58028999999999997</v>
      </c>
      <c r="AK220" s="541">
        <v>0.58028999999999997</v>
      </c>
      <c r="AL220" s="541"/>
      <c r="AM220" s="541"/>
      <c r="AN220" s="541"/>
      <c r="AO220" s="541"/>
      <c r="AP220" s="541"/>
      <c r="AQ220" s="541"/>
      <c r="AR220" s="541"/>
      <c r="AS220" s="541"/>
      <c r="AT220" s="541"/>
      <c r="AU220" s="541"/>
      <c r="AV220" s="541"/>
      <c r="AW220" s="541"/>
      <c r="AX220" s="541"/>
      <c r="AY220" s="541"/>
      <c r="AZ220" s="541"/>
      <c r="BA220" s="541"/>
      <c r="BB220" s="541"/>
      <c r="BC220" s="541"/>
      <c r="BD220" s="541"/>
      <c r="BE220" s="541"/>
      <c r="BF220" s="541"/>
      <c r="BG220" s="541"/>
      <c r="BH220" s="541"/>
      <c r="BI220" s="541"/>
      <c r="BJ220" s="541"/>
      <c r="BK220" s="541"/>
      <c r="BL220" s="541"/>
      <c r="BM220" s="541"/>
      <c r="BN220" s="541"/>
      <c r="BO220" s="541"/>
      <c r="BP220" s="541"/>
      <c r="BQ220" s="541"/>
      <c r="BR220" s="541"/>
      <c r="BS220" s="541"/>
      <c r="BT220" s="541"/>
      <c r="BU220" s="541"/>
      <c r="BV220" s="541"/>
      <c r="BW220" s="541"/>
      <c r="BX220" s="541"/>
      <c r="BY220" s="541"/>
      <c r="BZ220" s="541"/>
      <c r="CA220" s="541"/>
      <c r="CB220" s="541"/>
      <c r="CC220" s="541"/>
      <c r="CD220" s="541"/>
      <c r="CE220" s="541"/>
      <c r="CF220" s="541"/>
      <c r="CG220" s="541"/>
      <c r="CH220" s="541"/>
      <c r="CI220" s="542"/>
      <c r="CK220" s="1293"/>
    </row>
    <row r="221" spans="1:89" s="1292" customFormat="1" x14ac:dyDescent="0.2">
      <c r="A221" s="1284"/>
      <c r="B221" s="824" t="s">
        <v>482</v>
      </c>
      <c r="C221" s="825" t="s">
        <v>483</v>
      </c>
      <c r="D221" s="821" t="s">
        <v>86</v>
      </c>
      <c r="E221" s="822" t="s">
        <v>236</v>
      </c>
      <c r="F221" s="823">
        <v>2</v>
      </c>
      <c r="G221" s="540"/>
      <c r="H221" s="540"/>
      <c r="I221" s="540">
        <v>0.04</v>
      </c>
      <c r="J221" s="540">
        <v>0.04</v>
      </c>
      <c r="K221" s="540">
        <v>0.04</v>
      </c>
      <c r="L221" s="540">
        <v>0.04</v>
      </c>
      <c r="M221" s="541">
        <v>0.04</v>
      </c>
      <c r="N221" s="541">
        <v>0.04</v>
      </c>
      <c r="O221" s="541">
        <v>0.04</v>
      </c>
      <c r="P221" s="541">
        <v>0.04</v>
      </c>
      <c r="Q221" s="541">
        <v>0.04</v>
      </c>
      <c r="R221" s="541">
        <v>0.04</v>
      </c>
      <c r="S221" s="541">
        <v>0.04</v>
      </c>
      <c r="T221" s="541">
        <v>0.04</v>
      </c>
      <c r="U221" s="541">
        <v>0.04</v>
      </c>
      <c r="V221" s="541">
        <v>0.04</v>
      </c>
      <c r="W221" s="541">
        <v>0.04</v>
      </c>
      <c r="X221" s="541">
        <v>0.04</v>
      </c>
      <c r="Y221" s="541">
        <v>0.04</v>
      </c>
      <c r="Z221" s="541">
        <v>0.04</v>
      </c>
      <c r="AA221" s="541">
        <v>0.04</v>
      </c>
      <c r="AB221" s="541">
        <v>0.04</v>
      </c>
      <c r="AC221" s="541">
        <v>0.04</v>
      </c>
      <c r="AD221" s="541">
        <v>0.04</v>
      </c>
      <c r="AE221" s="541">
        <v>0.04</v>
      </c>
      <c r="AF221" s="541">
        <v>0.04</v>
      </c>
      <c r="AG221" s="541">
        <v>0.04</v>
      </c>
      <c r="AH221" s="541">
        <v>0.04</v>
      </c>
      <c r="AI221" s="541">
        <v>0.04</v>
      </c>
      <c r="AJ221" s="541">
        <v>0.04</v>
      </c>
      <c r="AK221" s="541">
        <v>0.04</v>
      </c>
      <c r="AL221" s="541"/>
      <c r="AM221" s="541"/>
      <c r="AN221" s="541"/>
      <c r="AO221" s="541"/>
      <c r="AP221" s="541"/>
      <c r="AQ221" s="541"/>
      <c r="AR221" s="541"/>
      <c r="AS221" s="541"/>
      <c r="AT221" s="541"/>
      <c r="AU221" s="541"/>
      <c r="AV221" s="541"/>
      <c r="AW221" s="541"/>
      <c r="AX221" s="541"/>
      <c r="AY221" s="541"/>
      <c r="AZ221" s="541"/>
      <c r="BA221" s="541"/>
      <c r="BB221" s="541"/>
      <c r="BC221" s="541"/>
      <c r="BD221" s="541"/>
      <c r="BE221" s="541"/>
      <c r="BF221" s="541"/>
      <c r="BG221" s="541"/>
      <c r="BH221" s="541"/>
      <c r="BI221" s="541"/>
      <c r="BJ221" s="541"/>
      <c r="BK221" s="541"/>
      <c r="BL221" s="541"/>
      <c r="BM221" s="541"/>
      <c r="BN221" s="541"/>
      <c r="BO221" s="541"/>
      <c r="BP221" s="541"/>
      <c r="BQ221" s="541"/>
      <c r="BR221" s="541"/>
      <c r="BS221" s="541"/>
      <c r="BT221" s="541"/>
      <c r="BU221" s="541"/>
      <c r="BV221" s="541"/>
      <c r="BW221" s="541"/>
      <c r="BX221" s="541"/>
      <c r="BY221" s="541"/>
      <c r="BZ221" s="541"/>
      <c r="CA221" s="541"/>
      <c r="CB221" s="541"/>
      <c r="CC221" s="541"/>
      <c r="CD221" s="541"/>
      <c r="CE221" s="541"/>
      <c r="CF221" s="541"/>
      <c r="CG221" s="541"/>
      <c r="CH221" s="541"/>
      <c r="CI221" s="542"/>
      <c r="CK221" s="1293"/>
    </row>
    <row r="222" spans="1:89" s="1292" customFormat="1" x14ac:dyDescent="0.2">
      <c r="A222" s="1284"/>
      <c r="B222" s="826" t="s">
        <v>484</v>
      </c>
      <c r="C222" s="827" t="s">
        <v>387</v>
      </c>
      <c r="D222" s="827" t="s">
        <v>485</v>
      </c>
      <c r="E222" s="828" t="s">
        <v>236</v>
      </c>
      <c r="F222" s="823">
        <v>2</v>
      </c>
      <c r="G222" s="547">
        <f>(G211+G213)-(G220+G221)</f>
        <v>0</v>
      </c>
      <c r="H222" s="547">
        <f t="shared" ref="H222:AK222" si="102">(H211+H213)-(H220+H221)</f>
        <v>0</v>
      </c>
      <c r="I222" s="547">
        <f t="shared" si="102"/>
        <v>12.829709999999999</v>
      </c>
      <c r="J222" s="547">
        <f t="shared" si="102"/>
        <v>12.829709999999999</v>
      </c>
      <c r="K222" s="547">
        <f t="shared" si="102"/>
        <v>12.829709999999999</v>
      </c>
      <c r="L222" s="547">
        <f t="shared" si="102"/>
        <v>12.829709999999999</v>
      </c>
      <c r="M222" s="552">
        <f t="shared" si="102"/>
        <v>12.829709999999999</v>
      </c>
      <c r="N222" s="552">
        <f t="shared" si="102"/>
        <v>12.829709999999999</v>
      </c>
      <c r="O222" s="552">
        <f t="shared" si="102"/>
        <v>12.829709999999999</v>
      </c>
      <c r="P222" s="552">
        <f t="shared" si="102"/>
        <v>12.829709999999999</v>
      </c>
      <c r="Q222" s="552">
        <f t="shared" si="102"/>
        <v>12.829709999999999</v>
      </c>
      <c r="R222" s="552">
        <f t="shared" si="102"/>
        <v>12.829709999999999</v>
      </c>
      <c r="S222" s="552">
        <f t="shared" si="102"/>
        <v>12.829709999999999</v>
      </c>
      <c r="T222" s="552">
        <f t="shared" si="102"/>
        <v>12.829709999999999</v>
      </c>
      <c r="U222" s="552">
        <f t="shared" si="102"/>
        <v>12.829709999999999</v>
      </c>
      <c r="V222" s="552">
        <f t="shared" si="102"/>
        <v>12.829709999999999</v>
      </c>
      <c r="W222" s="552">
        <f t="shared" si="102"/>
        <v>12.829709999999999</v>
      </c>
      <c r="X222" s="552">
        <f t="shared" si="102"/>
        <v>12.829709999999999</v>
      </c>
      <c r="Y222" s="552">
        <f t="shared" si="102"/>
        <v>12.829709999999999</v>
      </c>
      <c r="Z222" s="552">
        <f t="shared" si="102"/>
        <v>12.829709999999999</v>
      </c>
      <c r="AA222" s="552">
        <f t="shared" si="102"/>
        <v>12.829709999999999</v>
      </c>
      <c r="AB222" s="552">
        <f t="shared" si="102"/>
        <v>12.829709999999999</v>
      </c>
      <c r="AC222" s="552">
        <f t="shared" si="102"/>
        <v>12.829709999999999</v>
      </c>
      <c r="AD222" s="552">
        <f t="shared" si="102"/>
        <v>12.829709999999999</v>
      </c>
      <c r="AE222" s="552">
        <f t="shared" si="102"/>
        <v>12.829709999999999</v>
      </c>
      <c r="AF222" s="552">
        <f t="shared" si="102"/>
        <v>12.829709999999999</v>
      </c>
      <c r="AG222" s="552">
        <f t="shared" si="102"/>
        <v>12.829709999999999</v>
      </c>
      <c r="AH222" s="552">
        <f t="shared" si="102"/>
        <v>12.829709999999999</v>
      </c>
      <c r="AI222" s="552">
        <f t="shared" si="102"/>
        <v>12.829709999999999</v>
      </c>
      <c r="AJ222" s="552">
        <f t="shared" si="102"/>
        <v>12.829709999999999</v>
      </c>
      <c r="AK222" s="552">
        <f t="shared" si="102"/>
        <v>12.829709999999999</v>
      </c>
      <c r="AL222" s="552"/>
      <c r="AM222" s="552"/>
      <c r="AN222" s="552"/>
      <c r="AO222" s="552"/>
      <c r="AP222" s="552"/>
      <c r="AQ222" s="552"/>
      <c r="AR222" s="552"/>
      <c r="AS222" s="552"/>
      <c r="AT222" s="552"/>
      <c r="AU222" s="552"/>
      <c r="AV222" s="552"/>
      <c r="AW222" s="552"/>
      <c r="AX222" s="552"/>
      <c r="AY222" s="552"/>
      <c r="AZ222" s="552"/>
      <c r="BA222" s="552"/>
      <c r="BB222" s="552"/>
      <c r="BC222" s="552"/>
      <c r="BD222" s="552"/>
      <c r="BE222" s="552"/>
      <c r="BF222" s="552"/>
      <c r="BG222" s="552"/>
      <c r="BH222" s="552"/>
      <c r="BI222" s="552"/>
      <c r="BJ222" s="552"/>
      <c r="BK222" s="552"/>
      <c r="BL222" s="552"/>
      <c r="BM222" s="552"/>
      <c r="BN222" s="552"/>
      <c r="BO222" s="552"/>
      <c r="BP222" s="552"/>
      <c r="BQ222" s="552"/>
      <c r="BR222" s="552"/>
      <c r="BS222" s="552"/>
      <c r="BT222" s="552"/>
      <c r="BU222" s="552"/>
      <c r="BV222" s="552"/>
      <c r="BW222" s="552"/>
      <c r="BX222" s="552"/>
      <c r="BY222" s="552"/>
      <c r="BZ222" s="552"/>
      <c r="CA222" s="552"/>
      <c r="CB222" s="552"/>
      <c r="CC222" s="552"/>
      <c r="CD222" s="552"/>
      <c r="CE222" s="552"/>
      <c r="CF222" s="552"/>
      <c r="CG222" s="552"/>
      <c r="CH222" s="552"/>
      <c r="CI222" s="548"/>
      <c r="CK222" s="1293"/>
    </row>
    <row r="223" spans="1:89" s="1292" customFormat="1" ht="35.450000000000003" customHeight="1" thickBot="1" x14ac:dyDescent="0.25">
      <c r="A223" s="1284"/>
      <c r="B223" s="829" t="s">
        <v>486</v>
      </c>
      <c r="C223" s="830" t="s">
        <v>390</v>
      </c>
      <c r="D223" s="830" t="s">
        <v>487</v>
      </c>
      <c r="E223" s="831" t="s">
        <v>236</v>
      </c>
      <c r="F223" s="832">
        <v>2</v>
      </c>
      <c r="G223" s="559">
        <f>G222+SUM(G207:G210)</f>
        <v>0</v>
      </c>
      <c r="H223" s="559">
        <f t="shared" ref="H223:AK223" si="103">H222+SUM(H207:H210)</f>
        <v>0</v>
      </c>
      <c r="I223" s="559">
        <f t="shared" si="103"/>
        <v>14.809709999999999</v>
      </c>
      <c r="J223" s="559">
        <f t="shared" si="103"/>
        <v>14.809709999999999</v>
      </c>
      <c r="K223" s="559">
        <f t="shared" si="103"/>
        <v>14.809709999999999</v>
      </c>
      <c r="L223" s="559">
        <f t="shared" si="103"/>
        <v>14.809709999999999</v>
      </c>
      <c r="M223" s="559">
        <f t="shared" si="103"/>
        <v>14.809709999999999</v>
      </c>
      <c r="N223" s="559">
        <f t="shared" si="103"/>
        <v>14.809709999999999</v>
      </c>
      <c r="O223" s="559">
        <f t="shared" si="103"/>
        <v>14.809709999999999</v>
      </c>
      <c r="P223" s="559">
        <f t="shared" si="103"/>
        <v>14.809709999999999</v>
      </c>
      <c r="Q223" s="559">
        <f t="shared" si="103"/>
        <v>14.809709999999999</v>
      </c>
      <c r="R223" s="559">
        <f t="shared" si="103"/>
        <v>14.809709999999999</v>
      </c>
      <c r="S223" s="559">
        <f t="shared" si="103"/>
        <v>14.809709999999999</v>
      </c>
      <c r="T223" s="559">
        <f t="shared" si="103"/>
        <v>14.809709999999999</v>
      </c>
      <c r="U223" s="559">
        <f t="shared" si="103"/>
        <v>14.809709999999999</v>
      </c>
      <c r="V223" s="559">
        <f t="shared" si="103"/>
        <v>14.809709999999999</v>
      </c>
      <c r="W223" s="559">
        <f t="shared" si="103"/>
        <v>14.809709999999999</v>
      </c>
      <c r="X223" s="559">
        <f t="shared" si="103"/>
        <v>14.809709999999999</v>
      </c>
      <c r="Y223" s="559">
        <f t="shared" si="103"/>
        <v>14.809709999999999</v>
      </c>
      <c r="Z223" s="559">
        <f t="shared" si="103"/>
        <v>14.809709999999999</v>
      </c>
      <c r="AA223" s="559">
        <f t="shared" si="103"/>
        <v>14.809709999999999</v>
      </c>
      <c r="AB223" s="559">
        <f t="shared" si="103"/>
        <v>14.809709999999999</v>
      </c>
      <c r="AC223" s="559">
        <f t="shared" si="103"/>
        <v>14.809709999999999</v>
      </c>
      <c r="AD223" s="559">
        <f t="shared" si="103"/>
        <v>14.809709999999999</v>
      </c>
      <c r="AE223" s="559">
        <f t="shared" si="103"/>
        <v>14.809709999999999</v>
      </c>
      <c r="AF223" s="559">
        <f t="shared" si="103"/>
        <v>14.809709999999999</v>
      </c>
      <c r="AG223" s="559">
        <f t="shared" si="103"/>
        <v>14.809709999999999</v>
      </c>
      <c r="AH223" s="559">
        <f t="shared" si="103"/>
        <v>14.809709999999999</v>
      </c>
      <c r="AI223" s="559">
        <f t="shared" si="103"/>
        <v>14.809709999999999</v>
      </c>
      <c r="AJ223" s="559">
        <f t="shared" si="103"/>
        <v>14.809709999999999</v>
      </c>
      <c r="AK223" s="559">
        <f t="shared" si="103"/>
        <v>14.809709999999999</v>
      </c>
      <c r="AL223" s="559"/>
      <c r="AM223" s="559"/>
      <c r="AN223" s="559"/>
      <c r="AO223" s="559"/>
      <c r="AP223" s="559"/>
      <c r="AQ223" s="559"/>
      <c r="AR223" s="559"/>
      <c r="AS223" s="559"/>
      <c r="AT223" s="559"/>
      <c r="AU223" s="559"/>
      <c r="AV223" s="559"/>
      <c r="AW223" s="559"/>
      <c r="AX223" s="559"/>
      <c r="AY223" s="559"/>
      <c r="AZ223" s="559"/>
      <c r="BA223" s="559"/>
      <c r="BB223" s="559"/>
      <c r="BC223" s="559"/>
      <c r="BD223" s="559"/>
      <c r="BE223" s="559"/>
      <c r="BF223" s="559"/>
      <c r="BG223" s="559"/>
      <c r="BH223" s="559"/>
      <c r="BI223" s="559"/>
      <c r="BJ223" s="559"/>
      <c r="BK223" s="559"/>
      <c r="BL223" s="559"/>
      <c r="BM223" s="559"/>
      <c r="BN223" s="559"/>
      <c r="BO223" s="559"/>
      <c r="BP223" s="559"/>
      <c r="BQ223" s="559"/>
      <c r="BR223" s="559"/>
      <c r="BS223" s="559"/>
      <c r="BT223" s="559"/>
      <c r="BU223" s="559"/>
      <c r="BV223" s="559"/>
      <c r="BW223" s="559"/>
      <c r="BX223" s="559"/>
      <c r="BY223" s="559"/>
      <c r="BZ223" s="559"/>
      <c r="CA223" s="559"/>
      <c r="CB223" s="559"/>
      <c r="CC223" s="559"/>
      <c r="CD223" s="559"/>
      <c r="CE223" s="559"/>
      <c r="CF223" s="559"/>
      <c r="CG223" s="559"/>
      <c r="CH223" s="559"/>
      <c r="CI223" s="559"/>
      <c r="CK223" s="1293"/>
    </row>
    <row r="224" spans="1:89" s="1292" customFormat="1" x14ac:dyDescent="0.2">
      <c r="A224" s="1284"/>
      <c r="B224" s="833" t="s">
        <v>488</v>
      </c>
      <c r="C224" s="834" t="s">
        <v>489</v>
      </c>
      <c r="D224" s="839" t="s">
        <v>783</v>
      </c>
      <c r="E224" s="835" t="s">
        <v>236</v>
      </c>
      <c r="F224" s="836">
        <v>2</v>
      </c>
      <c r="G224" s="532"/>
      <c r="H224" s="532"/>
      <c r="I224" s="532">
        <v>4.534532345562277</v>
      </c>
      <c r="J224" s="532">
        <v>9.4584810657782086</v>
      </c>
      <c r="K224" s="532">
        <v>9.473254477215443</v>
      </c>
      <c r="L224" s="532">
        <v>9.6487536714455189</v>
      </c>
      <c r="M224" s="533">
        <v>9.660749711272171</v>
      </c>
      <c r="N224" s="533">
        <v>9.6714965956493124</v>
      </c>
      <c r="O224" s="533">
        <v>9.6823439798065696</v>
      </c>
      <c r="P224" s="533">
        <v>9.6932429273762981</v>
      </c>
      <c r="Q224" s="533">
        <v>9.7035167582461384</v>
      </c>
      <c r="R224" s="533">
        <v>9.7137401350965344</v>
      </c>
      <c r="S224" s="533">
        <v>9.7238601337084223</v>
      </c>
      <c r="T224" s="533">
        <v>9.7338405883772481</v>
      </c>
      <c r="U224" s="533">
        <v>9.743726460902689</v>
      </c>
      <c r="V224" s="533">
        <v>9.7534579892904656</v>
      </c>
      <c r="W224" s="533">
        <v>9.7630113152524611</v>
      </c>
      <c r="X224" s="533">
        <v>9.7724388446185735</v>
      </c>
      <c r="Y224" s="533">
        <v>9.7817022954336412</v>
      </c>
      <c r="Z224" s="533">
        <v>9.7907906270700362</v>
      </c>
      <c r="AA224" s="533">
        <v>9.7997618217121065</v>
      </c>
      <c r="AB224" s="533">
        <v>9.8086167344506485</v>
      </c>
      <c r="AC224" s="533">
        <v>9.817349643459961</v>
      </c>
      <c r="AD224" s="533">
        <v>9.8259503112144948</v>
      </c>
      <c r="AE224" s="533">
        <v>9.8344275964156438</v>
      </c>
      <c r="AF224" s="533">
        <v>9.8427761910466298</v>
      </c>
      <c r="AG224" s="533">
        <v>9.851007753118429</v>
      </c>
      <c r="AH224" s="533">
        <v>9.8591230581112033</v>
      </c>
      <c r="AI224" s="533">
        <v>9.8671279983306714</v>
      </c>
      <c r="AJ224" s="533">
        <v>9.8750407930429862</v>
      </c>
      <c r="AK224" s="533">
        <v>9.8828663268614392</v>
      </c>
      <c r="AL224" s="533"/>
      <c r="AM224" s="533"/>
      <c r="AN224" s="533"/>
      <c r="AO224" s="533"/>
      <c r="AP224" s="533"/>
      <c r="AQ224" s="533"/>
      <c r="AR224" s="533"/>
      <c r="AS224" s="533"/>
      <c r="AT224" s="533"/>
      <c r="AU224" s="533"/>
      <c r="AV224" s="533"/>
      <c r="AW224" s="533"/>
      <c r="AX224" s="533"/>
      <c r="AY224" s="533"/>
      <c r="AZ224" s="533"/>
      <c r="BA224" s="533"/>
      <c r="BB224" s="533"/>
      <c r="BC224" s="533"/>
      <c r="BD224" s="533"/>
      <c r="BE224" s="533"/>
      <c r="BF224" s="533"/>
      <c r="BG224" s="533"/>
      <c r="BH224" s="533"/>
      <c r="BI224" s="533"/>
      <c r="BJ224" s="533"/>
      <c r="BK224" s="533"/>
      <c r="BL224" s="533"/>
      <c r="BM224" s="533"/>
      <c r="BN224" s="533"/>
      <c r="BO224" s="533"/>
      <c r="BP224" s="533"/>
      <c r="BQ224" s="533"/>
      <c r="BR224" s="533"/>
      <c r="BS224" s="533"/>
      <c r="BT224" s="533"/>
      <c r="BU224" s="533"/>
      <c r="BV224" s="533"/>
      <c r="BW224" s="533"/>
      <c r="BX224" s="533"/>
      <c r="BY224" s="533"/>
      <c r="BZ224" s="533"/>
      <c r="CA224" s="533"/>
      <c r="CB224" s="533"/>
      <c r="CC224" s="533"/>
      <c r="CD224" s="533"/>
      <c r="CE224" s="533"/>
      <c r="CF224" s="533"/>
      <c r="CG224" s="533"/>
      <c r="CH224" s="533"/>
      <c r="CI224" s="534"/>
      <c r="CK224" s="1293"/>
    </row>
    <row r="225" spans="1:89" s="1292" customFormat="1" x14ac:dyDescent="0.2">
      <c r="A225" s="1284"/>
      <c r="B225" s="837" t="s">
        <v>490</v>
      </c>
      <c r="C225" s="838" t="s">
        <v>705</v>
      </c>
      <c r="D225" s="839" t="s">
        <v>86</v>
      </c>
      <c r="E225" s="840" t="s">
        <v>236</v>
      </c>
      <c r="F225" s="841">
        <v>2</v>
      </c>
      <c r="G225" s="1008"/>
      <c r="H225" s="1008"/>
      <c r="I225" s="1008"/>
      <c r="J225" s="1008"/>
      <c r="K225" s="1008"/>
      <c r="L225" s="1008"/>
      <c r="M225" s="1009"/>
      <c r="N225" s="1009"/>
      <c r="O225" s="1009"/>
      <c r="P225" s="1009"/>
      <c r="Q225" s="1009"/>
      <c r="R225" s="1009"/>
      <c r="S225" s="1009"/>
      <c r="T225" s="1009"/>
      <c r="U225" s="1009"/>
      <c r="V225" s="1009"/>
      <c r="W225" s="1009"/>
      <c r="X225" s="1009"/>
      <c r="Y225" s="1009"/>
      <c r="Z225" s="1009"/>
      <c r="AA225" s="1009"/>
      <c r="AB225" s="1009"/>
      <c r="AC225" s="1009"/>
      <c r="AD225" s="1009"/>
      <c r="AE225" s="1009"/>
      <c r="AF225" s="1009"/>
      <c r="AG225" s="1009"/>
      <c r="AH225" s="1009"/>
      <c r="AI225" s="1009"/>
      <c r="AJ225" s="1009"/>
      <c r="AK225" s="1009"/>
      <c r="AL225" s="1009"/>
      <c r="AM225" s="1009"/>
      <c r="AN225" s="1009"/>
      <c r="AO225" s="1009"/>
      <c r="AP225" s="1009"/>
      <c r="AQ225" s="1009"/>
      <c r="AR225" s="1009"/>
      <c r="AS225" s="1009"/>
      <c r="AT225" s="1009"/>
      <c r="AU225" s="1009"/>
      <c r="AV225" s="1009"/>
      <c r="AW225" s="1009"/>
      <c r="AX225" s="1009"/>
      <c r="AY225" s="1009"/>
      <c r="AZ225" s="1009"/>
      <c r="BA225" s="1009"/>
      <c r="BB225" s="1009"/>
      <c r="BC225" s="1009"/>
      <c r="BD225" s="1009"/>
      <c r="BE225" s="1009"/>
      <c r="BF225" s="1009"/>
      <c r="BG225" s="1009"/>
      <c r="BH225" s="1009"/>
      <c r="BI225" s="1009"/>
      <c r="BJ225" s="1009"/>
      <c r="BK225" s="1009"/>
      <c r="BL225" s="1009"/>
      <c r="BM225" s="1009"/>
      <c r="BN225" s="1009"/>
      <c r="BO225" s="1009"/>
      <c r="BP225" s="1009"/>
      <c r="BQ225" s="1009"/>
      <c r="BR225" s="1009"/>
      <c r="BS225" s="1009"/>
      <c r="BT225" s="1009"/>
      <c r="BU225" s="1009"/>
      <c r="BV225" s="1009"/>
      <c r="BW225" s="1009"/>
      <c r="BX225" s="1009"/>
      <c r="BY225" s="1009"/>
      <c r="BZ225" s="1009"/>
      <c r="CA225" s="1009"/>
      <c r="CB225" s="1009"/>
      <c r="CC225" s="1009"/>
      <c r="CD225" s="1009"/>
      <c r="CE225" s="1009"/>
      <c r="CF225" s="1009"/>
      <c r="CG225" s="1009"/>
      <c r="CH225" s="1009"/>
      <c r="CI225" s="1010"/>
      <c r="CK225" s="1293"/>
    </row>
    <row r="226" spans="1:89" s="1292" customFormat="1" x14ac:dyDescent="0.2">
      <c r="A226" s="1284"/>
      <c r="B226" s="837" t="s">
        <v>492</v>
      </c>
      <c r="C226" s="838" t="s">
        <v>493</v>
      </c>
      <c r="D226" s="839" t="s">
        <v>783</v>
      </c>
      <c r="E226" s="840" t="s">
        <v>236</v>
      </c>
      <c r="F226" s="841">
        <v>2</v>
      </c>
      <c r="G226" s="540"/>
      <c r="H226" s="540"/>
      <c r="I226" s="540">
        <v>7.6214072997018408E-3</v>
      </c>
      <c r="J226" s="540">
        <v>7.4667416056178864E-3</v>
      </c>
      <c r="K226" s="540">
        <v>7.4191229022997828E-3</v>
      </c>
      <c r="L226" s="540">
        <v>4.5931537549502915E-3</v>
      </c>
      <c r="M226" s="544">
        <v>2.5358776472628503E-3</v>
      </c>
      <c r="N226" s="544">
        <v>2.487694379505594E-3</v>
      </c>
      <c r="O226" s="544">
        <v>2.4395111117483368E-3</v>
      </c>
      <c r="P226" s="544">
        <v>2.3913278439910792E-3</v>
      </c>
      <c r="Q226" s="544">
        <v>2.3431445762338229E-3</v>
      </c>
      <c r="R226" s="544">
        <v>2.2949613084765662E-3</v>
      </c>
      <c r="S226" s="544">
        <v>2.2467780407193091E-3</v>
      </c>
      <c r="T226" s="544">
        <v>2.1985947729620519E-3</v>
      </c>
      <c r="U226" s="544">
        <v>2.1504115052047952E-3</v>
      </c>
      <c r="V226" s="544">
        <v>2.1504115052047952E-3</v>
      </c>
      <c r="W226" s="544">
        <v>2.1504115052047952E-3</v>
      </c>
      <c r="X226" s="544">
        <v>2.1504115052047952E-3</v>
      </c>
      <c r="Y226" s="544">
        <v>2.1504115052047952E-3</v>
      </c>
      <c r="Z226" s="544">
        <v>2.1504115052047952E-3</v>
      </c>
      <c r="AA226" s="544">
        <v>2.1504115052047952E-3</v>
      </c>
      <c r="AB226" s="544">
        <v>2.1504115052047952E-3</v>
      </c>
      <c r="AC226" s="544">
        <v>2.1504115052047952E-3</v>
      </c>
      <c r="AD226" s="544">
        <v>2.1504115052047952E-3</v>
      </c>
      <c r="AE226" s="544">
        <v>2.1504115052047952E-3</v>
      </c>
      <c r="AF226" s="544">
        <v>2.1504115052047952E-3</v>
      </c>
      <c r="AG226" s="544">
        <v>2.1504115052047952E-3</v>
      </c>
      <c r="AH226" s="544">
        <v>2.1504115052047952E-3</v>
      </c>
      <c r="AI226" s="544">
        <v>2.1504115052047952E-3</v>
      </c>
      <c r="AJ226" s="544">
        <v>2.1504115052047952E-3</v>
      </c>
      <c r="AK226" s="544">
        <v>2.1504115052047952E-3</v>
      </c>
      <c r="AL226" s="544"/>
      <c r="AM226" s="544"/>
      <c r="AN226" s="544"/>
      <c r="AO226" s="544"/>
      <c r="AP226" s="544"/>
      <c r="AQ226" s="544"/>
      <c r="AR226" s="544"/>
      <c r="AS226" s="544"/>
      <c r="AT226" s="544"/>
      <c r="AU226" s="544"/>
      <c r="AV226" s="544"/>
      <c r="AW226" s="544"/>
      <c r="AX226" s="544"/>
      <c r="AY226" s="544"/>
      <c r="AZ226" s="544"/>
      <c r="BA226" s="544"/>
      <c r="BB226" s="544"/>
      <c r="BC226" s="544"/>
      <c r="BD226" s="544"/>
      <c r="BE226" s="544"/>
      <c r="BF226" s="544"/>
      <c r="BG226" s="544"/>
      <c r="BH226" s="544"/>
      <c r="BI226" s="544"/>
      <c r="BJ226" s="544"/>
      <c r="BK226" s="544"/>
      <c r="BL226" s="544"/>
      <c r="BM226" s="544"/>
      <c r="BN226" s="544"/>
      <c r="BO226" s="544"/>
      <c r="BP226" s="544"/>
      <c r="BQ226" s="544"/>
      <c r="BR226" s="544"/>
      <c r="BS226" s="544"/>
      <c r="BT226" s="544"/>
      <c r="BU226" s="544"/>
      <c r="BV226" s="544"/>
      <c r="BW226" s="544"/>
      <c r="BX226" s="544"/>
      <c r="BY226" s="544"/>
      <c r="BZ226" s="544"/>
      <c r="CA226" s="544"/>
      <c r="CB226" s="544"/>
      <c r="CC226" s="544"/>
      <c r="CD226" s="544"/>
      <c r="CE226" s="544"/>
      <c r="CF226" s="544"/>
      <c r="CG226" s="544"/>
      <c r="CH226" s="544"/>
      <c r="CI226" s="545"/>
      <c r="CK226" s="1293"/>
    </row>
    <row r="227" spans="1:89" s="1292" customFormat="1" x14ac:dyDescent="0.2">
      <c r="A227" s="1284"/>
      <c r="B227" s="837" t="s">
        <v>494</v>
      </c>
      <c r="C227" s="838" t="s">
        <v>495</v>
      </c>
      <c r="D227" s="839" t="s">
        <v>783</v>
      </c>
      <c r="E227" s="840" t="s">
        <v>236</v>
      </c>
      <c r="F227" s="841">
        <v>2</v>
      </c>
      <c r="G227" s="540"/>
      <c r="H227" s="540"/>
      <c r="I227" s="540">
        <v>2.501022090018739</v>
      </c>
      <c r="J227" s="540">
        <v>2.5046489456011041</v>
      </c>
      <c r="K227" s="540">
        <v>2.463848916263105</v>
      </c>
      <c r="L227" s="540">
        <v>2.4449931642913008</v>
      </c>
      <c r="M227" s="544">
        <v>2.6093890083162736</v>
      </c>
      <c r="N227" s="544">
        <v>2.7601833007649166</v>
      </c>
      <c r="O227" s="544">
        <v>2.837754715585882</v>
      </c>
      <c r="P227" s="544">
        <v>2.9070407454068938</v>
      </c>
      <c r="Q227" s="544">
        <v>2.9633532719946767</v>
      </c>
      <c r="R227" s="544">
        <v>3.0045036701481815</v>
      </c>
      <c r="S227" s="544">
        <v>3.0304245891364117</v>
      </c>
      <c r="T227" s="544">
        <v>3.0543661569684319</v>
      </c>
      <c r="U227" s="544">
        <v>3.0779807259306566</v>
      </c>
      <c r="V227" s="544">
        <v>3.1024914410719577</v>
      </c>
      <c r="W227" s="544">
        <v>3.1270897086054403</v>
      </c>
      <c r="X227" s="544">
        <v>3.1521051290149571</v>
      </c>
      <c r="Y227" s="544">
        <v>3.1779347679161325</v>
      </c>
      <c r="Z227" s="544">
        <v>3.2039527787647151</v>
      </c>
      <c r="AA227" s="544">
        <v>3.2271174556990463</v>
      </c>
      <c r="AB227" s="544">
        <v>3.2449394509615841</v>
      </c>
      <c r="AC227" s="544">
        <v>3.2667845079967615</v>
      </c>
      <c r="AD227" s="544">
        <v>3.2897453189711223</v>
      </c>
      <c r="AE227" s="544">
        <v>3.3125242903323855</v>
      </c>
      <c r="AF227" s="544">
        <v>3.3353393006570458</v>
      </c>
      <c r="AG227" s="544">
        <v>3.3574226698630976</v>
      </c>
      <c r="AH227" s="544">
        <v>3.3799573951179251</v>
      </c>
      <c r="AI227" s="544">
        <v>3.4032143203622258</v>
      </c>
      <c r="AJ227" s="544">
        <v>3.4274982611337879</v>
      </c>
      <c r="AK227" s="544">
        <v>3.4522568291313442</v>
      </c>
      <c r="AL227" s="544"/>
      <c r="AM227" s="544"/>
      <c r="AN227" s="544"/>
      <c r="AO227" s="544"/>
      <c r="AP227" s="544"/>
      <c r="AQ227" s="544"/>
      <c r="AR227" s="544"/>
      <c r="AS227" s="544"/>
      <c r="AT227" s="544"/>
      <c r="AU227" s="544"/>
      <c r="AV227" s="544"/>
      <c r="AW227" s="544"/>
      <c r="AX227" s="544"/>
      <c r="AY227" s="544"/>
      <c r="AZ227" s="544"/>
      <c r="BA227" s="544"/>
      <c r="BB227" s="544"/>
      <c r="BC227" s="544"/>
      <c r="BD227" s="544"/>
      <c r="BE227" s="544"/>
      <c r="BF227" s="544"/>
      <c r="BG227" s="544"/>
      <c r="BH227" s="544"/>
      <c r="BI227" s="544"/>
      <c r="BJ227" s="544"/>
      <c r="BK227" s="544"/>
      <c r="BL227" s="544"/>
      <c r="BM227" s="544"/>
      <c r="BN227" s="544"/>
      <c r="BO227" s="544"/>
      <c r="BP227" s="544"/>
      <c r="BQ227" s="544"/>
      <c r="BR227" s="544"/>
      <c r="BS227" s="544"/>
      <c r="BT227" s="544"/>
      <c r="BU227" s="544"/>
      <c r="BV227" s="544"/>
      <c r="BW227" s="544"/>
      <c r="BX227" s="544"/>
      <c r="BY227" s="544"/>
      <c r="BZ227" s="544"/>
      <c r="CA227" s="544"/>
      <c r="CB227" s="544"/>
      <c r="CC227" s="544"/>
      <c r="CD227" s="544"/>
      <c r="CE227" s="544"/>
      <c r="CF227" s="544"/>
      <c r="CG227" s="544"/>
      <c r="CH227" s="544"/>
      <c r="CI227" s="545"/>
      <c r="CK227" s="1293"/>
    </row>
    <row r="228" spans="1:89" s="1294" customFormat="1" x14ac:dyDescent="0.2">
      <c r="A228" s="1284"/>
      <c r="B228" s="837" t="s">
        <v>496</v>
      </c>
      <c r="C228" s="838" t="s">
        <v>497</v>
      </c>
      <c r="D228" s="839" t="s">
        <v>783</v>
      </c>
      <c r="E228" s="840" t="s">
        <v>236</v>
      </c>
      <c r="F228" s="841">
        <v>2</v>
      </c>
      <c r="G228" s="540"/>
      <c r="H228" s="540"/>
      <c r="I228" s="540">
        <v>2.0704229789342876</v>
      </c>
      <c r="J228" s="540">
        <v>2.1234930003992134</v>
      </c>
      <c r="K228" s="540">
        <v>2.0662030969697125</v>
      </c>
      <c r="L228" s="540">
        <v>1.8822459110816185</v>
      </c>
      <c r="M228" s="544">
        <v>1.6219681100520582</v>
      </c>
      <c r="N228" s="544">
        <v>1.495867302627532</v>
      </c>
      <c r="O228" s="544">
        <v>1.4514521733086687</v>
      </c>
      <c r="P228" s="544">
        <v>1.4071355245232924</v>
      </c>
      <c r="Q228" s="544">
        <v>1.3627912885584652</v>
      </c>
      <c r="R228" s="544">
        <v>1.3349887152709483</v>
      </c>
      <c r="S228" s="544">
        <v>1.3241310255343346</v>
      </c>
      <c r="T228" s="544">
        <v>1.3134109272166328</v>
      </c>
      <c r="U228" s="544">
        <v>1.302706400854567</v>
      </c>
      <c r="V228" s="544">
        <v>1.2921165470889704</v>
      </c>
      <c r="W228" s="544">
        <v>1.2825511341056879</v>
      </c>
      <c r="X228" s="544">
        <v>1.2731071699010266</v>
      </c>
      <c r="Y228" s="544">
        <v>1.2636625789791434</v>
      </c>
      <c r="Z228" s="544">
        <v>1.2545808277238966</v>
      </c>
      <c r="AA228" s="544">
        <v>1.2455056130508433</v>
      </c>
      <c r="AB228" s="544">
        <v>1.2363860198724022</v>
      </c>
      <c r="AC228" s="544">
        <v>1.2273925928088263</v>
      </c>
      <c r="AD228" s="544">
        <v>1.2190396527564467</v>
      </c>
      <c r="AE228" s="544">
        <v>1.2112483129677905</v>
      </c>
      <c r="AF228" s="544">
        <v>1.2035824423168286</v>
      </c>
      <c r="AG228" s="544">
        <v>1.19592368662693</v>
      </c>
      <c r="AH228" s="544">
        <v>1.1886212739118129</v>
      </c>
      <c r="AI228" s="544">
        <v>1.1813187851059925</v>
      </c>
      <c r="AJ228" s="544">
        <v>1.1741371078094409</v>
      </c>
      <c r="AK228" s="544">
        <v>1.1667287401544688</v>
      </c>
      <c r="AL228" s="544"/>
      <c r="AM228" s="544"/>
      <c r="AN228" s="544"/>
      <c r="AO228" s="544"/>
      <c r="AP228" s="544"/>
      <c r="AQ228" s="544"/>
      <c r="AR228" s="544"/>
      <c r="AS228" s="544"/>
      <c r="AT228" s="544"/>
      <c r="AU228" s="544"/>
      <c r="AV228" s="544"/>
      <c r="AW228" s="544"/>
      <c r="AX228" s="544"/>
      <c r="AY228" s="544"/>
      <c r="AZ228" s="544"/>
      <c r="BA228" s="544"/>
      <c r="BB228" s="544"/>
      <c r="BC228" s="544"/>
      <c r="BD228" s="544"/>
      <c r="BE228" s="544"/>
      <c r="BF228" s="544"/>
      <c r="BG228" s="544"/>
      <c r="BH228" s="544"/>
      <c r="BI228" s="544"/>
      <c r="BJ228" s="544"/>
      <c r="BK228" s="544"/>
      <c r="BL228" s="544"/>
      <c r="BM228" s="544"/>
      <c r="BN228" s="544"/>
      <c r="BO228" s="544"/>
      <c r="BP228" s="544"/>
      <c r="BQ228" s="544"/>
      <c r="BR228" s="544"/>
      <c r="BS228" s="544"/>
      <c r="BT228" s="544"/>
      <c r="BU228" s="544"/>
      <c r="BV228" s="544"/>
      <c r="BW228" s="544"/>
      <c r="BX228" s="544"/>
      <c r="BY228" s="544"/>
      <c r="BZ228" s="544"/>
      <c r="CA228" s="544"/>
      <c r="CB228" s="544"/>
      <c r="CC228" s="544"/>
      <c r="CD228" s="544"/>
      <c r="CE228" s="544"/>
      <c r="CF228" s="544"/>
      <c r="CG228" s="544"/>
      <c r="CH228" s="544"/>
      <c r="CI228" s="545"/>
      <c r="CK228" s="1295"/>
    </row>
    <row r="229" spans="1:89" s="1292" customFormat="1" ht="28.5" x14ac:dyDescent="0.2">
      <c r="A229" s="1284"/>
      <c r="B229" s="837" t="s">
        <v>498</v>
      </c>
      <c r="C229" s="838" t="s">
        <v>499</v>
      </c>
      <c r="D229" s="839" t="s">
        <v>86</v>
      </c>
      <c r="E229" s="840" t="s">
        <v>375</v>
      </c>
      <c r="F229" s="841">
        <v>1</v>
      </c>
      <c r="G229" s="568"/>
      <c r="H229" s="1326"/>
      <c r="I229" s="1326">
        <v>0</v>
      </c>
      <c r="J229" s="1326">
        <v>2.3218014859016046E-3</v>
      </c>
      <c r="K229" s="1326">
        <v>2.4801139267148866E-3</v>
      </c>
      <c r="L229" s="1326">
        <v>2.67765338789527E-3</v>
      </c>
      <c r="M229" s="1327">
        <v>2.8339392826652941E-3</v>
      </c>
      <c r="N229" s="1327">
        <v>3.0307909206343537E-3</v>
      </c>
      <c r="O229" s="1327">
        <v>3.2667964952382096E-3</v>
      </c>
      <c r="P229" s="1327">
        <v>3.4685556518950639E-3</v>
      </c>
      <c r="Q229" s="1327">
        <v>3.6644951372699105E-3</v>
      </c>
      <c r="R229" s="1327">
        <v>3.8640463612798753E-3</v>
      </c>
      <c r="S229" s="1327">
        <v>4.0947448627004215E-3</v>
      </c>
      <c r="T229" s="1327">
        <v>4.294130358237583E-3</v>
      </c>
      <c r="U229" s="1327">
        <v>4.4928701861689123E-3</v>
      </c>
      <c r="V229" s="1327">
        <v>4.725533385823019E-3</v>
      </c>
      <c r="W229" s="1327">
        <v>4.9254812673094504E-3</v>
      </c>
      <c r="X229" s="1327">
        <v>5.1259419094117978E-3</v>
      </c>
      <c r="Y229" s="1327">
        <v>5.3617273587246777E-3</v>
      </c>
      <c r="Z229" s="1327">
        <v>5.5637597632817561E-3</v>
      </c>
      <c r="AA229" s="1327">
        <v>5.7628325762543514E-3</v>
      </c>
      <c r="AB229" s="1327">
        <v>5.991332502987958E-3</v>
      </c>
      <c r="AC229" s="1327">
        <v>6.1840358556006815E-3</v>
      </c>
      <c r="AD229" s="1327">
        <v>6.3942064276232132E-3</v>
      </c>
      <c r="AE229" s="1327">
        <v>6.6050924648251349E-3</v>
      </c>
      <c r="AF229" s="1327">
        <v>6.8164794504428318E-3</v>
      </c>
      <c r="AG229" s="1327">
        <v>7.0271972179938441E-3</v>
      </c>
      <c r="AH229" s="1327">
        <v>7.2390959080211167E-3</v>
      </c>
      <c r="AI229" s="1327">
        <v>7.4520564158318588E-3</v>
      </c>
      <c r="AJ229" s="1327">
        <v>7.6666027865901739E-3</v>
      </c>
      <c r="AK229" s="1327">
        <v>7.8816781826200263E-3</v>
      </c>
      <c r="AL229" s="1327"/>
      <c r="AM229" s="1327"/>
      <c r="AN229" s="1327"/>
      <c r="AO229" s="1327"/>
      <c r="AP229" s="1327"/>
      <c r="AQ229" s="1327"/>
      <c r="AR229" s="1327"/>
      <c r="AS229" s="1327"/>
      <c r="AT229" s="1327"/>
      <c r="AU229" s="1327"/>
      <c r="AV229" s="1327"/>
      <c r="AW229" s="1327"/>
      <c r="AX229" s="1327"/>
      <c r="AY229" s="1327"/>
      <c r="AZ229" s="1327"/>
      <c r="BA229" s="1327"/>
      <c r="BB229" s="1327"/>
      <c r="BC229" s="1327"/>
      <c r="BD229" s="1327"/>
      <c r="BE229" s="1327"/>
      <c r="BF229" s="1327"/>
      <c r="BG229" s="1327"/>
      <c r="BH229" s="1327"/>
      <c r="BI229" s="1327"/>
      <c r="BJ229" s="1327"/>
      <c r="BK229" s="1327"/>
      <c r="BL229" s="1327"/>
      <c r="BM229" s="1327"/>
      <c r="BN229" s="1327"/>
      <c r="BO229" s="1327"/>
      <c r="BP229" s="1327"/>
      <c r="BQ229" s="1327"/>
      <c r="BR229" s="1327"/>
      <c r="BS229" s="1327"/>
      <c r="BT229" s="1327"/>
      <c r="BU229" s="1327"/>
      <c r="BV229" s="1327"/>
      <c r="BW229" s="1327"/>
      <c r="BX229" s="1327"/>
      <c r="BY229" s="1327"/>
      <c r="BZ229" s="1327"/>
      <c r="CA229" s="1327"/>
      <c r="CB229" s="1327"/>
      <c r="CC229" s="1327"/>
      <c r="CD229" s="1327"/>
      <c r="CE229" s="1327"/>
      <c r="CF229" s="1327"/>
      <c r="CG229" s="1327"/>
      <c r="CH229" s="1327"/>
      <c r="CI229" s="1328"/>
      <c r="CK229" s="1293"/>
    </row>
    <row r="230" spans="1:89" s="1292" customFormat="1" ht="28.5" x14ac:dyDescent="0.2">
      <c r="A230" s="1284"/>
      <c r="B230" s="837" t="s">
        <v>500</v>
      </c>
      <c r="C230" s="838" t="s">
        <v>501</v>
      </c>
      <c r="D230" s="839" t="s">
        <v>502</v>
      </c>
      <c r="E230" s="840" t="s">
        <v>236</v>
      </c>
      <c r="F230" s="841">
        <v>2</v>
      </c>
      <c r="G230" s="569">
        <f>G229*(G224+SUM(G226:G228)-SUM(G236:G239))</f>
        <v>0</v>
      </c>
      <c r="H230" s="569">
        <f t="shared" ref="H230:AK230" si="104">H229*(SUM(H224:H228)-SUM(H236:H239))</f>
        <v>0</v>
      </c>
      <c r="I230" s="569">
        <f t="shared" si="104"/>
        <v>0</v>
      </c>
      <c r="J230" s="569">
        <f t="shared" si="104"/>
        <v>3.2475981767881357E-2</v>
      </c>
      <c r="K230" s="569">
        <f t="shared" si="104"/>
        <v>3.4494067369450751E-2</v>
      </c>
      <c r="L230" s="569">
        <f t="shared" si="104"/>
        <v>3.7175355841143863E-2</v>
      </c>
      <c r="M230" s="569">
        <f t="shared" si="104"/>
        <v>3.910637725027255E-2</v>
      </c>
      <c r="N230" s="569">
        <f t="shared" si="104"/>
        <v>4.1929657042282624E-2</v>
      </c>
      <c r="O230" s="569">
        <f t="shared" si="104"/>
        <v>4.5335629097107075E-2</v>
      </c>
      <c r="P230" s="569">
        <f t="shared" si="104"/>
        <v>4.8257443724141036E-2</v>
      </c>
      <c r="Q230" s="569">
        <f t="shared" si="104"/>
        <v>5.1062997560249936E-2</v>
      </c>
      <c r="R230" s="569">
        <f t="shared" si="104"/>
        <v>5.3932293560823109E-2</v>
      </c>
      <c r="S230" s="569">
        <f t="shared" si="104"/>
        <v>5.7252562618988707E-2</v>
      </c>
      <c r="T230" s="569">
        <f t="shared" si="104"/>
        <v>6.0137268072389526E-2</v>
      </c>
      <c r="U230" s="569">
        <f t="shared" si="104"/>
        <v>6.3020150307771597E-2</v>
      </c>
      <c r="V230" s="569">
        <f t="shared" si="104"/>
        <v>6.6392728633187542E-2</v>
      </c>
      <c r="W230" s="569">
        <f t="shared" si="104"/>
        <v>6.9320301179498708E-2</v>
      </c>
      <c r="X230" s="569">
        <f t="shared" si="104"/>
        <v>7.226693074574625E-2</v>
      </c>
      <c r="Y230" s="569">
        <f t="shared" si="104"/>
        <v>7.5725840991394483E-2</v>
      </c>
      <c r="Z230" s="569">
        <f t="shared" si="104"/>
        <v>7.8721163438969941E-2</v>
      </c>
      <c r="AA230" s="569">
        <f t="shared" si="104"/>
        <v>8.1667824790322169E-2</v>
      </c>
      <c r="AB230" s="569">
        <f t="shared" si="104"/>
        <v>8.5008226263559111E-2</v>
      </c>
      <c r="AC230" s="569">
        <f t="shared" si="104"/>
        <v>8.7872859509500384E-2</v>
      </c>
      <c r="AD230" s="569">
        <f t="shared" si="104"/>
        <v>9.1004648719993836E-2</v>
      </c>
      <c r="AE230" s="569">
        <f t="shared" si="104"/>
        <v>9.4157969204337333E-2</v>
      </c>
      <c r="AF230" s="569">
        <f t="shared" si="104"/>
        <v>9.7328444006041001E-2</v>
      </c>
      <c r="AG230" s="569">
        <f t="shared" si="104"/>
        <v>0.10049322527664184</v>
      </c>
      <c r="AH230" s="569">
        <f t="shared" si="104"/>
        <v>0.10368933756103607</v>
      </c>
      <c r="AI230" s="569">
        <f t="shared" si="104"/>
        <v>0.10691497445031464</v>
      </c>
      <c r="AJ230" s="569">
        <f t="shared" si="104"/>
        <v>0.11018151768394878</v>
      </c>
      <c r="AK230" s="569">
        <f t="shared" si="104"/>
        <v>0.11346750111500629</v>
      </c>
      <c r="AL230" s="569"/>
      <c r="AM230" s="569"/>
      <c r="AN230" s="569"/>
      <c r="AO230" s="569"/>
      <c r="AP230" s="569"/>
      <c r="AQ230" s="569"/>
      <c r="AR230" s="569"/>
      <c r="AS230" s="569"/>
      <c r="AT230" s="569"/>
      <c r="AU230" s="569"/>
      <c r="AV230" s="569"/>
      <c r="AW230" s="569"/>
      <c r="AX230" s="569"/>
      <c r="AY230" s="569"/>
      <c r="AZ230" s="569"/>
      <c r="BA230" s="569"/>
      <c r="BB230" s="569"/>
      <c r="BC230" s="569"/>
      <c r="BD230" s="569"/>
      <c r="BE230" s="569"/>
      <c r="BF230" s="569"/>
      <c r="BG230" s="569"/>
      <c r="BH230" s="569"/>
      <c r="BI230" s="569"/>
      <c r="BJ230" s="569"/>
      <c r="BK230" s="569"/>
      <c r="BL230" s="569"/>
      <c r="BM230" s="569"/>
      <c r="BN230" s="569"/>
      <c r="BO230" s="569"/>
      <c r="BP230" s="569"/>
      <c r="BQ230" s="569"/>
      <c r="BR230" s="569"/>
      <c r="BS230" s="569"/>
      <c r="BT230" s="569"/>
      <c r="BU230" s="569"/>
      <c r="BV230" s="569"/>
      <c r="BW230" s="569"/>
      <c r="BX230" s="569"/>
      <c r="BY230" s="569"/>
      <c r="BZ230" s="569"/>
      <c r="CA230" s="569"/>
      <c r="CB230" s="569"/>
      <c r="CC230" s="569"/>
      <c r="CD230" s="569"/>
      <c r="CE230" s="569"/>
      <c r="CF230" s="569"/>
      <c r="CG230" s="569"/>
      <c r="CH230" s="569"/>
      <c r="CI230" s="569"/>
      <c r="CK230" s="1293"/>
    </row>
    <row r="231" spans="1:89" s="1292" customFormat="1" ht="28.5" x14ac:dyDescent="0.2">
      <c r="A231" s="1284"/>
      <c r="B231" s="837" t="s">
        <v>503</v>
      </c>
      <c r="C231" s="842" t="s">
        <v>305</v>
      </c>
      <c r="D231" s="843" t="s">
        <v>504</v>
      </c>
      <c r="E231" s="844" t="s">
        <v>239</v>
      </c>
      <c r="F231" s="845">
        <v>1</v>
      </c>
      <c r="G231" s="575" t="e">
        <f>(((G227-G238))*1000000)/((G260)*1000)</f>
        <v>#DIV/0!</v>
      </c>
      <c r="H231" s="575" t="e">
        <f t="shared" ref="H231:AK232" si="105">(((H227-H238))*1000000)/((H260)*1000)</f>
        <v>#DIV/0!</v>
      </c>
      <c r="I231" s="575">
        <f t="shared" si="105"/>
        <v>145.24430962051824</v>
      </c>
      <c r="J231" s="575">
        <f t="shared" si="105"/>
        <v>140.92100094720766</v>
      </c>
      <c r="K231" s="575">
        <f t="shared" si="105"/>
        <v>137.56637792766566</v>
      </c>
      <c r="L231" s="575">
        <f t="shared" si="105"/>
        <v>131.58907315865</v>
      </c>
      <c r="M231" s="576">
        <f t="shared" si="105"/>
        <v>130.11434670370889</v>
      </c>
      <c r="N231" s="576">
        <f t="shared" si="105"/>
        <v>129.66725808527067</v>
      </c>
      <c r="O231" s="576">
        <f t="shared" si="105"/>
        <v>129.28338624820134</v>
      </c>
      <c r="P231" s="576">
        <f t="shared" si="105"/>
        <v>128.92462211002166</v>
      </c>
      <c r="Q231" s="576">
        <f t="shared" si="105"/>
        <v>128.59212560199859</v>
      </c>
      <c r="R231" s="576">
        <f t="shared" si="105"/>
        <v>128.33825647301447</v>
      </c>
      <c r="S231" s="576">
        <f t="shared" si="105"/>
        <v>128.1802726795039</v>
      </c>
      <c r="T231" s="576">
        <f t="shared" si="105"/>
        <v>128.05043302107046</v>
      </c>
      <c r="U231" s="576">
        <f t="shared" si="105"/>
        <v>127.91271162995092</v>
      </c>
      <c r="V231" s="576">
        <f t="shared" si="105"/>
        <v>127.79338602226018</v>
      </c>
      <c r="W231" s="576">
        <f t="shared" si="105"/>
        <v>127.65262686190751</v>
      </c>
      <c r="X231" s="576">
        <f t="shared" si="105"/>
        <v>127.56026073784787</v>
      </c>
      <c r="Y231" s="576">
        <f t="shared" si="105"/>
        <v>127.47791295243171</v>
      </c>
      <c r="Z231" s="576">
        <f t="shared" si="105"/>
        <v>127.41873812568134</v>
      </c>
      <c r="AA231" s="576">
        <f t="shared" si="105"/>
        <v>127.3362679645054</v>
      </c>
      <c r="AB231" s="576">
        <f t="shared" si="105"/>
        <v>127.08763272993934</v>
      </c>
      <c r="AC231" s="576">
        <f t="shared" si="105"/>
        <v>127.00091766666628</v>
      </c>
      <c r="AD231" s="576">
        <f t="shared" si="105"/>
        <v>126.94865066569442</v>
      </c>
      <c r="AE231" s="576">
        <f t="shared" si="105"/>
        <v>126.89345604137739</v>
      </c>
      <c r="AF231" s="576">
        <f t="shared" si="105"/>
        <v>126.84286588764837</v>
      </c>
      <c r="AG231" s="576">
        <f t="shared" si="105"/>
        <v>126.78897916898804</v>
      </c>
      <c r="AH231" s="576">
        <f t="shared" si="105"/>
        <v>126.76710931174763</v>
      </c>
      <c r="AI231" s="576">
        <f t="shared" si="105"/>
        <v>126.7313067041411</v>
      </c>
      <c r="AJ231" s="576">
        <f t="shared" si="105"/>
        <v>126.69380192579844</v>
      </c>
      <c r="AK231" s="576">
        <f t="shared" si="105"/>
        <v>126.64319600484166</v>
      </c>
      <c r="AL231" s="576"/>
      <c r="AM231" s="576"/>
      <c r="AN231" s="576"/>
      <c r="AO231" s="576"/>
      <c r="AP231" s="576"/>
      <c r="AQ231" s="576"/>
      <c r="AR231" s="576"/>
      <c r="AS231" s="576"/>
      <c r="AT231" s="576"/>
      <c r="AU231" s="576"/>
      <c r="AV231" s="576"/>
      <c r="AW231" s="576"/>
      <c r="AX231" s="576"/>
      <c r="AY231" s="576"/>
      <c r="AZ231" s="576"/>
      <c r="BA231" s="576"/>
      <c r="BB231" s="576"/>
      <c r="BC231" s="576"/>
      <c r="BD231" s="576"/>
      <c r="BE231" s="576"/>
      <c r="BF231" s="576"/>
      <c r="BG231" s="576"/>
      <c r="BH231" s="576"/>
      <c r="BI231" s="576"/>
      <c r="BJ231" s="576"/>
      <c r="BK231" s="576"/>
      <c r="BL231" s="576"/>
      <c r="BM231" s="576"/>
      <c r="BN231" s="576"/>
      <c r="BO231" s="576"/>
      <c r="BP231" s="576"/>
      <c r="BQ231" s="576"/>
      <c r="BR231" s="576"/>
      <c r="BS231" s="576"/>
      <c r="BT231" s="576"/>
      <c r="BU231" s="576"/>
      <c r="BV231" s="576"/>
      <c r="BW231" s="576"/>
      <c r="BX231" s="576"/>
      <c r="BY231" s="576"/>
      <c r="BZ231" s="576"/>
      <c r="CA231" s="576"/>
      <c r="CB231" s="576"/>
      <c r="CC231" s="576"/>
      <c r="CD231" s="576"/>
      <c r="CE231" s="576"/>
      <c r="CF231" s="576"/>
      <c r="CG231" s="576"/>
      <c r="CH231" s="576"/>
      <c r="CI231" s="570"/>
      <c r="CK231" s="1293"/>
    </row>
    <row r="232" spans="1:89" s="1292" customFormat="1" ht="28.5" x14ac:dyDescent="0.2">
      <c r="A232" s="1284"/>
      <c r="B232" s="837" t="s">
        <v>505</v>
      </c>
      <c r="C232" s="842" t="s">
        <v>324</v>
      </c>
      <c r="D232" s="843" t="s">
        <v>506</v>
      </c>
      <c r="E232" s="844" t="s">
        <v>239</v>
      </c>
      <c r="F232" s="845">
        <v>1</v>
      </c>
      <c r="G232" s="575" t="e">
        <f>(((G228-G239))*1000000)/((G261)*1000)</f>
        <v>#DIV/0!</v>
      </c>
      <c r="H232" s="575" t="e">
        <f t="shared" si="105"/>
        <v>#DIV/0!</v>
      </c>
      <c r="I232" s="575">
        <f t="shared" si="105"/>
        <v>204.25505357797536</v>
      </c>
      <c r="J232" s="575">
        <f t="shared" si="105"/>
        <v>212.52789115649864</v>
      </c>
      <c r="K232" s="575">
        <f t="shared" si="105"/>
        <v>209.77938008867349</v>
      </c>
      <c r="L232" s="575">
        <f t="shared" si="105"/>
        <v>206.57755459589458</v>
      </c>
      <c r="M232" s="576">
        <f t="shared" si="105"/>
        <v>204.07320926683374</v>
      </c>
      <c r="N232" s="576">
        <f t="shared" si="105"/>
        <v>203.59373029911481</v>
      </c>
      <c r="O232" s="576">
        <f t="shared" si="105"/>
        <v>203.13178439497767</v>
      </c>
      <c r="P232" s="576">
        <f t="shared" si="105"/>
        <v>202.67116596497775</v>
      </c>
      <c r="Q232" s="576">
        <f t="shared" si="105"/>
        <v>202.19192608360544</v>
      </c>
      <c r="R232" s="576">
        <f t="shared" si="105"/>
        <v>201.92149345101578</v>
      </c>
      <c r="S232" s="576">
        <f t="shared" si="105"/>
        <v>201.92184133841135</v>
      </c>
      <c r="T232" s="576">
        <f t="shared" si="105"/>
        <v>201.92796817881799</v>
      </c>
      <c r="U232" s="576">
        <f t="shared" si="105"/>
        <v>201.92020751058695</v>
      </c>
      <c r="V232" s="576">
        <f t="shared" si="105"/>
        <v>201.91334367150802</v>
      </c>
      <c r="W232" s="576">
        <f t="shared" si="105"/>
        <v>202.05277448115757</v>
      </c>
      <c r="X232" s="576">
        <f t="shared" si="105"/>
        <v>202.19463780460745</v>
      </c>
      <c r="Y232" s="576">
        <f t="shared" si="105"/>
        <v>202.31872445728814</v>
      </c>
      <c r="Z232" s="576">
        <f t="shared" si="105"/>
        <v>202.4829140313835</v>
      </c>
      <c r="AA232" s="576">
        <f t="shared" si="105"/>
        <v>202.62934032776195</v>
      </c>
      <c r="AB232" s="576">
        <f t="shared" si="105"/>
        <v>202.75104967646479</v>
      </c>
      <c r="AC232" s="576">
        <f t="shared" si="105"/>
        <v>202.87712209769157</v>
      </c>
      <c r="AD232" s="576">
        <f t="shared" si="105"/>
        <v>203.09486829366503</v>
      </c>
      <c r="AE232" s="576">
        <f t="shared" si="105"/>
        <v>203.39225989738711</v>
      </c>
      <c r="AF232" s="576">
        <f t="shared" si="105"/>
        <v>203.69540639659033</v>
      </c>
      <c r="AG232" s="576">
        <f t="shared" si="105"/>
        <v>203.98346701185767</v>
      </c>
      <c r="AH232" s="576">
        <f t="shared" si="105"/>
        <v>204.3178341879449</v>
      </c>
      <c r="AI232" s="576">
        <f t="shared" si="105"/>
        <v>204.63671808852882</v>
      </c>
      <c r="AJ232" s="576">
        <f t="shared" si="105"/>
        <v>204.96026680728764</v>
      </c>
      <c r="AK232" s="576">
        <f t="shared" si="105"/>
        <v>205.22532168003204</v>
      </c>
      <c r="AL232" s="576"/>
      <c r="AM232" s="576"/>
      <c r="AN232" s="576"/>
      <c r="AO232" s="576"/>
      <c r="AP232" s="576"/>
      <c r="AQ232" s="576"/>
      <c r="AR232" s="576"/>
      <c r="AS232" s="576"/>
      <c r="AT232" s="576"/>
      <c r="AU232" s="576"/>
      <c r="AV232" s="576"/>
      <c r="AW232" s="576"/>
      <c r="AX232" s="576"/>
      <c r="AY232" s="576"/>
      <c r="AZ232" s="576"/>
      <c r="BA232" s="576"/>
      <c r="BB232" s="576"/>
      <c r="BC232" s="576"/>
      <c r="BD232" s="576"/>
      <c r="BE232" s="576"/>
      <c r="BF232" s="576"/>
      <c r="BG232" s="576"/>
      <c r="BH232" s="576"/>
      <c r="BI232" s="576"/>
      <c r="BJ232" s="576"/>
      <c r="BK232" s="576"/>
      <c r="BL232" s="576"/>
      <c r="BM232" s="576"/>
      <c r="BN232" s="576"/>
      <c r="BO232" s="576"/>
      <c r="BP232" s="576"/>
      <c r="BQ232" s="576"/>
      <c r="BR232" s="576"/>
      <c r="BS232" s="576"/>
      <c r="BT232" s="576"/>
      <c r="BU232" s="576"/>
      <c r="BV232" s="576"/>
      <c r="BW232" s="576"/>
      <c r="BX232" s="576"/>
      <c r="BY232" s="576"/>
      <c r="BZ232" s="576"/>
      <c r="CA232" s="576"/>
      <c r="CB232" s="576"/>
      <c r="CC232" s="576"/>
      <c r="CD232" s="576"/>
      <c r="CE232" s="576"/>
      <c r="CF232" s="576"/>
      <c r="CG232" s="576"/>
      <c r="CH232" s="576"/>
      <c r="CI232" s="570"/>
      <c r="CK232" s="1293"/>
    </row>
    <row r="233" spans="1:89" s="1292" customFormat="1" ht="28.5" x14ac:dyDescent="0.2">
      <c r="A233" s="1284"/>
      <c r="B233" s="837" t="s">
        <v>507</v>
      </c>
      <c r="C233" s="842" t="s">
        <v>238</v>
      </c>
      <c r="D233" s="843" t="s">
        <v>508</v>
      </c>
      <c r="E233" s="844" t="s">
        <v>239</v>
      </c>
      <c r="F233" s="845">
        <v>1</v>
      </c>
      <c r="G233" s="575" t="e">
        <f>(((G227-G238)+(G228-G239))*1000000)/((G260+G261)*1000)</f>
        <v>#DIV/0!</v>
      </c>
      <c r="H233" s="575" t="e">
        <f t="shared" ref="H233:AK233" si="106">(((H227-H238)+(H228-H239))*1000000)/((H260+H261)*1000)</f>
        <v>#DIV/0!</v>
      </c>
      <c r="I233" s="575">
        <f t="shared" si="106"/>
        <v>167.05800726461092</v>
      </c>
      <c r="J233" s="575">
        <f t="shared" si="106"/>
        <v>166.65479275533497</v>
      </c>
      <c r="K233" s="575">
        <f t="shared" si="106"/>
        <v>163.15970566434251</v>
      </c>
      <c r="L233" s="575">
        <f t="shared" si="106"/>
        <v>156.26130649708676</v>
      </c>
      <c r="M233" s="576">
        <f t="shared" si="106"/>
        <v>151.12771742081259</v>
      </c>
      <c r="N233" s="576">
        <f t="shared" si="106"/>
        <v>148.66651098798852</v>
      </c>
      <c r="O233" s="576">
        <f t="shared" si="106"/>
        <v>147.44995149682077</v>
      </c>
      <c r="P233" s="576">
        <f t="shared" si="106"/>
        <v>146.31734344924814</v>
      </c>
      <c r="Q233" s="576">
        <f t="shared" si="106"/>
        <v>145.27937641525781</v>
      </c>
      <c r="R233" s="576">
        <f t="shared" si="106"/>
        <v>144.57459893745877</v>
      </c>
      <c r="S233" s="576">
        <f t="shared" si="106"/>
        <v>144.22377568552795</v>
      </c>
      <c r="T233" s="576">
        <f t="shared" si="106"/>
        <v>143.90940009414882</v>
      </c>
      <c r="U233" s="576">
        <f t="shared" si="106"/>
        <v>143.58858916210525</v>
      </c>
      <c r="V233" s="576">
        <f t="shared" si="106"/>
        <v>143.28285979181999</v>
      </c>
      <c r="W233" s="576">
        <f t="shared" si="106"/>
        <v>142.9902995860192</v>
      </c>
      <c r="X233" s="576">
        <f t="shared" si="106"/>
        <v>142.7412744299026</v>
      </c>
      <c r="Y233" s="576">
        <f t="shared" si="106"/>
        <v>142.49629463878966</v>
      </c>
      <c r="Z233" s="576">
        <f t="shared" si="106"/>
        <v>142.28147979903</v>
      </c>
      <c r="AA233" s="576">
        <f t="shared" si="106"/>
        <v>142.05502393560229</v>
      </c>
      <c r="AB233" s="576">
        <f t="shared" si="106"/>
        <v>141.69575306026297</v>
      </c>
      <c r="AC233" s="576">
        <f t="shared" si="106"/>
        <v>141.46909465693281</v>
      </c>
      <c r="AD233" s="576">
        <f t="shared" si="106"/>
        <v>141.28831338932653</v>
      </c>
      <c r="AE233" s="576">
        <f t="shared" si="106"/>
        <v>141.12171246456685</v>
      </c>
      <c r="AF233" s="576">
        <f t="shared" si="106"/>
        <v>140.96122561205786</v>
      </c>
      <c r="AG233" s="576">
        <f t="shared" si="106"/>
        <v>140.79860652071628</v>
      </c>
      <c r="AH233" s="576">
        <f t="shared" si="106"/>
        <v>140.67291568365994</v>
      </c>
      <c r="AI233" s="576">
        <f t="shared" si="106"/>
        <v>140.53028907615072</v>
      </c>
      <c r="AJ233" s="576">
        <f t="shared" si="106"/>
        <v>140.38459487164397</v>
      </c>
      <c r="AK233" s="576">
        <f t="shared" si="106"/>
        <v>140.21645736803379</v>
      </c>
      <c r="AL233" s="576"/>
      <c r="AM233" s="576"/>
      <c r="AN233" s="576"/>
      <c r="AO233" s="576"/>
      <c r="AP233" s="576"/>
      <c r="AQ233" s="576"/>
      <c r="AR233" s="576"/>
      <c r="AS233" s="576"/>
      <c r="AT233" s="576"/>
      <c r="AU233" s="576"/>
      <c r="AV233" s="576"/>
      <c r="AW233" s="576"/>
      <c r="AX233" s="576"/>
      <c r="AY233" s="576"/>
      <c r="AZ233" s="576"/>
      <c r="BA233" s="576"/>
      <c r="BB233" s="576"/>
      <c r="BC233" s="576"/>
      <c r="BD233" s="576"/>
      <c r="BE233" s="576"/>
      <c r="BF233" s="576"/>
      <c r="BG233" s="576"/>
      <c r="BH233" s="576"/>
      <c r="BI233" s="576"/>
      <c r="BJ233" s="576"/>
      <c r="BK233" s="576"/>
      <c r="BL233" s="576"/>
      <c r="BM233" s="576"/>
      <c r="BN233" s="576"/>
      <c r="BO233" s="576"/>
      <c r="BP233" s="576"/>
      <c r="BQ233" s="576"/>
      <c r="BR233" s="576"/>
      <c r="BS233" s="576"/>
      <c r="BT233" s="576"/>
      <c r="BU233" s="576"/>
      <c r="BV233" s="576"/>
      <c r="BW233" s="576"/>
      <c r="BX233" s="576"/>
      <c r="BY233" s="576"/>
      <c r="BZ233" s="576"/>
      <c r="CA233" s="576"/>
      <c r="CB233" s="576"/>
      <c r="CC233" s="576"/>
      <c r="CD233" s="576"/>
      <c r="CE233" s="576"/>
      <c r="CF233" s="576"/>
      <c r="CG233" s="576"/>
      <c r="CH233" s="576"/>
      <c r="CI233" s="570"/>
      <c r="CK233" s="1293"/>
    </row>
    <row r="234" spans="1:89" s="1292" customFormat="1" x14ac:dyDescent="0.2">
      <c r="A234" s="1284"/>
      <c r="B234" s="837" t="s">
        <v>509</v>
      </c>
      <c r="C234" s="842" t="s">
        <v>510</v>
      </c>
      <c r="D234" s="843" t="s">
        <v>86</v>
      </c>
      <c r="E234" s="844" t="s">
        <v>236</v>
      </c>
      <c r="F234" s="845">
        <v>2</v>
      </c>
      <c r="G234" s="540"/>
      <c r="H234" s="540"/>
      <c r="I234" s="540">
        <v>0.12522906351860397</v>
      </c>
      <c r="J234" s="540">
        <v>0.1245522987868988</v>
      </c>
      <c r="K234" s="540">
        <v>0.1245263084426773</v>
      </c>
      <c r="L234" s="540">
        <v>0.12452459964281626</v>
      </c>
      <c r="M234" s="541">
        <v>0.12452218415256137</v>
      </c>
      <c r="N234" s="541">
        <v>0.12434505437319208</v>
      </c>
      <c r="O234" s="541">
        <v>0.12422358150949511</v>
      </c>
      <c r="P234" s="541">
        <v>0.12411280893845038</v>
      </c>
      <c r="Q234" s="541">
        <v>0.12401750294161337</v>
      </c>
      <c r="R234" s="541">
        <v>0.12393632815440986</v>
      </c>
      <c r="S234" s="541">
        <v>0.12387098468315436</v>
      </c>
      <c r="T234" s="541">
        <v>0.12381013263757026</v>
      </c>
      <c r="U234" s="541">
        <v>0.1237503960218351</v>
      </c>
      <c r="V234" s="541">
        <v>0.12369097710203962</v>
      </c>
      <c r="W234" s="541">
        <v>0.1236324580752626</v>
      </c>
      <c r="X234" s="541">
        <v>0.12357566147231844</v>
      </c>
      <c r="Y234" s="541">
        <v>0.12352058863040796</v>
      </c>
      <c r="Z234" s="541">
        <v>0.12346590089449444</v>
      </c>
      <c r="AA234" s="541">
        <v>0.12341184249092127</v>
      </c>
      <c r="AB234" s="541">
        <v>0.1233583798001055</v>
      </c>
      <c r="AC234" s="541">
        <v>0.12330549455361338</v>
      </c>
      <c r="AD234" s="541">
        <v>0.12325354549054469</v>
      </c>
      <c r="AE234" s="541">
        <v>0.12320268374351225</v>
      </c>
      <c r="AF234" s="541">
        <v>0.1231527881865952</v>
      </c>
      <c r="AG234" s="541">
        <v>0.12310348422815821</v>
      </c>
      <c r="AH234" s="541">
        <v>0.12305478955865763</v>
      </c>
      <c r="AI234" s="541">
        <v>0.12300637266729125</v>
      </c>
      <c r="AJ234" s="541">
        <v>0.12295800465927295</v>
      </c>
      <c r="AK234" s="541">
        <v>0.12290975874711772</v>
      </c>
      <c r="AL234" s="541"/>
      <c r="AM234" s="541"/>
      <c r="AN234" s="541"/>
      <c r="AO234" s="541"/>
      <c r="AP234" s="541"/>
      <c r="AQ234" s="541"/>
      <c r="AR234" s="541"/>
      <c r="AS234" s="541"/>
      <c r="AT234" s="541"/>
      <c r="AU234" s="541"/>
      <c r="AV234" s="541"/>
      <c r="AW234" s="541"/>
      <c r="AX234" s="541"/>
      <c r="AY234" s="541"/>
      <c r="AZ234" s="541"/>
      <c r="BA234" s="541"/>
      <c r="BB234" s="541"/>
      <c r="BC234" s="541"/>
      <c r="BD234" s="541"/>
      <c r="BE234" s="541"/>
      <c r="BF234" s="541"/>
      <c r="BG234" s="541"/>
      <c r="BH234" s="541"/>
      <c r="BI234" s="541"/>
      <c r="BJ234" s="541"/>
      <c r="BK234" s="541"/>
      <c r="BL234" s="541"/>
      <c r="BM234" s="541"/>
      <c r="BN234" s="541"/>
      <c r="BO234" s="541"/>
      <c r="BP234" s="541"/>
      <c r="BQ234" s="541"/>
      <c r="BR234" s="541"/>
      <c r="BS234" s="541"/>
      <c r="BT234" s="541"/>
      <c r="BU234" s="541"/>
      <c r="BV234" s="541"/>
      <c r="BW234" s="541"/>
      <c r="BX234" s="541"/>
      <c r="BY234" s="541"/>
      <c r="BZ234" s="541"/>
      <c r="CA234" s="541"/>
      <c r="CB234" s="541"/>
      <c r="CC234" s="541"/>
      <c r="CD234" s="541"/>
      <c r="CE234" s="541"/>
      <c r="CF234" s="541"/>
      <c r="CG234" s="541"/>
      <c r="CH234" s="541"/>
      <c r="CI234" s="542"/>
      <c r="CK234" s="1293"/>
    </row>
    <row r="235" spans="1:89" s="1292" customFormat="1" ht="15" thickBot="1" x14ac:dyDescent="0.25">
      <c r="A235" s="1284"/>
      <c r="B235" s="846" t="s">
        <v>511</v>
      </c>
      <c r="C235" s="847" t="s">
        <v>512</v>
      </c>
      <c r="D235" s="848" t="s">
        <v>86</v>
      </c>
      <c r="E235" s="849" t="s">
        <v>236</v>
      </c>
      <c r="F235" s="850">
        <v>2</v>
      </c>
      <c r="G235" s="582"/>
      <c r="H235" s="582"/>
      <c r="I235" s="582">
        <v>7.4262683889618764E-2</v>
      </c>
      <c r="J235" s="582">
        <v>7.4262683889618764E-2</v>
      </c>
      <c r="K235" s="582">
        <v>7.4262683889618764E-2</v>
      </c>
      <c r="L235" s="582">
        <v>7.4262683889618764E-2</v>
      </c>
      <c r="M235" s="583">
        <v>7.4262683889618764E-2</v>
      </c>
      <c r="N235" s="583">
        <v>7.4262683889618764E-2</v>
      </c>
      <c r="O235" s="583">
        <v>7.4262683889618764E-2</v>
      </c>
      <c r="P235" s="583">
        <v>7.4262683889618764E-2</v>
      </c>
      <c r="Q235" s="583">
        <v>7.4262683889618764E-2</v>
      </c>
      <c r="R235" s="583">
        <v>7.4262683889618764E-2</v>
      </c>
      <c r="S235" s="583">
        <v>7.4262683889618764E-2</v>
      </c>
      <c r="T235" s="583">
        <v>7.4262683889618764E-2</v>
      </c>
      <c r="U235" s="583">
        <v>7.4262683889618764E-2</v>
      </c>
      <c r="V235" s="583">
        <v>7.4262683889618764E-2</v>
      </c>
      <c r="W235" s="583">
        <v>7.4262683889618764E-2</v>
      </c>
      <c r="X235" s="583">
        <v>7.4262683889618764E-2</v>
      </c>
      <c r="Y235" s="583">
        <v>7.4262683889618764E-2</v>
      </c>
      <c r="Z235" s="583">
        <v>7.4262683889618764E-2</v>
      </c>
      <c r="AA235" s="583">
        <v>7.4262683889618764E-2</v>
      </c>
      <c r="AB235" s="583">
        <v>7.4262683889618764E-2</v>
      </c>
      <c r="AC235" s="583">
        <v>7.4262683889618764E-2</v>
      </c>
      <c r="AD235" s="583">
        <v>7.4262683889618764E-2</v>
      </c>
      <c r="AE235" s="583">
        <v>7.4262683889618764E-2</v>
      </c>
      <c r="AF235" s="583">
        <v>7.4262683889618764E-2</v>
      </c>
      <c r="AG235" s="583">
        <v>7.4262683889618764E-2</v>
      </c>
      <c r="AH235" s="583">
        <v>7.4262683889618764E-2</v>
      </c>
      <c r="AI235" s="583">
        <v>7.4262683889618764E-2</v>
      </c>
      <c r="AJ235" s="583">
        <v>7.4262683889618764E-2</v>
      </c>
      <c r="AK235" s="583">
        <v>7.4262683889618764E-2</v>
      </c>
      <c r="AL235" s="583"/>
      <c r="AM235" s="583"/>
      <c r="AN235" s="583"/>
      <c r="AO235" s="583"/>
      <c r="AP235" s="583"/>
      <c r="AQ235" s="583"/>
      <c r="AR235" s="583"/>
      <c r="AS235" s="583"/>
      <c r="AT235" s="583"/>
      <c r="AU235" s="583"/>
      <c r="AV235" s="583"/>
      <c r="AW235" s="583"/>
      <c r="AX235" s="583"/>
      <c r="AY235" s="583"/>
      <c r="AZ235" s="583"/>
      <c r="BA235" s="583"/>
      <c r="BB235" s="583"/>
      <c r="BC235" s="583"/>
      <c r="BD235" s="583"/>
      <c r="BE235" s="583"/>
      <c r="BF235" s="583"/>
      <c r="BG235" s="583"/>
      <c r="BH235" s="583"/>
      <c r="BI235" s="583"/>
      <c r="BJ235" s="583"/>
      <c r="BK235" s="583"/>
      <c r="BL235" s="583"/>
      <c r="BM235" s="583"/>
      <c r="BN235" s="583"/>
      <c r="BO235" s="583"/>
      <c r="BP235" s="583"/>
      <c r="BQ235" s="583"/>
      <c r="BR235" s="583"/>
      <c r="BS235" s="583"/>
      <c r="BT235" s="583"/>
      <c r="BU235" s="583"/>
      <c r="BV235" s="583"/>
      <c r="BW235" s="583"/>
      <c r="BX235" s="583"/>
      <c r="BY235" s="583"/>
      <c r="BZ235" s="583"/>
      <c r="CA235" s="583"/>
      <c r="CB235" s="583"/>
      <c r="CC235" s="583"/>
      <c r="CD235" s="583"/>
      <c r="CE235" s="583"/>
      <c r="CF235" s="583"/>
      <c r="CG235" s="583"/>
      <c r="CH235" s="583"/>
      <c r="CI235" s="584"/>
      <c r="CK235" s="1293"/>
    </row>
    <row r="236" spans="1:89" s="1292" customFormat="1" x14ac:dyDescent="0.2">
      <c r="A236" s="1284"/>
      <c r="B236" s="814" t="s">
        <v>513</v>
      </c>
      <c r="C236" s="815" t="s">
        <v>514</v>
      </c>
      <c r="D236" s="816" t="s">
        <v>86</v>
      </c>
      <c r="E236" s="817" t="s">
        <v>236</v>
      </c>
      <c r="F236" s="818">
        <v>2</v>
      </c>
      <c r="G236" s="532"/>
      <c r="H236" s="532"/>
      <c r="I236" s="532">
        <v>6.3157576700386192E-3</v>
      </c>
      <c r="J236" s="532">
        <v>6.5225369249426908E-3</v>
      </c>
      <c r="K236" s="532">
        <v>6.2972537723940273E-3</v>
      </c>
      <c r="L236" s="532">
        <v>6.1478187782822253E-3</v>
      </c>
      <c r="M236" s="533">
        <v>6.2739657884455825E-3</v>
      </c>
      <c r="N236" s="533">
        <v>6.3026297739824013E-3</v>
      </c>
      <c r="O236" s="533">
        <v>6.3312937595192175E-3</v>
      </c>
      <c r="P236" s="533">
        <v>6.3599577450560354E-3</v>
      </c>
      <c r="Q236" s="533">
        <v>6.3886217305928542E-3</v>
      </c>
      <c r="R236" s="533">
        <v>6.4172857161296712E-3</v>
      </c>
      <c r="S236" s="533">
        <v>6.44594970166649E-3</v>
      </c>
      <c r="T236" s="533">
        <v>6.474613687203307E-3</v>
      </c>
      <c r="U236" s="533">
        <v>6.503277672740124E-3</v>
      </c>
      <c r="V236" s="533">
        <v>6.5319416582769419E-3</v>
      </c>
      <c r="W236" s="533">
        <v>6.5606056438137599E-3</v>
      </c>
      <c r="X236" s="533">
        <v>6.5892696293505786E-3</v>
      </c>
      <c r="Y236" s="533">
        <v>6.6179336148873948E-3</v>
      </c>
      <c r="Z236" s="533">
        <v>6.6465976004242144E-3</v>
      </c>
      <c r="AA236" s="533">
        <v>6.6752615859610297E-3</v>
      </c>
      <c r="AB236" s="533">
        <v>6.7039255714978485E-3</v>
      </c>
      <c r="AC236" s="533">
        <v>6.7325895570346664E-3</v>
      </c>
      <c r="AD236" s="533">
        <v>6.7612535425714843E-3</v>
      </c>
      <c r="AE236" s="533">
        <v>6.7899175281083022E-3</v>
      </c>
      <c r="AF236" s="533">
        <v>6.8185815136451184E-3</v>
      </c>
      <c r="AG236" s="533">
        <v>6.8472454991819372E-3</v>
      </c>
      <c r="AH236" s="533">
        <v>6.8759094847187542E-3</v>
      </c>
      <c r="AI236" s="533">
        <v>6.904573470255573E-3</v>
      </c>
      <c r="AJ236" s="533">
        <v>6.9332374557923909E-3</v>
      </c>
      <c r="AK236" s="533">
        <v>6.9619014413292079E-3</v>
      </c>
      <c r="AL236" s="533"/>
      <c r="AM236" s="533"/>
      <c r="AN236" s="533"/>
      <c r="AO236" s="533"/>
      <c r="AP236" s="533"/>
      <c r="AQ236" s="533"/>
      <c r="AR236" s="533"/>
      <c r="AS236" s="533"/>
      <c r="AT236" s="533"/>
      <c r="AU236" s="533"/>
      <c r="AV236" s="533"/>
      <c r="AW236" s="533"/>
      <c r="AX236" s="533"/>
      <c r="AY236" s="533"/>
      <c r="AZ236" s="533"/>
      <c r="BA236" s="533"/>
      <c r="BB236" s="533"/>
      <c r="BC236" s="533"/>
      <c r="BD236" s="533"/>
      <c r="BE236" s="533"/>
      <c r="BF236" s="533"/>
      <c r="BG236" s="533"/>
      <c r="BH236" s="533"/>
      <c r="BI236" s="533"/>
      <c r="BJ236" s="533"/>
      <c r="BK236" s="533"/>
      <c r="BL236" s="533"/>
      <c r="BM236" s="533"/>
      <c r="BN236" s="533"/>
      <c r="BO236" s="533"/>
      <c r="BP236" s="533"/>
      <c r="BQ236" s="533"/>
      <c r="BR236" s="533"/>
      <c r="BS236" s="533"/>
      <c r="BT236" s="533"/>
      <c r="BU236" s="533"/>
      <c r="BV236" s="533"/>
      <c r="BW236" s="533"/>
      <c r="BX236" s="533"/>
      <c r="BY236" s="533"/>
      <c r="BZ236" s="533"/>
      <c r="CA236" s="533"/>
      <c r="CB236" s="533"/>
      <c r="CC236" s="533"/>
      <c r="CD236" s="533"/>
      <c r="CE236" s="533"/>
      <c r="CF236" s="533"/>
      <c r="CG236" s="533"/>
      <c r="CH236" s="533"/>
      <c r="CI236" s="534"/>
      <c r="CK236" s="1293"/>
    </row>
    <row r="237" spans="1:89" s="1292" customFormat="1" x14ac:dyDescent="0.2">
      <c r="A237" s="1284"/>
      <c r="B237" s="824" t="s">
        <v>515</v>
      </c>
      <c r="C237" s="825" t="s">
        <v>516</v>
      </c>
      <c r="D237" s="821" t="s">
        <v>86</v>
      </c>
      <c r="E237" s="822" t="s">
        <v>236</v>
      </c>
      <c r="F237" s="823">
        <v>2</v>
      </c>
      <c r="G237" s="540"/>
      <c r="H237" s="540"/>
      <c r="I237" s="540">
        <v>3.7140729970184004E-4</v>
      </c>
      <c r="J237" s="540">
        <v>3.5081948118730337E-4</v>
      </c>
      <c r="K237" s="540">
        <v>3.3556700859056033E-4</v>
      </c>
      <c r="L237" s="540">
        <v>1.9966104451892499E-4</v>
      </c>
      <c r="M237" s="544">
        <v>1.1023275223021011E-4</v>
      </c>
      <c r="N237" s="544">
        <v>1.0813826071479317E-4</v>
      </c>
      <c r="O237" s="544">
        <v>1.0604376919937621E-4</v>
      </c>
      <c r="P237" s="544">
        <v>1.0394927768395922E-4</v>
      </c>
      <c r="Q237" s="544">
        <v>1.0185478616854227E-4</v>
      </c>
      <c r="R237" s="544">
        <v>9.9760294653125311E-5</v>
      </c>
      <c r="S237" s="544">
        <v>9.7665803137708337E-5</v>
      </c>
      <c r="T237" s="544">
        <v>9.5571311622291377E-5</v>
      </c>
      <c r="U237" s="544">
        <v>9.3476820106874417E-5</v>
      </c>
      <c r="V237" s="544">
        <v>9.3476820106874417E-5</v>
      </c>
      <c r="W237" s="544">
        <v>9.3476820106874417E-5</v>
      </c>
      <c r="X237" s="544">
        <v>9.3476820106874417E-5</v>
      </c>
      <c r="Y237" s="544">
        <v>9.3476820106874417E-5</v>
      </c>
      <c r="Z237" s="544">
        <v>9.3476820106874417E-5</v>
      </c>
      <c r="AA237" s="544">
        <v>9.3476820106874417E-5</v>
      </c>
      <c r="AB237" s="544">
        <v>9.3476820106874417E-5</v>
      </c>
      <c r="AC237" s="544">
        <v>9.3476820106874417E-5</v>
      </c>
      <c r="AD237" s="544">
        <v>9.3476820106874417E-5</v>
      </c>
      <c r="AE237" s="544">
        <v>9.3476820106874417E-5</v>
      </c>
      <c r="AF237" s="544">
        <v>9.3476820106874417E-5</v>
      </c>
      <c r="AG237" s="544">
        <v>9.3476820106874417E-5</v>
      </c>
      <c r="AH237" s="544">
        <v>9.3476820106874417E-5</v>
      </c>
      <c r="AI237" s="544">
        <v>9.3476820106874417E-5</v>
      </c>
      <c r="AJ237" s="544">
        <v>9.3476820106874417E-5</v>
      </c>
      <c r="AK237" s="544">
        <v>9.3476820106874417E-5</v>
      </c>
      <c r="AL237" s="544"/>
      <c r="AM237" s="544"/>
      <c r="AN237" s="544"/>
      <c r="AO237" s="544"/>
      <c r="AP237" s="544"/>
      <c r="AQ237" s="544"/>
      <c r="AR237" s="544"/>
      <c r="AS237" s="544"/>
      <c r="AT237" s="544"/>
      <c r="AU237" s="544"/>
      <c r="AV237" s="544"/>
      <c r="AW237" s="544"/>
      <c r="AX237" s="544"/>
      <c r="AY237" s="544"/>
      <c r="AZ237" s="544"/>
      <c r="BA237" s="544"/>
      <c r="BB237" s="544"/>
      <c r="BC237" s="544"/>
      <c r="BD237" s="544"/>
      <c r="BE237" s="544"/>
      <c r="BF237" s="544"/>
      <c r="BG237" s="544"/>
      <c r="BH237" s="544"/>
      <c r="BI237" s="544"/>
      <c r="BJ237" s="544"/>
      <c r="BK237" s="544"/>
      <c r="BL237" s="544"/>
      <c r="BM237" s="544"/>
      <c r="BN237" s="544"/>
      <c r="BO237" s="544"/>
      <c r="BP237" s="544"/>
      <c r="BQ237" s="544"/>
      <c r="BR237" s="544"/>
      <c r="BS237" s="544"/>
      <c r="BT237" s="544"/>
      <c r="BU237" s="544"/>
      <c r="BV237" s="544"/>
      <c r="BW237" s="544"/>
      <c r="BX237" s="544"/>
      <c r="BY237" s="544"/>
      <c r="BZ237" s="544"/>
      <c r="CA237" s="544"/>
      <c r="CB237" s="544"/>
      <c r="CC237" s="544"/>
      <c r="CD237" s="544"/>
      <c r="CE237" s="544"/>
      <c r="CF237" s="544"/>
      <c r="CG237" s="544"/>
      <c r="CH237" s="544"/>
      <c r="CI237" s="545"/>
      <c r="CK237" s="1293"/>
    </row>
    <row r="238" spans="1:89" s="1292" customFormat="1" x14ac:dyDescent="0.2">
      <c r="A238" s="1284"/>
      <c r="B238" s="824" t="s">
        <v>517</v>
      </c>
      <c r="C238" s="825" t="s">
        <v>518</v>
      </c>
      <c r="D238" s="821" t="s">
        <v>86</v>
      </c>
      <c r="E238" s="822" t="s">
        <v>236</v>
      </c>
      <c r="F238" s="823">
        <v>2</v>
      </c>
      <c r="G238" s="540"/>
      <c r="H238" s="540"/>
      <c r="I238" s="540">
        <v>5.1997636166684347E-2</v>
      </c>
      <c r="J238" s="540">
        <v>5.1638140472616272E-2</v>
      </c>
      <c r="K238" s="540">
        <v>5.0221067909508789E-2</v>
      </c>
      <c r="L238" s="540">
        <v>5.1152275254813445E-2</v>
      </c>
      <c r="M238" s="544">
        <v>5.6266389641954594E-2</v>
      </c>
      <c r="N238" s="544">
        <v>5.9791137451679022E-2</v>
      </c>
      <c r="O238" s="544">
        <v>6.1538847031309594E-2</v>
      </c>
      <c r="P238" s="544">
        <v>6.3160962909942664E-2</v>
      </c>
      <c r="Q238" s="544">
        <v>6.4600756320166208E-2</v>
      </c>
      <c r="R238" s="544">
        <v>6.5674889319506213E-2</v>
      </c>
      <c r="S238" s="544">
        <v>6.6363349640268895E-2</v>
      </c>
      <c r="T238" s="544">
        <v>6.6999066674307883E-2</v>
      </c>
      <c r="U238" s="544">
        <v>6.7621709648431519E-2</v>
      </c>
      <c r="V238" s="544">
        <v>6.8237568626985975E-2</v>
      </c>
      <c r="W238" s="544">
        <v>6.8842882079252696E-2</v>
      </c>
      <c r="X238" s="544">
        <v>6.9427978872837304E-2</v>
      </c>
      <c r="Y238" s="544">
        <v>6.9992839811579027E-2</v>
      </c>
      <c r="Z238" s="544">
        <v>7.0553198917528009E-2</v>
      </c>
      <c r="AA238" s="544">
        <v>7.1102805273738648E-2</v>
      </c>
      <c r="AB238" s="544">
        <v>7.1645432270766918E-2</v>
      </c>
      <c r="AC238" s="544">
        <v>7.2181293375454286E-2</v>
      </c>
      <c r="AD238" s="544">
        <v>7.2706169287221678E-2</v>
      </c>
      <c r="AE238" s="544">
        <v>7.3218281235474081E-2</v>
      </c>
      <c r="AF238" s="544">
        <v>7.3719051721430298E-2</v>
      </c>
      <c r="AG238" s="544">
        <v>7.4212884113646987E-2</v>
      </c>
      <c r="AH238" s="544">
        <v>7.4699569344514799E-2</v>
      </c>
      <c r="AI238" s="544">
        <v>7.518300499799753E-2</v>
      </c>
      <c r="AJ238" s="544">
        <v>7.5665882401841966E-2</v>
      </c>
      <c r="AK238" s="544">
        <v>7.6147340208382097E-2</v>
      </c>
      <c r="AL238" s="544"/>
      <c r="AM238" s="544"/>
      <c r="AN238" s="544"/>
      <c r="AO238" s="544"/>
      <c r="AP238" s="544"/>
      <c r="AQ238" s="544"/>
      <c r="AR238" s="544"/>
      <c r="AS238" s="544"/>
      <c r="AT238" s="544"/>
      <c r="AU238" s="544"/>
      <c r="AV238" s="544"/>
      <c r="AW238" s="544"/>
      <c r="AX238" s="544"/>
      <c r="AY238" s="544"/>
      <c r="AZ238" s="544"/>
      <c r="BA238" s="544"/>
      <c r="BB238" s="544"/>
      <c r="BC238" s="544"/>
      <c r="BD238" s="544"/>
      <c r="BE238" s="544"/>
      <c r="BF238" s="544"/>
      <c r="BG238" s="544"/>
      <c r="BH238" s="544"/>
      <c r="BI238" s="544"/>
      <c r="BJ238" s="544"/>
      <c r="BK238" s="544"/>
      <c r="BL238" s="544"/>
      <c r="BM238" s="544"/>
      <c r="BN238" s="544"/>
      <c r="BO238" s="544"/>
      <c r="BP238" s="544"/>
      <c r="BQ238" s="544"/>
      <c r="BR238" s="544"/>
      <c r="BS238" s="544"/>
      <c r="BT238" s="544"/>
      <c r="BU238" s="544"/>
      <c r="BV238" s="544"/>
      <c r="BW238" s="544"/>
      <c r="BX238" s="544"/>
      <c r="BY238" s="544"/>
      <c r="BZ238" s="544"/>
      <c r="CA238" s="544"/>
      <c r="CB238" s="544"/>
      <c r="CC238" s="544"/>
      <c r="CD238" s="544"/>
      <c r="CE238" s="544"/>
      <c r="CF238" s="544"/>
      <c r="CG238" s="544"/>
      <c r="CH238" s="544"/>
      <c r="CI238" s="545"/>
      <c r="CK238" s="1293"/>
    </row>
    <row r="239" spans="1:89" s="1292" customFormat="1" x14ac:dyDescent="0.2">
      <c r="A239" s="1284"/>
      <c r="B239" s="824" t="s">
        <v>519</v>
      </c>
      <c r="C239" s="825" t="s">
        <v>520</v>
      </c>
      <c r="D239" s="821" t="s">
        <v>86</v>
      </c>
      <c r="E239" s="822" t="s">
        <v>236</v>
      </c>
      <c r="F239" s="823">
        <v>2</v>
      </c>
      <c r="G239" s="540"/>
      <c r="H239" s="540"/>
      <c r="I239" s="540">
        <v>5.0719380847283273E-2</v>
      </c>
      <c r="J239" s="540">
        <v>4.8171510027997314E-2</v>
      </c>
      <c r="K239" s="540">
        <v>4.5612512091973402E-2</v>
      </c>
      <c r="L239" s="540">
        <v>3.952824767353013E-2</v>
      </c>
      <c r="M239" s="544">
        <v>3.269250479111508E-2</v>
      </c>
      <c r="N239" s="544">
        <v>2.927358074667712E-2</v>
      </c>
      <c r="O239" s="544">
        <v>2.8311937646715146E-2</v>
      </c>
      <c r="P239" s="544">
        <v>2.7350294546753175E-2</v>
      </c>
      <c r="Q239" s="544">
        <v>2.6388651446791197E-2</v>
      </c>
      <c r="R239" s="544">
        <v>2.5870102689164273E-2</v>
      </c>
      <c r="S239" s="544">
        <v>2.5794648273872404E-2</v>
      </c>
      <c r="T239" s="544">
        <v>2.5719193858580534E-2</v>
      </c>
      <c r="U239" s="544">
        <v>2.5643739443288661E-2</v>
      </c>
      <c r="V239" s="544">
        <v>2.5568285027996792E-2</v>
      </c>
      <c r="W239" s="544">
        <v>2.5492830612704923E-2</v>
      </c>
      <c r="X239" s="544">
        <v>2.541737619741305E-2</v>
      </c>
      <c r="Y239" s="544">
        <v>2.534192178212118E-2</v>
      </c>
      <c r="Z239" s="544">
        <v>2.5266467366829311E-2</v>
      </c>
      <c r="AA239" s="544">
        <v>2.5191012951537438E-2</v>
      </c>
      <c r="AB239" s="544">
        <v>2.5115558536245568E-2</v>
      </c>
      <c r="AC239" s="544">
        <v>2.5040104120953696E-2</v>
      </c>
      <c r="AD239" s="544">
        <v>2.496464970566183E-2</v>
      </c>
      <c r="AE239" s="544">
        <v>2.4889195290369957E-2</v>
      </c>
      <c r="AF239" s="544">
        <v>2.4813740875078084E-2</v>
      </c>
      <c r="AG239" s="544">
        <v>2.4738286459786218E-2</v>
      </c>
      <c r="AH239" s="544">
        <v>2.4662832044494345E-2</v>
      </c>
      <c r="AI239" s="544">
        <v>2.4587377629202475E-2</v>
      </c>
      <c r="AJ239" s="544">
        <v>2.4511923213910602E-2</v>
      </c>
      <c r="AK239" s="544">
        <v>2.4436468798618733E-2</v>
      </c>
      <c r="AL239" s="544"/>
      <c r="AM239" s="544"/>
      <c r="AN239" s="544"/>
      <c r="AO239" s="544"/>
      <c r="AP239" s="544"/>
      <c r="AQ239" s="544"/>
      <c r="AR239" s="544"/>
      <c r="AS239" s="544"/>
      <c r="AT239" s="544"/>
      <c r="AU239" s="544"/>
      <c r="AV239" s="544"/>
      <c r="AW239" s="544"/>
      <c r="AX239" s="544"/>
      <c r="AY239" s="544"/>
      <c r="AZ239" s="544"/>
      <c r="BA239" s="544"/>
      <c r="BB239" s="544"/>
      <c r="BC239" s="544"/>
      <c r="BD239" s="544"/>
      <c r="BE239" s="544"/>
      <c r="BF239" s="544"/>
      <c r="BG239" s="544"/>
      <c r="BH239" s="544"/>
      <c r="BI239" s="544"/>
      <c r="BJ239" s="544"/>
      <c r="BK239" s="544"/>
      <c r="BL239" s="544"/>
      <c r="BM239" s="544"/>
      <c r="BN239" s="544"/>
      <c r="BO239" s="544"/>
      <c r="BP239" s="544"/>
      <c r="BQ239" s="544"/>
      <c r="BR239" s="544"/>
      <c r="BS239" s="544"/>
      <c r="BT239" s="544"/>
      <c r="BU239" s="544"/>
      <c r="BV239" s="544"/>
      <c r="BW239" s="544"/>
      <c r="BX239" s="544"/>
      <c r="BY239" s="544"/>
      <c r="BZ239" s="544"/>
      <c r="CA239" s="544"/>
      <c r="CB239" s="544"/>
      <c r="CC239" s="544"/>
      <c r="CD239" s="544"/>
      <c r="CE239" s="544"/>
      <c r="CF239" s="544"/>
      <c r="CG239" s="544"/>
      <c r="CH239" s="544"/>
      <c r="CI239" s="545"/>
      <c r="CK239" s="1293"/>
    </row>
    <row r="240" spans="1:89" s="1292" customFormat="1" x14ac:dyDescent="0.2">
      <c r="A240" s="1284"/>
      <c r="B240" s="824" t="s">
        <v>521</v>
      </c>
      <c r="C240" s="825" t="s">
        <v>522</v>
      </c>
      <c r="D240" s="821" t="s">
        <v>86</v>
      </c>
      <c r="E240" s="822" t="s">
        <v>236</v>
      </c>
      <c r="F240" s="823">
        <v>2</v>
      </c>
      <c r="G240" s="540"/>
      <c r="H240" s="540"/>
      <c r="I240" s="540">
        <v>6.209930051014766E-3</v>
      </c>
      <c r="J240" s="540">
        <v>6.8866947827199492E-3</v>
      </c>
      <c r="K240" s="540">
        <v>6.9126851269414487E-3</v>
      </c>
      <c r="L240" s="540">
        <v>6.914393926802492E-3</v>
      </c>
      <c r="M240" s="544">
        <v>6.9168094170573664E-3</v>
      </c>
      <c r="N240" s="544">
        <v>7.0939391964266645E-3</v>
      </c>
      <c r="O240" s="544">
        <v>7.2154120601236387E-3</v>
      </c>
      <c r="P240" s="544">
        <v>7.3261846311683653E-3</v>
      </c>
      <c r="Q240" s="544">
        <v>7.4214906280053684E-3</v>
      </c>
      <c r="R240" s="544">
        <v>7.5026654152088833E-3</v>
      </c>
      <c r="S240" s="544">
        <v>7.5680088864643865E-3</v>
      </c>
      <c r="T240" s="544">
        <v>7.6288609320484873E-3</v>
      </c>
      <c r="U240" s="544">
        <v>7.6885975477836502E-3</v>
      </c>
      <c r="V240" s="544">
        <v>7.7480164675791299E-3</v>
      </c>
      <c r="W240" s="544">
        <v>7.8065354943561375E-3</v>
      </c>
      <c r="X240" s="544">
        <v>7.8633320973003004E-3</v>
      </c>
      <c r="Y240" s="544">
        <v>7.9184049392107807E-3</v>
      </c>
      <c r="Z240" s="544">
        <v>7.9730926751243013E-3</v>
      </c>
      <c r="AA240" s="544">
        <v>8.0271510786974719E-3</v>
      </c>
      <c r="AB240" s="544">
        <v>8.0806137695132504E-3</v>
      </c>
      <c r="AC240" s="544">
        <v>8.1334990160053678E-3</v>
      </c>
      <c r="AD240" s="544">
        <v>8.1854480790740491E-3</v>
      </c>
      <c r="AE240" s="544">
        <v>8.2363098261065051E-3</v>
      </c>
      <c r="AF240" s="544">
        <v>8.2862053830235431E-3</v>
      </c>
      <c r="AG240" s="544">
        <v>8.3355093414605348E-3</v>
      </c>
      <c r="AH240" s="544">
        <v>8.3842040109611098E-3</v>
      </c>
      <c r="AI240" s="544">
        <v>8.4326209023274888E-3</v>
      </c>
      <c r="AJ240" s="544">
        <v>8.4809889103457936E-3</v>
      </c>
      <c r="AK240" s="544">
        <v>8.5292348225010188E-3</v>
      </c>
      <c r="AL240" s="544"/>
      <c r="AM240" s="544"/>
      <c r="AN240" s="544"/>
      <c r="AO240" s="544"/>
      <c r="AP240" s="544"/>
      <c r="AQ240" s="544"/>
      <c r="AR240" s="544"/>
      <c r="AS240" s="544"/>
      <c r="AT240" s="544"/>
      <c r="AU240" s="544"/>
      <c r="AV240" s="544"/>
      <c r="AW240" s="544"/>
      <c r="AX240" s="544"/>
      <c r="AY240" s="544"/>
      <c r="AZ240" s="544"/>
      <c r="BA240" s="544"/>
      <c r="BB240" s="544"/>
      <c r="BC240" s="544"/>
      <c r="BD240" s="544"/>
      <c r="BE240" s="544"/>
      <c r="BF240" s="544"/>
      <c r="BG240" s="544"/>
      <c r="BH240" s="544"/>
      <c r="BI240" s="544"/>
      <c r="BJ240" s="544"/>
      <c r="BK240" s="544"/>
      <c r="BL240" s="544"/>
      <c r="BM240" s="544"/>
      <c r="BN240" s="544"/>
      <c r="BO240" s="544"/>
      <c r="BP240" s="544"/>
      <c r="BQ240" s="544"/>
      <c r="BR240" s="544"/>
      <c r="BS240" s="544"/>
      <c r="BT240" s="544"/>
      <c r="BU240" s="544"/>
      <c r="BV240" s="544"/>
      <c r="BW240" s="544"/>
      <c r="BX240" s="544"/>
      <c r="BY240" s="544"/>
      <c r="BZ240" s="544"/>
      <c r="CA240" s="544"/>
      <c r="CB240" s="544"/>
      <c r="CC240" s="544"/>
      <c r="CD240" s="544"/>
      <c r="CE240" s="544"/>
      <c r="CF240" s="544"/>
      <c r="CG240" s="544"/>
      <c r="CH240" s="544"/>
      <c r="CI240" s="545"/>
      <c r="CK240" s="1293"/>
    </row>
    <row r="241" spans="1:89" s="1292" customFormat="1" x14ac:dyDescent="0.2">
      <c r="A241" s="1284"/>
      <c r="B241" s="824" t="s">
        <v>523</v>
      </c>
      <c r="C241" s="820" t="s">
        <v>524</v>
      </c>
      <c r="D241" s="821" t="s">
        <v>86</v>
      </c>
      <c r="E241" s="822" t="s">
        <v>236</v>
      </c>
      <c r="F241" s="823">
        <v>2</v>
      </c>
      <c r="G241" s="540"/>
      <c r="H241" s="540"/>
      <c r="I241" s="540">
        <v>1.2054368063652769</v>
      </c>
      <c r="J241" s="540">
        <v>0.69755089831053629</v>
      </c>
      <c r="K241" s="540">
        <v>0.67002171409059152</v>
      </c>
      <c r="L241" s="540">
        <v>0.64373860332205268</v>
      </c>
      <c r="M241" s="544">
        <v>0.64542109760919708</v>
      </c>
      <c r="N241" s="544">
        <v>0.64511157457051993</v>
      </c>
      <c r="O241" s="544">
        <v>0.64417746573313295</v>
      </c>
      <c r="P241" s="544">
        <v>0.64337965088939575</v>
      </c>
      <c r="Q241" s="544">
        <v>0.6427796250882758</v>
      </c>
      <c r="R241" s="544">
        <v>0.64211629656533775</v>
      </c>
      <c r="S241" s="544">
        <v>0.64141137769459</v>
      </c>
      <c r="T241" s="544">
        <v>0.64076369353623741</v>
      </c>
      <c r="U241" s="544">
        <v>0.6401301988676491</v>
      </c>
      <c r="V241" s="544">
        <v>0.63950171139905421</v>
      </c>
      <c r="W241" s="544">
        <v>0.63888466934976551</v>
      </c>
      <c r="X241" s="544">
        <v>0.63828956638299184</v>
      </c>
      <c r="Y241" s="544">
        <v>0.63771642303209464</v>
      </c>
      <c r="Z241" s="544">
        <v>0.63714816661998719</v>
      </c>
      <c r="AA241" s="544">
        <v>0.63659129228995848</v>
      </c>
      <c r="AB241" s="544">
        <v>0.63604199303186948</v>
      </c>
      <c r="AC241" s="544">
        <v>0.635500037110445</v>
      </c>
      <c r="AD241" s="544">
        <v>0.63497000256536396</v>
      </c>
      <c r="AE241" s="544">
        <v>0.63445381929983424</v>
      </c>
      <c r="AF241" s="544">
        <v>0.63394994368671598</v>
      </c>
      <c r="AG241" s="544">
        <v>0.63345359776581733</v>
      </c>
      <c r="AH241" s="544">
        <v>0.63296500829520408</v>
      </c>
      <c r="AI241" s="544">
        <v>0.63247994618010994</v>
      </c>
      <c r="AJ241" s="544">
        <v>0.63199549119800236</v>
      </c>
      <c r="AK241" s="544">
        <v>0.63151257790906201</v>
      </c>
      <c r="AL241" s="544"/>
      <c r="AM241" s="544"/>
      <c r="AN241" s="544"/>
      <c r="AO241" s="544"/>
      <c r="AP241" s="544"/>
      <c r="AQ241" s="544"/>
      <c r="AR241" s="544"/>
      <c r="AS241" s="544"/>
      <c r="AT241" s="544"/>
      <c r="AU241" s="544"/>
      <c r="AV241" s="544"/>
      <c r="AW241" s="544"/>
      <c r="AX241" s="544"/>
      <c r="AY241" s="544"/>
      <c r="AZ241" s="544"/>
      <c r="BA241" s="544"/>
      <c r="BB241" s="544"/>
      <c r="BC241" s="544"/>
      <c r="BD241" s="544"/>
      <c r="BE241" s="544"/>
      <c r="BF241" s="544"/>
      <c r="BG241" s="544"/>
      <c r="BH241" s="544"/>
      <c r="BI241" s="544"/>
      <c r="BJ241" s="544"/>
      <c r="BK241" s="544"/>
      <c r="BL241" s="544"/>
      <c r="BM241" s="544"/>
      <c r="BN241" s="544"/>
      <c r="BO241" s="544"/>
      <c r="BP241" s="544"/>
      <c r="BQ241" s="544"/>
      <c r="BR241" s="544"/>
      <c r="BS241" s="544"/>
      <c r="BT241" s="544"/>
      <c r="BU241" s="544"/>
      <c r="BV241" s="544"/>
      <c r="BW241" s="544"/>
      <c r="BX241" s="544"/>
      <c r="BY241" s="544"/>
      <c r="BZ241" s="544"/>
      <c r="CA241" s="544"/>
      <c r="CB241" s="544"/>
      <c r="CC241" s="544"/>
      <c r="CD241" s="544"/>
      <c r="CE241" s="544"/>
      <c r="CF241" s="544"/>
      <c r="CG241" s="544"/>
      <c r="CH241" s="544"/>
      <c r="CI241" s="545"/>
      <c r="CK241" s="1293"/>
    </row>
    <row r="242" spans="1:89" s="1292" customFormat="1" x14ac:dyDescent="0.2">
      <c r="A242" s="1284"/>
      <c r="B242" s="824" t="s">
        <v>525</v>
      </c>
      <c r="C242" s="820" t="s">
        <v>243</v>
      </c>
      <c r="D242" s="821" t="s">
        <v>526</v>
      </c>
      <c r="E242" s="822" t="s">
        <v>236</v>
      </c>
      <c r="F242" s="823">
        <v>2</v>
      </c>
      <c r="G242" s="547">
        <f>SUM(G236:G241)</f>
        <v>0</v>
      </c>
      <c r="H242" s="547">
        <f t="shared" ref="H242:AK242" si="107">SUM(H236:H241)</f>
        <v>0</v>
      </c>
      <c r="I242" s="547">
        <f t="shared" si="107"/>
        <v>1.3210509183999999</v>
      </c>
      <c r="J242" s="547">
        <f t="shared" si="107"/>
        <v>0.81112059999999986</v>
      </c>
      <c r="K242" s="547">
        <f t="shared" si="107"/>
        <v>0.77940079999999978</v>
      </c>
      <c r="L242" s="547">
        <f t="shared" si="107"/>
        <v>0.74768099999999993</v>
      </c>
      <c r="M242" s="552">
        <f t="shared" si="107"/>
        <v>0.74768099999999993</v>
      </c>
      <c r="N242" s="552">
        <f t="shared" si="107"/>
        <v>0.74768099999999993</v>
      </c>
      <c r="O242" s="552">
        <f t="shared" si="107"/>
        <v>0.74768099999999993</v>
      </c>
      <c r="P242" s="552">
        <f t="shared" si="107"/>
        <v>0.74768099999999993</v>
      </c>
      <c r="Q242" s="552">
        <f t="shared" si="107"/>
        <v>0.74768099999999993</v>
      </c>
      <c r="R242" s="552">
        <f t="shared" si="107"/>
        <v>0.74768099999999993</v>
      </c>
      <c r="S242" s="552">
        <f t="shared" si="107"/>
        <v>0.74768099999999993</v>
      </c>
      <c r="T242" s="552">
        <f t="shared" si="107"/>
        <v>0.74768099999999993</v>
      </c>
      <c r="U242" s="552">
        <f t="shared" si="107"/>
        <v>0.74768099999999993</v>
      </c>
      <c r="V242" s="552">
        <f t="shared" si="107"/>
        <v>0.74768099999999993</v>
      </c>
      <c r="W242" s="552">
        <f t="shared" si="107"/>
        <v>0.74768099999999993</v>
      </c>
      <c r="X242" s="552">
        <f t="shared" si="107"/>
        <v>0.74768099999999993</v>
      </c>
      <c r="Y242" s="552">
        <f t="shared" si="107"/>
        <v>0.74768099999999993</v>
      </c>
      <c r="Z242" s="552">
        <f t="shared" si="107"/>
        <v>0.74768099999999993</v>
      </c>
      <c r="AA242" s="552">
        <f t="shared" si="107"/>
        <v>0.74768099999999993</v>
      </c>
      <c r="AB242" s="552">
        <f t="shared" si="107"/>
        <v>0.74768099999999993</v>
      </c>
      <c r="AC242" s="552">
        <f t="shared" si="107"/>
        <v>0.74768099999999993</v>
      </c>
      <c r="AD242" s="552">
        <f t="shared" si="107"/>
        <v>0.74768099999999982</v>
      </c>
      <c r="AE242" s="552">
        <f t="shared" si="107"/>
        <v>0.74768099999999993</v>
      </c>
      <c r="AF242" s="552">
        <f t="shared" si="107"/>
        <v>0.74768099999999993</v>
      </c>
      <c r="AG242" s="552">
        <f t="shared" si="107"/>
        <v>0.74768099999999993</v>
      </c>
      <c r="AH242" s="552">
        <f t="shared" si="107"/>
        <v>0.74768099999999993</v>
      </c>
      <c r="AI242" s="552">
        <f t="shared" si="107"/>
        <v>0.74768099999999993</v>
      </c>
      <c r="AJ242" s="552">
        <f t="shared" si="107"/>
        <v>0.74768100000000004</v>
      </c>
      <c r="AK242" s="552">
        <f t="shared" si="107"/>
        <v>0.74768099999999993</v>
      </c>
      <c r="AL242" s="552"/>
      <c r="AM242" s="552"/>
      <c r="AN242" s="552"/>
      <c r="AO242" s="552"/>
      <c r="AP242" s="552"/>
      <c r="AQ242" s="552"/>
      <c r="AR242" s="552"/>
      <c r="AS242" s="552"/>
      <c r="AT242" s="552"/>
      <c r="AU242" s="552"/>
      <c r="AV242" s="552"/>
      <c r="AW242" s="552"/>
      <c r="AX242" s="552"/>
      <c r="AY242" s="552"/>
      <c r="AZ242" s="552"/>
      <c r="BA242" s="552"/>
      <c r="BB242" s="552"/>
      <c r="BC242" s="552"/>
      <c r="BD242" s="552"/>
      <c r="BE242" s="552"/>
      <c r="BF242" s="552"/>
      <c r="BG242" s="552"/>
      <c r="BH242" s="552"/>
      <c r="BI242" s="552"/>
      <c r="BJ242" s="552"/>
      <c r="BK242" s="552"/>
      <c r="BL242" s="552"/>
      <c r="BM242" s="552"/>
      <c r="BN242" s="552"/>
      <c r="BO242" s="552"/>
      <c r="BP242" s="552"/>
      <c r="BQ242" s="552"/>
      <c r="BR242" s="552"/>
      <c r="BS242" s="552"/>
      <c r="BT242" s="552"/>
      <c r="BU242" s="552"/>
      <c r="BV242" s="552"/>
      <c r="BW242" s="552"/>
      <c r="BX242" s="552"/>
      <c r="BY242" s="552"/>
      <c r="BZ242" s="552"/>
      <c r="CA242" s="552"/>
      <c r="CB242" s="552"/>
      <c r="CC242" s="552"/>
      <c r="CD242" s="552"/>
      <c r="CE242" s="552"/>
      <c r="CF242" s="552"/>
      <c r="CG242" s="552"/>
      <c r="CH242" s="552"/>
      <c r="CI242" s="548"/>
      <c r="CK242" s="1293"/>
    </row>
    <row r="243" spans="1:89" s="1292" customFormat="1" ht="15" thickBot="1" x14ac:dyDescent="0.25">
      <c r="A243" s="1284"/>
      <c r="B243" s="851" t="s">
        <v>527</v>
      </c>
      <c r="C243" s="852" t="s">
        <v>528</v>
      </c>
      <c r="D243" s="853" t="s">
        <v>529</v>
      </c>
      <c r="E243" s="854" t="s">
        <v>530</v>
      </c>
      <c r="F243" s="832">
        <v>2</v>
      </c>
      <c r="G243" s="559" t="e">
        <f>(G242*1000000)/(G257*1000)</f>
        <v>#DIV/0!</v>
      </c>
      <c r="H243" s="559" t="e">
        <f t="shared" ref="H243:AK243" si="108">(H242*1000000)/(H257*1000)</f>
        <v>#DIV/0!</v>
      </c>
      <c r="I243" s="559">
        <f t="shared" si="108"/>
        <v>108.14989098649201</v>
      </c>
      <c r="J243" s="559">
        <f t="shared" si="108"/>
        <v>65.28526121618647</v>
      </c>
      <c r="K243" s="559">
        <f t="shared" si="108"/>
        <v>62.579721998441961</v>
      </c>
      <c r="L243" s="559">
        <f t="shared" si="108"/>
        <v>59.936829341172228</v>
      </c>
      <c r="M243" s="589">
        <f t="shared" si="108"/>
        <v>59.216113068766141</v>
      </c>
      <c r="N243" s="589">
        <f t="shared" si="108"/>
        <v>57.820681990356881</v>
      </c>
      <c r="O243" s="589">
        <f t="shared" si="108"/>
        <v>56.796353197194939</v>
      </c>
      <c r="P243" s="589">
        <f t="shared" si="108"/>
        <v>55.906153077618811</v>
      </c>
      <c r="Q243" s="589">
        <f t="shared" si="108"/>
        <v>55.181987974273319</v>
      </c>
      <c r="R243" s="589">
        <f t="shared" si="108"/>
        <v>54.563507599904966</v>
      </c>
      <c r="S243" s="589">
        <f t="shared" si="108"/>
        <v>54.058901623251337</v>
      </c>
      <c r="T243" s="589">
        <f t="shared" si="108"/>
        <v>53.601577492195666</v>
      </c>
      <c r="U243" s="589">
        <f t="shared" si="108"/>
        <v>53.16122218907455</v>
      </c>
      <c r="V243" s="589">
        <f t="shared" si="108"/>
        <v>52.732143383115599</v>
      </c>
      <c r="W243" s="589">
        <f t="shared" si="108"/>
        <v>52.317199312526931</v>
      </c>
      <c r="X243" s="589">
        <f t="shared" si="108"/>
        <v>51.922426909968607</v>
      </c>
      <c r="Y243" s="589">
        <f t="shared" si="108"/>
        <v>51.547073187701024</v>
      </c>
      <c r="Z243" s="589">
        <f t="shared" si="108"/>
        <v>51.180082557878855</v>
      </c>
      <c r="AA243" s="589">
        <f t="shared" si="108"/>
        <v>50.823074643003174</v>
      </c>
      <c r="AB243" s="589">
        <f t="shared" si="108"/>
        <v>50.475488982208617</v>
      </c>
      <c r="AC243" s="589">
        <f t="shared" si="108"/>
        <v>50.136906248739258</v>
      </c>
      <c r="AD243" s="589">
        <f t="shared" si="108"/>
        <v>49.809685277302201</v>
      </c>
      <c r="AE243" s="589">
        <f t="shared" si="108"/>
        <v>49.494562821877558</v>
      </c>
      <c r="AF243" s="589">
        <f t="shared" si="108"/>
        <v>49.190297065887904</v>
      </c>
      <c r="AG243" s="589">
        <f t="shared" si="108"/>
        <v>48.893920393566745</v>
      </c>
      <c r="AH243" s="589">
        <f t="shared" si="108"/>
        <v>48.605338908637336</v>
      </c>
      <c r="AI243" s="589">
        <f t="shared" si="108"/>
        <v>48.322056960457459</v>
      </c>
      <c r="AJ243" s="589">
        <f t="shared" si="108"/>
        <v>48.042390704201019</v>
      </c>
      <c r="AK243" s="589">
        <f t="shared" si="108"/>
        <v>47.766764635862032</v>
      </c>
      <c r="AL243" s="589"/>
      <c r="AM243" s="589"/>
      <c r="AN243" s="589"/>
      <c r="AO243" s="589"/>
      <c r="AP243" s="589"/>
      <c r="AQ243" s="589"/>
      <c r="AR243" s="589"/>
      <c r="AS243" s="589"/>
      <c r="AT243" s="589"/>
      <c r="AU243" s="589"/>
      <c r="AV243" s="589"/>
      <c r="AW243" s="589"/>
      <c r="AX243" s="589"/>
      <c r="AY243" s="589"/>
      <c r="AZ243" s="589"/>
      <c r="BA243" s="589"/>
      <c r="BB243" s="589"/>
      <c r="BC243" s="589"/>
      <c r="BD243" s="589"/>
      <c r="BE243" s="589"/>
      <c r="BF243" s="589"/>
      <c r="BG243" s="589"/>
      <c r="BH243" s="589"/>
      <c r="BI243" s="589"/>
      <c r="BJ243" s="589"/>
      <c r="BK243" s="589"/>
      <c r="BL243" s="589"/>
      <c r="BM243" s="589"/>
      <c r="BN243" s="589"/>
      <c r="BO243" s="589"/>
      <c r="BP243" s="589"/>
      <c r="BQ243" s="589"/>
      <c r="BR243" s="589"/>
      <c r="BS243" s="589"/>
      <c r="BT243" s="589"/>
      <c r="BU243" s="589"/>
      <c r="BV243" s="589"/>
      <c r="BW243" s="589"/>
      <c r="BX243" s="589"/>
      <c r="BY243" s="589"/>
      <c r="BZ243" s="589"/>
      <c r="CA243" s="589"/>
      <c r="CB243" s="589"/>
      <c r="CC243" s="589"/>
      <c r="CD243" s="589"/>
      <c r="CE243" s="589"/>
      <c r="CF243" s="589"/>
      <c r="CG243" s="589"/>
      <c r="CH243" s="589"/>
      <c r="CI243" s="560"/>
      <c r="CK243" s="1293"/>
    </row>
    <row r="244" spans="1:89" s="1292" customFormat="1" x14ac:dyDescent="0.2">
      <c r="A244" s="1284"/>
      <c r="B244" s="833" t="s">
        <v>531</v>
      </c>
      <c r="C244" s="834" t="s">
        <v>532</v>
      </c>
      <c r="D244" s="855" t="s">
        <v>86</v>
      </c>
      <c r="E244" s="856" t="s">
        <v>344</v>
      </c>
      <c r="F244" s="857">
        <v>2</v>
      </c>
      <c r="G244" s="593"/>
      <c r="H244" s="593"/>
      <c r="I244" s="593">
        <v>1.014</v>
      </c>
      <c r="J244" s="593">
        <v>0.98031574431569324</v>
      </c>
      <c r="K244" s="593">
        <v>0.9849750066774059</v>
      </c>
      <c r="L244" s="593">
        <v>1.0023965775536272</v>
      </c>
      <c r="M244" s="594">
        <v>1.0229647393385948</v>
      </c>
      <c r="N244" s="594">
        <v>1.0276383775893927</v>
      </c>
      <c r="O244" s="594">
        <v>1.0323120158401904</v>
      </c>
      <c r="P244" s="594">
        <v>1.0369856540909881</v>
      </c>
      <c r="Q244" s="594">
        <v>1.041659292341786</v>
      </c>
      <c r="R244" s="594">
        <v>1.0463329305925837</v>
      </c>
      <c r="S244" s="594">
        <v>1.0510065688433818</v>
      </c>
      <c r="T244" s="594">
        <v>1.0556802070941793</v>
      </c>
      <c r="U244" s="594">
        <v>1.0603538453449775</v>
      </c>
      <c r="V244" s="594">
        <v>1.0650274835957751</v>
      </c>
      <c r="W244" s="594">
        <v>1.0697011218465726</v>
      </c>
      <c r="X244" s="594">
        <v>1.0743747600973708</v>
      </c>
      <c r="Y244" s="594">
        <v>1.0790483983481685</v>
      </c>
      <c r="Z244" s="594">
        <v>1.0837220365989664</v>
      </c>
      <c r="AA244" s="594">
        <v>1.0883956748497641</v>
      </c>
      <c r="AB244" s="594">
        <v>1.093069313100562</v>
      </c>
      <c r="AC244" s="594">
        <v>1.0977429513513597</v>
      </c>
      <c r="AD244" s="594">
        <v>1.1024165896021574</v>
      </c>
      <c r="AE244" s="594">
        <v>1.1070902278529553</v>
      </c>
      <c r="AF244" s="594">
        <v>1.111763866103753</v>
      </c>
      <c r="AG244" s="594">
        <v>1.1164375043545509</v>
      </c>
      <c r="AH244" s="594">
        <v>1.1211111426053486</v>
      </c>
      <c r="AI244" s="594">
        <v>1.1257847808561465</v>
      </c>
      <c r="AJ244" s="594">
        <v>1.1304584191069442</v>
      </c>
      <c r="AK244" s="594">
        <v>1.1351320573577419</v>
      </c>
      <c r="AL244" s="594"/>
      <c r="AM244" s="594"/>
      <c r="AN244" s="594"/>
      <c r="AO244" s="594"/>
      <c r="AP244" s="594"/>
      <c r="AQ244" s="594"/>
      <c r="AR244" s="594"/>
      <c r="AS244" s="594"/>
      <c r="AT244" s="594"/>
      <c r="AU244" s="594"/>
      <c r="AV244" s="594"/>
      <c r="AW244" s="594"/>
      <c r="AX244" s="594"/>
      <c r="AY244" s="594"/>
      <c r="AZ244" s="594"/>
      <c r="BA244" s="594"/>
      <c r="BB244" s="594"/>
      <c r="BC244" s="594"/>
      <c r="BD244" s="594"/>
      <c r="BE244" s="594"/>
      <c r="BF244" s="594"/>
      <c r="BG244" s="594"/>
      <c r="BH244" s="594"/>
      <c r="BI244" s="594"/>
      <c r="BJ244" s="594"/>
      <c r="BK244" s="594"/>
      <c r="BL244" s="594"/>
      <c r="BM244" s="594"/>
      <c r="BN244" s="594"/>
      <c r="BO244" s="594"/>
      <c r="BP244" s="594"/>
      <c r="BQ244" s="594"/>
      <c r="BR244" s="594"/>
      <c r="BS244" s="594"/>
      <c r="BT244" s="594"/>
      <c r="BU244" s="594"/>
      <c r="BV244" s="594"/>
      <c r="BW244" s="594"/>
      <c r="BX244" s="594"/>
      <c r="BY244" s="594"/>
      <c r="BZ244" s="594"/>
      <c r="CA244" s="594"/>
      <c r="CB244" s="594"/>
      <c r="CC244" s="594"/>
      <c r="CD244" s="594"/>
      <c r="CE244" s="594"/>
      <c r="CF244" s="594"/>
      <c r="CG244" s="594"/>
      <c r="CH244" s="594"/>
      <c r="CI244" s="595"/>
      <c r="CK244" s="1293"/>
    </row>
    <row r="245" spans="1:89" s="1292" customFormat="1" x14ac:dyDescent="0.2">
      <c r="A245" s="1284"/>
      <c r="B245" s="837" t="s">
        <v>533</v>
      </c>
      <c r="C245" s="838" t="s">
        <v>534</v>
      </c>
      <c r="D245" s="858" t="s">
        <v>86</v>
      </c>
      <c r="E245" s="844" t="s">
        <v>344</v>
      </c>
      <c r="F245" s="845">
        <v>2</v>
      </c>
      <c r="G245" s="597"/>
      <c r="H245" s="597"/>
      <c r="I245" s="597">
        <v>2.5000000000000001E-2</v>
      </c>
      <c r="J245" s="597">
        <v>2.4537662498036496E-2</v>
      </c>
      <c r="K245" s="597">
        <v>2.4426054805893868E-2</v>
      </c>
      <c r="L245" s="597">
        <v>1.5149974863556437E-2</v>
      </c>
      <c r="M245" s="598">
        <v>8.3642927414918616E-3</v>
      </c>
      <c r="N245" s="598">
        <v>8.2053659268648289E-3</v>
      </c>
      <c r="O245" s="598">
        <v>8.0464391122377962E-3</v>
      </c>
      <c r="P245" s="598">
        <v>7.88751229761076E-3</v>
      </c>
      <c r="Q245" s="598">
        <v>7.7285854829837264E-3</v>
      </c>
      <c r="R245" s="598">
        <v>7.569658668356692E-3</v>
      </c>
      <c r="S245" s="598">
        <v>7.4107318537296575E-3</v>
      </c>
      <c r="T245" s="598">
        <v>7.2518050391026231E-3</v>
      </c>
      <c r="U245" s="598">
        <v>7.0928782244755887E-3</v>
      </c>
      <c r="V245" s="598">
        <v>7.0928782244755887E-3</v>
      </c>
      <c r="W245" s="598">
        <v>7.0928782244755887E-3</v>
      </c>
      <c r="X245" s="598">
        <v>7.0928782244755887E-3</v>
      </c>
      <c r="Y245" s="598">
        <v>7.0928782244755887E-3</v>
      </c>
      <c r="Z245" s="598">
        <v>7.0928782244755887E-3</v>
      </c>
      <c r="AA245" s="598">
        <v>7.0928782244755887E-3</v>
      </c>
      <c r="AB245" s="598">
        <v>7.0928782244755887E-3</v>
      </c>
      <c r="AC245" s="598">
        <v>7.0928782244755887E-3</v>
      </c>
      <c r="AD245" s="598">
        <v>7.0928782244755887E-3</v>
      </c>
      <c r="AE245" s="598">
        <v>7.0928782244755887E-3</v>
      </c>
      <c r="AF245" s="598">
        <v>7.0928782244755887E-3</v>
      </c>
      <c r="AG245" s="598">
        <v>7.0928782244755887E-3</v>
      </c>
      <c r="AH245" s="598">
        <v>7.0928782244755887E-3</v>
      </c>
      <c r="AI245" s="598">
        <v>7.0928782244755887E-3</v>
      </c>
      <c r="AJ245" s="598">
        <v>7.0928782244755887E-3</v>
      </c>
      <c r="AK245" s="598">
        <v>7.0928782244755887E-3</v>
      </c>
      <c r="AL245" s="598"/>
      <c r="AM245" s="598"/>
      <c r="AN245" s="598"/>
      <c r="AO245" s="598"/>
      <c r="AP245" s="598"/>
      <c r="AQ245" s="598"/>
      <c r="AR245" s="598"/>
      <c r="AS245" s="598"/>
      <c r="AT245" s="598"/>
      <c r="AU245" s="598"/>
      <c r="AV245" s="598"/>
      <c r="AW245" s="598"/>
      <c r="AX245" s="598"/>
      <c r="AY245" s="598"/>
      <c r="AZ245" s="598"/>
      <c r="BA245" s="598"/>
      <c r="BB245" s="598"/>
      <c r="BC245" s="598"/>
      <c r="BD245" s="598"/>
      <c r="BE245" s="598"/>
      <c r="BF245" s="598"/>
      <c r="BG245" s="598"/>
      <c r="BH245" s="598"/>
      <c r="BI245" s="598"/>
      <c r="BJ245" s="598"/>
      <c r="BK245" s="598"/>
      <c r="BL245" s="598"/>
      <c r="BM245" s="598"/>
      <c r="BN245" s="598"/>
      <c r="BO245" s="598"/>
      <c r="BP245" s="598"/>
      <c r="BQ245" s="598"/>
      <c r="BR245" s="598"/>
      <c r="BS245" s="598"/>
      <c r="BT245" s="598"/>
      <c r="BU245" s="598"/>
      <c r="BV245" s="598"/>
      <c r="BW245" s="598"/>
      <c r="BX245" s="598"/>
      <c r="BY245" s="598"/>
      <c r="BZ245" s="598"/>
      <c r="CA245" s="598"/>
      <c r="CB245" s="598"/>
      <c r="CC245" s="598"/>
      <c r="CD245" s="598"/>
      <c r="CE245" s="598"/>
      <c r="CF245" s="598"/>
      <c r="CG245" s="598"/>
      <c r="CH245" s="598"/>
      <c r="CI245" s="599"/>
      <c r="CK245" s="1293"/>
    </row>
    <row r="246" spans="1:89" s="1292" customFormat="1" x14ac:dyDescent="0.2">
      <c r="A246" s="1284"/>
      <c r="B246" s="859" t="s">
        <v>535</v>
      </c>
      <c r="C246" s="860" t="s">
        <v>536</v>
      </c>
      <c r="D246" s="858" t="s">
        <v>86</v>
      </c>
      <c r="E246" s="844" t="s">
        <v>344</v>
      </c>
      <c r="F246" s="845">
        <v>2</v>
      </c>
      <c r="G246" s="597"/>
      <c r="H246" s="597"/>
      <c r="I246" s="597">
        <v>0.11</v>
      </c>
      <c r="J246" s="597">
        <v>0.14776366643834205</v>
      </c>
      <c r="K246" s="597">
        <v>0.14833308502084383</v>
      </c>
      <c r="L246" s="597">
        <v>0.14530466733903188</v>
      </c>
      <c r="M246" s="598">
        <v>0.13663926092820045</v>
      </c>
      <c r="N246" s="598">
        <v>0.13724162274410151</v>
      </c>
      <c r="O246" s="598">
        <v>0.13784398456000252</v>
      </c>
      <c r="P246" s="598">
        <v>0.13844634637590361</v>
      </c>
      <c r="Q246" s="598">
        <v>0.13904870819180465</v>
      </c>
      <c r="R246" s="598">
        <v>0.13965107000770569</v>
      </c>
      <c r="S246" s="598">
        <v>0.14025343182360675</v>
      </c>
      <c r="T246" s="598">
        <v>0.14085579363950776</v>
      </c>
      <c r="U246" s="598">
        <v>0.14145815545540885</v>
      </c>
      <c r="V246" s="598">
        <v>0.14207817580626844</v>
      </c>
      <c r="W246" s="598">
        <v>0.14269819615712806</v>
      </c>
      <c r="X246" s="598">
        <v>0.14331821650798765</v>
      </c>
      <c r="Y246" s="598">
        <v>0.14393823685884727</v>
      </c>
      <c r="Z246" s="598">
        <v>0.14455825720970689</v>
      </c>
      <c r="AA246" s="598">
        <v>0.14517827756056648</v>
      </c>
      <c r="AB246" s="598">
        <v>0.14579829791142609</v>
      </c>
      <c r="AC246" s="598">
        <v>0.14641831826228568</v>
      </c>
      <c r="AD246" s="598">
        <v>0.1470383386131453</v>
      </c>
      <c r="AE246" s="598">
        <v>0.14765835896400489</v>
      </c>
      <c r="AF246" s="598">
        <v>0.14827837931486451</v>
      </c>
      <c r="AG246" s="598">
        <v>0.14889839966572413</v>
      </c>
      <c r="AH246" s="598">
        <v>0.14951842001658372</v>
      </c>
      <c r="AI246" s="598">
        <v>0.15013844036744334</v>
      </c>
      <c r="AJ246" s="598">
        <v>0.15075846071830293</v>
      </c>
      <c r="AK246" s="598">
        <v>0.15137848106916255</v>
      </c>
      <c r="AL246" s="598"/>
      <c r="AM246" s="598"/>
      <c r="AN246" s="598"/>
      <c r="AO246" s="598"/>
      <c r="AP246" s="598"/>
      <c r="AQ246" s="598"/>
      <c r="AR246" s="598"/>
      <c r="AS246" s="598"/>
      <c r="AT246" s="598"/>
      <c r="AU246" s="598"/>
      <c r="AV246" s="598"/>
      <c r="AW246" s="598"/>
      <c r="AX246" s="598"/>
      <c r="AY246" s="598"/>
      <c r="AZ246" s="598"/>
      <c r="BA246" s="598"/>
      <c r="BB246" s="598"/>
      <c r="BC246" s="598"/>
      <c r="BD246" s="598"/>
      <c r="BE246" s="598"/>
      <c r="BF246" s="598"/>
      <c r="BG246" s="598"/>
      <c r="BH246" s="598"/>
      <c r="BI246" s="598"/>
      <c r="BJ246" s="598"/>
      <c r="BK246" s="598"/>
      <c r="BL246" s="598"/>
      <c r="BM246" s="598"/>
      <c r="BN246" s="598"/>
      <c r="BO246" s="598"/>
      <c r="BP246" s="598"/>
      <c r="BQ246" s="598"/>
      <c r="BR246" s="598"/>
      <c r="BS246" s="598"/>
      <c r="BT246" s="598"/>
      <c r="BU246" s="598"/>
      <c r="BV246" s="598"/>
      <c r="BW246" s="598"/>
      <c r="BX246" s="598"/>
      <c r="BY246" s="598"/>
      <c r="BZ246" s="598"/>
      <c r="CA246" s="598"/>
      <c r="CB246" s="598"/>
      <c r="CC246" s="598"/>
      <c r="CD246" s="598"/>
      <c r="CE246" s="598"/>
      <c r="CF246" s="598"/>
      <c r="CG246" s="598"/>
      <c r="CH246" s="598"/>
      <c r="CI246" s="599"/>
      <c r="CK246" s="1293"/>
    </row>
    <row r="247" spans="1:89" s="1292" customFormat="1" ht="28.5" x14ac:dyDescent="0.2">
      <c r="A247" s="1284"/>
      <c r="B247" s="859" t="s">
        <v>537</v>
      </c>
      <c r="C247" s="860" t="s">
        <v>538</v>
      </c>
      <c r="D247" s="602" t="s">
        <v>539</v>
      </c>
      <c r="E247" s="603" t="s">
        <v>344</v>
      </c>
      <c r="F247" s="604">
        <v>2</v>
      </c>
      <c r="G247" s="597"/>
      <c r="H247" s="597"/>
      <c r="I247" s="597">
        <v>7.3440000000000003</v>
      </c>
      <c r="J247" s="552">
        <f t="shared" ref="J247:L247" si="109">I247+SUM(J248:J253)</f>
        <v>7.5865449684765069</v>
      </c>
      <c r="K247" s="552">
        <f t="shared" si="109"/>
        <v>7.6596690797111844</v>
      </c>
      <c r="L247" s="552">
        <f t="shared" si="109"/>
        <v>7.9921755713071558</v>
      </c>
      <c r="M247" s="552">
        <f t="shared" ref="M247" si="110">L247+SUM(M248:M253)</f>
        <v>8.6487425229360451</v>
      </c>
      <c r="N247" s="552">
        <f t="shared" ref="N247" si="111">M247+SUM(N248:N253)</f>
        <v>9.1964481319821498</v>
      </c>
      <c r="O247" s="552">
        <f t="shared" ref="O247" si="112">N247+SUM(O248:O253)</f>
        <v>9.4899375312493799</v>
      </c>
      <c r="P247" s="552">
        <f t="shared" ref="P247" si="113">O247+SUM(P248:P253)</f>
        <v>9.7605503152469293</v>
      </c>
      <c r="Q247" s="552">
        <f t="shared" ref="Q247" si="114">P247+SUM(Q248:Q253)</f>
        <v>9.9980964459118002</v>
      </c>
      <c r="R247" s="552">
        <f t="shared" ref="R247" si="115">Q247+SUM(R248:R253)</f>
        <v>10.181047243456462</v>
      </c>
      <c r="S247" s="552">
        <f t="shared" ref="S247" si="116">R247+SUM(S248:S253)</f>
        <v>10.305767977566617</v>
      </c>
      <c r="T247" s="552">
        <f t="shared" ref="T247" si="117">S247+SUM(T248:T253)</f>
        <v>10.420886299814192</v>
      </c>
      <c r="U247" s="552">
        <f t="shared" ref="U247" si="118">T247+SUM(U248:U253)</f>
        <v>10.533619896676786</v>
      </c>
      <c r="V247" s="552">
        <f t="shared" ref="V247" si="119">U247+SUM(V248:V253)</f>
        <v>10.645113409038391</v>
      </c>
      <c r="W247" s="552">
        <f t="shared" ref="W247" si="120">V247+SUM(W248:W253)</f>
        <v>10.7546830014628</v>
      </c>
      <c r="X247" s="552">
        <f t="shared" ref="X247" si="121">W247+SUM(X248:X253)</f>
        <v>10.860570149991901</v>
      </c>
      <c r="Y247" s="552">
        <f t="shared" ref="Y247" si="122">X247+SUM(Y248:Y253)</f>
        <v>10.962771995766582</v>
      </c>
      <c r="Z247" s="552">
        <f t="shared" ref="Z247" si="123">Y247+SUM(Z248:Z253)</f>
        <v>11.064150506888945</v>
      </c>
      <c r="AA247" s="552">
        <f t="shared" ref="AA247" si="124">Z247+SUM(AA248:AA253)</f>
        <v>11.164183541369237</v>
      </c>
      <c r="AB247" s="552">
        <f t="shared" ref="AB247" si="125">AA247+SUM(AB248:AB253)</f>
        <v>11.262942975957918</v>
      </c>
      <c r="AC247" s="552">
        <f t="shared" ref="AC247" si="126">AB247+SUM(AC248:AC253)</f>
        <v>11.360467867524145</v>
      </c>
      <c r="AD247" s="552">
        <f t="shared" ref="AD247" si="127">AC247+SUM(AD248:AD253)</f>
        <v>11.455991252337629</v>
      </c>
      <c r="AE247" s="552">
        <f t="shared" ref="AE247" si="128">AD247+SUM(AE248:AE253)</f>
        <v>11.549190017493906</v>
      </c>
      <c r="AF247" s="552">
        <f t="shared" ref="AF247" si="129">AE247+SUM(AF248:AF253)</f>
        <v>11.640323123301783</v>
      </c>
      <c r="AG247" s="552">
        <f t="shared" ref="AG247" si="130">AF247+SUM(AG248:AG253)</f>
        <v>11.730191425308295</v>
      </c>
      <c r="AH247" s="552">
        <f t="shared" ref="AH247" si="131">AG247+SUM(AH248:AH253)</f>
        <v>11.818757102326934</v>
      </c>
      <c r="AI247" s="552">
        <f t="shared" ref="AI247" si="132">AH247+SUM(AI248:AI253)</f>
        <v>11.906728905541105</v>
      </c>
      <c r="AJ247" s="552">
        <f t="shared" ref="AJ247" si="133">AI247+SUM(AJ248:AJ253)</f>
        <v>11.994596198945739</v>
      </c>
      <c r="AK247" s="552">
        <f t="shared" ref="AK247" si="134">AJ247+SUM(AK248:AK253)</f>
        <v>12.082202458360332</v>
      </c>
      <c r="AL247" s="552"/>
      <c r="AM247" s="552"/>
      <c r="AN247" s="552"/>
      <c r="AO247" s="552"/>
      <c r="AP247" s="552"/>
      <c r="AQ247" s="552"/>
      <c r="AR247" s="552"/>
      <c r="AS247" s="552"/>
      <c r="AT247" s="552"/>
      <c r="AU247" s="552"/>
      <c r="AV247" s="552"/>
      <c r="AW247" s="552"/>
      <c r="AX247" s="552"/>
      <c r="AY247" s="552"/>
      <c r="AZ247" s="552"/>
      <c r="BA247" s="552"/>
      <c r="BB247" s="552"/>
      <c r="BC247" s="552"/>
      <c r="BD247" s="552"/>
      <c r="BE247" s="552"/>
      <c r="BF247" s="552"/>
      <c r="BG247" s="552"/>
      <c r="BH247" s="552"/>
      <c r="BI247" s="552"/>
      <c r="BJ247" s="552"/>
      <c r="BK247" s="552"/>
      <c r="BL247" s="552"/>
      <c r="BM247" s="552"/>
      <c r="BN247" s="552"/>
      <c r="BO247" s="552"/>
      <c r="BP247" s="552"/>
      <c r="BQ247" s="552"/>
      <c r="BR247" s="552"/>
      <c r="BS247" s="552"/>
      <c r="BT247" s="552"/>
      <c r="BU247" s="552"/>
      <c r="BV247" s="552"/>
      <c r="BW247" s="552"/>
      <c r="BX247" s="552"/>
      <c r="BY247" s="552"/>
      <c r="BZ247" s="552"/>
      <c r="CA247" s="552"/>
      <c r="CB247" s="552"/>
      <c r="CC247" s="552"/>
      <c r="CD247" s="552"/>
      <c r="CE247" s="552"/>
      <c r="CF247" s="552"/>
      <c r="CG247" s="552"/>
      <c r="CH247" s="552"/>
      <c r="CI247" s="548"/>
      <c r="CK247" s="1293"/>
    </row>
    <row r="248" spans="1:89" s="1292" customFormat="1" x14ac:dyDescent="0.2">
      <c r="A248" s="1284"/>
      <c r="B248" s="859" t="s">
        <v>540</v>
      </c>
      <c r="C248" s="860" t="s">
        <v>541</v>
      </c>
      <c r="D248" s="602" t="s">
        <v>542</v>
      </c>
      <c r="E248" s="603" t="s">
        <v>344</v>
      </c>
      <c r="F248" s="604">
        <v>2</v>
      </c>
      <c r="G248" s="597"/>
      <c r="H248" s="597"/>
      <c r="I248" s="597">
        <v>0.115</v>
      </c>
      <c r="J248" s="597">
        <v>0.20896027825484997</v>
      </c>
      <c r="K248" s="597">
        <v>2.8480759731273793E-2</v>
      </c>
      <c r="L248" s="597">
        <v>1.8164601843074706E-2</v>
      </c>
      <c r="M248" s="598">
        <v>0.14929849552025007</v>
      </c>
      <c r="N248" s="598">
        <v>0.30219266443827475</v>
      </c>
      <c r="O248" s="598">
        <v>0.23068482350819977</v>
      </c>
      <c r="P248" s="598">
        <v>0.20708795498415203</v>
      </c>
      <c r="Q248" s="598">
        <v>0.1731568079605986</v>
      </c>
      <c r="R248" s="598">
        <v>0.15123160265419938</v>
      </c>
      <c r="S248" s="598">
        <v>0.12555723024699911</v>
      </c>
      <c r="T248" s="598">
        <v>0.11565249357315224</v>
      </c>
      <c r="U248" s="598">
        <v>0.11319268687919976</v>
      </c>
      <c r="V248" s="598">
        <v>0.11191355923799892</v>
      </c>
      <c r="W248" s="598">
        <v>0.10992906610937643</v>
      </c>
      <c r="X248" s="598">
        <v>0.10613068320087404</v>
      </c>
      <c r="Y248" s="598">
        <v>0.10232935142419956</v>
      </c>
      <c r="Z248" s="598">
        <v>0.1014800946913765</v>
      </c>
      <c r="AA248" s="598">
        <v>0.1009751834636736</v>
      </c>
      <c r="AB248" s="598">
        <v>9.9661485224651181E-2</v>
      </c>
      <c r="AC248" s="598">
        <v>9.838807353132506E-2</v>
      </c>
      <c r="AD248" s="598">
        <v>9.6323550823848567E-2</v>
      </c>
      <c r="AE248" s="598">
        <v>9.3925742241899576E-2</v>
      </c>
      <c r="AF248" s="598">
        <v>9.1795047141902619E-2</v>
      </c>
      <c r="AG248" s="598">
        <v>9.0490421931497617E-2</v>
      </c>
      <c r="AH248" s="598">
        <v>8.9146784762600878E-2</v>
      </c>
      <c r="AI248" s="598">
        <v>8.8534213282126073E-2</v>
      </c>
      <c r="AJ248" s="598">
        <v>8.8426413058798059E-2</v>
      </c>
      <c r="AK248" s="598">
        <v>8.8157160607301194E-2</v>
      </c>
      <c r="AL248" s="598"/>
      <c r="AM248" s="598"/>
      <c r="AN248" s="598"/>
      <c r="AO248" s="598"/>
      <c r="AP248" s="598"/>
      <c r="AQ248" s="598"/>
      <c r="AR248" s="598"/>
      <c r="AS248" s="598"/>
      <c r="AT248" s="598"/>
      <c r="AU248" s="598"/>
      <c r="AV248" s="598"/>
      <c r="AW248" s="598"/>
      <c r="AX248" s="598"/>
      <c r="AY248" s="598"/>
      <c r="AZ248" s="598"/>
      <c r="BA248" s="598"/>
      <c r="BB248" s="598"/>
      <c r="BC248" s="598"/>
      <c r="BD248" s="598"/>
      <c r="BE248" s="598"/>
      <c r="BF248" s="598"/>
      <c r="BG248" s="598"/>
      <c r="BH248" s="598"/>
      <c r="BI248" s="598"/>
      <c r="BJ248" s="598"/>
      <c r="BK248" s="598"/>
      <c r="BL248" s="598"/>
      <c r="BM248" s="598"/>
      <c r="BN248" s="598"/>
      <c r="BO248" s="598"/>
      <c r="BP248" s="598"/>
      <c r="BQ248" s="598"/>
      <c r="BR248" s="598"/>
      <c r="BS248" s="598"/>
      <c r="BT248" s="598"/>
      <c r="BU248" s="598"/>
      <c r="BV248" s="598"/>
      <c r="BW248" s="598"/>
      <c r="BX248" s="598"/>
      <c r="BY248" s="598"/>
      <c r="BZ248" s="598"/>
      <c r="CA248" s="598"/>
      <c r="CB248" s="598"/>
      <c r="CC248" s="598"/>
      <c r="CD248" s="598"/>
      <c r="CE248" s="598"/>
      <c r="CF248" s="598"/>
      <c r="CG248" s="598"/>
      <c r="CH248" s="598"/>
      <c r="CI248" s="599"/>
      <c r="CK248" s="1293"/>
    </row>
    <row r="249" spans="1:89" s="1292" customFormat="1" x14ac:dyDescent="0.2">
      <c r="A249" s="1284"/>
      <c r="B249" s="859" t="s">
        <v>543</v>
      </c>
      <c r="C249" s="860" t="s">
        <v>544</v>
      </c>
      <c r="D249" s="602" t="s">
        <v>545</v>
      </c>
      <c r="E249" s="603" t="s">
        <v>344</v>
      </c>
      <c r="F249" s="604">
        <v>2</v>
      </c>
      <c r="G249" s="597"/>
      <c r="H249" s="597"/>
      <c r="I249" s="597">
        <v>0</v>
      </c>
      <c r="J249" s="597">
        <v>4.3630818481489524E-2</v>
      </c>
      <c r="K249" s="597">
        <v>4.8000000000000001E-2</v>
      </c>
      <c r="L249" s="597">
        <v>0.30599999999999999</v>
      </c>
      <c r="M249" s="598">
        <v>0.50802924746961042</v>
      </c>
      <c r="N249" s="598">
        <v>0.26134631738673691</v>
      </c>
      <c r="O249" s="598">
        <v>7.0634139834253221E-2</v>
      </c>
      <c r="P249" s="598">
        <v>7.0634139834253221E-2</v>
      </c>
      <c r="Q249" s="598">
        <v>7.0634139834253221E-2</v>
      </c>
      <c r="R249" s="598">
        <v>3.7745118473929064E-2</v>
      </c>
      <c r="S249" s="598">
        <v>4.8560971136049087E-3</v>
      </c>
      <c r="T249" s="598">
        <v>4.8560971136049087E-3</v>
      </c>
      <c r="U249" s="598">
        <v>4.8560971136049087E-3</v>
      </c>
      <c r="V249" s="598">
        <v>4.8560971136049087E-3</v>
      </c>
      <c r="W249" s="598">
        <v>4.8560971136049087E-3</v>
      </c>
      <c r="X249" s="598">
        <v>4.8560971136049087E-3</v>
      </c>
      <c r="Y249" s="598">
        <v>4.8560971136049087E-3</v>
      </c>
      <c r="Z249" s="598">
        <v>4.8560971136049087E-3</v>
      </c>
      <c r="AA249" s="598">
        <v>4.8560971136049087E-3</v>
      </c>
      <c r="AB249" s="598">
        <v>4.8560971136049087E-3</v>
      </c>
      <c r="AC249" s="598">
        <v>4.8560971136049087E-3</v>
      </c>
      <c r="AD249" s="598">
        <v>4.8560971136049087E-3</v>
      </c>
      <c r="AE249" s="598">
        <v>4.8560971136049087E-3</v>
      </c>
      <c r="AF249" s="598">
        <v>4.8560971136049087E-3</v>
      </c>
      <c r="AG249" s="598">
        <v>4.8560971136049087E-3</v>
      </c>
      <c r="AH249" s="598">
        <v>4.8560971136049087E-3</v>
      </c>
      <c r="AI249" s="598">
        <v>4.8560971136049087E-3</v>
      </c>
      <c r="AJ249" s="598">
        <v>4.8560971136049087E-3</v>
      </c>
      <c r="AK249" s="598">
        <v>4.8560971136049087E-3</v>
      </c>
      <c r="AL249" s="598"/>
      <c r="AM249" s="598"/>
      <c r="AN249" s="598"/>
      <c r="AO249" s="598"/>
      <c r="AP249" s="598"/>
      <c r="AQ249" s="598"/>
      <c r="AR249" s="598"/>
      <c r="AS249" s="598"/>
      <c r="AT249" s="598"/>
      <c r="AU249" s="598"/>
      <c r="AV249" s="598"/>
      <c r="AW249" s="598"/>
      <c r="AX249" s="598"/>
      <c r="AY249" s="598"/>
      <c r="AZ249" s="598"/>
      <c r="BA249" s="598"/>
      <c r="BB249" s="598"/>
      <c r="BC249" s="598"/>
      <c r="BD249" s="598"/>
      <c r="BE249" s="598"/>
      <c r="BF249" s="598"/>
      <c r="BG249" s="598"/>
      <c r="BH249" s="598"/>
      <c r="BI249" s="598"/>
      <c r="BJ249" s="598"/>
      <c r="BK249" s="598"/>
      <c r="BL249" s="598"/>
      <c r="BM249" s="598"/>
      <c r="BN249" s="598"/>
      <c r="BO249" s="598"/>
      <c r="BP249" s="598"/>
      <c r="BQ249" s="598"/>
      <c r="BR249" s="598"/>
      <c r="BS249" s="598"/>
      <c r="BT249" s="598"/>
      <c r="BU249" s="598"/>
      <c r="BV249" s="598"/>
      <c r="BW249" s="598"/>
      <c r="BX249" s="598"/>
      <c r="BY249" s="598"/>
      <c r="BZ249" s="598"/>
      <c r="CA249" s="598"/>
      <c r="CB249" s="598"/>
      <c r="CC249" s="598"/>
      <c r="CD249" s="598"/>
      <c r="CE249" s="598"/>
      <c r="CF249" s="598"/>
      <c r="CG249" s="598"/>
      <c r="CH249" s="598"/>
      <c r="CI249" s="599"/>
      <c r="CK249" s="1293"/>
    </row>
    <row r="250" spans="1:89" s="1292" customFormat="1" ht="28.5" x14ac:dyDescent="0.2">
      <c r="A250" s="1284"/>
      <c r="B250" s="859" t="s">
        <v>546</v>
      </c>
      <c r="C250" s="860" t="s">
        <v>547</v>
      </c>
      <c r="D250" s="602" t="s">
        <v>548</v>
      </c>
      <c r="E250" s="603" t="s">
        <v>344</v>
      </c>
      <c r="F250" s="604">
        <v>2</v>
      </c>
      <c r="G250" s="597"/>
      <c r="H250" s="597"/>
      <c r="I250" s="597">
        <v>0</v>
      </c>
      <c r="J250" s="597">
        <v>0</v>
      </c>
      <c r="K250" s="597">
        <v>0</v>
      </c>
      <c r="L250" s="597">
        <v>0</v>
      </c>
      <c r="M250" s="598">
        <v>0</v>
      </c>
      <c r="N250" s="598">
        <v>0</v>
      </c>
      <c r="O250" s="598">
        <v>3.0000000000000001E-3</v>
      </c>
      <c r="P250" s="598">
        <v>3.0000000000000001E-3</v>
      </c>
      <c r="Q250" s="598">
        <v>3.0000000000000001E-3</v>
      </c>
      <c r="R250" s="598">
        <v>1.5E-3</v>
      </c>
      <c r="S250" s="598">
        <v>0</v>
      </c>
      <c r="T250" s="598">
        <v>0</v>
      </c>
      <c r="U250" s="598">
        <v>0</v>
      </c>
      <c r="V250" s="598">
        <v>0</v>
      </c>
      <c r="W250" s="598">
        <v>0</v>
      </c>
      <c r="X250" s="598">
        <v>0</v>
      </c>
      <c r="Y250" s="598">
        <v>0</v>
      </c>
      <c r="Z250" s="598">
        <v>0</v>
      </c>
      <c r="AA250" s="598">
        <v>0</v>
      </c>
      <c r="AB250" s="598">
        <v>0</v>
      </c>
      <c r="AC250" s="598">
        <v>0</v>
      </c>
      <c r="AD250" s="598">
        <v>0</v>
      </c>
      <c r="AE250" s="598">
        <v>0</v>
      </c>
      <c r="AF250" s="598">
        <v>0</v>
      </c>
      <c r="AG250" s="598">
        <v>0</v>
      </c>
      <c r="AH250" s="598">
        <v>0</v>
      </c>
      <c r="AI250" s="598">
        <v>0</v>
      </c>
      <c r="AJ250" s="598">
        <v>0</v>
      </c>
      <c r="AK250" s="598">
        <v>0</v>
      </c>
      <c r="AL250" s="598"/>
      <c r="AM250" s="598"/>
      <c r="AN250" s="598"/>
      <c r="AO250" s="598"/>
      <c r="AP250" s="598"/>
      <c r="AQ250" s="598"/>
      <c r="AR250" s="598"/>
      <c r="AS250" s="598"/>
      <c r="AT250" s="598"/>
      <c r="AU250" s="598"/>
      <c r="AV250" s="598"/>
      <c r="AW250" s="598"/>
      <c r="AX250" s="598"/>
      <c r="AY250" s="598"/>
      <c r="AZ250" s="598"/>
      <c r="BA250" s="598"/>
      <c r="BB250" s="598"/>
      <c r="BC250" s="598"/>
      <c r="BD250" s="598"/>
      <c r="BE250" s="598"/>
      <c r="BF250" s="598"/>
      <c r="BG250" s="598"/>
      <c r="BH250" s="598"/>
      <c r="BI250" s="598"/>
      <c r="BJ250" s="598"/>
      <c r="BK250" s="598"/>
      <c r="BL250" s="598"/>
      <c r="BM250" s="598"/>
      <c r="BN250" s="598"/>
      <c r="BO250" s="598"/>
      <c r="BP250" s="598"/>
      <c r="BQ250" s="598"/>
      <c r="BR250" s="598"/>
      <c r="BS250" s="598"/>
      <c r="BT250" s="598"/>
      <c r="BU250" s="598"/>
      <c r="BV250" s="598"/>
      <c r="BW250" s="598"/>
      <c r="BX250" s="598"/>
      <c r="BY250" s="598"/>
      <c r="BZ250" s="598"/>
      <c r="CA250" s="598"/>
      <c r="CB250" s="598"/>
      <c r="CC250" s="598"/>
      <c r="CD250" s="598"/>
      <c r="CE250" s="598"/>
      <c r="CF250" s="598"/>
      <c r="CG250" s="598"/>
      <c r="CH250" s="598"/>
      <c r="CI250" s="599"/>
      <c r="CK250" s="1293"/>
    </row>
    <row r="251" spans="1:89" s="1292" customFormat="1" ht="28.5" x14ac:dyDescent="0.2">
      <c r="A251" s="1284"/>
      <c r="B251" s="859" t="s">
        <v>549</v>
      </c>
      <c r="C251" s="860" t="s">
        <v>550</v>
      </c>
      <c r="D251" s="602" t="s">
        <v>551</v>
      </c>
      <c r="E251" s="603" t="s">
        <v>344</v>
      </c>
      <c r="F251" s="604">
        <v>2</v>
      </c>
      <c r="G251" s="597"/>
      <c r="H251" s="597"/>
      <c r="I251" s="597">
        <v>0</v>
      </c>
      <c r="J251" s="597">
        <v>0</v>
      </c>
      <c r="K251" s="597">
        <v>0</v>
      </c>
      <c r="L251" s="597">
        <v>0</v>
      </c>
      <c r="M251" s="598">
        <v>0</v>
      </c>
      <c r="N251" s="598">
        <v>0</v>
      </c>
      <c r="O251" s="598">
        <v>0</v>
      </c>
      <c r="P251" s="598">
        <v>0</v>
      </c>
      <c r="Q251" s="598">
        <v>0</v>
      </c>
      <c r="R251" s="598">
        <v>0</v>
      </c>
      <c r="S251" s="598">
        <v>0</v>
      </c>
      <c r="T251" s="598">
        <v>0</v>
      </c>
      <c r="U251" s="598">
        <v>0</v>
      </c>
      <c r="V251" s="598">
        <v>0</v>
      </c>
      <c r="W251" s="598">
        <v>0</v>
      </c>
      <c r="X251" s="598">
        <v>0</v>
      </c>
      <c r="Y251" s="598">
        <v>0</v>
      </c>
      <c r="Z251" s="598">
        <v>0</v>
      </c>
      <c r="AA251" s="598">
        <v>0</v>
      </c>
      <c r="AB251" s="598">
        <v>0</v>
      </c>
      <c r="AC251" s="598">
        <v>0</v>
      </c>
      <c r="AD251" s="598">
        <v>0</v>
      </c>
      <c r="AE251" s="598">
        <v>0</v>
      </c>
      <c r="AF251" s="598">
        <v>0</v>
      </c>
      <c r="AG251" s="598">
        <v>0</v>
      </c>
      <c r="AH251" s="598">
        <v>0</v>
      </c>
      <c r="AI251" s="598">
        <v>0</v>
      </c>
      <c r="AJ251" s="598">
        <v>0</v>
      </c>
      <c r="AK251" s="598">
        <v>0</v>
      </c>
      <c r="AL251" s="598"/>
      <c r="AM251" s="598"/>
      <c r="AN251" s="598"/>
      <c r="AO251" s="598"/>
      <c r="AP251" s="598"/>
      <c r="AQ251" s="598"/>
      <c r="AR251" s="598"/>
      <c r="AS251" s="598"/>
      <c r="AT251" s="598"/>
      <c r="AU251" s="598"/>
      <c r="AV251" s="598"/>
      <c r="AW251" s="598"/>
      <c r="AX251" s="598"/>
      <c r="AY251" s="598"/>
      <c r="AZ251" s="598"/>
      <c r="BA251" s="598"/>
      <c r="BB251" s="598"/>
      <c r="BC251" s="598"/>
      <c r="BD251" s="598"/>
      <c r="BE251" s="598"/>
      <c r="BF251" s="598"/>
      <c r="BG251" s="598"/>
      <c r="BH251" s="598"/>
      <c r="BI251" s="598"/>
      <c r="BJ251" s="598"/>
      <c r="BK251" s="598"/>
      <c r="BL251" s="598"/>
      <c r="BM251" s="598"/>
      <c r="BN251" s="598"/>
      <c r="BO251" s="598"/>
      <c r="BP251" s="598"/>
      <c r="BQ251" s="598"/>
      <c r="BR251" s="598"/>
      <c r="BS251" s="598"/>
      <c r="BT251" s="598"/>
      <c r="BU251" s="598"/>
      <c r="BV251" s="598"/>
      <c r="BW251" s="598"/>
      <c r="BX251" s="598"/>
      <c r="BY251" s="598"/>
      <c r="BZ251" s="598"/>
      <c r="CA251" s="598"/>
      <c r="CB251" s="598"/>
      <c r="CC251" s="598"/>
      <c r="CD251" s="598"/>
      <c r="CE251" s="598"/>
      <c r="CF251" s="598"/>
      <c r="CG251" s="598"/>
      <c r="CH251" s="598"/>
      <c r="CI251" s="599"/>
      <c r="CK251" s="1293"/>
    </row>
    <row r="252" spans="1:89" s="1292" customFormat="1" x14ac:dyDescent="0.2">
      <c r="A252" s="1284"/>
      <c r="B252" s="859" t="s">
        <v>552</v>
      </c>
      <c r="C252" s="860" t="s">
        <v>553</v>
      </c>
      <c r="D252" s="602" t="s">
        <v>554</v>
      </c>
      <c r="E252" s="603" t="s">
        <v>344</v>
      </c>
      <c r="F252" s="604">
        <v>2</v>
      </c>
      <c r="G252" s="597"/>
      <c r="H252" s="597"/>
      <c r="I252" s="597">
        <v>0</v>
      </c>
      <c r="J252" s="597">
        <v>1.35E-4</v>
      </c>
      <c r="K252" s="597">
        <v>2.7E-4</v>
      </c>
      <c r="L252" s="597">
        <v>2.0135E-2</v>
      </c>
      <c r="M252" s="598">
        <v>2.1499999999999998E-2</v>
      </c>
      <c r="N252" s="598">
        <v>3.0000000000000001E-3</v>
      </c>
      <c r="O252" s="598">
        <v>3.0000000000000001E-3</v>
      </c>
      <c r="P252" s="598">
        <v>3.0000000000000001E-3</v>
      </c>
      <c r="Q252" s="598">
        <v>3.0000000000000001E-3</v>
      </c>
      <c r="R252" s="598">
        <v>1.5E-3</v>
      </c>
      <c r="S252" s="598">
        <v>0</v>
      </c>
      <c r="T252" s="598">
        <v>0</v>
      </c>
      <c r="U252" s="598">
        <v>0</v>
      </c>
      <c r="V252" s="598">
        <v>0</v>
      </c>
      <c r="W252" s="598">
        <v>0</v>
      </c>
      <c r="X252" s="598">
        <v>0</v>
      </c>
      <c r="Y252" s="598">
        <v>0</v>
      </c>
      <c r="Z252" s="598">
        <v>0</v>
      </c>
      <c r="AA252" s="598">
        <v>0</v>
      </c>
      <c r="AB252" s="598">
        <v>0</v>
      </c>
      <c r="AC252" s="598">
        <v>0</v>
      </c>
      <c r="AD252" s="598">
        <v>0</v>
      </c>
      <c r="AE252" s="598">
        <v>0</v>
      </c>
      <c r="AF252" s="598">
        <v>0</v>
      </c>
      <c r="AG252" s="598">
        <v>0</v>
      </c>
      <c r="AH252" s="598">
        <v>0</v>
      </c>
      <c r="AI252" s="598">
        <v>0</v>
      </c>
      <c r="AJ252" s="598">
        <v>0</v>
      </c>
      <c r="AK252" s="598">
        <v>0</v>
      </c>
      <c r="AL252" s="598"/>
      <c r="AM252" s="598"/>
      <c r="AN252" s="598"/>
      <c r="AO252" s="598"/>
      <c r="AP252" s="598"/>
      <c r="AQ252" s="598"/>
      <c r="AR252" s="598"/>
      <c r="AS252" s="598"/>
      <c r="AT252" s="598"/>
      <c r="AU252" s="598"/>
      <c r="AV252" s="598"/>
      <c r="AW252" s="598"/>
      <c r="AX252" s="598"/>
      <c r="AY252" s="598"/>
      <c r="AZ252" s="598"/>
      <c r="BA252" s="598"/>
      <c r="BB252" s="598"/>
      <c r="BC252" s="598"/>
      <c r="BD252" s="598"/>
      <c r="BE252" s="598"/>
      <c r="BF252" s="598"/>
      <c r="BG252" s="598"/>
      <c r="BH252" s="598"/>
      <c r="BI252" s="598"/>
      <c r="BJ252" s="598"/>
      <c r="BK252" s="598"/>
      <c r="BL252" s="598"/>
      <c r="BM252" s="598"/>
      <c r="BN252" s="598"/>
      <c r="BO252" s="598"/>
      <c r="BP252" s="598"/>
      <c r="BQ252" s="598"/>
      <c r="BR252" s="598"/>
      <c r="BS252" s="598"/>
      <c r="BT252" s="598"/>
      <c r="BU252" s="598"/>
      <c r="BV252" s="598"/>
      <c r="BW252" s="598"/>
      <c r="BX252" s="598"/>
      <c r="BY252" s="598"/>
      <c r="BZ252" s="598"/>
      <c r="CA252" s="598"/>
      <c r="CB252" s="598"/>
      <c r="CC252" s="598"/>
      <c r="CD252" s="598"/>
      <c r="CE252" s="598"/>
      <c r="CF252" s="598"/>
      <c r="CG252" s="598"/>
      <c r="CH252" s="598"/>
      <c r="CI252" s="599"/>
      <c r="CK252" s="1293"/>
    </row>
    <row r="253" spans="1:89" s="1292" customFormat="1" ht="28.5" x14ac:dyDescent="0.2">
      <c r="A253" s="1284"/>
      <c r="B253" s="859" t="s">
        <v>555</v>
      </c>
      <c r="C253" s="860" t="s">
        <v>556</v>
      </c>
      <c r="D253" s="602" t="s">
        <v>557</v>
      </c>
      <c r="E253" s="603" t="s">
        <v>344</v>
      </c>
      <c r="F253" s="604">
        <v>2</v>
      </c>
      <c r="G253" s="597"/>
      <c r="H253" s="597"/>
      <c r="I253" s="597">
        <v>0</v>
      </c>
      <c r="J253" s="597">
        <v>-1.0181128259833194E-2</v>
      </c>
      <c r="K253" s="597">
        <v>-3.6266484965965518E-3</v>
      </c>
      <c r="L253" s="597">
        <v>-1.1793110247102945E-2</v>
      </c>
      <c r="M253" s="598">
        <v>-2.22607913609707E-2</v>
      </c>
      <c r="N253" s="598">
        <v>-1.8833372778907176E-2</v>
      </c>
      <c r="O253" s="598">
        <v>-1.3829564075223288E-2</v>
      </c>
      <c r="P253" s="598">
        <v>-1.3109310820855313E-2</v>
      </c>
      <c r="Q253" s="598">
        <v>-1.224481712998049E-2</v>
      </c>
      <c r="R253" s="598">
        <v>-9.0259235834668772E-3</v>
      </c>
      <c r="S253" s="598">
        <v>-5.6925932504476862E-3</v>
      </c>
      <c r="T253" s="598">
        <v>-5.390268439182222E-3</v>
      </c>
      <c r="U253" s="598">
        <v>-5.3151871302112852E-3</v>
      </c>
      <c r="V253" s="598">
        <v>-5.2761439899988716E-3</v>
      </c>
      <c r="W253" s="598">
        <v>-5.2155707985725996E-3</v>
      </c>
      <c r="X253" s="598">
        <v>-5.0996317853773121E-3</v>
      </c>
      <c r="Y253" s="598">
        <v>-4.9836027631222635E-3</v>
      </c>
      <c r="Z253" s="598">
        <v>-4.9576806826188147E-3</v>
      </c>
      <c r="AA253" s="598">
        <v>-5.7982460969867589E-3</v>
      </c>
      <c r="AB253" s="598">
        <v>-5.7581477495745048E-3</v>
      </c>
      <c r="AC253" s="598">
        <v>-5.7192790787023995E-3</v>
      </c>
      <c r="AD253" s="598">
        <v>-5.6562631239689409E-3</v>
      </c>
      <c r="AE253" s="598">
        <v>-5.5830741992277666E-3</v>
      </c>
      <c r="AF253" s="598">
        <v>-5.5180384476294364E-3</v>
      </c>
      <c r="AG253" s="598">
        <v>-5.4782170385916373E-3</v>
      </c>
      <c r="AH253" s="598">
        <v>-5.437204857566158E-3</v>
      </c>
      <c r="AI253" s="598">
        <v>-5.4185071815613384E-3</v>
      </c>
      <c r="AJ253" s="598">
        <v>-5.4152167677674612E-3</v>
      </c>
      <c r="AK253" s="598">
        <v>-5.4069983063147475E-3</v>
      </c>
      <c r="AL253" s="598"/>
      <c r="AM253" s="598"/>
      <c r="AN253" s="598"/>
      <c r="AO253" s="598"/>
      <c r="AP253" s="598"/>
      <c r="AQ253" s="598"/>
      <c r="AR253" s="598"/>
      <c r="AS253" s="598"/>
      <c r="AT253" s="598"/>
      <c r="AU253" s="598"/>
      <c r="AV253" s="598"/>
      <c r="AW253" s="598"/>
      <c r="AX253" s="598"/>
      <c r="AY253" s="598"/>
      <c r="AZ253" s="598"/>
      <c r="BA253" s="598"/>
      <c r="BB253" s="598"/>
      <c r="BC253" s="598"/>
      <c r="BD253" s="598"/>
      <c r="BE253" s="598"/>
      <c r="BF253" s="598"/>
      <c r="BG253" s="598"/>
      <c r="BH253" s="598"/>
      <c r="BI253" s="598"/>
      <c r="BJ253" s="598"/>
      <c r="BK253" s="598"/>
      <c r="BL253" s="598"/>
      <c r="BM253" s="598"/>
      <c r="BN253" s="598"/>
      <c r="BO253" s="598"/>
      <c r="BP253" s="598"/>
      <c r="BQ253" s="598"/>
      <c r="BR253" s="598"/>
      <c r="BS253" s="598"/>
      <c r="BT253" s="598"/>
      <c r="BU253" s="598"/>
      <c r="BV253" s="598"/>
      <c r="BW253" s="598"/>
      <c r="BX253" s="598"/>
      <c r="BY253" s="598"/>
      <c r="BZ253" s="598"/>
      <c r="CA253" s="598"/>
      <c r="CB253" s="598"/>
      <c r="CC253" s="598"/>
      <c r="CD253" s="598"/>
      <c r="CE253" s="598"/>
      <c r="CF253" s="598"/>
      <c r="CG253" s="598"/>
      <c r="CH253" s="598"/>
      <c r="CI253" s="599"/>
      <c r="CK253" s="1293"/>
    </row>
    <row r="254" spans="1:89" s="1292" customFormat="1" x14ac:dyDescent="0.2">
      <c r="A254" s="1284"/>
      <c r="B254" s="859" t="s">
        <v>558</v>
      </c>
      <c r="C254" s="860" t="s">
        <v>559</v>
      </c>
      <c r="D254" s="858" t="s">
        <v>86</v>
      </c>
      <c r="E254" s="844" t="s">
        <v>344</v>
      </c>
      <c r="F254" s="845">
        <v>2</v>
      </c>
      <c r="G254" s="597"/>
      <c r="H254" s="597"/>
      <c r="I254" s="597">
        <v>0.23</v>
      </c>
      <c r="J254" s="597">
        <v>0.238856738137941</v>
      </c>
      <c r="K254" s="597">
        <v>0.24115899651264597</v>
      </c>
      <c r="L254" s="597">
        <v>0.25162771663785649</v>
      </c>
      <c r="M254" s="598">
        <v>0.27229923985255911</v>
      </c>
      <c r="N254" s="598">
        <v>0.28954334448519514</v>
      </c>
      <c r="O254" s="598">
        <v>0.2987836404141484</v>
      </c>
      <c r="P254" s="598">
        <v>0.3073036830887339</v>
      </c>
      <c r="Q254" s="598">
        <v>0.31478264672286033</v>
      </c>
      <c r="R254" s="598">
        <v>0.3205427168104733</v>
      </c>
      <c r="S254" s="598">
        <v>0.32446945656506587</v>
      </c>
      <c r="T254" s="598">
        <v>0.32809387150839281</v>
      </c>
      <c r="U254" s="598">
        <v>0.33164320514274737</v>
      </c>
      <c r="V254" s="598">
        <v>0.33515349563689084</v>
      </c>
      <c r="W254" s="598">
        <v>0.33860321293960832</v>
      </c>
      <c r="X254" s="598">
        <v>0.34193699122913029</v>
      </c>
      <c r="Y254" s="598">
        <v>0.3451547404963991</v>
      </c>
      <c r="Z254" s="598">
        <v>0.34834656768316019</v>
      </c>
      <c r="AA254" s="598">
        <v>0.35149603353636283</v>
      </c>
      <c r="AB254" s="598">
        <v>0.35460540104215332</v>
      </c>
      <c r="AC254" s="598">
        <v>0.35767589987707205</v>
      </c>
      <c r="AD254" s="598">
        <v>0.3606833827572567</v>
      </c>
      <c r="AE254" s="598">
        <v>0.36361767671270168</v>
      </c>
      <c r="AF254" s="598">
        <v>0.36648693491654788</v>
      </c>
      <c r="AG254" s="598">
        <v>0.36931637171135556</v>
      </c>
      <c r="AH254" s="598">
        <v>0.37210479632513588</v>
      </c>
      <c r="AI254" s="598">
        <v>0.37487452326291332</v>
      </c>
      <c r="AJ254" s="598">
        <v>0.37764095978689732</v>
      </c>
      <c r="AK254" s="598">
        <v>0.38039917784942573</v>
      </c>
      <c r="AL254" s="598"/>
      <c r="AM254" s="598"/>
      <c r="AN254" s="598"/>
      <c r="AO254" s="598"/>
      <c r="AP254" s="598"/>
      <c r="AQ254" s="598"/>
      <c r="AR254" s="598"/>
      <c r="AS254" s="598"/>
      <c r="AT254" s="598"/>
      <c r="AU254" s="598"/>
      <c r="AV254" s="598"/>
      <c r="AW254" s="598"/>
      <c r="AX254" s="598"/>
      <c r="AY254" s="598"/>
      <c r="AZ254" s="598"/>
      <c r="BA254" s="598"/>
      <c r="BB254" s="598"/>
      <c r="BC254" s="598"/>
      <c r="BD254" s="598"/>
      <c r="BE254" s="598"/>
      <c r="BF254" s="598"/>
      <c r="BG254" s="598"/>
      <c r="BH254" s="598"/>
      <c r="BI254" s="598"/>
      <c r="BJ254" s="598"/>
      <c r="BK254" s="598"/>
      <c r="BL254" s="598"/>
      <c r="BM254" s="598"/>
      <c r="BN254" s="598"/>
      <c r="BO254" s="598"/>
      <c r="BP254" s="598"/>
      <c r="BQ254" s="598"/>
      <c r="BR254" s="598"/>
      <c r="BS254" s="598"/>
      <c r="BT254" s="598"/>
      <c r="BU254" s="598"/>
      <c r="BV254" s="598"/>
      <c r="BW254" s="598"/>
      <c r="BX254" s="598"/>
      <c r="BY254" s="598"/>
      <c r="BZ254" s="598"/>
      <c r="CA254" s="598"/>
      <c r="CB254" s="598"/>
      <c r="CC254" s="598"/>
      <c r="CD254" s="598"/>
      <c r="CE254" s="598"/>
      <c r="CF254" s="598"/>
      <c r="CG254" s="598"/>
      <c r="CH254" s="598"/>
      <c r="CI254" s="599"/>
      <c r="CK254" s="1293"/>
    </row>
    <row r="255" spans="1:89" s="1292" customFormat="1" ht="28.5" x14ac:dyDescent="0.2">
      <c r="A255" s="1284"/>
      <c r="B255" s="859" t="s">
        <v>560</v>
      </c>
      <c r="C255" s="860" t="s">
        <v>561</v>
      </c>
      <c r="D255" s="858" t="s">
        <v>86</v>
      </c>
      <c r="E255" s="844" t="s">
        <v>344</v>
      </c>
      <c r="F255" s="845">
        <v>2</v>
      </c>
      <c r="G255" s="597"/>
      <c r="H255" s="597"/>
      <c r="I255" s="597">
        <v>3.4140000000000001</v>
      </c>
      <c r="J255" s="597">
        <v>3.3693005048847255</v>
      </c>
      <c r="K255" s="597">
        <v>3.3201527315590238</v>
      </c>
      <c r="L255" s="597">
        <v>2.9993430120398479</v>
      </c>
      <c r="M255" s="598">
        <v>2.480657290987704</v>
      </c>
      <c r="N255" s="598">
        <v>2.2212345605374773</v>
      </c>
      <c r="O255" s="598">
        <v>2.1482665520446864</v>
      </c>
      <c r="P255" s="598">
        <v>2.075298543551896</v>
      </c>
      <c r="Q255" s="598">
        <v>2.0023305350591047</v>
      </c>
      <c r="R255" s="598">
        <v>1.9629838479649597</v>
      </c>
      <c r="S255" s="598">
        <v>1.9572584822694608</v>
      </c>
      <c r="T255" s="598">
        <v>1.9515331165739616</v>
      </c>
      <c r="U255" s="598">
        <v>1.9458077508784621</v>
      </c>
      <c r="V255" s="598">
        <v>1.9400823851829632</v>
      </c>
      <c r="W255" s="598">
        <v>1.934357019487464</v>
      </c>
      <c r="X255" s="598">
        <v>1.9286316537919648</v>
      </c>
      <c r="Y255" s="598">
        <v>1.9229062880964654</v>
      </c>
      <c r="Z255" s="598">
        <v>1.9171809224009664</v>
      </c>
      <c r="AA255" s="598">
        <v>1.9114555567054672</v>
      </c>
      <c r="AB255" s="598">
        <v>1.905730191009968</v>
      </c>
      <c r="AC255" s="598">
        <v>1.9000048253144688</v>
      </c>
      <c r="AD255" s="598">
        <v>1.8942794596189696</v>
      </c>
      <c r="AE255" s="598">
        <v>1.8885540939234704</v>
      </c>
      <c r="AF255" s="598">
        <v>1.8828287282279712</v>
      </c>
      <c r="AG255" s="598">
        <v>1.8771033625324722</v>
      </c>
      <c r="AH255" s="598">
        <v>1.8713779968369728</v>
      </c>
      <c r="AI255" s="598">
        <v>1.8656526311414736</v>
      </c>
      <c r="AJ255" s="598">
        <v>1.8599272654459744</v>
      </c>
      <c r="AK255" s="598">
        <v>1.8542018997504754</v>
      </c>
      <c r="AL255" s="598"/>
      <c r="AM255" s="598"/>
      <c r="AN255" s="598"/>
      <c r="AO255" s="598"/>
      <c r="AP255" s="598"/>
      <c r="AQ255" s="598"/>
      <c r="AR255" s="598"/>
      <c r="AS255" s="598"/>
      <c r="AT255" s="598"/>
      <c r="AU255" s="598"/>
      <c r="AV255" s="598"/>
      <c r="AW255" s="598"/>
      <c r="AX255" s="598"/>
      <c r="AY255" s="598"/>
      <c r="AZ255" s="598"/>
      <c r="BA255" s="598"/>
      <c r="BB255" s="598"/>
      <c r="BC255" s="598"/>
      <c r="BD255" s="598"/>
      <c r="BE255" s="598"/>
      <c r="BF255" s="598"/>
      <c r="BG255" s="598"/>
      <c r="BH255" s="598"/>
      <c r="BI255" s="598"/>
      <c r="BJ255" s="598"/>
      <c r="BK255" s="598"/>
      <c r="BL255" s="598"/>
      <c r="BM255" s="598"/>
      <c r="BN255" s="598"/>
      <c r="BO255" s="598"/>
      <c r="BP255" s="598"/>
      <c r="BQ255" s="598"/>
      <c r="BR255" s="598"/>
      <c r="BS255" s="598"/>
      <c r="BT255" s="598"/>
      <c r="BU255" s="598"/>
      <c r="BV255" s="598"/>
      <c r="BW255" s="598"/>
      <c r="BX255" s="598"/>
      <c r="BY255" s="598"/>
      <c r="BZ255" s="598"/>
      <c r="CA255" s="598"/>
      <c r="CB255" s="598"/>
      <c r="CC255" s="598"/>
      <c r="CD255" s="598"/>
      <c r="CE255" s="598"/>
      <c r="CF255" s="598"/>
      <c r="CG255" s="598"/>
      <c r="CH255" s="598"/>
      <c r="CI255" s="599"/>
      <c r="CK255" s="1293"/>
    </row>
    <row r="256" spans="1:89" s="1292" customFormat="1" x14ac:dyDescent="0.2">
      <c r="A256" s="1284"/>
      <c r="B256" s="859" t="s">
        <v>562</v>
      </c>
      <c r="C256" s="860" t="s">
        <v>563</v>
      </c>
      <c r="D256" s="858" t="s">
        <v>86</v>
      </c>
      <c r="E256" s="844" t="s">
        <v>344</v>
      </c>
      <c r="F256" s="845">
        <v>2</v>
      </c>
      <c r="G256" s="597"/>
      <c r="H256" s="597"/>
      <c r="I256" s="597">
        <v>7.8E-2</v>
      </c>
      <c r="J256" s="597">
        <v>7.6933676633784712E-2</v>
      </c>
      <c r="K256" s="597">
        <v>7.5811449959485896E-2</v>
      </c>
      <c r="L256" s="597">
        <v>6.8486169478661624E-2</v>
      </c>
      <c r="M256" s="598">
        <v>5.6642643061194646E-2</v>
      </c>
      <c r="N256" s="598">
        <v>5.0719056124684782E-2</v>
      </c>
      <c r="O256" s="598">
        <v>4.9052924783221763E-2</v>
      </c>
      <c r="P256" s="598">
        <v>4.7386793441758737E-2</v>
      </c>
      <c r="Q256" s="598">
        <v>4.5720662100295718E-2</v>
      </c>
      <c r="R256" s="598">
        <v>4.4822230720511377E-2</v>
      </c>
      <c r="S256" s="598">
        <v>4.4691499302405714E-2</v>
      </c>
      <c r="T256" s="598">
        <v>4.4560767884300058E-2</v>
      </c>
      <c r="U256" s="598">
        <v>4.4430036466194395E-2</v>
      </c>
      <c r="V256" s="598">
        <v>4.4299305048088732E-2</v>
      </c>
      <c r="W256" s="598">
        <v>4.4168573629983075E-2</v>
      </c>
      <c r="X256" s="598">
        <v>4.4037842211877412E-2</v>
      </c>
      <c r="Y256" s="598">
        <v>4.3907110793771749E-2</v>
      </c>
      <c r="Z256" s="598">
        <v>4.3776379375666093E-2</v>
      </c>
      <c r="AA256" s="598">
        <v>4.3645647957560436E-2</v>
      </c>
      <c r="AB256" s="598">
        <v>4.3514916539454773E-2</v>
      </c>
      <c r="AC256" s="598">
        <v>4.338418512134911E-2</v>
      </c>
      <c r="AD256" s="598">
        <v>4.3253453703243454E-2</v>
      </c>
      <c r="AE256" s="598">
        <v>4.3122722285137791E-2</v>
      </c>
      <c r="AF256" s="598">
        <v>4.2991990867032127E-2</v>
      </c>
      <c r="AG256" s="598">
        <v>4.2861259448926471E-2</v>
      </c>
      <c r="AH256" s="598">
        <v>4.2730528030820808E-2</v>
      </c>
      <c r="AI256" s="598">
        <v>4.2599796612715145E-2</v>
      </c>
      <c r="AJ256" s="598">
        <v>4.2469065194609482E-2</v>
      </c>
      <c r="AK256" s="598">
        <v>4.2338333776503825E-2</v>
      </c>
      <c r="AL256" s="598"/>
      <c r="AM256" s="598"/>
      <c r="AN256" s="598"/>
      <c r="AO256" s="598"/>
      <c r="AP256" s="598"/>
      <c r="AQ256" s="598"/>
      <c r="AR256" s="598"/>
      <c r="AS256" s="598"/>
      <c r="AT256" s="598"/>
      <c r="AU256" s="598"/>
      <c r="AV256" s="598"/>
      <c r="AW256" s="598"/>
      <c r="AX256" s="598"/>
      <c r="AY256" s="598"/>
      <c r="AZ256" s="598"/>
      <c r="BA256" s="598"/>
      <c r="BB256" s="598"/>
      <c r="BC256" s="598"/>
      <c r="BD256" s="598"/>
      <c r="BE256" s="598"/>
      <c r="BF256" s="598"/>
      <c r="BG256" s="598"/>
      <c r="BH256" s="598"/>
      <c r="BI256" s="598"/>
      <c r="BJ256" s="598"/>
      <c r="BK256" s="598"/>
      <c r="BL256" s="598"/>
      <c r="BM256" s="598"/>
      <c r="BN256" s="598"/>
      <c r="BO256" s="598"/>
      <c r="BP256" s="598"/>
      <c r="BQ256" s="598"/>
      <c r="BR256" s="598"/>
      <c r="BS256" s="598"/>
      <c r="BT256" s="598"/>
      <c r="BU256" s="598"/>
      <c r="BV256" s="598"/>
      <c r="BW256" s="598"/>
      <c r="BX256" s="598"/>
      <c r="BY256" s="598"/>
      <c r="BZ256" s="598"/>
      <c r="CA256" s="598"/>
      <c r="CB256" s="598"/>
      <c r="CC256" s="598"/>
      <c r="CD256" s="598"/>
      <c r="CE256" s="598"/>
      <c r="CF256" s="598"/>
      <c r="CG256" s="598"/>
      <c r="CH256" s="598"/>
      <c r="CI256" s="599"/>
      <c r="CK256" s="1293"/>
    </row>
    <row r="257" spans="1:89" s="1292" customFormat="1" ht="29.25" thickBot="1" x14ac:dyDescent="0.25">
      <c r="A257" s="1284"/>
      <c r="B257" s="861" t="s">
        <v>564</v>
      </c>
      <c r="C257" s="862" t="s">
        <v>565</v>
      </c>
      <c r="D257" s="863" t="s">
        <v>566</v>
      </c>
      <c r="E257" s="864" t="s">
        <v>344</v>
      </c>
      <c r="F257" s="865">
        <v>2</v>
      </c>
      <c r="G257" s="559">
        <f>SUM(G244:G247)+G254+G255+G256</f>
        <v>0</v>
      </c>
      <c r="H257" s="559">
        <f t="shared" ref="H257:AK257" si="135">SUM(H244:H247)+H254+H255+H256</f>
        <v>0</v>
      </c>
      <c r="I257" s="559">
        <f t="shared" si="135"/>
        <v>12.215</v>
      </c>
      <c r="J257" s="559">
        <f t="shared" si="135"/>
        <v>12.424252961385028</v>
      </c>
      <c r="K257" s="559">
        <f t="shared" si="135"/>
        <v>12.454526404246483</v>
      </c>
      <c r="L257" s="559">
        <f t="shared" si="135"/>
        <v>12.474483689219737</v>
      </c>
      <c r="M257" s="559">
        <f t="shared" si="135"/>
        <v>12.626309989845792</v>
      </c>
      <c r="N257" s="559">
        <f t="shared" si="135"/>
        <v>12.931030459389865</v>
      </c>
      <c r="O257" s="559">
        <f t="shared" si="135"/>
        <v>13.164243088003868</v>
      </c>
      <c r="P257" s="559">
        <f t="shared" si="135"/>
        <v>13.373858848093819</v>
      </c>
      <c r="Q257" s="559">
        <f t="shared" si="135"/>
        <v>13.549366875810637</v>
      </c>
      <c r="R257" s="559">
        <f t="shared" si="135"/>
        <v>13.702949698221053</v>
      </c>
      <c r="S257" s="559">
        <f t="shared" si="135"/>
        <v>13.830858148224268</v>
      </c>
      <c r="T257" s="559">
        <f t="shared" si="135"/>
        <v>13.948861861553636</v>
      </c>
      <c r="U257" s="559">
        <f t="shared" si="135"/>
        <v>14.064405768189051</v>
      </c>
      <c r="V257" s="559">
        <f t="shared" si="135"/>
        <v>14.178847132532853</v>
      </c>
      <c r="W257" s="559">
        <f t="shared" si="135"/>
        <v>14.291304003748031</v>
      </c>
      <c r="X257" s="559">
        <f t="shared" si="135"/>
        <v>14.399962492054707</v>
      </c>
      <c r="Y257" s="559">
        <f t="shared" si="135"/>
        <v>14.504819648584709</v>
      </c>
      <c r="Z257" s="559">
        <f t="shared" si="135"/>
        <v>14.608827548381887</v>
      </c>
      <c r="AA257" s="559">
        <f t="shared" si="135"/>
        <v>14.711447610203434</v>
      </c>
      <c r="AB257" s="559">
        <f t="shared" si="135"/>
        <v>14.812753973785956</v>
      </c>
      <c r="AC257" s="559">
        <f t="shared" si="135"/>
        <v>14.912786925675157</v>
      </c>
      <c r="AD257" s="559">
        <f t="shared" si="135"/>
        <v>15.010755354856878</v>
      </c>
      <c r="AE257" s="559">
        <f t="shared" si="135"/>
        <v>15.106325975456651</v>
      </c>
      <c r="AF257" s="559">
        <f t="shared" si="135"/>
        <v>15.199765900956427</v>
      </c>
      <c r="AG257" s="559">
        <f t="shared" si="135"/>
        <v>15.2919012012458</v>
      </c>
      <c r="AH257" s="559">
        <f t="shared" si="135"/>
        <v>15.382692864366271</v>
      </c>
      <c r="AI257" s="559">
        <f t="shared" si="135"/>
        <v>15.472871956006273</v>
      </c>
      <c r="AJ257" s="559">
        <f t="shared" si="135"/>
        <v>15.562943247422943</v>
      </c>
      <c r="AK257" s="559">
        <f t="shared" si="135"/>
        <v>15.652745286388116</v>
      </c>
      <c r="AL257" s="559"/>
      <c r="AM257" s="559"/>
      <c r="AN257" s="559"/>
      <c r="AO257" s="559"/>
      <c r="AP257" s="559"/>
      <c r="AQ257" s="559"/>
      <c r="AR257" s="559"/>
      <c r="AS257" s="559"/>
      <c r="AT257" s="559"/>
      <c r="AU257" s="559"/>
      <c r="AV257" s="559"/>
      <c r="AW257" s="559"/>
      <c r="AX257" s="559"/>
      <c r="AY257" s="559"/>
      <c r="AZ257" s="559"/>
      <c r="BA257" s="559"/>
      <c r="BB257" s="559"/>
      <c r="BC257" s="559"/>
      <c r="BD257" s="559"/>
      <c r="BE257" s="559"/>
      <c r="BF257" s="559"/>
      <c r="BG257" s="559"/>
      <c r="BH257" s="559"/>
      <c r="BI257" s="559"/>
      <c r="BJ257" s="559"/>
      <c r="BK257" s="559"/>
      <c r="BL257" s="559"/>
      <c r="BM257" s="559"/>
      <c r="BN257" s="559"/>
      <c r="BO257" s="559"/>
      <c r="BP257" s="559"/>
      <c r="BQ257" s="559"/>
      <c r="BR257" s="559"/>
      <c r="BS257" s="559"/>
      <c r="BT257" s="559"/>
      <c r="BU257" s="559"/>
      <c r="BV257" s="559"/>
      <c r="BW257" s="559"/>
      <c r="BX257" s="559"/>
      <c r="BY257" s="559"/>
      <c r="BZ257" s="559"/>
      <c r="CA257" s="559"/>
      <c r="CB257" s="559"/>
      <c r="CC257" s="559"/>
      <c r="CD257" s="559"/>
      <c r="CE257" s="559"/>
      <c r="CF257" s="559"/>
      <c r="CG257" s="559"/>
      <c r="CH257" s="559"/>
      <c r="CI257" s="559"/>
      <c r="CK257" s="1293"/>
    </row>
    <row r="258" spans="1:89" s="1292" customFormat="1" x14ac:dyDescent="0.2">
      <c r="A258" s="1284"/>
      <c r="B258" s="814" t="s">
        <v>567</v>
      </c>
      <c r="C258" s="815" t="s">
        <v>568</v>
      </c>
      <c r="D258" s="816" t="s">
        <v>86</v>
      </c>
      <c r="E258" s="866" t="s">
        <v>344</v>
      </c>
      <c r="F258" s="867">
        <v>2</v>
      </c>
      <c r="G258" s="593"/>
      <c r="H258" s="593"/>
      <c r="I258" s="593">
        <v>0.2228945</v>
      </c>
      <c r="J258" s="593">
        <v>0.22953270318025651</v>
      </c>
      <c r="K258" s="593">
        <v>0.2352137440827955</v>
      </c>
      <c r="L258" s="593">
        <v>0.2404254557778335</v>
      </c>
      <c r="M258" s="594">
        <v>0.24655893937977372</v>
      </c>
      <c r="N258" s="594">
        <v>0.25357297295599301</v>
      </c>
      <c r="O258" s="594">
        <v>0.26036976253301897</v>
      </c>
      <c r="P258" s="594">
        <v>0.26720628711451949</v>
      </c>
      <c r="Q258" s="594">
        <v>0.27450776596569404</v>
      </c>
      <c r="R258" s="594">
        <v>0.28006789667672954</v>
      </c>
      <c r="S258" s="594">
        <v>0.28867842500048929</v>
      </c>
      <c r="T258" s="594">
        <v>0.297718929825527</v>
      </c>
      <c r="U258" s="594">
        <v>0.305002365485046</v>
      </c>
      <c r="V258" s="594">
        <v>0.31085030756813603</v>
      </c>
      <c r="W258" s="594">
        <v>0.31530343317580456</v>
      </c>
      <c r="X258" s="594">
        <v>0.31939113187034279</v>
      </c>
      <c r="Y258" s="594">
        <v>0.32309601277342725</v>
      </c>
      <c r="Z258" s="594">
        <v>0.32740176288351802</v>
      </c>
      <c r="AA258" s="594">
        <v>0.33128847402541856</v>
      </c>
      <c r="AB258" s="594">
        <v>0.33503907073575379</v>
      </c>
      <c r="AC258" s="594">
        <v>0.33928252586763902</v>
      </c>
      <c r="AD258" s="594">
        <v>0.34449314920012103</v>
      </c>
      <c r="AE258" s="594">
        <v>0.35039029404144284</v>
      </c>
      <c r="AF258" s="594">
        <v>0.35630140162372131</v>
      </c>
      <c r="AG258" s="594">
        <v>0.36301425451317926</v>
      </c>
      <c r="AH258" s="594">
        <v>0.37002278916514059</v>
      </c>
      <c r="AI258" s="594">
        <v>0.37724776566979534</v>
      </c>
      <c r="AJ258" s="594">
        <v>0.38489577556049653</v>
      </c>
      <c r="AK258" s="594">
        <v>0.39249443734212774</v>
      </c>
      <c r="AL258" s="594"/>
      <c r="AM258" s="594"/>
      <c r="AN258" s="594"/>
      <c r="AO258" s="594"/>
      <c r="AP258" s="594"/>
      <c r="AQ258" s="594"/>
      <c r="AR258" s="594"/>
      <c r="AS258" s="594"/>
      <c r="AT258" s="594"/>
      <c r="AU258" s="594"/>
      <c r="AV258" s="594"/>
      <c r="AW258" s="594"/>
      <c r="AX258" s="594"/>
      <c r="AY258" s="594"/>
      <c r="AZ258" s="594"/>
      <c r="BA258" s="594"/>
      <c r="BB258" s="594"/>
      <c r="BC258" s="594"/>
      <c r="BD258" s="594"/>
      <c r="BE258" s="594"/>
      <c r="BF258" s="594"/>
      <c r="BG258" s="594"/>
      <c r="BH258" s="594"/>
      <c r="BI258" s="594"/>
      <c r="BJ258" s="594"/>
      <c r="BK258" s="594"/>
      <c r="BL258" s="594"/>
      <c r="BM258" s="594"/>
      <c r="BN258" s="594"/>
      <c r="BO258" s="594"/>
      <c r="BP258" s="594"/>
      <c r="BQ258" s="594"/>
      <c r="BR258" s="594"/>
      <c r="BS258" s="594"/>
      <c r="BT258" s="594"/>
      <c r="BU258" s="594"/>
      <c r="BV258" s="594"/>
      <c r="BW258" s="594"/>
      <c r="BX258" s="594"/>
      <c r="BY258" s="594"/>
      <c r="BZ258" s="594"/>
      <c r="CA258" s="594"/>
      <c r="CB258" s="594"/>
      <c r="CC258" s="594"/>
      <c r="CD258" s="594"/>
      <c r="CE258" s="594"/>
      <c r="CF258" s="594"/>
      <c r="CG258" s="594"/>
      <c r="CH258" s="594"/>
      <c r="CI258" s="595"/>
      <c r="CK258" s="1293"/>
    </row>
    <row r="259" spans="1:89" s="1292" customFormat="1" x14ac:dyDescent="0.2">
      <c r="A259" s="1284"/>
      <c r="B259" s="824" t="s">
        <v>569</v>
      </c>
      <c r="C259" s="825" t="s">
        <v>570</v>
      </c>
      <c r="D259" s="821" t="s">
        <v>86</v>
      </c>
      <c r="E259" s="868" t="s">
        <v>344</v>
      </c>
      <c r="F259" s="869">
        <v>2</v>
      </c>
      <c r="G259" s="597"/>
      <c r="H259" s="597"/>
      <c r="I259" s="597">
        <v>0</v>
      </c>
      <c r="J259" s="597">
        <v>0</v>
      </c>
      <c r="K259" s="597">
        <v>0</v>
      </c>
      <c r="L259" s="597">
        <v>0</v>
      </c>
      <c r="M259" s="598">
        <v>0</v>
      </c>
      <c r="N259" s="598">
        <v>0</v>
      </c>
      <c r="O259" s="598">
        <v>0</v>
      </c>
      <c r="P259" s="598">
        <v>0</v>
      </c>
      <c r="Q259" s="598">
        <v>0</v>
      </c>
      <c r="R259" s="598">
        <v>0</v>
      </c>
      <c r="S259" s="598">
        <v>0</v>
      </c>
      <c r="T259" s="598">
        <v>0</v>
      </c>
      <c r="U259" s="598">
        <v>0</v>
      </c>
      <c r="V259" s="598">
        <v>0</v>
      </c>
      <c r="W259" s="598">
        <v>0</v>
      </c>
      <c r="X259" s="598">
        <v>0</v>
      </c>
      <c r="Y259" s="598">
        <v>0</v>
      </c>
      <c r="Z259" s="598">
        <v>0</v>
      </c>
      <c r="AA259" s="598">
        <v>0</v>
      </c>
      <c r="AB259" s="598">
        <v>0</v>
      </c>
      <c r="AC259" s="598">
        <v>0</v>
      </c>
      <c r="AD259" s="598">
        <v>0</v>
      </c>
      <c r="AE259" s="598">
        <v>0</v>
      </c>
      <c r="AF259" s="598">
        <v>0</v>
      </c>
      <c r="AG259" s="598">
        <v>0</v>
      </c>
      <c r="AH259" s="598">
        <v>0</v>
      </c>
      <c r="AI259" s="598">
        <v>0</v>
      </c>
      <c r="AJ259" s="598">
        <v>0</v>
      </c>
      <c r="AK259" s="598">
        <v>0</v>
      </c>
      <c r="AL259" s="598"/>
      <c r="AM259" s="598"/>
      <c r="AN259" s="598"/>
      <c r="AO259" s="598"/>
      <c r="AP259" s="598"/>
      <c r="AQ259" s="598"/>
      <c r="AR259" s="598"/>
      <c r="AS259" s="598"/>
      <c r="AT259" s="598"/>
      <c r="AU259" s="598"/>
      <c r="AV259" s="598"/>
      <c r="AW259" s="598"/>
      <c r="AX259" s="598"/>
      <c r="AY259" s="598"/>
      <c r="AZ259" s="598"/>
      <c r="BA259" s="598"/>
      <c r="BB259" s="598"/>
      <c r="BC259" s="598"/>
      <c r="BD259" s="598"/>
      <c r="BE259" s="598"/>
      <c r="BF259" s="598"/>
      <c r="BG259" s="598"/>
      <c r="BH259" s="598"/>
      <c r="BI259" s="598"/>
      <c r="BJ259" s="598"/>
      <c r="BK259" s="598"/>
      <c r="BL259" s="598"/>
      <c r="BM259" s="598"/>
      <c r="BN259" s="598"/>
      <c r="BO259" s="598"/>
      <c r="BP259" s="598"/>
      <c r="BQ259" s="598"/>
      <c r="BR259" s="598"/>
      <c r="BS259" s="598"/>
      <c r="BT259" s="598"/>
      <c r="BU259" s="598"/>
      <c r="BV259" s="598"/>
      <c r="BW259" s="598"/>
      <c r="BX259" s="598"/>
      <c r="BY259" s="598"/>
      <c r="BZ259" s="598"/>
      <c r="CA259" s="598"/>
      <c r="CB259" s="598"/>
      <c r="CC259" s="598"/>
      <c r="CD259" s="598"/>
      <c r="CE259" s="598"/>
      <c r="CF259" s="598"/>
      <c r="CG259" s="598"/>
      <c r="CH259" s="598"/>
      <c r="CI259" s="599"/>
      <c r="CK259" s="1293"/>
    </row>
    <row r="260" spans="1:89" s="1292" customFormat="1" x14ac:dyDescent="0.2">
      <c r="A260" s="1284"/>
      <c r="B260" s="819" t="s">
        <v>571</v>
      </c>
      <c r="C260" s="870" t="s">
        <v>572</v>
      </c>
      <c r="D260" s="821" t="s">
        <v>86</v>
      </c>
      <c r="E260" s="868" t="s">
        <v>344</v>
      </c>
      <c r="F260" s="869">
        <v>2</v>
      </c>
      <c r="G260" s="597"/>
      <c r="H260" s="597"/>
      <c r="I260" s="597">
        <v>16.861414125280735</v>
      </c>
      <c r="J260" s="597">
        <v>17.406992489696009</v>
      </c>
      <c r="K260" s="597">
        <v>17.54518716501147</v>
      </c>
      <c r="L260" s="597">
        <v>18.191790789120915</v>
      </c>
      <c r="M260" s="598">
        <v>19.622145315675187</v>
      </c>
      <c r="N260" s="598">
        <v>20.825551516925177</v>
      </c>
      <c r="O260" s="598">
        <v>21.473879584378516</v>
      </c>
      <c r="P260" s="598">
        <v>22.05846901819919</v>
      </c>
      <c r="Q260" s="598">
        <v>22.542224122232394</v>
      </c>
      <c r="R260" s="598">
        <v>22.899086068280972</v>
      </c>
      <c r="S260" s="598">
        <v>23.124160820810129</v>
      </c>
      <c r="T260" s="598">
        <v>23.329613339164254</v>
      </c>
      <c r="U260" s="598">
        <v>23.534478926466178</v>
      </c>
      <c r="V260" s="598">
        <v>23.74343435830426</v>
      </c>
      <c r="W260" s="598">
        <v>23.957570648620869</v>
      </c>
      <c r="X260" s="598">
        <v>24.166438139205461</v>
      </c>
      <c r="Y260" s="598">
        <v>24.380238553672271</v>
      </c>
      <c r="Z260" s="598">
        <v>24.59135623173816</v>
      </c>
      <c r="AA260" s="598">
        <v>24.784884156531412</v>
      </c>
      <c r="AB260" s="598">
        <v>24.969337696564487</v>
      </c>
      <c r="AC260" s="598">
        <v>25.154174263575335</v>
      </c>
      <c r="AD260" s="598">
        <v>25.341263044659108</v>
      </c>
      <c r="AE260" s="598">
        <v>25.527762503691591</v>
      </c>
      <c r="AF260" s="598">
        <v>25.71386436368136</v>
      </c>
      <c r="AG260" s="598">
        <v>25.895072326227137</v>
      </c>
      <c r="AH260" s="598">
        <v>26.073465299623333</v>
      </c>
      <c r="AI260" s="598">
        <v>26.260530266082078</v>
      </c>
      <c r="AJ260" s="598">
        <v>26.456166977253034</v>
      </c>
      <c r="AK260" s="598">
        <v>26.658435631977348</v>
      </c>
      <c r="AL260" s="598"/>
      <c r="AM260" s="598"/>
      <c r="AN260" s="598"/>
      <c r="AO260" s="598"/>
      <c r="AP260" s="598"/>
      <c r="AQ260" s="598"/>
      <c r="AR260" s="598"/>
      <c r="AS260" s="598"/>
      <c r="AT260" s="598"/>
      <c r="AU260" s="598"/>
      <c r="AV260" s="598"/>
      <c r="AW260" s="598"/>
      <c r="AX260" s="598"/>
      <c r="AY260" s="598"/>
      <c r="AZ260" s="598"/>
      <c r="BA260" s="598"/>
      <c r="BB260" s="598"/>
      <c r="BC260" s="598"/>
      <c r="BD260" s="598"/>
      <c r="BE260" s="598"/>
      <c r="BF260" s="598"/>
      <c r="BG260" s="598"/>
      <c r="BH260" s="598"/>
      <c r="BI260" s="598"/>
      <c r="BJ260" s="598"/>
      <c r="BK260" s="598"/>
      <c r="BL260" s="598"/>
      <c r="BM260" s="598"/>
      <c r="BN260" s="598"/>
      <c r="BO260" s="598"/>
      <c r="BP260" s="598"/>
      <c r="BQ260" s="598"/>
      <c r="BR260" s="598"/>
      <c r="BS260" s="598"/>
      <c r="BT260" s="598"/>
      <c r="BU260" s="598"/>
      <c r="BV260" s="598"/>
      <c r="BW260" s="598"/>
      <c r="BX260" s="598"/>
      <c r="BY260" s="598"/>
      <c r="BZ260" s="598"/>
      <c r="CA260" s="598"/>
      <c r="CB260" s="598"/>
      <c r="CC260" s="598"/>
      <c r="CD260" s="598"/>
      <c r="CE260" s="598"/>
      <c r="CF260" s="598"/>
      <c r="CG260" s="598"/>
      <c r="CH260" s="598"/>
      <c r="CI260" s="599"/>
      <c r="CK260" s="1293"/>
    </row>
    <row r="261" spans="1:89" s="1292" customFormat="1" x14ac:dyDescent="0.2">
      <c r="A261" s="1284"/>
      <c r="B261" s="819" t="s">
        <v>573</v>
      </c>
      <c r="C261" s="870" t="s">
        <v>574</v>
      </c>
      <c r="D261" s="821" t="s">
        <v>86</v>
      </c>
      <c r="E261" s="868" t="s">
        <v>344</v>
      </c>
      <c r="F261" s="869">
        <v>2</v>
      </c>
      <c r="G261" s="597"/>
      <c r="H261" s="597"/>
      <c r="I261" s="597">
        <v>9.8881450554464365</v>
      </c>
      <c r="J261" s="597">
        <v>9.7649371057985839</v>
      </c>
      <c r="K261" s="597">
        <v>9.6319790058662473</v>
      </c>
      <c r="L261" s="597">
        <v>8.9202220783995561</v>
      </c>
      <c r="M261" s="598">
        <v>7.7877719028905092</v>
      </c>
      <c r="N261" s="598">
        <v>7.2035308735989654</v>
      </c>
      <c r="O261" s="598">
        <v>7.0059948515725248</v>
      </c>
      <c r="P261" s="598">
        <v>6.8079996649102563</v>
      </c>
      <c r="Q261" s="598">
        <v>6.6095746897384897</v>
      </c>
      <c r="R261" s="598">
        <v>6.4833049231550159</v>
      </c>
      <c r="S261" s="598">
        <v>6.4298956896124597</v>
      </c>
      <c r="T261" s="598">
        <v>6.3769855407931031</v>
      </c>
      <c r="U261" s="598">
        <v>6.3245906744837326</v>
      </c>
      <c r="V261" s="598">
        <v>6.2727318513506249</v>
      </c>
      <c r="W261" s="598">
        <v>6.2214354973393835</v>
      </c>
      <c r="X261" s="598">
        <v>6.1707363125491463</v>
      </c>
      <c r="Y261" s="598">
        <v>6.1206428644643127</v>
      </c>
      <c r="Z261" s="598">
        <v>6.0712004577656948</v>
      </c>
      <c r="AA261" s="598">
        <v>6.0223983265473446</v>
      </c>
      <c r="AB261" s="598">
        <v>5.9741760314879402</v>
      </c>
      <c r="AC261" s="598">
        <v>5.926506036047293</v>
      </c>
      <c r="AD261" s="598">
        <v>5.879395245596319</v>
      </c>
      <c r="AE261" s="598">
        <v>5.832862657978958</v>
      </c>
      <c r="AF261" s="598">
        <v>5.7869184302895595</v>
      </c>
      <c r="AG261" s="598">
        <v>5.7415702229390089</v>
      </c>
      <c r="AH261" s="598">
        <v>5.6968029564988116</v>
      </c>
      <c r="AI261" s="598">
        <v>5.6526092593821371</v>
      </c>
      <c r="AJ261" s="598">
        <v>5.6090148715334029</v>
      </c>
      <c r="AK261" s="598">
        <v>5.5660396193058697</v>
      </c>
      <c r="AL261" s="598"/>
      <c r="AM261" s="598"/>
      <c r="AN261" s="598"/>
      <c r="AO261" s="598"/>
      <c r="AP261" s="598"/>
      <c r="AQ261" s="598"/>
      <c r="AR261" s="598"/>
      <c r="AS261" s="598"/>
      <c r="AT261" s="598"/>
      <c r="AU261" s="598"/>
      <c r="AV261" s="598"/>
      <c r="AW261" s="598"/>
      <c r="AX261" s="598"/>
      <c r="AY261" s="598"/>
      <c r="AZ261" s="598"/>
      <c r="BA261" s="598"/>
      <c r="BB261" s="598"/>
      <c r="BC261" s="598"/>
      <c r="BD261" s="598"/>
      <c r="BE261" s="598"/>
      <c r="BF261" s="598"/>
      <c r="BG261" s="598"/>
      <c r="BH261" s="598"/>
      <c r="BI261" s="598"/>
      <c r="BJ261" s="598"/>
      <c r="BK261" s="598"/>
      <c r="BL261" s="598"/>
      <c r="BM261" s="598"/>
      <c r="BN261" s="598"/>
      <c r="BO261" s="598"/>
      <c r="BP261" s="598"/>
      <c r="BQ261" s="598"/>
      <c r="BR261" s="598"/>
      <c r="BS261" s="598"/>
      <c r="BT261" s="598"/>
      <c r="BU261" s="598"/>
      <c r="BV261" s="598"/>
      <c r="BW261" s="598"/>
      <c r="BX261" s="598"/>
      <c r="BY261" s="598"/>
      <c r="BZ261" s="598"/>
      <c r="CA261" s="598"/>
      <c r="CB261" s="598"/>
      <c r="CC261" s="598"/>
      <c r="CD261" s="598"/>
      <c r="CE261" s="598"/>
      <c r="CF261" s="598"/>
      <c r="CG261" s="598"/>
      <c r="CH261" s="598"/>
      <c r="CI261" s="599"/>
      <c r="CK261" s="1293"/>
    </row>
    <row r="262" spans="1:89" s="1292" customFormat="1" x14ac:dyDescent="0.2">
      <c r="A262" s="1284"/>
      <c r="B262" s="871" t="s">
        <v>575</v>
      </c>
      <c r="C262" s="870" t="s">
        <v>576</v>
      </c>
      <c r="D262" s="872" t="s">
        <v>577</v>
      </c>
      <c r="E262" s="868" t="s">
        <v>344</v>
      </c>
      <c r="F262" s="869">
        <v>2</v>
      </c>
      <c r="G262" s="547">
        <f>SUM(G258:G261)</f>
        <v>0</v>
      </c>
      <c r="H262" s="547">
        <f t="shared" ref="H262:AK262" si="136">SUM(H258:H261)</f>
        <v>0</v>
      </c>
      <c r="I262" s="547">
        <f t="shared" si="136"/>
        <v>26.97245368072717</v>
      </c>
      <c r="J262" s="547">
        <f t="shared" si="136"/>
        <v>27.401462298674851</v>
      </c>
      <c r="K262" s="547">
        <f t="shared" si="136"/>
        <v>27.412379914960511</v>
      </c>
      <c r="L262" s="547">
        <f t="shared" si="136"/>
        <v>27.352438323298308</v>
      </c>
      <c r="M262" s="552">
        <f t="shared" si="136"/>
        <v>27.65647615794547</v>
      </c>
      <c r="N262" s="552">
        <f t="shared" si="136"/>
        <v>28.282655363480135</v>
      </c>
      <c r="O262" s="552">
        <f t="shared" si="136"/>
        <v>28.74024419848406</v>
      </c>
      <c r="P262" s="552">
        <f t="shared" si="136"/>
        <v>29.133674970223964</v>
      </c>
      <c r="Q262" s="552">
        <f t="shared" si="136"/>
        <v>29.426306577936579</v>
      </c>
      <c r="R262" s="552">
        <f t="shared" si="136"/>
        <v>29.662458888112717</v>
      </c>
      <c r="S262" s="552">
        <f t="shared" si="136"/>
        <v>29.842734935423081</v>
      </c>
      <c r="T262" s="552">
        <f t="shared" si="136"/>
        <v>30.004317809782886</v>
      </c>
      <c r="U262" s="552">
        <f t="shared" si="136"/>
        <v>30.164071966434957</v>
      </c>
      <c r="V262" s="552">
        <f t="shared" si="136"/>
        <v>30.327016517223019</v>
      </c>
      <c r="W262" s="552">
        <f t="shared" si="136"/>
        <v>30.494309579136058</v>
      </c>
      <c r="X262" s="552">
        <f t="shared" si="136"/>
        <v>30.65656558362495</v>
      </c>
      <c r="Y262" s="552">
        <f t="shared" si="136"/>
        <v>30.823977430910009</v>
      </c>
      <c r="Z262" s="552">
        <f t="shared" si="136"/>
        <v>30.989958452387373</v>
      </c>
      <c r="AA262" s="552">
        <f t="shared" si="136"/>
        <v>31.138570957104172</v>
      </c>
      <c r="AB262" s="552">
        <f t="shared" si="136"/>
        <v>31.27855279878818</v>
      </c>
      <c r="AC262" s="552">
        <f t="shared" si="136"/>
        <v>31.419962825490266</v>
      </c>
      <c r="AD262" s="552">
        <f t="shared" si="136"/>
        <v>31.565151439455548</v>
      </c>
      <c r="AE262" s="552">
        <f t="shared" si="136"/>
        <v>31.711015455711991</v>
      </c>
      <c r="AF262" s="552">
        <f t="shared" si="136"/>
        <v>31.857084195594641</v>
      </c>
      <c r="AG262" s="552">
        <f t="shared" si="136"/>
        <v>31.999656803679322</v>
      </c>
      <c r="AH262" s="552">
        <f t="shared" si="136"/>
        <v>32.140291045287285</v>
      </c>
      <c r="AI262" s="552">
        <f t="shared" si="136"/>
        <v>32.29038729113401</v>
      </c>
      <c r="AJ262" s="552">
        <f t="shared" si="136"/>
        <v>32.450077624346932</v>
      </c>
      <c r="AK262" s="552">
        <f t="shared" si="136"/>
        <v>32.616969688625346</v>
      </c>
      <c r="AL262" s="552"/>
      <c r="AM262" s="552"/>
      <c r="AN262" s="552"/>
      <c r="AO262" s="552"/>
      <c r="AP262" s="552"/>
      <c r="AQ262" s="552"/>
      <c r="AR262" s="552"/>
      <c r="AS262" s="552"/>
      <c r="AT262" s="552"/>
      <c r="AU262" s="552"/>
      <c r="AV262" s="552"/>
      <c r="AW262" s="552"/>
      <c r="AX262" s="552"/>
      <c r="AY262" s="552"/>
      <c r="AZ262" s="552"/>
      <c r="BA262" s="552"/>
      <c r="BB262" s="552"/>
      <c r="BC262" s="552"/>
      <c r="BD262" s="552"/>
      <c r="BE262" s="552"/>
      <c r="BF262" s="552"/>
      <c r="BG262" s="552"/>
      <c r="BH262" s="552"/>
      <c r="BI262" s="552"/>
      <c r="BJ262" s="552"/>
      <c r="BK262" s="552"/>
      <c r="BL262" s="552"/>
      <c r="BM262" s="552"/>
      <c r="BN262" s="552"/>
      <c r="BO262" s="552"/>
      <c r="BP262" s="552"/>
      <c r="BQ262" s="552"/>
      <c r="BR262" s="552"/>
      <c r="BS262" s="552"/>
      <c r="BT262" s="552"/>
      <c r="BU262" s="552"/>
      <c r="BV262" s="552"/>
      <c r="BW262" s="552"/>
      <c r="BX262" s="552"/>
      <c r="BY262" s="552"/>
      <c r="BZ262" s="552"/>
      <c r="CA262" s="552"/>
      <c r="CB262" s="552"/>
      <c r="CC262" s="552"/>
      <c r="CD262" s="552"/>
      <c r="CE262" s="552"/>
      <c r="CF262" s="552"/>
      <c r="CG262" s="552"/>
      <c r="CH262" s="552"/>
      <c r="CI262" s="548"/>
      <c r="CK262" s="1293"/>
    </row>
    <row r="263" spans="1:89" s="1292" customFormat="1" ht="28.5" x14ac:dyDescent="0.2">
      <c r="A263" s="1284"/>
      <c r="B263" s="871" t="s">
        <v>578</v>
      </c>
      <c r="C263" s="870" t="s">
        <v>579</v>
      </c>
      <c r="D263" s="872" t="s">
        <v>580</v>
      </c>
      <c r="E263" s="868" t="s">
        <v>581</v>
      </c>
      <c r="F263" s="869">
        <v>1</v>
      </c>
      <c r="G263" s="575" t="e">
        <f>(G261+G260)/(G247+G255)</f>
        <v>#DIV/0!</v>
      </c>
      <c r="H263" s="575" t="e">
        <f t="shared" ref="H263:AK263" si="137">(H261+H260)/(H247+H255)</f>
        <v>#DIV/0!</v>
      </c>
      <c r="I263" s="575">
        <f t="shared" si="137"/>
        <v>2.4864806823505456</v>
      </c>
      <c r="J263" s="575">
        <f t="shared" si="137"/>
        <v>2.4801307814684153</v>
      </c>
      <c r="K263" s="575">
        <f t="shared" si="137"/>
        <v>2.4751919145884309</v>
      </c>
      <c r="L263" s="575">
        <f t="shared" si="137"/>
        <v>2.4666303078991518</v>
      </c>
      <c r="M263" s="575">
        <f t="shared" si="137"/>
        <v>2.462838758319541</v>
      </c>
      <c r="N263" s="575">
        <f t="shared" si="137"/>
        <v>2.4548836349154795</v>
      </c>
      <c r="O263" s="575">
        <f t="shared" si="137"/>
        <v>2.4471021673208297</v>
      </c>
      <c r="P263" s="575">
        <f t="shared" si="137"/>
        <v>2.4389014279824952</v>
      </c>
      <c r="Q263" s="575">
        <f t="shared" si="137"/>
        <v>2.4292301314109017</v>
      </c>
      <c r="R263" s="575">
        <f t="shared" si="137"/>
        <v>2.4194924049718378</v>
      </c>
      <c r="S263" s="575">
        <f t="shared" si="137"/>
        <v>2.4100132709668509</v>
      </c>
      <c r="T263" s="575">
        <f t="shared" si="137"/>
        <v>2.401033935255124</v>
      </c>
      <c r="U263" s="575">
        <f t="shared" si="137"/>
        <v>2.3926633852314039</v>
      </c>
      <c r="V263" s="575">
        <f t="shared" si="137"/>
        <v>2.3850376824043669</v>
      </c>
      <c r="W263" s="575">
        <f t="shared" si="137"/>
        <v>2.3783521918232697</v>
      </c>
      <c r="X263" s="575">
        <f t="shared" si="137"/>
        <v>2.3720928731282456</v>
      </c>
      <c r="Y263" s="575">
        <f t="shared" si="137"/>
        <v>2.3670373220735574</v>
      </c>
      <c r="Z263" s="575">
        <f t="shared" si="137"/>
        <v>2.362050214689043</v>
      </c>
      <c r="AA263" s="575">
        <f t="shared" si="137"/>
        <v>2.3560823491690677</v>
      </c>
      <c r="AB263" s="575">
        <f t="shared" si="137"/>
        <v>2.3497821941295274</v>
      </c>
      <c r="AC263" s="575">
        <f t="shared" si="137"/>
        <v>2.3438591534076996</v>
      </c>
      <c r="AD263" s="575">
        <f t="shared" si="137"/>
        <v>2.3385786673444744</v>
      </c>
      <c r="AE263" s="575">
        <f t="shared" si="137"/>
        <v>2.333771569219345</v>
      </c>
      <c r="AF263" s="575">
        <f t="shared" si="137"/>
        <v>2.329396514940969</v>
      </c>
      <c r="AG263" s="575">
        <f t="shared" si="137"/>
        <v>2.3249766424870932</v>
      </c>
      <c r="AH263" s="575">
        <f t="shared" si="137"/>
        <v>2.32066871699918</v>
      </c>
      <c r="AI263" s="575">
        <f t="shared" si="137"/>
        <v>2.317183810255615</v>
      </c>
      <c r="AJ263" s="575">
        <f t="shared" si="137"/>
        <v>2.3144196861912252</v>
      </c>
      <c r="AK263" s="575">
        <f t="shared" si="137"/>
        <v>2.3122517417865383</v>
      </c>
      <c r="AL263" s="575"/>
      <c r="AM263" s="575"/>
      <c r="AN263" s="575"/>
      <c r="AO263" s="575"/>
      <c r="AP263" s="575"/>
      <c r="AQ263" s="575"/>
      <c r="AR263" s="575"/>
      <c r="AS263" s="575"/>
      <c r="AT263" s="575"/>
      <c r="AU263" s="575"/>
      <c r="AV263" s="575"/>
      <c r="AW263" s="575"/>
      <c r="AX263" s="575"/>
      <c r="AY263" s="575"/>
      <c r="AZ263" s="575"/>
      <c r="BA263" s="575"/>
      <c r="BB263" s="575"/>
      <c r="BC263" s="575"/>
      <c r="BD263" s="575"/>
      <c r="BE263" s="575"/>
      <c r="BF263" s="575"/>
      <c r="BG263" s="575"/>
      <c r="BH263" s="575"/>
      <c r="BI263" s="575"/>
      <c r="BJ263" s="575"/>
      <c r="BK263" s="575"/>
      <c r="BL263" s="575"/>
      <c r="BM263" s="575"/>
      <c r="BN263" s="575"/>
      <c r="BO263" s="575"/>
      <c r="BP263" s="575"/>
      <c r="BQ263" s="575"/>
      <c r="BR263" s="575"/>
      <c r="BS263" s="575"/>
      <c r="BT263" s="575"/>
      <c r="BU263" s="575"/>
      <c r="BV263" s="575"/>
      <c r="BW263" s="575"/>
      <c r="BX263" s="575"/>
      <c r="BY263" s="575"/>
      <c r="BZ263" s="575"/>
      <c r="CA263" s="575"/>
      <c r="CB263" s="575"/>
      <c r="CC263" s="575"/>
      <c r="CD263" s="575"/>
      <c r="CE263" s="575"/>
      <c r="CF263" s="575"/>
      <c r="CG263" s="575"/>
      <c r="CH263" s="575"/>
      <c r="CI263" s="575"/>
      <c r="CK263" s="1293"/>
    </row>
    <row r="264" spans="1:89" s="1292" customFormat="1" ht="28.5" x14ac:dyDescent="0.2">
      <c r="A264" s="1284"/>
      <c r="B264" s="871" t="s">
        <v>582</v>
      </c>
      <c r="C264" s="870" t="s">
        <v>583</v>
      </c>
      <c r="D264" s="872" t="s">
        <v>584</v>
      </c>
      <c r="E264" s="868" t="s">
        <v>375</v>
      </c>
      <c r="F264" s="869">
        <v>1</v>
      </c>
      <c r="G264" s="617" t="e">
        <f>G247/(G247+G255)</f>
        <v>#DIV/0!</v>
      </c>
      <c r="H264" s="617" t="e">
        <f t="shared" ref="H264:AK264" si="138">H247/(H247+H255)</f>
        <v>#DIV/0!</v>
      </c>
      <c r="I264" s="617">
        <f t="shared" si="138"/>
        <v>0.68265476854433904</v>
      </c>
      <c r="J264" s="617">
        <f t="shared" si="138"/>
        <v>0.69246549587824457</v>
      </c>
      <c r="K264" s="617">
        <f t="shared" si="138"/>
        <v>0.69761324103173861</v>
      </c>
      <c r="L264" s="617">
        <f t="shared" si="138"/>
        <v>0.72712205421877885</v>
      </c>
      <c r="M264" s="618">
        <f t="shared" si="138"/>
        <v>0.77710772076997292</v>
      </c>
      <c r="N264" s="618">
        <f t="shared" si="138"/>
        <v>0.80545662194722456</v>
      </c>
      <c r="O264" s="618">
        <f t="shared" si="138"/>
        <v>0.81541253816571302</v>
      </c>
      <c r="P264" s="618">
        <f t="shared" si="138"/>
        <v>0.82465993201585108</v>
      </c>
      <c r="Q264" s="618">
        <f t="shared" si="138"/>
        <v>0.83314505906879788</v>
      </c>
      <c r="R264" s="618">
        <f t="shared" si="138"/>
        <v>0.83835813386943503</v>
      </c>
      <c r="S264" s="618">
        <f t="shared" si="138"/>
        <v>0.84039352041848048</v>
      </c>
      <c r="T264" s="618">
        <f t="shared" si="138"/>
        <v>0.84226746193319169</v>
      </c>
      <c r="U264" s="618">
        <f t="shared" si="138"/>
        <v>0.84407876660436021</v>
      </c>
      <c r="V264" s="618">
        <f t="shared" si="138"/>
        <v>0.84584408404088751</v>
      </c>
      <c r="W264" s="618">
        <f t="shared" si="138"/>
        <v>0.84755686669017194</v>
      </c>
      <c r="X264" s="618">
        <f t="shared" si="138"/>
        <v>0.84919843447764265</v>
      </c>
      <c r="Y264" s="618">
        <f t="shared" si="138"/>
        <v>0.85077182234911508</v>
      </c>
      <c r="Z264" s="618">
        <f t="shared" si="138"/>
        <v>0.852312458637701</v>
      </c>
      <c r="AA264" s="618">
        <f t="shared" si="138"/>
        <v>0.85381551583303361</v>
      </c>
      <c r="AB264" s="618">
        <f t="shared" si="138"/>
        <v>0.85528305191822407</v>
      </c>
      <c r="AC264" s="618">
        <f t="shared" si="138"/>
        <v>0.85671665940381025</v>
      </c>
      <c r="AD264" s="618">
        <f t="shared" si="138"/>
        <v>0.85810928478608006</v>
      </c>
      <c r="AE264" s="618">
        <f t="shared" si="138"/>
        <v>0.85945899265049541</v>
      </c>
      <c r="AF264" s="618">
        <f t="shared" si="138"/>
        <v>0.86076997811608669</v>
      </c>
      <c r="AG264" s="618">
        <f t="shared" si="138"/>
        <v>0.86205168684889388</v>
      </c>
      <c r="AH264" s="618">
        <f t="shared" si="138"/>
        <v>0.86330463627409615</v>
      </c>
      <c r="AI264" s="618">
        <f t="shared" si="138"/>
        <v>0.86453667245767696</v>
      </c>
      <c r="AJ264" s="618">
        <f t="shared" si="138"/>
        <v>0.86575306828659404</v>
      </c>
      <c r="AK264" s="618">
        <f t="shared" si="138"/>
        <v>0.86695263339777073</v>
      </c>
      <c r="AL264" s="618"/>
      <c r="AM264" s="618"/>
      <c r="AN264" s="618"/>
      <c r="AO264" s="618"/>
      <c r="AP264" s="618"/>
      <c r="AQ264" s="618"/>
      <c r="AR264" s="618"/>
      <c r="AS264" s="618"/>
      <c r="AT264" s="618"/>
      <c r="AU264" s="618"/>
      <c r="AV264" s="618"/>
      <c r="AW264" s="618"/>
      <c r="AX264" s="618"/>
      <c r="AY264" s="618"/>
      <c r="AZ264" s="618"/>
      <c r="BA264" s="618"/>
      <c r="BB264" s="618"/>
      <c r="BC264" s="618"/>
      <c r="BD264" s="618"/>
      <c r="BE264" s="618"/>
      <c r="BF264" s="618"/>
      <c r="BG264" s="618"/>
      <c r="BH264" s="618"/>
      <c r="BI264" s="618"/>
      <c r="BJ264" s="618"/>
      <c r="BK264" s="618"/>
      <c r="BL264" s="618"/>
      <c r="BM264" s="618"/>
      <c r="BN264" s="618"/>
      <c r="BO264" s="618"/>
      <c r="BP264" s="618"/>
      <c r="BQ264" s="618"/>
      <c r="BR264" s="618"/>
      <c r="BS264" s="618"/>
      <c r="BT264" s="618"/>
      <c r="BU264" s="618"/>
      <c r="BV264" s="618"/>
      <c r="BW264" s="618"/>
      <c r="BX264" s="618"/>
      <c r="BY264" s="618"/>
      <c r="BZ264" s="618"/>
      <c r="CA264" s="618"/>
      <c r="CB264" s="618"/>
      <c r="CC264" s="618"/>
      <c r="CD264" s="618"/>
      <c r="CE264" s="618"/>
      <c r="CF264" s="618"/>
      <c r="CG264" s="618"/>
      <c r="CH264" s="618"/>
      <c r="CI264" s="619"/>
      <c r="CK264" s="1293"/>
    </row>
    <row r="265" spans="1:89" s="1292" customFormat="1" ht="29.25" thickBot="1" x14ac:dyDescent="0.25">
      <c r="A265" s="1284"/>
      <c r="B265" s="873" t="s">
        <v>585</v>
      </c>
      <c r="C265" s="874" t="s">
        <v>586</v>
      </c>
      <c r="D265" s="875" t="s">
        <v>587</v>
      </c>
      <c r="E265" s="876" t="s">
        <v>375</v>
      </c>
      <c r="F265" s="877">
        <v>1</v>
      </c>
      <c r="G265" s="625" t="e">
        <f>(G247)/(G247+G256+G255+G254)</f>
        <v>#DIV/0!</v>
      </c>
      <c r="H265" s="625" t="e">
        <f t="shared" ref="H265:AK265" si="139">(H247)/(H247+H256+H255+H254)</f>
        <v>#DIV/0!</v>
      </c>
      <c r="I265" s="625">
        <f t="shared" si="139"/>
        <v>0.66365443701427795</v>
      </c>
      <c r="J265" s="625">
        <f t="shared" si="139"/>
        <v>0.67306512060629986</v>
      </c>
      <c r="K265" s="625">
        <f t="shared" si="139"/>
        <v>0.67803929690409015</v>
      </c>
      <c r="L265" s="625">
        <f t="shared" si="139"/>
        <v>0.70654484159404463</v>
      </c>
      <c r="M265" s="625">
        <f t="shared" si="139"/>
        <v>0.75479879652420323</v>
      </c>
      <c r="N265" s="625">
        <f t="shared" si="139"/>
        <v>0.78214756567930299</v>
      </c>
      <c r="O265" s="625">
        <f t="shared" si="139"/>
        <v>0.79174915299855775</v>
      </c>
      <c r="P265" s="625">
        <f t="shared" si="139"/>
        <v>0.80066599571685459</v>
      </c>
      <c r="Q265" s="625">
        <f t="shared" si="139"/>
        <v>0.8088466006613465</v>
      </c>
      <c r="R265" s="625">
        <f t="shared" si="139"/>
        <v>0.81387200563114226</v>
      </c>
      <c r="S265" s="625">
        <f t="shared" si="139"/>
        <v>0.81583399916590271</v>
      </c>
      <c r="T265" s="625">
        <f t="shared" si="139"/>
        <v>0.81764030983307934</v>
      </c>
      <c r="U265" s="625">
        <f t="shared" si="139"/>
        <v>0.81938619019936443</v>
      </c>
      <c r="V265" s="625">
        <f t="shared" si="139"/>
        <v>0.82108769328470166</v>
      </c>
      <c r="W265" s="625">
        <f t="shared" si="139"/>
        <v>0.82273851244369389</v>
      </c>
      <c r="X265" s="625">
        <f t="shared" si="139"/>
        <v>0.82432064852221187</v>
      </c>
      <c r="Y265" s="625">
        <f t="shared" si="139"/>
        <v>0.82583703214918336</v>
      </c>
      <c r="Z265" s="625">
        <f t="shared" si="139"/>
        <v>0.82732181196625987</v>
      </c>
      <c r="AA265" s="625">
        <f t="shared" si="139"/>
        <v>0.82877033811597267</v>
      </c>
      <c r="AB265" s="625">
        <f t="shared" si="139"/>
        <v>0.83018459658759391</v>
      </c>
      <c r="AC265" s="625">
        <f t="shared" si="139"/>
        <v>0.83156612455332357</v>
      </c>
      <c r="AD265" s="625">
        <f t="shared" si="139"/>
        <v>0.83290812735016784</v>
      </c>
      <c r="AE265" s="625">
        <f t="shared" si="139"/>
        <v>0.83420874275278667</v>
      </c>
      <c r="AF265" s="625">
        <f t="shared" si="139"/>
        <v>0.83547201597101517</v>
      </c>
      <c r="AG265" s="625">
        <f t="shared" si="139"/>
        <v>0.83670705107347565</v>
      </c>
      <c r="AH265" s="625">
        <f t="shared" si="139"/>
        <v>0.83791434844977075</v>
      </c>
      <c r="AI265" s="625">
        <f t="shared" si="139"/>
        <v>0.83910146980373335</v>
      </c>
      <c r="AJ265" s="625">
        <f t="shared" si="139"/>
        <v>0.84027349689049047</v>
      </c>
      <c r="AK265" s="625">
        <f t="shared" si="139"/>
        <v>0.84142928372514569</v>
      </c>
      <c r="AL265" s="625"/>
      <c r="AM265" s="625"/>
      <c r="AN265" s="625"/>
      <c r="AO265" s="625"/>
      <c r="AP265" s="625"/>
      <c r="AQ265" s="625"/>
      <c r="AR265" s="625"/>
      <c r="AS265" s="625"/>
      <c r="AT265" s="625"/>
      <c r="AU265" s="625"/>
      <c r="AV265" s="625"/>
      <c r="AW265" s="625"/>
      <c r="AX265" s="625"/>
      <c r="AY265" s="625"/>
      <c r="AZ265" s="625"/>
      <c r="BA265" s="625"/>
      <c r="BB265" s="625"/>
      <c r="BC265" s="625"/>
      <c r="BD265" s="625"/>
      <c r="BE265" s="625"/>
      <c r="BF265" s="625"/>
      <c r="BG265" s="625"/>
      <c r="BH265" s="625"/>
      <c r="BI265" s="625"/>
      <c r="BJ265" s="625"/>
      <c r="BK265" s="625"/>
      <c r="BL265" s="625"/>
      <c r="BM265" s="625"/>
      <c r="BN265" s="625"/>
      <c r="BO265" s="625"/>
      <c r="BP265" s="625"/>
      <c r="BQ265" s="625"/>
      <c r="BR265" s="625"/>
      <c r="BS265" s="625"/>
      <c r="BT265" s="625"/>
      <c r="BU265" s="625"/>
      <c r="BV265" s="625"/>
      <c r="BW265" s="625"/>
      <c r="BX265" s="625"/>
      <c r="BY265" s="625"/>
      <c r="BZ265" s="625"/>
      <c r="CA265" s="625"/>
      <c r="CB265" s="625"/>
      <c r="CC265" s="625"/>
      <c r="CD265" s="625"/>
      <c r="CE265" s="625"/>
      <c r="CF265" s="625"/>
      <c r="CG265" s="625"/>
      <c r="CH265" s="625"/>
      <c r="CI265" s="625"/>
      <c r="CK265" s="1293"/>
    </row>
    <row r="266" spans="1:89" s="1292" customFormat="1" ht="29.25" thickBot="1" x14ac:dyDescent="0.25">
      <c r="A266" s="1284"/>
      <c r="B266" s="878" t="s">
        <v>588</v>
      </c>
      <c r="C266" s="879" t="s">
        <v>245</v>
      </c>
      <c r="D266" s="879" t="s">
        <v>589</v>
      </c>
      <c r="E266" s="879" t="s">
        <v>236</v>
      </c>
      <c r="F266" s="880">
        <v>2</v>
      </c>
      <c r="G266" s="629">
        <f>SUM(G226:G228)+G224+G235+G240+G241+G234</f>
        <v>0</v>
      </c>
      <c r="H266" s="629">
        <f t="shared" ref="H266:AK266" si="140">SUM(H226:H228)+H224+H235+H240+H241+H234</f>
        <v>0</v>
      </c>
      <c r="I266" s="629">
        <f t="shared" si="140"/>
        <v>10.524737305639521</v>
      </c>
      <c r="J266" s="629">
        <f t="shared" si="140"/>
        <v>14.997342329153916</v>
      </c>
      <c r="K266" s="629">
        <f t="shared" si="140"/>
        <v>14.88644900490039</v>
      </c>
      <c r="L266" s="629">
        <f t="shared" si="140"/>
        <v>14.830026181354677</v>
      </c>
      <c r="M266" s="629">
        <f t="shared" si="140"/>
        <v>14.7457654823562</v>
      </c>
      <c r="N266" s="629">
        <f t="shared" si="140"/>
        <v>14.780848145451024</v>
      </c>
      <c r="O266" s="629">
        <f t="shared" si="140"/>
        <v>14.823869523005238</v>
      </c>
      <c r="P266" s="629">
        <f t="shared" si="140"/>
        <v>14.858891853499106</v>
      </c>
      <c r="Q266" s="629">
        <f t="shared" si="140"/>
        <v>14.880485765923027</v>
      </c>
      <c r="R266" s="629">
        <f t="shared" si="140"/>
        <v>14.903345455848717</v>
      </c>
      <c r="S266" s="629">
        <f t="shared" si="140"/>
        <v>14.927775581573716</v>
      </c>
      <c r="T266" s="629">
        <f t="shared" si="140"/>
        <v>14.95028163833075</v>
      </c>
      <c r="U266" s="629">
        <f t="shared" si="140"/>
        <v>14.972395875520002</v>
      </c>
      <c r="V266" s="629">
        <f t="shared" si="140"/>
        <v>14.995419777814892</v>
      </c>
      <c r="W266" s="629">
        <f t="shared" si="140"/>
        <v>15.019388916277798</v>
      </c>
      <c r="X266" s="629">
        <f t="shared" si="140"/>
        <v>15.043792798881992</v>
      </c>
      <c r="Y266" s="629">
        <f t="shared" si="140"/>
        <v>15.068868154325454</v>
      </c>
      <c r="Z266" s="629">
        <f t="shared" si="140"/>
        <v>15.094324489143078</v>
      </c>
      <c r="AA266" s="629">
        <f t="shared" si="140"/>
        <v>15.116828271716397</v>
      </c>
      <c r="AB266" s="629">
        <f t="shared" si="140"/>
        <v>15.133836287280946</v>
      </c>
      <c r="AC266" s="629">
        <f t="shared" si="140"/>
        <v>15.154878870340436</v>
      </c>
      <c r="AD266" s="629">
        <f t="shared" si="140"/>
        <v>15.177557374471869</v>
      </c>
      <c r="AE266" s="629">
        <f t="shared" si="140"/>
        <v>15.200506107980097</v>
      </c>
      <c r="AF266" s="629">
        <f t="shared" si="140"/>
        <v>15.223499966671662</v>
      </c>
      <c r="AG266" s="629">
        <f t="shared" si="140"/>
        <v>15.245659796338714</v>
      </c>
      <c r="AH266" s="629">
        <f t="shared" si="140"/>
        <v>15.268518824400587</v>
      </c>
      <c r="AI266" s="629">
        <f t="shared" si="140"/>
        <v>15.291993138943443</v>
      </c>
      <c r="AJ266" s="629">
        <f t="shared" si="140"/>
        <v>15.316523742148661</v>
      </c>
      <c r="AK266" s="629">
        <f t="shared" si="140"/>
        <v>15.341216563020755</v>
      </c>
      <c r="AL266" s="629"/>
      <c r="AM266" s="629"/>
      <c r="AN266" s="629"/>
      <c r="AO266" s="629"/>
      <c r="AP266" s="629"/>
      <c r="AQ266" s="629"/>
      <c r="AR266" s="629"/>
      <c r="AS266" s="629"/>
      <c r="AT266" s="629"/>
      <c r="AU266" s="629"/>
      <c r="AV266" s="629"/>
      <c r="AW266" s="629"/>
      <c r="AX266" s="629"/>
      <c r="AY266" s="629"/>
      <c r="AZ266" s="629"/>
      <c r="BA266" s="629"/>
      <c r="BB266" s="629"/>
      <c r="BC266" s="629"/>
      <c r="BD266" s="629"/>
      <c r="BE266" s="629"/>
      <c r="BF266" s="629"/>
      <c r="BG266" s="629"/>
      <c r="BH266" s="629"/>
      <c r="BI266" s="629"/>
      <c r="BJ266" s="629"/>
      <c r="BK266" s="629"/>
      <c r="BL266" s="629"/>
      <c r="BM266" s="629"/>
      <c r="BN266" s="629"/>
      <c r="BO266" s="629"/>
      <c r="BP266" s="629"/>
      <c r="BQ266" s="629"/>
      <c r="BR266" s="629"/>
      <c r="BS266" s="629"/>
      <c r="BT266" s="629"/>
      <c r="BU266" s="629"/>
      <c r="BV266" s="629"/>
      <c r="BW266" s="629"/>
      <c r="BX266" s="629"/>
      <c r="BY266" s="629"/>
      <c r="BZ266" s="629"/>
      <c r="CA266" s="629"/>
      <c r="CB266" s="629"/>
      <c r="CC266" s="629"/>
      <c r="CD266" s="629"/>
      <c r="CE266" s="629"/>
      <c r="CF266" s="629"/>
      <c r="CG266" s="629"/>
      <c r="CH266" s="629"/>
      <c r="CI266" s="629"/>
      <c r="CK266" s="1293"/>
    </row>
    <row r="267" spans="1:89" s="1292" customFormat="1" ht="28.5" x14ac:dyDescent="0.2">
      <c r="A267" s="1284"/>
      <c r="B267" s="881" t="s">
        <v>590</v>
      </c>
      <c r="C267" s="882" t="s">
        <v>591</v>
      </c>
      <c r="D267" s="816" t="s">
        <v>86</v>
      </c>
      <c r="E267" s="882" t="s">
        <v>236</v>
      </c>
      <c r="F267" s="883">
        <v>2</v>
      </c>
      <c r="G267" s="633"/>
      <c r="H267" s="540"/>
      <c r="I267" s="540">
        <v>0</v>
      </c>
      <c r="J267" s="540">
        <v>0</v>
      </c>
      <c r="K267" s="540">
        <v>0</v>
      </c>
      <c r="L267" s="540">
        <v>0</v>
      </c>
      <c r="M267" s="541">
        <v>0</v>
      </c>
      <c r="N267" s="541">
        <v>0</v>
      </c>
      <c r="O267" s="541">
        <v>0</v>
      </c>
      <c r="P267" s="541">
        <v>0</v>
      </c>
      <c r="Q267" s="541">
        <v>0</v>
      </c>
      <c r="R267" s="541">
        <v>0</v>
      </c>
      <c r="S267" s="541">
        <v>0</v>
      </c>
      <c r="T267" s="541">
        <v>0</v>
      </c>
      <c r="U267" s="541">
        <v>0</v>
      </c>
      <c r="V267" s="541">
        <v>0</v>
      </c>
      <c r="W267" s="541">
        <v>0</v>
      </c>
      <c r="X267" s="541">
        <v>0</v>
      </c>
      <c r="Y267" s="541">
        <v>0</v>
      </c>
      <c r="Z267" s="541">
        <v>0</v>
      </c>
      <c r="AA267" s="541">
        <v>0</v>
      </c>
      <c r="AB267" s="541">
        <v>0</v>
      </c>
      <c r="AC267" s="541">
        <v>0</v>
      </c>
      <c r="AD267" s="541">
        <v>0</v>
      </c>
      <c r="AE267" s="541">
        <v>0</v>
      </c>
      <c r="AF267" s="541">
        <v>0</v>
      </c>
      <c r="AG267" s="541">
        <v>0</v>
      </c>
      <c r="AH267" s="541">
        <v>0</v>
      </c>
      <c r="AI267" s="541">
        <v>0</v>
      </c>
      <c r="AJ267" s="541">
        <v>0</v>
      </c>
      <c r="AK267" s="541">
        <v>0</v>
      </c>
      <c r="AL267" s="541"/>
      <c r="AM267" s="541"/>
      <c r="AN267" s="541"/>
      <c r="AO267" s="541"/>
      <c r="AP267" s="541"/>
      <c r="AQ267" s="541"/>
      <c r="AR267" s="541"/>
      <c r="AS267" s="541"/>
      <c r="AT267" s="541"/>
      <c r="AU267" s="541"/>
      <c r="AV267" s="541"/>
      <c r="AW267" s="541"/>
      <c r="AX267" s="541"/>
      <c r="AY267" s="541"/>
      <c r="AZ267" s="541"/>
      <c r="BA267" s="541"/>
      <c r="BB267" s="541"/>
      <c r="BC267" s="541"/>
      <c r="BD267" s="541"/>
      <c r="BE267" s="541"/>
      <c r="BF267" s="541"/>
      <c r="BG267" s="541"/>
      <c r="BH267" s="541"/>
      <c r="BI267" s="541"/>
      <c r="BJ267" s="541"/>
      <c r="BK267" s="541"/>
      <c r="BL267" s="541"/>
      <c r="BM267" s="541"/>
      <c r="BN267" s="541"/>
      <c r="BO267" s="541"/>
      <c r="BP267" s="541"/>
      <c r="BQ267" s="541"/>
      <c r="BR267" s="541"/>
      <c r="BS267" s="541"/>
      <c r="BT267" s="541"/>
      <c r="BU267" s="541"/>
      <c r="BV267" s="541"/>
      <c r="BW267" s="541"/>
      <c r="BX267" s="541"/>
      <c r="BY267" s="541"/>
      <c r="BZ267" s="541"/>
      <c r="CA267" s="541"/>
      <c r="CB267" s="541"/>
      <c r="CC267" s="541"/>
      <c r="CD267" s="541"/>
      <c r="CE267" s="541"/>
      <c r="CF267" s="541"/>
      <c r="CG267" s="541"/>
      <c r="CH267" s="541"/>
      <c r="CI267" s="542"/>
    </row>
    <row r="268" spans="1:89" s="1292" customFormat="1" x14ac:dyDescent="0.2">
      <c r="A268" s="1284"/>
      <c r="B268" s="884" t="s">
        <v>592</v>
      </c>
      <c r="C268" s="885" t="s">
        <v>593</v>
      </c>
      <c r="D268" s="821" t="s">
        <v>86</v>
      </c>
      <c r="E268" s="885" t="s">
        <v>236</v>
      </c>
      <c r="F268" s="886">
        <v>2</v>
      </c>
      <c r="G268" s="637"/>
      <c r="H268" s="540"/>
      <c r="I268" s="540">
        <v>1.198928833840802</v>
      </c>
      <c r="J268" s="540">
        <v>1.26843224419106</v>
      </c>
      <c r="K268" s="540">
        <v>1.312453256896954</v>
      </c>
      <c r="L268" s="540">
        <v>1.279851588729108</v>
      </c>
      <c r="M268" s="541">
        <v>1.3054705255422749</v>
      </c>
      <c r="N268" s="541">
        <v>1.2905172002817631</v>
      </c>
      <c r="O268" s="541">
        <v>1.2468989380337021</v>
      </c>
      <c r="P268" s="541">
        <v>1.265758583831196</v>
      </c>
      <c r="Q268" s="541">
        <v>1.2710757865712741</v>
      </c>
      <c r="R268" s="541">
        <v>1.2795261426506099</v>
      </c>
      <c r="S268" s="541">
        <v>1.109217946261251</v>
      </c>
      <c r="T268" s="541">
        <v>0.44151219497483202</v>
      </c>
      <c r="U268" s="541">
        <v>0.42310749776372902</v>
      </c>
      <c r="V268" s="541">
        <v>0.38202714989766501</v>
      </c>
      <c r="W268" s="541">
        <v>0.360196926163452</v>
      </c>
      <c r="X268" s="541">
        <v>0.36521137339305498</v>
      </c>
      <c r="Y268" s="541">
        <v>0.36318474633411701</v>
      </c>
      <c r="Z268" s="541">
        <v>0.37082782892067501</v>
      </c>
      <c r="AA268" s="541">
        <v>0.37618737099245603</v>
      </c>
      <c r="AB268" s="541">
        <v>0.37825350830321403</v>
      </c>
      <c r="AC268" s="541">
        <v>0.361263021227819</v>
      </c>
      <c r="AD268" s="541">
        <v>0.35161651236574798</v>
      </c>
      <c r="AE268" s="541">
        <v>0.33747056263238501</v>
      </c>
      <c r="AF268" s="541">
        <v>0.330593702233134</v>
      </c>
      <c r="AG268" s="541">
        <v>0.32270736688977902</v>
      </c>
      <c r="AH268" s="541">
        <v>0.32731487713584001</v>
      </c>
      <c r="AI268" s="541">
        <v>0.33112001426618798</v>
      </c>
      <c r="AJ268" s="541">
        <v>0.33604659127751302</v>
      </c>
      <c r="AK268" s="541">
        <v>0.33765742391475201</v>
      </c>
      <c r="AL268" s="541"/>
      <c r="AM268" s="541"/>
      <c r="AN268" s="541"/>
      <c r="AO268" s="541"/>
      <c r="AP268" s="541"/>
      <c r="AQ268" s="541"/>
      <c r="AR268" s="541"/>
      <c r="AS268" s="541"/>
      <c r="AT268" s="541"/>
      <c r="AU268" s="541"/>
      <c r="AV268" s="541"/>
      <c r="AW268" s="541"/>
      <c r="AX268" s="541"/>
      <c r="AY268" s="541"/>
      <c r="AZ268" s="541"/>
      <c r="BA268" s="541"/>
      <c r="BB268" s="541"/>
      <c r="BC268" s="541"/>
      <c r="BD268" s="541"/>
      <c r="BE268" s="541"/>
      <c r="BF268" s="541"/>
      <c r="BG268" s="541"/>
      <c r="BH268" s="541"/>
      <c r="BI268" s="541"/>
      <c r="BJ268" s="541"/>
      <c r="BK268" s="541"/>
      <c r="BL268" s="541"/>
      <c r="BM268" s="541"/>
      <c r="BN268" s="541"/>
      <c r="BO268" s="541"/>
      <c r="BP268" s="541"/>
      <c r="BQ268" s="541"/>
      <c r="BR268" s="541"/>
      <c r="BS268" s="541"/>
      <c r="BT268" s="541"/>
      <c r="BU268" s="541"/>
      <c r="BV268" s="541"/>
      <c r="BW268" s="541"/>
      <c r="BX268" s="541"/>
      <c r="BY268" s="541"/>
      <c r="BZ268" s="541"/>
      <c r="CA268" s="541"/>
      <c r="CB268" s="541"/>
      <c r="CC268" s="541"/>
      <c r="CD268" s="541"/>
      <c r="CE268" s="541"/>
      <c r="CF268" s="541"/>
      <c r="CG268" s="541"/>
      <c r="CH268" s="541"/>
      <c r="CI268" s="542"/>
    </row>
    <row r="269" spans="1:89" s="1292" customFormat="1" x14ac:dyDescent="0.2">
      <c r="A269" s="1284"/>
      <c r="B269" s="884" t="s">
        <v>594</v>
      </c>
      <c r="C269" s="885" t="s">
        <v>384</v>
      </c>
      <c r="D269" s="821" t="s">
        <v>595</v>
      </c>
      <c r="E269" s="885" t="s">
        <v>236</v>
      </c>
      <c r="F269" s="886">
        <v>2</v>
      </c>
      <c r="G269" s="638">
        <f>G267+G268</f>
        <v>0</v>
      </c>
      <c r="H269" s="638">
        <f t="shared" ref="H269:AK269" si="141">H267+H268</f>
        <v>0</v>
      </c>
      <c r="I269" s="638">
        <f t="shared" si="141"/>
        <v>1.198928833840802</v>
      </c>
      <c r="J269" s="638">
        <f t="shared" si="141"/>
        <v>1.26843224419106</v>
      </c>
      <c r="K269" s="638">
        <f t="shared" si="141"/>
        <v>1.312453256896954</v>
      </c>
      <c r="L269" s="638">
        <f t="shared" si="141"/>
        <v>1.279851588729108</v>
      </c>
      <c r="M269" s="639">
        <f t="shared" si="141"/>
        <v>1.3054705255422749</v>
      </c>
      <c r="N269" s="639">
        <f t="shared" si="141"/>
        <v>1.2905172002817631</v>
      </c>
      <c r="O269" s="639">
        <f t="shared" si="141"/>
        <v>1.2468989380337021</v>
      </c>
      <c r="P269" s="639">
        <f t="shared" si="141"/>
        <v>1.265758583831196</v>
      </c>
      <c r="Q269" s="639">
        <f t="shared" si="141"/>
        <v>1.2710757865712741</v>
      </c>
      <c r="R269" s="639">
        <f t="shared" si="141"/>
        <v>1.2795261426506099</v>
      </c>
      <c r="S269" s="639">
        <f t="shared" si="141"/>
        <v>1.109217946261251</v>
      </c>
      <c r="T269" s="639">
        <f t="shared" si="141"/>
        <v>0.44151219497483202</v>
      </c>
      <c r="U269" s="639">
        <f t="shared" si="141"/>
        <v>0.42310749776372902</v>
      </c>
      <c r="V269" s="639">
        <f t="shared" si="141"/>
        <v>0.38202714989766501</v>
      </c>
      <c r="W269" s="639">
        <f t="shared" si="141"/>
        <v>0.360196926163452</v>
      </c>
      <c r="X269" s="639">
        <f t="shared" si="141"/>
        <v>0.36521137339305498</v>
      </c>
      <c r="Y269" s="639">
        <f t="shared" si="141"/>
        <v>0.36318474633411701</v>
      </c>
      <c r="Z269" s="639">
        <f t="shared" si="141"/>
        <v>0.37082782892067501</v>
      </c>
      <c r="AA269" s="639">
        <f t="shared" si="141"/>
        <v>0.37618737099245603</v>
      </c>
      <c r="AB269" s="639">
        <f t="shared" si="141"/>
        <v>0.37825350830321403</v>
      </c>
      <c r="AC269" s="639">
        <f t="shared" si="141"/>
        <v>0.361263021227819</v>
      </c>
      <c r="AD269" s="639">
        <f t="shared" si="141"/>
        <v>0.35161651236574798</v>
      </c>
      <c r="AE269" s="639">
        <f t="shared" si="141"/>
        <v>0.33747056263238501</v>
      </c>
      <c r="AF269" s="639">
        <f t="shared" si="141"/>
        <v>0.330593702233134</v>
      </c>
      <c r="AG269" s="639">
        <f t="shared" si="141"/>
        <v>0.32270736688977902</v>
      </c>
      <c r="AH269" s="639">
        <f t="shared" si="141"/>
        <v>0.32731487713584001</v>
      </c>
      <c r="AI269" s="639">
        <f t="shared" si="141"/>
        <v>0.33112001426618798</v>
      </c>
      <c r="AJ269" s="639">
        <f t="shared" si="141"/>
        <v>0.33604659127751302</v>
      </c>
      <c r="AK269" s="639">
        <f t="shared" si="141"/>
        <v>0.33765742391475201</v>
      </c>
      <c r="AL269" s="639"/>
      <c r="AM269" s="639"/>
      <c r="AN269" s="639"/>
      <c r="AO269" s="639"/>
      <c r="AP269" s="639"/>
      <c r="AQ269" s="639"/>
      <c r="AR269" s="639"/>
      <c r="AS269" s="639"/>
      <c r="AT269" s="639"/>
      <c r="AU269" s="639"/>
      <c r="AV269" s="639"/>
      <c r="AW269" s="639"/>
      <c r="AX269" s="639"/>
      <c r="AY269" s="639"/>
      <c r="AZ269" s="639"/>
      <c r="BA269" s="639"/>
      <c r="BB269" s="639"/>
      <c r="BC269" s="639"/>
      <c r="BD269" s="639"/>
      <c r="BE269" s="639"/>
      <c r="BF269" s="639"/>
      <c r="BG269" s="639"/>
      <c r="BH269" s="639"/>
      <c r="BI269" s="639"/>
      <c r="BJ269" s="639"/>
      <c r="BK269" s="639"/>
      <c r="BL269" s="639"/>
      <c r="BM269" s="639"/>
      <c r="BN269" s="639"/>
      <c r="BO269" s="639"/>
      <c r="BP269" s="639"/>
      <c r="BQ269" s="639"/>
      <c r="BR269" s="639"/>
      <c r="BS269" s="639"/>
      <c r="BT269" s="639"/>
      <c r="BU269" s="639"/>
      <c r="BV269" s="639"/>
      <c r="BW269" s="639"/>
      <c r="BX269" s="639"/>
      <c r="BY269" s="639"/>
      <c r="BZ269" s="639"/>
      <c r="CA269" s="639"/>
      <c r="CB269" s="639"/>
      <c r="CC269" s="639"/>
      <c r="CD269" s="639"/>
      <c r="CE269" s="639"/>
      <c r="CF269" s="639"/>
      <c r="CG269" s="639"/>
      <c r="CH269" s="639"/>
      <c r="CI269" s="640"/>
    </row>
    <row r="270" spans="1:89" s="1292" customFormat="1" x14ac:dyDescent="0.2">
      <c r="A270" s="1284"/>
      <c r="B270" s="1063" t="s">
        <v>596</v>
      </c>
      <c r="C270" s="1064" t="s">
        <v>597</v>
      </c>
      <c r="D270" s="1065" t="s">
        <v>598</v>
      </c>
      <c r="E270" s="1064" t="s">
        <v>236</v>
      </c>
      <c r="F270" s="1066">
        <v>2</v>
      </c>
      <c r="G270" s="1072">
        <f>G223-G266</f>
        <v>0</v>
      </c>
      <c r="H270" s="638">
        <f t="shared" ref="H270:AK270" si="142">H223-H266</f>
        <v>0</v>
      </c>
      <c r="I270" s="638">
        <f t="shared" si="142"/>
        <v>4.2849726943604782</v>
      </c>
      <c r="J270" s="638">
        <f t="shared" si="142"/>
        <v>-0.18763232915391725</v>
      </c>
      <c r="K270" s="638">
        <f t="shared" si="142"/>
        <v>-7.6739004900391095E-2</v>
      </c>
      <c r="L270" s="638">
        <f t="shared" si="142"/>
        <v>-2.0316181354678164E-2</v>
      </c>
      <c r="M270" s="639">
        <f t="shared" si="142"/>
        <v>6.3944517643799159E-2</v>
      </c>
      <c r="N270" s="639">
        <f t="shared" si="142"/>
        <v>2.8861854548974719E-2</v>
      </c>
      <c r="O270" s="639">
        <f t="shared" si="142"/>
        <v>-1.4159523005238484E-2</v>
      </c>
      <c r="P270" s="639">
        <f t="shared" si="142"/>
        <v>-4.9181853499106865E-2</v>
      </c>
      <c r="Q270" s="639">
        <f t="shared" si="142"/>
        <v>-7.0775765923027478E-2</v>
      </c>
      <c r="R270" s="639">
        <f t="shared" si="142"/>
        <v>-9.3635455848717797E-2</v>
      </c>
      <c r="S270" s="639">
        <f t="shared" si="142"/>
        <v>-0.11806558157371683</v>
      </c>
      <c r="T270" s="639">
        <f t="shared" si="142"/>
        <v>-0.14057163833075137</v>
      </c>
      <c r="U270" s="639">
        <f t="shared" si="142"/>
        <v>-0.16268587552000291</v>
      </c>
      <c r="V270" s="639">
        <f t="shared" si="142"/>
        <v>-0.18570977781489262</v>
      </c>
      <c r="W270" s="639">
        <f t="shared" si="142"/>
        <v>-0.20967891627779878</v>
      </c>
      <c r="X270" s="639">
        <f t="shared" si="142"/>
        <v>-0.23408279888199246</v>
      </c>
      <c r="Y270" s="639">
        <f t="shared" si="142"/>
        <v>-0.25915815432545486</v>
      </c>
      <c r="Z270" s="639">
        <f t="shared" si="142"/>
        <v>-0.2846144891430793</v>
      </c>
      <c r="AA270" s="639">
        <f t="shared" si="142"/>
        <v>-0.30711827171639783</v>
      </c>
      <c r="AB270" s="639">
        <f t="shared" si="142"/>
        <v>-0.32412628728094717</v>
      </c>
      <c r="AC270" s="639">
        <f t="shared" si="142"/>
        <v>-0.34516887034043719</v>
      </c>
      <c r="AD270" s="639">
        <f t="shared" si="142"/>
        <v>-0.36784737447186977</v>
      </c>
      <c r="AE270" s="639">
        <f t="shared" si="142"/>
        <v>-0.39079610798009767</v>
      </c>
      <c r="AF270" s="639">
        <f t="shared" si="142"/>
        <v>-0.41378996667166312</v>
      </c>
      <c r="AG270" s="639">
        <f t="shared" si="142"/>
        <v>-0.43594979633871489</v>
      </c>
      <c r="AH270" s="639">
        <f t="shared" si="142"/>
        <v>-0.45880882440058812</v>
      </c>
      <c r="AI270" s="639">
        <f t="shared" si="142"/>
        <v>-0.4822831389434441</v>
      </c>
      <c r="AJ270" s="639">
        <f t="shared" si="142"/>
        <v>-0.50681374214866182</v>
      </c>
      <c r="AK270" s="639">
        <f t="shared" si="142"/>
        <v>-0.53150656302075561</v>
      </c>
      <c r="AL270" s="639"/>
      <c r="AM270" s="639"/>
      <c r="AN270" s="639"/>
      <c r="AO270" s="639"/>
      <c r="AP270" s="639"/>
      <c r="AQ270" s="639"/>
      <c r="AR270" s="639"/>
      <c r="AS270" s="639"/>
      <c r="AT270" s="639"/>
      <c r="AU270" s="639"/>
      <c r="AV270" s="639"/>
      <c r="AW270" s="639"/>
      <c r="AX270" s="639"/>
      <c r="AY270" s="639"/>
      <c r="AZ270" s="639"/>
      <c r="BA270" s="639"/>
      <c r="BB270" s="639"/>
      <c r="BC270" s="639"/>
      <c r="BD270" s="639"/>
      <c r="BE270" s="639"/>
      <c r="BF270" s="639"/>
      <c r="BG270" s="639"/>
      <c r="BH270" s="639"/>
      <c r="BI270" s="639"/>
      <c r="BJ270" s="639"/>
      <c r="BK270" s="639"/>
      <c r="BL270" s="639"/>
      <c r="BM270" s="639"/>
      <c r="BN270" s="639"/>
      <c r="BO270" s="639"/>
      <c r="BP270" s="639"/>
      <c r="BQ270" s="639"/>
      <c r="BR270" s="639"/>
      <c r="BS270" s="639"/>
      <c r="BT270" s="639"/>
      <c r="BU270" s="639"/>
      <c r="BV270" s="639"/>
      <c r="BW270" s="639"/>
      <c r="BX270" s="639"/>
      <c r="BY270" s="639"/>
      <c r="BZ270" s="639"/>
      <c r="CA270" s="639"/>
      <c r="CB270" s="639"/>
      <c r="CC270" s="639"/>
      <c r="CD270" s="639"/>
      <c r="CE270" s="639"/>
      <c r="CF270" s="639"/>
      <c r="CG270" s="639"/>
      <c r="CH270" s="639"/>
      <c r="CI270" s="640"/>
    </row>
    <row r="271" spans="1:89" s="1292" customFormat="1" ht="15" thickBot="1" x14ac:dyDescent="0.25">
      <c r="A271" s="1284"/>
      <c r="B271" s="1063" t="s">
        <v>599</v>
      </c>
      <c r="C271" s="1064" t="s">
        <v>600</v>
      </c>
      <c r="D271" s="1065" t="s">
        <v>601</v>
      </c>
      <c r="E271" s="1064" t="s">
        <v>236</v>
      </c>
      <c r="F271" s="1066">
        <v>2</v>
      </c>
      <c r="G271" s="1073">
        <f>G206-G225</f>
        <v>0</v>
      </c>
      <c r="H271" s="1074">
        <f t="shared" ref="H271:AK271" si="143">H206-H225</f>
        <v>0</v>
      </c>
      <c r="I271" s="1074">
        <f t="shared" si="143"/>
        <v>0</v>
      </c>
      <c r="J271" s="1074">
        <f t="shared" si="143"/>
        <v>0</v>
      </c>
      <c r="K271" s="1074">
        <f t="shared" si="143"/>
        <v>0</v>
      </c>
      <c r="L271" s="1074">
        <f t="shared" si="143"/>
        <v>0</v>
      </c>
      <c r="M271" s="1074">
        <f t="shared" si="143"/>
        <v>0</v>
      </c>
      <c r="N271" s="1074">
        <f t="shared" si="143"/>
        <v>0</v>
      </c>
      <c r="O271" s="1074">
        <f t="shared" si="143"/>
        <v>0</v>
      </c>
      <c r="P271" s="1074">
        <f t="shared" si="143"/>
        <v>0</v>
      </c>
      <c r="Q271" s="1074">
        <f t="shared" si="143"/>
        <v>0</v>
      </c>
      <c r="R271" s="1074">
        <f t="shared" si="143"/>
        <v>0</v>
      </c>
      <c r="S271" s="1074">
        <f t="shared" si="143"/>
        <v>0</v>
      </c>
      <c r="T271" s="1074">
        <f t="shared" si="143"/>
        <v>0</v>
      </c>
      <c r="U271" s="1074">
        <f t="shared" si="143"/>
        <v>0</v>
      </c>
      <c r="V271" s="1074">
        <f t="shared" si="143"/>
        <v>0</v>
      </c>
      <c r="W271" s="1074">
        <f t="shared" si="143"/>
        <v>0</v>
      </c>
      <c r="X271" s="1074">
        <f t="shared" si="143"/>
        <v>0</v>
      </c>
      <c r="Y271" s="1074">
        <f t="shared" si="143"/>
        <v>0</v>
      </c>
      <c r="Z271" s="1074">
        <f t="shared" si="143"/>
        <v>0</v>
      </c>
      <c r="AA271" s="1074">
        <f t="shared" si="143"/>
        <v>0</v>
      </c>
      <c r="AB271" s="1074">
        <f t="shared" si="143"/>
        <v>0</v>
      </c>
      <c r="AC271" s="1074">
        <f t="shared" si="143"/>
        <v>0</v>
      </c>
      <c r="AD271" s="1074">
        <f t="shared" si="143"/>
        <v>0</v>
      </c>
      <c r="AE271" s="1074">
        <f t="shared" si="143"/>
        <v>0</v>
      </c>
      <c r="AF271" s="1074">
        <f t="shared" si="143"/>
        <v>0</v>
      </c>
      <c r="AG271" s="1074">
        <f t="shared" si="143"/>
        <v>0</v>
      </c>
      <c r="AH271" s="1074">
        <f t="shared" si="143"/>
        <v>0</v>
      </c>
      <c r="AI271" s="1074">
        <f t="shared" si="143"/>
        <v>0</v>
      </c>
      <c r="AJ271" s="1074">
        <f t="shared" si="143"/>
        <v>0</v>
      </c>
      <c r="AK271" s="1074">
        <f t="shared" si="143"/>
        <v>0</v>
      </c>
      <c r="AL271" s="1074"/>
      <c r="AM271" s="1074"/>
      <c r="AN271" s="1074"/>
      <c r="AO271" s="1074"/>
      <c r="AP271" s="1074"/>
      <c r="AQ271" s="1074"/>
      <c r="AR271" s="1074"/>
      <c r="AS271" s="1074"/>
      <c r="AT271" s="1074"/>
      <c r="AU271" s="1074"/>
      <c r="AV271" s="1074"/>
      <c r="AW271" s="1074"/>
      <c r="AX271" s="1074"/>
      <c r="AY271" s="1074"/>
      <c r="AZ271" s="1074"/>
      <c r="BA271" s="1074"/>
      <c r="BB271" s="1074"/>
      <c r="BC271" s="1074"/>
      <c r="BD271" s="1074"/>
      <c r="BE271" s="1074"/>
      <c r="BF271" s="1074"/>
      <c r="BG271" s="1074"/>
      <c r="BH271" s="1074"/>
      <c r="BI271" s="1074"/>
      <c r="BJ271" s="1074"/>
      <c r="BK271" s="1074"/>
      <c r="BL271" s="1074"/>
      <c r="BM271" s="1074"/>
      <c r="BN271" s="1074"/>
      <c r="BO271" s="1074"/>
      <c r="BP271" s="1074"/>
      <c r="BQ271" s="1074"/>
      <c r="BR271" s="1074"/>
      <c r="BS271" s="1074"/>
      <c r="BT271" s="1074"/>
      <c r="BU271" s="1074"/>
      <c r="BV271" s="1074"/>
      <c r="BW271" s="1074"/>
      <c r="BX271" s="1074"/>
      <c r="BY271" s="1074"/>
      <c r="BZ271" s="1074"/>
      <c r="CA271" s="1074"/>
      <c r="CB271" s="1074"/>
      <c r="CC271" s="1074"/>
      <c r="CD271" s="1074"/>
      <c r="CE271" s="1074"/>
      <c r="CF271" s="1074"/>
      <c r="CG271" s="1074"/>
      <c r="CH271" s="1074"/>
      <c r="CI271" s="1074"/>
    </row>
    <row r="272" spans="1:89" s="1292" customFormat="1" ht="15" thickBot="1" x14ac:dyDescent="0.25">
      <c r="A272" s="1284"/>
      <c r="B272" s="887" t="s">
        <v>602</v>
      </c>
      <c r="C272" s="888" t="s">
        <v>393</v>
      </c>
      <c r="D272" s="889" t="s">
        <v>784</v>
      </c>
      <c r="E272" s="888" t="s">
        <v>236</v>
      </c>
      <c r="F272" s="890">
        <v>2</v>
      </c>
      <c r="G272" s="648">
        <f>G270-G269</f>
        <v>0</v>
      </c>
      <c r="H272" s="648">
        <f t="shared" ref="H272:AK272" si="144">H270-H269</f>
        <v>0</v>
      </c>
      <c r="I272" s="648">
        <f t="shared" si="144"/>
        <v>3.0860438605196761</v>
      </c>
      <c r="J272" s="648">
        <f t="shared" si="144"/>
        <v>-1.4560645733449773</v>
      </c>
      <c r="K272" s="648">
        <f t="shared" si="144"/>
        <v>-1.3891922617973451</v>
      </c>
      <c r="L272" s="648">
        <f t="shared" si="144"/>
        <v>-1.3001677700837861</v>
      </c>
      <c r="M272" s="649">
        <f t="shared" si="144"/>
        <v>-1.2415260078984758</v>
      </c>
      <c r="N272" s="649">
        <f t="shared" si="144"/>
        <v>-1.2616553457327884</v>
      </c>
      <c r="O272" s="649">
        <f t="shared" si="144"/>
        <v>-1.2610584610389406</v>
      </c>
      <c r="P272" s="649">
        <f t="shared" si="144"/>
        <v>-1.3149404373303029</v>
      </c>
      <c r="Q272" s="649">
        <f t="shared" si="144"/>
        <v>-1.3418515524943015</v>
      </c>
      <c r="R272" s="649">
        <f t="shared" si="144"/>
        <v>-1.3731615984993277</v>
      </c>
      <c r="S272" s="649">
        <f t="shared" si="144"/>
        <v>-1.2272835278349679</v>
      </c>
      <c r="T272" s="649">
        <f t="shared" si="144"/>
        <v>-0.58208383330558333</v>
      </c>
      <c r="U272" s="649">
        <f t="shared" si="144"/>
        <v>-0.58579337328373193</v>
      </c>
      <c r="V272" s="649">
        <f t="shared" si="144"/>
        <v>-0.56773692771255768</v>
      </c>
      <c r="W272" s="649">
        <f t="shared" si="144"/>
        <v>-0.56987584244125078</v>
      </c>
      <c r="X272" s="649">
        <f t="shared" si="144"/>
        <v>-0.59929417227504744</v>
      </c>
      <c r="Y272" s="649">
        <f t="shared" si="144"/>
        <v>-0.62234290065957187</v>
      </c>
      <c r="Z272" s="649">
        <f t="shared" si="144"/>
        <v>-0.6554423180637543</v>
      </c>
      <c r="AA272" s="649">
        <f t="shared" si="144"/>
        <v>-0.68330564270885386</v>
      </c>
      <c r="AB272" s="649">
        <f t="shared" si="144"/>
        <v>-0.70237979558416119</v>
      </c>
      <c r="AC272" s="649">
        <f t="shared" si="144"/>
        <v>-0.70643189156825614</v>
      </c>
      <c r="AD272" s="649">
        <f t="shared" si="144"/>
        <v>-0.71946388683761775</v>
      </c>
      <c r="AE272" s="649">
        <f t="shared" si="144"/>
        <v>-0.72826667061248274</v>
      </c>
      <c r="AF272" s="649">
        <f t="shared" si="144"/>
        <v>-0.74438366890479712</v>
      </c>
      <c r="AG272" s="649">
        <f t="shared" si="144"/>
        <v>-0.75865716322849397</v>
      </c>
      <c r="AH272" s="649">
        <f t="shared" si="144"/>
        <v>-0.78612370153642819</v>
      </c>
      <c r="AI272" s="649">
        <f t="shared" si="144"/>
        <v>-0.81340315320963208</v>
      </c>
      <c r="AJ272" s="649">
        <f t="shared" si="144"/>
        <v>-0.84286033342617483</v>
      </c>
      <c r="AK272" s="649">
        <f t="shared" si="144"/>
        <v>-0.86916398693550767</v>
      </c>
      <c r="AL272" s="649"/>
      <c r="AM272" s="649"/>
      <c r="AN272" s="649"/>
      <c r="AO272" s="649"/>
      <c r="AP272" s="649"/>
      <c r="AQ272" s="649"/>
      <c r="AR272" s="649"/>
      <c r="AS272" s="649"/>
      <c r="AT272" s="649"/>
      <c r="AU272" s="649"/>
      <c r="AV272" s="649"/>
      <c r="AW272" s="649"/>
      <c r="AX272" s="649"/>
      <c r="AY272" s="649"/>
      <c r="AZ272" s="649"/>
      <c r="BA272" s="649"/>
      <c r="BB272" s="649"/>
      <c r="BC272" s="649"/>
      <c r="BD272" s="649"/>
      <c r="BE272" s="649"/>
      <c r="BF272" s="649"/>
      <c r="BG272" s="649"/>
      <c r="BH272" s="649"/>
      <c r="BI272" s="649"/>
      <c r="BJ272" s="649"/>
      <c r="BK272" s="649"/>
      <c r="BL272" s="649"/>
      <c r="BM272" s="649"/>
      <c r="BN272" s="649"/>
      <c r="BO272" s="649"/>
      <c r="BP272" s="649"/>
      <c r="BQ272" s="649"/>
      <c r="BR272" s="649"/>
      <c r="BS272" s="649"/>
      <c r="BT272" s="649"/>
      <c r="BU272" s="649"/>
      <c r="BV272" s="649"/>
      <c r="BW272" s="649"/>
      <c r="BX272" s="649"/>
      <c r="BY272" s="649"/>
      <c r="BZ272" s="649"/>
      <c r="CA272" s="649"/>
      <c r="CB272" s="649"/>
      <c r="CC272" s="649"/>
      <c r="CD272" s="649"/>
      <c r="CE272" s="649"/>
      <c r="CF272" s="649"/>
      <c r="CG272" s="649"/>
      <c r="CH272" s="649"/>
      <c r="CI272" s="650"/>
    </row>
    <row r="273" spans="2:88" ht="15" thickBot="1" x14ac:dyDescent="0.25">
      <c r="B273" s="651"/>
      <c r="C273" s="652"/>
      <c r="D273" s="53"/>
      <c r="E273" s="652"/>
      <c r="F273" s="653"/>
      <c r="G273" s="654"/>
      <c r="H273" s="654"/>
      <c r="I273" s="654"/>
      <c r="J273" s="654"/>
      <c r="K273" s="654"/>
      <c r="L273" s="654"/>
      <c r="M273" s="654"/>
      <c r="N273" s="654"/>
      <c r="O273" s="654"/>
      <c r="P273" s="654"/>
      <c r="Q273" s="654"/>
      <c r="R273" s="654"/>
      <c r="S273" s="654"/>
      <c r="T273" s="654"/>
      <c r="U273" s="654"/>
      <c r="V273" s="654"/>
      <c r="W273" s="654"/>
      <c r="X273" s="654"/>
      <c r="Y273" s="654"/>
      <c r="Z273" s="654"/>
      <c r="AA273" s="654"/>
      <c r="AB273" s="654"/>
      <c r="AC273" s="654"/>
      <c r="AD273" s="654"/>
      <c r="AE273" s="654"/>
      <c r="AF273" s="654"/>
      <c r="AG273" s="654"/>
      <c r="AH273" s="654"/>
      <c r="AI273" s="654"/>
      <c r="AJ273" s="654"/>
      <c r="AK273" s="654"/>
      <c r="AL273" s="654"/>
      <c r="AM273" s="654"/>
      <c r="AN273" s="654"/>
      <c r="AO273" s="654"/>
      <c r="AP273" s="654"/>
      <c r="AQ273" s="654"/>
      <c r="AR273" s="654"/>
      <c r="AS273" s="654"/>
      <c r="AT273" s="654"/>
      <c r="AU273" s="654"/>
      <c r="AV273" s="654"/>
      <c r="AW273" s="654"/>
      <c r="AX273" s="654"/>
      <c r="AY273" s="654"/>
      <c r="AZ273" s="654"/>
      <c r="BA273" s="654"/>
      <c r="BB273" s="654"/>
      <c r="BC273" s="654"/>
      <c r="BD273" s="654"/>
      <c r="BE273" s="654"/>
      <c r="BF273" s="654"/>
      <c r="BG273" s="654"/>
      <c r="BH273" s="654"/>
      <c r="BI273" s="654"/>
      <c r="BJ273" s="654"/>
      <c r="BK273" s="654"/>
      <c r="BL273" s="654"/>
      <c r="BM273" s="654"/>
      <c r="BN273" s="654"/>
      <c r="BO273" s="654"/>
      <c r="BP273" s="654"/>
      <c r="BQ273" s="654"/>
      <c r="BR273" s="654"/>
      <c r="BS273" s="654"/>
      <c r="BT273" s="654"/>
      <c r="BU273" s="654"/>
      <c r="BV273" s="654"/>
      <c r="BW273" s="654"/>
      <c r="BX273" s="654"/>
      <c r="BY273" s="654"/>
      <c r="BZ273" s="654"/>
      <c r="CA273" s="654"/>
      <c r="CB273" s="654"/>
      <c r="CC273" s="654"/>
      <c r="CD273" s="654"/>
      <c r="CE273" s="654"/>
      <c r="CF273" s="654"/>
      <c r="CG273" s="654"/>
      <c r="CH273" s="654"/>
      <c r="CI273" s="654"/>
    </row>
    <row r="274" spans="2:88" ht="30.75" thickBot="1" x14ac:dyDescent="0.25">
      <c r="B274" s="891" t="s">
        <v>442</v>
      </c>
      <c r="C274" s="1307" t="s">
        <v>204</v>
      </c>
      <c r="D274" s="53"/>
      <c r="E274" s="652"/>
      <c r="F274" s="653"/>
      <c r="G274" s="654"/>
      <c r="H274" s="654"/>
      <c r="I274" s="654"/>
      <c r="J274" s="654"/>
      <c r="K274" s="654"/>
      <c r="L274" s="654"/>
      <c r="M274" s="654"/>
      <c r="N274" s="654"/>
      <c r="O274" s="654"/>
      <c r="P274" s="654"/>
      <c r="Q274" s="654"/>
      <c r="R274" s="654"/>
      <c r="S274" s="654"/>
      <c r="T274" s="654"/>
      <c r="U274" s="654"/>
      <c r="V274" s="654"/>
      <c r="W274" s="654"/>
      <c r="X274" s="654"/>
      <c r="Y274" s="654"/>
      <c r="Z274" s="654"/>
      <c r="AA274" s="654"/>
      <c r="AB274" s="654"/>
      <c r="AC274" s="654"/>
      <c r="AD274" s="654"/>
      <c r="AE274" s="654"/>
      <c r="AF274" s="654"/>
      <c r="AG274" s="654"/>
      <c r="AH274" s="654"/>
      <c r="AI274" s="654"/>
      <c r="AJ274" s="654"/>
      <c r="AK274" s="654"/>
      <c r="AL274" s="654"/>
      <c r="AM274" s="654"/>
      <c r="AN274" s="654"/>
      <c r="AO274" s="654"/>
      <c r="AP274" s="654"/>
      <c r="AQ274" s="654"/>
      <c r="AR274" s="654"/>
      <c r="AS274" s="654"/>
      <c r="AT274" s="654"/>
      <c r="AU274" s="654"/>
      <c r="AV274" s="654"/>
      <c r="AW274" s="654"/>
      <c r="AX274" s="654"/>
      <c r="AY274" s="654"/>
      <c r="AZ274" s="654"/>
      <c r="BA274" s="654"/>
      <c r="BB274" s="654"/>
      <c r="BC274" s="654"/>
      <c r="BD274" s="654"/>
      <c r="BE274" s="654"/>
      <c r="BF274" s="654"/>
      <c r="BG274" s="654"/>
      <c r="BH274" s="654"/>
      <c r="BI274" s="654"/>
      <c r="BJ274" s="654"/>
      <c r="BK274" s="654"/>
      <c r="BL274" s="654"/>
      <c r="BM274" s="654"/>
      <c r="BN274" s="654"/>
      <c r="BO274" s="654"/>
      <c r="BP274" s="654"/>
      <c r="BQ274" s="654"/>
      <c r="BR274" s="654"/>
      <c r="BS274" s="654"/>
      <c r="BT274" s="654"/>
      <c r="BU274" s="654"/>
      <c r="BV274" s="654"/>
      <c r="BW274" s="654"/>
      <c r="BX274" s="654"/>
      <c r="BY274" s="654"/>
      <c r="BZ274" s="654"/>
      <c r="CA274" s="654"/>
      <c r="CB274" s="654"/>
      <c r="CC274" s="654"/>
      <c r="CD274" s="654"/>
      <c r="CE274" s="654"/>
      <c r="CF274" s="654"/>
      <c r="CG274" s="654"/>
      <c r="CH274" s="654"/>
      <c r="CI274" s="654"/>
    </row>
    <row r="275" spans="2:88" ht="15.75" thickBot="1" x14ac:dyDescent="0.25">
      <c r="B275" s="892" t="s">
        <v>446</v>
      </c>
      <c r="C275" s="893" t="s">
        <v>604</v>
      </c>
      <c r="D275" s="893" t="s">
        <v>605</v>
      </c>
      <c r="E275" s="893" t="s">
        <v>206</v>
      </c>
      <c r="F275" s="894" t="s">
        <v>207</v>
      </c>
      <c r="G275" s="895" t="s">
        <v>208</v>
      </c>
      <c r="H275" s="895" t="s">
        <v>209</v>
      </c>
      <c r="I275" s="895" t="s">
        <v>210</v>
      </c>
      <c r="J275" s="895" t="s">
        <v>211</v>
      </c>
      <c r="K275" s="895" t="s">
        <v>212</v>
      </c>
      <c r="L275" s="895" t="s">
        <v>213</v>
      </c>
      <c r="M275" s="893" t="s">
        <v>214</v>
      </c>
      <c r="N275" s="893" t="s">
        <v>215</v>
      </c>
      <c r="O275" s="893" t="s">
        <v>216</v>
      </c>
      <c r="P275" s="893" t="s">
        <v>217</v>
      </c>
      <c r="Q275" s="893" t="s">
        <v>218</v>
      </c>
      <c r="R275" s="893" t="s">
        <v>247</v>
      </c>
      <c r="S275" s="893" t="s">
        <v>248</v>
      </c>
      <c r="T275" s="893" t="s">
        <v>249</v>
      </c>
      <c r="U275" s="893" t="s">
        <v>250</v>
      </c>
      <c r="V275" s="893" t="s">
        <v>219</v>
      </c>
      <c r="W275" s="893" t="s">
        <v>251</v>
      </c>
      <c r="X275" s="893" t="s">
        <v>252</v>
      </c>
      <c r="Y275" s="893" t="s">
        <v>253</v>
      </c>
      <c r="Z275" s="893" t="s">
        <v>254</v>
      </c>
      <c r="AA275" s="893" t="s">
        <v>220</v>
      </c>
      <c r="AB275" s="893" t="s">
        <v>255</v>
      </c>
      <c r="AC275" s="893" t="s">
        <v>256</v>
      </c>
      <c r="AD275" s="893" t="s">
        <v>257</v>
      </c>
      <c r="AE275" s="893" t="s">
        <v>258</v>
      </c>
      <c r="AF275" s="893" t="s">
        <v>221</v>
      </c>
      <c r="AG275" s="893" t="s">
        <v>259</v>
      </c>
      <c r="AH275" s="893" t="s">
        <v>260</v>
      </c>
      <c r="AI275" s="893" t="s">
        <v>261</v>
      </c>
      <c r="AJ275" s="893" t="s">
        <v>262</v>
      </c>
      <c r="AK275" s="893" t="s">
        <v>222</v>
      </c>
      <c r="AL275" s="893" t="s">
        <v>263</v>
      </c>
      <c r="AM275" s="893" t="s">
        <v>264</v>
      </c>
      <c r="AN275" s="893" t="s">
        <v>265</v>
      </c>
      <c r="AO275" s="893" t="s">
        <v>266</v>
      </c>
      <c r="AP275" s="893" t="s">
        <v>223</v>
      </c>
      <c r="AQ275" s="893" t="s">
        <v>267</v>
      </c>
      <c r="AR275" s="893" t="s">
        <v>268</v>
      </c>
      <c r="AS275" s="893" t="s">
        <v>269</v>
      </c>
      <c r="AT275" s="893" t="s">
        <v>270</v>
      </c>
      <c r="AU275" s="893" t="s">
        <v>224</v>
      </c>
      <c r="AV275" s="893" t="s">
        <v>271</v>
      </c>
      <c r="AW275" s="893" t="s">
        <v>272</v>
      </c>
      <c r="AX275" s="893" t="s">
        <v>273</v>
      </c>
      <c r="AY275" s="893" t="s">
        <v>274</v>
      </c>
      <c r="AZ275" s="893" t="s">
        <v>225</v>
      </c>
      <c r="BA275" s="893" t="s">
        <v>275</v>
      </c>
      <c r="BB275" s="893" t="s">
        <v>276</v>
      </c>
      <c r="BC275" s="893" t="s">
        <v>277</v>
      </c>
      <c r="BD275" s="893" t="s">
        <v>278</v>
      </c>
      <c r="BE275" s="893" t="s">
        <v>226</v>
      </c>
      <c r="BF275" s="893" t="s">
        <v>279</v>
      </c>
      <c r="BG275" s="893" t="s">
        <v>280</v>
      </c>
      <c r="BH275" s="893" t="s">
        <v>281</v>
      </c>
      <c r="BI275" s="893" t="s">
        <v>282</v>
      </c>
      <c r="BJ275" s="893" t="s">
        <v>227</v>
      </c>
      <c r="BK275" s="893" t="s">
        <v>283</v>
      </c>
      <c r="BL275" s="893" t="s">
        <v>284</v>
      </c>
      <c r="BM275" s="893" t="s">
        <v>285</v>
      </c>
      <c r="BN275" s="893" t="s">
        <v>286</v>
      </c>
      <c r="BO275" s="893" t="s">
        <v>228</v>
      </c>
      <c r="BP275" s="893" t="s">
        <v>287</v>
      </c>
      <c r="BQ275" s="893" t="s">
        <v>288</v>
      </c>
      <c r="BR275" s="893" t="s">
        <v>289</v>
      </c>
      <c r="BS275" s="893" t="s">
        <v>290</v>
      </c>
      <c r="BT275" s="893" t="s">
        <v>229</v>
      </c>
      <c r="BU275" s="893" t="s">
        <v>291</v>
      </c>
      <c r="BV275" s="893" t="s">
        <v>292</v>
      </c>
      <c r="BW275" s="893" t="s">
        <v>293</v>
      </c>
      <c r="BX275" s="893" t="s">
        <v>294</v>
      </c>
      <c r="BY275" s="893" t="s">
        <v>230</v>
      </c>
      <c r="BZ275" s="893" t="s">
        <v>295</v>
      </c>
      <c r="CA275" s="893" t="s">
        <v>296</v>
      </c>
      <c r="CB275" s="893" t="s">
        <v>297</v>
      </c>
      <c r="CC275" s="893" t="s">
        <v>298</v>
      </c>
      <c r="CD275" s="893" t="s">
        <v>231</v>
      </c>
      <c r="CE275" s="893" t="s">
        <v>299</v>
      </c>
      <c r="CF275" s="893" t="s">
        <v>300</v>
      </c>
      <c r="CG275" s="893" t="s">
        <v>301</v>
      </c>
      <c r="CH275" s="893" t="s">
        <v>302</v>
      </c>
      <c r="CI275" s="896" t="s">
        <v>232</v>
      </c>
      <c r="CJ275" s="893" t="s">
        <v>606</v>
      </c>
    </row>
    <row r="276" spans="2:88" ht="28.5" x14ac:dyDescent="0.2">
      <c r="B276" s="900" t="s">
        <v>607</v>
      </c>
      <c r="C276" s="901" t="s">
        <v>608</v>
      </c>
      <c r="D276" s="901" t="s">
        <v>609</v>
      </c>
      <c r="E276" s="901" t="s">
        <v>236</v>
      </c>
      <c r="F276" s="902">
        <v>2</v>
      </c>
      <c r="G276" s="670"/>
      <c r="H276" s="671"/>
      <c r="I276" s="671">
        <v>0</v>
      </c>
      <c r="J276" s="671">
        <v>0</v>
      </c>
      <c r="K276" s="671">
        <v>0</v>
      </c>
      <c r="L276" s="671">
        <v>0</v>
      </c>
      <c r="M276" s="666">
        <v>0</v>
      </c>
      <c r="N276" s="666">
        <v>0</v>
      </c>
      <c r="O276" s="666">
        <v>0</v>
      </c>
      <c r="P276" s="666">
        <v>0</v>
      </c>
      <c r="Q276" s="666">
        <v>0</v>
      </c>
      <c r="R276" s="666">
        <v>0</v>
      </c>
      <c r="S276" s="666">
        <v>0</v>
      </c>
      <c r="T276" s="666">
        <v>0</v>
      </c>
      <c r="U276" s="666">
        <v>0</v>
      </c>
      <c r="V276" s="666">
        <v>0</v>
      </c>
      <c r="W276" s="666">
        <v>0</v>
      </c>
      <c r="X276" s="666">
        <v>0</v>
      </c>
      <c r="Y276" s="666">
        <v>0</v>
      </c>
      <c r="Z276" s="666">
        <v>0</v>
      </c>
      <c r="AA276" s="666">
        <v>0</v>
      </c>
      <c r="AB276" s="666">
        <v>0</v>
      </c>
      <c r="AC276" s="666">
        <v>0</v>
      </c>
      <c r="AD276" s="666">
        <v>0</v>
      </c>
      <c r="AE276" s="666">
        <v>0</v>
      </c>
      <c r="AF276" s="666">
        <v>0</v>
      </c>
      <c r="AG276" s="666">
        <v>0</v>
      </c>
      <c r="AH276" s="666">
        <v>0</v>
      </c>
      <c r="AI276" s="666">
        <v>0</v>
      </c>
      <c r="AJ276" s="666">
        <v>0</v>
      </c>
      <c r="AK276" s="666">
        <v>0</v>
      </c>
      <c r="AL276" s="666"/>
      <c r="AM276" s="666"/>
      <c r="AN276" s="666"/>
      <c r="AO276" s="666"/>
      <c r="AP276" s="666"/>
      <c r="AQ276" s="666"/>
      <c r="AR276" s="666"/>
      <c r="AS276" s="666"/>
      <c r="AT276" s="666"/>
      <c r="AU276" s="666"/>
      <c r="AV276" s="666"/>
      <c r="AW276" s="666"/>
      <c r="AX276" s="666"/>
      <c r="AY276" s="666"/>
      <c r="AZ276" s="666"/>
      <c r="BA276" s="666"/>
      <c r="BB276" s="666"/>
      <c r="BC276" s="666"/>
      <c r="BD276" s="666"/>
      <c r="BE276" s="666"/>
      <c r="BF276" s="666"/>
      <c r="BG276" s="666"/>
      <c r="BH276" s="666"/>
      <c r="BI276" s="666"/>
      <c r="BJ276" s="666"/>
      <c r="BK276" s="666"/>
      <c r="BL276" s="666"/>
      <c r="BM276" s="666"/>
      <c r="BN276" s="666"/>
      <c r="BO276" s="666"/>
      <c r="BP276" s="666"/>
      <c r="BQ276" s="666"/>
      <c r="BR276" s="666"/>
      <c r="BS276" s="666"/>
      <c r="BT276" s="666"/>
      <c r="BU276" s="666"/>
      <c r="BV276" s="666"/>
      <c r="BW276" s="666"/>
      <c r="BX276" s="666"/>
      <c r="BY276" s="666"/>
      <c r="BZ276" s="666"/>
      <c r="CA276" s="666"/>
      <c r="CB276" s="666"/>
      <c r="CC276" s="666"/>
      <c r="CD276" s="666"/>
      <c r="CE276" s="666"/>
      <c r="CF276" s="666"/>
      <c r="CG276" s="666"/>
      <c r="CH276" s="666"/>
      <c r="CI276" s="666"/>
      <c r="CJ276" s="1438"/>
    </row>
    <row r="277" spans="2:88" x14ac:dyDescent="0.2">
      <c r="B277" s="897" t="s">
        <v>610</v>
      </c>
      <c r="C277" s="898" t="s">
        <v>785</v>
      </c>
      <c r="D277" s="898" t="s">
        <v>612</v>
      </c>
      <c r="E277" s="898" t="s">
        <v>236</v>
      </c>
      <c r="F277" s="899">
        <v>2</v>
      </c>
      <c r="G277" s="670"/>
      <c r="H277" s="671"/>
      <c r="I277" s="671">
        <v>0</v>
      </c>
      <c r="J277" s="671">
        <v>0</v>
      </c>
      <c r="K277" s="671">
        <v>0</v>
      </c>
      <c r="L277" s="671">
        <v>0</v>
      </c>
      <c r="M277" s="666">
        <v>0</v>
      </c>
      <c r="N277" s="666">
        <v>0</v>
      </c>
      <c r="O277" s="666">
        <v>0</v>
      </c>
      <c r="P277" s="666">
        <v>0</v>
      </c>
      <c r="Q277" s="666">
        <v>0</v>
      </c>
      <c r="R277" s="666">
        <v>0</v>
      </c>
      <c r="S277" s="666">
        <v>0</v>
      </c>
      <c r="T277" s="666">
        <v>0</v>
      </c>
      <c r="U277" s="666">
        <v>0</v>
      </c>
      <c r="V277" s="666">
        <v>0</v>
      </c>
      <c r="W277" s="666">
        <v>0</v>
      </c>
      <c r="X277" s="666">
        <v>0</v>
      </c>
      <c r="Y277" s="666">
        <v>0</v>
      </c>
      <c r="Z277" s="666">
        <v>0</v>
      </c>
      <c r="AA277" s="666">
        <v>0</v>
      </c>
      <c r="AB277" s="666">
        <v>0</v>
      </c>
      <c r="AC277" s="666">
        <v>0</v>
      </c>
      <c r="AD277" s="666">
        <v>0</v>
      </c>
      <c r="AE277" s="666">
        <v>0</v>
      </c>
      <c r="AF277" s="666">
        <v>0</v>
      </c>
      <c r="AG277" s="666">
        <v>0</v>
      </c>
      <c r="AH277" s="666">
        <v>0</v>
      </c>
      <c r="AI277" s="666">
        <v>0</v>
      </c>
      <c r="AJ277" s="666">
        <v>0</v>
      </c>
      <c r="AK277" s="666">
        <v>0</v>
      </c>
      <c r="AL277" s="666"/>
      <c r="AM277" s="666"/>
      <c r="AN277" s="666"/>
      <c r="AO277" s="666"/>
      <c r="AP277" s="666"/>
      <c r="AQ277" s="666"/>
      <c r="AR277" s="666"/>
      <c r="AS277" s="666"/>
      <c r="AT277" s="666"/>
      <c r="AU277" s="666"/>
      <c r="AV277" s="666"/>
      <c r="AW277" s="666"/>
      <c r="AX277" s="666"/>
      <c r="AY277" s="666"/>
      <c r="AZ277" s="666"/>
      <c r="BA277" s="666"/>
      <c r="BB277" s="666"/>
      <c r="BC277" s="666"/>
      <c r="BD277" s="666"/>
      <c r="BE277" s="666"/>
      <c r="BF277" s="666"/>
      <c r="BG277" s="666"/>
      <c r="BH277" s="666"/>
      <c r="BI277" s="666"/>
      <c r="BJ277" s="666"/>
      <c r="BK277" s="666"/>
      <c r="BL277" s="666"/>
      <c r="BM277" s="666"/>
      <c r="BN277" s="666"/>
      <c r="BO277" s="666"/>
      <c r="BP277" s="666"/>
      <c r="BQ277" s="666"/>
      <c r="BR277" s="666"/>
      <c r="BS277" s="666"/>
      <c r="BT277" s="666"/>
      <c r="BU277" s="666"/>
      <c r="BV277" s="666"/>
      <c r="BW277" s="666"/>
      <c r="BX277" s="666"/>
      <c r="BY277" s="666"/>
      <c r="BZ277" s="666"/>
      <c r="CA277" s="666"/>
      <c r="CB277" s="666"/>
      <c r="CC277" s="666"/>
      <c r="CD277" s="666"/>
      <c r="CE277" s="666"/>
      <c r="CF277" s="666"/>
      <c r="CG277" s="666"/>
      <c r="CH277" s="666"/>
      <c r="CI277" s="666"/>
      <c r="CJ277" s="1439"/>
    </row>
    <row r="278" spans="2:88" ht="30" x14ac:dyDescent="0.2">
      <c r="B278" s="1514" t="s">
        <v>613</v>
      </c>
      <c r="C278" s="1515" t="s">
        <v>798</v>
      </c>
      <c r="D278" s="901" t="s">
        <v>615</v>
      </c>
      <c r="E278" s="901" t="s">
        <v>236</v>
      </c>
      <c r="F278" s="902">
        <v>2</v>
      </c>
      <c r="G278" s="670"/>
      <c r="H278" s="671"/>
      <c r="I278" s="671">
        <v>0</v>
      </c>
      <c r="J278" s="671">
        <v>0</v>
      </c>
      <c r="K278" s="671">
        <v>0</v>
      </c>
      <c r="L278" s="671">
        <v>0</v>
      </c>
      <c r="M278" s="666">
        <v>0</v>
      </c>
      <c r="N278" s="666">
        <v>0</v>
      </c>
      <c r="O278" s="666">
        <v>0</v>
      </c>
      <c r="P278" s="666">
        <v>0</v>
      </c>
      <c r="Q278" s="666">
        <v>0</v>
      </c>
      <c r="R278" s="666">
        <v>0</v>
      </c>
      <c r="S278" s="666">
        <v>0</v>
      </c>
      <c r="T278" s="1511">
        <v>0.20856410954914378</v>
      </c>
      <c r="U278" s="1511">
        <v>0.14795702573516523</v>
      </c>
      <c r="V278" s="1511">
        <v>6.5392176763865162E-2</v>
      </c>
      <c r="W278" s="1511">
        <v>5.5851848014790706E-3</v>
      </c>
      <c r="X278" s="666">
        <v>0</v>
      </c>
      <c r="Y278" s="666">
        <v>0</v>
      </c>
      <c r="Z278" s="666">
        <v>0</v>
      </c>
      <c r="AA278" s="666">
        <v>0</v>
      </c>
      <c r="AB278" s="666">
        <v>0</v>
      </c>
      <c r="AC278" s="666">
        <v>0</v>
      </c>
      <c r="AD278" s="666">
        <v>0</v>
      </c>
      <c r="AE278" s="666">
        <v>0</v>
      </c>
      <c r="AF278" s="666">
        <v>0</v>
      </c>
      <c r="AG278" s="666">
        <v>0</v>
      </c>
      <c r="AH278" s="666">
        <v>0</v>
      </c>
      <c r="AI278" s="666">
        <v>0</v>
      </c>
      <c r="AJ278" s="666">
        <v>0</v>
      </c>
      <c r="AK278" s="666">
        <v>0</v>
      </c>
      <c r="AL278" s="666"/>
      <c r="AM278" s="666"/>
      <c r="AN278" s="666"/>
      <c r="AO278" s="666"/>
      <c r="AP278" s="666"/>
      <c r="AQ278" s="666"/>
      <c r="AR278" s="666"/>
      <c r="AS278" s="666"/>
      <c r="AT278" s="666"/>
      <c r="AU278" s="666"/>
      <c r="AV278" s="666"/>
      <c r="AW278" s="666"/>
      <c r="AX278" s="666"/>
      <c r="AY278" s="666"/>
      <c r="AZ278" s="666"/>
      <c r="BA278" s="666"/>
      <c r="BB278" s="666"/>
      <c r="BC278" s="666"/>
      <c r="BD278" s="666"/>
      <c r="BE278" s="666"/>
      <c r="BF278" s="666"/>
      <c r="BG278" s="666"/>
      <c r="BH278" s="666"/>
      <c r="BI278" s="666"/>
      <c r="BJ278" s="666"/>
      <c r="BK278" s="666"/>
      <c r="BL278" s="666"/>
      <c r="BM278" s="666"/>
      <c r="BN278" s="666"/>
      <c r="BO278" s="666"/>
      <c r="BP278" s="666"/>
      <c r="BQ278" s="666"/>
      <c r="BR278" s="666"/>
      <c r="BS278" s="666"/>
      <c r="BT278" s="666"/>
      <c r="BU278" s="666"/>
      <c r="BV278" s="666"/>
      <c r="BW278" s="666"/>
      <c r="BX278" s="666"/>
      <c r="BY278" s="666"/>
      <c r="BZ278" s="666"/>
      <c r="CA278" s="666"/>
      <c r="CB278" s="666"/>
      <c r="CC278" s="666"/>
      <c r="CD278" s="666"/>
      <c r="CE278" s="666"/>
      <c r="CF278" s="666"/>
      <c r="CG278" s="666"/>
      <c r="CH278" s="666"/>
      <c r="CI278" s="666"/>
      <c r="CJ278" s="1439"/>
    </row>
    <row r="279" spans="2:88" ht="28.5" x14ac:dyDescent="0.2">
      <c r="B279" s="900" t="s">
        <v>616</v>
      </c>
      <c r="C279" s="901" t="s">
        <v>617</v>
      </c>
      <c r="D279" s="901" t="s">
        <v>618</v>
      </c>
      <c r="E279" s="901" t="s">
        <v>236</v>
      </c>
      <c r="F279" s="902">
        <v>2</v>
      </c>
      <c r="G279" s="670"/>
      <c r="H279" s="671"/>
      <c r="I279" s="671">
        <v>0</v>
      </c>
      <c r="J279" s="671">
        <v>0</v>
      </c>
      <c r="K279" s="671">
        <v>0</v>
      </c>
      <c r="L279" s="671">
        <v>0</v>
      </c>
      <c r="M279" s="666">
        <v>0</v>
      </c>
      <c r="N279" s="666">
        <v>0</v>
      </c>
      <c r="O279" s="666">
        <v>0</v>
      </c>
      <c r="P279" s="666">
        <v>0</v>
      </c>
      <c r="Q279" s="666">
        <v>0</v>
      </c>
      <c r="R279" s="666">
        <v>0</v>
      </c>
      <c r="S279" s="666">
        <v>0</v>
      </c>
      <c r="T279" s="666">
        <v>0</v>
      </c>
      <c r="U279" s="666">
        <v>0</v>
      </c>
      <c r="V279" s="666">
        <v>0</v>
      </c>
      <c r="W279" s="666">
        <v>0</v>
      </c>
      <c r="X279" s="666">
        <v>0</v>
      </c>
      <c r="Y279" s="666">
        <v>0</v>
      </c>
      <c r="Z279" s="666">
        <v>0</v>
      </c>
      <c r="AA279" s="666">
        <v>0</v>
      </c>
      <c r="AB279" s="666">
        <v>0</v>
      </c>
      <c r="AC279" s="666">
        <v>0</v>
      </c>
      <c r="AD279" s="666">
        <v>0</v>
      </c>
      <c r="AE279" s="666">
        <v>0</v>
      </c>
      <c r="AF279" s="666">
        <v>0</v>
      </c>
      <c r="AG279" s="666">
        <v>0</v>
      </c>
      <c r="AH279" s="666">
        <v>0</v>
      </c>
      <c r="AI279" s="666">
        <v>0</v>
      </c>
      <c r="AJ279" s="666">
        <v>0</v>
      </c>
      <c r="AK279" s="666">
        <v>0</v>
      </c>
      <c r="AL279" s="666"/>
      <c r="AM279" s="666"/>
      <c r="AN279" s="666"/>
      <c r="AO279" s="666"/>
      <c r="AP279" s="666"/>
      <c r="AQ279" s="666"/>
      <c r="AR279" s="666"/>
      <c r="AS279" s="666"/>
      <c r="AT279" s="666"/>
      <c r="AU279" s="666"/>
      <c r="AV279" s="666"/>
      <c r="AW279" s="666"/>
      <c r="AX279" s="666"/>
      <c r="AY279" s="666"/>
      <c r="AZ279" s="666"/>
      <c r="BA279" s="666"/>
      <c r="BB279" s="666"/>
      <c r="BC279" s="666"/>
      <c r="BD279" s="666"/>
      <c r="BE279" s="666"/>
      <c r="BF279" s="666"/>
      <c r="BG279" s="666"/>
      <c r="BH279" s="666"/>
      <c r="BI279" s="666"/>
      <c r="BJ279" s="666"/>
      <c r="BK279" s="666"/>
      <c r="BL279" s="666"/>
      <c r="BM279" s="666"/>
      <c r="BN279" s="666"/>
      <c r="BO279" s="666"/>
      <c r="BP279" s="666"/>
      <c r="BQ279" s="666"/>
      <c r="BR279" s="666"/>
      <c r="BS279" s="666"/>
      <c r="BT279" s="666"/>
      <c r="BU279" s="666"/>
      <c r="BV279" s="666"/>
      <c r="BW279" s="666"/>
      <c r="BX279" s="666"/>
      <c r="BY279" s="666"/>
      <c r="BZ279" s="666"/>
      <c r="CA279" s="666"/>
      <c r="CB279" s="666"/>
      <c r="CC279" s="666"/>
      <c r="CD279" s="666"/>
      <c r="CE279" s="666"/>
      <c r="CF279" s="666"/>
      <c r="CG279" s="666"/>
      <c r="CH279" s="666"/>
      <c r="CI279" s="666"/>
      <c r="CJ279" s="1439"/>
    </row>
    <row r="280" spans="2:88" ht="28.5" x14ac:dyDescent="0.2">
      <c r="B280" s="900" t="s">
        <v>619</v>
      </c>
      <c r="C280" s="901" t="s">
        <v>620</v>
      </c>
      <c r="D280" s="901" t="s">
        <v>621</v>
      </c>
      <c r="E280" s="901" t="s">
        <v>236</v>
      </c>
      <c r="F280" s="902">
        <v>2</v>
      </c>
      <c r="G280" s="670"/>
      <c r="H280" s="671"/>
      <c r="I280" s="671">
        <v>0</v>
      </c>
      <c r="J280" s="671">
        <v>0</v>
      </c>
      <c r="K280" s="671">
        <v>0</v>
      </c>
      <c r="L280" s="671">
        <v>0</v>
      </c>
      <c r="M280" s="666">
        <v>0</v>
      </c>
      <c r="N280" s="666">
        <v>0</v>
      </c>
      <c r="O280" s="666">
        <v>0</v>
      </c>
      <c r="P280" s="666">
        <v>0</v>
      </c>
      <c r="Q280" s="666">
        <v>0</v>
      </c>
      <c r="R280" s="666">
        <v>0</v>
      </c>
      <c r="S280" s="666">
        <v>0</v>
      </c>
      <c r="T280" s="666">
        <v>0</v>
      </c>
      <c r="U280" s="666">
        <v>0</v>
      </c>
      <c r="V280" s="666">
        <v>0</v>
      </c>
      <c r="W280" s="666">
        <v>0</v>
      </c>
      <c r="X280" s="666">
        <v>0</v>
      </c>
      <c r="Y280" s="666">
        <v>0</v>
      </c>
      <c r="Z280" s="666">
        <v>0</v>
      </c>
      <c r="AA280" s="666">
        <v>0</v>
      </c>
      <c r="AB280" s="666">
        <v>0</v>
      </c>
      <c r="AC280" s="666">
        <v>0</v>
      </c>
      <c r="AD280" s="666">
        <v>0</v>
      </c>
      <c r="AE280" s="666">
        <v>0</v>
      </c>
      <c r="AF280" s="666">
        <v>0</v>
      </c>
      <c r="AG280" s="666">
        <v>0</v>
      </c>
      <c r="AH280" s="666">
        <v>0</v>
      </c>
      <c r="AI280" s="666">
        <v>0</v>
      </c>
      <c r="AJ280" s="666">
        <v>0</v>
      </c>
      <c r="AK280" s="666">
        <v>0</v>
      </c>
      <c r="AL280" s="666"/>
      <c r="AM280" s="666"/>
      <c r="AN280" s="666"/>
      <c r="AO280" s="666"/>
      <c r="AP280" s="666"/>
      <c r="AQ280" s="666"/>
      <c r="AR280" s="666"/>
      <c r="AS280" s="666"/>
      <c r="AT280" s="666"/>
      <c r="AU280" s="666"/>
      <c r="AV280" s="666"/>
      <c r="AW280" s="666"/>
      <c r="AX280" s="666"/>
      <c r="AY280" s="666"/>
      <c r="AZ280" s="666"/>
      <c r="BA280" s="666"/>
      <c r="BB280" s="666"/>
      <c r="BC280" s="666"/>
      <c r="BD280" s="666"/>
      <c r="BE280" s="666"/>
      <c r="BF280" s="666"/>
      <c r="BG280" s="666"/>
      <c r="BH280" s="666"/>
      <c r="BI280" s="666"/>
      <c r="BJ280" s="666"/>
      <c r="BK280" s="666"/>
      <c r="BL280" s="666"/>
      <c r="BM280" s="666"/>
      <c r="BN280" s="666"/>
      <c r="BO280" s="666"/>
      <c r="BP280" s="666"/>
      <c r="BQ280" s="666"/>
      <c r="BR280" s="666"/>
      <c r="BS280" s="666"/>
      <c r="BT280" s="666"/>
      <c r="BU280" s="666"/>
      <c r="BV280" s="666"/>
      <c r="BW280" s="666"/>
      <c r="BX280" s="666"/>
      <c r="BY280" s="666"/>
      <c r="BZ280" s="666"/>
      <c r="CA280" s="666"/>
      <c r="CB280" s="666"/>
      <c r="CC280" s="666"/>
      <c r="CD280" s="666"/>
      <c r="CE280" s="666"/>
      <c r="CF280" s="666"/>
      <c r="CG280" s="666"/>
      <c r="CH280" s="666"/>
      <c r="CI280" s="666"/>
      <c r="CJ280" s="1439"/>
    </row>
    <row r="281" spans="2:88" ht="28.5" x14ac:dyDescent="0.2">
      <c r="B281" s="903" t="s">
        <v>622</v>
      </c>
      <c r="C281" s="904" t="s">
        <v>623</v>
      </c>
      <c r="D281" s="904" t="s">
        <v>624</v>
      </c>
      <c r="E281" s="904" t="s">
        <v>236</v>
      </c>
      <c r="F281" s="902">
        <v>2</v>
      </c>
      <c r="G281" s="670"/>
      <c r="H281" s="671"/>
      <c r="I281" s="671">
        <v>0</v>
      </c>
      <c r="J281" s="671">
        <v>0</v>
      </c>
      <c r="K281" s="671">
        <v>0</v>
      </c>
      <c r="L281" s="671">
        <v>0</v>
      </c>
      <c r="M281" s="666">
        <v>0</v>
      </c>
      <c r="N281" s="666">
        <v>0</v>
      </c>
      <c r="O281" s="666">
        <v>0</v>
      </c>
      <c r="P281" s="666">
        <v>0</v>
      </c>
      <c r="Q281" s="666">
        <v>0</v>
      </c>
      <c r="R281" s="666">
        <v>0</v>
      </c>
      <c r="S281" s="666">
        <v>0</v>
      </c>
      <c r="T281" s="666">
        <v>0</v>
      </c>
      <c r="U281" s="666">
        <v>0</v>
      </c>
      <c r="V281" s="666">
        <v>0</v>
      </c>
      <c r="W281" s="666">
        <v>0</v>
      </c>
      <c r="X281" s="666">
        <v>0</v>
      </c>
      <c r="Y281" s="666">
        <v>0</v>
      </c>
      <c r="Z281" s="666">
        <v>0</v>
      </c>
      <c r="AA281" s="666">
        <v>0</v>
      </c>
      <c r="AB281" s="666">
        <v>0</v>
      </c>
      <c r="AC281" s="666">
        <v>0</v>
      </c>
      <c r="AD281" s="666">
        <v>0</v>
      </c>
      <c r="AE281" s="666">
        <v>0</v>
      </c>
      <c r="AF281" s="666">
        <v>0</v>
      </c>
      <c r="AG281" s="666">
        <v>0</v>
      </c>
      <c r="AH281" s="666">
        <v>0</v>
      </c>
      <c r="AI281" s="666">
        <v>0</v>
      </c>
      <c r="AJ281" s="666">
        <v>0</v>
      </c>
      <c r="AK281" s="666">
        <v>0</v>
      </c>
      <c r="AL281" s="666"/>
      <c r="AM281" s="666"/>
      <c r="AN281" s="666"/>
      <c r="AO281" s="666"/>
      <c r="AP281" s="666"/>
      <c r="AQ281" s="666"/>
      <c r="AR281" s="666"/>
      <c r="AS281" s="666"/>
      <c r="AT281" s="666"/>
      <c r="AU281" s="666"/>
      <c r="AV281" s="666"/>
      <c r="AW281" s="666"/>
      <c r="AX281" s="666"/>
      <c r="AY281" s="666"/>
      <c r="AZ281" s="666"/>
      <c r="BA281" s="666"/>
      <c r="BB281" s="666"/>
      <c r="BC281" s="666"/>
      <c r="BD281" s="666"/>
      <c r="BE281" s="666"/>
      <c r="BF281" s="666"/>
      <c r="BG281" s="666"/>
      <c r="BH281" s="666"/>
      <c r="BI281" s="666"/>
      <c r="BJ281" s="666"/>
      <c r="BK281" s="666"/>
      <c r="BL281" s="666"/>
      <c r="BM281" s="666"/>
      <c r="BN281" s="666"/>
      <c r="BO281" s="666"/>
      <c r="BP281" s="666"/>
      <c r="BQ281" s="666"/>
      <c r="BR281" s="666"/>
      <c r="BS281" s="666"/>
      <c r="BT281" s="666"/>
      <c r="BU281" s="666"/>
      <c r="BV281" s="666"/>
      <c r="BW281" s="666"/>
      <c r="BX281" s="666"/>
      <c r="BY281" s="666"/>
      <c r="BZ281" s="666"/>
      <c r="CA281" s="666"/>
      <c r="CB281" s="666"/>
      <c r="CC281" s="666"/>
      <c r="CD281" s="666"/>
      <c r="CE281" s="666"/>
      <c r="CF281" s="666"/>
      <c r="CG281" s="666"/>
      <c r="CH281" s="666"/>
      <c r="CI281" s="666"/>
      <c r="CJ281" s="1439"/>
    </row>
    <row r="282" spans="2:88" x14ac:dyDescent="0.2">
      <c r="B282" s="900" t="s">
        <v>625</v>
      </c>
      <c r="C282" s="901" t="s">
        <v>626</v>
      </c>
      <c r="D282" s="901" t="s">
        <v>627</v>
      </c>
      <c r="E282" s="901" t="s">
        <v>236</v>
      </c>
      <c r="F282" s="902">
        <v>2</v>
      </c>
      <c r="G282" s="670"/>
      <c r="H282" s="671"/>
      <c r="I282" s="671">
        <v>0</v>
      </c>
      <c r="J282" s="671">
        <v>0</v>
      </c>
      <c r="K282" s="671">
        <v>0</v>
      </c>
      <c r="L282" s="671">
        <v>0</v>
      </c>
      <c r="M282" s="666">
        <v>0</v>
      </c>
      <c r="N282" s="666">
        <v>0</v>
      </c>
      <c r="O282" s="666">
        <v>0</v>
      </c>
      <c r="P282" s="666">
        <v>0</v>
      </c>
      <c r="Q282" s="666">
        <v>0</v>
      </c>
      <c r="R282" s="666">
        <v>0</v>
      </c>
      <c r="S282" s="666">
        <v>0</v>
      </c>
      <c r="T282" s="666">
        <v>0</v>
      </c>
      <c r="U282" s="666">
        <v>0</v>
      </c>
      <c r="V282" s="666">
        <v>0</v>
      </c>
      <c r="W282" s="666">
        <v>0</v>
      </c>
      <c r="X282" s="666">
        <v>0</v>
      </c>
      <c r="Y282" s="666">
        <v>0</v>
      </c>
      <c r="Z282" s="666">
        <v>0</v>
      </c>
      <c r="AA282" s="666">
        <v>0</v>
      </c>
      <c r="AB282" s="666">
        <v>0</v>
      </c>
      <c r="AC282" s="666">
        <v>0</v>
      </c>
      <c r="AD282" s="666">
        <v>0</v>
      </c>
      <c r="AE282" s="666">
        <v>0</v>
      </c>
      <c r="AF282" s="666">
        <v>0</v>
      </c>
      <c r="AG282" s="666">
        <v>0</v>
      </c>
      <c r="AH282" s="666">
        <v>0</v>
      </c>
      <c r="AI282" s="666">
        <v>0</v>
      </c>
      <c r="AJ282" s="666">
        <v>0</v>
      </c>
      <c r="AK282" s="666">
        <v>0</v>
      </c>
      <c r="AL282" s="666"/>
      <c r="AM282" s="666"/>
      <c r="AN282" s="666"/>
      <c r="AO282" s="666"/>
      <c r="AP282" s="666"/>
      <c r="AQ282" s="666"/>
      <c r="AR282" s="666"/>
      <c r="AS282" s="666"/>
      <c r="AT282" s="666"/>
      <c r="AU282" s="666"/>
      <c r="AV282" s="666"/>
      <c r="AW282" s="666"/>
      <c r="AX282" s="666"/>
      <c r="AY282" s="666"/>
      <c r="AZ282" s="666"/>
      <c r="BA282" s="666"/>
      <c r="BB282" s="666"/>
      <c r="BC282" s="666"/>
      <c r="BD282" s="666"/>
      <c r="BE282" s="666"/>
      <c r="BF282" s="666"/>
      <c r="BG282" s="666"/>
      <c r="BH282" s="666"/>
      <c r="BI282" s="666"/>
      <c r="BJ282" s="666"/>
      <c r="BK282" s="666"/>
      <c r="BL282" s="666"/>
      <c r="BM282" s="666"/>
      <c r="BN282" s="666"/>
      <c r="BO282" s="666"/>
      <c r="BP282" s="666"/>
      <c r="BQ282" s="666"/>
      <c r="BR282" s="666"/>
      <c r="BS282" s="666"/>
      <c r="BT282" s="666"/>
      <c r="BU282" s="666"/>
      <c r="BV282" s="666"/>
      <c r="BW282" s="666"/>
      <c r="BX282" s="666"/>
      <c r="BY282" s="666"/>
      <c r="BZ282" s="666"/>
      <c r="CA282" s="666"/>
      <c r="CB282" s="666"/>
      <c r="CC282" s="666"/>
      <c r="CD282" s="666"/>
      <c r="CE282" s="666"/>
      <c r="CF282" s="666"/>
      <c r="CG282" s="666"/>
      <c r="CH282" s="666"/>
      <c r="CI282" s="666"/>
      <c r="CJ282" s="1439"/>
    </row>
    <row r="283" spans="2:88" ht="38.25" customHeight="1" x14ac:dyDescent="0.2">
      <c r="B283" s="905" t="s">
        <v>628</v>
      </c>
      <c r="C283" s="906" t="s">
        <v>629</v>
      </c>
      <c r="D283" s="907" t="s">
        <v>630</v>
      </c>
      <c r="E283" s="906" t="s">
        <v>236</v>
      </c>
      <c r="F283" s="908">
        <v>2</v>
      </c>
      <c r="G283" s="670"/>
      <c r="H283" s="671"/>
      <c r="I283" s="671">
        <v>0</v>
      </c>
      <c r="J283" s="671">
        <v>0</v>
      </c>
      <c r="K283" s="671">
        <v>0</v>
      </c>
      <c r="L283" s="671">
        <v>0</v>
      </c>
      <c r="M283" s="666">
        <v>0</v>
      </c>
      <c r="N283" s="666">
        <v>0</v>
      </c>
      <c r="O283" s="666">
        <v>0</v>
      </c>
      <c r="P283" s="666">
        <v>0</v>
      </c>
      <c r="Q283" s="666">
        <v>0</v>
      </c>
      <c r="R283" s="666">
        <v>0</v>
      </c>
      <c r="S283" s="666">
        <v>0</v>
      </c>
      <c r="T283" s="666">
        <v>0</v>
      </c>
      <c r="U283" s="666">
        <v>0</v>
      </c>
      <c r="V283" s="666">
        <v>0</v>
      </c>
      <c r="W283" s="666">
        <v>0</v>
      </c>
      <c r="X283" s="666">
        <v>0</v>
      </c>
      <c r="Y283" s="666">
        <v>0</v>
      </c>
      <c r="Z283" s="666">
        <v>0</v>
      </c>
      <c r="AA283" s="666">
        <v>0</v>
      </c>
      <c r="AB283" s="666">
        <v>0</v>
      </c>
      <c r="AC283" s="666">
        <v>0</v>
      </c>
      <c r="AD283" s="666">
        <v>0</v>
      </c>
      <c r="AE283" s="666">
        <v>0</v>
      </c>
      <c r="AF283" s="666">
        <v>0</v>
      </c>
      <c r="AG283" s="666">
        <v>0</v>
      </c>
      <c r="AH283" s="666">
        <v>0</v>
      </c>
      <c r="AI283" s="666">
        <v>0</v>
      </c>
      <c r="AJ283" s="666">
        <v>0</v>
      </c>
      <c r="AK283" s="666">
        <v>0</v>
      </c>
      <c r="AL283" s="666"/>
      <c r="AM283" s="666"/>
      <c r="AN283" s="666"/>
      <c r="AO283" s="666"/>
      <c r="AP283" s="666"/>
      <c r="AQ283" s="666"/>
      <c r="AR283" s="666"/>
      <c r="AS283" s="666"/>
      <c r="AT283" s="666"/>
      <c r="AU283" s="666"/>
      <c r="AV283" s="666"/>
      <c r="AW283" s="666"/>
      <c r="AX283" s="666"/>
      <c r="AY283" s="666"/>
      <c r="AZ283" s="666"/>
      <c r="BA283" s="666"/>
      <c r="BB283" s="666"/>
      <c r="BC283" s="666"/>
      <c r="BD283" s="666"/>
      <c r="BE283" s="666"/>
      <c r="BF283" s="666"/>
      <c r="BG283" s="666"/>
      <c r="BH283" s="666"/>
      <c r="BI283" s="666"/>
      <c r="BJ283" s="666"/>
      <c r="BK283" s="666"/>
      <c r="BL283" s="666"/>
      <c r="BM283" s="666"/>
      <c r="BN283" s="666"/>
      <c r="BO283" s="666"/>
      <c r="BP283" s="666"/>
      <c r="BQ283" s="666"/>
      <c r="BR283" s="666"/>
      <c r="BS283" s="666"/>
      <c r="BT283" s="666"/>
      <c r="BU283" s="666"/>
      <c r="BV283" s="666"/>
      <c r="BW283" s="666"/>
      <c r="BX283" s="666"/>
      <c r="BY283" s="666"/>
      <c r="BZ283" s="666"/>
      <c r="CA283" s="666"/>
      <c r="CB283" s="666"/>
      <c r="CC283" s="666"/>
      <c r="CD283" s="666"/>
      <c r="CE283" s="666"/>
      <c r="CF283" s="666"/>
      <c r="CG283" s="666"/>
      <c r="CH283" s="666"/>
      <c r="CI283" s="666"/>
      <c r="CJ283" s="1439"/>
    </row>
    <row r="284" spans="2:88" ht="38.25" customHeight="1" x14ac:dyDescent="0.2">
      <c r="B284" s="1508" t="s">
        <v>631</v>
      </c>
      <c r="C284" s="1509" t="s">
        <v>786</v>
      </c>
      <c r="D284" s="907" t="s">
        <v>633</v>
      </c>
      <c r="E284" s="906" t="s">
        <v>236</v>
      </c>
      <c r="F284" s="908">
        <v>2</v>
      </c>
      <c r="G284" s="670"/>
      <c r="H284" s="671"/>
      <c r="I284" s="671">
        <v>0.44369315660463848</v>
      </c>
      <c r="J284" s="671">
        <v>0.44951664386808265</v>
      </c>
      <c r="K284" s="671">
        <v>0.44020975143715613</v>
      </c>
      <c r="L284" s="671">
        <v>0.42087224193130857</v>
      </c>
      <c r="M284" s="666">
        <v>0.39264830087930136</v>
      </c>
      <c r="N284" s="666">
        <v>0.37510695582559117</v>
      </c>
      <c r="O284" s="666">
        <v>0.38513803215475395</v>
      </c>
      <c r="P284" s="666">
        <v>0.38554572253836067</v>
      </c>
      <c r="Q284" s="666">
        <v>0.38446150574571958</v>
      </c>
      <c r="R284" s="666">
        <v>0.3831765453179814</v>
      </c>
      <c r="S284" s="666">
        <v>0.38145933042587254</v>
      </c>
      <c r="T284" s="666">
        <v>0.37941719096378634</v>
      </c>
      <c r="U284" s="666">
        <v>0.37629410944244313</v>
      </c>
      <c r="V284" s="666">
        <v>0.37326320120242218</v>
      </c>
      <c r="W284" s="666">
        <v>0.37051383179485831</v>
      </c>
      <c r="X284" s="666">
        <v>0.36780157036112665</v>
      </c>
      <c r="Y284" s="666">
        <v>0.36514979075209741</v>
      </c>
      <c r="Z284" s="666">
        <v>0.36255532435229754</v>
      </c>
      <c r="AA284" s="666">
        <v>0.35972303437360487</v>
      </c>
      <c r="AB284" s="666">
        <v>0.35652497916479531</v>
      </c>
      <c r="AC284" s="666">
        <v>0.35365752254823601</v>
      </c>
      <c r="AD284" s="666">
        <v>0.35098214069406652</v>
      </c>
      <c r="AE284" s="666">
        <v>0.34970677073796119</v>
      </c>
      <c r="AF284" s="666">
        <v>0.35084993313589019</v>
      </c>
      <c r="AG284" s="666">
        <v>0.35193394300442921</v>
      </c>
      <c r="AH284" s="666">
        <v>0.35310446364647091</v>
      </c>
      <c r="AI284" s="666">
        <v>0.35433022231955602</v>
      </c>
      <c r="AJ284" s="666">
        <v>0.35565561822049663</v>
      </c>
      <c r="AK284" s="666">
        <v>0.35698352048763682</v>
      </c>
      <c r="AL284" s="666"/>
      <c r="AM284" s="666"/>
      <c r="AN284" s="666"/>
      <c r="AO284" s="666"/>
      <c r="AP284" s="666"/>
      <c r="AQ284" s="666"/>
      <c r="AR284" s="666"/>
      <c r="AS284" s="666"/>
      <c r="AT284" s="666"/>
      <c r="AU284" s="666"/>
      <c r="AV284" s="666"/>
      <c r="AW284" s="666"/>
      <c r="AX284" s="666"/>
      <c r="AY284" s="666"/>
      <c r="AZ284" s="666"/>
      <c r="BA284" s="666"/>
      <c r="BB284" s="666"/>
      <c r="BC284" s="666"/>
      <c r="BD284" s="666"/>
      <c r="BE284" s="666"/>
      <c r="BF284" s="666"/>
      <c r="BG284" s="666"/>
      <c r="BH284" s="666"/>
      <c r="BI284" s="666"/>
      <c r="BJ284" s="666"/>
      <c r="BK284" s="666"/>
      <c r="BL284" s="666"/>
      <c r="BM284" s="666"/>
      <c r="BN284" s="666"/>
      <c r="BO284" s="666"/>
      <c r="BP284" s="666"/>
      <c r="BQ284" s="666"/>
      <c r="BR284" s="666"/>
      <c r="BS284" s="666"/>
      <c r="BT284" s="666"/>
      <c r="BU284" s="666"/>
      <c r="BV284" s="666"/>
      <c r="BW284" s="666"/>
      <c r="BX284" s="666"/>
      <c r="BY284" s="666"/>
      <c r="BZ284" s="666"/>
      <c r="CA284" s="666"/>
      <c r="CB284" s="666"/>
      <c r="CC284" s="666"/>
      <c r="CD284" s="666"/>
      <c r="CE284" s="666"/>
      <c r="CF284" s="666"/>
      <c r="CG284" s="666"/>
      <c r="CH284" s="666"/>
      <c r="CI284" s="666"/>
      <c r="CJ284" s="1439"/>
    </row>
    <row r="285" spans="2:88" ht="42.75" x14ac:dyDescent="0.2">
      <c r="B285" s="900" t="s">
        <v>634</v>
      </c>
      <c r="C285" s="901" t="s">
        <v>635</v>
      </c>
      <c r="D285" s="901" t="s">
        <v>636</v>
      </c>
      <c r="E285" s="901" t="s">
        <v>236</v>
      </c>
      <c r="F285" s="902">
        <v>2</v>
      </c>
      <c r="G285" s="670"/>
      <c r="H285" s="671"/>
      <c r="I285" s="671">
        <v>0</v>
      </c>
      <c r="J285" s="671">
        <v>0</v>
      </c>
      <c r="K285" s="671">
        <v>0</v>
      </c>
      <c r="L285" s="671">
        <v>0</v>
      </c>
      <c r="M285" s="666">
        <v>0</v>
      </c>
      <c r="N285" s="666">
        <v>0</v>
      </c>
      <c r="O285" s="666">
        <v>0</v>
      </c>
      <c r="P285" s="666">
        <v>0</v>
      </c>
      <c r="Q285" s="666">
        <v>0</v>
      </c>
      <c r="R285" s="666">
        <v>0</v>
      </c>
      <c r="S285" s="666">
        <v>0</v>
      </c>
      <c r="T285" s="666">
        <v>0</v>
      </c>
      <c r="U285" s="666">
        <v>0</v>
      </c>
      <c r="V285" s="666">
        <v>0</v>
      </c>
      <c r="W285" s="666">
        <v>0</v>
      </c>
      <c r="X285" s="666">
        <v>0</v>
      </c>
      <c r="Y285" s="666">
        <v>0</v>
      </c>
      <c r="Z285" s="666">
        <v>0</v>
      </c>
      <c r="AA285" s="666">
        <v>0</v>
      </c>
      <c r="AB285" s="666">
        <v>0</v>
      </c>
      <c r="AC285" s="666">
        <v>0</v>
      </c>
      <c r="AD285" s="666">
        <v>0</v>
      </c>
      <c r="AE285" s="666">
        <v>0</v>
      </c>
      <c r="AF285" s="666">
        <v>0</v>
      </c>
      <c r="AG285" s="666">
        <v>0</v>
      </c>
      <c r="AH285" s="666">
        <v>0</v>
      </c>
      <c r="AI285" s="666">
        <v>0</v>
      </c>
      <c r="AJ285" s="666">
        <v>0</v>
      </c>
      <c r="AK285" s="666">
        <v>0</v>
      </c>
      <c r="AL285" s="666"/>
      <c r="AM285" s="666"/>
      <c r="AN285" s="666"/>
      <c r="AO285" s="666"/>
      <c r="AP285" s="666"/>
      <c r="AQ285" s="666"/>
      <c r="AR285" s="666"/>
      <c r="AS285" s="666"/>
      <c r="AT285" s="666"/>
      <c r="AU285" s="666"/>
      <c r="AV285" s="666"/>
      <c r="AW285" s="666"/>
      <c r="AX285" s="666"/>
      <c r="AY285" s="666"/>
      <c r="AZ285" s="666"/>
      <c r="BA285" s="666"/>
      <c r="BB285" s="666"/>
      <c r="BC285" s="666"/>
      <c r="BD285" s="666"/>
      <c r="BE285" s="666"/>
      <c r="BF285" s="666"/>
      <c r="BG285" s="666"/>
      <c r="BH285" s="666"/>
      <c r="BI285" s="666"/>
      <c r="BJ285" s="666"/>
      <c r="BK285" s="666"/>
      <c r="BL285" s="666"/>
      <c r="BM285" s="666"/>
      <c r="BN285" s="666"/>
      <c r="BO285" s="666"/>
      <c r="BP285" s="666"/>
      <c r="BQ285" s="666"/>
      <c r="BR285" s="666"/>
      <c r="BS285" s="666"/>
      <c r="BT285" s="666"/>
      <c r="BU285" s="666"/>
      <c r="BV285" s="666"/>
      <c r="BW285" s="666"/>
      <c r="BX285" s="666"/>
      <c r="BY285" s="666"/>
      <c r="BZ285" s="666"/>
      <c r="CA285" s="666"/>
      <c r="CB285" s="666"/>
      <c r="CC285" s="666"/>
      <c r="CD285" s="666"/>
      <c r="CE285" s="666"/>
      <c r="CF285" s="666"/>
      <c r="CG285" s="666"/>
      <c r="CH285" s="666"/>
      <c r="CI285" s="666"/>
      <c r="CJ285" s="1439"/>
    </row>
    <row r="286" spans="2:88" x14ac:dyDescent="0.2">
      <c r="B286" s="900" t="s">
        <v>637</v>
      </c>
      <c r="C286" s="901" t="s">
        <v>638</v>
      </c>
      <c r="D286" s="901" t="s">
        <v>639</v>
      </c>
      <c r="E286" s="901" t="s">
        <v>236</v>
      </c>
      <c r="F286" s="902">
        <v>2</v>
      </c>
      <c r="G286" s="670"/>
      <c r="H286" s="671"/>
      <c r="I286" s="671">
        <v>0</v>
      </c>
      <c r="J286" s="671">
        <v>0</v>
      </c>
      <c r="K286" s="671">
        <v>0</v>
      </c>
      <c r="L286" s="671">
        <v>0</v>
      </c>
      <c r="M286" s="666">
        <v>0</v>
      </c>
      <c r="N286" s="666">
        <v>0</v>
      </c>
      <c r="O286" s="666">
        <v>0</v>
      </c>
      <c r="P286" s="666">
        <v>0</v>
      </c>
      <c r="Q286" s="666">
        <v>0</v>
      </c>
      <c r="R286" s="666">
        <v>0</v>
      </c>
      <c r="S286" s="666">
        <v>0</v>
      </c>
      <c r="T286" s="666">
        <v>0</v>
      </c>
      <c r="U286" s="666">
        <v>0</v>
      </c>
      <c r="V286" s="666">
        <v>0</v>
      </c>
      <c r="W286" s="666">
        <v>0</v>
      </c>
      <c r="X286" s="666">
        <v>0</v>
      </c>
      <c r="Y286" s="666">
        <v>0</v>
      </c>
      <c r="Z286" s="666">
        <v>0</v>
      </c>
      <c r="AA286" s="666">
        <v>0</v>
      </c>
      <c r="AB286" s="666">
        <v>0</v>
      </c>
      <c r="AC286" s="666">
        <v>0</v>
      </c>
      <c r="AD286" s="666">
        <v>0</v>
      </c>
      <c r="AE286" s="666">
        <v>0</v>
      </c>
      <c r="AF286" s="666">
        <v>0</v>
      </c>
      <c r="AG286" s="666">
        <v>0</v>
      </c>
      <c r="AH286" s="666">
        <v>0</v>
      </c>
      <c r="AI286" s="666">
        <v>0</v>
      </c>
      <c r="AJ286" s="666">
        <v>0</v>
      </c>
      <c r="AK286" s="666">
        <v>0</v>
      </c>
      <c r="AL286" s="666"/>
      <c r="AM286" s="666"/>
      <c r="AN286" s="666"/>
      <c r="AO286" s="666"/>
      <c r="AP286" s="666"/>
      <c r="AQ286" s="666"/>
      <c r="AR286" s="666"/>
      <c r="AS286" s="666"/>
      <c r="AT286" s="666"/>
      <c r="AU286" s="666"/>
      <c r="AV286" s="666"/>
      <c r="AW286" s="666"/>
      <c r="AX286" s="666"/>
      <c r="AY286" s="666"/>
      <c r="AZ286" s="666"/>
      <c r="BA286" s="666"/>
      <c r="BB286" s="666"/>
      <c r="BC286" s="666"/>
      <c r="BD286" s="666"/>
      <c r="BE286" s="666"/>
      <c r="BF286" s="666"/>
      <c r="BG286" s="666"/>
      <c r="BH286" s="666"/>
      <c r="BI286" s="666"/>
      <c r="BJ286" s="666"/>
      <c r="BK286" s="666"/>
      <c r="BL286" s="666"/>
      <c r="BM286" s="666"/>
      <c r="BN286" s="666"/>
      <c r="BO286" s="666"/>
      <c r="BP286" s="666"/>
      <c r="BQ286" s="666"/>
      <c r="BR286" s="666"/>
      <c r="BS286" s="666"/>
      <c r="BT286" s="666"/>
      <c r="BU286" s="666"/>
      <c r="BV286" s="666"/>
      <c r="BW286" s="666"/>
      <c r="BX286" s="666"/>
      <c r="BY286" s="666"/>
      <c r="BZ286" s="666"/>
      <c r="CA286" s="666"/>
      <c r="CB286" s="666"/>
      <c r="CC286" s="666"/>
      <c r="CD286" s="666"/>
      <c r="CE286" s="666"/>
      <c r="CF286" s="666"/>
      <c r="CG286" s="666"/>
      <c r="CH286" s="666"/>
      <c r="CI286" s="666"/>
      <c r="CJ286" s="1439"/>
    </row>
    <row r="287" spans="2:88" ht="15" thickBot="1" x14ac:dyDescent="0.25">
      <c r="B287" s="909" t="s">
        <v>640</v>
      </c>
      <c r="C287" s="910" t="s">
        <v>641</v>
      </c>
      <c r="D287" s="910" t="s">
        <v>642</v>
      </c>
      <c r="E287" s="910" t="s">
        <v>236</v>
      </c>
      <c r="F287" s="911">
        <v>2</v>
      </c>
      <c r="G287" s="681"/>
      <c r="H287" s="682"/>
      <c r="I287" s="682">
        <v>0</v>
      </c>
      <c r="J287" s="682">
        <v>0</v>
      </c>
      <c r="K287" s="682">
        <v>0</v>
      </c>
      <c r="L287" s="682">
        <v>0</v>
      </c>
      <c r="M287" s="666">
        <v>0</v>
      </c>
      <c r="N287" s="666">
        <v>0</v>
      </c>
      <c r="O287" s="666">
        <v>0</v>
      </c>
      <c r="P287" s="666">
        <v>0</v>
      </c>
      <c r="Q287" s="666">
        <v>0</v>
      </c>
      <c r="R287" s="666">
        <v>0</v>
      </c>
      <c r="S287" s="666">
        <v>0</v>
      </c>
      <c r="T287" s="666">
        <v>0</v>
      </c>
      <c r="U287" s="666">
        <v>0</v>
      </c>
      <c r="V287" s="666">
        <v>0</v>
      </c>
      <c r="W287" s="666">
        <v>0</v>
      </c>
      <c r="X287" s="666">
        <v>0</v>
      </c>
      <c r="Y287" s="666">
        <v>0</v>
      </c>
      <c r="Z287" s="666">
        <v>0</v>
      </c>
      <c r="AA287" s="666">
        <v>0</v>
      </c>
      <c r="AB287" s="666">
        <v>0</v>
      </c>
      <c r="AC287" s="666">
        <v>0</v>
      </c>
      <c r="AD287" s="666">
        <v>0</v>
      </c>
      <c r="AE287" s="666">
        <v>0</v>
      </c>
      <c r="AF287" s="666">
        <v>0</v>
      </c>
      <c r="AG287" s="666">
        <v>0</v>
      </c>
      <c r="AH287" s="666">
        <v>0</v>
      </c>
      <c r="AI287" s="666">
        <v>0</v>
      </c>
      <c r="AJ287" s="666">
        <v>0</v>
      </c>
      <c r="AK287" s="666">
        <v>0</v>
      </c>
      <c r="AL287" s="666"/>
      <c r="AM287" s="666"/>
      <c r="AN287" s="666"/>
      <c r="AO287" s="666"/>
      <c r="AP287" s="666"/>
      <c r="AQ287" s="666"/>
      <c r="AR287" s="666"/>
      <c r="AS287" s="666"/>
      <c r="AT287" s="666"/>
      <c r="AU287" s="666"/>
      <c r="AV287" s="666"/>
      <c r="AW287" s="666"/>
      <c r="AX287" s="666"/>
      <c r="AY287" s="666"/>
      <c r="AZ287" s="666"/>
      <c r="BA287" s="666"/>
      <c r="BB287" s="666"/>
      <c r="BC287" s="666"/>
      <c r="BD287" s="666"/>
      <c r="BE287" s="666"/>
      <c r="BF287" s="666"/>
      <c r="BG287" s="666"/>
      <c r="BH287" s="666"/>
      <c r="BI287" s="666"/>
      <c r="BJ287" s="666"/>
      <c r="BK287" s="666"/>
      <c r="BL287" s="666"/>
      <c r="BM287" s="666"/>
      <c r="BN287" s="666"/>
      <c r="BO287" s="666"/>
      <c r="BP287" s="666"/>
      <c r="BQ287" s="666"/>
      <c r="BR287" s="666"/>
      <c r="BS287" s="666"/>
      <c r="BT287" s="666"/>
      <c r="BU287" s="666"/>
      <c r="BV287" s="666"/>
      <c r="BW287" s="666"/>
      <c r="BX287" s="666"/>
      <c r="BY287" s="666"/>
      <c r="BZ287" s="666"/>
      <c r="CA287" s="666"/>
      <c r="CB287" s="666"/>
      <c r="CC287" s="666"/>
      <c r="CD287" s="666"/>
      <c r="CE287" s="666"/>
      <c r="CF287" s="666"/>
      <c r="CG287" s="666"/>
      <c r="CH287" s="666"/>
      <c r="CI287" s="666"/>
      <c r="CJ287" s="1439"/>
    </row>
    <row r="288" spans="2:88" ht="57" x14ac:dyDescent="0.2">
      <c r="B288" s="912" t="s">
        <v>643</v>
      </c>
      <c r="C288" s="913" t="s">
        <v>644</v>
      </c>
      <c r="D288" s="914" t="s">
        <v>645</v>
      </c>
      <c r="E288" s="913" t="s">
        <v>236</v>
      </c>
      <c r="F288" s="915">
        <v>2</v>
      </c>
      <c r="G288" s="664"/>
      <c r="H288" s="1513"/>
      <c r="I288" s="1513">
        <v>0</v>
      </c>
      <c r="J288" s="1513">
        <v>-4.2756956085342859</v>
      </c>
      <c r="K288" s="1513">
        <v>-4.0998783156012291</v>
      </c>
      <c r="L288" s="1513">
        <v>-4.0759494718184088</v>
      </c>
      <c r="M288" s="665">
        <v>-3.9055327140129359</v>
      </c>
      <c r="N288" s="665">
        <v>-3.8776076959631975</v>
      </c>
      <c r="O288" s="665">
        <v>-3.8961344497786934</v>
      </c>
      <c r="P288" s="665">
        <v>-3.9147134065861389</v>
      </c>
      <c r="Q288" s="665">
        <v>-3.9326678862731788</v>
      </c>
      <c r="R288" s="665">
        <v>-3.959308445069186</v>
      </c>
      <c r="S288" s="665">
        <v>-3.9858462652061668</v>
      </c>
      <c r="T288" s="665">
        <v>-8.7902349351907105E-2</v>
      </c>
      <c r="U288" s="665">
        <v>-0.10435295459663685</v>
      </c>
      <c r="V288" s="665">
        <v>-0.12080419942085108</v>
      </c>
      <c r="W288" s="665">
        <v>-0.13609161252936275</v>
      </c>
      <c r="X288" s="665">
        <v>-0.15137966521734825</v>
      </c>
      <c r="Y288" s="665">
        <v>-0.16666835748482178</v>
      </c>
      <c r="Z288" s="665">
        <v>-0.16674666751425349</v>
      </c>
      <c r="AA288" s="665">
        <v>-0.16682561712316435</v>
      </c>
      <c r="AB288" s="665">
        <v>-0.16690520631155437</v>
      </c>
      <c r="AC288" s="665">
        <v>-0.16698543507942709</v>
      </c>
      <c r="AD288" s="665">
        <v>-0.16706630342677897</v>
      </c>
      <c r="AE288" s="665">
        <v>-0.16714781135361356</v>
      </c>
      <c r="AF288" s="665">
        <v>-0.16722995885992731</v>
      </c>
      <c r="AG288" s="665">
        <v>-0.16731274594572199</v>
      </c>
      <c r="AH288" s="665">
        <v>-0.16739617261099937</v>
      </c>
      <c r="AI288" s="665">
        <v>-0.16748023885575236</v>
      </c>
      <c r="AJ288" s="665">
        <v>-0.16756494467998628</v>
      </c>
      <c r="AK288" s="665">
        <v>-0.16765029008370114</v>
      </c>
      <c r="AL288" s="665"/>
      <c r="AM288" s="665"/>
      <c r="AN288" s="665"/>
      <c r="AO288" s="665"/>
      <c r="AP288" s="665"/>
      <c r="AQ288" s="665"/>
      <c r="AR288" s="665"/>
      <c r="AS288" s="665"/>
      <c r="AT288" s="665"/>
      <c r="AU288" s="665"/>
      <c r="AV288" s="665"/>
      <c r="AW288" s="665"/>
      <c r="AX288" s="665"/>
      <c r="AY288" s="665"/>
      <c r="AZ288" s="665"/>
      <c r="BA288" s="665"/>
      <c r="BB288" s="665"/>
      <c r="BC288" s="665"/>
      <c r="BD288" s="665"/>
      <c r="BE288" s="665"/>
      <c r="BF288" s="665"/>
      <c r="BG288" s="665"/>
      <c r="BH288" s="665"/>
      <c r="BI288" s="665"/>
      <c r="BJ288" s="665"/>
      <c r="BK288" s="665"/>
      <c r="BL288" s="665"/>
      <c r="BM288" s="665"/>
      <c r="BN288" s="665"/>
      <c r="BO288" s="665"/>
      <c r="BP288" s="665"/>
      <c r="BQ288" s="665"/>
      <c r="BR288" s="665"/>
      <c r="BS288" s="665"/>
      <c r="BT288" s="665"/>
      <c r="BU288" s="665"/>
      <c r="BV288" s="665"/>
      <c r="BW288" s="665"/>
      <c r="BX288" s="665"/>
      <c r="BY288" s="665"/>
      <c r="BZ288" s="665"/>
      <c r="CA288" s="665"/>
      <c r="CB288" s="665"/>
      <c r="CC288" s="665"/>
      <c r="CD288" s="665"/>
      <c r="CE288" s="665"/>
      <c r="CF288" s="665"/>
      <c r="CG288" s="665"/>
      <c r="CH288" s="665"/>
      <c r="CI288" s="665"/>
      <c r="CJ288" s="1439"/>
    </row>
    <row r="289" spans="2:89" ht="57" x14ac:dyDescent="0.2">
      <c r="B289" s="916" t="s">
        <v>646</v>
      </c>
      <c r="C289" s="917" t="s">
        <v>647</v>
      </c>
      <c r="D289" s="918" t="s">
        <v>648</v>
      </c>
      <c r="E289" s="917" t="s">
        <v>236</v>
      </c>
      <c r="F289" s="919">
        <v>2</v>
      </c>
      <c r="G289" s="670"/>
      <c r="H289" s="671"/>
      <c r="I289" s="671">
        <v>0</v>
      </c>
      <c r="J289" s="671">
        <v>0</v>
      </c>
      <c r="K289" s="671">
        <v>0</v>
      </c>
      <c r="L289" s="671">
        <v>0</v>
      </c>
      <c r="M289" s="666">
        <v>-1.118926988616549E-6</v>
      </c>
      <c r="N289" s="666">
        <v>-2.1953333463574365E-6</v>
      </c>
      <c r="O289" s="666">
        <v>-3.2292190732213615E-6</v>
      </c>
      <c r="P289" s="666">
        <v>-4.2205841692091912E-6</v>
      </c>
      <c r="Q289" s="666">
        <v>-5.1694286343209259E-6</v>
      </c>
      <c r="R289" s="666">
        <v>-6.0757524685561316E-6</v>
      </c>
      <c r="S289" s="666">
        <v>-6.9395556719152422E-6</v>
      </c>
      <c r="T289" s="666">
        <v>-7.760838244397824E-6</v>
      </c>
      <c r="U289" s="666">
        <v>-8.5396001860043105E-6</v>
      </c>
      <c r="V289" s="666">
        <v>-9.4884446511160452E-6</v>
      </c>
      <c r="W289" s="666">
        <v>-1.0437289116227346E-5</v>
      </c>
      <c r="X289" s="666">
        <v>-1.1386133581339081E-5</v>
      </c>
      <c r="Y289" s="666">
        <v>-1.2334978046450815E-5</v>
      </c>
      <c r="Z289" s="666">
        <v>-1.3283822511562116E-5</v>
      </c>
      <c r="AA289" s="666">
        <v>-1.4232666976673851E-5</v>
      </c>
      <c r="AB289" s="666">
        <v>-1.5181511441785586E-5</v>
      </c>
      <c r="AC289" s="666">
        <v>-1.613035590689732E-5</v>
      </c>
      <c r="AD289" s="666">
        <v>-1.7079200372008621E-5</v>
      </c>
      <c r="AE289" s="666">
        <v>-1.8028044837120356E-5</v>
      </c>
      <c r="AF289" s="666">
        <v>-1.897688930223209E-5</v>
      </c>
      <c r="AG289" s="666">
        <v>-1.9925733767343391E-5</v>
      </c>
      <c r="AH289" s="666">
        <v>-2.0874578232455126E-5</v>
      </c>
      <c r="AI289" s="666">
        <v>-2.182342269756686E-5</v>
      </c>
      <c r="AJ289" s="666">
        <v>-2.2772267162678595E-5</v>
      </c>
      <c r="AK289" s="666">
        <v>-2.3721111627789896E-5</v>
      </c>
      <c r="AL289" s="666"/>
      <c r="AM289" s="666"/>
      <c r="AN289" s="666"/>
      <c r="AO289" s="666"/>
      <c r="AP289" s="666"/>
      <c r="AQ289" s="666"/>
      <c r="AR289" s="666"/>
      <c r="AS289" s="666"/>
      <c r="AT289" s="666"/>
      <c r="AU289" s="666"/>
      <c r="AV289" s="666"/>
      <c r="AW289" s="666"/>
      <c r="AX289" s="666"/>
      <c r="AY289" s="666"/>
      <c r="AZ289" s="666"/>
      <c r="BA289" s="666"/>
      <c r="BB289" s="666"/>
      <c r="BC289" s="666"/>
      <c r="BD289" s="666"/>
      <c r="BE289" s="666"/>
      <c r="BF289" s="666"/>
      <c r="BG289" s="666"/>
      <c r="BH289" s="666"/>
      <c r="BI289" s="666"/>
      <c r="BJ289" s="666"/>
      <c r="BK289" s="666"/>
      <c r="BL289" s="666"/>
      <c r="BM289" s="666"/>
      <c r="BN289" s="666"/>
      <c r="BO289" s="666"/>
      <c r="BP289" s="666"/>
      <c r="BQ289" s="666"/>
      <c r="BR289" s="666"/>
      <c r="BS289" s="666"/>
      <c r="BT289" s="666"/>
      <c r="BU289" s="666"/>
      <c r="BV289" s="666"/>
      <c r="BW289" s="666"/>
      <c r="BX289" s="666"/>
      <c r="BY289" s="666"/>
      <c r="BZ289" s="666"/>
      <c r="CA289" s="666"/>
      <c r="CB289" s="666"/>
      <c r="CC289" s="666"/>
      <c r="CD289" s="666"/>
      <c r="CE289" s="666"/>
      <c r="CF289" s="666"/>
      <c r="CG289" s="666"/>
      <c r="CH289" s="666"/>
      <c r="CI289" s="666"/>
      <c r="CJ289" s="1439"/>
    </row>
    <row r="290" spans="2:89" ht="57" x14ac:dyDescent="0.2">
      <c r="B290" s="916" t="s">
        <v>649</v>
      </c>
      <c r="C290" s="917" t="s">
        <v>650</v>
      </c>
      <c r="D290" s="918" t="s">
        <v>651</v>
      </c>
      <c r="E290" s="917" t="s">
        <v>236</v>
      </c>
      <c r="F290" s="919">
        <v>2</v>
      </c>
      <c r="G290" s="670"/>
      <c r="H290" s="671"/>
      <c r="I290" s="671">
        <v>0</v>
      </c>
      <c r="J290" s="671">
        <v>0</v>
      </c>
      <c r="K290" s="671">
        <v>0</v>
      </c>
      <c r="L290" s="671">
        <v>0</v>
      </c>
      <c r="M290" s="666">
        <v>0.44352495055555385</v>
      </c>
      <c r="N290" s="666">
        <v>0.90774056896354738</v>
      </c>
      <c r="O290" s="666">
        <v>0.93428198386720673</v>
      </c>
      <c r="P290" s="666">
        <v>0.8731288856905568</v>
      </c>
      <c r="Q290" s="666">
        <v>0.80988196414806213</v>
      </c>
      <c r="R290" s="666">
        <v>0.75915179869054672</v>
      </c>
      <c r="S290" s="666">
        <v>0.71871011498992221</v>
      </c>
      <c r="T290" s="666">
        <v>0.6769007623203227</v>
      </c>
      <c r="U290" s="666">
        <v>0.62489959345249169</v>
      </c>
      <c r="V290" s="666">
        <v>0.5728352635077667</v>
      </c>
      <c r="W290" s="666">
        <v>0.52328436787576127</v>
      </c>
      <c r="X290" s="666">
        <v>0.4735972454280275</v>
      </c>
      <c r="Y290" s="666">
        <v>0.42361970973913987</v>
      </c>
      <c r="Z290" s="666">
        <v>0.37393169057894493</v>
      </c>
      <c r="AA290" s="666">
        <v>0.32467017415186517</v>
      </c>
      <c r="AB290" s="666">
        <v>0.2774827313481012</v>
      </c>
      <c r="AC290" s="666">
        <v>0.22989965556744396</v>
      </c>
      <c r="AD290" s="666">
        <v>0.18296202739383505</v>
      </c>
      <c r="AE290" s="666">
        <v>0.14967040132354814</v>
      </c>
      <c r="AF290" s="666">
        <v>0.13974809073410821</v>
      </c>
      <c r="AG290" s="666">
        <v>0.1299302178749131</v>
      </c>
      <c r="AH290" s="666">
        <v>0.12045516342220974</v>
      </c>
      <c r="AI290" s="666">
        <v>0.11077223528819458</v>
      </c>
      <c r="AJ290" s="666">
        <v>0.1010118478887736</v>
      </c>
      <c r="AK290" s="666">
        <v>9.0786432428972663E-2</v>
      </c>
      <c r="AL290" s="666"/>
      <c r="AM290" s="666"/>
      <c r="AN290" s="666"/>
      <c r="AO290" s="666"/>
      <c r="AP290" s="666"/>
      <c r="AQ290" s="666"/>
      <c r="AR290" s="666"/>
      <c r="AS290" s="666"/>
      <c r="AT290" s="666"/>
      <c r="AU290" s="666"/>
      <c r="AV290" s="666"/>
      <c r="AW290" s="666"/>
      <c r="AX290" s="666"/>
      <c r="AY290" s="666"/>
      <c r="AZ290" s="666"/>
      <c r="BA290" s="666"/>
      <c r="BB290" s="666"/>
      <c r="BC290" s="666"/>
      <c r="BD290" s="666"/>
      <c r="BE290" s="666"/>
      <c r="BF290" s="666"/>
      <c r="BG290" s="666"/>
      <c r="BH290" s="666"/>
      <c r="BI290" s="666"/>
      <c r="BJ290" s="666"/>
      <c r="BK290" s="666"/>
      <c r="BL290" s="666"/>
      <c r="BM290" s="666"/>
      <c r="BN290" s="666"/>
      <c r="BO290" s="666"/>
      <c r="BP290" s="666"/>
      <c r="BQ290" s="666"/>
      <c r="BR290" s="666"/>
      <c r="BS290" s="666"/>
      <c r="BT290" s="666"/>
      <c r="BU290" s="666"/>
      <c r="BV290" s="666"/>
      <c r="BW290" s="666"/>
      <c r="BX290" s="666"/>
      <c r="BY290" s="666"/>
      <c r="BZ290" s="666"/>
      <c r="CA290" s="666"/>
      <c r="CB290" s="666"/>
      <c r="CC290" s="666"/>
      <c r="CD290" s="666"/>
      <c r="CE290" s="666"/>
      <c r="CF290" s="666"/>
      <c r="CG290" s="666"/>
      <c r="CH290" s="666"/>
      <c r="CI290" s="666"/>
      <c r="CJ290" s="1439"/>
    </row>
    <row r="291" spans="2:89" ht="57" x14ac:dyDescent="0.2">
      <c r="B291" s="916" t="s">
        <v>652</v>
      </c>
      <c r="C291" s="917" t="s">
        <v>653</v>
      </c>
      <c r="D291" s="918" t="s">
        <v>654</v>
      </c>
      <c r="E291" s="917" t="s">
        <v>236</v>
      </c>
      <c r="F291" s="919">
        <v>2</v>
      </c>
      <c r="G291" s="670"/>
      <c r="H291" s="671"/>
      <c r="I291" s="671">
        <v>0</v>
      </c>
      <c r="J291" s="671">
        <v>0</v>
      </c>
      <c r="K291" s="671">
        <v>0</v>
      </c>
      <c r="L291" s="671">
        <v>0</v>
      </c>
      <c r="M291" s="666">
        <v>-0.66794969877482535</v>
      </c>
      <c r="N291" s="666">
        <v>-1.3656980366950575</v>
      </c>
      <c r="O291" s="666">
        <v>-1.325524185068383</v>
      </c>
      <c r="P291" s="666">
        <v>-1.2851598370968769</v>
      </c>
      <c r="Q291" s="666">
        <v>-1.2447012557217505</v>
      </c>
      <c r="R291" s="666">
        <v>-1.2202326393992189</v>
      </c>
      <c r="S291" s="666">
        <v>-1.2121757713006118</v>
      </c>
      <c r="T291" s="666">
        <v>-1.2041933515596084</v>
      </c>
      <c r="U291" s="666">
        <v>-1.1964722762267146</v>
      </c>
      <c r="V291" s="666">
        <v>-1.1887985878361473</v>
      </c>
      <c r="W291" s="666">
        <v>-1.1819690872532824</v>
      </c>
      <c r="X291" s="666">
        <v>-1.175199599330885</v>
      </c>
      <c r="Y291" s="666">
        <v>-1.1683785805391329</v>
      </c>
      <c r="Z291" s="666">
        <v>-1.1618404835194975</v>
      </c>
      <c r="AA291" s="666">
        <v>-1.1552611765389764</v>
      </c>
      <c r="AB291" s="666">
        <v>-1.1490319710672343</v>
      </c>
      <c r="AC291" s="666">
        <v>-1.1433034254578134</v>
      </c>
      <c r="AD291" s="666">
        <v>-1.138083135470547</v>
      </c>
      <c r="AE291" s="666">
        <v>-1.1329918500306271</v>
      </c>
      <c r="AF291" s="666">
        <v>-1.1274135126052567</v>
      </c>
      <c r="AG291" s="666">
        <v>-1.1218156135107382</v>
      </c>
      <c r="AH291" s="666">
        <v>-1.1165214474359015</v>
      </c>
      <c r="AI291" s="666">
        <v>-1.1112030958573331</v>
      </c>
      <c r="AJ291" s="666">
        <v>-1.1059734755829653</v>
      </c>
      <c r="AK291" s="666">
        <v>-1.1005110695740317</v>
      </c>
      <c r="AL291" s="666"/>
      <c r="AM291" s="666"/>
      <c r="AN291" s="666"/>
      <c r="AO291" s="666"/>
      <c r="AP291" s="666"/>
      <c r="AQ291" s="666"/>
      <c r="AR291" s="666"/>
      <c r="AS291" s="666"/>
      <c r="AT291" s="666"/>
      <c r="AU291" s="666"/>
      <c r="AV291" s="666"/>
      <c r="AW291" s="666"/>
      <c r="AX291" s="666"/>
      <c r="AY291" s="666"/>
      <c r="AZ291" s="666"/>
      <c r="BA291" s="666"/>
      <c r="BB291" s="666"/>
      <c r="BC291" s="666"/>
      <c r="BD291" s="666"/>
      <c r="BE291" s="666"/>
      <c r="BF291" s="666"/>
      <c r="BG291" s="666"/>
      <c r="BH291" s="666"/>
      <c r="BI291" s="666"/>
      <c r="BJ291" s="666"/>
      <c r="BK291" s="666"/>
      <c r="BL291" s="666"/>
      <c r="BM291" s="666"/>
      <c r="BN291" s="666"/>
      <c r="BO291" s="666"/>
      <c r="BP291" s="666"/>
      <c r="BQ291" s="666"/>
      <c r="BR291" s="666"/>
      <c r="BS291" s="666"/>
      <c r="BT291" s="666"/>
      <c r="BU291" s="666"/>
      <c r="BV291" s="666"/>
      <c r="BW291" s="666"/>
      <c r="BX291" s="666"/>
      <c r="BY291" s="666"/>
      <c r="BZ291" s="666"/>
      <c r="CA291" s="666"/>
      <c r="CB291" s="666"/>
      <c r="CC291" s="666"/>
      <c r="CD291" s="666"/>
      <c r="CE291" s="666"/>
      <c r="CF291" s="666"/>
      <c r="CG291" s="666"/>
      <c r="CH291" s="666"/>
      <c r="CI291" s="666"/>
      <c r="CJ291" s="1439"/>
    </row>
    <row r="292" spans="2:89" ht="28.5" x14ac:dyDescent="0.2">
      <c r="B292" s="916" t="s">
        <v>655</v>
      </c>
      <c r="C292" s="917" t="s">
        <v>656</v>
      </c>
      <c r="D292" s="918" t="s">
        <v>657</v>
      </c>
      <c r="E292" s="917" t="s">
        <v>236</v>
      </c>
      <c r="F292" s="919">
        <v>2</v>
      </c>
      <c r="G292" s="670"/>
      <c r="H292" s="671"/>
      <c r="I292" s="671">
        <v>0</v>
      </c>
      <c r="J292" s="671">
        <v>0</v>
      </c>
      <c r="K292" s="671">
        <v>0</v>
      </c>
      <c r="L292" s="671">
        <v>0</v>
      </c>
      <c r="M292" s="666">
        <v>-1.3398829156545389E-4</v>
      </c>
      <c r="N292" s="666">
        <v>-2.6361367803000302E-4</v>
      </c>
      <c r="O292" s="666">
        <v>-2.5488786782816575E-4</v>
      </c>
      <c r="P292" s="666">
        <v>-2.4616205762632848E-4</v>
      </c>
      <c r="Q292" s="666">
        <v>-2.3743624742449121E-4</v>
      </c>
      <c r="R292" s="666">
        <v>-2.3277757984332959E-4</v>
      </c>
      <c r="S292" s="666">
        <v>-2.3218605488284361E-4</v>
      </c>
      <c r="T292" s="666">
        <v>-2.3159452992235763E-4</v>
      </c>
      <c r="U292" s="666">
        <v>-2.3100300496187165E-4</v>
      </c>
      <c r="V292" s="666">
        <v>-2.3041148000138567E-4</v>
      </c>
      <c r="W292" s="666">
        <v>-2.2981995504088581E-4</v>
      </c>
      <c r="X292" s="666">
        <v>-2.2922843008039984E-4</v>
      </c>
      <c r="Y292" s="666">
        <v>-2.2863690511991386E-4</v>
      </c>
      <c r="Z292" s="666">
        <v>-2.2804538015942788E-4</v>
      </c>
      <c r="AA292" s="666">
        <v>-2.274538551989419E-4</v>
      </c>
      <c r="AB292" s="666">
        <v>-2.2692323562674421E-4</v>
      </c>
      <c r="AC292" s="666">
        <v>-2.2645352144282094E-4</v>
      </c>
      <c r="AD292" s="666">
        <v>-2.2598380725889766E-4</v>
      </c>
      <c r="AE292" s="666">
        <v>-2.2551409307497439E-4</v>
      </c>
      <c r="AF292" s="666">
        <v>-2.2504437889105111E-4</v>
      </c>
      <c r="AG292" s="666">
        <v>-2.2457466470712784E-4</v>
      </c>
      <c r="AH292" s="666">
        <v>-2.2410495052320456E-4</v>
      </c>
      <c r="AI292" s="666">
        <v>-2.2363523633928128E-4</v>
      </c>
      <c r="AJ292" s="666">
        <v>-2.2316552215535801E-4</v>
      </c>
      <c r="AK292" s="666">
        <v>-2.2269580797143473E-4</v>
      </c>
      <c r="AL292" s="666"/>
      <c r="AM292" s="666"/>
      <c r="AN292" s="666"/>
      <c r="AO292" s="666"/>
      <c r="AP292" s="666"/>
      <c r="AQ292" s="666"/>
      <c r="AR292" s="666"/>
      <c r="AS292" s="666"/>
      <c r="AT292" s="666"/>
      <c r="AU292" s="666"/>
      <c r="AV292" s="666"/>
      <c r="AW292" s="666"/>
      <c r="AX292" s="666"/>
      <c r="AY292" s="666"/>
      <c r="AZ292" s="666"/>
      <c r="BA292" s="666"/>
      <c r="BB292" s="666"/>
      <c r="BC292" s="666"/>
      <c r="BD292" s="666"/>
      <c r="BE292" s="666"/>
      <c r="BF292" s="666"/>
      <c r="BG292" s="666"/>
      <c r="BH292" s="666"/>
      <c r="BI292" s="666"/>
      <c r="BJ292" s="666"/>
      <c r="BK292" s="666"/>
      <c r="BL292" s="666"/>
      <c r="BM292" s="666"/>
      <c r="BN292" s="666"/>
      <c r="BO292" s="666"/>
      <c r="BP292" s="666"/>
      <c r="BQ292" s="666"/>
      <c r="BR292" s="666"/>
      <c r="BS292" s="666"/>
      <c r="BT292" s="666"/>
      <c r="BU292" s="666"/>
      <c r="BV292" s="666"/>
      <c r="BW292" s="666"/>
      <c r="BX292" s="666"/>
      <c r="BY292" s="666"/>
      <c r="BZ292" s="666"/>
      <c r="CA292" s="666"/>
      <c r="CB292" s="666"/>
      <c r="CC292" s="666"/>
      <c r="CD292" s="666"/>
      <c r="CE292" s="666"/>
      <c r="CF292" s="666"/>
      <c r="CG292" s="666"/>
      <c r="CH292" s="666"/>
      <c r="CI292" s="666"/>
      <c r="CJ292" s="1439"/>
    </row>
    <row r="293" spans="2:89" ht="29.25" thickBot="1" x14ac:dyDescent="0.25">
      <c r="B293" s="920" t="s">
        <v>658</v>
      </c>
      <c r="C293" s="921" t="s">
        <v>659</v>
      </c>
      <c r="D293" s="921" t="s">
        <v>660</v>
      </c>
      <c r="E293" s="921" t="s">
        <v>236</v>
      </c>
      <c r="F293" s="922">
        <v>2</v>
      </c>
      <c r="G293" s="695"/>
      <c r="H293" s="682"/>
      <c r="I293" s="682">
        <v>0</v>
      </c>
      <c r="J293" s="682">
        <v>0</v>
      </c>
      <c r="K293" s="682">
        <v>0</v>
      </c>
      <c r="L293" s="682">
        <v>0</v>
      </c>
      <c r="M293" s="696">
        <v>0</v>
      </c>
      <c r="N293" s="696">
        <v>0</v>
      </c>
      <c r="O293" s="696">
        <v>0</v>
      </c>
      <c r="P293" s="696">
        <v>0</v>
      </c>
      <c r="Q293" s="696">
        <v>0</v>
      </c>
      <c r="R293" s="696">
        <v>0</v>
      </c>
      <c r="S293" s="696">
        <v>0</v>
      </c>
      <c r="T293" s="696">
        <v>0</v>
      </c>
      <c r="U293" s="696">
        <v>0</v>
      </c>
      <c r="V293" s="696">
        <v>0</v>
      </c>
      <c r="W293" s="696">
        <v>0</v>
      </c>
      <c r="X293" s="696">
        <v>0</v>
      </c>
      <c r="Y293" s="696">
        <v>0</v>
      </c>
      <c r="Z293" s="696">
        <v>0</v>
      </c>
      <c r="AA293" s="696">
        <v>0</v>
      </c>
      <c r="AB293" s="696">
        <v>0</v>
      </c>
      <c r="AC293" s="696">
        <v>0</v>
      </c>
      <c r="AD293" s="696">
        <v>0</v>
      </c>
      <c r="AE293" s="696">
        <v>0</v>
      </c>
      <c r="AF293" s="696">
        <v>0</v>
      </c>
      <c r="AG293" s="696">
        <v>0</v>
      </c>
      <c r="AH293" s="696">
        <v>0</v>
      </c>
      <c r="AI293" s="696">
        <v>0</v>
      </c>
      <c r="AJ293" s="696">
        <v>0</v>
      </c>
      <c r="AK293" s="696">
        <v>0</v>
      </c>
      <c r="AL293" s="696"/>
      <c r="AM293" s="696"/>
      <c r="AN293" s="696"/>
      <c r="AO293" s="696"/>
      <c r="AP293" s="696"/>
      <c r="AQ293" s="696"/>
      <c r="AR293" s="696"/>
      <c r="AS293" s="696"/>
      <c r="AT293" s="696"/>
      <c r="AU293" s="696"/>
      <c r="AV293" s="696"/>
      <c r="AW293" s="696"/>
      <c r="AX293" s="696"/>
      <c r="AY293" s="696"/>
      <c r="AZ293" s="696"/>
      <c r="BA293" s="696"/>
      <c r="BB293" s="696"/>
      <c r="BC293" s="696"/>
      <c r="BD293" s="696"/>
      <c r="BE293" s="696"/>
      <c r="BF293" s="696"/>
      <c r="BG293" s="696"/>
      <c r="BH293" s="696"/>
      <c r="BI293" s="696"/>
      <c r="BJ293" s="696"/>
      <c r="BK293" s="696"/>
      <c r="BL293" s="696"/>
      <c r="BM293" s="696"/>
      <c r="BN293" s="696"/>
      <c r="BO293" s="696"/>
      <c r="BP293" s="696"/>
      <c r="BQ293" s="696"/>
      <c r="BR293" s="696"/>
      <c r="BS293" s="696"/>
      <c r="BT293" s="696"/>
      <c r="BU293" s="696"/>
      <c r="BV293" s="696"/>
      <c r="BW293" s="696"/>
      <c r="BX293" s="696"/>
      <c r="BY293" s="696"/>
      <c r="BZ293" s="696"/>
      <c r="CA293" s="696"/>
      <c r="CB293" s="696"/>
      <c r="CC293" s="696"/>
      <c r="CD293" s="696"/>
      <c r="CE293" s="696"/>
      <c r="CF293" s="696"/>
      <c r="CG293" s="696"/>
      <c r="CH293" s="696"/>
      <c r="CI293" s="696"/>
      <c r="CJ293" s="1439"/>
    </row>
    <row r="294" spans="2:89" ht="28.5" x14ac:dyDescent="0.2">
      <c r="B294" s="923" t="s">
        <v>661</v>
      </c>
      <c r="C294" s="924" t="s">
        <v>662</v>
      </c>
      <c r="D294" s="925" t="s">
        <v>663</v>
      </c>
      <c r="E294" s="924" t="s">
        <v>236</v>
      </c>
      <c r="F294" s="926">
        <v>2</v>
      </c>
      <c r="G294" s="664"/>
      <c r="H294" s="671"/>
      <c r="I294" s="671">
        <v>0</v>
      </c>
      <c r="J294" s="671">
        <v>0</v>
      </c>
      <c r="K294" s="671">
        <v>0</v>
      </c>
      <c r="L294" s="671">
        <v>0</v>
      </c>
      <c r="M294" s="665">
        <v>-6.368442685427203E-5</v>
      </c>
      <c r="N294" s="665">
        <v>-1.2795076618681532E-4</v>
      </c>
      <c r="O294" s="665">
        <v>-1.9279901799762727E-4</v>
      </c>
      <c r="P294" s="665">
        <v>-2.5822918228671481E-4</v>
      </c>
      <c r="Q294" s="665">
        <v>-3.2424125905407188E-4</v>
      </c>
      <c r="R294" s="665">
        <v>-3.9083524829969934E-4</v>
      </c>
      <c r="S294" s="665">
        <v>-4.5801115002359807E-4</v>
      </c>
      <c r="T294" s="665">
        <v>-5.2576896422576805E-4</v>
      </c>
      <c r="U294" s="665">
        <v>-5.9410869090620756E-4</v>
      </c>
      <c r="V294" s="665">
        <v>-6.6303033006492092E-4</v>
      </c>
      <c r="W294" s="665">
        <v>-7.3253388170190468E-4</v>
      </c>
      <c r="X294" s="665">
        <v>-8.0261934581715884E-4</v>
      </c>
      <c r="Y294" s="665">
        <v>-8.7328672241068512E-4</v>
      </c>
      <c r="Z294" s="665">
        <v>-9.4453601148248093E-4</v>
      </c>
      <c r="AA294" s="665">
        <v>-1.0163672130325471E-3</v>
      </c>
      <c r="AB294" s="665">
        <v>-1.0887803270608863E-3</v>
      </c>
      <c r="AC294" s="665">
        <v>-1.1617753535674994E-3</v>
      </c>
      <c r="AD294" s="665">
        <v>-1.2353522925523811E-3</v>
      </c>
      <c r="AE294" s="665">
        <v>-1.3095111440155341E-3</v>
      </c>
      <c r="AF294" s="665">
        <v>-1.3842519079569548E-3</v>
      </c>
      <c r="AG294" s="665">
        <v>-1.4595745843766512E-3</v>
      </c>
      <c r="AH294" s="665">
        <v>-1.5354791732746171E-3</v>
      </c>
      <c r="AI294" s="665">
        <v>-1.6119656746508542E-3</v>
      </c>
      <c r="AJ294" s="665">
        <v>-1.6890340885053626E-3</v>
      </c>
      <c r="AK294" s="665">
        <v>-1.7666844148381423E-3</v>
      </c>
      <c r="AL294" s="665"/>
      <c r="AM294" s="665"/>
      <c r="AN294" s="665"/>
      <c r="AO294" s="665"/>
      <c r="AP294" s="665"/>
      <c r="AQ294" s="665"/>
      <c r="AR294" s="665"/>
      <c r="AS294" s="665"/>
      <c r="AT294" s="665"/>
      <c r="AU294" s="665"/>
      <c r="AV294" s="665"/>
      <c r="AW294" s="665"/>
      <c r="AX294" s="665"/>
      <c r="AY294" s="665"/>
      <c r="AZ294" s="665"/>
      <c r="BA294" s="665"/>
      <c r="BB294" s="665"/>
      <c r="BC294" s="665"/>
      <c r="BD294" s="665"/>
      <c r="BE294" s="665"/>
      <c r="BF294" s="665"/>
      <c r="BG294" s="665"/>
      <c r="BH294" s="665"/>
      <c r="BI294" s="665"/>
      <c r="BJ294" s="665"/>
      <c r="BK294" s="665"/>
      <c r="BL294" s="665"/>
      <c r="BM294" s="665"/>
      <c r="BN294" s="665"/>
      <c r="BO294" s="665"/>
      <c r="BP294" s="665"/>
      <c r="BQ294" s="665"/>
      <c r="BR294" s="665"/>
      <c r="BS294" s="665"/>
      <c r="BT294" s="665"/>
      <c r="BU294" s="665"/>
      <c r="BV294" s="665"/>
      <c r="BW294" s="665"/>
      <c r="BX294" s="665"/>
      <c r="BY294" s="665"/>
      <c r="BZ294" s="665"/>
      <c r="CA294" s="665"/>
      <c r="CB294" s="665"/>
      <c r="CC294" s="665"/>
      <c r="CD294" s="665"/>
      <c r="CE294" s="665"/>
      <c r="CF294" s="665"/>
      <c r="CG294" s="665"/>
      <c r="CH294" s="665"/>
      <c r="CI294" s="665"/>
      <c r="CJ294" s="1439"/>
    </row>
    <row r="295" spans="2:89" ht="28.5" x14ac:dyDescent="0.2">
      <c r="B295" s="905" t="s">
        <v>664</v>
      </c>
      <c r="C295" s="906" t="s">
        <v>665</v>
      </c>
      <c r="D295" s="907" t="s">
        <v>666</v>
      </c>
      <c r="E295" s="906" t="s">
        <v>236</v>
      </c>
      <c r="F295" s="908">
        <v>2</v>
      </c>
      <c r="G295" s="670"/>
      <c r="H295" s="671"/>
      <c r="I295" s="671">
        <v>0</v>
      </c>
      <c r="J295" s="671">
        <v>0</v>
      </c>
      <c r="K295" s="671">
        <v>0</v>
      </c>
      <c r="L295" s="671">
        <v>0</v>
      </c>
      <c r="M295" s="666">
        <v>-1.1189269886167523E-6</v>
      </c>
      <c r="N295" s="666">
        <v>-2.1953333463572196E-6</v>
      </c>
      <c r="O295" s="666">
        <v>-3.229219073221375E-6</v>
      </c>
      <c r="P295" s="666">
        <v>-4.2205841692092861E-6</v>
      </c>
      <c r="Q295" s="666">
        <v>-5.1694286343208852E-6</v>
      </c>
      <c r="R295" s="666">
        <v>-6.0757524685562129E-6</v>
      </c>
      <c r="S295" s="666">
        <v>-6.9395556719152558E-6</v>
      </c>
      <c r="T295" s="666">
        <v>-7.7608382443980001E-6</v>
      </c>
      <c r="U295" s="666">
        <v>-8.5396001860045003E-6</v>
      </c>
      <c r="V295" s="666">
        <v>-9.4884446511160858E-6</v>
      </c>
      <c r="W295" s="666">
        <v>-1.0437289116227698E-5</v>
      </c>
      <c r="X295" s="666">
        <v>-1.1386133581339311E-5</v>
      </c>
      <c r="Y295" s="666">
        <v>-1.2334978046450937E-5</v>
      </c>
      <c r="Z295" s="666">
        <v>-1.3283822511562509E-5</v>
      </c>
      <c r="AA295" s="666">
        <v>-1.4232666976674122E-5</v>
      </c>
      <c r="AB295" s="666">
        <v>-1.5181511441785735E-5</v>
      </c>
      <c r="AC295" s="666">
        <v>-1.6130355906897347E-5</v>
      </c>
      <c r="AD295" s="666">
        <v>-1.7079200372008973E-5</v>
      </c>
      <c r="AE295" s="666">
        <v>-1.8028044837120573E-5</v>
      </c>
      <c r="AF295" s="666">
        <v>-1.8976889302232158E-5</v>
      </c>
      <c r="AG295" s="666">
        <v>-1.9925733767343784E-5</v>
      </c>
      <c r="AH295" s="666">
        <v>-2.0874578232455397E-5</v>
      </c>
      <c r="AI295" s="666">
        <v>-2.1823422697566996E-5</v>
      </c>
      <c r="AJ295" s="666">
        <v>-2.2772267162678609E-5</v>
      </c>
      <c r="AK295" s="666">
        <v>-2.3721111627790221E-5</v>
      </c>
      <c r="AL295" s="666"/>
      <c r="AM295" s="666"/>
      <c r="AN295" s="666"/>
      <c r="AO295" s="666"/>
      <c r="AP295" s="666"/>
      <c r="AQ295" s="666"/>
      <c r="AR295" s="666"/>
      <c r="AS295" s="666"/>
      <c r="AT295" s="666"/>
      <c r="AU295" s="666"/>
      <c r="AV295" s="666"/>
      <c r="AW295" s="666"/>
      <c r="AX295" s="666"/>
      <c r="AY295" s="666"/>
      <c r="AZ295" s="666"/>
      <c r="BA295" s="666"/>
      <c r="BB295" s="666"/>
      <c r="BC295" s="666"/>
      <c r="BD295" s="666"/>
      <c r="BE295" s="666"/>
      <c r="BF295" s="666"/>
      <c r="BG295" s="666"/>
      <c r="BH295" s="666"/>
      <c r="BI295" s="666"/>
      <c r="BJ295" s="666"/>
      <c r="BK295" s="666"/>
      <c r="BL295" s="666"/>
      <c r="BM295" s="666"/>
      <c r="BN295" s="666"/>
      <c r="BO295" s="666"/>
      <c r="BP295" s="666"/>
      <c r="BQ295" s="666"/>
      <c r="BR295" s="666"/>
      <c r="BS295" s="666"/>
      <c r="BT295" s="666"/>
      <c r="BU295" s="666"/>
      <c r="BV295" s="666"/>
      <c r="BW295" s="666"/>
      <c r="BX295" s="666"/>
      <c r="BY295" s="666"/>
      <c r="BZ295" s="666"/>
      <c r="CA295" s="666"/>
      <c r="CB295" s="666"/>
      <c r="CC295" s="666"/>
      <c r="CD295" s="666"/>
      <c r="CE295" s="666"/>
      <c r="CF295" s="666"/>
      <c r="CG295" s="666"/>
      <c r="CH295" s="666"/>
      <c r="CI295" s="666"/>
      <c r="CJ295" s="1439"/>
    </row>
    <row r="296" spans="2:89" ht="28.5" x14ac:dyDescent="0.2">
      <c r="B296" s="905" t="s">
        <v>667</v>
      </c>
      <c r="C296" s="906" t="s">
        <v>668</v>
      </c>
      <c r="D296" s="907" t="s">
        <v>669</v>
      </c>
      <c r="E296" s="906" t="s">
        <v>236</v>
      </c>
      <c r="F296" s="908">
        <v>2</v>
      </c>
      <c r="G296" s="670"/>
      <c r="H296" s="671"/>
      <c r="I296" s="671">
        <v>0</v>
      </c>
      <c r="J296" s="671">
        <v>0</v>
      </c>
      <c r="K296" s="671">
        <v>0</v>
      </c>
      <c r="L296" s="671">
        <v>0</v>
      </c>
      <c r="M296" s="666">
        <v>5.0877098511416391E-3</v>
      </c>
      <c r="N296" s="666">
        <v>9.7373818973604809E-3</v>
      </c>
      <c r="O296" s="666">
        <v>8.4614909159219445E-3</v>
      </c>
      <c r="P296" s="666">
        <v>7.165556662669173E-3</v>
      </c>
      <c r="Q296" s="666">
        <v>5.8562381308811945E-3</v>
      </c>
      <c r="R296" s="666">
        <v>4.7776281282315702E-3</v>
      </c>
      <c r="S296" s="666">
        <v>3.9349087753873246E-3</v>
      </c>
      <c r="T296" s="666">
        <v>3.0831311542475343E-3</v>
      </c>
      <c r="U296" s="666">
        <v>2.2203247023553224E-3</v>
      </c>
      <c r="V296" s="666">
        <v>1.3462573151501178E-3</v>
      </c>
      <c r="W296" s="666">
        <v>4.6155294388998402E-4</v>
      </c>
      <c r="X296" s="666">
        <v>-4.3229740957778651E-4</v>
      </c>
      <c r="Y296" s="666">
        <v>-1.334673597204683E-3</v>
      </c>
      <c r="Z296" s="666">
        <v>-2.2471786394941684E-3</v>
      </c>
      <c r="AA296" s="666">
        <v>-3.1687256741200764E-3</v>
      </c>
      <c r="AB296" s="666">
        <v>-4.0973427142418639E-3</v>
      </c>
      <c r="AC296" s="666">
        <v>-5.0329348823789505E-3</v>
      </c>
      <c r="AD296" s="666">
        <v>-5.9768116093260881E-3</v>
      </c>
      <c r="AE296" s="666">
        <v>-6.9282958448240589E-3</v>
      </c>
      <c r="AF296" s="666">
        <v>-7.8872854825947358E-3</v>
      </c>
      <c r="AG296" s="666">
        <v>-8.8543693237975868E-3</v>
      </c>
      <c r="AH296" s="666">
        <v>-9.8292889430124653E-3</v>
      </c>
      <c r="AI296" s="666">
        <v>-1.0812733006804312E-2</v>
      </c>
      <c r="AJ296" s="666">
        <v>-1.1805255775335297E-2</v>
      </c>
      <c r="AK296" s="666">
        <v>-1.2806622071554169E-2</v>
      </c>
      <c r="AL296" s="666"/>
      <c r="AM296" s="666"/>
      <c r="AN296" s="666"/>
      <c r="AO296" s="666"/>
      <c r="AP296" s="666"/>
      <c r="AQ296" s="666"/>
      <c r="AR296" s="666"/>
      <c r="AS296" s="666"/>
      <c r="AT296" s="666"/>
      <c r="AU296" s="666"/>
      <c r="AV296" s="666"/>
      <c r="AW296" s="666"/>
      <c r="AX296" s="666"/>
      <c r="AY296" s="666"/>
      <c r="AZ296" s="666"/>
      <c r="BA296" s="666"/>
      <c r="BB296" s="666"/>
      <c r="BC296" s="666"/>
      <c r="BD296" s="666"/>
      <c r="BE296" s="666"/>
      <c r="BF296" s="666"/>
      <c r="BG296" s="666"/>
      <c r="BH296" s="666"/>
      <c r="BI296" s="666"/>
      <c r="BJ296" s="666"/>
      <c r="BK296" s="666"/>
      <c r="BL296" s="666"/>
      <c r="BM296" s="666"/>
      <c r="BN296" s="666"/>
      <c r="BO296" s="666"/>
      <c r="BP296" s="666"/>
      <c r="BQ296" s="666"/>
      <c r="BR296" s="666"/>
      <c r="BS296" s="666"/>
      <c r="BT296" s="666"/>
      <c r="BU296" s="666"/>
      <c r="BV296" s="666"/>
      <c r="BW296" s="666"/>
      <c r="BX296" s="666"/>
      <c r="BY296" s="666"/>
      <c r="BZ296" s="666"/>
      <c r="CA296" s="666"/>
      <c r="CB296" s="666"/>
      <c r="CC296" s="666"/>
      <c r="CD296" s="666"/>
      <c r="CE296" s="666"/>
      <c r="CF296" s="666"/>
      <c r="CG296" s="666"/>
      <c r="CH296" s="666"/>
      <c r="CI296" s="666"/>
      <c r="CJ296" s="1439"/>
    </row>
    <row r="297" spans="2:89" ht="28.5" x14ac:dyDescent="0.2">
      <c r="B297" s="905" t="s">
        <v>670</v>
      </c>
      <c r="C297" s="906" t="s">
        <v>671</v>
      </c>
      <c r="D297" s="907" t="s">
        <v>672</v>
      </c>
      <c r="E297" s="906" t="s">
        <v>236</v>
      </c>
      <c r="F297" s="908">
        <v>2</v>
      </c>
      <c r="G297" s="670"/>
      <c r="H297" s="671"/>
      <c r="I297" s="671">
        <v>0</v>
      </c>
      <c r="J297" s="671">
        <v>0</v>
      </c>
      <c r="K297" s="671">
        <v>0</v>
      </c>
      <c r="L297" s="671">
        <v>0</v>
      </c>
      <c r="M297" s="666">
        <v>-1.4360846158234457E-2</v>
      </c>
      <c r="N297" s="666">
        <v>-2.791243294708309E-2</v>
      </c>
      <c r="O297" s="666">
        <v>-2.7002369790680911E-2</v>
      </c>
      <c r="P297" s="666">
        <v>-2.6091521907023778E-2</v>
      </c>
      <c r="Q297" s="666">
        <v>-2.517988929611167E-2</v>
      </c>
      <c r="R297" s="666">
        <v>-2.4698466265921537E-2</v>
      </c>
      <c r="S297" s="666">
        <v>-2.4647645180080852E-2</v>
      </c>
      <c r="T297" s="666">
        <v>-2.4596562518488511E-2</v>
      </c>
      <c r="U297" s="666">
        <v>-2.4545218281144515E-2</v>
      </c>
      <c r="V297" s="666">
        <v>-2.4493612468048868E-2</v>
      </c>
      <c r="W297" s="666">
        <v>-2.4441745079201566E-2</v>
      </c>
      <c r="X297" s="666">
        <v>-2.4389616114602605E-2</v>
      </c>
      <c r="Y297" s="666">
        <v>-2.4337225574251994E-2</v>
      </c>
      <c r="Z297" s="666">
        <v>-2.428457345814973E-2</v>
      </c>
      <c r="AA297" s="666">
        <v>-2.4231659766295807E-2</v>
      </c>
      <c r="AB297" s="666">
        <v>-2.4183880576490156E-2</v>
      </c>
      <c r="AC297" s="666">
        <v>-2.4141039706919033E-2</v>
      </c>
      <c r="AD297" s="666">
        <v>-2.4097675685844609E-2</v>
      </c>
      <c r="AE297" s="666">
        <v>-2.405378851326687E-2</v>
      </c>
      <c r="AF297" s="666">
        <v>-2.4009378189185818E-2</v>
      </c>
      <c r="AG297" s="666">
        <v>-2.3964444713601468E-2</v>
      </c>
      <c r="AH297" s="666">
        <v>-2.3918988086513802E-2</v>
      </c>
      <c r="AI297" s="666">
        <v>-2.3873008307922831E-2</v>
      </c>
      <c r="AJ297" s="666">
        <v>-2.3826505377828544E-2</v>
      </c>
      <c r="AK297" s="666">
        <v>-2.3779479296230956E-2</v>
      </c>
      <c r="AL297" s="666"/>
      <c r="AM297" s="666"/>
      <c r="AN297" s="666"/>
      <c r="AO297" s="666"/>
      <c r="AP297" s="666"/>
      <c r="AQ297" s="666"/>
      <c r="AR297" s="666"/>
      <c r="AS297" s="666"/>
      <c r="AT297" s="666"/>
      <c r="AU297" s="666"/>
      <c r="AV297" s="666"/>
      <c r="AW297" s="666"/>
      <c r="AX297" s="666"/>
      <c r="AY297" s="666"/>
      <c r="AZ297" s="666"/>
      <c r="BA297" s="666"/>
      <c r="BB297" s="666"/>
      <c r="BC297" s="666"/>
      <c r="BD297" s="666"/>
      <c r="BE297" s="666"/>
      <c r="BF297" s="666"/>
      <c r="BG297" s="666"/>
      <c r="BH297" s="666"/>
      <c r="BI297" s="666"/>
      <c r="BJ297" s="666"/>
      <c r="BK297" s="666"/>
      <c r="BL297" s="666"/>
      <c r="BM297" s="666"/>
      <c r="BN297" s="666"/>
      <c r="BO297" s="666"/>
      <c r="BP297" s="666"/>
      <c r="BQ297" s="666"/>
      <c r="BR297" s="666"/>
      <c r="BS297" s="666"/>
      <c r="BT297" s="666"/>
      <c r="BU297" s="666"/>
      <c r="BV297" s="666"/>
      <c r="BW297" s="666"/>
      <c r="BX297" s="666"/>
      <c r="BY297" s="666"/>
      <c r="BZ297" s="666"/>
      <c r="CA297" s="666"/>
      <c r="CB297" s="666"/>
      <c r="CC297" s="666"/>
      <c r="CD297" s="666"/>
      <c r="CE297" s="666"/>
      <c r="CF297" s="666"/>
      <c r="CG297" s="666"/>
      <c r="CH297" s="666"/>
      <c r="CI297" s="666"/>
      <c r="CJ297" s="1439"/>
    </row>
    <row r="298" spans="2:89" ht="28.5" x14ac:dyDescent="0.2">
      <c r="B298" s="905" t="s">
        <v>673</v>
      </c>
      <c r="C298" s="906" t="s">
        <v>674</v>
      </c>
      <c r="D298" s="907" t="s">
        <v>675</v>
      </c>
      <c r="E298" s="906" t="s">
        <v>236</v>
      </c>
      <c r="F298" s="908">
        <v>2</v>
      </c>
      <c r="G298" s="670"/>
      <c r="H298" s="671"/>
      <c r="I298" s="671">
        <v>0</v>
      </c>
      <c r="J298" s="671">
        <v>0</v>
      </c>
      <c r="K298" s="671">
        <v>0</v>
      </c>
      <c r="L298" s="671">
        <v>0</v>
      </c>
      <c r="M298" s="666">
        <v>1.3398829156546256E-4</v>
      </c>
      <c r="N298" s="666">
        <v>2.6361367803000475E-4</v>
      </c>
      <c r="O298" s="666">
        <v>2.5488786782816575E-4</v>
      </c>
      <c r="P298" s="666">
        <v>2.4616205762632935E-4</v>
      </c>
      <c r="Q298" s="666">
        <v>2.3743624742448947E-4</v>
      </c>
      <c r="R298" s="666">
        <v>2.3277757984332785E-4</v>
      </c>
      <c r="S298" s="666">
        <v>2.32186054882841E-4</v>
      </c>
      <c r="T298" s="666">
        <v>2.3159452992235503E-4</v>
      </c>
      <c r="U298" s="666">
        <v>2.3100300496186645E-4</v>
      </c>
      <c r="V298" s="666">
        <v>2.3041148000137873E-4</v>
      </c>
      <c r="W298" s="666">
        <v>2.2981995504089102E-4</v>
      </c>
      <c r="X298" s="666">
        <v>2.2922843008040331E-4</v>
      </c>
      <c r="Y298" s="666">
        <v>2.2863690511991559E-4</v>
      </c>
      <c r="Z298" s="666">
        <v>2.2804538015942961E-4</v>
      </c>
      <c r="AA298" s="666">
        <v>2.2745385519894017E-4</v>
      </c>
      <c r="AB298" s="666">
        <v>2.2692323562673554E-4</v>
      </c>
      <c r="AC298" s="666">
        <v>2.2645352144281573E-4</v>
      </c>
      <c r="AD298" s="666">
        <v>2.2598380725889419E-4</v>
      </c>
      <c r="AE298" s="666">
        <v>2.2551409307497092E-4</v>
      </c>
      <c r="AF298" s="666">
        <v>2.2504437889105285E-4</v>
      </c>
      <c r="AG298" s="666">
        <v>2.245746647071261E-4</v>
      </c>
      <c r="AH298" s="666">
        <v>2.2410495052320629E-4</v>
      </c>
      <c r="AI298" s="666">
        <v>2.2363523633928822E-4</v>
      </c>
      <c r="AJ298" s="666">
        <v>2.2316552215536321E-4</v>
      </c>
      <c r="AK298" s="666">
        <v>2.2269580797144341E-4</v>
      </c>
      <c r="AL298" s="666"/>
      <c r="AM298" s="666"/>
      <c r="AN298" s="666"/>
      <c r="AO298" s="666"/>
      <c r="AP298" s="666"/>
      <c r="AQ298" s="666"/>
      <c r="AR298" s="666"/>
      <c r="AS298" s="666"/>
      <c r="AT298" s="666"/>
      <c r="AU298" s="666"/>
      <c r="AV298" s="666"/>
      <c r="AW298" s="666"/>
      <c r="AX298" s="666"/>
      <c r="AY298" s="666"/>
      <c r="AZ298" s="666"/>
      <c r="BA298" s="666"/>
      <c r="BB298" s="666"/>
      <c r="BC298" s="666"/>
      <c r="BD298" s="666"/>
      <c r="BE298" s="666"/>
      <c r="BF298" s="666"/>
      <c r="BG298" s="666"/>
      <c r="BH298" s="666"/>
      <c r="BI298" s="666"/>
      <c r="BJ298" s="666"/>
      <c r="BK298" s="666"/>
      <c r="BL298" s="666"/>
      <c r="BM298" s="666"/>
      <c r="BN298" s="666"/>
      <c r="BO298" s="666"/>
      <c r="BP298" s="666"/>
      <c r="BQ298" s="666"/>
      <c r="BR298" s="666"/>
      <c r="BS298" s="666"/>
      <c r="BT298" s="666"/>
      <c r="BU298" s="666"/>
      <c r="BV298" s="666"/>
      <c r="BW298" s="666"/>
      <c r="BX298" s="666"/>
      <c r="BY298" s="666"/>
      <c r="BZ298" s="666"/>
      <c r="CA298" s="666"/>
      <c r="CB298" s="666"/>
      <c r="CC298" s="666"/>
      <c r="CD298" s="666"/>
      <c r="CE298" s="666"/>
      <c r="CF298" s="666"/>
      <c r="CG298" s="666"/>
      <c r="CH298" s="666"/>
      <c r="CI298" s="666"/>
      <c r="CJ298" s="1439"/>
    </row>
    <row r="299" spans="2:89" ht="15" thickBot="1" x14ac:dyDescent="0.25">
      <c r="B299" s="927" t="s">
        <v>676</v>
      </c>
      <c r="C299" s="928" t="s">
        <v>677</v>
      </c>
      <c r="D299" s="928" t="s">
        <v>678</v>
      </c>
      <c r="E299" s="928" t="s">
        <v>236</v>
      </c>
      <c r="F299" s="929">
        <v>2</v>
      </c>
      <c r="G299" s="695"/>
      <c r="H299" s="682"/>
      <c r="I299" s="682">
        <v>0</v>
      </c>
      <c r="J299" s="682">
        <v>0</v>
      </c>
      <c r="K299" s="682">
        <v>0</v>
      </c>
      <c r="L299" s="682">
        <v>0</v>
      </c>
      <c r="M299" s="696">
        <v>1.6145513693702762E-3</v>
      </c>
      <c r="N299" s="696">
        <v>2.862783471225816E-3</v>
      </c>
      <c r="O299" s="696">
        <v>-4.2861807559981813E-3</v>
      </c>
      <c r="P299" s="696">
        <v>-1.1415347046815683E-2</v>
      </c>
      <c r="Q299" s="696">
        <v>-1.8531374394505473E-2</v>
      </c>
      <c r="R299" s="696">
        <v>-2.5451428441384927E-2</v>
      </c>
      <c r="S299" s="696">
        <v>-3.2180298944493591E-2</v>
      </c>
      <c r="T299" s="696">
        <v>-3.8899833363210901E-2</v>
      </c>
      <c r="U299" s="696">
        <v>-4.5608061135080202E-2</v>
      </c>
      <c r="V299" s="696">
        <v>-5.2304537552386288E-2</v>
      </c>
      <c r="W299" s="696">
        <v>-5.8990056648910771E-2</v>
      </c>
      <c r="X299" s="696">
        <v>-6.5666109426501196E-2</v>
      </c>
      <c r="Y299" s="696">
        <v>-7.2333316033205697E-2</v>
      </c>
      <c r="Z299" s="696">
        <v>-7.8990073448521048E-2</v>
      </c>
      <c r="AA299" s="696">
        <v>-8.5637468534773387E-2</v>
      </c>
      <c r="AB299" s="696">
        <v>-9.2272138106391566E-2</v>
      </c>
      <c r="AC299" s="696">
        <v>-9.8894373222669807E-2</v>
      </c>
      <c r="AD299" s="696">
        <v>-0.10550826501916322</v>
      </c>
      <c r="AE299" s="696">
        <v>-0.11211449054613076</v>
      </c>
      <c r="AF299" s="696">
        <v>-0.11871315190985066</v>
      </c>
      <c r="AG299" s="696">
        <v>-0.1253036603091634</v>
      </c>
      <c r="AH299" s="696">
        <v>-0.13188627416948917</v>
      </c>
      <c r="AI299" s="696">
        <v>-0.13846030482426297</v>
      </c>
      <c r="AJ299" s="696">
        <v>-0.14502519801332275</v>
      </c>
      <c r="AK299" s="696">
        <v>-0.15158118891372041</v>
      </c>
      <c r="AL299" s="696"/>
      <c r="AM299" s="696"/>
      <c r="AN299" s="696"/>
      <c r="AO299" s="696"/>
      <c r="AP299" s="696"/>
      <c r="AQ299" s="696"/>
      <c r="AR299" s="696"/>
      <c r="AS299" s="696"/>
      <c r="AT299" s="696"/>
      <c r="AU299" s="696"/>
      <c r="AV299" s="696"/>
      <c r="AW299" s="696"/>
      <c r="AX299" s="696"/>
      <c r="AY299" s="696"/>
      <c r="AZ299" s="696"/>
      <c r="BA299" s="696"/>
      <c r="BB299" s="696"/>
      <c r="BC299" s="696"/>
      <c r="BD299" s="696"/>
      <c r="BE299" s="696"/>
      <c r="BF299" s="696"/>
      <c r="BG299" s="696"/>
      <c r="BH299" s="696"/>
      <c r="BI299" s="696"/>
      <c r="BJ299" s="696"/>
      <c r="BK299" s="696"/>
      <c r="BL299" s="696"/>
      <c r="BM299" s="696"/>
      <c r="BN299" s="696"/>
      <c r="BO299" s="696"/>
      <c r="BP299" s="696"/>
      <c r="BQ299" s="696"/>
      <c r="BR299" s="696"/>
      <c r="BS299" s="696"/>
      <c r="BT299" s="696"/>
      <c r="BU299" s="696"/>
      <c r="BV299" s="696"/>
      <c r="BW299" s="696"/>
      <c r="BX299" s="696"/>
      <c r="BY299" s="696"/>
      <c r="BZ299" s="696"/>
      <c r="CA299" s="696"/>
      <c r="CB299" s="696"/>
      <c r="CC299" s="696"/>
      <c r="CD299" s="696"/>
      <c r="CE299" s="696"/>
      <c r="CF299" s="696"/>
      <c r="CG299" s="696"/>
      <c r="CH299" s="696"/>
      <c r="CI299" s="696"/>
      <c r="CJ299" s="1440"/>
    </row>
    <row r="300" spans="2:89" ht="15" thickBot="1" x14ac:dyDescent="0.25">
      <c r="B300" s="1425"/>
      <c r="C300" s="1426"/>
      <c r="D300" s="1427"/>
      <c r="E300" s="1426"/>
      <c r="F300" s="1428"/>
      <c r="G300" s="1429"/>
      <c r="H300" s="1430"/>
      <c r="I300" s="1430"/>
      <c r="J300" s="1430"/>
      <c r="K300" s="1430"/>
      <c r="L300" s="1430"/>
      <c r="M300" s="1431"/>
      <c r="N300" s="1431"/>
      <c r="O300" s="1431"/>
      <c r="P300" s="1431"/>
      <c r="Q300" s="1431"/>
      <c r="R300" s="1431"/>
      <c r="S300" s="1431"/>
      <c r="T300" s="1431"/>
      <c r="U300" s="1431"/>
      <c r="V300" s="1431"/>
      <c r="W300" s="1431"/>
      <c r="X300" s="1431"/>
      <c r="Y300" s="1431"/>
      <c r="Z300" s="1431"/>
      <c r="AA300" s="1431"/>
      <c r="AB300" s="1431"/>
      <c r="AC300" s="1431"/>
      <c r="AD300" s="1431"/>
      <c r="AE300" s="1431"/>
      <c r="AF300" s="1431"/>
      <c r="AG300" s="1431"/>
      <c r="AH300" s="1431"/>
      <c r="AI300" s="1431"/>
      <c r="AJ300" s="1431"/>
      <c r="AK300" s="1431"/>
      <c r="AL300" s="1431"/>
      <c r="AM300" s="1431"/>
      <c r="AN300" s="1431"/>
      <c r="AO300" s="1431"/>
      <c r="AP300" s="1431"/>
      <c r="AQ300" s="1431"/>
      <c r="AR300" s="1431"/>
      <c r="AS300" s="1431"/>
      <c r="AT300" s="1431"/>
      <c r="AU300" s="1431"/>
      <c r="AV300" s="1431"/>
      <c r="AW300" s="1431"/>
      <c r="AX300" s="1431"/>
      <c r="AY300" s="1431"/>
      <c r="AZ300" s="1431"/>
      <c r="BA300" s="1431"/>
      <c r="BB300" s="1431"/>
      <c r="BC300" s="1431"/>
      <c r="BD300" s="1431"/>
      <c r="BE300" s="1431"/>
      <c r="BF300" s="1431"/>
      <c r="BG300" s="1431"/>
      <c r="BH300" s="1431"/>
      <c r="BI300" s="1431"/>
      <c r="BJ300" s="1431"/>
      <c r="BK300" s="1431"/>
      <c r="BL300" s="1431"/>
      <c r="BM300" s="1431"/>
      <c r="BN300" s="1431"/>
      <c r="BO300" s="1431"/>
      <c r="BP300" s="1431"/>
      <c r="BQ300" s="1431"/>
      <c r="BR300" s="1431"/>
      <c r="BS300" s="1431"/>
      <c r="BT300" s="1431"/>
      <c r="BU300" s="1431"/>
      <c r="BV300" s="1431"/>
      <c r="BW300" s="1431"/>
      <c r="BX300" s="1431"/>
      <c r="BY300" s="1431"/>
      <c r="BZ300" s="1431"/>
      <c r="CA300" s="1431"/>
      <c r="CB300" s="1431"/>
      <c r="CC300" s="1431"/>
      <c r="CD300" s="1431"/>
      <c r="CE300" s="1431"/>
      <c r="CF300" s="1431"/>
      <c r="CG300" s="1431"/>
      <c r="CH300" s="1431"/>
      <c r="CI300" s="1432"/>
      <c r="CJ300" s="1435"/>
    </row>
    <row r="301" spans="2:89" ht="30.75" thickBot="1" x14ac:dyDescent="0.25">
      <c r="B301" s="891" t="s">
        <v>443</v>
      </c>
      <c r="C301" s="1306" t="s">
        <v>204</v>
      </c>
      <c r="D301" s="523"/>
      <c r="E301" s="523"/>
      <c r="F301" s="523"/>
      <c r="G301" s="523"/>
      <c r="H301" s="523"/>
      <c r="I301" s="523"/>
      <c r="J301" s="523"/>
      <c r="K301" s="523"/>
      <c r="L301" s="523"/>
      <c r="M301" s="523"/>
      <c r="N301" s="523"/>
      <c r="O301" s="523"/>
      <c r="P301" s="523"/>
      <c r="Q301" s="523"/>
      <c r="R301" s="523"/>
      <c r="S301" s="523"/>
      <c r="T301" s="523"/>
      <c r="U301" s="523"/>
      <c r="V301" s="523"/>
      <c r="W301" s="523"/>
      <c r="X301" s="523"/>
      <c r="Y301" s="523"/>
      <c r="Z301" s="523"/>
      <c r="AA301" s="523"/>
      <c r="AB301" s="523"/>
      <c r="AC301" s="523"/>
      <c r="AD301" s="523"/>
      <c r="AE301" s="523"/>
      <c r="AF301" s="523"/>
      <c r="AG301" s="523"/>
      <c r="AH301" s="523"/>
      <c r="AI301" s="523"/>
      <c r="AJ301" s="523"/>
      <c r="AK301" s="523"/>
      <c r="AL301" s="523"/>
      <c r="AM301" s="523"/>
      <c r="AN301" s="523"/>
      <c r="AO301" s="523"/>
      <c r="AP301" s="523"/>
      <c r="AQ301" s="523"/>
      <c r="AR301" s="523"/>
      <c r="AS301" s="523"/>
      <c r="AT301" s="523"/>
      <c r="AU301" s="523"/>
      <c r="AV301" s="523"/>
      <c r="AW301" s="523"/>
      <c r="AX301" s="523"/>
      <c r="AY301" s="523"/>
      <c r="AZ301" s="523"/>
      <c r="BA301" s="523"/>
      <c r="BB301" s="523"/>
      <c r="BC301" s="523"/>
      <c r="BD301" s="523"/>
      <c r="BE301" s="523"/>
      <c r="BF301" s="523"/>
      <c r="BG301" s="523"/>
      <c r="BH301" s="523"/>
      <c r="BI301" s="523"/>
      <c r="BJ301" s="523"/>
      <c r="BK301" s="523"/>
      <c r="BL301" s="523"/>
      <c r="BM301" s="523"/>
      <c r="BN301" s="523"/>
      <c r="BO301" s="523"/>
      <c r="BP301" s="523"/>
      <c r="BQ301" s="523"/>
      <c r="BR301" s="523"/>
      <c r="BS301" s="523"/>
      <c r="BT301" s="523"/>
      <c r="BU301" s="523"/>
      <c r="BV301" s="523"/>
      <c r="BW301" s="523"/>
      <c r="BX301" s="523"/>
      <c r="BY301" s="523"/>
      <c r="BZ301" s="523"/>
      <c r="CA301" s="523"/>
      <c r="CB301" s="523"/>
      <c r="CC301" s="523"/>
      <c r="CD301" s="523"/>
      <c r="CE301" s="523"/>
      <c r="CF301" s="523"/>
      <c r="CG301" s="523"/>
      <c r="CH301" s="523"/>
      <c r="CI301" s="523"/>
    </row>
    <row r="302" spans="2:89" ht="15.75" thickBot="1" x14ac:dyDescent="0.25">
      <c r="B302" s="930" t="s">
        <v>446</v>
      </c>
      <c r="C302" s="931" t="s">
        <v>205</v>
      </c>
      <c r="D302" s="931" t="s">
        <v>71</v>
      </c>
      <c r="E302" s="931" t="s">
        <v>206</v>
      </c>
      <c r="F302" s="932" t="s">
        <v>207</v>
      </c>
      <c r="G302" s="930" t="s">
        <v>208</v>
      </c>
      <c r="H302" s="930" t="s">
        <v>209</v>
      </c>
      <c r="I302" s="930" t="s">
        <v>210</v>
      </c>
      <c r="J302" s="930" t="s">
        <v>211</v>
      </c>
      <c r="K302" s="930" t="s">
        <v>212</v>
      </c>
      <c r="L302" s="930" t="s">
        <v>213</v>
      </c>
      <c r="M302" s="931" t="s">
        <v>214</v>
      </c>
      <c r="N302" s="931" t="s">
        <v>215</v>
      </c>
      <c r="O302" s="931" t="s">
        <v>216</v>
      </c>
      <c r="P302" s="931" t="s">
        <v>217</v>
      </c>
      <c r="Q302" s="931" t="s">
        <v>218</v>
      </c>
      <c r="R302" s="931" t="s">
        <v>247</v>
      </c>
      <c r="S302" s="931" t="s">
        <v>248</v>
      </c>
      <c r="T302" s="931" t="s">
        <v>249</v>
      </c>
      <c r="U302" s="931" t="s">
        <v>250</v>
      </c>
      <c r="V302" s="931" t="s">
        <v>219</v>
      </c>
      <c r="W302" s="931" t="s">
        <v>251</v>
      </c>
      <c r="X302" s="931" t="s">
        <v>252</v>
      </c>
      <c r="Y302" s="931" t="s">
        <v>253</v>
      </c>
      <c r="Z302" s="931" t="s">
        <v>254</v>
      </c>
      <c r="AA302" s="931" t="s">
        <v>220</v>
      </c>
      <c r="AB302" s="931" t="s">
        <v>255</v>
      </c>
      <c r="AC302" s="931" t="s">
        <v>256</v>
      </c>
      <c r="AD302" s="931" t="s">
        <v>257</v>
      </c>
      <c r="AE302" s="931" t="s">
        <v>258</v>
      </c>
      <c r="AF302" s="931" t="s">
        <v>221</v>
      </c>
      <c r="AG302" s="931" t="s">
        <v>259</v>
      </c>
      <c r="AH302" s="931" t="s">
        <v>260</v>
      </c>
      <c r="AI302" s="931" t="s">
        <v>261</v>
      </c>
      <c r="AJ302" s="931" t="s">
        <v>262</v>
      </c>
      <c r="AK302" s="931" t="s">
        <v>222</v>
      </c>
      <c r="AL302" s="931" t="s">
        <v>263</v>
      </c>
      <c r="AM302" s="931" t="s">
        <v>264</v>
      </c>
      <c r="AN302" s="931" t="s">
        <v>265</v>
      </c>
      <c r="AO302" s="931" t="s">
        <v>266</v>
      </c>
      <c r="AP302" s="931" t="s">
        <v>223</v>
      </c>
      <c r="AQ302" s="931" t="s">
        <v>267</v>
      </c>
      <c r="AR302" s="931" t="s">
        <v>268</v>
      </c>
      <c r="AS302" s="931" t="s">
        <v>269</v>
      </c>
      <c r="AT302" s="931" t="s">
        <v>270</v>
      </c>
      <c r="AU302" s="931" t="s">
        <v>224</v>
      </c>
      <c r="AV302" s="931" t="s">
        <v>271</v>
      </c>
      <c r="AW302" s="931" t="s">
        <v>272</v>
      </c>
      <c r="AX302" s="931" t="s">
        <v>273</v>
      </c>
      <c r="AY302" s="931" t="s">
        <v>274</v>
      </c>
      <c r="AZ302" s="931" t="s">
        <v>225</v>
      </c>
      <c r="BA302" s="931" t="s">
        <v>275</v>
      </c>
      <c r="BB302" s="931" t="s">
        <v>276</v>
      </c>
      <c r="BC302" s="931" t="s">
        <v>277</v>
      </c>
      <c r="BD302" s="931" t="s">
        <v>278</v>
      </c>
      <c r="BE302" s="931" t="s">
        <v>226</v>
      </c>
      <c r="BF302" s="931" t="s">
        <v>279</v>
      </c>
      <c r="BG302" s="931" t="s">
        <v>280</v>
      </c>
      <c r="BH302" s="931" t="s">
        <v>281</v>
      </c>
      <c r="BI302" s="931" t="s">
        <v>282</v>
      </c>
      <c r="BJ302" s="931" t="s">
        <v>227</v>
      </c>
      <c r="BK302" s="931" t="s">
        <v>283</v>
      </c>
      <c r="BL302" s="931" t="s">
        <v>284</v>
      </c>
      <c r="BM302" s="931" t="s">
        <v>285</v>
      </c>
      <c r="BN302" s="931" t="s">
        <v>286</v>
      </c>
      <c r="BO302" s="931" t="s">
        <v>228</v>
      </c>
      <c r="BP302" s="931" t="s">
        <v>287</v>
      </c>
      <c r="BQ302" s="931" t="s">
        <v>288</v>
      </c>
      <c r="BR302" s="931" t="s">
        <v>289</v>
      </c>
      <c r="BS302" s="931" t="s">
        <v>290</v>
      </c>
      <c r="BT302" s="931" t="s">
        <v>229</v>
      </c>
      <c r="BU302" s="931" t="s">
        <v>291</v>
      </c>
      <c r="BV302" s="931" t="s">
        <v>292</v>
      </c>
      <c r="BW302" s="931" t="s">
        <v>293</v>
      </c>
      <c r="BX302" s="931" t="s">
        <v>294</v>
      </c>
      <c r="BY302" s="931" t="s">
        <v>230</v>
      </c>
      <c r="BZ302" s="931" t="s">
        <v>295</v>
      </c>
      <c r="CA302" s="931" t="s">
        <v>296</v>
      </c>
      <c r="CB302" s="931" t="s">
        <v>297</v>
      </c>
      <c r="CC302" s="931" t="s">
        <v>298</v>
      </c>
      <c r="CD302" s="931" t="s">
        <v>231</v>
      </c>
      <c r="CE302" s="931" t="s">
        <v>299</v>
      </c>
      <c r="CF302" s="931" t="s">
        <v>300</v>
      </c>
      <c r="CG302" s="931" t="s">
        <v>301</v>
      </c>
      <c r="CH302" s="931" t="s">
        <v>302</v>
      </c>
      <c r="CI302" s="932" t="s">
        <v>232</v>
      </c>
      <c r="CK302" s="1296"/>
    </row>
    <row r="303" spans="2:89" x14ac:dyDescent="0.2">
      <c r="B303" s="933" t="s">
        <v>679</v>
      </c>
      <c r="C303" s="934" t="s">
        <v>448</v>
      </c>
      <c r="D303" s="925" t="s">
        <v>86</v>
      </c>
      <c r="E303" s="935" t="s">
        <v>236</v>
      </c>
      <c r="F303" s="936">
        <v>2</v>
      </c>
      <c r="G303" s="532"/>
      <c r="H303" s="593"/>
      <c r="I303" s="593">
        <v>10.717038364266775</v>
      </c>
      <c r="J303" s="593">
        <v>10.684259681176112</v>
      </c>
      <c r="K303" s="593">
        <v>10.60602885800065</v>
      </c>
      <c r="L303" s="593">
        <v>10.540107174900561</v>
      </c>
      <c r="M303" s="594">
        <v>10.586436723321938</v>
      </c>
      <c r="N303" s="594">
        <v>10.595055069355485</v>
      </c>
      <c r="O303" s="594">
        <v>10.593124497769617</v>
      </c>
      <c r="P303" s="594">
        <v>10.534009957758654</v>
      </c>
      <c r="Q303" s="594">
        <v>10.474037606167368</v>
      </c>
      <c r="R303" s="594">
        <v>10.422002780873484</v>
      </c>
      <c r="S303" s="594">
        <v>10.372984487723574</v>
      </c>
      <c r="T303" s="594">
        <v>14.016059244582431</v>
      </c>
      <c r="U303" s="594">
        <v>13.958361193258595</v>
      </c>
      <c r="V303" s="594">
        <v>13.902658437694793</v>
      </c>
      <c r="W303" s="594">
        <v>13.861759463347793</v>
      </c>
      <c r="X303" s="594">
        <v>13.82701129458813</v>
      </c>
      <c r="Y303" s="594">
        <v>13.821167795974516</v>
      </c>
      <c r="Z303" s="594">
        <v>13.817055924920821</v>
      </c>
      <c r="AA303" s="594">
        <v>13.811452273290739</v>
      </c>
      <c r="AB303" s="594">
        <v>13.801770934821652</v>
      </c>
      <c r="AC303" s="594">
        <v>13.795007732507051</v>
      </c>
      <c r="AD303" s="594">
        <v>13.789385804814399</v>
      </c>
      <c r="AE303" s="594">
        <v>13.797590852785703</v>
      </c>
      <c r="AF303" s="594">
        <v>13.805684263525654</v>
      </c>
      <c r="AG303" s="594">
        <v>13.814068919926601</v>
      </c>
      <c r="AH303" s="594">
        <v>13.822487092886664</v>
      </c>
      <c r="AI303" s="594">
        <v>13.831626793457865</v>
      </c>
      <c r="AJ303" s="594">
        <v>13.842761062186286</v>
      </c>
      <c r="AK303" s="594">
        <v>13.855078882043493</v>
      </c>
      <c r="AL303" s="594"/>
      <c r="AM303" s="594"/>
      <c r="AN303" s="594"/>
      <c r="AO303" s="594"/>
      <c r="AP303" s="594"/>
      <c r="AQ303" s="594"/>
      <c r="AR303" s="594"/>
      <c r="AS303" s="594"/>
      <c r="AT303" s="594"/>
      <c r="AU303" s="594"/>
      <c r="AV303" s="594"/>
      <c r="AW303" s="594"/>
      <c r="AX303" s="594"/>
      <c r="AY303" s="594"/>
      <c r="AZ303" s="594"/>
      <c r="BA303" s="594"/>
      <c r="BB303" s="594"/>
      <c r="BC303" s="594"/>
      <c r="BD303" s="594"/>
      <c r="BE303" s="594"/>
      <c r="BF303" s="594"/>
      <c r="BG303" s="594"/>
      <c r="BH303" s="594"/>
      <c r="BI303" s="594"/>
      <c r="BJ303" s="594"/>
      <c r="BK303" s="594"/>
      <c r="BL303" s="594"/>
      <c r="BM303" s="594"/>
      <c r="BN303" s="594"/>
      <c r="BO303" s="594"/>
      <c r="BP303" s="594"/>
      <c r="BQ303" s="594"/>
      <c r="BR303" s="594"/>
      <c r="BS303" s="594"/>
      <c r="BT303" s="594"/>
      <c r="BU303" s="594"/>
      <c r="BV303" s="594"/>
      <c r="BW303" s="594"/>
      <c r="BX303" s="594"/>
      <c r="BY303" s="594"/>
      <c r="BZ303" s="594"/>
      <c r="CA303" s="594"/>
      <c r="CB303" s="594"/>
      <c r="CC303" s="594"/>
      <c r="CD303" s="594"/>
      <c r="CE303" s="594"/>
      <c r="CF303" s="594"/>
      <c r="CG303" s="594"/>
      <c r="CH303" s="594"/>
      <c r="CI303" s="595"/>
      <c r="CK303" s="1296"/>
    </row>
    <row r="304" spans="2:89" x14ac:dyDescent="0.2">
      <c r="B304" s="937" t="s">
        <v>680</v>
      </c>
      <c r="C304" s="904" t="s">
        <v>681</v>
      </c>
      <c r="D304" s="907" t="s">
        <v>682</v>
      </c>
      <c r="E304" s="938" t="s">
        <v>236</v>
      </c>
      <c r="F304" s="939">
        <v>2</v>
      </c>
      <c r="G304" s="798">
        <f t="shared" ref="G304:AK307" si="145">G206+G276</f>
        <v>0</v>
      </c>
      <c r="H304" s="798">
        <f t="shared" si="145"/>
        <v>0</v>
      </c>
      <c r="I304" s="798">
        <f t="shared" si="145"/>
        <v>0</v>
      </c>
      <c r="J304" s="798">
        <f t="shared" si="145"/>
        <v>0</v>
      </c>
      <c r="K304" s="798">
        <f t="shared" si="145"/>
        <v>0</v>
      </c>
      <c r="L304" s="798">
        <f t="shared" si="145"/>
        <v>0</v>
      </c>
      <c r="M304" s="798">
        <f t="shared" si="145"/>
        <v>0</v>
      </c>
      <c r="N304" s="798">
        <f t="shared" si="145"/>
        <v>0</v>
      </c>
      <c r="O304" s="798">
        <f t="shared" si="145"/>
        <v>0</v>
      </c>
      <c r="P304" s="798">
        <f t="shared" si="145"/>
        <v>0</v>
      </c>
      <c r="Q304" s="798">
        <f t="shared" si="145"/>
        <v>0</v>
      </c>
      <c r="R304" s="798">
        <f t="shared" si="145"/>
        <v>0</v>
      </c>
      <c r="S304" s="798">
        <f t="shared" si="145"/>
        <v>0</v>
      </c>
      <c r="T304" s="798">
        <f t="shared" si="145"/>
        <v>0</v>
      </c>
      <c r="U304" s="798">
        <f t="shared" si="145"/>
        <v>0</v>
      </c>
      <c r="V304" s="798">
        <f t="shared" si="145"/>
        <v>0</v>
      </c>
      <c r="W304" s="798">
        <f t="shared" si="145"/>
        <v>0</v>
      </c>
      <c r="X304" s="798">
        <f t="shared" si="145"/>
        <v>0</v>
      </c>
      <c r="Y304" s="798">
        <f t="shared" si="145"/>
        <v>0</v>
      </c>
      <c r="Z304" s="798">
        <f t="shared" si="145"/>
        <v>0</v>
      </c>
      <c r="AA304" s="798">
        <f t="shared" si="145"/>
        <v>0</v>
      </c>
      <c r="AB304" s="798">
        <f t="shared" si="145"/>
        <v>0</v>
      </c>
      <c r="AC304" s="798">
        <f t="shared" si="145"/>
        <v>0</v>
      </c>
      <c r="AD304" s="798">
        <f t="shared" si="145"/>
        <v>0</v>
      </c>
      <c r="AE304" s="798">
        <f t="shared" si="145"/>
        <v>0</v>
      </c>
      <c r="AF304" s="798">
        <f t="shared" si="145"/>
        <v>0</v>
      </c>
      <c r="AG304" s="798">
        <f t="shared" si="145"/>
        <v>0</v>
      </c>
      <c r="AH304" s="798">
        <f t="shared" si="145"/>
        <v>0</v>
      </c>
      <c r="AI304" s="798">
        <f t="shared" si="145"/>
        <v>0</v>
      </c>
      <c r="AJ304" s="798">
        <f t="shared" si="145"/>
        <v>0</v>
      </c>
      <c r="AK304" s="798">
        <f t="shared" si="145"/>
        <v>0</v>
      </c>
      <c r="AL304" s="798"/>
      <c r="AM304" s="798"/>
      <c r="AN304" s="798"/>
      <c r="AO304" s="798"/>
      <c r="AP304" s="798"/>
      <c r="AQ304" s="798"/>
      <c r="AR304" s="798"/>
      <c r="AS304" s="798"/>
      <c r="AT304" s="798"/>
      <c r="AU304" s="798"/>
      <c r="AV304" s="798"/>
      <c r="AW304" s="798"/>
      <c r="AX304" s="798"/>
      <c r="AY304" s="798"/>
      <c r="AZ304" s="798"/>
      <c r="BA304" s="798"/>
      <c r="BB304" s="798"/>
      <c r="BC304" s="798"/>
      <c r="BD304" s="798"/>
      <c r="BE304" s="798"/>
      <c r="BF304" s="798"/>
      <c r="BG304" s="798"/>
      <c r="BH304" s="798"/>
      <c r="BI304" s="798"/>
      <c r="BJ304" s="798"/>
      <c r="BK304" s="798"/>
      <c r="BL304" s="798"/>
      <c r="BM304" s="798"/>
      <c r="BN304" s="798"/>
      <c r="BO304" s="798"/>
      <c r="BP304" s="798"/>
      <c r="BQ304" s="798"/>
      <c r="BR304" s="798"/>
      <c r="BS304" s="798"/>
      <c r="BT304" s="798"/>
      <c r="BU304" s="798"/>
      <c r="BV304" s="798"/>
      <c r="BW304" s="798"/>
      <c r="BX304" s="798"/>
      <c r="BY304" s="798"/>
      <c r="BZ304" s="798"/>
      <c r="CA304" s="798"/>
      <c r="CB304" s="798"/>
      <c r="CC304" s="798"/>
      <c r="CD304" s="798"/>
      <c r="CE304" s="798"/>
      <c r="CF304" s="798"/>
      <c r="CG304" s="798"/>
      <c r="CH304" s="798"/>
      <c r="CI304" s="719"/>
      <c r="CK304" s="1296"/>
    </row>
    <row r="305" spans="2:89" x14ac:dyDescent="0.2">
      <c r="B305" s="937" t="s">
        <v>683</v>
      </c>
      <c r="C305" s="904" t="s">
        <v>452</v>
      </c>
      <c r="D305" s="907" t="s">
        <v>684</v>
      </c>
      <c r="E305" s="938" t="s">
        <v>236</v>
      </c>
      <c r="F305" s="939">
        <v>2</v>
      </c>
      <c r="G305" s="569">
        <f t="shared" si="145"/>
        <v>0</v>
      </c>
      <c r="H305" s="569">
        <f t="shared" si="145"/>
        <v>0</v>
      </c>
      <c r="I305" s="569">
        <f t="shared" si="145"/>
        <v>2</v>
      </c>
      <c r="J305" s="569">
        <f t="shared" si="145"/>
        <v>2</v>
      </c>
      <c r="K305" s="569">
        <f t="shared" si="145"/>
        <v>2</v>
      </c>
      <c r="L305" s="569">
        <f t="shared" si="145"/>
        <v>2</v>
      </c>
      <c r="M305" s="718">
        <f t="shared" si="145"/>
        <v>2</v>
      </c>
      <c r="N305" s="718">
        <f t="shared" si="145"/>
        <v>2</v>
      </c>
      <c r="O305" s="718">
        <f t="shared" si="145"/>
        <v>2</v>
      </c>
      <c r="P305" s="718">
        <f t="shared" si="145"/>
        <v>2</v>
      </c>
      <c r="Q305" s="718">
        <f t="shared" si="145"/>
        <v>2</v>
      </c>
      <c r="R305" s="718">
        <f t="shared" si="145"/>
        <v>2</v>
      </c>
      <c r="S305" s="718">
        <f t="shared" si="145"/>
        <v>2</v>
      </c>
      <c r="T305" s="718">
        <f t="shared" si="145"/>
        <v>2</v>
      </c>
      <c r="U305" s="718">
        <f t="shared" si="145"/>
        <v>2</v>
      </c>
      <c r="V305" s="718">
        <f t="shared" si="145"/>
        <v>2</v>
      </c>
      <c r="W305" s="718">
        <f t="shared" si="145"/>
        <v>2</v>
      </c>
      <c r="X305" s="718">
        <f t="shared" si="145"/>
        <v>2</v>
      </c>
      <c r="Y305" s="718">
        <f t="shared" si="145"/>
        <v>2</v>
      </c>
      <c r="Z305" s="718">
        <f t="shared" si="145"/>
        <v>2</v>
      </c>
      <c r="AA305" s="718">
        <f t="shared" si="145"/>
        <v>2</v>
      </c>
      <c r="AB305" s="718">
        <f t="shared" si="145"/>
        <v>2</v>
      </c>
      <c r="AC305" s="718">
        <f t="shared" si="145"/>
        <v>2</v>
      </c>
      <c r="AD305" s="718">
        <f t="shared" si="145"/>
        <v>2</v>
      </c>
      <c r="AE305" s="718">
        <f t="shared" si="145"/>
        <v>2</v>
      </c>
      <c r="AF305" s="718">
        <f t="shared" si="145"/>
        <v>2</v>
      </c>
      <c r="AG305" s="718">
        <f t="shared" si="145"/>
        <v>2</v>
      </c>
      <c r="AH305" s="718">
        <f t="shared" si="145"/>
        <v>2</v>
      </c>
      <c r="AI305" s="718">
        <f t="shared" si="145"/>
        <v>2</v>
      </c>
      <c r="AJ305" s="718">
        <f t="shared" si="145"/>
        <v>2</v>
      </c>
      <c r="AK305" s="718">
        <f t="shared" si="145"/>
        <v>2</v>
      </c>
      <c r="AL305" s="718"/>
      <c r="AM305" s="718"/>
      <c r="AN305" s="718"/>
      <c r="AO305" s="718"/>
      <c r="AP305" s="718"/>
      <c r="AQ305" s="718"/>
      <c r="AR305" s="718"/>
      <c r="AS305" s="718"/>
      <c r="AT305" s="718"/>
      <c r="AU305" s="718"/>
      <c r="AV305" s="718"/>
      <c r="AW305" s="718"/>
      <c r="AX305" s="718"/>
      <c r="AY305" s="718"/>
      <c r="AZ305" s="718"/>
      <c r="BA305" s="718"/>
      <c r="BB305" s="718"/>
      <c r="BC305" s="718"/>
      <c r="BD305" s="718"/>
      <c r="BE305" s="718"/>
      <c r="BF305" s="718"/>
      <c r="BG305" s="718"/>
      <c r="BH305" s="718"/>
      <c r="BI305" s="718"/>
      <c r="BJ305" s="718"/>
      <c r="BK305" s="718"/>
      <c r="BL305" s="718"/>
      <c r="BM305" s="718"/>
      <c r="BN305" s="718"/>
      <c r="BO305" s="718"/>
      <c r="BP305" s="718"/>
      <c r="BQ305" s="718"/>
      <c r="BR305" s="718"/>
      <c r="BS305" s="718"/>
      <c r="BT305" s="718"/>
      <c r="BU305" s="718"/>
      <c r="BV305" s="718"/>
      <c r="BW305" s="718"/>
      <c r="BX305" s="718"/>
      <c r="BY305" s="718"/>
      <c r="BZ305" s="718"/>
      <c r="CA305" s="718"/>
      <c r="CB305" s="718"/>
      <c r="CC305" s="718"/>
      <c r="CD305" s="718"/>
      <c r="CE305" s="718"/>
      <c r="CF305" s="718"/>
      <c r="CG305" s="718"/>
      <c r="CH305" s="718"/>
      <c r="CI305" s="719"/>
      <c r="CK305" s="1296"/>
    </row>
    <row r="306" spans="2:89" x14ac:dyDescent="0.2">
      <c r="B306" s="937" t="s">
        <v>685</v>
      </c>
      <c r="C306" s="904" t="s">
        <v>454</v>
      </c>
      <c r="D306" s="907" t="s">
        <v>686</v>
      </c>
      <c r="E306" s="938" t="s">
        <v>236</v>
      </c>
      <c r="F306" s="939">
        <v>2</v>
      </c>
      <c r="G306" s="569">
        <f t="shared" si="145"/>
        <v>0</v>
      </c>
      <c r="H306" s="569">
        <f t="shared" si="145"/>
        <v>0</v>
      </c>
      <c r="I306" s="569">
        <f t="shared" si="145"/>
        <v>0</v>
      </c>
      <c r="J306" s="569">
        <f t="shared" si="145"/>
        <v>0</v>
      </c>
      <c r="K306" s="569">
        <f t="shared" si="145"/>
        <v>0</v>
      </c>
      <c r="L306" s="569">
        <f t="shared" si="145"/>
        <v>0</v>
      </c>
      <c r="M306" s="718">
        <f t="shared" si="145"/>
        <v>0</v>
      </c>
      <c r="N306" s="718">
        <f t="shared" si="145"/>
        <v>0</v>
      </c>
      <c r="O306" s="718">
        <f t="shared" si="145"/>
        <v>0</v>
      </c>
      <c r="P306" s="718">
        <f t="shared" si="145"/>
        <v>0</v>
      </c>
      <c r="Q306" s="718">
        <f t="shared" si="145"/>
        <v>0</v>
      </c>
      <c r="R306" s="718">
        <f t="shared" si="145"/>
        <v>0</v>
      </c>
      <c r="S306" s="718">
        <f t="shared" si="145"/>
        <v>0</v>
      </c>
      <c r="T306" s="718">
        <f t="shared" si="145"/>
        <v>0.20856410954914378</v>
      </c>
      <c r="U306" s="718">
        <f t="shared" si="145"/>
        <v>0.14795702573516523</v>
      </c>
      <c r="V306" s="718">
        <f t="shared" si="145"/>
        <v>6.5392176763865162E-2</v>
      </c>
      <c r="W306" s="718">
        <f t="shared" si="145"/>
        <v>5.5851848014790706E-3</v>
      </c>
      <c r="X306" s="718">
        <f t="shared" si="145"/>
        <v>0</v>
      </c>
      <c r="Y306" s="718">
        <f t="shared" si="145"/>
        <v>0</v>
      </c>
      <c r="Z306" s="718">
        <f t="shared" si="145"/>
        <v>0</v>
      </c>
      <c r="AA306" s="718">
        <f t="shared" si="145"/>
        <v>0</v>
      </c>
      <c r="AB306" s="718">
        <f t="shared" si="145"/>
        <v>0</v>
      </c>
      <c r="AC306" s="718">
        <f t="shared" si="145"/>
        <v>0</v>
      </c>
      <c r="AD306" s="718">
        <f t="shared" si="145"/>
        <v>0</v>
      </c>
      <c r="AE306" s="718">
        <f t="shared" si="145"/>
        <v>0</v>
      </c>
      <c r="AF306" s="718">
        <f t="shared" si="145"/>
        <v>0</v>
      </c>
      <c r="AG306" s="718">
        <f t="shared" si="145"/>
        <v>0</v>
      </c>
      <c r="AH306" s="718">
        <f t="shared" si="145"/>
        <v>0</v>
      </c>
      <c r="AI306" s="718">
        <f t="shared" si="145"/>
        <v>0</v>
      </c>
      <c r="AJ306" s="718">
        <f t="shared" si="145"/>
        <v>0</v>
      </c>
      <c r="AK306" s="718">
        <f t="shared" si="145"/>
        <v>0</v>
      </c>
      <c r="AL306" s="718"/>
      <c r="AM306" s="718"/>
      <c r="AN306" s="718"/>
      <c r="AO306" s="718"/>
      <c r="AP306" s="718"/>
      <c r="AQ306" s="718"/>
      <c r="AR306" s="718"/>
      <c r="AS306" s="718"/>
      <c r="AT306" s="718"/>
      <c r="AU306" s="718"/>
      <c r="AV306" s="718"/>
      <c r="AW306" s="718"/>
      <c r="AX306" s="718"/>
      <c r="AY306" s="718"/>
      <c r="AZ306" s="718"/>
      <c r="BA306" s="718"/>
      <c r="BB306" s="718"/>
      <c r="BC306" s="718"/>
      <c r="BD306" s="718"/>
      <c r="BE306" s="718"/>
      <c r="BF306" s="718"/>
      <c r="BG306" s="718"/>
      <c r="BH306" s="718"/>
      <c r="BI306" s="718"/>
      <c r="BJ306" s="718"/>
      <c r="BK306" s="718"/>
      <c r="BL306" s="718"/>
      <c r="BM306" s="718"/>
      <c r="BN306" s="718"/>
      <c r="BO306" s="718"/>
      <c r="BP306" s="718"/>
      <c r="BQ306" s="718"/>
      <c r="BR306" s="718"/>
      <c r="BS306" s="718"/>
      <c r="BT306" s="718"/>
      <c r="BU306" s="718"/>
      <c r="BV306" s="718"/>
      <c r="BW306" s="718"/>
      <c r="BX306" s="718"/>
      <c r="BY306" s="718"/>
      <c r="BZ306" s="718"/>
      <c r="CA306" s="718"/>
      <c r="CB306" s="718"/>
      <c r="CC306" s="718"/>
      <c r="CD306" s="718"/>
      <c r="CE306" s="718"/>
      <c r="CF306" s="718"/>
      <c r="CG306" s="718"/>
      <c r="CH306" s="718"/>
      <c r="CI306" s="719"/>
      <c r="CK306" s="1296"/>
    </row>
    <row r="307" spans="2:89" x14ac:dyDescent="0.2">
      <c r="B307" s="940" t="s">
        <v>687</v>
      </c>
      <c r="C307" s="904" t="s">
        <v>456</v>
      </c>
      <c r="D307" s="907" t="s">
        <v>688</v>
      </c>
      <c r="E307" s="938" t="s">
        <v>236</v>
      </c>
      <c r="F307" s="939">
        <v>2</v>
      </c>
      <c r="G307" s="569">
        <f>G209+G279</f>
        <v>0</v>
      </c>
      <c r="H307" s="569">
        <f t="shared" si="145"/>
        <v>0</v>
      </c>
      <c r="I307" s="569">
        <f t="shared" si="145"/>
        <v>0</v>
      </c>
      <c r="J307" s="569">
        <f t="shared" si="145"/>
        <v>0</v>
      </c>
      <c r="K307" s="569">
        <f t="shared" si="145"/>
        <v>0</v>
      </c>
      <c r="L307" s="569">
        <f t="shared" si="145"/>
        <v>0</v>
      </c>
      <c r="M307" s="569">
        <f t="shared" si="145"/>
        <v>0</v>
      </c>
      <c r="N307" s="569">
        <f t="shared" si="145"/>
        <v>0</v>
      </c>
      <c r="O307" s="569">
        <f t="shared" si="145"/>
        <v>0</v>
      </c>
      <c r="P307" s="569">
        <f t="shared" si="145"/>
        <v>0</v>
      </c>
      <c r="Q307" s="569">
        <f t="shared" si="145"/>
        <v>0</v>
      </c>
      <c r="R307" s="569">
        <f t="shared" si="145"/>
        <v>0</v>
      </c>
      <c r="S307" s="569">
        <f t="shared" si="145"/>
        <v>0</v>
      </c>
      <c r="T307" s="569">
        <f t="shared" si="145"/>
        <v>0</v>
      </c>
      <c r="U307" s="569">
        <f t="shared" si="145"/>
        <v>0</v>
      </c>
      <c r="V307" s="569">
        <f t="shared" si="145"/>
        <v>0</v>
      </c>
      <c r="W307" s="569">
        <f t="shared" si="145"/>
        <v>0</v>
      </c>
      <c r="X307" s="569">
        <f t="shared" si="145"/>
        <v>0</v>
      </c>
      <c r="Y307" s="569">
        <f t="shared" si="145"/>
        <v>0</v>
      </c>
      <c r="Z307" s="569">
        <f t="shared" si="145"/>
        <v>0</v>
      </c>
      <c r="AA307" s="569">
        <f t="shared" si="145"/>
        <v>0</v>
      </c>
      <c r="AB307" s="569">
        <f t="shared" si="145"/>
        <v>0</v>
      </c>
      <c r="AC307" s="569">
        <f t="shared" si="145"/>
        <v>0</v>
      </c>
      <c r="AD307" s="569">
        <f t="shared" si="145"/>
        <v>0</v>
      </c>
      <c r="AE307" s="569">
        <f t="shared" si="145"/>
        <v>0</v>
      </c>
      <c r="AF307" s="569">
        <f t="shared" si="145"/>
        <v>0</v>
      </c>
      <c r="AG307" s="569">
        <f t="shared" si="145"/>
        <v>0</v>
      </c>
      <c r="AH307" s="569">
        <f t="shared" si="145"/>
        <v>0</v>
      </c>
      <c r="AI307" s="569">
        <f t="shared" si="145"/>
        <v>0</v>
      </c>
      <c r="AJ307" s="569">
        <f t="shared" si="145"/>
        <v>0</v>
      </c>
      <c r="AK307" s="569">
        <f t="shared" si="145"/>
        <v>0</v>
      </c>
      <c r="AL307" s="569"/>
      <c r="AM307" s="569"/>
      <c r="AN307" s="569"/>
      <c r="AO307" s="569"/>
      <c r="AP307" s="569"/>
      <c r="AQ307" s="569"/>
      <c r="AR307" s="569"/>
      <c r="AS307" s="569"/>
      <c r="AT307" s="569"/>
      <c r="AU307" s="569"/>
      <c r="AV307" s="569"/>
      <c r="AW307" s="569"/>
      <c r="AX307" s="569"/>
      <c r="AY307" s="569"/>
      <c r="AZ307" s="569"/>
      <c r="BA307" s="569"/>
      <c r="BB307" s="569"/>
      <c r="BC307" s="569"/>
      <c r="BD307" s="569"/>
      <c r="BE307" s="569"/>
      <c r="BF307" s="569"/>
      <c r="BG307" s="569"/>
      <c r="BH307" s="569"/>
      <c r="BI307" s="569"/>
      <c r="BJ307" s="569"/>
      <c r="BK307" s="569"/>
      <c r="BL307" s="569"/>
      <c r="BM307" s="569"/>
      <c r="BN307" s="569"/>
      <c r="BO307" s="569"/>
      <c r="BP307" s="569"/>
      <c r="BQ307" s="569"/>
      <c r="BR307" s="569"/>
      <c r="BS307" s="569"/>
      <c r="BT307" s="569"/>
      <c r="BU307" s="569"/>
      <c r="BV307" s="569"/>
      <c r="BW307" s="569"/>
      <c r="BX307" s="569"/>
      <c r="BY307" s="569"/>
      <c r="BZ307" s="569"/>
      <c r="CA307" s="569"/>
      <c r="CB307" s="569"/>
      <c r="CC307" s="569"/>
      <c r="CD307" s="569"/>
      <c r="CE307" s="569"/>
      <c r="CF307" s="569"/>
      <c r="CG307" s="569"/>
      <c r="CH307" s="569"/>
      <c r="CI307" s="719"/>
      <c r="CK307" s="1296"/>
    </row>
    <row r="308" spans="2:89" x14ac:dyDescent="0.2">
      <c r="B308" s="940" t="s">
        <v>689</v>
      </c>
      <c r="C308" s="904" t="s">
        <v>458</v>
      </c>
      <c r="D308" s="907" t="s">
        <v>690</v>
      </c>
      <c r="E308" s="938" t="s">
        <v>236</v>
      </c>
      <c r="F308" s="939">
        <v>2</v>
      </c>
      <c r="G308" s="569">
        <f>G210+G280</f>
        <v>0</v>
      </c>
      <c r="H308" s="569">
        <f t="shared" ref="H308:AK308" si="146">H210+H280</f>
        <v>0</v>
      </c>
      <c r="I308" s="569">
        <f t="shared" si="146"/>
        <v>-0.02</v>
      </c>
      <c r="J308" s="569">
        <f t="shared" si="146"/>
        <v>-0.02</v>
      </c>
      <c r="K308" s="569">
        <f t="shared" si="146"/>
        <v>-0.02</v>
      </c>
      <c r="L308" s="569">
        <f t="shared" si="146"/>
        <v>-0.02</v>
      </c>
      <c r="M308" s="718">
        <f t="shared" si="146"/>
        <v>-0.02</v>
      </c>
      <c r="N308" s="718">
        <f t="shared" si="146"/>
        <v>-0.02</v>
      </c>
      <c r="O308" s="718">
        <f t="shared" si="146"/>
        <v>-0.02</v>
      </c>
      <c r="P308" s="718">
        <f t="shared" si="146"/>
        <v>-0.02</v>
      </c>
      <c r="Q308" s="718">
        <f t="shared" si="146"/>
        <v>-0.02</v>
      </c>
      <c r="R308" s="718">
        <f t="shared" si="146"/>
        <v>-0.02</v>
      </c>
      <c r="S308" s="718">
        <f t="shared" si="146"/>
        <v>-0.02</v>
      </c>
      <c r="T308" s="718">
        <f t="shared" si="146"/>
        <v>-0.02</v>
      </c>
      <c r="U308" s="718">
        <f t="shared" si="146"/>
        <v>-0.02</v>
      </c>
      <c r="V308" s="718">
        <f t="shared" si="146"/>
        <v>-0.02</v>
      </c>
      <c r="W308" s="718">
        <f t="shared" si="146"/>
        <v>-0.02</v>
      </c>
      <c r="X308" s="718">
        <f t="shared" si="146"/>
        <v>-0.02</v>
      </c>
      <c r="Y308" s="718">
        <f t="shared" si="146"/>
        <v>-0.02</v>
      </c>
      <c r="Z308" s="718">
        <f t="shared" si="146"/>
        <v>-0.02</v>
      </c>
      <c r="AA308" s="718">
        <f t="shared" si="146"/>
        <v>-0.02</v>
      </c>
      <c r="AB308" s="718">
        <f t="shared" si="146"/>
        <v>-0.02</v>
      </c>
      <c r="AC308" s="718">
        <f t="shared" si="146"/>
        <v>-0.02</v>
      </c>
      <c r="AD308" s="718">
        <f t="shared" si="146"/>
        <v>-0.02</v>
      </c>
      <c r="AE308" s="718">
        <f t="shared" si="146"/>
        <v>-0.02</v>
      </c>
      <c r="AF308" s="718">
        <f t="shared" si="146"/>
        <v>-0.02</v>
      </c>
      <c r="AG308" s="718">
        <f t="shared" si="146"/>
        <v>-0.02</v>
      </c>
      <c r="AH308" s="718">
        <f t="shared" si="146"/>
        <v>-0.02</v>
      </c>
      <c r="AI308" s="718">
        <f t="shared" si="146"/>
        <v>-0.02</v>
      </c>
      <c r="AJ308" s="718">
        <f t="shared" si="146"/>
        <v>-0.02</v>
      </c>
      <c r="AK308" s="718">
        <f t="shared" si="146"/>
        <v>-0.02</v>
      </c>
      <c r="AL308" s="718"/>
      <c r="AM308" s="718"/>
      <c r="AN308" s="718"/>
      <c r="AO308" s="718"/>
      <c r="AP308" s="718"/>
      <c r="AQ308" s="718"/>
      <c r="AR308" s="718"/>
      <c r="AS308" s="718"/>
      <c r="AT308" s="718"/>
      <c r="AU308" s="718"/>
      <c r="AV308" s="718"/>
      <c r="AW308" s="718"/>
      <c r="AX308" s="718"/>
      <c r="AY308" s="718"/>
      <c r="AZ308" s="718"/>
      <c r="BA308" s="718"/>
      <c r="BB308" s="718"/>
      <c r="BC308" s="718"/>
      <c r="BD308" s="718"/>
      <c r="BE308" s="718"/>
      <c r="BF308" s="718"/>
      <c r="BG308" s="718"/>
      <c r="BH308" s="718"/>
      <c r="BI308" s="718"/>
      <c r="BJ308" s="718"/>
      <c r="BK308" s="718"/>
      <c r="BL308" s="718"/>
      <c r="BM308" s="718"/>
      <c r="BN308" s="718"/>
      <c r="BO308" s="718"/>
      <c r="BP308" s="718"/>
      <c r="BQ308" s="718"/>
      <c r="BR308" s="718"/>
      <c r="BS308" s="718"/>
      <c r="BT308" s="718"/>
      <c r="BU308" s="718"/>
      <c r="BV308" s="718"/>
      <c r="BW308" s="718"/>
      <c r="BX308" s="718"/>
      <c r="BY308" s="718"/>
      <c r="BZ308" s="718"/>
      <c r="CA308" s="718"/>
      <c r="CB308" s="718"/>
      <c r="CC308" s="718"/>
      <c r="CD308" s="718"/>
      <c r="CE308" s="718"/>
      <c r="CF308" s="718"/>
      <c r="CG308" s="718"/>
      <c r="CH308" s="718"/>
      <c r="CI308" s="719"/>
      <c r="CK308" s="1296"/>
    </row>
    <row r="309" spans="2:89" ht="28.5" x14ac:dyDescent="0.2">
      <c r="B309" s="940" t="s">
        <v>691</v>
      </c>
      <c r="C309" s="901" t="s">
        <v>462</v>
      </c>
      <c r="D309" s="907" t="s">
        <v>692</v>
      </c>
      <c r="E309" s="938" t="s">
        <v>236</v>
      </c>
      <c r="F309" s="939">
        <v>2</v>
      </c>
      <c r="G309" s="569">
        <f>G212+G281+G282+G283+G284</f>
        <v>0</v>
      </c>
      <c r="H309" s="569">
        <f t="shared" ref="H309:AK309" si="147">H212+H281+H282+H283+H284</f>
        <v>0</v>
      </c>
      <c r="I309" s="569">
        <f t="shared" si="147"/>
        <v>13.893693156604638</v>
      </c>
      <c r="J309" s="569">
        <f t="shared" si="147"/>
        <v>13.899516643868083</v>
      </c>
      <c r="K309" s="569">
        <f t="shared" si="147"/>
        <v>13.890209751437155</v>
      </c>
      <c r="L309" s="569">
        <f>L212+L281+L282+L283+L284</f>
        <v>13.870872241931307</v>
      </c>
      <c r="M309" s="569">
        <f t="shared" si="147"/>
        <v>13.842648300879301</v>
      </c>
      <c r="N309" s="569">
        <f t="shared" si="147"/>
        <v>13.825106955825591</v>
      </c>
      <c r="O309" s="569">
        <f t="shared" si="147"/>
        <v>13.835138032154752</v>
      </c>
      <c r="P309" s="569">
        <f t="shared" si="147"/>
        <v>13.83554572253836</v>
      </c>
      <c r="Q309" s="569">
        <f t="shared" si="147"/>
        <v>13.834461505745718</v>
      </c>
      <c r="R309" s="569">
        <f t="shared" si="147"/>
        <v>13.833176545317981</v>
      </c>
      <c r="S309" s="569">
        <f t="shared" si="147"/>
        <v>13.831459330425872</v>
      </c>
      <c r="T309" s="569">
        <f t="shared" si="147"/>
        <v>13.829417190963786</v>
      </c>
      <c r="U309" s="569">
        <f t="shared" si="147"/>
        <v>13.826294109442442</v>
      </c>
      <c r="V309" s="569">
        <f t="shared" si="147"/>
        <v>13.823263201202421</v>
      </c>
      <c r="W309" s="569">
        <f t="shared" si="147"/>
        <v>13.820513831794857</v>
      </c>
      <c r="X309" s="569">
        <f t="shared" si="147"/>
        <v>13.817801570361127</v>
      </c>
      <c r="Y309" s="569">
        <f t="shared" si="147"/>
        <v>13.815149790752097</v>
      </c>
      <c r="Z309" s="569">
        <f t="shared" si="147"/>
        <v>13.812555324352298</v>
      </c>
      <c r="AA309" s="569">
        <f t="shared" si="147"/>
        <v>13.809723034373604</v>
      </c>
      <c r="AB309" s="569">
        <f t="shared" si="147"/>
        <v>13.806524979164795</v>
      </c>
      <c r="AC309" s="569">
        <f t="shared" si="147"/>
        <v>13.803657522548235</v>
      </c>
      <c r="AD309" s="569">
        <f t="shared" si="147"/>
        <v>13.800982140694066</v>
      </c>
      <c r="AE309" s="569">
        <f t="shared" si="147"/>
        <v>13.799706770737961</v>
      </c>
      <c r="AF309" s="569">
        <f t="shared" si="147"/>
        <v>13.80084993313589</v>
      </c>
      <c r="AG309" s="569">
        <f t="shared" si="147"/>
        <v>13.801933943004428</v>
      </c>
      <c r="AH309" s="569">
        <f t="shared" si="147"/>
        <v>13.80310446364647</v>
      </c>
      <c r="AI309" s="569">
        <f t="shared" si="147"/>
        <v>13.804330222319555</v>
      </c>
      <c r="AJ309" s="569">
        <f t="shared" si="147"/>
        <v>13.805655618220495</v>
      </c>
      <c r="AK309" s="569">
        <f t="shared" si="147"/>
        <v>13.806983520487636</v>
      </c>
      <c r="AL309" s="569"/>
      <c r="AM309" s="569"/>
      <c r="AN309" s="569"/>
      <c r="AO309" s="569"/>
      <c r="AP309" s="569"/>
      <c r="AQ309" s="569"/>
      <c r="AR309" s="569"/>
      <c r="AS309" s="569"/>
      <c r="AT309" s="569"/>
      <c r="AU309" s="569"/>
      <c r="AV309" s="569"/>
      <c r="AW309" s="569"/>
      <c r="AX309" s="569"/>
      <c r="AY309" s="569"/>
      <c r="AZ309" s="569"/>
      <c r="BA309" s="569"/>
      <c r="BB309" s="569"/>
      <c r="BC309" s="569"/>
      <c r="BD309" s="569"/>
      <c r="BE309" s="569"/>
      <c r="BF309" s="569"/>
      <c r="BG309" s="569"/>
      <c r="BH309" s="569"/>
      <c r="BI309" s="569"/>
      <c r="BJ309" s="569"/>
      <c r="BK309" s="569"/>
      <c r="BL309" s="569"/>
      <c r="BM309" s="569"/>
      <c r="BN309" s="569"/>
      <c r="BO309" s="569"/>
      <c r="BP309" s="569"/>
      <c r="BQ309" s="569"/>
      <c r="BR309" s="569"/>
      <c r="BS309" s="569"/>
      <c r="BT309" s="569"/>
      <c r="BU309" s="569"/>
      <c r="BV309" s="569"/>
      <c r="BW309" s="569"/>
      <c r="BX309" s="569"/>
      <c r="BY309" s="569"/>
      <c r="BZ309" s="569"/>
      <c r="CA309" s="569"/>
      <c r="CB309" s="569"/>
      <c r="CC309" s="569"/>
      <c r="CD309" s="569"/>
      <c r="CE309" s="569"/>
      <c r="CF309" s="569"/>
      <c r="CG309" s="569"/>
      <c r="CH309" s="569"/>
      <c r="CI309" s="719"/>
      <c r="CK309" s="1296"/>
    </row>
    <row r="310" spans="2:89" ht="28.5" x14ac:dyDescent="0.2">
      <c r="B310" s="940" t="s">
        <v>693</v>
      </c>
      <c r="C310" s="901" t="s">
        <v>694</v>
      </c>
      <c r="D310" s="907" t="s">
        <v>695</v>
      </c>
      <c r="E310" s="938" t="s">
        <v>236</v>
      </c>
      <c r="F310" s="939">
        <v>2</v>
      </c>
      <c r="G310" s="569">
        <f t="shared" ref="G310:AK310" si="148">G220+G285+G286</f>
        <v>0</v>
      </c>
      <c r="H310" s="569">
        <f t="shared" si="148"/>
        <v>0</v>
      </c>
      <c r="I310" s="569">
        <f t="shared" si="148"/>
        <v>0.58028999999999997</v>
      </c>
      <c r="J310" s="569">
        <f t="shared" si="148"/>
        <v>0.58028999999999997</v>
      </c>
      <c r="K310" s="569">
        <f t="shared" si="148"/>
        <v>0.58028999999999997</v>
      </c>
      <c r="L310" s="569">
        <f t="shared" si="148"/>
        <v>0.58028999999999997</v>
      </c>
      <c r="M310" s="718">
        <f t="shared" si="148"/>
        <v>0.58028999999999997</v>
      </c>
      <c r="N310" s="718">
        <f t="shared" si="148"/>
        <v>0.58028999999999997</v>
      </c>
      <c r="O310" s="718">
        <f t="shared" si="148"/>
        <v>0.58028999999999997</v>
      </c>
      <c r="P310" s="718">
        <f t="shared" si="148"/>
        <v>0.58028999999999997</v>
      </c>
      <c r="Q310" s="718">
        <f t="shared" si="148"/>
        <v>0.58028999999999997</v>
      </c>
      <c r="R310" s="718">
        <f t="shared" si="148"/>
        <v>0.58028999999999997</v>
      </c>
      <c r="S310" s="718">
        <f t="shared" si="148"/>
        <v>0.58028999999999997</v>
      </c>
      <c r="T310" s="718">
        <f t="shared" si="148"/>
        <v>0.58028999999999997</v>
      </c>
      <c r="U310" s="718">
        <f t="shared" si="148"/>
        <v>0.58028999999999997</v>
      </c>
      <c r="V310" s="718">
        <f t="shared" si="148"/>
        <v>0.58028999999999997</v>
      </c>
      <c r="W310" s="718">
        <f t="shared" si="148"/>
        <v>0.58028999999999997</v>
      </c>
      <c r="X310" s="718">
        <f t="shared" si="148"/>
        <v>0.58028999999999997</v>
      </c>
      <c r="Y310" s="718">
        <f t="shared" si="148"/>
        <v>0.58028999999999997</v>
      </c>
      <c r="Z310" s="718">
        <f t="shared" si="148"/>
        <v>0.58028999999999997</v>
      </c>
      <c r="AA310" s="718">
        <f t="shared" si="148"/>
        <v>0.58028999999999997</v>
      </c>
      <c r="AB310" s="718">
        <f t="shared" si="148"/>
        <v>0.58028999999999997</v>
      </c>
      <c r="AC310" s="718">
        <f t="shared" si="148"/>
        <v>0.58028999999999997</v>
      </c>
      <c r="AD310" s="718">
        <f t="shared" si="148"/>
        <v>0.58028999999999997</v>
      </c>
      <c r="AE310" s="718">
        <f t="shared" si="148"/>
        <v>0.58028999999999997</v>
      </c>
      <c r="AF310" s="718">
        <f t="shared" si="148"/>
        <v>0.58028999999999997</v>
      </c>
      <c r="AG310" s="718">
        <f t="shared" si="148"/>
        <v>0.58028999999999997</v>
      </c>
      <c r="AH310" s="718">
        <f t="shared" si="148"/>
        <v>0.58028999999999997</v>
      </c>
      <c r="AI310" s="718">
        <f t="shared" si="148"/>
        <v>0.58028999999999997</v>
      </c>
      <c r="AJ310" s="718">
        <f t="shared" si="148"/>
        <v>0.58028999999999997</v>
      </c>
      <c r="AK310" s="718">
        <f t="shared" si="148"/>
        <v>0.58028999999999997</v>
      </c>
      <c r="AL310" s="718"/>
      <c r="AM310" s="718"/>
      <c r="AN310" s="718"/>
      <c r="AO310" s="718"/>
      <c r="AP310" s="718"/>
      <c r="AQ310" s="718"/>
      <c r="AR310" s="718"/>
      <c r="AS310" s="718"/>
      <c r="AT310" s="718"/>
      <c r="AU310" s="718"/>
      <c r="AV310" s="718"/>
      <c r="AW310" s="718"/>
      <c r="AX310" s="718"/>
      <c r="AY310" s="718"/>
      <c r="AZ310" s="718"/>
      <c r="BA310" s="718"/>
      <c r="BB310" s="718"/>
      <c r="BC310" s="718"/>
      <c r="BD310" s="718"/>
      <c r="BE310" s="718"/>
      <c r="BF310" s="718"/>
      <c r="BG310" s="718"/>
      <c r="BH310" s="718"/>
      <c r="BI310" s="718"/>
      <c r="BJ310" s="718"/>
      <c r="BK310" s="718"/>
      <c r="BL310" s="718"/>
      <c r="BM310" s="718"/>
      <c r="BN310" s="718"/>
      <c r="BO310" s="718"/>
      <c r="BP310" s="718"/>
      <c r="BQ310" s="718"/>
      <c r="BR310" s="718"/>
      <c r="BS310" s="718"/>
      <c r="BT310" s="718"/>
      <c r="BU310" s="718"/>
      <c r="BV310" s="718"/>
      <c r="BW310" s="718"/>
      <c r="BX310" s="718"/>
      <c r="BY310" s="718"/>
      <c r="BZ310" s="718"/>
      <c r="CA310" s="718"/>
      <c r="CB310" s="718"/>
      <c r="CC310" s="718"/>
      <c r="CD310" s="718"/>
      <c r="CE310" s="718"/>
      <c r="CF310" s="718"/>
      <c r="CG310" s="718"/>
      <c r="CH310" s="718"/>
      <c r="CI310" s="719"/>
      <c r="CK310" s="1296"/>
    </row>
    <row r="311" spans="2:89" x14ac:dyDescent="0.2">
      <c r="B311" s="940" t="s">
        <v>696</v>
      </c>
      <c r="C311" s="901" t="s">
        <v>483</v>
      </c>
      <c r="D311" s="907" t="s">
        <v>697</v>
      </c>
      <c r="E311" s="938" t="s">
        <v>236</v>
      </c>
      <c r="F311" s="939">
        <v>2</v>
      </c>
      <c r="G311" s="569">
        <f t="shared" ref="G311:AK311" si="149">G221+G287</f>
        <v>0</v>
      </c>
      <c r="H311" s="569">
        <f t="shared" si="149"/>
        <v>0</v>
      </c>
      <c r="I311" s="569">
        <f t="shared" si="149"/>
        <v>0.04</v>
      </c>
      <c r="J311" s="569">
        <f t="shared" si="149"/>
        <v>0.04</v>
      </c>
      <c r="K311" s="569">
        <f t="shared" si="149"/>
        <v>0.04</v>
      </c>
      <c r="L311" s="569">
        <f t="shared" si="149"/>
        <v>0.04</v>
      </c>
      <c r="M311" s="718">
        <f t="shared" si="149"/>
        <v>0.04</v>
      </c>
      <c r="N311" s="718">
        <f t="shared" si="149"/>
        <v>0.04</v>
      </c>
      <c r="O311" s="718">
        <f t="shared" si="149"/>
        <v>0.04</v>
      </c>
      <c r="P311" s="718">
        <f t="shared" si="149"/>
        <v>0.04</v>
      </c>
      <c r="Q311" s="718">
        <f t="shared" si="149"/>
        <v>0.04</v>
      </c>
      <c r="R311" s="718">
        <f t="shared" si="149"/>
        <v>0.04</v>
      </c>
      <c r="S311" s="718">
        <f t="shared" si="149"/>
        <v>0.04</v>
      </c>
      <c r="T311" s="718">
        <f t="shared" si="149"/>
        <v>0.04</v>
      </c>
      <c r="U311" s="718">
        <f t="shared" si="149"/>
        <v>0.04</v>
      </c>
      <c r="V311" s="718">
        <f t="shared" si="149"/>
        <v>0.04</v>
      </c>
      <c r="W311" s="718">
        <f t="shared" si="149"/>
        <v>0.04</v>
      </c>
      <c r="X311" s="718">
        <f t="shared" si="149"/>
        <v>0.04</v>
      </c>
      <c r="Y311" s="718">
        <f t="shared" si="149"/>
        <v>0.04</v>
      </c>
      <c r="Z311" s="718">
        <f t="shared" si="149"/>
        <v>0.04</v>
      </c>
      <c r="AA311" s="718">
        <f t="shared" si="149"/>
        <v>0.04</v>
      </c>
      <c r="AB311" s="718">
        <f t="shared" si="149"/>
        <v>0.04</v>
      </c>
      <c r="AC311" s="718">
        <f t="shared" si="149"/>
        <v>0.04</v>
      </c>
      <c r="AD311" s="718">
        <f t="shared" si="149"/>
        <v>0.04</v>
      </c>
      <c r="AE311" s="718">
        <f t="shared" si="149"/>
        <v>0.04</v>
      </c>
      <c r="AF311" s="718">
        <f t="shared" si="149"/>
        <v>0.04</v>
      </c>
      <c r="AG311" s="718">
        <f t="shared" si="149"/>
        <v>0.04</v>
      </c>
      <c r="AH311" s="718">
        <f t="shared" si="149"/>
        <v>0.04</v>
      </c>
      <c r="AI311" s="718">
        <f t="shared" si="149"/>
        <v>0.04</v>
      </c>
      <c r="AJ311" s="718">
        <f t="shared" si="149"/>
        <v>0.04</v>
      </c>
      <c r="AK311" s="718">
        <f t="shared" si="149"/>
        <v>0.04</v>
      </c>
      <c r="AL311" s="718"/>
      <c r="AM311" s="718"/>
      <c r="AN311" s="718"/>
      <c r="AO311" s="718"/>
      <c r="AP311" s="718"/>
      <c r="AQ311" s="718"/>
      <c r="AR311" s="718"/>
      <c r="AS311" s="718"/>
      <c r="AT311" s="718"/>
      <c r="AU311" s="718"/>
      <c r="AV311" s="718"/>
      <c r="AW311" s="718"/>
      <c r="AX311" s="718"/>
      <c r="AY311" s="718"/>
      <c r="AZ311" s="718"/>
      <c r="BA311" s="718"/>
      <c r="BB311" s="718"/>
      <c r="BC311" s="718"/>
      <c r="BD311" s="718"/>
      <c r="BE311" s="718"/>
      <c r="BF311" s="718"/>
      <c r="BG311" s="718"/>
      <c r="BH311" s="718"/>
      <c r="BI311" s="718"/>
      <c r="BJ311" s="718"/>
      <c r="BK311" s="718"/>
      <c r="BL311" s="718"/>
      <c r="BM311" s="718"/>
      <c r="BN311" s="718"/>
      <c r="BO311" s="718"/>
      <c r="BP311" s="718"/>
      <c r="BQ311" s="718"/>
      <c r="BR311" s="718"/>
      <c r="BS311" s="718"/>
      <c r="BT311" s="718"/>
      <c r="BU311" s="718"/>
      <c r="BV311" s="718"/>
      <c r="BW311" s="718"/>
      <c r="BX311" s="718"/>
      <c r="BY311" s="718"/>
      <c r="BZ311" s="718"/>
      <c r="CA311" s="718"/>
      <c r="CB311" s="718"/>
      <c r="CC311" s="718"/>
      <c r="CD311" s="718"/>
      <c r="CE311" s="718"/>
      <c r="CF311" s="718"/>
      <c r="CG311" s="718"/>
      <c r="CH311" s="718"/>
      <c r="CI311" s="719"/>
      <c r="CK311" s="1296"/>
    </row>
    <row r="312" spans="2:89" x14ac:dyDescent="0.2">
      <c r="B312" s="941" t="s">
        <v>698</v>
      </c>
      <c r="C312" s="942" t="s">
        <v>387</v>
      </c>
      <c r="D312" s="942" t="s">
        <v>699</v>
      </c>
      <c r="E312" s="943" t="s">
        <v>236</v>
      </c>
      <c r="F312" s="939">
        <v>2</v>
      </c>
      <c r="G312" s="569">
        <f>(G309)-(G310+G311)</f>
        <v>0</v>
      </c>
      <c r="H312" s="569">
        <f t="shared" ref="H312:AK312" si="150">(H309)-(H310+H311)</f>
        <v>0</v>
      </c>
      <c r="I312" s="569">
        <f t="shared" si="150"/>
        <v>13.273403156604637</v>
      </c>
      <c r="J312" s="569">
        <f t="shared" si="150"/>
        <v>13.279226643868082</v>
      </c>
      <c r="K312" s="569">
        <f t="shared" si="150"/>
        <v>13.269919751437154</v>
      </c>
      <c r="L312" s="569">
        <f>(L309)-(L310+L311)</f>
        <v>13.250582241931307</v>
      </c>
      <c r="M312" s="569">
        <f t="shared" si="150"/>
        <v>13.2223583008793</v>
      </c>
      <c r="N312" s="569">
        <f t="shared" si="150"/>
        <v>13.20481695582559</v>
      </c>
      <c r="O312" s="569">
        <f t="shared" si="150"/>
        <v>13.214848032154752</v>
      </c>
      <c r="P312" s="569">
        <f t="shared" si="150"/>
        <v>13.215255722538359</v>
      </c>
      <c r="Q312" s="569">
        <f t="shared" si="150"/>
        <v>13.214171505745718</v>
      </c>
      <c r="R312" s="569">
        <f t="shared" si="150"/>
        <v>13.21288654531798</v>
      </c>
      <c r="S312" s="569">
        <f t="shared" si="150"/>
        <v>13.211169330425871</v>
      </c>
      <c r="T312" s="569">
        <f t="shared" si="150"/>
        <v>13.209127190963786</v>
      </c>
      <c r="U312" s="569">
        <f t="shared" si="150"/>
        <v>13.206004109442441</v>
      </c>
      <c r="V312" s="569">
        <f t="shared" si="150"/>
        <v>13.20297320120242</v>
      </c>
      <c r="W312" s="569">
        <f t="shared" si="150"/>
        <v>13.200223831794856</v>
      </c>
      <c r="X312" s="569">
        <f t="shared" si="150"/>
        <v>13.197511570361126</v>
      </c>
      <c r="Y312" s="569">
        <f t="shared" si="150"/>
        <v>13.194859790752096</v>
      </c>
      <c r="Z312" s="569">
        <f t="shared" si="150"/>
        <v>13.192265324352297</v>
      </c>
      <c r="AA312" s="569">
        <f t="shared" si="150"/>
        <v>13.189433034373604</v>
      </c>
      <c r="AB312" s="569">
        <f t="shared" si="150"/>
        <v>13.186234979164794</v>
      </c>
      <c r="AC312" s="569">
        <f t="shared" si="150"/>
        <v>13.183367522548235</v>
      </c>
      <c r="AD312" s="569">
        <f t="shared" si="150"/>
        <v>13.180692140694065</v>
      </c>
      <c r="AE312" s="569">
        <f t="shared" si="150"/>
        <v>13.17941677073796</v>
      </c>
      <c r="AF312" s="569">
        <f t="shared" si="150"/>
        <v>13.180559933135889</v>
      </c>
      <c r="AG312" s="569">
        <f t="shared" si="150"/>
        <v>13.181643943004428</v>
      </c>
      <c r="AH312" s="569">
        <f t="shared" si="150"/>
        <v>13.182814463646469</v>
      </c>
      <c r="AI312" s="569">
        <f t="shared" si="150"/>
        <v>13.184040222319554</v>
      </c>
      <c r="AJ312" s="569">
        <f t="shared" si="150"/>
        <v>13.185365618220494</v>
      </c>
      <c r="AK312" s="569">
        <f t="shared" si="150"/>
        <v>13.186693520487635</v>
      </c>
      <c r="AL312" s="569"/>
      <c r="AM312" s="569"/>
      <c r="AN312" s="569"/>
      <c r="AO312" s="569"/>
      <c r="AP312" s="569"/>
      <c r="AQ312" s="569"/>
      <c r="AR312" s="569"/>
      <c r="AS312" s="569"/>
      <c r="AT312" s="569"/>
      <c r="AU312" s="569"/>
      <c r="AV312" s="569"/>
      <c r="AW312" s="569"/>
      <c r="AX312" s="569"/>
      <c r="AY312" s="569"/>
      <c r="AZ312" s="569"/>
      <c r="BA312" s="569"/>
      <c r="BB312" s="569"/>
      <c r="BC312" s="569"/>
      <c r="BD312" s="569"/>
      <c r="BE312" s="569"/>
      <c r="BF312" s="569"/>
      <c r="BG312" s="569"/>
      <c r="BH312" s="569"/>
      <c r="BI312" s="569"/>
      <c r="BJ312" s="569"/>
      <c r="BK312" s="569"/>
      <c r="BL312" s="569"/>
      <c r="BM312" s="569"/>
      <c r="BN312" s="569"/>
      <c r="BO312" s="569"/>
      <c r="BP312" s="569"/>
      <c r="BQ312" s="569"/>
      <c r="BR312" s="569"/>
      <c r="BS312" s="569"/>
      <c r="BT312" s="569"/>
      <c r="BU312" s="569"/>
      <c r="BV312" s="569"/>
      <c r="BW312" s="569"/>
      <c r="BX312" s="569"/>
      <c r="BY312" s="569"/>
      <c r="BZ312" s="569"/>
      <c r="CA312" s="569"/>
      <c r="CB312" s="569"/>
      <c r="CC312" s="569"/>
      <c r="CD312" s="569"/>
      <c r="CE312" s="569"/>
      <c r="CF312" s="569"/>
      <c r="CG312" s="569"/>
      <c r="CH312" s="569"/>
      <c r="CI312" s="719"/>
      <c r="CK312" s="1296"/>
    </row>
    <row r="313" spans="2:89" ht="29.1" customHeight="1" thickBot="1" x14ac:dyDescent="0.25">
      <c r="B313" s="944" t="s">
        <v>700</v>
      </c>
      <c r="C313" s="945" t="s">
        <v>390</v>
      </c>
      <c r="D313" s="945" t="s">
        <v>701</v>
      </c>
      <c r="E313" s="946" t="s">
        <v>236</v>
      </c>
      <c r="F313" s="947">
        <v>2</v>
      </c>
      <c r="G313" s="729">
        <f t="shared" ref="G313:AK313" si="151">G312+SUM(G305:G308)</f>
        <v>0</v>
      </c>
      <c r="H313" s="729">
        <f t="shared" si="151"/>
        <v>0</v>
      </c>
      <c r="I313" s="729">
        <f t="shared" si="151"/>
        <v>15.253403156604637</v>
      </c>
      <c r="J313" s="729">
        <f t="shared" si="151"/>
        <v>15.259226643868082</v>
      </c>
      <c r="K313" s="729">
        <f t="shared" si="151"/>
        <v>15.249919751437155</v>
      </c>
      <c r="L313" s="729">
        <f t="shared" si="151"/>
        <v>15.230582241931307</v>
      </c>
      <c r="M313" s="729">
        <f t="shared" si="151"/>
        <v>15.2023583008793</v>
      </c>
      <c r="N313" s="729">
        <f t="shared" si="151"/>
        <v>15.184816955825591</v>
      </c>
      <c r="O313" s="729">
        <f t="shared" si="151"/>
        <v>15.194848032154752</v>
      </c>
      <c r="P313" s="729">
        <f t="shared" si="151"/>
        <v>15.195255722538359</v>
      </c>
      <c r="Q313" s="729">
        <f t="shared" si="151"/>
        <v>15.194171505745718</v>
      </c>
      <c r="R313" s="729">
        <f t="shared" si="151"/>
        <v>15.192886545317981</v>
      </c>
      <c r="S313" s="729">
        <f t="shared" si="151"/>
        <v>15.191169330425872</v>
      </c>
      <c r="T313" s="729">
        <f t="shared" si="151"/>
        <v>15.39769130051293</v>
      </c>
      <c r="U313" s="729">
        <f t="shared" si="151"/>
        <v>15.333961135177606</v>
      </c>
      <c r="V313" s="729">
        <f t="shared" si="151"/>
        <v>15.248365377966286</v>
      </c>
      <c r="W313" s="729">
        <f t="shared" si="151"/>
        <v>15.185809016596336</v>
      </c>
      <c r="X313" s="729">
        <f t="shared" si="151"/>
        <v>15.177511570361126</v>
      </c>
      <c r="Y313" s="729">
        <f t="shared" si="151"/>
        <v>15.174859790752096</v>
      </c>
      <c r="Z313" s="729">
        <f t="shared" si="151"/>
        <v>15.172265324352297</v>
      </c>
      <c r="AA313" s="729">
        <f t="shared" si="151"/>
        <v>15.169433034373604</v>
      </c>
      <c r="AB313" s="729">
        <f t="shared" si="151"/>
        <v>15.166234979164795</v>
      </c>
      <c r="AC313" s="729">
        <f t="shared" si="151"/>
        <v>15.163367522548235</v>
      </c>
      <c r="AD313" s="729">
        <f t="shared" si="151"/>
        <v>15.160692140694065</v>
      </c>
      <c r="AE313" s="729">
        <f t="shared" si="151"/>
        <v>15.159416770737961</v>
      </c>
      <c r="AF313" s="729">
        <f t="shared" si="151"/>
        <v>15.16055993313589</v>
      </c>
      <c r="AG313" s="729">
        <f t="shared" si="151"/>
        <v>15.161643943004428</v>
      </c>
      <c r="AH313" s="729">
        <f t="shared" si="151"/>
        <v>15.16281446364647</v>
      </c>
      <c r="AI313" s="729">
        <f t="shared" si="151"/>
        <v>15.164040222319555</v>
      </c>
      <c r="AJ313" s="729">
        <f t="shared" si="151"/>
        <v>15.165365618220495</v>
      </c>
      <c r="AK313" s="729">
        <f t="shared" si="151"/>
        <v>15.166693520487636</v>
      </c>
      <c r="AL313" s="729"/>
      <c r="AM313" s="729"/>
      <c r="AN313" s="729"/>
      <c r="AO313" s="729"/>
      <c r="AP313" s="729"/>
      <c r="AQ313" s="729"/>
      <c r="AR313" s="729"/>
      <c r="AS313" s="729"/>
      <c r="AT313" s="729"/>
      <c r="AU313" s="729"/>
      <c r="AV313" s="729"/>
      <c r="AW313" s="729"/>
      <c r="AX313" s="729"/>
      <c r="AY313" s="729"/>
      <c r="AZ313" s="729"/>
      <c r="BA313" s="729"/>
      <c r="BB313" s="729"/>
      <c r="BC313" s="729"/>
      <c r="BD313" s="729"/>
      <c r="BE313" s="729"/>
      <c r="BF313" s="729"/>
      <c r="BG313" s="729"/>
      <c r="BH313" s="729"/>
      <c r="BI313" s="729"/>
      <c r="BJ313" s="729"/>
      <c r="BK313" s="729"/>
      <c r="BL313" s="729"/>
      <c r="BM313" s="729"/>
      <c r="BN313" s="729"/>
      <c r="BO313" s="729"/>
      <c r="BP313" s="729"/>
      <c r="BQ313" s="729"/>
      <c r="BR313" s="729"/>
      <c r="BS313" s="729"/>
      <c r="BT313" s="729"/>
      <c r="BU313" s="729"/>
      <c r="BV313" s="729"/>
      <c r="BW313" s="729"/>
      <c r="BX313" s="729"/>
      <c r="BY313" s="729"/>
      <c r="BZ313" s="729"/>
      <c r="CA313" s="729"/>
      <c r="CB313" s="729"/>
      <c r="CC313" s="729"/>
      <c r="CD313" s="729"/>
      <c r="CE313" s="729"/>
      <c r="CF313" s="729"/>
      <c r="CG313" s="729"/>
      <c r="CH313" s="729"/>
      <c r="CI313" s="729"/>
      <c r="CK313" s="1296"/>
    </row>
    <row r="314" spans="2:89" x14ac:dyDescent="0.2">
      <c r="B314" s="948" t="s">
        <v>702</v>
      </c>
      <c r="C314" s="949" t="s">
        <v>489</v>
      </c>
      <c r="D314" s="950" t="s">
        <v>703</v>
      </c>
      <c r="E314" s="951" t="s">
        <v>236</v>
      </c>
      <c r="F314" s="952">
        <v>2</v>
      </c>
      <c r="G314" s="735">
        <f t="shared" ref="G314:AK314" si="152">G224+G288</f>
        <v>0</v>
      </c>
      <c r="H314" s="735">
        <f t="shared" si="152"/>
        <v>0</v>
      </c>
      <c r="I314" s="735">
        <f t="shared" si="152"/>
        <v>4.534532345562277</v>
      </c>
      <c r="J314" s="735">
        <f t="shared" si="152"/>
        <v>5.1827854572439227</v>
      </c>
      <c r="K314" s="735">
        <f t="shared" si="152"/>
        <v>5.3733761616142139</v>
      </c>
      <c r="L314" s="735">
        <f t="shared" si="152"/>
        <v>5.57280419962711</v>
      </c>
      <c r="M314" s="736">
        <f t="shared" si="152"/>
        <v>5.7552169972592351</v>
      </c>
      <c r="N314" s="736">
        <f t="shared" si="152"/>
        <v>5.7938888996861149</v>
      </c>
      <c r="O314" s="736">
        <f t="shared" si="152"/>
        <v>5.7862095300278762</v>
      </c>
      <c r="P314" s="736">
        <f t="shared" si="152"/>
        <v>5.7785295207901592</v>
      </c>
      <c r="Q314" s="736">
        <f t="shared" si="152"/>
        <v>5.7708488719729596</v>
      </c>
      <c r="R314" s="736">
        <f t="shared" si="152"/>
        <v>5.7544316900273484</v>
      </c>
      <c r="S314" s="736">
        <f t="shared" si="152"/>
        <v>5.7380138685022555</v>
      </c>
      <c r="T314" s="736">
        <f t="shared" si="152"/>
        <v>9.645938239025341</v>
      </c>
      <c r="U314" s="736">
        <f t="shared" si="152"/>
        <v>9.6393735063060522</v>
      </c>
      <c r="V314" s="736">
        <f t="shared" si="152"/>
        <v>9.6326537898696145</v>
      </c>
      <c r="W314" s="736">
        <f t="shared" si="152"/>
        <v>9.6269197027230984</v>
      </c>
      <c r="X314" s="736">
        <f t="shared" si="152"/>
        <v>9.6210591794012252</v>
      </c>
      <c r="Y314" s="736">
        <f t="shared" si="152"/>
        <v>9.6150339379488194</v>
      </c>
      <c r="Z314" s="736">
        <f t="shared" si="152"/>
        <v>9.6240439595557827</v>
      </c>
      <c r="AA314" s="736">
        <f t="shared" si="152"/>
        <v>9.6329362045889422</v>
      </c>
      <c r="AB314" s="736">
        <f t="shared" si="152"/>
        <v>9.6417115281390942</v>
      </c>
      <c r="AC314" s="736">
        <f t="shared" si="152"/>
        <v>9.6503642083805339</v>
      </c>
      <c r="AD314" s="736">
        <f t="shared" si="152"/>
        <v>9.6588840077877158</v>
      </c>
      <c r="AE314" s="736">
        <f t="shared" si="152"/>
        <v>9.6672797850620302</v>
      </c>
      <c r="AF314" s="736">
        <f t="shared" si="152"/>
        <v>9.6755462321867025</v>
      </c>
      <c r="AG314" s="736">
        <f t="shared" si="152"/>
        <v>9.683695007172707</v>
      </c>
      <c r="AH314" s="736">
        <f t="shared" si="152"/>
        <v>9.6917268855002039</v>
      </c>
      <c r="AI314" s="736">
        <f t="shared" si="152"/>
        <v>9.6996477594749191</v>
      </c>
      <c r="AJ314" s="736">
        <f t="shared" si="152"/>
        <v>9.7074758483629999</v>
      </c>
      <c r="AK314" s="736">
        <f t="shared" si="152"/>
        <v>9.715216036777738</v>
      </c>
      <c r="AL314" s="736"/>
      <c r="AM314" s="736"/>
      <c r="AN314" s="736"/>
      <c r="AO314" s="736"/>
      <c r="AP314" s="736"/>
      <c r="AQ314" s="736"/>
      <c r="AR314" s="736"/>
      <c r="AS314" s="736"/>
      <c r="AT314" s="736"/>
      <c r="AU314" s="736"/>
      <c r="AV314" s="736"/>
      <c r="AW314" s="736"/>
      <c r="AX314" s="736"/>
      <c r="AY314" s="736"/>
      <c r="AZ314" s="736"/>
      <c r="BA314" s="736"/>
      <c r="BB314" s="736"/>
      <c r="BC314" s="736"/>
      <c r="BD314" s="736"/>
      <c r="BE314" s="736"/>
      <c r="BF314" s="736"/>
      <c r="BG314" s="736"/>
      <c r="BH314" s="736"/>
      <c r="BI314" s="736"/>
      <c r="BJ314" s="736"/>
      <c r="BK314" s="736"/>
      <c r="BL314" s="736"/>
      <c r="BM314" s="736"/>
      <c r="BN314" s="736"/>
      <c r="BO314" s="736"/>
      <c r="BP314" s="736"/>
      <c r="BQ314" s="736"/>
      <c r="BR314" s="736"/>
      <c r="BS314" s="736"/>
      <c r="BT314" s="736"/>
      <c r="BU314" s="736"/>
      <c r="BV314" s="736"/>
      <c r="BW314" s="736"/>
      <c r="BX314" s="736"/>
      <c r="BY314" s="736"/>
      <c r="BZ314" s="736"/>
      <c r="CA314" s="736"/>
      <c r="CB314" s="736"/>
      <c r="CC314" s="736"/>
      <c r="CD314" s="736"/>
      <c r="CE314" s="736"/>
      <c r="CF314" s="736"/>
      <c r="CG314" s="736"/>
      <c r="CH314" s="736"/>
      <c r="CI314" s="737"/>
      <c r="CK314" s="1296"/>
    </row>
    <row r="315" spans="2:89" x14ac:dyDescent="0.2">
      <c r="B315" s="953" t="s">
        <v>704</v>
      </c>
      <c r="C315" s="954" t="s">
        <v>705</v>
      </c>
      <c r="D315" s="955" t="s">
        <v>86</v>
      </c>
      <c r="E315" s="956" t="s">
        <v>236</v>
      </c>
      <c r="F315" s="957">
        <v>2</v>
      </c>
      <c r="G315" s="540"/>
      <c r="H315" s="1008"/>
      <c r="I315" s="1008">
        <v>0</v>
      </c>
      <c r="J315" s="1008">
        <v>0</v>
      </c>
      <c r="K315" s="1008">
        <v>0</v>
      </c>
      <c r="L315" s="1008">
        <v>0</v>
      </c>
      <c r="M315" s="1344">
        <v>0</v>
      </c>
      <c r="N315" s="1344">
        <v>0</v>
      </c>
      <c r="O315" s="1344">
        <v>0</v>
      </c>
      <c r="P315" s="1344">
        <v>0</v>
      </c>
      <c r="Q315" s="1344">
        <v>0</v>
      </c>
      <c r="R315" s="1344">
        <v>0</v>
      </c>
      <c r="S315" s="1344">
        <v>0</v>
      </c>
      <c r="T315" s="1344">
        <v>0</v>
      </c>
      <c r="U315" s="1344">
        <v>0</v>
      </c>
      <c r="V315" s="1344">
        <v>0</v>
      </c>
      <c r="W315" s="1344">
        <v>0</v>
      </c>
      <c r="X315" s="1344">
        <v>0</v>
      </c>
      <c r="Y315" s="1344">
        <v>0</v>
      </c>
      <c r="Z315" s="1344">
        <v>0</v>
      </c>
      <c r="AA315" s="1344">
        <v>0</v>
      </c>
      <c r="AB315" s="1344">
        <v>0</v>
      </c>
      <c r="AC315" s="1344">
        <v>0</v>
      </c>
      <c r="AD315" s="1344">
        <v>0</v>
      </c>
      <c r="AE315" s="1344">
        <v>0</v>
      </c>
      <c r="AF315" s="1344">
        <v>0</v>
      </c>
      <c r="AG315" s="1344">
        <v>0</v>
      </c>
      <c r="AH315" s="1344">
        <v>0</v>
      </c>
      <c r="AI315" s="1344">
        <v>0</v>
      </c>
      <c r="AJ315" s="1344">
        <v>0</v>
      </c>
      <c r="AK315" s="1344">
        <v>0</v>
      </c>
      <c r="AL315" s="1344"/>
      <c r="AM315" s="1344"/>
      <c r="AN315" s="1344"/>
      <c r="AO315" s="1344"/>
      <c r="AP315" s="1344"/>
      <c r="AQ315" s="1344"/>
      <c r="AR315" s="1344"/>
      <c r="AS315" s="1344"/>
      <c r="AT315" s="1344"/>
      <c r="AU315" s="1344"/>
      <c r="AV315" s="1344"/>
      <c r="AW315" s="1344"/>
      <c r="AX315" s="1344"/>
      <c r="AY315" s="1344"/>
      <c r="AZ315" s="1344"/>
      <c r="BA315" s="1344"/>
      <c r="BB315" s="1344"/>
      <c r="BC315" s="1344"/>
      <c r="BD315" s="1344"/>
      <c r="BE315" s="1344"/>
      <c r="BF315" s="1344"/>
      <c r="BG315" s="1344"/>
      <c r="BH315" s="1344"/>
      <c r="BI315" s="1344"/>
      <c r="BJ315" s="1344"/>
      <c r="BK315" s="1344"/>
      <c r="BL315" s="1344"/>
      <c r="BM315" s="1344"/>
      <c r="BN315" s="1344"/>
      <c r="BO315" s="1344"/>
      <c r="BP315" s="1344"/>
      <c r="BQ315" s="1344"/>
      <c r="BR315" s="1344"/>
      <c r="BS315" s="1344"/>
      <c r="BT315" s="1344"/>
      <c r="BU315" s="1344"/>
      <c r="BV315" s="1344"/>
      <c r="BW315" s="1344"/>
      <c r="BX315" s="1344"/>
      <c r="BY315" s="1344"/>
      <c r="BZ315" s="1344"/>
      <c r="CA315" s="1344"/>
      <c r="CB315" s="1344"/>
      <c r="CC315" s="1344"/>
      <c r="CD315" s="1344"/>
      <c r="CE315" s="1344"/>
      <c r="CF315" s="1344"/>
      <c r="CG315" s="1344"/>
      <c r="CH315" s="1344"/>
      <c r="CI315" s="1344"/>
      <c r="CK315" s="1296"/>
    </row>
    <row r="316" spans="2:89" x14ac:dyDescent="0.2">
      <c r="B316" s="953" t="s">
        <v>706</v>
      </c>
      <c r="C316" s="954" t="s">
        <v>493</v>
      </c>
      <c r="D316" s="955" t="s">
        <v>707</v>
      </c>
      <c r="E316" s="956" t="s">
        <v>236</v>
      </c>
      <c r="F316" s="957">
        <v>2</v>
      </c>
      <c r="G316" s="569">
        <f t="shared" ref="G316:AK318" si="153">G226+G289</f>
        <v>0</v>
      </c>
      <c r="H316" s="569">
        <f t="shared" si="153"/>
        <v>0</v>
      </c>
      <c r="I316" s="569">
        <f t="shared" si="153"/>
        <v>7.6214072997018408E-3</v>
      </c>
      <c r="J316" s="569">
        <f t="shared" si="153"/>
        <v>7.4667416056178864E-3</v>
      </c>
      <c r="K316" s="569">
        <f t="shared" si="153"/>
        <v>7.4191229022997828E-3</v>
      </c>
      <c r="L316" s="569">
        <f t="shared" si="153"/>
        <v>4.5931537549502915E-3</v>
      </c>
      <c r="M316" s="718">
        <f t="shared" si="153"/>
        <v>2.5347587202742337E-3</v>
      </c>
      <c r="N316" s="718">
        <f t="shared" si="153"/>
        <v>2.4854990461592365E-3</v>
      </c>
      <c r="O316" s="718">
        <f t="shared" si="153"/>
        <v>2.4362818926751155E-3</v>
      </c>
      <c r="P316" s="718">
        <f t="shared" si="153"/>
        <v>2.38710725982187E-3</v>
      </c>
      <c r="Q316" s="718">
        <f t="shared" si="153"/>
        <v>2.337975147599502E-3</v>
      </c>
      <c r="R316" s="718">
        <f t="shared" si="153"/>
        <v>2.2888855560080101E-3</v>
      </c>
      <c r="S316" s="718">
        <f t="shared" si="153"/>
        <v>2.2398384850473938E-3</v>
      </c>
      <c r="T316" s="718">
        <f t="shared" si="153"/>
        <v>2.1908339347176541E-3</v>
      </c>
      <c r="U316" s="718">
        <f t="shared" si="153"/>
        <v>2.1418719050187909E-3</v>
      </c>
      <c r="V316" s="718">
        <f t="shared" si="153"/>
        <v>2.1409230605536791E-3</v>
      </c>
      <c r="W316" s="718">
        <f t="shared" si="153"/>
        <v>2.1399742160885678E-3</v>
      </c>
      <c r="X316" s="718">
        <f t="shared" si="153"/>
        <v>2.1390253716234561E-3</v>
      </c>
      <c r="Y316" s="718">
        <f t="shared" si="153"/>
        <v>2.1380765271583444E-3</v>
      </c>
      <c r="Z316" s="718">
        <f t="shared" si="153"/>
        <v>2.1371276826932331E-3</v>
      </c>
      <c r="AA316" s="718">
        <f t="shared" si="153"/>
        <v>2.1361788382281213E-3</v>
      </c>
      <c r="AB316" s="718">
        <f t="shared" si="153"/>
        <v>2.1352299937630096E-3</v>
      </c>
      <c r="AC316" s="718">
        <f t="shared" si="153"/>
        <v>2.1342811492978979E-3</v>
      </c>
      <c r="AD316" s="718">
        <f t="shared" si="153"/>
        <v>2.1333323048327866E-3</v>
      </c>
      <c r="AE316" s="718">
        <f t="shared" si="153"/>
        <v>2.1323834603676748E-3</v>
      </c>
      <c r="AF316" s="718">
        <f t="shared" si="153"/>
        <v>2.1314346159025631E-3</v>
      </c>
      <c r="AG316" s="718">
        <f t="shared" si="153"/>
        <v>2.1304857714374518E-3</v>
      </c>
      <c r="AH316" s="718">
        <f t="shared" si="153"/>
        <v>2.12953692697234E-3</v>
      </c>
      <c r="AI316" s="718">
        <f t="shared" si="153"/>
        <v>2.1285880825072283E-3</v>
      </c>
      <c r="AJ316" s="718">
        <f t="shared" si="153"/>
        <v>2.1276392380421166E-3</v>
      </c>
      <c r="AK316" s="718">
        <f t="shared" si="153"/>
        <v>2.1266903935770053E-3</v>
      </c>
      <c r="AL316" s="718"/>
      <c r="AM316" s="718"/>
      <c r="AN316" s="718"/>
      <c r="AO316" s="718"/>
      <c r="AP316" s="718"/>
      <c r="AQ316" s="718"/>
      <c r="AR316" s="718"/>
      <c r="AS316" s="718"/>
      <c r="AT316" s="718"/>
      <c r="AU316" s="718"/>
      <c r="AV316" s="718"/>
      <c r="AW316" s="718"/>
      <c r="AX316" s="718"/>
      <c r="AY316" s="718"/>
      <c r="AZ316" s="718"/>
      <c r="BA316" s="718"/>
      <c r="BB316" s="718"/>
      <c r="BC316" s="718"/>
      <c r="BD316" s="718"/>
      <c r="BE316" s="718"/>
      <c r="BF316" s="718"/>
      <c r="BG316" s="718"/>
      <c r="BH316" s="718"/>
      <c r="BI316" s="718"/>
      <c r="BJ316" s="718"/>
      <c r="BK316" s="718"/>
      <c r="BL316" s="718"/>
      <c r="BM316" s="718"/>
      <c r="BN316" s="718"/>
      <c r="BO316" s="718"/>
      <c r="BP316" s="718"/>
      <c r="BQ316" s="718"/>
      <c r="BR316" s="718"/>
      <c r="BS316" s="718"/>
      <c r="BT316" s="718"/>
      <c r="BU316" s="718"/>
      <c r="BV316" s="718"/>
      <c r="BW316" s="718"/>
      <c r="BX316" s="718"/>
      <c r="BY316" s="718"/>
      <c r="BZ316" s="718"/>
      <c r="CA316" s="718"/>
      <c r="CB316" s="718"/>
      <c r="CC316" s="718"/>
      <c r="CD316" s="718"/>
      <c r="CE316" s="718"/>
      <c r="CF316" s="718"/>
      <c r="CG316" s="718"/>
      <c r="CH316" s="718"/>
      <c r="CI316" s="719"/>
      <c r="CK316" s="1296"/>
    </row>
    <row r="317" spans="2:89" x14ac:dyDescent="0.2">
      <c r="B317" s="953" t="s">
        <v>708</v>
      </c>
      <c r="C317" s="954" t="s">
        <v>495</v>
      </c>
      <c r="D317" s="955" t="s">
        <v>709</v>
      </c>
      <c r="E317" s="956" t="s">
        <v>236</v>
      </c>
      <c r="F317" s="957">
        <v>2</v>
      </c>
      <c r="G317" s="569">
        <f t="shared" si="153"/>
        <v>0</v>
      </c>
      <c r="H317" s="569">
        <f t="shared" si="153"/>
        <v>0</v>
      </c>
      <c r="I317" s="569">
        <f t="shared" si="153"/>
        <v>2.501022090018739</v>
      </c>
      <c r="J317" s="569">
        <f t="shared" si="153"/>
        <v>2.5046489456011041</v>
      </c>
      <c r="K317" s="569">
        <f t="shared" si="153"/>
        <v>2.463848916263105</v>
      </c>
      <c r="L317" s="569">
        <f t="shared" si="153"/>
        <v>2.4449931642913008</v>
      </c>
      <c r="M317" s="718">
        <f t="shared" si="153"/>
        <v>3.0529139588718275</v>
      </c>
      <c r="N317" s="718">
        <f t="shared" si="153"/>
        <v>3.667923869728464</v>
      </c>
      <c r="O317" s="718">
        <f t="shared" si="153"/>
        <v>3.7720366994530887</v>
      </c>
      <c r="P317" s="718">
        <f t="shared" si="153"/>
        <v>3.7801696310974506</v>
      </c>
      <c r="Q317" s="718">
        <f t="shared" si="153"/>
        <v>3.7732352361427388</v>
      </c>
      <c r="R317" s="718">
        <f t="shared" si="153"/>
        <v>3.7636554688387283</v>
      </c>
      <c r="S317" s="718">
        <f t="shared" si="153"/>
        <v>3.7491347041263339</v>
      </c>
      <c r="T317" s="718">
        <f t="shared" si="153"/>
        <v>3.7312669192887546</v>
      </c>
      <c r="U317" s="718">
        <f t="shared" si="153"/>
        <v>3.7028803193831483</v>
      </c>
      <c r="V317" s="718">
        <f t="shared" si="153"/>
        <v>3.6753267045797244</v>
      </c>
      <c r="W317" s="718">
        <f t="shared" si="153"/>
        <v>3.6503740764812016</v>
      </c>
      <c r="X317" s="718">
        <f t="shared" si="153"/>
        <v>3.6257023744429846</v>
      </c>
      <c r="Y317" s="718">
        <f t="shared" si="153"/>
        <v>3.6015544776552724</v>
      </c>
      <c r="Z317" s="718">
        <f t="shared" si="153"/>
        <v>3.57788446934366</v>
      </c>
      <c r="AA317" s="718">
        <f t="shared" si="153"/>
        <v>3.5517876298509115</v>
      </c>
      <c r="AB317" s="718">
        <f t="shared" si="153"/>
        <v>3.5224221823096853</v>
      </c>
      <c r="AC317" s="718">
        <f t="shared" si="153"/>
        <v>3.4966841635642054</v>
      </c>
      <c r="AD317" s="718">
        <f t="shared" si="153"/>
        <v>3.4727073463649574</v>
      </c>
      <c r="AE317" s="718">
        <f t="shared" si="153"/>
        <v>3.4621946916559336</v>
      </c>
      <c r="AF317" s="718">
        <f t="shared" si="153"/>
        <v>3.475087391391154</v>
      </c>
      <c r="AG317" s="718">
        <f t="shared" si="153"/>
        <v>3.4873528877380107</v>
      </c>
      <c r="AH317" s="718">
        <f t="shared" si="153"/>
        <v>3.5004125585401349</v>
      </c>
      <c r="AI317" s="718">
        <f t="shared" si="153"/>
        <v>3.5139865556504204</v>
      </c>
      <c r="AJ317" s="718">
        <f t="shared" si="153"/>
        <v>3.5285101090225615</v>
      </c>
      <c r="AK317" s="718">
        <f t="shared" si="153"/>
        <v>3.5430432615603169</v>
      </c>
      <c r="AL317" s="718"/>
      <c r="AM317" s="718"/>
      <c r="AN317" s="718"/>
      <c r="AO317" s="718"/>
      <c r="AP317" s="718"/>
      <c r="AQ317" s="718"/>
      <c r="AR317" s="718"/>
      <c r="AS317" s="718"/>
      <c r="AT317" s="718"/>
      <c r="AU317" s="718"/>
      <c r="AV317" s="718"/>
      <c r="AW317" s="718"/>
      <c r="AX317" s="718"/>
      <c r="AY317" s="718"/>
      <c r="AZ317" s="718"/>
      <c r="BA317" s="718"/>
      <c r="BB317" s="718"/>
      <c r="BC317" s="718"/>
      <c r="BD317" s="718"/>
      <c r="BE317" s="718"/>
      <c r="BF317" s="718"/>
      <c r="BG317" s="718"/>
      <c r="BH317" s="718"/>
      <c r="BI317" s="718"/>
      <c r="BJ317" s="718"/>
      <c r="BK317" s="718"/>
      <c r="BL317" s="718"/>
      <c r="BM317" s="718"/>
      <c r="BN317" s="718"/>
      <c r="BO317" s="718"/>
      <c r="BP317" s="718"/>
      <c r="BQ317" s="718"/>
      <c r="BR317" s="718"/>
      <c r="BS317" s="718"/>
      <c r="BT317" s="718"/>
      <c r="BU317" s="718"/>
      <c r="BV317" s="718"/>
      <c r="BW317" s="718"/>
      <c r="BX317" s="718"/>
      <c r="BY317" s="718"/>
      <c r="BZ317" s="718"/>
      <c r="CA317" s="718"/>
      <c r="CB317" s="718"/>
      <c r="CC317" s="718"/>
      <c r="CD317" s="718"/>
      <c r="CE317" s="718"/>
      <c r="CF317" s="718"/>
      <c r="CG317" s="718"/>
      <c r="CH317" s="718"/>
      <c r="CI317" s="719"/>
      <c r="CK317" s="1296"/>
    </row>
    <row r="318" spans="2:89" x14ac:dyDescent="0.2">
      <c r="B318" s="953" t="s">
        <v>710</v>
      </c>
      <c r="C318" s="954" t="s">
        <v>497</v>
      </c>
      <c r="D318" s="955" t="s">
        <v>711</v>
      </c>
      <c r="E318" s="956" t="s">
        <v>236</v>
      </c>
      <c r="F318" s="957">
        <v>2</v>
      </c>
      <c r="G318" s="569">
        <f t="shared" si="153"/>
        <v>0</v>
      </c>
      <c r="H318" s="569">
        <f t="shared" si="153"/>
        <v>0</v>
      </c>
      <c r="I318" s="569">
        <f t="shared" si="153"/>
        <v>2.0704229789342876</v>
      </c>
      <c r="J318" s="569">
        <f t="shared" si="153"/>
        <v>2.1234930003992134</v>
      </c>
      <c r="K318" s="569">
        <f t="shared" si="153"/>
        <v>2.0662030969697125</v>
      </c>
      <c r="L318" s="569">
        <f t="shared" si="153"/>
        <v>1.8822459110816185</v>
      </c>
      <c r="M318" s="718">
        <f t="shared" si="153"/>
        <v>0.95401841127723286</v>
      </c>
      <c r="N318" s="718">
        <f t="shared" si="153"/>
        <v>0.13016926593247446</v>
      </c>
      <c r="O318" s="718">
        <f t="shared" si="153"/>
        <v>0.12592798824028573</v>
      </c>
      <c r="P318" s="718">
        <f t="shared" si="153"/>
        <v>0.12197568742641551</v>
      </c>
      <c r="Q318" s="718">
        <f t="shared" si="153"/>
        <v>0.11809003283671471</v>
      </c>
      <c r="R318" s="718">
        <f t="shared" si="153"/>
        <v>0.11475607587172942</v>
      </c>
      <c r="S318" s="718">
        <f t="shared" si="153"/>
        <v>0.11195525423372277</v>
      </c>
      <c r="T318" s="718">
        <f t="shared" si="153"/>
        <v>0.10921757565702439</v>
      </c>
      <c r="U318" s="718">
        <f t="shared" si="153"/>
        <v>0.10623412462785242</v>
      </c>
      <c r="V318" s="718">
        <f t="shared" si="153"/>
        <v>0.10331795925282306</v>
      </c>
      <c r="W318" s="718">
        <f t="shared" si="153"/>
        <v>0.10058204685240546</v>
      </c>
      <c r="X318" s="718">
        <f t="shared" si="153"/>
        <v>9.7907570570141544E-2</v>
      </c>
      <c r="Y318" s="718">
        <f t="shared" si="153"/>
        <v>9.5283998440010453E-2</v>
      </c>
      <c r="Z318" s="718">
        <f t="shared" si="153"/>
        <v>9.2740344204399028E-2</v>
      </c>
      <c r="AA318" s="718">
        <f t="shared" si="153"/>
        <v>9.0244436511866866E-2</v>
      </c>
      <c r="AB318" s="718">
        <f t="shared" si="153"/>
        <v>8.7354048805167839E-2</v>
      </c>
      <c r="AC318" s="718">
        <f t="shared" si="153"/>
        <v>8.4089167351012906E-2</v>
      </c>
      <c r="AD318" s="718">
        <f t="shared" si="153"/>
        <v>8.0956517285899698E-2</v>
      </c>
      <c r="AE318" s="718">
        <f t="shared" si="153"/>
        <v>7.8256462937163374E-2</v>
      </c>
      <c r="AF318" s="718">
        <f t="shared" si="153"/>
        <v>7.6168929711571964E-2</v>
      </c>
      <c r="AG318" s="718">
        <f t="shared" si="153"/>
        <v>7.410807311619183E-2</v>
      </c>
      <c r="AH318" s="718">
        <f t="shared" si="153"/>
        <v>7.2099826475911399E-2</v>
      </c>
      <c r="AI318" s="718">
        <f t="shared" si="153"/>
        <v>7.0115689248659407E-2</v>
      </c>
      <c r="AJ318" s="718">
        <f t="shared" si="153"/>
        <v>6.816363222647559E-2</v>
      </c>
      <c r="AK318" s="718">
        <f t="shared" si="153"/>
        <v>6.6217670580437149E-2</v>
      </c>
      <c r="AL318" s="718"/>
      <c r="AM318" s="718"/>
      <c r="AN318" s="718"/>
      <c r="AO318" s="718"/>
      <c r="AP318" s="718"/>
      <c r="AQ318" s="718"/>
      <c r="AR318" s="718"/>
      <c r="AS318" s="718"/>
      <c r="AT318" s="718"/>
      <c r="AU318" s="718"/>
      <c r="AV318" s="718"/>
      <c r="AW318" s="718"/>
      <c r="AX318" s="718"/>
      <c r="AY318" s="718"/>
      <c r="AZ318" s="718"/>
      <c r="BA318" s="718"/>
      <c r="BB318" s="718"/>
      <c r="BC318" s="718"/>
      <c r="BD318" s="718"/>
      <c r="BE318" s="718"/>
      <c r="BF318" s="718"/>
      <c r="BG318" s="718"/>
      <c r="BH318" s="718"/>
      <c r="BI318" s="718"/>
      <c r="BJ318" s="718"/>
      <c r="BK318" s="718"/>
      <c r="BL318" s="718"/>
      <c r="BM318" s="718"/>
      <c r="BN318" s="718"/>
      <c r="BO318" s="718"/>
      <c r="BP318" s="718"/>
      <c r="BQ318" s="718"/>
      <c r="BR318" s="718"/>
      <c r="BS318" s="718"/>
      <c r="BT318" s="718"/>
      <c r="BU318" s="718"/>
      <c r="BV318" s="718"/>
      <c r="BW318" s="718"/>
      <c r="BX318" s="718"/>
      <c r="BY318" s="718"/>
      <c r="BZ318" s="718"/>
      <c r="CA318" s="718"/>
      <c r="CB318" s="718"/>
      <c r="CC318" s="718"/>
      <c r="CD318" s="718"/>
      <c r="CE318" s="718"/>
      <c r="CF318" s="718"/>
      <c r="CG318" s="718"/>
      <c r="CH318" s="718"/>
      <c r="CI318" s="719"/>
      <c r="CK318" s="1296"/>
    </row>
    <row r="319" spans="2:89" ht="28.5" x14ac:dyDescent="0.2">
      <c r="B319" s="953" t="s">
        <v>712</v>
      </c>
      <c r="C319" s="954" t="s">
        <v>499</v>
      </c>
      <c r="D319" s="955" t="s">
        <v>498</v>
      </c>
      <c r="E319" s="956" t="s">
        <v>375</v>
      </c>
      <c r="F319" s="957">
        <v>1</v>
      </c>
      <c r="G319" s="743">
        <f t="shared" ref="G319:AK319" si="154">G229</f>
        <v>0</v>
      </c>
      <c r="H319" s="743">
        <f t="shared" si="154"/>
        <v>0</v>
      </c>
      <c r="I319" s="743">
        <f t="shared" si="154"/>
        <v>0</v>
      </c>
      <c r="J319" s="743">
        <f t="shared" si="154"/>
        <v>2.3218014859016046E-3</v>
      </c>
      <c r="K319" s="743">
        <f t="shared" si="154"/>
        <v>2.4801139267148866E-3</v>
      </c>
      <c r="L319" s="743">
        <f t="shared" si="154"/>
        <v>2.67765338789527E-3</v>
      </c>
      <c r="M319" s="744">
        <f t="shared" si="154"/>
        <v>2.8339392826652941E-3</v>
      </c>
      <c r="N319" s="744">
        <f t="shared" si="154"/>
        <v>3.0307909206343537E-3</v>
      </c>
      <c r="O319" s="744">
        <f t="shared" si="154"/>
        <v>3.2667964952382096E-3</v>
      </c>
      <c r="P319" s="744">
        <f t="shared" si="154"/>
        <v>3.4685556518950639E-3</v>
      </c>
      <c r="Q319" s="744">
        <f t="shared" si="154"/>
        <v>3.6644951372699105E-3</v>
      </c>
      <c r="R319" s="744">
        <f t="shared" si="154"/>
        <v>3.8640463612798753E-3</v>
      </c>
      <c r="S319" s="744">
        <f t="shared" si="154"/>
        <v>4.0947448627004215E-3</v>
      </c>
      <c r="T319" s="744">
        <f t="shared" si="154"/>
        <v>4.294130358237583E-3</v>
      </c>
      <c r="U319" s="744">
        <f t="shared" si="154"/>
        <v>4.4928701861689123E-3</v>
      </c>
      <c r="V319" s="744">
        <f t="shared" si="154"/>
        <v>4.725533385823019E-3</v>
      </c>
      <c r="W319" s="744">
        <f t="shared" si="154"/>
        <v>4.9254812673094504E-3</v>
      </c>
      <c r="X319" s="744">
        <f t="shared" si="154"/>
        <v>5.1259419094117978E-3</v>
      </c>
      <c r="Y319" s="744">
        <f t="shared" si="154"/>
        <v>5.3617273587246777E-3</v>
      </c>
      <c r="Z319" s="744">
        <f t="shared" si="154"/>
        <v>5.5637597632817561E-3</v>
      </c>
      <c r="AA319" s="744">
        <f t="shared" si="154"/>
        <v>5.7628325762543514E-3</v>
      </c>
      <c r="AB319" s="744">
        <f t="shared" si="154"/>
        <v>5.991332502987958E-3</v>
      </c>
      <c r="AC319" s="744">
        <f t="shared" si="154"/>
        <v>6.1840358556006815E-3</v>
      </c>
      <c r="AD319" s="744">
        <f t="shared" si="154"/>
        <v>6.3942064276232132E-3</v>
      </c>
      <c r="AE319" s="744">
        <f t="shared" si="154"/>
        <v>6.6050924648251349E-3</v>
      </c>
      <c r="AF319" s="744">
        <f t="shared" si="154"/>
        <v>6.8164794504428318E-3</v>
      </c>
      <c r="AG319" s="744">
        <f t="shared" si="154"/>
        <v>7.0271972179938441E-3</v>
      </c>
      <c r="AH319" s="744">
        <f t="shared" si="154"/>
        <v>7.2390959080211167E-3</v>
      </c>
      <c r="AI319" s="744">
        <f t="shared" si="154"/>
        <v>7.4520564158318588E-3</v>
      </c>
      <c r="AJ319" s="744">
        <f t="shared" si="154"/>
        <v>7.6666027865901739E-3</v>
      </c>
      <c r="AK319" s="744">
        <f t="shared" si="154"/>
        <v>7.8816781826200263E-3</v>
      </c>
      <c r="AL319" s="744"/>
      <c r="AM319" s="744"/>
      <c r="AN319" s="744"/>
      <c r="AO319" s="744"/>
      <c r="AP319" s="744"/>
      <c r="AQ319" s="744"/>
      <c r="AR319" s="744"/>
      <c r="AS319" s="744"/>
      <c r="AT319" s="744"/>
      <c r="AU319" s="744"/>
      <c r="AV319" s="744"/>
      <c r="AW319" s="744"/>
      <c r="AX319" s="744"/>
      <c r="AY319" s="744"/>
      <c r="AZ319" s="744"/>
      <c r="BA319" s="744"/>
      <c r="BB319" s="744"/>
      <c r="BC319" s="744"/>
      <c r="BD319" s="744"/>
      <c r="BE319" s="744"/>
      <c r="BF319" s="744"/>
      <c r="BG319" s="744"/>
      <c r="BH319" s="744"/>
      <c r="BI319" s="744"/>
      <c r="BJ319" s="744"/>
      <c r="BK319" s="744"/>
      <c r="BL319" s="744"/>
      <c r="BM319" s="744"/>
      <c r="BN319" s="744"/>
      <c r="BO319" s="744"/>
      <c r="BP319" s="744"/>
      <c r="BQ319" s="744"/>
      <c r="BR319" s="744"/>
      <c r="BS319" s="744"/>
      <c r="BT319" s="744"/>
      <c r="BU319" s="744"/>
      <c r="BV319" s="744"/>
      <c r="BW319" s="744"/>
      <c r="BX319" s="744"/>
      <c r="BY319" s="744"/>
      <c r="BZ319" s="744"/>
      <c r="CA319" s="744"/>
      <c r="CB319" s="744"/>
      <c r="CC319" s="744"/>
      <c r="CD319" s="744"/>
      <c r="CE319" s="744"/>
      <c r="CF319" s="744"/>
      <c r="CG319" s="744"/>
      <c r="CH319" s="744"/>
      <c r="CI319" s="745"/>
      <c r="CK319" s="1296"/>
    </row>
    <row r="320" spans="2:89" ht="28.5" x14ac:dyDescent="0.2">
      <c r="B320" s="953" t="s">
        <v>713</v>
      </c>
      <c r="C320" s="954" t="s">
        <v>501</v>
      </c>
      <c r="D320" s="955" t="s">
        <v>714</v>
      </c>
      <c r="E320" s="956" t="s">
        <v>236</v>
      </c>
      <c r="F320" s="957">
        <v>2</v>
      </c>
      <c r="G320" s="569">
        <f>G319*(G314+SUM(G316:G318)-SUM(G326:G329))</f>
        <v>0</v>
      </c>
      <c r="H320" s="569">
        <f t="shared" ref="H320" si="155">H319*(SUM(H314:H318)-SUM(H326:H329))</f>
        <v>0</v>
      </c>
      <c r="I320" s="569">
        <f t="shared" ref="I320" si="156">I319*(SUM(I314:I318)-SUM(I326:I329))</f>
        <v>0</v>
      </c>
      <c r="J320" s="569">
        <f t="shared" ref="J320:AK320" si="157">J319*(SUM(J314:J318)-SUM(J326:J329))</f>
        <v>2.2548665350723484E-2</v>
      </c>
      <c r="K320" s="569">
        <f t="shared" si="157"/>
        <v>2.4325902061091774E-2</v>
      </c>
      <c r="L320" s="569">
        <f t="shared" si="157"/>
        <v>2.6261375929039366E-2</v>
      </c>
      <c r="M320" s="569">
        <f t="shared" si="157"/>
        <v>2.7428788545369155E-2</v>
      </c>
      <c r="N320" s="569">
        <f t="shared" si="157"/>
        <v>2.8844938080062121E-2</v>
      </c>
      <c r="O320" s="569">
        <f t="shared" si="157"/>
        <v>3.1390841193202887E-2</v>
      </c>
      <c r="P320" s="569">
        <f t="shared" si="157"/>
        <v>3.331643157292679E-2</v>
      </c>
      <c r="Q320" s="569">
        <f t="shared" si="157"/>
        <v>3.5130361641187796E-2</v>
      </c>
      <c r="R320" s="569">
        <f t="shared" si="157"/>
        <v>3.6930189673311263E-2</v>
      </c>
      <c r="S320" s="569">
        <f t="shared" si="157"/>
        <v>3.899761194971401E-2</v>
      </c>
      <c r="T320" s="569">
        <f t="shared" si="157"/>
        <v>5.7590180009552724E-2</v>
      </c>
      <c r="U320" s="569">
        <f t="shared" si="157"/>
        <v>6.0086276265555093E-2</v>
      </c>
      <c r="V320" s="569">
        <f t="shared" si="157"/>
        <v>6.3023625873649458E-2</v>
      </c>
      <c r="W320" s="569">
        <f t="shared" si="157"/>
        <v>6.5527367314051385E-2</v>
      </c>
      <c r="X320" s="569">
        <f t="shared" si="157"/>
        <v>6.8025944332910704E-2</v>
      </c>
      <c r="Y320" s="569">
        <f t="shared" si="157"/>
        <v>7.0981344735462762E-2</v>
      </c>
      <c r="Z320" s="569">
        <f t="shared" si="157"/>
        <v>7.3562561266520179E-2</v>
      </c>
      <c r="AA320" s="569">
        <f t="shared" si="157"/>
        <v>7.6083640791213505E-2</v>
      </c>
      <c r="AB320" s="569">
        <f t="shared" si="157"/>
        <v>7.8962465845471244E-2</v>
      </c>
      <c r="AC320" s="569">
        <f t="shared" si="157"/>
        <v>8.1379291293316461E-2</v>
      </c>
      <c r="AD320" s="569">
        <f t="shared" si="157"/>
        <v>8.4029352337900043E-2</v>
      </c>
      <c r="AE320" s="569">
        <f t="shared" si="157"/>
        <v>8.6772302337825638E-2</v>
      </c>
      <c r="AF320" s="569">
        <f t="shared" si="157"/>
        <v>8.9682982053017474E-2</v>
      </c>
      <c r="AG320" s="569">
        <f t="shared" si="157"/>
        <v>9.2588192318176582E-2</v>
      </c>
      <c r="AH320" s="569">
        <f t="shared" si="157"/>
        <v>9.5522343747295388E-2</v>
      </c>
      <c r="AI320" s="569">
        <f t="shared" si="157"/>
        <v>9.8482127608974346E-2</v>
      </c>
      <c r="AJ320" s="569">
        <f t="shared" si="157"/>
        <v>0.10147834590963141</v>
      </c>
      <c r="AK320" s="569">
        <f t="shared" si="157"/>
        <v>0.10449009515324915</v>
      </c>
      <c r="AL320" s="569"/>
      <c r="AM320" s="569"/>
      <c r="AN320" s="569"/>
      <c r="AO320" s="569"/>
      <c r="AP320" s="569"/>
      <c r="AQ320" s="569"/>
      <c r="AR320" s="569"/>
      <c r="AS320" s="569"/>
      <c r="AT320" s="569"/>
      <c r="AU320" s="569"/>
      <c r="AV320" s="569"/>
      <c r="AW320" s="569"/>
      <c r="AX320" s="569"/>
      <c r="AY320" s="569"/>
      <c r="AZ320" s="569"/>
      <c r="BA320" s="569"/>
      <c r="BB320" s="569"/>
      <c r="BC320" s="569"/>
      <c r="BD320" s="569"/>
      <c r="BE320" s="569"/>
      <c r="BF320" s="569"/>
      <c r="BG320" s="569"/>
      <c r="BH320" s="569"/>
      <c r="BI320" s="569"/>
      <c r="BJ320" s="569"/>
      <c r="BK320" s="569"/>
      <c r="BL320" s="569"/>
      <c r="BM320" s="569"/>
      <c r="BN320" s="569"/>
      <c r="BO320" s="569"/>
      <c r="BP320" s="569"/>
      <c r="BQ320" s="569"/>
      <c r="BR320" s="569"/>
      <c r="BS320" s="569"/>
      <c r="BT320" s="569"/>
      <c r="BU320" s="569"/>
      <c r="BV320" s="569"/>
      <c r="BW320" s="569"/>
      <c r="BX320" s="569"/>
      <c r="BY320" s="569"/>
      <c r="BZ320" s="569"/>
      <c r="CA320" s="569"/>
      <c r="CB320" s="569"/>
      <c r="CC320" s="569"/>
      <c r="CD320" s="569"/>
      <c r="CE320" s="569"/>
      <c r="CF320" s="569"/>
      <c r="CG320" s="569"/>
      <c r="CH320" s="569"/>
      <c r="CI320" s="569"/>
      <c r="CK320" s="1296"/>
    </row>
    <row r="321" spans="2:89" ht="28.5" x14ac:dyDescent="0.2">
      <c r="B321" s="953" t="s">
        <v>715</v>
      </c>
      <c r="C321" s="958" t="s">
        <v>305</v>
      </c>
      <c r="D321" s="959" t="s">
        <v>716</v>
      </c>
      <c r="E321" s="960" t="s">
        <v>239</v>
      </c>
      <c r="F321" s="961">
        <v>1</v>
      </c>
      <c r="G321" s="750" t="e">
        <f>(((G317-G328))*1000000)/((G350)*1000)</f>
        <v>#DIV/0!</v>
      </c>
      <c r="H321" s="750" t="e">
        <f t="shared" ref="H321:AK322" si="158">(((H317-H328))*1000000)/((H350)*1000)</f>
        <v>#DIV/0!</v>
      </c>
      <c r="I321" s="750">
        <f t="shared" si="158"/>
        <v>145.24430962051824</v>
      </c>
      <c r="J321" s="750">
        <f t="shared" si="158"/>
        <v>140.92100094720766</v>
      </c>
      <c r="K321" s="750">
        <f t="shared" si="158"/>
        <v>137.56637792766566</v>
      </c>
      <c r="L321" s="750">
        <f t="shared" si="158"/>
        <v>131.58907315865</v>
      </c>
      <c r="M321" s="751">
        <f t="shared" si="158"/>
        <v>131.24396431354498</v>
      </c>
      <c r="N321" s="751">
        <f t="shared" si="158"/>
        <v>131.38688249885317</v>
      </c>
      <c r="O321" s="751">
        <f t="shared" si="158"/>
        <v>132.91709482994966</v>
      </c>
      <c r="P321" s="751">
        <f t="shared" si="158"/>
        <v>131.31574774620171</v>
      </c>
      <c r="Q321" s="751">
        <f t="shared" si="158"/>
        <v>129.69883222053102</v>
      </c>
      <c r="R321" s="751">
        <f t="shared" si="158"/>
        <v>128.27903343905209</v>
      </c>
      <c r="S321" s="751">
        <f t="shared" si="158"/>
        <v>126.98289300986062</v>
      </c>
      <c r="T321" s="751">
        <f t="shared" si="158"/>
        <v>125.67319583725046</v>
      </c>
      <c r="U321" s="751">
        <f t="shared" si="158"/>
        <v>124.02059153200324</v>
      </c>
      <c r="V321" s="751">
        <f t="shared" si="158"/>
        <v>122.39633909460757</v>
      </c>
      <c r="W321" s="751">
        <f t="shared" si="158"/>
        <v>120.85591218598532</v>
      </c>
      <c r="X321" s="751">
        <f t="shared" si="158"/>
        <v>119.36287629674608</v>
      </c>
      <c r="Y321" s="751">
        <f t="shared" si="158"/>
        <v>117.88362468175342</v>
      </c>
      <c r="Z321" s="751">
        <f t="shared" si="158"/>
        <v>116.44596465463454</v>
      </c>
      <c r="AA321" s="751">
        <f t="shared" si="158"/>
        <v>115.00981457813668</v>
      </c>
      <c r="AB321" s="751">
        <f t="shared" si="158"/>
        <v>113.50349156885417</v>
      </c>
      <c r="AC321" s="751">
        <f t="shared" si="158"/>
        <v>112.11823458236121</v>
      </c>
      <c r="AD321" s="751">
        <f t="shared" si="158"/>
        <v>110.79504517251056</v>
      </c>
      <c r="AE321" s="751">
        <f t="shared" si="158"/>
        <v>109.92217658521074</v>
      </c>
      <c r="AF321" s="751">
        <f t="shared" si="158"/>
        <v>109.81240289527457</v>
      </c>
      <c r="AG321" s="751">
        <f t="shared" si="158"/>
        <v>109.69987043079702</v>
      </c>
      <c r="AH321" s="751">
        <f t="shared" si="158"/>
        <v>109.6226841776956</v>
      </c>
      <c r="AI321" s="751">
        <f t="shared" si="158"/>
        <v>109.53138652813389</v>
      </c>
      <c r="AJ321" s="751">
        <f t="shared" si="158"/>
        <v>109.44018453567561</v>
      </c>
      <c r="AK321" s="751">
        <f t="shared" si="158"/>
        <v>109.32622121399588</v>
      </c>
      <c r="AL321" s="751"/>
      <c r="AM321" s="751"/>
      <c r="AN321" s="751"/>
      <c r="AO321" s="751"/>
      <c r="AP321" s="751"/>
      <c r="AQ321" s="751"/>
      <c r="AR321" s="751"/>
      <c r="AS321" s="751"/>
      <c r="AT321" s="751"/>
      <c r="AU321" s="751"/>
      <c r="AV321" s="751"/>
      <c r="AW321" s="751"/>
      <c r="AX321" s="751"/>
      <c r="AY321" s="751"/>
      <c r="AZ321" s="751"/>
      <c r="BA321" s="751"/>
      <c r="BB321" s="751"/>
      <c r="BC321" s="751"/>
      <c r="BD321" s="751"/>
      <c r="BE321" s="751"/>
      <c r="BF321" s="751"/>
      <c r="BG321" s="751"/>
      <c r="BH321" s="751"/>
      <c r="BI321" s="751"/>
      <c r="BJ321" s="751"/>
      <c r="BK321" s="751"/>
      <c r="BL321" s="751"/>
      <c r="BM321" s="751"/>
      <c r="BN321" s="751"/>
      <c r="BO321" s="751"/>
      <c r="BP321" s="751"/>
      <c r="BQ321" s="751"/>
      <c r="BR321" s="751"/>
      <c r="BS321" s="751"/>
      <c r="BT321" s="751"/>
      <c r="BU321" s="751"/>
      <c r="BV321" s="751"/>
      <c r="BW321" s="751"/>
      <c r="BX321" s="751"/>
      <c r="BY321" s="751"/>
      <c r="BZ321" s="751"/>
      <c r="CA321" s="751"/>
      <c r="CB321" s="751"/>
      <c r="CC321" s="751"/>
      <c r="CD321" s="751"/>
      <c r="CE321" s="751"/>
      <c r="CF321" s="751"/>
      <c r="CG321" s="751"/>
      <c r="CH321" s="751"/>
      <c r="CI321" s="752"/>
      <c r="CK321" s="1296"/>
    </row>
    <row r="322" spans="2:89" ht="28.5" x14ac:dyDescent="0.2">
      <c r="B322" s="953" t="s">
        <v>717</v>
      </c>
      <c r="C322" s="958" t="s">
        <v>324</v>
      </c>
      <c r="D322" s="959" t="s">
        <v>718</v>
      </c>
      <c r="E322" s="960" t="s">
        <v>239</v>
      </c>
      <c r="F322" s="961">
        <v>1</v>
      </c>
      <c r="G322" s="750" t="e">
        <f>(((G318-G329))*1000000)/((G351)*1000)</f>
        <v>#DIV/0!</v>
      </c>
      <c r="H322" s="750" t="e">
        <f t="shared" si="158"/>
        <v>#DIV/0!</v>
      </c>
      <c r="I322" s="750">
        <f t="shared" si="158"/>
        <v>204.25505357797536</v>
      </c>
      <c r="J322" s="750">
        <f t="shared" si="158"/>
        <v>212.52789115649864</v>
      </c>
      <c r="K322" s="750">
        <f t="shared" si="158"/>
        <v>209.77938008867349</v>
      </c>
      <c r="L322" s="750">
        <f t="shared" si="158"/>
        <v>206.57755459589458</v>
      </c>
      <c r="M322" s="751">
        <f t="shared" si="158"/>
        <v>202.70369756459633</v>
      </c>
      <c r="N322" s="751">
        <f t="shared" si="158"/>
        <v>200.85470689463989</v>
      </c>
      <c r="O322" s="751">
        <f t="shared" si="158"/>
        <v>198.54669041572606</v>
      </c>
      <c r="P322" s="751">
        <f t="shared" si="158"/>
        <v>196.23998232675342</v>
      </c>
      <c r="Q322" s="751">
        <f t="shared" si="158"/>
        <v>193.91322370825802</v>
      </c>
      <c r="R322" s="751">
        <f t="shared" si="158"/>
        <v>191.86414858001476</v>
      </c>
      <c r="S322" s="751">
        <f t="shared" si="158"/>
        <v>190.08583488756116</v>
      </c>
      <c r="T322" s="751">
        <f t="shared" si="158"/>
        <v>188.31328106392314</v>
      </c>
      <c r="U322" s="751">
        <f t="shared" si="158"/>
        <v>186.00226088843698</v>
      </c>
      <c r="V322" s="751">
        <f t="shared" si="158"/>
        <v>183.69209745399948</v>
      </c>
      <c r="W322" s="751">
        <f t="shared" si="158"/>
        <v>181.59119751339972</v>
      </c>
      <c r="X322" s="751">
        <f t="shared" si="158"/>
        <v>179.49127980692521</v>
      </c>
      <c r="Y322" s="751">
        <f t="shared" si="158"/>
        <v>177.37495550491903</v>
      </c>
      <c r="Z322" s="751">
        <f t="shared" si="158"/>
        <v>175.29869403622456</v>
      </c>
      <c r="AA322" s="751">
        <f t="shared" si="158"/>
        <v>173.20462920170962</v>
      </c>
      <c r="AB322" s="751">
        <f t="shared" si="158"/>
        <v>171.12297785368875</v>
      </c>
      <c r="AC322" s="751">
        <f t="shared" si="158"/>
        <v>169.04564949008844</v>
      </c>
      <c r="AD322" s="751">
        <f t="shared" si="158"/>
        <v>167.05854445217298</v>
      </c>
      <c r="AE322" s="751">
        <f t="shared" si="158"/>
        <v>165.81674837495962</v>
      </c>
      <c r="AF322" s="751">
        <f t="shared" si="158"/>
        <v>165.78113016817198</v>
      </c>
      <c r="AG322" s="751">
        <f t="shared" si="158"/>
        <v>165.73041252653988</v>
      </c>
      <c r="AH322" s="751">
        <f t="shared" si="158"/>
        <v>165.72598789481955</v>
      </c>
      <c r="AI322" s="751">
        <f t="shared" si="158"/>
        <v>165.70606643668799</v>
      </c>
      <c r="AJ322" s="751">
        <f t="shared" si="158"/>
        <v>165.69079624582318</v>
      </c>
      <c r="AK322" s="751">
        <f t="shared" si="158"/>
        <v>165.61701865803582</v>
      </c>
      <c r="AL322" s="751"/>
      <c r="AM322" s="751"/>
      <c r="AN322" s="751"/>
      <c r="AO322" s="751"/>
      <c r="AP322" s="751"/>
      <c r="AQ322" s="751"/>
      <c r="AR322" s="751"/>
      <c r="AS322" s="751"/>
      <c r="AT322" s="751"/>
      <c r="AU322" s="751"/>
      <c r="AV322" s="751"/>
      <c r="AW322" s="751"/>
      <c r="AX322" s="751"/>
      <c r="AY322" s="751"/>
      <c r="AZ322" s="751"/>
      <c r="BA322" s="751"/>
      <c r="BB322" s="751"/>
      <c r="BC322" s="751"/>
      <c r="BD322" s="751"/>
      <c r="BE322" s="751"/>
      <c r="BF322" s="751"/>
      <c r="BG322" s="751"/>
      <c r="BH322" s="751"/>
      <c r="BI322" s="751"/>
      <c r="BJ322" s="751"/>
      <c r="BK322" s="751"/>
      <c r="BL322" s="751"/>
      <c r="BM322" s="751"/>
      <c r="BN322" s="751"/>
      <c r="BO322" s="751"/>
      <c r="BP322" s="751"/>
      <c r="BQ322" s="751"/>
      <c r="BR322" s="751"/>
      <c r="BS322" s="751"/>
      <c r="BT322" s="751"/>
      <c r="BU322" s="751"/>
      <c r="BV322" s="751"/>
      <c r="BW322" s="751"/>
      <c r="BX322" s="751"/>
      <c r="BY322" s="751"/>
      <c r="BZ322" s="751"/>
      <c r="CA322" s="751"/>
      <c r="CB322" s="751"/>
      <c r="CC322" s="751"/>
      <c r="CD322" s="751"/>
      <c r="CE322" s="751"/>
      <c r="CF322" s="751"/>
      <c r="CG322" s="751"/>
      <c r="CH322" s="751"/>
      <c r="CI322" s="752"/>
      <c r="CK322" s="1296"/>
    </row>
    <row r="323" spans="2:89" ht="28.5" x14ac:dyDescent="0.2">
      <c r="B323" s="953" t="s">
        <v>719</v>
      </c>
      <c r="C323" s="958" t="s">
        <v>238</v>
      </c>
      <c r="D323" s="959" t="s">
        <v>720</v>
      </c>
      <c r="E323" s="960" t="s">
        <v>239</v>
      </c>
      <c r="F323" s="961">
        <v>1</v>
      </c>
      <c r="G323" s="750" t="e">
        <f>(((G317-G328)+(G318-G329))*1000000)/((G350+G351)*1000)</f>
        <v>#DIV/0!</v>
      </c>
      <c r="H323" s="750" t="e">
        <f t="shared" ref="H323:AK323" si="159">(((H317-H328)+(H318-H329))*1000000)/((H350+H351)*1000)</f>
        <v>#DIV/0!</v>
      </c>
      <c r="I323" s="750">
        <f t="shared" si="159"/>
        <v>167.05800726461092</v>
      </c>
      <c r="J323" s="750">
        <f t="shared" si="159"/>
        <v>166.65479275533497</v>
      </c>
      <c r="K323" s="750">
        <f t="shared" si="159"/>
        <v>163.15970566434251</v>
      </c>
      <c r="L323" s="750">
        <f t="shared" si="159"/>
        <v>156.26130649708676</v>
      </c>
      <c r="M323" s="751">
        <f t="shared" si="159"/>
        <v>143.27830984338112</v>
      </c>
      <c r="N323" s="751">
        <f t="shared" si="159"/>
        <v>132.97629285831951</v>
      </c>
      <c r="O323" s="751">
        <f t="shared" si="159"/>
        <v>134.36347096599565</v>
      </c>
      <c r="P323" s="751">
        <f t="shared" si="159"/>
        <v>132.69929440842517</v>
      </c>
      <c r="Q323" s="751">
        <f t="shared" si="159"/>
        <v>131.02654614950288</v>
      </c>
      <c r="R323" s="751">
        <f t="shared" si="159"/>
        <v>129.56016383925433</v>
      </c>
      <c r="S323" s="751">
        <f t="shared" si="159"/>
        <v>128.22756481886492</v>
      </c>
      <c r="T323" s="751">
        <f t="shared" si="159"/>
        <v>126.88358169201976</v>
      </c>
      <c r="U323" s="751">
        <f t="shared" si="159"/>
        <v>125.19391724044701</v>
      </c>
      <c r="V323" s="751">
        <f t="shared" si="159"/>
        <v>123.53297018117415</v>
      </c>
      <c r="W323" s="751">
        <f t="shared" si="159"/>
        <v>121.95897323377045</v>
      </c>
      <c r="X323" s="751">
        <f t="shared" si="159"/>
        <v>120.43265628700449</v>
      </c>
      <c r="Y323" s="751">
        <f t="shared" si="159"/>
        <v>118.92035393823834</v>
      </c>
      <c r="Z323" s="751">
        <f t="shared" si="159"/>
        <v>117.45063974375383</v>
      </c>
      <c r="AA323" s="751">
        <f t="shared" si="159"/>
        <v>115.9835709475675</v>
      </c>
      <c r="AB323" s="751">
        <f t="shared" si="159"/>
        <v>114.4439023545068</v>
      </c>
      <c r="AC323" s="751">
        <f t="shared" si="159"/>
        <v>113.01959526448199</v>
      </c>
      <c r="AD323" s="751">
        <f t="shared" si="159"/>
        <v>111.65900153492963</v>
      </c>
      <c r="AE323" s="751">
        <f t="shared" si="159"/>
        <v>110.75435341354412</v>
      </c>
      <c r="AF323" s="751">
        <f t="shared" si="159"/>
        <v>110.62011426728529</v>
      </c>
      <c r="AG323" s="751">
        <f t="shared" si="159"/>
        <v>110.48355080303222</v>
      </c>
      <c r="AH323" s="751">
        <f t="shared" si="159"/>
        <v>110.38302328406631</v>
      </c>
      <c r="AI323" s="751">
        <f t="shared" si="159"/>
        <v>110.26861211128109</v>
      </c>
      <c r="AJ323" s="751">
        <f t="shared" si="159"/>
        <v>110.15461298312043</v>
      </c>
      <c r="AK323" s="751">
        <f t="shared" si="159"/>
        <v>110.01771780163782</v>
      </c>
      <c r="AL323" s="751"/>
      <c r="AM323" s="751"/>
      <c r="AN323" s="751"/>
      <c r="AO323" s="751"/>
      <c r="AP323" s="751"/>
      <c r="AQ323" s="751"/>
      <c r="AR323" s="751"/>
      <c r="AS323" s="751"/>
      <c r="AT323" s="751"/>
      <c r="AU323" s="751"/>
      <c r="AV323" s="751"/>
      <c r="AW323" s="751"/>
      <c r="AX323" s="751"/>
      <c r="AY323" s="751"/>
      <c r="AZ323" s="751"/>
      <c r="BA323" s="751"/>
      <c r="BB323" s="751"/>
      <c r="BC323" s="751"/>
      <c r="BD323" s="751"/>
      <c r="BE323" s="751"/>
      <c r="BF323" s="751"/>
      <c r="BG323" s="751"/>
      <c r="BH323" s="751"/>
      <c r="BI323" s="751"/>
      <c r="BJ323" s="751"/>
      <c r="BK323" s="751"/>
      <c r="BL323" s="751"/>
      <c r="BM323" s="751"/>
      <c r="BN323" s="751"/>
      <c r="BO323" s="751"/>
      <c r="BP323" s="751"/>
      <c r="BQ323" s="751"/>
      <c r="BR323" s="751"/>
      <c r="BS323" s="751"/>
      <c r="BT323" s="751"/>
      <c r="BU323" s="751"/>
      <c r="BV323" s="751"/>
      <c r="BW323" s="751"/>
      <c r="BX323" s="751"/>
      <c r="BY323" s="751"/>
      <c r="BZ323" s="751"/>
      <c r="CA323" s="751"/>
      <c r="CB323" s="751"/>
      <c r="CC323" s="751"/>
      <c r="CD323" s="751"/>
      <c r="CE323" s="751"/>
      <c r="CF323" s="751"/>
      <c r="CG323" s="751"/>
      <c r="CH323" s="751"/>
      <c r="CI323" s="752"/>
      <c r="CK323" s="1296"/>
    </row>
    <row r="324" spans="2:89" x14ac:dyDescent="0.2">
      <c r="B324" s="953" t="s">
        <v>721</v>
      </c>
      <c r="C324" s="958" t="s">
        <v>510</v>
      </c>
      <c r="D324" s="959" t="s">
        <v>722</v>
      </c>
      <c r="E324" s="960" t="s">
        <v>236</v>
      </c>
      <c r="F324" s="961">
        <v>2</v>
      </c>
      <c r="G324" s="569">
        <f t="shared" ref="G324:AK327" si="160">G234+G292</f>
        <v>0</v>
      </c>
      <c r="H324" s="569">
        <f t="shared" si="160"/>
        <v>0</v>
      </c>
      <c r="I324" s="569">
        <f t="shared" si="160"/>
        <v>0.12522906351860397</v>
      </c>
      <c r="J324" s="569">
        <f t="shared" si="160"/>
        <v>0.1245522987868988</v>
      </c>
      <c r="K324" s="569">
        <f t="shared" si="160"/>
        <v>0.1245263084426773</v>
      </c>
      <c r="L324" s="569">
        <f t="shared" si="160"/>
        <v>0.12452459964281626</v>
      </c>
      <c r="M324" s="718">
        <f t="shared" si="160"/>
        <v>0.12438819586099592</v>
      </c>
      <c r="N324" s="718">
        <f t="shared" si="160"/>
        <v>0.12408144069516208</v>
      </c>
      <c r="O324" s="718">
        <f t="shared" si="160"/>
        <v>0.12396869364166695</v>
      </c>
      <c r="P324" s="718">
        <f t="shared" si="160"/>
        <v>0.12386664688082405</v>
      </c>
      <c r="Q324" s="718">
        <f t="shared" si="160"/>
        <v>0.12378006669418888</v>
      </c>
      <c r="R324" s="718">
        <f t="shared" si="160"/>
        <v>0.12370355057456653</v>
      </c>
      <c r="S324" s="718">
        <f t="shared" si="160"/>
        <v>0.12363879862827151</v>
      </c>
      <c r="T324" s="718">
        <f t="shared" si="160"/>
        <v>0.12357853810764791</v>
      </c>
      <c r="U324" s="718">
        <f t="shared" si="160"/>
        <v>0.12351939301687323</v>
      </c>
      <c r="V324" s="718">
        <f t="shared" si="160"/>
        <v>0.12346056562203823</v>
      </c>
      <c r="W324" s="718">
        <f t="shared" si="160"/>
        <v>0.12340263812022172</v>
      </c>
      <c r="X324" s="718">
        <f t="shared" si="160"/>
        <v>0.12334643304223804</v>
      </c>
      <c r="Y324" s="718">
        <f t="shared" si="160"/>
        <v>0.12329195172528805</v>
      </c>
      <c r="Z324" s="718">
        <f t="shared" si="160"/>
        <v>0.12323785551433501</v>
      </c>
      <c r="AA324" s="718">
        <f t="shared" si="160"/>
        <v>0.12318438863572233</v>
      </c>
      <c r="AB324" s="718">
        <f t="shared" si="160"/>
        <v>0.12313145656447876</v>
      </c>
      <c r="AC324" s="718">
        <f t="shared" si="160"/>
        <v>0.12307904103217056</v>
      </c>
      <c r="AD324" s="718">
        <f t="shared" si="160"/>
        <v>0.1230275616832858</v>
      </c>
      <c r="AE324" s="718">
        <f t="shared" si="160"/>
        <v>0.12297716965043727</v>
      </c>
      <c r="AF324" s="718">
        <f t="shared" si="160"/>
        <v>0.12292774380770415</v>
      </c>
      <c r="AG324" s="718">
        <f t="shared" si="160"/>
        <v>0.12287890956345109</v>
      </c>
      <c r="AH324" s="718">
        <f t="shared" si="160"/>
        <v>0.12283068460813443</v>
      </c>
      <c r="AI324" s="718">
        <f t="shared" si="160"/>
        <v>0.12278273743095197</v>
      </c>
      <c r="AJ324" s="718">
        <f t="shared" si="160"/>
        <v>0.12273483913711759</v>
      </c>
      <c r="AK324" s="718">
        <f t="shared" si="160"/>
        <v>0.12268706293914629</v>
      </c>
      <c r="AL324" s="718"/>
      <c r="AM324" s="718"/>
      <c r="AN324" s="718"/>
      <c r="AO324" s="718"/>
      <c r="AP324" s="718"/>
      <c r="AQ324" s="718"/>
      <c r="AR324" s="718"/>
      <c r="AS324" s="718"/>
      <c r="AT324" s="718"/>
      <c r="AU324" s="718"/>
      <c r="AV324" s="718"/>
      <c r="AW324" s="718"/>
      <c r="AX324" s="718"/>
      <c r="AY324" s="718"/>
      <c r="AZ324" s="718"/>
      <c r="BA324" s="718"/>
      <c r="BB324" s="718"/>
      <c r="BC324" s="718"/>
      <c r="BD324" s="718"/>
      <c r="BE324" s="718"/>
      <c r="BF324" s="718"/>
      <c r="BG324" s="718"/>
      <c r="BH324" s="718"/>
      <c r="BI324" s="718"/>
      <c r="BJ324" s="718"/>
      <c r="BK324" s="718"/>
      <c r="BL324" s="718"/>
      <c r="BM324" s="718"/>
      <c r="BN324" s="718"/>
      <c r="BO324" s="718"/>
      <c r="BP324" s="718"/>
      <c r="BQ324" s="718"/>
      <c r="BR324" s="718"/>
      <c r="BS324" s="718"/>
      <c r="BT324" s="718"/>
      <c r="BU324" s="718"/>
      <c r="BV324" s="718"/>
      <c r="BW324" s="718"/>
      <c r="BX324" s="718"/>
      <c r="BY324" s="718"/>
      <c r="BZ324" s="718"/>
      <c r="CA324" s="718"/>
      <c r="CB324" s="718"/>
      <c r="CC324" s="718"/>
      <c r="CD324" s="718"/>
      <c r="CE324" s="718"/>
      <c r="CF324" s="718"/>
      <c r="CG324" s="718"/>
      <c r="CH324" s="718"/>
      <c r="CI324" s="719"/>
      <c r="CK324" s="1296"/>
    </row>
    <row r="325" spans="2:89" ht="15" thickBot="1" x14ac:dyDescent="0.25">
      <c r="B325" s="962" t="s">
        <v>723</v>
      </c>
      <c r="C325" s="963" t="s">
        <v>512</v>
      </c>
      <c r="D325" s="964" t="s">
        <v>724</v>
      </c>
      <c r="E325" s="965" t="s">
        <v>236</v>
      </c>
      <c r="F325" s="966">
        <v>2</v>
      </c>
      <c r="G325" s="729">
        <f t="shared" si="160"/>
        <v>0</v>
      </c>
      <c r="H325" s="729">
        <f t="shared" si="160"/>
        <v>0</v>
      </c>
      <c r="I325" s="729">
        <f t="shared" si="160"/>
        <v>7.4262683889618764E-2</v>
      </c>
      <c r="J325" s="729">
        <f t="shared" si="160"/>
        <v>7.4262683889618764E-2</v>
      </c>
      <c r="K325" s="729">
        <f t="shared" si="160"/>
        <v>7.4262683889618764E-2</v>
      </c>
      <c r="L325" s="729">
        <f t="shared" si="160"/>
        <v>7.4262683889618764E-2</v>
      </c>
      <c r="M325" s="758">
        <f t="shared" si="160"/>
        <v>7.4262683889618764E-2</v>
      </c>
      <c r="N325" s="758">
        <f t="shared" si="160"/>
        <v>7.4262683889618764E-2</v>
      </c>
      <c r="O325" s="758">
        <f t="shared" si="160"/>
        <v>7.4262683889618764E-2</v>
      </c>
      <c r="P325" s="758">
        <f t="shared" si="160"/>
        <v>7.4262683889618764E-2</v>
      </c>
      <c r="Q325" s="758">
        <f t="shared" si="160"/>
        <v>7.4262683889618764E-2</v>
      </c>
      <c r="R325" s="758">
        <f t="shared" si="160"/>
        <v>7.4262683889618764E-2</v>
      </c>
      <c r="S325" s="758">
        <f t="shared" si="160"/>
        <v>7.4262683889618764E-2</v>
      </c>
      <c r="T325" s="758">
        <f t="shared" si="160"/>
        <v>7.4262683889618764E-2</v>
      </c>
      <c r="U325" s="758">
        <f t="shared" si="160"/>
        <v>7.4262683889618764E-2</v>
      </c>
      <c r="V325" s="758">
        <f t="shared" si="160"/>
        <v>7.4262683889618764E-2</v>
      </c>
      <c r="W325" s="758">
        <f t="shared" si="160"/>
        <v>7.4262683889618764E-2</v>
      </c>
      <c r="X325" s="758">
        <f t="shared" si="160"/>
        <v>7.4262683889618764E-2</v>
      </c>
      <c r="Y325" s="758">
        <f t="shared" si="160"/>
        <v>7.4262683889618764E-2</v>
      </c>
      <c r="Z325" s="758">
        <f t="shared" si="160"/>
        <v>7.4262683889618764E-2</v>
      </c>
      <c r="AA325" s="758">
        <f t="shared" si="160"/>
        <v>7.4262683889618764E-2</v>
      </c>
      <c r="AB325" s="758">
        <f t="shared" si="160"/>
        <v>7.4262683889618764E-2</v>
      </c>
      <c r="AC325" s="758">
        <f t="shared" si="160"/>
        <v>7.4262683889618764E-2</v>
      </c>
      <c r="AD325" s="758">
        <f t="shared" si="160"/>
        <v>7.4262683889618764E-2</v>
      </c>
      <c r="AE325" s="758">
        <f t="shared" si="160"/>
        <v>7.4262683889618764E-2</v>
      </c>
      <c r="AF325" s="758">
        <f t="shared" si="160"/>
        <v>7.4262683889618764E-2</v>
      </c>
      <c r="AG325" s="758">
        <f t="shared" si="160"/>
        <v>7.4262683889618764E-2</v>
      </c>
      <c r="AH325" s="758">
        <f t="shared" si="160"/>
        <v>7.4262683889618764E-2</v>
      </c>
      <c r="AI325" s="758">
        <f t="shared" si="160"/>
        <v>7.4262683889618764E-2</v>
      </c>
      <c r="AJ325" s="758">
        <f t="shared" si="160"/>
        <v>7.4262683889618764E-2</v>
      </c>
      <c r="AK325" s="758">
        <f t="shared" si="160"/>
        <v>7.4262683889618764E-2</v>
      </c>
      <c r="AL325" s="758"/>
      <c r="AM325" s="758"/>
      <c r="AN325" s="758"/>
      <c r="AO325" s="758"/>
      <c r="AP325" s="758"/>
      <c r="AQ325" s="758"/>
      <c r="AR325" s="758"/>
      <c r="AS325" s="758"/>
      <c r="AT325" s="758"/>
      <c r="AU325" s="758"/>
      <c r="AV325" s="758"/>
      <c r="AW325" s="758"/>
      <c r="AX325" s="758"/>
      <c r="AY325" s="758"/>
      <c r="AZ325" s="758"/>
      <c r="BA325" s="758"/>
      <c r="BB325" s="758"/>
      <c r="BC325" s="758"/>
      <c r="BD325" s="758"/>
      <c r="BE325" s="758"/>
      <c r="BF325" s="758"/>
      <c r="BG325" s="758"/>
      <c r="BH325" s="758"/>
      <c r="BI325" s="758"/>
      <c r="BJ325" s="758"/>
      <c r="BK325" s="758"/>
      <c r="BL325" s="758"/>
      <c r="BM325" s="758"/>
      <c r="BN325" s="758"/>
      <c r="BO325" s="758"/>
      <c r="BP325" s="758"/>
      <c r="BQ325" s="758"/>
      <c r="BR325" s="758"/>
      <c r="BS325" s="758"/>
      <c r="BT325" s="758"/>
      <c r="BU325" s="758"/>
      <c r="BV325" s="758"/>
      <c r="BW325" s="758"/>
      <c r="BX325" s="758"/>
      <c r="BY325" s="758"/>
      <c r="BZ325" s="758"/>
      <c r="CA325" s="758"/>
      <c r="CB325" s="758"/>
      <c r="CC325" s="758"/>
      <c r="CD325" s="758"/>
      <c r="CE325" s="758"/>
      <c r="CF325" s="758"/>
      <c r="CG325" s="758"/>
      <c r="CH325" s="758"/>
      <c r="CI325" s="759"/>
      <c r="CK325" s="1296"/>
    </row>
    <row r="326" spans="2:89" x14ac:dyDescent="0.2">
      <c r="B326" s="933" t="s">
        <v>725</v>
      </c>
      <c r="C326" s="934" t="s">
        <v>514</v>
      </c>
      <c r="D326" s="925" t="s">
        <v>726</v>
      </c>
      <c r="E326" s="935" t="s">
        <v>236</v>
      </c>
      <c r="F326" s="936">
        <v>2</v>
      </c>
      <c r="G326" s="735">
        <f t="shared" si="160"/>
        <v>0</v>
      </c>
      <c r="H326" s="735">
        <f t="shared" si="160"/>
        <v>0</v>
      </c>
      <c r="I326" s="735">
        <f t="shared" si="160"/>
        <v>6.3157576700386192E-3</v>
      </c>
      <c r="J326" s="735">
        <f t="shared" si="160"/>
        <v>6.5225369249426908E-3</v>
      </c>
      <c r="K326" s="735">
        <f t="shared" si="160"/>
        <v>6.2972537723940273E-3</v>
      </c>
      <c r="L326" s="735">
        <f t="shared" si="160"/>
        <v>6.1478187782822253E-3</v>
      </c>
      <c r="M326" s="736">
        <f t="shared" si="160"/>
        <v>6.2102813615913105E-3</v>
      </c>
      <c r="N326" s="736">
        <f t="shared" si="160"/>
        <v>6.174679007795586E-3</v>
      </c>
      <c r="O326" s="736">
        <f t="shared" si="160"/>
        <v>6.1384947415215902E-3</v>
      </c>
      <c r="P326" s="736">
        <f t="shared" si="160"/>
        <v>6.1017285627693206E-3</v>
      </c>
      <c r="Q326" s="736">
        <f t="shared" si="160"/>
        <v>6.0643804715387823E-3</v>
      </c>
      <c r="R326" s="736">
        <f t="shared" si="160"/>
        <v>6.0264504678299718E-3</v>
      </c>
      <c r="S326" s="736">
        <f t="shared" si="160"/>
        <v>5.9879385516428919E-3</v>
      </c>
      <c r="T326" s="736">
        <f t="shared" si="160"/>
        <v>5.948844722977539E-3</v>
      </c>
      <c r="U326" s="736">
        <f t="shared" si="160"/>
        <v>5.9091689818339165E-3</v>
      </c>
      <c r="V326" s="736">
        <f t="shared" si="160"/>
        <v>5.868911328212021E-3</v>
      </c>
      <c r="W326" s="736">
        <f t="shared" si="160"/>
        <v>5.8280717621118552E-3</v>
      </c>
      <c r="X326" s="736">
        <f t="shared" si="160"/>
        <v>5.7866502835334198E-3</v>
      </c>
      <c r="Y326" s="736">
        <f t="shared" si="160"/>
        <v>5.7446468924767097E-3</v>
      </c>
      <c r="Z326" s="736">
        <f t="shared" si="160"/>
        <v>5.7020615889417335E-3</v>
      </c>
      <c r="AA326" s="736">
        <f t="shared" si="160"/>
        <v>5.6588943729284826E-3</v>
      </c>
      <c r="AB326" s="736">
        <f t="shared" si="160"/>
        <v>5.6151452444369622E-3</v>
      </c>
      <c r="AC326" s="736">
        <f t="shared" si="160"/>
        <v>5.570814203467167E-3</v>
      </c>
      <c r="AD326" s="736">
        <f t="shared" si="160"/>
        <v>5.5259012500191032E-3</v>
      </c>
      <c r="AE326" s="736">
        <f t="shared" si="160"/>
        <v>5.4804063840927682E-3</v>
      </c>
      <c r="AF326" s="736">
        <f t="shared" si="160"/>
        <v>5.4343296056881636E-3</v>
      </c>
      <c r="AG326" s="736">
        <f t="shared" si="160"/>
        <v>5.387670914805286E-3</v>
      </c>
      <c r="AH326" s="736">
        <f t="shared" si="160"/>
        <v>5.3404303114441372E-3</v>
      </c>
      <c r="AI326" s="736">
        <f t="shared" si="160"/>
        <v>5.2926077956047188E-3</v>
      </c>
      <c r="AJ326" s="736">
        <f t="shared" si="160"/>
        <v>5.2442033672870283E-3</v>
      </c>
      <c r="AK326" s="736">
        <f t="shared" si="160"/>
        <v>5.1952170264910657E-3</v>
      </c>
      <c r="AL326" s="736"/>
      <c r="AM326" s="736"/>
      <c r="AN326" s="736"/>
      <c r="AO326" s="736"/>
      <c r="AP326" s="736"/>
      <c r="AQ326" s="736"/>
      <c r="AR326" s="736"/>
      <c r="AS326" s="736"/>
      <c r="AT326" s="736"/>
      <c r="AU326" s="736"/>
      <c r="AV326" s="736"/>
      <c r="AW326" s="736"/>
      <c r="AX326" s="736"/>
      <c r="AY326" s="736"/>
      <c r="AZ326" s="736"/>
      <c r="BA326" s="736"/>
      <c r="BB326" s="736"/>
      <c r="BC326" s="736"/>
      <c r="BD326" s="736"/>
      <c r="BE326" s="736"/>
      <c r="BF326" s="736"/>
      <c r="BG326" s="736"/>
      <c r="BH326" s="736"/>
      <c r="BI326" s="736"/>
      <c r="BJ326" s="736"/>
      <c r="BK326" s="736"/>
      <c r="BL326" s="736"/>
      <c r="BM326" s="736"/>
      <c r="BN326" s="736"/>
      <c r="BO326" s="736"/>
      <c r="BP326" s="736"/>
      <c r="BQ326" s="736"/>
      <c r="BR326" s="736"/>
      <c r="BS326" s="736"/>
      <c r="BT326" s="736"/>
      <c r="BU326" s="736"/>
      <c r="BV326" s="736"/>
      <c r="BW326" s="736"/>
      <c r="BX326" s="736"/>
      <c r="BY326" s="736"/>
      <c r="BZ326" s="736"/>
      <c r="CA326" s="736"/>
      <c r="CB326" s="736"/>
      <c r="CC326" s="736"/>
      <c r="CD326" s="736"/>
      <c r="CE326" s="736"/>
      <c r="CF326" s="736"/>
      <c r="CG326" s="736"/>
      <c r="CH326" s="736"/>
      <c r="CI326" s="737"/>
      <c r="CK326" s="1296"/>
    </row>
    <row r="327" spans="2:89" x14ac:dyDescent="0.2">
      <c r="B327" s="940" t="s">
        <v>727</v>
      </c>
      <c r="C327" s="901" t="s">
        <v>516</v>
      </c>
      <c r="D327" s="907" t="s">
        <v>728</v>
      </c>
      <c r="E327" s="938" t="s">
        <v>236</v>
      </c>
      <c r="F327" s="939">
        <v>2</v>
      </c>
      <c r="G327" s="569">
        <f t="shared" si="160"/>
        <v>0</v>
      </c>
      <c r="H327" s="569">
        <f t="shared" si="160"/>
        <v>0</v>
      </c>
      <c r="I327" s="569">
        <f t="shared" si="160"/>
        <v>3.7140729970184004E-4</v>
      </c>
      <c r="J327" s="569">
        <f t="shared" si="160"/>
        <v>3.5081948118730337E-4</v>
      </c>
      <c r="K327" s="569">
        <f t="shared" si="160"/>
        <v>3.3556700859056033E-4</v>
      </c>
      <c r="L327" s="569">
        <f t="shared" si="160"/>
        <v>1.9966104451892499E-4</v>
      </c>
      <c r="M327" s="718">
        <f t="shared" si="160"/>
        <v>1.0911382524159336E-4</v>
      </c>
      <c r="N327" s="718">
        <f t="shared" si="160"/>
        <v>1.0594292736843595E-4</v>
      </c>
      <c r="O327" s="718">
        <f t="shared" si="160"/>
        <v>1.0281455012615483E-4</v>
      </c>
      <c r="P327" s="718">
        <f t="shared" si="160"/>
        <v>9.9728693514749932E-5</v>
      </c>
      <c r="Q327" s="718">
        <f t="shared" si="160"/>
        <v>9.6685357534221386E-5</v>
      </c>
      <c r="R327" s="718">
        <f t="shared" si="160"/>
        <v>9.3684542184569098E-5</v>
      </c>
      <c r="S327" s="718">
        <f t="shared" si="160"/>
        <v>9.0726247465793081E-5</v>
      </c>
      <c r="T327" s="718">
        <f t="shared" si="160"/>
        <v>8.7810473377893377E-5</v>
      </c>
      <c r="U327" s="718">
        <f t="shared" si="160"/>
        <v>8.4937219920869916E-5</v>
      </c>
      <c r="V327" s="718">
        <f t="shared" si="160"/>
        <v>8.3988375455758331E-5</v>
      </c>
      <c r="W327" s="718">
        <f t="shared" si="160"/>
        <v>8.3039530990646718E-5</v>
      </c>
      <c r="X327" s="718">
        <f t="shared" si="160"/>
        <v>8.2090686525535106E-5</v>
      </c>
      <c r="Y327" s="718">
        <f t="shared" si="160"/>
        <v>8.1141842060423479E-5</v>
      </c>
      <c r="Z327" s="718">
        <f t="shared" si="160"/>
        <v>8.0192997595311907E-5</v>
      </c>
      <c r="AA327" s="718">
        <f t="shared" si="160"/>
        <v>7.9244153130200295E-5</v>
      </c>
      <c r="AB327" s="718">
        <f t="shared" si="160"/>
        <v>7.8295308665088682E-5</v>
      </c>
      <c r="AC327" s="718">
        <f t="shared" si="160"/>
        <v>7.7346464199977069E-5</v>
      </c>
      <c r="AD327" s="718">
        <f t="shared" si="160"/>
        <v>7.6397619734865443E-5</v>
      </c>
      <c r="AE327" s="718">
        <f t="shared" si="160"/>
        <v>7.5448775269753844E-5</v>
      </c>
      <c r="AF327" s="718">
        <f t="shared" si="160"/>
        <v>7.4499930804642259E-5</v>
      </c>
      <c r="AG327" s="718">
        <f t="shared" si="160"/>
        <v>7.3551086339530632E-5</v>
      </c>
      <c r="AH327" s="718">
        <f t="shared" si="160"/>
        <v>7.260224187441902E-5</v>
      </c>
      <c r="AI327" s="718">
        <f t="shared" si="160"/>
        <v>7.1653397409307421E-5</v>
      </c>
      <c r="AJ327" s="718">
        <f t="shared" si="160"/>
        <v>7.0704552944195808E-5</v>
      </c>
      <c r="AK327" s="718">
        <f t="shared" si="160"/>
        <v>6.9755708479084195E-5</v>
      </c>
      <c r="AL327" s="718"/>
      <c r="AM327" s="718"/>
      <c r="AN327" s="718"/>
      <c r="AO327" s="718"/>
      <c r="AP327" s="718"/>
      <c r="AQ327" s="718"/>
      <c r="AR327" s="718"/>
      <c r="AS327" s="718"/>
      <c r="AT327" s="718"/>
      <c r="AU327" s="718"/>
      <c r="AV327" s="718"/>
      <c r="AW327" s="718"/>
      <c r="AX327" s="718"/>
      <c r="AY327" s="718"/>
      <c r="AZ327" s="718"/>
      <c r="BA327" s="718"/>
      <c r="BB327" s="718"/>
      <c r="BC327" s="718"/>
      <c r="BD327" s="718"/>
      <c r="BE327" s="718"/>
      <c r="BF327" s="718"/>
      <c r="BG327" s="718"/>
      <c r="BH327" s="718"/>
      <c r="BI327" s="718"/>
      <c r="BJ327" s="718"/>
      <c r="BK327" s="718"/>
      <c r="BL327" s="718"/>
      <c r="BM327" s="718"/>
      <c r="BN327" s="718"/>
      <c r="BO327" s="718"/>
      <c r="BP327" s="718"/>
      <c r="BQ327" s="718"/>
      <c r="BR327" s="718"/>
      <c r="BS327" s="718"/>
      <c r="BT327" s="718"/>
      <c r="BU327" s="718"/>
      <c r="BV327" s="718"/>
      <c r="BW327" s="718"/>
      <c r="BX327" s="718"/>
      <c r="BY327" s="718"/>
      <c r="BZ327" s="718"/>
      <c r="CA327" s="718"/>
      <c r="CB327" s="718"/>
      <c r="CC327" s="718"/>
      <c r="CD327" s="718"/>
      <c r="CE327" s="718"/>
      <c r="CF327" s="718"/>
      <c r="CG327" s="718"/>
      <c r="CH327" s="718"/>
      <c r="CI327" s="719"/>
      <c r="CK327" s="1296"/>
    </row>
    <row r="328" spans="2:89" x14ac:dyDescent="0.2">
      <c r="B328" s="940" t="s">
        <v>729</v>
      </c>
      <c r="C328" s="901" t="s">
        <v>518</v>
      </c>
      <c r="D328" s="907" t="s">
        <v>730</v>
      </c>
      <c r="E328" s="938" t="s">
        <v>236</v>
      </c>
      <c r="F328" s="939">
        <v>2</v>
      </c>
      <c r="G328" s="569">
        <f t="shared" ref="G328:AK331" si="161">G238+G296</f>
        <v>0</v>
      </c>
      <c r="H328" s="569">
        <f t="shared" si="161"/>
        <v>0</v>
      </c>
      <c r="I328" s="569">
        <f t="shared" si="161"/>
        <v>5.1997636166684347E-2</v>
      </c>
      <c r="J328" s="569">
        <f t="shared" si="161"/>
        <v>5.1638140472616272E-2</v>
      </c>
      <c r="K328" s="569">
        <f t="shared" si="161"/>
        <v>5.0221067909508789E-2</v>
      </c>
      <c r="L328" s="569">
        <f t="shared" si="161"/>
        <v>5.1152275254813445E-2</v>
      </c>
      <c r="M328" s="718">
        <f t="shared" si="161"/>
        <v>6.1354099493096233E-2</v>
      </c>
      <c r="N328" s="718">
        <f t="shared" si="161"/>
        <v>6.9528519349039503E-2</v>
      </c>
      <c r="O328" s="718">
        <f t="shared" si="161"/>
        <v>7.0000337947231539E-2</v>
      </c>
      <c r="P328" s="718">
        <f t="shared" si="161"/>
        <v>7.0326519572611837E-2</v>
      </c>
      <c r="Q328" s="718">
        <f t="shared" si="161"/>
        <v>7.0456994451047403E-2</v>
      </c>
      <c r="R328" s="718">
        <f t="shared" si="161"/>
        <v>7.0452517447737784E-2</v>
      </c>
      <c r="S328" s="718">
        <f t="shared" si="161"/>
        <v>7.029825841565622E-2</v>
      </c>
      <c r="T328" s="718">
        <f t="shared" si="161"/>
        <v>7.0082197828555418E-2</v>
      </c>
      <c r="U328" s="718">
        <f t="shared" si="161"/>
        <v>6.9842034350786841E-2</v>
      </c>
      <c r="V328" s="718">
        <f t="shared" si="161"/>
        <v>6.9583825942136093E-2</v>
      </c>
      <c r="W328" s="718">
        <f t="shared" si="161"/>
        <v>6.930443502314268E-2</v>
      </c>
      <c r="X328" s="718">
        <f t="shared" si="161"/>
        <v>6.8995681463259517E-2</v>
      </c>
      <c r="Y328" s="718">
        <f t="shared" si="161"/>
        <v>6.8658166214374344E-2</v>
      </c>
      <c r="Z328" s="718">
        <f t="shared" si="161"/>
        <v>6.8306020278033841E-2</v>
      </c>
      <c r="AA328" s="718">
        <f t="shared" si="161"/>
        <v>6.7934079599618571E-2</v>
      </c>
      <c r="AB328" s="718">
        <f t="shared" si="161"/>
        <v>6.7548089556525054E-2</v>
      </c>
      <c r="AC328" s="718">
        <f t="shared" si="161"/>
        <v>6.7148358493075336E-2</v>
      </c>
      <c r="AD328" s="718">
        <f t="shared" si="161"/>
        <v>6.672935767789559E-2</v>
      </c>
      <c r="AE328" s="718">
        <f t="shared" si="161"/>
        <v>6.6289985390650022E-2</v>
      </c>
      <c r="AF328" s="718">
        <f t="shared" si="161"/>
        <v>6.5831766238835562E-2</v>
      </c>
      <c r="AG328" s="718">
        <f t="shared" si="161"/>
        <v>6.5358514789849401E-2</v>
      </c>
      <c r="AH328" s="718">
        <f t="shared" si="161"/>
        <v>6.4870280401502334E-2</v>
      </c>
      <c r="AI328" s="718">
        <f t="shared" si="161"/>
        <v>6.4370271991193218E-2</v>
      </c>
      <c r="AJ328" s="718">
        <f t="shared" si="161"/>
        <v>6.386062662650667E-2</v>
      </c>
      <c r="AK328" s="718">
        <f t="shared" si="161"/>
        <v>6.3340718136827928E-2</v>
      </c>
      <c r="AL328" s="718"/>
      <c r="AM328" s="718"/>
      <c r="AN328" s="718"/>
      <c r="AO328" s="718"/>
      <c r="AP328" s="718"/>
      <c r="AQ328" s="718"/>
      <c r="AR328" s="718"/>
      <c r="AS328" s="718"/>
      <c r="AT328" s="718"/>
      <c r="AU328" s="718"/>
      <c r="AV328" s="718"/>
      <c r="AW328" s="718"/>
      <c r="AX328" s="718"/>
      <c r="AY328" s="718"/>
      <c r="AZ328" s="718"/>
      <c r="BA328" s="718"/>
      <c r="BB328" s="718"/>
      <c r="BC328" s="718"/>
      <c r="BD328" s="718"/>
      <c r="BE328" s="718"/>
      <c r="BF328" s="718"/>
      <c r="BG328" s="718"/>
      <c r="BH328" s="718"/>
      <c r="BI328" s="718"/>
      <c r="BJ328" s="718"/>
      <c r="BK328" s="718"/>
      <c r="BL328" s="718"/>
      <c r="BM328" s="718"/>
      <c r="BN328" s="718"/>
      <c r="BO328" s="718"/>
      <c r="BP328" s="718"/>
      <c r="BQ328" s="718"/>
      <c r="BR328" s="718"/>
      <c r="BS328" s="718"/>
      <c r="BT328" s="718"/>
      <c r="BU328" s="718"/>
      <c r="BV328" s="718"/>
      <c r="BW328" s="718"/>
      <c r="BX328" s="718"/>
      <c r="BY328" s="718"/>
      <c r="BZ328" s="718"/>
      <c r="CA328" s="718"/>
      <c r="CB328" s="718"/>
      <c r="CC328" s="718"/>
      <c r="CD328" s="718"/>
      <c r="CE328" s="718"/>
      <c r="CF328" s="718"/>
      <c r="CG328" s="718"/>
      <c r="CH328" s="718"/>
      <c r="CI328" s="719"/>
      <c r="CK328" s="1296"/>
    </row>
    <row r="329" spans="2:89" x14ac:dyDescent="0.2">
      <c r="B329" s="940" t="s">
        <v>731</v>
      </c>
      <c r="C329" s="901" t="s">
        <v>520</v>
      </c>
      <c r="D329" s="907" t="s">
        <v>732</v>
      </c>
      <c r="E329" s="938" t="s">
        <v>236</v>
      </c>
      <c r="F329" s="939">
        <v>2</v>
      </c>
      <c r="G329" s="569">
        <f t="shared" si="161"/>
        <v>0</v>
      </c>
      <c r="H329" s="569">
        <f t="shared" si="161"/>
        <v>0</v>
      </c>
      <c r="I329" s="569">
        <f t="shared" si="161"/>
        <v>5.0719380847283273E-2</v>
      </c>
      <c r="J329" s="569">
        <f t="shared" si="161"/>
        <v>4.8171510027997314E-2</v>
      </c>
      <c r="K329" s="569">
        <f t="shared" si="161"/>
        <v>4.5612512091973402E-2</v>
      </c>
      <c r="L329" s="569">
        <f t="shared" si="161"/>
        <v>3.952824767353013E-2</v>
      </c>
      <c r="M329" s="718">
        <f t="shared" si="161"/>
        <v>1.8331658632880624E-2</v>
      </c>
      <c r="N329" s="718">
        <f t="shared" si="161"/>
        <v>1.3611477995940299E-3</v>
      </c>
      <c r="O329" s="718">
        <f t="shared" si="161"/>
        <v>1.3095678560342341E-3</v>
      </c>
      <c r="P329" s="718">
        <f t="shared" si="161"/>
        <v>1.2587726397293962E-3</v>
      </c>
      <c r="Q329" s="718">
        <f t="shared" si="161"/>
        <v>1.2087621506795265E-3</v>
      </c>
      <c r="R329" s="718">
        <f t="shared" si="161"/>
        <v>1.1716364232427362E-3</v>
      </c>
      <c r="S329" s="718">
        <f t="shared" si="161"/>
        <v>1.1470030937915515E-3</v>
      </c>
      <c r="T329" s="718">
        <f t="shared" si="161"/>
        <v>1.1226313400920229E-3</v>
      </c>
      <c r="U329" s="718">
        <f t="shared" si="161"/>
        <v>1.0985211621441469E-3</v>
      </c>
      <c r="V329" s="718">
        <f t="shared" si="161"/>
        <v>1.0746725599479236E-3</v>
      </c>
      <c r="W329" s="718">
        <f t="shared" si="161"/>
        <v>1.0510855335033563E-3</v>
      </c>
      <c r="X329" s="718">
        <f t="shared" si="161"/>
        <v>1.0277600828104451E-3</v>
      </c>
      <c r="Y329" s="718">
        <f t="shared" si="161"/>
        <v>1.0046962078691865E-3</v>
      </c>
      <c r="Z329" s="718">
        <f t="shared" si="161"/>
        <v>9.8189390867958054E-4</v>
      </c>
      <c r="AA329" s="718">
        <f t="shared" si="161"/>
        <v>9.5935318524163066E-4</v>
      </c>
      <c r="AB329" s="718">
        <f t="shared" si="161"/>
        <v>9.3167795975541284E-4</v>
      </c>
      <c r="AC329" s="718">
        <f t="shared" si="161"/>
        <v>8.9906441403466222E-4</v>
      </c>
      <c r="AD329" s="718">
        <f t="shared" si="161"/>
        <v>8.669740198172203E-4</v>
      </c>
      <c r="AE329" s="718">
        <f t="shared" si="161"/>
        <v>8.3540677710308708E-4</v>
      </c>
      <c r="AF329" s="718">
        <f t="shared" si="161"/>
        <v>8.0436268589226603E-4</v>
      </c>
      <c r="AG329" s="718">
        <f t="shared" si="161"/>
        <v>7.7384174618475021E-4</v>
      </c>
      <c r="AH329" s="718">
        <f t="shared" si="161"/>
        <v>7.4384395798054309E-4</v>
      </c>
      <c r="AI329" s="718">
        <f t="shared" si="161"/>
        <v>7.1436932127964467E-4</v>
      </c>
      <c r="AJ329" s="718">
        <f t="shared" si="161"/>
        <v>6.8541783608205842E-4</v>
      </c>
      <c r="AK329" s="718">
        <f t="shared" si="161"/>
        <v>6.569895023877774E-4</v>
      </c>
      <c r="AL329" s="718"/>
      <c r="AM329" s="718"/>
      <c r="AN329" s="718"/>
      <c r="AO329" s="718"/>
      <c r="AP329" s="718"/>
      <c r="AQ329" s="718"/>
      <c r="AR329" s="718"/>
      <c r="AS329" s="718"/>
      <c r="AT329" s="718"/>
      <c r="AU329" s="718"/>
      <c r="AV329" s="718"/>
      <c r="AW329" s="718"/>
      <c r="AX329" s="718"/>
      <c r="AY329" s="718"/>
      <c r="AZ329" s="718"/>
      <c r="BA329" s="718"/>
      <c r="BB329" s="718"/>
      <c r="BC329" s="718"/>
      <c r="BD329" s="718"/>
      <c r="BE329" s="718"/>
      <c r="BF329" s="718"/>
      <c r="BG329" s="718"/>
      <c r="BH329" s="718"/>
      <c r="BI329" s="718"/>
      <c r="BJ329" s="718"/>
      <c r="BK329" s="718"/>
      <c r="BL329" s="718"/>
      <c r="BM329" s="718"/>
      <c r="BN329" s="718"/>
      <c r="BO329" s="718"/>
      <c r="BP329" s="718"/>
      <c r="BQ329" s="718"/>
      <c r="BR329" s="718"/>
      <c r="BS329" s="718"/>
      <c r="BT329" s="718"/>
      <c r="BU329" s="718"/>
      <c r="BV329" s="718"/>
      <c r="BW329" s="718"/>
      <c r="BX329" s="718"/>
      <c r="BY329" s="718"/>
      <c r="BZ329" s="718"/>
      <c r="CA329" s="718"/>
      <c r="CB329" s="718"/>
      <c r="CC329" s="718"/>
      <c r="CD329" s="718"/>
      <c r="CE329" s="718"/>
      <c r="CF329" s="718"/>
      <c r="CG329" s="718"/>
      <c r="CH329" s="718"/>
      <c r="CI329" s="719"/>
      <c r="CK329" s="1296"/>
    </row>
    <row r="330" spans="2:89" x14ac:dyDescent="0.2">
      <c r="B330" s="940" t="s">
        <v>733</v>
      </c>
      <c r="C330" s="901" t="s">
        <v>522</v>
      </c>
      <c r="D330" s="907" t="s">
        <v>734</v>
      </c>
      <c r="E330" s="938" t="s">
        <v>236</v>
      </c>
      <c r="F330" s="939">
        <v>2</v>
      </c>
      <c r="G330" s="569">
        <f t="shared" si="161"/>
        <v>0</v>
      </c>
      <c r="H330" s="569">
        <f t="shared" si="161"/>
        <v>0</v>
      </c>
      <c r="I330" s="569">
        <f t="shared" si="161"/>
        <v>6.209930051014766E-3</v>
      </c>
      <c r="J330" s="569">
        <f t="shared" si="161"/>
        <v>6.8866947827199492E-3</v>
      </c>
      <c r="K330" s="569">
        <f t="shared" si="161"/>
        <v>6.9126851269414487E-3</v>
      </c>
      <c r="L330" s="569">
        <f t="shared" si="161"/>
        <v>6.914393926802492E-3</v>
      </c>
      <c r="M330" s="718">
        <f t="shared" si="161"/>
        <v>7.050797708622829E-3</v>
      </c>
      <c r="N330" s="718">
        <f t="shared" si="161"/>
        <v>7.3575528744566692E-3</v>
      </c>
      <c r="O330" s="718">
        <f t="shared" si="161"/>
        <v>7.4702999279518045E-3</v>
      </c>
      <c r="P330" s="718">
        <f t="shared" si="161"/>
        <v>7.5723466887946947E-3</v>
      </c>
      <c r="Q330" s="718">
        <f t="shared" si="161"/>
        <v>7.6589268754298579E-3</v>
      </c>
      <c r="R330" s="718">
        <f t="shared" si="161"/>
        <v>7.7354429950522111E-3</v>
      </c>
      <c r="S330" s="718">
        <f t="shared" si="161"/>
        <v>7.8001949413472275E-3</v>
      </c>
      <c r="T330" s="718">
        <f t="shared" si="161"/>
        <v>7.8604554619708424E-3</v>
      </c>
      <c r="U330" s="718">
        <f t="shared" si="161"/>
        <v>7.9196005527455166E-3</v>
      </c>
      <c r="V330" s="718">
        <f t="shared" si="161"/>
        <v>7.9784279475805086E-3</v>
      </c>
      <c r="W330" s="718">
        <f t="shared" si="161"/>
        <v>8.0363554493970285E-3</v>
      </c>
      <c r="X330" s="718">
        <f t="shared" si="161"/>
        <v>8.0925605273807037E-3</v>
      </c>
      <c r="Y330" s="718">
        <f t="shared" si="161"/>
        <v>8.1470418443306963E-3</v>
      </c>
      <c r="Z330" s="718">
        <f t="shared" si="161"/>
        <v>8.2011380552837309E-3</v>
      </c>
      <c r="AA330" s="718">
        <f t="shared" si="161"/>
        <v>8.254604933896412E-3</v>
      </c>
      <c r="AB330" s="718">
        <f t="shared" si="161"/>
        <v>8.3075370051399859E-3</v>
      </c>
      <c r="AC330" s="718">
        <f t="shared" si="161"/>
        <v>8.3599525374481835E-3</v>
      </c>
      <c r="AD330" s="718">
        <f t="shared" si="161"/>
        <v>8.4114318863329433E-3</v>
      </c>
      <c r="AE330" s="718">
        <f t="shared" si="161"/>
        <v>8.461823919181476E-3</v>
      </c>
      <c r="AF330" s="718">
        <f t="shared" si="161"/>
        <v>8.5112497619145959E-3</v>
      </c>
      <c r="AG330" s="718">
        <f t="shared" si="161"/>
        <v>8.5600840061676609E-3</v>
      </c>
      <c r="AH330" s="718">
        <f t="shared" si="161"/>
        <v>8.6083089614843161E-3</v>
      </c>
      <c r="AI330" s="718">
        <f t="shared" si="161"/>
        <v>8.656256138666777E-3</v>
      </c>
      <c r="AJ330" s="718">
        <f t="shared" si="161"/>
        <v>8.7041544325011568E-3</v>
      </c>
      <c r="AK330" s="718">
        <f t="shared" si="161"/>
        <v>8.7519306304724622E-3</v>
      </c>
      <c r="AL330" s="718"/>
      <c r="AM330" s="718"/>
      <c r="AN330" s="718"/>
      <c r="AO330" s="718"/>
      <c r="AP330" s="718"/>
      <c r="AQ330" s="718"/>
      <c r="AR330" s="718"/>
      <c r="AS330" s="718"/>
      <c r="AT330" s="718"/>
      <c r="AU330" s="718"/>
      <c r="AV330" s="718"/>
      <c r="AW330" s="718"/>
      <c r="AX330" s="718"/>
      <c r="AY330" s="718"/>
      <c r="AZ330" s="718"/>
      <c r="BA330" s="718"/>
      <c r="BB330" s="718"/>
      <c r="BC330" s="718"/>
      <c r="BD330" s="718"/>
      <c r="BE330" s="718"/>
      <c r="BF330" s="718"/>
      <c r="BG330" s="718"/>
      <c r="BH330" s="718"/>
      <c r="BI330" s="718"/>
      <c r="BJ330" s="718"/>
      <c r="BK330" s="718"/>
      <c r="BL330" s="718"/>
      <c r="BM330" s="718"/>
      <c r="BN330" s="718"/>
      <c r="BO330" s="718"/>
      <c r="BP330" s="718"/>
      <c r="BQ330" s="718"/>
      <c r="BR330" s="718"/>
      <c r="BS330" s="718"/>
      <c r="BT330" s="718"/>
      <c r="BU330" s="718"/>
      <c r="BV330" s="718"/>
      <c r="BW330" s="718"/>
      <c r="BX330" s="718"/>
      <c r="BY330" s="718"/>
      <c r="BZ330" s="718"/>
      <c r="CA330" s="718"/>
      <c r="CB330" s="718"/>
      <c r="CC330" s="718"/>
      <c r="CD330" s="718"/>
      <c r="CE330" s="718"/>
      <c r="CF330" s="718"/>
      <c r="CG330" s="718"/>
      <c r="CH330" s="718"/>
      <c r="CI330" s="719"/>
      <c r="CK330" s="1296"/>
    </row>
    <row r="331" spans="2:89" x14ac:dyDescent="0.2">
      <c r="B331" s="940" t="s">
        <v>735</v>
      </c>
      <c r="C331" s="904" t="s">
        <v>524</v>
      </c>
      <c r="D331" s="907" t="s">
        <v>736</v>
      </c>
      <c r="E331" s="938" t="s">
        <v>236</v>
      </c>
      <c r="F331" s="939">
        <v>2</v>
      </c>
      <c r="G331" s="569">
        <f t="shared" si="161"/>
        <v>0</v>
      </c>
      <c r="H331" s="569">
        <f t="shared" si="161"/>
        <v>0</v>
      </c>
      <c r="I331" s="569">
        <f t="shared" si="161"/>
        <v>1.2054368063652769</v>
      </c>
      <c r="J331" s="569">
        <f t="shared" si="161"/>
        <v>0.69755089831053629</v>
      </c>
      <c r="K331" s="569">
        <f t="shared" si="161"/>
        <v>0.67002171409059152</v>
      </c>
      <c r="L331" s="569">
        <f t="shared" si="161"/>
        <v>0.64373860332205268</v>
      </c>
      <c r="M331" s="718">
        <f t="shared" si="161"/>
        <v>0.64703564897856736</v>
      </c>
      <c r="N331" s="718">
        <f t="shared" si="161"/>
        <v>0.64797435804174575</v>
      </c>
      <c r="O331" s="718">
        <f t="shared" si="161"/>
        <v>0.63989128497713477</v>
      </c>
      <c r="P331" s="718">
        <f t="shared" si="161"/>
        <v>0.63196430384258007</v>
      </c>
      <c r="Q331" s="718">
        <f t="shared" si="161"/>
        <v>0.62424825069377032</v>
      </c>
      <c r="R331" s="718">
        <f t="shared" si="161"/>
        <v>0.61666486812395283</v>
      </c>
      <c r="S331" s="718">
        <f t="shared" si="161"/>
        <v>0.60923107875009641</v>
      </c>
      <c r="T331" s="718">
        <f t="shared" si="161"/>
        <v>0.60186386017302651</v>
      </c>
      <c r="U331" s="718">
        <f t="shared" si="161"/>
        <v>0.5945221377325689</v>
      </c>
      <c r="V331" s="718">
        <f t="shared" si="161"/>
        <v>0.58719717384666792</v>
      </c>
      <c r="W331" s="718">
        <f t="shared" si="161"/>
        <v>0.57989461270085474</v>
      </c>
      <c r="X331" s="718">
        <f t="shared" si="161"/>
        <v>0.57262345695649064</v>
      </c>
      <c r="Y331" s="718">
        <f t="shared" si="161"/>
        <v>0.56538310699888894</v>
      </c>
      <c r="Z331" s="718">
        <f t="shared" si="161"/>
        <v>0.55815809317146614</v>
      </c>
      <c r="AA331" s="718">
        <f t="shared" si="161"/>
        <v>0.55095382375518509</v>
      </c>
      <c r="AB331" s="718">
        <f t="shared" si="161"/>
        <v>0.54376985492547791</v>
      </c>
      <c r="AC331" s="718">
        <f t="shared" si="161"/>
        <v>0.5366056638877752</v>
      </c>
      <c r="AD331" s="718">
        <f t="shared" si="161"/>
        <v>0.52946173754620074</v>
      </c>
      <c r="AE331" s="718">
        <f t="shared" si="161"/>
        <v>0.52233932875370348</v>
      </c>
      <c r="AF331" s="718">
        <f t="shared" si="161"/>
        <v>0.51523679177686532</v>
      </c>
      <c r="AG331" s="718">
        <f t="shared" si="161"/>
        <v>0.50814993745665393</v>
      </c>
      <c r="AH331" s="718">
        <f t="shared" si="161"/>
        <v>0.50107873412571491</v>
      </c>
      <c r="AI331" s="718">
        <f t="shared" si="161"/>
        <v>0.49401964135584697</v>
      </c>
      <c r="AJ331" s="718">
        <f t="shared" si="161"/>
        <v>0.4869702931846796</v>
      </c>
      <c r="AK331" s="718">
        <f t="shared" si="161"/>
        <v>0.4799313889953416</v>
      </c>
      <c r="AL331" s="718"/>
      <c r="AM331" s="718"/>
      <c r="AN331" s="718"/>
      <c r="AO331" s="718"/>
      <c r="AP331" s="718"/>
      <c r="AQ331" s="718"/>
      <c r="AR331" s="718"/>
      <c r="AS331" s="718"/>
      <c r="AT331" s="718"/>
      <c r="AU331" s="718"/>
      <c r="AV331" s="718"/>
      <c r="AW331" s="718"/>
      <c r="AX331" s="718"/>
      <c r="AY331" s="718"/>
      <c r="AZ331" s="718"/>
      <c r="BA331" s="718"/>
      <c r="BB331" s="718"/>
      <c r="BC331" s="718"/>
      <c r="BD331" s="718"/>
      <c r="BE331" s="718"/>
      <c r="BF331" s="718"/>
      <c r="BG331" s="718"/>
      <c r="BH331" s="718"/>
      <c r="BI331" s="718"/>
      <c r="BJ331" s="718"/>
      <c r="BK331" s="718"/>
      <c r="BL331" s="718"/>
      <c r="BM331" s="718"/>
      <c r="BN331" s="718"/>
      <c r="BO331" s="718"/>
      <c r="BP331" s="718"/>
      <c r="BQ331" s="718"/>
      <c r="BR331" s="718"/>
      <c r="BS331" s="718"/>
      <c r="BT331" s="718"/>
      <c r="BU331" s="718"/>
      <c r="BV331" s="718"/>
      <c r="BW331" s="718"/>
      <c r="BX331" s="718"/>
      <c r="BY331" s="718"/>
      <c r="BZ331" s="718"/>
      <c r="CA331" s="718"/>
      <c r="CB331" s="718"/>
      <c r="CC331" s="718"/>
      <c r="CD331" s="718"/>
      <c r="CE331" s="718"/>
      <c r="CF331" s="718"/>
      <c r="CG331" s="718"/>
      <c r="CH331" s="718"/>
      <c r="CI331" s="719"/>
      <c r="CK331" s="1296"/>
    </row>
    <row r="332" spans="2:89" x14ac:dyDescent="0.2">
      <c r="B332" s="940" t="s">
        <v>737</v>
      </c>
      <c r="C332" s="904" t="s">
        <v>243</v>
      </c>
      <c r="D332" s="907" t="s">
        <v>738</v>
      </c>
      <c r="E332" s="938" t="s">
        <v>236</v>
      </c>
      <c r="F332" s="939">
        <v>2</v>
      </c>
      <c r="G332" s="569">
        <f>SUM(G326:G331)</f>
        <v>0</v>
      </c>
      <c r="H332" s="569">
        <f t="shared" ref="H332:AK332" si="162">SUM(H326:H331)</f>
        <v>0</v>
      </c>
      <c r="I332" s="569">
        <f t="shared" si="162"/>
        <v>1.3210509183999999</v>
      </c>
      <c r="J332" s="569">
        <f t="shared" si="162"/>
        <v>0.81112059999999986</v>
      </c>
      <c r="K332" s="569">
        <f t="shared" si="162"/>
        <v>0.77940079999999978</v>
      </c>
      <c r="L332" s="569">
        <f t="shared" si="162"/>
        <v>0.74768099999999993</v>
      </c>
      <c r="M332" s="718">
        <f t="shared" si="162"/>
        <v>0.74009159999999996</v>
      </c>
      <c r="N332" s="718">
        <f t="shared" si="162"/>
        <v>0.73250219999999999</v>
      </c>
      <c r="O332" s="718">
        <f t="shared" si="162"/>
        <v>0.72491280000000013</v>
      </c>
      <c r="P332" s="718">
        <f t="shared" si="162"/>
        <v>0.71732340000000006</v>
      </c>
      <c r="Q332" s="718">
        <f t="shared" si="162"/>
        <v>0.70973400000000009</v>
      </c>
      <c r="R332" s="718">
        <f t="shared" si="162"/>
        <v>0.70214460000000012</v>
      </c>
      <c r="S332" s="718">
        <f t="shared" si="162"/>
        <v>0.69455520000000015</v>
      </c>
      <c r="T332" s="718">
        <f t="shared" si="162"/>
        <v>0.68696580000000018</v>
      </c>
      <c r="U332" s="718">
        <f t="shared" si="162"/>
        <v>0.67937640000000021</v>
      </c>
      <c r="V332" s="718">
        <f t="shared" si="162"/>
        <v>0.67178700000000025</v>
      </c>
      <c r="W332" s="718">
        <f t="shared" si="162"/>
        <v>0.66419760000000028</v>
      </c>
      <c r="X332" s="718">
        <f t="shared" si="162"/>
        <v>0.65660820000000031</v>
      </c>
      <c r="Y332" s="718">
        <f t="shared" si="162"/>
        <v>0.64901880000000034</v>
      </c>
      <c r="Z332" s="718">
        <f t="shared" si="162"/>
        <v>0.64142940000000037</v>
      </c>
      <c r="AA332" s="718">
        <f t="shared" si="162"/>
        <v>0.6338400000000004</v>
      </c>
      <c r="AB332" s="718">
        <f t="shared" si="162"/>
        <v>0.62625060000000043</v>
      </c>
      <c r="AC332" s="718">
        <f t="shared" si="162"/>
        <v>0.61866120000000047</v>
      </c>
      <c r="AD332" s="718">
        <f t="shared" si="162"/>
        <v>0.6110718000000005</v>
      </c>
      <c r="AE332" s="718">
        <f t="shared" si="162"/>
        <v>0.60348240000000053</v>
      </c>
      <c r="AF332" s="718">
        <f t="shared" si="162"/>
        <v>0.59589300000000056</v>
      </c>
      <c r="AG332" s="718">
        <f t="shared" si="162"/>
        <v>0.58830360000000059</v>
      </c>
      <c r="AH332" s="718">
        <f t="shared" si="162"/>
        <v>0.58071420000000062</v>
      </c>
      <c r="AI332" s="718">
        <f t="shared" si="162"/>
        <v>0.57312480000000066</v>
      </c>
      <c r="AJ332" s="718">
        <f t="shared" si="162"/>
        <v>0.56553540000000069</v>
      </c>
      <c r="AK332" s="718">
        <f t="shared" si="162"/>
        <v>0.55794599999999994</v>
      </c>
      <c r="AL332" s="718"/>
      <c r="AM332" s="718"/>
      <c r="AN332" s="718"/>
      <c r="AO332" s="718"/>
      <c r="AP332" s="718"/>
      <c r="AQ332" s="718"/>
      <c r="AR332" s="718"/>
      <c r="AS332" s="718"/>
      <c r="AT332" s="718"/>
      <c r="AU332" s="718"/>
      <c r="AV332" s="718"/>
      <c r="AW332" s="718"/>
      <c r="AX332" s="718"/>
      <c r="AY332" s="718"/>
      <c r="AZ332" s="718"/>
      <c r="BA332" s="718"/>
      <c r="BB332" s="718"/>
      <c r="BC332" s="718"/>
      <c r="BD332" s="718"/>
      <c r="BE332" s="718"/>
      <c r="BF332" s="718"/>
      <c r="BG332" s="718"/>
      <c r="BH332" s="718"/>
      <c r="BI332" s="718"/>
      <c r="BJ332" s="718"/>
      <c r="BK332" s="718"/>
      <c r="BL332" s="718"/>
      <c r="BM332" s="718"/>
      <c r="BN332" s="718"/>
      <c r="BO332" s="718"/>
      <c r="BP332" s="718"/>
      <c r="BQ332" s="718"/>
      <c r="BR332" s="718"/>
      <c r="BS332" s="718"/>
      <c r="BT332" s="718"/>
      <c r="BU332" s="718"/>
      <c r="BV332" s="718"/>
      <c r="BW332" s="718"/>
      <c r="BX332" s="718"/>
      <c r="BY332" s="718"/>
      <c r="BZ332" s="718"/>
      <c r="CA332" s="718"/>
      <c r="CB332" s="718"/>
      <c r="CC332" s="718"/>
      <c r="CD332" s="718"/>
      <c r="CE332" s="718"/>
      <c r="CF332" s="718"/>
      <c r="CG332" s="718"/>
      <c r="CH332" s="718"/>
      <c r="CI332" s="719"/>
      <c r="CK332" s="1296"/>
    </row>
    <row r="333" spans="2:89" ht="15" thickBot="1" x14ac:dyDescent="0.25">
      <c r="B333" s="967" t="s">
        <v>739</v>
      </c>
      <c r="C333" s="968" t="s">
        <v>528</v>
      </c>
      <c r="D333" s="969" t="s">
        <v>740</v>
      </c>
      <c r="E333" s="970" t="s">
        <v>530</v>
      </c>
      <c r="F333" s="947">
        <v>2</v>
      </c>
      <c r="G333" s="729" t="e">
        <f>(G332*1000000)/(G347*1000)</f>
        <v>#DIV/0!</v>
      </c>
      <c r="H333" s="729" t="e">
        <f t="shared" ref="H333:AK333" si="163">(H332*1000000)/(H347*1000)</f>
        <v>#DIV/0!</v>
      </c>
      <c r="I333" s="729">
        <f t="shared" si="163"/>
        <v>108.14989098649201</v>
      </c>
      <c r="J333" s="729">
        <f t="shared" si="163"/>
        <v>65.28526121618647</v>
      </c>
      <c r="K333" s="729">
        <f t="shared" si="163"/>
        <v>62.579721998441961</v>
      </c>
      <c r="L333" s="729">
        <f t="shared" si="163"/>
        <v>59.936829341172228</v>
      </c>
      <c r="M333" s="758">
        <f t="shared" si="163"/>
        <v>58.615034843528278</v>
      </c>
      <c r="N333" s="758">
        <f t="shared" si="163"/>
        <v>56.646854425131565</v>
      </c>
      <c r="O333" s="758">
        <f t="shared" si="163"/>
        <v>55.066804460682498</v>
      </c>
      <c r="P333" s="758">
        <f t="shared" si="163"/>
        <v>53.636232305699885</v>
      </c>
      <c r="Q333" s="758">
        <f t="shared" si="163"/>
        <v>52.38134050876365</v>
      </c>
      <c r="R333" s="758">
        <f t="shared" si="163"/>
        <v>51.240398269224777</v>
      </c>
      <c r="S333" s="758">
        <f t="shared" si="163"/>
        <v>50.217795060617668</v>
      </c>
      <c r="T333" s="758">
        <f t="shared" si="163"/>
        <v>49.248878282567304</v>
      </c>
      <c r="U333" s="758">
        <f t="shared" si="163"/>
        <v>48.304664356073786</v>
      </c>
      <c r="V333" s="758">
        <f t="shared" si="163"/>
        <v>47.379522024651024</v>
      </c>
      <c r="W333" s="758">
        <f t="shared" si="163"/>
        <v>46.475646996649729</v>
      </c>
      <c r="X333" s="758">
        <f t="shared" si="163"/>
        <v>45.597910436384055</v>
      </c>
      <c r="Y333" s="758">
        <f t="shared" si="163"/>
        <v>44.745044455849381</v>
      </c>
      <c r="Z333" s="758">
        <f t="shared" si="163"/>
        <v>43.906973223942728</v>
      </c>
      <c r="AA333" s="758">
        <f t="shared" si="163"/>
        <v>43.084815090554869</v>
      </c>
      <c r="AB333" s="758">
        <f t="shared" si="163"/>
        <v>42.277796627708284</v>
      </c>
      <c r="AC333" s="758">
        <f t="shared" si="163"/>
        <v>41.485283943463259</v>
      </c>
      <c r="AD333" s="758">
        <f t="shared" si="163"/>
        <v>40.708930733607765</v>
      </c>
      <c r="AE333" s="758">
        <f t="shared" si="163"/>
        <v>39.948985675304669</v>
      </c>
      <c r="AF333" s="758">
        <f t="shared" si="163"/>
        <v>39.204090634218566</v>
      </c>
      <c r="AG333" s="758">
        <f t="shared" si="163"/>
        <v>38.471579972807618</v>
      </c>
      <c r="AH333" s="758">
        <f t="shared" si="163"/>
        <v>37.751140526585857</v>
      </c>
      <c r="AI333" s="758">
        <f t="shared" si="163"/>
        <v>37.040621911016636</v>
      </c>
      <c r="AJ333" s="758">
        <f t="shared" si="163"/>
        <v>36.338589109334919</v>
      </c>
      <c r="AK333" s="758">
        <f t="shared" si="163"/>
        <v>35.645248791290243</v>
      </c>
      <c r="AL333" s="758"/>
      <c r="AM333" s="758"/>
      <c r="AN333" s="758"/>
      <c r="AO333" s="758"/>
      <c r="AP333" s="758"/>
      <c r="AQ333" s="758"/>
      <c r="AR333" s="758"/>
      <c r="AS333" s="758"/>
      <c r="AT333" s="758"/>
      <c r="AU333" s="758"/>
      <c r="AV333" s="758"/>
      <c r="AW333" s="758"/>
      <c r="AX333" s="758"/>
      <c r="AY333" s="758"/>
      <c r="AZ333" s="758"/>
      <c r="BA333" s="758"/>
      <c r="BB333" s="758"/>
      <c r="BC333" s="758"/>
      <c r="BD333" s="758"/>
      <c r="BE333" s="758"/>
      <c r="BF333" s="758"/>
      <c r="BG333" s="758"/>
      <c r="BH333" s="758"/>
      <c r="BI333" s="758"/>
      <c r="BJ333" s="758"/>
      <c r="BK333" s="758"/>
      <c r="BL333" s="758"/>
      <c r="BM333" s="758"/>
      <c r="BN333" s="758"/>
      <c r="BO333" s="758"/>
      <c r="BP333" s="758"/>
      <c r="BQ333" s="758"/>
      <c r="BR333" s="758"/>
      <c r="BS333" s="758"/>
      <c r="BT333" s="758"/>
      <c r="BU333" s="758"/>
      <c r="BV333" s="758"/>
      <c r="BW333" s="758"/>
      <c r="BX333" s="758"/>
      <c r="BY333" s="758"/>
      <c r="BZ333" s="758"/>
      <c r="CA333" s="758"/>
      <c r="CB333" s="758"/>
      <c r="CC333" s="758"/>
      <c r="CD333" s="758"/>
      <c r="CE333" s="758"/>
      <c r="CF333" s="758"/>
      <c r="CG333" s="758"/>
      <c r="CH333" s="758"/>
      <c r="CI333" s="759"/>
      <c r="CK333" s="1296"/>
    </row>
    <row r="334" spans="2:89" x14ac:dyDescent="0.2">
      <c r="B334" s="948" t="s">
        <v>741</v>
      </c>
      <c r="C334" s="949" t="s">
        <v>532</v>
      </c>
      <c r="D334" s="914" t="s">
        <v>86</v>
      </c>
      <c r="E334" s="971" t="s">
        <v>344</v>
      </c>
      <c r="F334" s="972">
        <v>2</v>
      </c>
      <c r="G334" s="593"/>
      <c r="H334" s="593"/>
      <c r="I334" s="593">
        <v>1.014</v>
      </c>
      <c r="J334" s="593">
        <v>0.98031574431569324</v>
      </c>
      <c r="K334" s="593">
        <v>0.9849750066774059</v>
      </c>
      <c r="L334" s="593">
        <v>1.0023965775536272</v>
      </c>
      <c r="M334" s="594">
        <v>1.0229647393385948</v>
      </c>
      <c r="N334" s="594">
        <v>1.0276383775893927</v>
      </c>
      <c r="O334" s="594">
        <v>1.0323120158401904</v>
      </c>
      <c r="P334" s="594">
        <v>1.0369856540909881</v>
      </c>
      <c r="Q334" s="594">
        <v>1.041659292341786</v>
      </c>
      <c r="R334" s="594">
        <v>1.0463329305925837</v>
      </c>
      <c r="S334" s="594">
        <v>1.0510065688433818</v>
      </c>
      <c r="T334" s="594">
        <v>1.0556802070941793</v>
      </c>
      <c r="U334" s="594">
        <v>1.0603538453449775</v>
      </c>
      <c r="V334" s="594">
        <v>1.0650274835957751</v>
      </c>
      <c r="W334" s="594">
        <v>1.0697011218465726</v>
      </c>
      <c r="X334" s="594">
        <v>1.0743747600973708</v>
      </c>
      <c r="Y334" s="594">
        <v>1.0790483983481685</v>
      </c>
      <c r="Z334" s="594">
        <v>1.0837220365989664</v>
      </c>
      <c r="AA334" s="594">
        <v>1.0883956748497641</v>
      </c>
      <c r="AB334" s="594">
        <v>1.093069313100562</v>
      </c>
      <c r="AC334" s="594">
        <v>1.0977429513513597</v>
      </c>
      <c r="AD334" s="594">
        <v>1.1024165896021574</v>
      </c>
      <c r="AE334" s="594">
        <v>1.1070902278529553</v>
      </c>
      <c r="AF334" s="594">
        <v>1.111763866103753</v>
      </c>
      <c r="AG334" s="594">
        <v>1.1164375043545509</v>
      </c>
      <c r="AH334" s="594">
        <v>1.1211111426053486</v>
      </c>
      <c r="AI334" s="594">
        <v>1.1257847808561465</v>
      </c>
      <c r="AJ334" s="594">
        <v>1.1304584191069442</v>
      </c>
      <c r="AK334" s="594">
        <v>1.1351320573577419</v>
      </c>
      <c r="AL334" s="594"/>
      <c r="AM334" s="594"/>
      <c r="AN334" s="594"/>
      <c r="AO334" s="594"/>
      <c r="AP334" s="594"/>
      <c r="AQ334" s="594"/>
      <c r="AR334" s="594"/>
      <c r="AS334" s="594"/>
      <c r="AT334" s="594"/>
      <c r="AU334" s="594"/>
      <c r="AV334" s="594"/>
      <c r="AW334" s="594"/>
      <c r="AX334" s="594"/>
      <c r="AY334" s="594"/>
      <c r="AZ334" s="594"/>
      <c r="BA334" s="594"/>
      <c r="BB334" s="594"/>
      <c r="BC334" s="594"/>
      <c r="BD334" s="594"/>
      <c r="BE334" s="594"/>
      <c r="BF334" s="594"/>
      <c r="BG334" s="594"/>
      <c r="BH334" s="594"/>
      <c r="BI334" s="594"/>
      <c r="BJ334" s="594"/>
      <c r="BK334" s="594"/>
      <c r="BL334" s="594"/>
      <c r="BM334" s="594"/>
      <c r="BN334" s="594"/>
      <c r="BO334" s="594"/>
      <c r="BP334" s="594"/>
      <c r="BQ334" s="594"/>
      <c r="BR334" s="594"/>
      <c r="BS334" s="594"/>
      <c r="BT334" s="594"/>
      <c r="BU334" s="594"/>
      <c r="BV334" s="594"/>
      <c r="BW334" s="594"/>
      <c r="BX334" s="594"/>
      <c r="BY334" s="594"/>
      <c r="BZ334" s="594"/>
      <c r="CA334" s="594"/>
      <c r="CB334" s="594"/>
      <c r="CC334" s="594"/>
      <c r="CD334" s="594"/>
      <c r="CE334" s="594"/>
      <c r="CF334" s="594"/>
      <c r="CG334" s="594"/>
      <c r="CH334" s="594"/>
      <c r="CI334" s="595"/>
      <c r="CK334" s="1296"/>
    </row>
    <row r="335" spans="2:89" x14ac:dyDescent="0.2">
      <c r="B335" s="953" t="s">
        <v>742</v>
      </c>
      <c r="C335" s="954" t="s">
        <v>534</v>
      </c>
      <c r="D335" s="918" t="s">
        <v>86</v>
      </c>
      <c r="E335" s="960" t="s">
        <v>344</v>
      </c>
      <c r="F335" s="961">
        <v>2</v>
      </c>
      <c r="G335" s="597"/>
      <c r="H335" s="597"/>
      <c r="I335" s="597">
        <v>2.5000000000000001E-2</v>
      </c>
      <c r="J335" s="597">
        <v>2.4537662498036496E-2</v>
      </c>
      <c r="K335" s="597">
        <v>2.4426054805893868E-2</v>
      </c>
      <c r="L335" s="597">
        <v>1.5149974863556437E-2</v>
      </c>
      <c r="M335" s="598">
        <v>8.3642927414918616E-3</v>
      </c>
      <c r="N335" s="598">
        <v>8.2053659268648289E-3</v>
      </c>
      <c r="O335" s="598">
        <v>8.0464391122377962E-3</v>
      </c>
      <c r="P335" s="598">
        <v>7.88751229761076E-3</v>
      </c>
      <c r="Q335" s="598">
        <v>7.7285854829837264E-3</v>
      </c>
      <c r="R335" s="598">
        <v>7.569658668356692E-3</v>
      </c>
      <c r="S335" s="598">
        <v>7.4107318537296575E-3</v>
      </c>
      <c r="T335" s="598">
        <v>7.2518050391026231E-3</v>
      </c>
      <c r="U335" s="598">
        <v>7.0928782244755887E-3</v>
      </c>
      <c r="V335" s="598">
        <v>7.0928782244755887E-3</v>
      </c>
      <c r="W335" s="598">
        <v>7.0928782244755887E-3</v>
      </c>
      <c r="X335" s="598">
        <v>7.0928782244755887E-3</v>
      </c>
      <c r="Y335" s="598">
        <v>7.0928782244755887E-3</v>
      </c>
      <c r="Z335" s="598">
        <v>7.0928782244755887E-3</v>
      </c>
      <c r="AA335" s="598">
        <v>7.0928782244755887E-3</v>
      </c>
      <c r="AB335" s="598">
        <v>7.0928782244755887E-3</v>
      </c>
      <c r="AC335" s="598">
        <v>7.0928782244755887E-3</v>
      </c>
      <c r="AD335" s="598">
        <v>7.0928782244755887E-3</v>
      </c>
      <c r="AE335" s="598">
        <v>7.0928782244755887E-3</v>
      </c>
      <c r="AF335" s="598">
        <v>7.0928782244755887E-3</v>
      </c>
      <c r="AG335" s="598">
        <v>7.0928782244755887E-3</v>
      </c>
      <c r="AH335" s="598">
        <v>7.0928782244755887E-3</v>
      </c>
      <c r="AI335" s="598">
        <v>7.0928782244755887E-3</v>
      </c>
      <c r="AJ335" s="598">
        <v>7.0928782244755887E-3</v>
      </c>
      <c r="AK335" s="598">
        <v>7.0928782244755887E-3</v>
      </c>
      <c r="AL335" s="598"/>
      <c r="AM335" s="598"/>
      <c r="AN335" s="598"/>
      <c r="AO335" s="598"/>
      <c r="AP335" s="598"/>
      <c r="AQ335" s="598"/>
      <c r="AR335" s="598"/>
      <c r="AS335" s="598"/>
      <c r="AT335" s="598"/>
      <c r="AU335" s="598"/>
      <c r="AV335" s="598"/>
      <c r="AW335" s="598"/>
      <c r="AX335" s="598"/>
      <c r="AY335" s="598"/>
      <c r="AZ335" s="598"/>
      <c r="BA335" s="598"/>
      <c r="BB335" s="598"/>
      <c r="BC335" s="598"/>
      <c r="BD335" s="598"/>
      <c r="BE335" s="598"/>
      <c r="BF335" s="598"/>
      <c r="BG335" s="598"/>
      <c r="BH335" s="598"/>
      <c r="BI335" s="598"/>
      <c r="BJ335" s="598"/>
      <c r="BK335" s="598"/>
      <c r="BL335" s="598"/>
      <c r="BM335" s="598"/>
      <c r="BN335" s="598"/>
      <c r="BO335" s="598"/>
      <c r="BP335" s="598"/>
      <c r="BQ335" s="598"/>
      <c r="BR335" s="598"/>
      <c r="BS335" s="598"/>
      <c r="BT335" s="598"/>
      <c r="BU335" s="598"/>
      <c r="BV335" s="598"/>
      <c r="BW335" s="598"/>
      <c r="BX335" s="598"/>
      <c r="BY335" s="598"/>
      <c r="BZ335" s="598"/>
      <c r="CA335" s="598"/>
      <c r="CB335" s="598"/>
      <c r="CC335" s="598"/>
      <c r="CD335" s="598"/>
      <c r="CE335" s="598"/>
      <c r="CF335" s="598"/>
      <c r="CG335" s="598"/>
      <c r="CH335" s="598"/>
      <c r="CI335" s="599"/>
      <c r="CK335" s="1296"/>
    </row>
    <row r="336" spans="2:89" x14ac:dyDescent="0.2">
      <c r="B336" s="973" t="s">
        <v>743</v>
      </c>
      <c r="C336" s="974" t="s">
        <v>536</v>
      </c>
      <c r="D336" s="918" t="s">
        <v>86</v>
      </c>
      <c r="E336" s="960" t="s">
        <v>344</v>
      </c>
      <c r="F336" s="961">
        <v>2</v>
      </c>
      <c r="G336" s="597"/>
      <c r="H336" s="597"/>
      <c r="I336" s="597">
        <v>0.11</v>
      </c>
      <c r="J336" s="597">
        <v>0.14776366643834205</v>
      </c>
      <c r="K336" s="597">
        <v>0.14833308502084383</v>
      </c>
      <c r="L336" s="597">
        <v>0.14530466733903188</v>
      </c>
      <c r="M336" s="598">
        <v>0.13663926092820045</v>
      </c>
      <c r="N336" s="598">
        <v>0.13724162274410151</v>
      </c>
      <c r="O336" s="598">
        <v>0.13784398456000252</v>
      </c>
      <c r="P336" s="598">
        <v>0.13844634637590361</v>
      </c>
      <c r="Q336" s="598">
        <v>0.13904870819180465</v>
      </c>
      <c r="R336" s="598">
        <v>0.13965107000770569</v>
      </c>
      <c r="S336" s="598">
        <v>0.14025343182360675</v>
      </c>
      <c r="T336" s="598">
        <v>0.14085579363950776</v>
      </c>
      <c r="U336" s="598">
        <v>0.14145815545540885</v>
      </c>
      <c r="V336" s="598">
        <v>0.14207817580626844</v>
      </c>
      <c r="W336" s="598">
        <v>0.14269819615712806</v>
      </c>
      <c r="X336" s="598">
        <v>0.14331821650798765</v>
      </c>
      <c r="Y336" s="598">
        <v>0.14393823685884727</v>
      </c>
      <c r="Z336" s="598">
        <v>0.14455825720970689</v>
      </c>
      <c r="AA336" s="598">
        <v>0.14517827756056648</v>
      </c>
      <c r="AB336" s="598">
        <v>0.14579829791142609</v>
      </c>
      <c r="AC336" s="598">
        <v>0.14641831826228568</v>
      </c>
      <c r="AD336" s="598">
        <v>0.1470383386131453</v>
      </c>
      <c r="AE336" s="598">
        <v>0.14765835896400489</v>
      </c>
      <c r="AF336" s="598">
        <v>0.14827837931486451</v>
      </c>
      <c r="AG336" s="598">
        <v>0.14889839966572413</v>
      </c>
      <c r="AH336" s="598">
        <v>0.14951842001658372</v>
      </c>
      <c r="AI336" s="598">
        <v>0.15013844036744334</v>
      </c>
      <c r="AJ336" s="598">
        <v>0.15075846071830293</v>
      </c>
      <c r="AK336" s="598">
        <v>0.15137848106916255</v>
      </c>
      <c r="AL336" s="598"/>
      <c r="AM336" s="598"/>
      <c r="AN336" s="598"/>
      <c r="AO336" s="598"/>
      <c r="AP336" s="598"/>
      <c r="AQ336" s="598"/>
      <c r="AR336" s="598"/>
      <c r="AS336" s="598"/>
      <c r="AT336" s="598"/>
      <c r="AU336" s="598"/>
      <c r="AV336" s="598"/>
      <c r="AW336" s="598"/>
      <c r="AX336" s="598"/>
      <c r="AY336" s="598"/>
      <c r="AZ336" s="598"/>
      <c r="BA336" s="598"/>
      <c r="BB336" s="598"/>
      <c r="BC336" s="598"/>
      <c r="BD336" s="598"/>
      <c r="BE336" s="598"/>
      <c r="BF336" s="598"/>
      <c r="BG336" s="598"/>
      <c r="BH336" s="598"/>
      <c r="BI336" s="598"/>
      <c r="BJ336" s="598"/>
      <c r="BK336" s="598"/>
      <c r="BL336" s="598"/>
      <c r="BM336" s="598"/>
      <c r="BN336" s="598"/>
      <c r="BO336" s="598"/>
      <c r="BP336" s="598"/>
      <c r="BQ336" s="598"/>
      <c r="BR336" s="598"/>
      <c r="BS336" s="598"/>
      <c r="BT336" s="598"/>
      <c r="BU336" s="598"/>
      <c r="BV336" s="598"/>
      <c r="BW336" s="598"/>
      <c r="BX336" s="598"/>
      <c r="BY336" s="598"/>
      <c r="BZ336" s="598"/>
      <c r="CA336" s="598"/>
      <c r="CB336" s="598"/>
      <c r="CC336" s="598"/>
      <c r="CD336" s="598"/>
      <c r="CE336" s="598"/>
      <c r="CF336" s="598"/>
      <c r="CG336" s="598"/>
      <c r="CH336" s="598"/>
      <c r="CI336" s="599"/>
      <c r="CK336" s="1296"/>
    </row>
    <row r="337" spans="2:89" ht="28.5" x14ac:dyDescent="0.2">
      <c r="B337" s="973" t="s">
        <v>744</v>
      </c>
      <c r="C337" s="974" t="s">
        <v>538</v>
      </c>
      <c r="D337" s="602" t="s">
        <v>539</v>
      </c>
      <c r="E337" s="603" t="s">
        <v>344</v>
      </c>
      <c r="F337" s="604">
        <v>2</v>
      </c>
      <c r="G337" s="597"/>
      <c r="H337" s="597"/>
      <c r="I337" s="597">
        <v>7.3440000000000003</v>
      </c>
      <c r="J337" s="552">
        <f t="shared" ref="J337" si="164">I337+SUM(J338:J343)</f>
        <v>7.5865449684765069</v>
      </c>
      <c r="K337" s="552">
        <f t="shared" ref="K337" si="165">J337+SUM(K338:K343)</f>
        <v>7.6596690797111844</v>
      </c>
      <c r="L337" s="552">
        <f t="shared" ref="L337" si="166">K337+SUM(L338:L343)</f>
        <v>7.9921755713071558</v>
      </c>
      <c r="M337" s="552">
        <f t="shared" ref="M337" si="167">L337+SUM(M338:M343)</f>
        <v>9.7151385867990818</v>
      </c>
      <c r="N337" s="552">
        <f t="shared" ref="N337" si="168">M337+SUM(N338:N343)</f>
        <v>11.294516443378685</v>
      </c>
      <c r="O337" s="552">
        <f t="shared" ref="O337" si="169">N337+SUM(O338:O343)</f>
        <v>11.518558209986836</v>
      </c>
      <c r="P337" s="552">
        <f t="shared" ref="P337" si="170">O337+SUM(P338:P343)</f>
        <v>11.719723361325304</v>
      </c>
      <c r="Q337" s="552">
        <f t="shared" ref="Q337" si="171">P337+SUM(Q338:Q343)</f>
        <v>11.887821859331096</v>
      </c>
      <c r="R337" s="552">
        <f t="shared" ref="R337" si="172">Q337+SUM(R338:R343)</f>
        <v>12.033694903936642</v>
      </c>
      <c r="S337" s="552">
        <f t="shared" ref="S337" si="173">R337+SUM(S338:S343)</f>
        <v>12.153707764827647</v>
      </c>
      <c r="T337" s="552">
        <f t="shared" ref="T337" si="174">S337+SUM(T338:T343)</f>
        <v>12.264118213856072</v>
      </c>
      <c r="U337" s="552">
        <f t="shared" ref="U337" si="175">T337+SUM(U338:U343)</f>
        <v>12.372143937499519</v>
      </c>
      <c r="V337" s="552">
        <f t="shared" ref="V337" si="176">U337+SUM(V338:V343)</f>
        <v>12.478929576641974</v>
      </c>
      <c r="W337" s="552">
        <f t="shared" ref="W337" si="177">V337+SUM(W338:W343)</f>
        <v>12.583791295847233</v>
      </c>
      <c r="X337" s="552">
        <f t="shared" ref="X337" si="178">W337+SUM(X338:X343)</f>
        <v>12.684970571157187</v>
      </c>
      <c r="Y337" s="552">
        <f t="shared" ref="Y337" si="179">X337+SUM(Y338:Y343)</f>
        <v>12.782464543712718</v>
      </c>
      <c r="Z337" s="552">
        <f t="shared" ref="Z337" si="180">Y337+SUM(Z338:Z343)</f>
        <v>12.879135181615933</v>
      </c>
      <c r="AA337" s="552">
        <f t="shared" ref="AA337" si="181">Z337+SUM(AA338:AA343)</f>
        <v>12.974460342877077</v>
      </c>
      <c r="AB337" s="552">
        <f t="shared" ref="AB337" si="182">AA337+SUM(AB338:AB343)</f>
        <v>13.068996642618702</v>
      </c>
      <c r="AC337" s="552">
        <f t="shared" ref="AC337" si="183">AB337+SUM(AC338:AC343)</f>
        <v>13.162783137709967</v>
      </c>
      <c r="AD337" s="552">
        <f t="shared" ref="AD337" si="184">AC337+SUM(AD338:AD343)</f>
        <v>13.25456812604849</v>
      </c>
      <c r="AE337" s="552">
        <f t="shared" ref="AE337" si="185">AD337+SUM(AE338:AE343)</f>
        <v>13.3440284947298</v>
      </c>
      <c r="AF337" s="552">
        <f t="shared" ref="AF337" si="186">AE337+SUM(AF338:AF343)</f>
        <v>13.431423204062716</v>
      </c>
      <c r="AG337" s="552">
        <f t="shared" ref="AG337" si="187">AF337+SUM(AG338:AG343)</f>
        <v>13.517553109594262</v>
      </c>
      <c r="AH337" s="552">
        <f t="shared" ref="AH337" si="188">AG337+SUM(AH338:AH343)</f>
        <v>13.602380390137942</v>
      </c>
      <c r="AI337" s="552">
        <f t="shared" ref="AI337" si="189">AH337+SUM(AI338:AI343)</f>
        <v>13.686613796877147</v>
      </c>
      <c r="AJ337" s="552">
        <f t="shared" ref="AJ337" si="190">AI337+SUM(AJ338:AJ343)</f>
        <v>13.77074269380682</v>
      </c>
      <c r="AK337" s="552">
        <f t="shared" ref="AK337" si="191">AJ337+SUM(AK338:AK343)</f>
        <v>13.854610556746451</v>
      </c>
      <c r="AL337" s="552"/>
      <c r="AM337" s="552"/>
      <c r="AN337" s="552"/>
      <c r="AO337" s="552"/>
      <c r="AP337" s="552"/>
      <c r="AQ337" s="552"/>
      <c r="AR337" s="552"/>
      <c r="AS337" s="552"/>
      <c r="AT337" s="552"/>
      <c r="AU337" s="552"/>
      <c r="AV337" s="552"/>
      <c r="AW337" s="552"/>
      <c r="AX337" s="552"/>
      <c r="AY337" s="552"/>
      <c r="AZ337" s="552"/>
      <c r="BA337" s="552"/>
      <c r="BB337" s="552"/>
      <c r="BC337" s="552"/>
      <c r="BD337" s="552"/>
      <c r="BE337" s="552"/>
      <c r="BF337" s="552"/>
      <c r="BG337" s="552"/>
      <c r="BH337" s="552"/>
      <c r="BI337" s="552"/>
      <c r="BJ337" s="552"/>
      <c r="BK337" s="552"/>
      <c r="BL337" s="552"/>
      <c r="BM337" s="552"/>
      <c r="BN337" s="552"/>
      <c r="BO337" s="552"/>
      <c r="BP337" s="552"/>
      <c r="BQ337" s="552"/>
      <c r="BR337" s="552"/>
      <c r="BS337" s="552"/>
      <c r="BT337" s="552"/>
      <c r="BU337" s="552"/>
      <c r="BV337" s="552"/>
      <c r="BW337" s="552"/>
      <c r="BX337" s="552"/>
      <c r="BY337" s="552"/>
      <c r="BZ337" s="552"/>
      <c r="CA337" s="552"/>
      <c r="CB337" s="552"/>
      <c r="CC337" s="552"/>
      <c r="CD337" s="552"/>
      <c r="CE337" s="552"/>
      <c r="CF337" s="552"/>
      <c r="CG337" s="552"/>
      <c r="CH337" s="552"/>
      <c r="CI337" s="548"/>
      <c r="CK337" s="1296"/>
    </row>
    <row r="338" spans="2:89" x14ac:dyDescent="0.2">
      <c r="B338" s="973" t="s">
        <v>745</v>
      </c>
      <c r="C338" s="974" t="s">
        <v>541</v>
      </c>
      <c r="D338" s="602" t="s">
        <v>542</v>
      </c>
      <c r="E338" s="603" t="s">
        <v>344</v>
      </c>
      <c r="F338" s="604">
        <v>2</v>
      </c>
      <c r="G338" s="597"/>
      <c r="H338" s="597"/>
      <c r="I338" s="597">
        <v>0.115</v>
      </c>
      <c r="J338" s="597">
        <v>0.20896027825484997</v>
      </c>
      <c r="K338" s="597">
        <v>2.8480759731273793E-2</v>
      </c>
      <c r="L338" s="597">
        <v>1.8164601843074706E-2</v>
      </c>
      <c r="M338" s="598">
        <v>0.14929849552025007</v>
      </c>
      <c r="N338" s="598">
        <v>0.30219266443827475</v>
      </c>
      <c r="O338" s="598">
        <v>0.23068482350819977</v>
      </c>
      <c r="P338" s="598">
        <v>0.20708795498415203</v>
      </c>
      <c r="Q338" s="598">
        <v>0.1731568079605986</v>
      </c>
      <c r="R338" s="598">
        <v>0.15123160265419938</v>
      </c>
      <c r="S338" s="598">
        <v>0.12555723024699911</v>
      </c>
      <c r="T338" s="598">
        <v>0.11565249357315224</v>
      </c>
      <c r="U338" s="598">
        <v>0.11319268687919976</v>
      </c>
      <c r="V338" s="598">
        <v>0.11191355923799892</v>
      </c>
      <c r="W338" s="598">
        <v>0.10992906610937643</v>
      </c>
      <c r="X338" s="598">
        <v>0.10613068320087404</v>
      </c>
      <c r="Y338" s="598">
        <v>0.10232935142419956</v>
      </c>
      <c r="Z338" s="598">
        <v>0.1014800946913765</v>
      </c>
      <c r="AA338" s="598">
        <v>0.1009751834636736</v>
      </c>
      <c r="AB338" s="598">
        <v>9.9661485224651181E-2</v>
      </c>
      <c r="AC338" s="598">
        <v>9.838807353132506E-2</v>
      </c>
      <c r="AD338" s="598">
        <v>9.6323550823848567E-2</v>
      </c>
      <c r="AE338" s="598">
        <v>9.3925742241899576E-2</v>
      </c>
      <c r="AF338" s="598">
        <v>9.1795047141902619E-2</v>
      </c>
      <c r="AG338" s="598">
        <v>9.0490421931497617E-2</v>
      </c>
      <c r="AH338" s="598">
        <v>8.9146784762600878E-2</v>
      </c>
      <c r="AI338" s="598">
        <v>8.8534213282126073E-2</v>
      </c>
      <c r="AJ338" s="598">
        <v>8.8426413058798059E-2</v>
      </c>
      <c r="AK338" s="598">
        <v>8.8157160607301194E-2</v>
      </c>
      <c r="AL338" s="598"/>
      <c r="AM338" s="598"/>
      <c r="AN338" s="598"/>
      <c r="AO338" s="598"/>
      <c r="AP338" s="598"/>
      <c r="AQ338" s="598"/>
      <c r="AR338" s="598"/>
      <c r="AS338" s="598"/>
      <c r="AT338" s="598"/>
      <c r="AU338" s="598"/>
      <c r="AV338" s="598"/>
      <c r="AW338" s="598"/>
      <c r="AX338" s="598"/>
      <c r="AY338" s="598"/>
      <c r="AZ338" s="598"/>
      <c r="BA338" s="598"/>
      <c r="BB338" s="598"/>
      <c r="BC338" s="598"/>
      <c r="BD338" s="598"/>
      <c r="BE338" s="598"/>
      <c r="BF338" s="598"/>
      <c r="BG338" s="598"/>
      <c r="BH338" s="598"/>
      <c r="BI338" s="598"/>
      <c r="BJ338" s="598"/>
      <c r="BK338" s="598"/>
      <c r="BL338" s="598"/>
      <c r="BM338" s="598"/>
      <c r="BN338" s="598"/>
      <c r="BO338" s="598"/>
      <c r="BP338" s="598"/>
      <c r="BQ338" s="598"/>
      <c r="BR338" s="598"/>
      <c r="BS338" s="598"/>
      <c r="BT338" s="598"/>
      <c r="BU338" s="598"/>
      <c r="BV338" s="598"/>
      <c r="BW338" s="598"/>
      <c r="BX338" s="598"/>
      <c r="BY338" s="598"/>
      <c r="BZ338" s="598"/>
      <c r="CA338" s="598"/>
      <c r="CB338" s="598"/>
      <c r="CC338" s="598"/>
      <c r="CD338" s="598"/>
      <c r="CE338" s="598"/>
      <c r="CF338" s="598"/>
      <c r="CG338" s="598"/>
      <c r="CH338" s="598"/>
      <c r="CI338" s="599"/>
      <c r="CK338" s="1296"/>
    </row>
    <row r="339" spans="2:89" x14ac:dyDescent="0.2">
      <c r="B339" s="973" t="s">
        <v>746</v>
      </c>
      <c r="C339" s="974" t="s">
        <v>544</v>
      </c>
      <c r="D339" s="602" t="s">
        <v>545</v>
      </c>
      <c r="E339" s="603" t="s">
        <v>344</v>
      </c>
      <c r="F339" s="604">
        <v>2</v>
      </c>
      <c r="G339" s="597"/>
      <c r="H339" s="597"/>
      <c r="I339" s="597">
        <v>0</v>
      </c>
      <c r="J339" s="597">
        <v>4.3630818481489524E-2</v>
      </c>
      <c r="K339" s="597">
        <v>4.8000000000000001E-2</v>
      </c>
      <c r="L339" s="597">
        <v>0.30599999999999999</v>
      </c>
      <c r="M339" s="598">
        <v>0.44068999999999997</v>
      </c>
      <c r="N339" s="598">
        <v>0.15969</v>
      </c>
      <c r="O339" s="598">
        <v>2E-3</v>
      </c>
      <c r="P339" s="598">
        <v>2E-3</v>
      </c>
      <c r="Q339" s="598">
        <v>2E-3</v>
      </c>
      <c r="R339" s="598">
        <v>1E-3</v>
      </c>
      <c r="S339" s="598">
        <v>0</v>
      </c>
      <c r="T339" s="598">
        <v>0</v>
      </c>
      <c r="U339" s="598">
        <v>0</v>
      </c>
      <c r="V339" s="598">
        <v>0</v>
      </c>
      <c r="W339" s="598">
        <v>0</v>
      </c>
      <c r="X339" s="598">
        <v>0</v>
      </c>
      <c r="Y339" s="598">
        <v>0</v>
      </c>
      <c r="Z339" s="598">
        <v>0</v>
      </c>
      <c r="AA339" s="598">
        <v>0</v>
      </c>
      <c r="AB339" s="598">
        <v>0</v>
      </c>
      <c r="AC339" s="598">
        <v>0</v>
      </c>
      <c r="AD339" s="598">
        <v>0</v>
      </c>
      <c r="AE339" s="598">
        <v>0</v>
      </c>
      <c r="AF339" s="598">
        <v>0</v>
      </c>
      <c r="AG339" s="598">
        <v>0</v>
      </c>
      <c r="AH339" s="598">
        <v>0</v>
      </c>
      <c r="AI339" s="598">
        <v>0</v>
      </c>
      <c r="AJ339" s="598">
        <v>0</v>
      </c>
      <c r="AK339" s="598">
        <v>0</v>
      </c>
      <c r="AL339" s="598"/>
      <c r="AM339" s="598"/>
      <c r="AN339" s="598"/>
      <c r="AO339" s="598"/>
      <c r="AP339" s="598"/>
      <c r="AQ339" s="598"/>
      <c r="AR339" s="598"/>
      <c r="AS339" s="598"/>
      <c r="AT339" s="598"/>
      <c r="AU339" s="598"/>
      <c r="AV339" s="598"/>
      <c r="AW339" s="598"/>
      <c r="AX339" s="598"/>
      <c r="AY339" s="598"/>
      <c r="AZ339" s="598"/>
      <c r="BA339" s="598"/>
      <c r="BB339" s="598"/>
      <c r="BC339" s="598"/>
      <c r="BD339" s="598"/>
      <c r="BE339" s="598"/>
      <c r="BF339" s="598"/>
      <c r="BG339" s="598"/>
      <c r="BH339" s="598"/>
      <c r="BI339" s="598"/>
      <c r="BJ339" s="598"/>
      <c r="BK339" s="598"/>
      <c r="BL339" s="598"/>
      <c r="BM339" s="598"/>
      <c r="BN339" s="598"/>
      <c r="BO339" s="598"/>
      <c r="BP339" s="598"/>
      <c r="BQ339" s="598"/>
      <c r="BR339" s="598"/>
      <c r="BS339" s="598"/>
      <c r="BT339" s="598"/>
      <c r="BU339" s="598"/>
      <c r="BV339" s="598"/>
      <c r="BW339" s="598"/>
      <c r="BX339" s="598"/>
      <c r="BY339" s="598"/>
      <c r="BZ339" s="598"/>
      <c r="CA339" s="598"/>
      <c r="CB339" s="598"/>
      <c r="CC339" s="598"/>
      <c r="CD339" s="598"/>
      <c r="CE339" s="598"/>
      <c r="CF339" s="598"/>
      <c r="CG339" s="598"/>
      <c r="CH339" s="598"/>
      <c r="CI339" s="599"/>
      <c r="CK339" s="1296"/>
    </row>
    <row r="340" spans="2:89" ht="28.5" x14ac:dyDescent="0.2">
      <c r="B340" s="973" t="s">
        <v>747</v>
      </c>
      <c r="C340" s="974" t="s">
        <v>547</v>
      </c>
      <c r="D340" s="602" t="s">
        <v>548</v>
      </c>
      <c r="E340" s="603" t="s">
        <v>344</v>
      </c>
      <c r="F340" s="604">
        <v>2</v>
      </c>
      <c r="G340" s="597"/>
      <c r="H340" s="597"/>
      <c r="I340" s="597">
        <v>0</v>
      </c>
      <c r="J340" s="597">
        <v>0</v>
      </c>
      <c r="K340" s="597">
        <v>0</v>
      </c>
      <c r="L340" s="597">
        <v>0</v>
      </c>
      <c r="M340" s="598">
        <v>0</v>
      </c>
      <c r="N340" s="598">
        <v>0</v>
      </c>
      <c r="O340" s="598">
        <v>0</v>
      </c>
      <c r="P340" s="598">
        <v>0</v>
      </c>
      <c r="Q340" s="598">
        <v>0</v>
      </c>
      <c r="R340" s="598">
        <v>0</v>
      </c>
      <c r="S340" s="598">
        <v>0</v>
      </c>
      <c r="T340" s="598">
        <v>0</v>
      </c>
      <c r="U340" s="598">
        <v>0</v>
      </c>
      <c r="V340" s="598">
        <v>0</v>
      </c>
      <c r="W340" s="598">
        <v>0</v>
      </c>
      <c r="X340" s="598">
        <v>0</v>
      </c>
      <c r="Y340" s="598">
        <v>0</v>
      </c>
      <c r="Z340" s="598">
        <v>0</v>
      </c>
      <c r="AA340" s="598">
        <v>0</v>
      </c>
      <c r="AB340" s="598">
        <v>5.0000000000000001E-4</v>
      </c>
      <c r="AC340" s="598">
        <v>1E-3</v>
      </c>
      <c r="AD340" s="598">
        <v>1E-3</v>
      </c>
      <c r="AE340" s="598">
        <v>1E-3</v>
      </c>
      <c r="AF340" s="598">
        <v>1E-3</v>
      </c>
      <c r="AG340" s="598">
        <v>1E-3</v>
      </c>
      <c r="AH340" s="598">
        <v>1E-3</v>
      </c>
      <c r="AI340" s="598">
        <v>1E-3</v>
      </c>
      <c r="AJ340" s="598">
        <v>1E-3</v>
      </c>
      <c r="AK340" s="598">
        <v>1E-3</v>
      </c>
      <c r="AL340" s="598"/>
      <c r="AM340" s="598"/>
      <c r="AN340" s="598"/>
      <c r="AO340" s="598"/>
      <c r="AP340" s="598"/>
      <c r="AQ340" s="598"/>
      <c r="AR340" s="598"/>
      <c r="AS340" s="598"/>
      <c r="AT340" s="598"/>
      <c r="AU340" s="598"/>
      <c r="AV340" s="598"/>
      <c r="AW340" s="598"/>
      <c r="AX340" s="598"/>
      <c r="AY340" s="598"/>
      <c r="AZ340" s="598"/>
      <c r="BA340" s="598"/>
      <c r="BB340" s="598"/>
      <c r="BC340" s="598"/>
      <c r="BD340" s="598"/>
      <c r="BE340" s="598"/>
      <c r="BF340" s="598"/>
      <c r="BG340" s="598"/>
      <c r="BH340" s="598"/>
      <c r="BI340" s="598"/>
      <c r="BJ340" s="598"/>
      <c r="BK340" s="598"/>
      <c r="BL340" s="598"/>
      <c r="BM340" s="598"/>
      <c r="BN340" s="598"/>
      <c r="BO340" s="598"/>
      <c r="BP340" s="598"/>
      <c r="BQ340" s="598"/>
      <c r="BR340" s="598"/>
      <c r="BS340" s="598"/>
      <c r="BT340" s="598"/>
      <c r="BU340" s="598"/>
      <c r="BV340" s="598"/>
      <c r="BW340" s="598"/>
      <c r="BX340" s="598"/>
      <c r="BY340" s="598"/>
      <c r="BZ340" s="598"/>
      <c r="CA340" s="598"/>
      <c r="CB340" s="598"/>
      <c r="CC340" s="598"/>
      <c r="CD340" s="598"/>
      <c r="CE340" s="598"/>
      <c r="CF340" s="598"/>
      <c r="CG340" s="598"/>
      <c r="CH340" s="598"/>
      <c r="CI340" s="599"/>
      <c r="CK340" s="1296"/>
    </row>
    <row r="341" spans="2:89" ht="28.5" x14ac:dyDescent="0.2">
      <c r="B341" s="973" t="s">
        <v>748</v>
      </c>
      <c r="C341" s="974" t="s">
        <v>550</v>
      </c>
      <c r="D341" s="602" t="s">
        <v>551</v>
      </c>
      <c r="E341" s="603" t="s">
        <v>344</v>
      </c>
      <c r="F341" s="604">
        <v>2</v>
      </c>
      <c r="G341" s="597"/>
      <c r="H341" s="597"/>
      <c r="I341" s="597">
        <v>0</v>
      </c>
      <c r="J341" s="597">
        <v>0</v>
      </c>
      <c r="K341" s="597">
        <v>0</v>
      </c>
      <c r="L341" s="597">
        <v>0</v>
      </c>
      <c r="M341" s="598">
        <v>0</v>
      </c>
      <c r="N341" s="598">
        <v>0</v>
      </c>
      <c r="O341" s="598">
        <v>0</v>
      </c>
      <c r="P341" s="598">
        <v>0</v>
      </c>
      <c r="Q341" s="598">
        <v>0</v>
      </c>
      <c r="R341" s="598">
        <v>0</v>
      </c>
      <c r="S341" s="598">
        <v>0</v>
      </c>
      <c r="T341" s="598">
        <v>0</v>
      </c>
      <c r="U341" s="598">
        <v>0</v>
      </c>
      <c r="V341" s="598">
        <v>0</v>
      </c>
      <c r="W341" s="598">
        <v>0</v>
      </c>
      <c r="X341" s="598">
        <v>0</v>
      </c>
      <c r="Y341" s="598">
        <v>0</v>
      </c>
      <c r="Z341" s="598">
        <v>0</v>
      </c>
      <c r="AA341" s="598">
        <v>0</v>
      </c>
      <c r="AB341" s="598">
        <v>0</v>
      </c>
      <c r="AC341" s="598">
        <v>0</v>
      </c>
      <c r="AD341" s="598">
        <v>0</v>
      </c>
      <c r="AE341" s="598">
        <v>0</v>
      </c>
      <c r="AF341" s="598">
        <v>0</v>
      </c>
      <c r="AG341" s="598">
        <v>0</v>
      </c>
      <c r="AH341" s="598">
        <v>0</v>
      </c>
      <c r="AI341" s="598">
        <v>0</v>
      </c>
      <c r="AJ341" s="598">
        <v>0</v>
      </c>
      <c r="AK341" s="598">
        <v>0</v>
      </c>
      <c r="AL341" s="598"/>
      <c r="AM341" s="598"/>
      <c r="AN341" s="598"/>
      <c r="AO341" s="598"/>
      <c r="AP341" s="598"/>
      <c r="AQ341" s="598"/>
      <c r="AR341" s="598"/>
      <c r="AS341" s="598"/>
      <c r="AT341" s="598"/>
      <c r="AU341" s="598"/>
      <c r="AV341" s="598"/>
      <c r="AW341" s="598"/>
      <c r="AX341" s="598"/>
      <c r="AY341" s="598"/>
      <c r="AZ341" s="598"/>
      <c r="BA341" s="598"/>
      <c r="BB341" s="598"/>
      <c r="BC341" s="598"/>
      <c r="BD341" s="598"/>
      <c r="BE341" s="598"/>
      <c r="BF341" s="598"/>
      <c r="BG341" s="598"/>
      <c r="BH341" s="598"/>
      <c r="BI341" s="598"/>
      <c r="BJ341" s="598"/>
      <c r="BK341" s="598"/>
      <c r="BL341" s="598"/>
      <c r="BM341" s="598"/>
      <c r="BN341" s="598"/>
      <c r="BO341" s="598"/>
      <c r="BP341" s="598"/>
      <c r="BQ341" s="598"/>
      <c r="BR341" s="598"/>
      <c r="BS341" s="598"/>
      <c r="BT341" s="598"/>
      <c r="BU341" s="598"/>
      <c r="BV341" s="598"/>
      <c r="BW341" s="598"/>
      <c r="BX341" s="598"/>
      <c r="BY341" s="598"/>
      <c r="BZ341" s="598"/>
      <c r="CA341" s="598"/>
      <c r="CB341" s="598"/>
      <c r="CC341" s="598"/>
      <c r="CD341" s="598"/>
      <c r="CE341" s="598"/>
      <c r="CF341" s="598"/>
      <c r="CG341" s="598"/>
      <c r="CH341" s="598"/>
      <c r="CI341" s="599"/>
      <c r="CK341" s="1296"/>
    </row>
    <row r="342" spans="2:89" x14ac:dyDescent="0.2">
      <c r="B342" s="973" t="s">
        <v>749</v>
      </c>
      <c r="C342" s="974" t="s">
        <v>553</v>
      </c>
      <c r="D342" s="602" t="s">
        <v>554</v>
      </c>
      <c r="E342" s="603" t="s">
        <v>344</v>
      </c>
      <c r="F342" s="604">
        <v>2</v>
      </c>
      <c r="G342" s="597"/>
      <c r="H342" s="597"/>
      <c r="I342" s="597">
        <v>0</v>
      </c>
      <c r="J342" s="597">
        <v>1.35E-4</v>
      </c>
      <c r="K342" s="597">
        <v>2.7E-4</v>
      </c>
      <c r="L342" s="597">
        <v>2.0135E-2</v>
      </c>
      <c r="M342" s="598">
        <v>1.1888100000000001</v>
      </c>
      <c r="N342" s="598">
        <v>1.1688100000000001</v>
      </c>
      <c r="O342" s="598">
        <v>0</v>
      </c>
      <c r="P342" s="598">
        <v>0</v>
      </c>
      <c r="Q342" s="598">
        <v>0</v>
      </c>
      <c r="R342" s="598">
        <v>0</v>
      </c>
      <c r="S342" s="598">
        <v>0</v>
      </c>
      <c r="T342" s="598">
        <v>0</v>
      </c>
      <c r="U342" s="598">
        <v>0</v>
      </c>
      <c r="V342" s="598">
        <v>0</v>
      </c>
      <c r="W342" s="598">
        <v>0</v>
      </c>
      <c r="X342" s="598">
        <v>0</v>
      </c>
      <c r="Y342" s="598">
        <v>0</v>
      </c>
      <c r="Z342" s="598">
        <v>0</v>
      </c>
      <c r="AA342" s="598">
        <v>0</v>
      </c>
      <c r="AB342" s="598">
        <v>5.0000000000000001E-4</v>
      </c>
      <c r="AC342" s="598">
        <v>1E-3</v>
      </c>
      <c r="AD342" s="598">
        <v>1E-3</v>
      </c>
      <c r="AE342" s="598">
        <v>1E-3</v>
      </c>
      <c r="AF342" s="598">
        <v>1E-3</v>
      </c>
      <c r="AG342" s="598">
        <v>1E-3</v>
      </c>
      <c r="AH342" s="598">
        <v>1E-3</v>
      </c>
      <c r="AI342" s="598">
        <v>1E-3</v>
      </c>
      <c r="AJ342" s="598">
        <v>1E-3</v>
      </c>
      <c r="AK342" s="598">
        <v>1E-3</v>
      </c>
      <c r="AL342" s="598"/>
      <c r="AM342" s="598"/>
      <c r="AN342" s="598"/>
      <c r="AO342" s="598"/>
      <c r="AP342" s="598"/>
      <c r="AQ342" s="598"/>
      <c r="AR342" s="598"/>
      <c r="AS342" s="598"/>
      <c r="AT342" s="598"/>
      <c r="AU342" s="598"/>
      <c r="AV342" s="598"/>
      <c r="AW342" s="598"/>
      <c r="AX342" s="598"/>
      <c r="AY342" s="598"/>
      <c r="AZ342" s="598"/>
      <c r="BA342" s="598"/>
      <c r="BB342" s="598"/>
      <c r="BC342" s="598"/>
      <c r="BD342" s="598"/>
      <c r="BE342" s="598"/>
      <c r="BF342" s="598"/>
      <c r="BG342" s="598"/>
      <c r="BH342" s="598"/>
      <c r="BI342" s="598"/>
      <c r="BJ342" s="598"/>
      <c r="BK342" s="598"/>
      <c r="BL342" s="598"/>
      <c r="BM342" s="598"/>
      <c r="BN342" s="598"/>
      <c r="BO342" s="598"/>
      <c r="BP342" s="598"/>
      <c r="BQ342" s="598"/>
      <c r="BR342" s="598"/>
      <c r="BS342" s="598"/>
      <c r="BT342" s="598"/>
      <c r="BU342" s="598"/>
      <c r="BV342" s="598"/>
      <c r="BW342" s="598"/>
      <c r="BX342" s="598"/>
      <c r="BY342" s="598"/>
      <c r="BZ342" s="598"/>
      <c r="CA342" s="598"/>
      <c r="CB342" s="598"/>
      <c r="CC342" s="598"/>
      <c r="CD342" s="598"/>
      <c r="CE342" s="598"/>
      <c r="CF342" s="598"/>
      <c r="CG342" s="598"/>
      <c r="CH342" s="598"/>
      <c r="CI342" s="599"/>
      <c r="CK342" s="1296"/>
    </row>
    <row r="343" spans="2:89" ht="28.5" x14ac:dyDescent="0.2">
      <c r="B343" s="973" t="s">
        <v>750</v>
      </c>
      <c r="C343" s="974" t="s">
        <v>556</v>
      </c>
      <c r="D343" s="602" t="s">
        <v>557</v>
      </c>
      <c r="E343" s="603" t="s">
        <v>344</v>
      </c>
      <c r="F343" s="604">
        <v>2</v>
      </c>
      <c r="G343" s="597"/>
      <c r="H343" s="597"/>
      <c r="I343" s="597">
        <v>0</v>
      </c>
      <c r="J343" s="597">
        <v>-1.0181128259833194E-2</v>
      </c>
      <c r="K343" s="597">
        <v>-3.6266484965965518E-3</v>
      </c>
      <c r="L343" s="597">
        <v>-1.1793110247102945E-2</v>
      </c>
      <c r="M343" s="598">
        <v>-5.5835480028324724E-2</v>
      </c>
      <c r="N343" s="598">
        <v>-5.131480785867204E-2</v>
      </c>
      <c r="O343" s="598">
        <v>-8.643056900048407E-3</v>
      </c>
      <c r="P343" s="598">
        <v>-7.9228036456839845E-3</v>
      </c>
      <c r="Q343" s="598">
        <v>-7.0583099548073847E-3</v>
      </c>
      <c r="R343" s="598">
        <v>-6.3585580486531512E-3</v>
      </c>
      <c r="S343" s="598">
        <v>-5.5443693559933394E-3</v>
      </c>
      <c r="T343" s="598">
        <v>-5.2420445447278752E-3</v>
      </c>
      <c r="U343" s="598">
        <v>-5.1669632357533857E-3</v>
      </c>
      <c r="V343" s="598">
        <v>-5.1279200955445248E-3</v>
      </c>
      <c r="W343" s="598">
        <v>-5.0673469041182528E-3</v>
      </c>
      <c r="X343" s="598">
        <v>-4.9514078909194126E-3</v>
      </c>
      <c r="Y343" s="598">
        <v>-4.8353788686679167E-3</v>
      </c>
      <c r="Z343" s="598">
        <v>-4.8094567881626915E-3</v>
      </c>
      <c r="AA343" s="598">
        <v>-5.6500222025288593E-3</v>
      </c>
      <c r="AB343" s="598">
        <v>-6.1251854830253194E-3</v>
      </c>
      <c r="AC343" s="598">
        <v>-6.6015784400601518E-3</v>
      </c>
      <c r="AD343" s="598">
        <v>-6.5385624853266933E-3</v>
      </c>
      <c r="AE343" s="598">
        <v>-6.4653735605890716E-3</v>
      </c>
      <c r="AF343" s="598">
        <v>-6.4003378089871887E-3</v>
      </c>
      <c r="AG343" s="598">
        <v>-6.360516399951166E-3</v>
      </c>
      <c r="AH343" s="598">
        <v>-6.319504218922134E-3</v>
      </c>
      <c r="AI343" s="598">
        <v>-6.3008065429208671E-3</v>
      </c>
      <c r="AJ343" s="598">
        <v>-6.2975161291252135E-3</v>
      </c>
      <c r="AK343" s="598">
        <v>-6.2892976676707235E-3</v>
      </c>
      <c r="AL343" s="598"/>
      <c r="AM343" s="598"/>
      <c r="AN343" s="598"/>
      <c r="AO343" s="598"/>
      <c r="AP343" s="598"/>
      <c r="AQ343" s="598"/>
      <c r="AR343" s="598"/>
      <c r="AS343" s="598"/>
      <c r="AT343" s="598"/>
      <c r="AU343" s="598"/>
      <c r="AV343" s="598"/>
      <c r="AW343" s="598"/>
      <c r="AX343" s="598"/>
      <c r="AY343" s="598"/>
      <c r="AZ343" s="598"/>
      <c r="BA343" s="598"/>
      <c r="BB343" s="598"/>
      <c r="BC343" s="598"/>
      <c r="BD343" s="598"/>
      <c r="BE343" s="598"/>
      <c r="BF343" s="598"/>
      <c r="BG343" s="598"/>
      <c r="BH343" s="598"/>
      <c r="BI343" s="598"/>
      <c r="BJ343" s="598"/>
      <c r="BK343" s="598"/>
      <c r="BL343" s="598"/>
      <c r="BM343" s="598"/>
      <c r="BN343" s="598"/>
      <c r="BO343" s="598"/>
      <c r="BP343" s="598"/>
      <c r="BQ343" s="598"/>
      <c r="BR343" s="598"/>
      <c r="BS343" s="598"/>
      <c r="BT343" s="598"/>
      <c r="BU343" s="598"/>
      <c r="BV343" s="598"/>
      <c r="BW343" s="598"/>
      <c r="BX343" s="598"/>
      <c r="BY343" s="598"/>
      <c r="BZ343" s="598"/>
      <c r="CA343" s="598"/>
      <c r="CB343" s="598"/>
      <c r="CC343" s="598"/>
      <c r="CD343" s="598"/>
      <c r="CE343" s="598"/>
      <c r="CF343" s="598"/>
      <c r="CG343" s="598"/>
      <c r="CH343" s="598"/>
      <c r="CI343" s="599"/>
      <c r="CK343" s="1296"/>
    </row>
    <row r="344" spans="2:89" x14ac:dyDescent="0.2">
      <c r="B344" s="973" t="s">
        <v>751</v>
      </c>
      <c r="C344" s="974" t="s">
        <v>559</v>
      </c>
      <c r="D344" s="918" t="s">
        <v>86</v>
      </c>
      <c r="E344" s="960" t="s">
        <v>344</v>
      </c>
      <c r="F344" s="961">
        <v>2</v>
      </c>
      <c r="G344" s="597"/>
      <c r="H344" s="597"/>
      <c r="I344" s="597">
        <v>0.23</v>
      </c>
      <c r="J344" s="597">
        <v>0.238856738137941</v>
      </c>
      <c r="K344" s="597">
        <v>0.24115899651264597</v>
      </c>
      <c r="L344" s="597">
        <v>0.25162771663785649</v>
      </c>
      <c r="M344" s="598">
        <v>0.30587392851991108</v>
      </c>
      <c r="N344" s="598">
        <v>0.35559946823231242</v>
      </c>
      <c r="O344" s="598">
        <v>0.36265325698609224</v>
      </c>
      <c r="P344" s="598">
        <v>0.36898679248550431</v>
      </c>
      <c r="Q344" s="598">
        <v>0.37427924894445724</v>
      </c>
      <c r="R344" s="598">
        <v>0.37887195349725555</v>
      </c>
      <c r="S344" s="598">
        <v>0.38265046935739216</v>
      </c>
      <c r="T344" s="598">
        <v>0.38612666040626314</v>
      </c>
      <c r="U344" s="598">
        <v>0.38952777014616174</v>
      </c>
      <c r="V344" s="598">
        <v>0.39288983674584926</v>
      </c>
      <c r="W344" s="598">
        <v>0.39619133015411079</v>
      </c>
      <c r="X344" s="598">
        <v>0.3993768845491768</v>
      </c>
      <c r="Y344" s="598">
        <v>0.4024464099219896</v>
      </c>
      <c r="Z344" s="598">
        <v>0.40549001321429479</v>
      </c>
      <c r="AA344" s="598">
        <v>0.40849125517304141</v>
      </c>
      <c r="AB344" s="598">
        <v>0.41146766041228294</v>
      </c>
      <c r="AC344" s="598">
        <v>0.41442045860855969</v>
      </c>
      <c r="AD344" s="598">
        <v>0.41731024085010232</v>
      </c>
      <c r="AE344" s="598">
        <v>0.42012683416690527</v>
      </c>
      <c r="AF344" s="598">
        <v>0.42287839173210945</v>
      </c>
      <c r="AG344" s="598">
        <v>0.4255901278882751</v>
      </c>
      <c r="AH344" s="598">
        <v>0.42826085186341345</v>
      </c>
      <c r="AI344" s="598">
        <v>0.43091287816254886</v>
      </c>
      <c r="AJ344" s="598">
        <v>0.4335616140478909</v>
      </c>
      <c r="AK344" s="598">
        <v>0.43620213147177733</v>
      </c>
      <c r="AL344" s="598"/>
      <c r="AM344" s="598"/>
      <c r="AN344" s="598"/>
      <c r="AO344" s="598"/>
      <c r="AP344" s="598"/>
      <c r="AQ344" s="598"/>
      <c r="AR344" s="598"/>
      <c r="AS344" s="598"/>
      <c r="AT344" s="598"/>
      <c r="AU344" s="598"/>
      <c r="AV344" s="598"/>
      <c r="AW344" s="598"/>
      <c r="AX344" s="598"/>
      <c r="AY344" s="598"/>
      <c r="AZ344" s="598"/>
      <c r="BA344" s="598"/>
      <c r="BB344" s="598"/>
      <c r="BC344" s="598"/>
      <c r="BD344" s="598"/>
      <c r="BE344" s="598"/>
      <c r="BF344" s="598"/>
      <c r="BG344" s="598"/>
      <c r="BH344" s="598"/>
      <c r="BI344" s="598"/>
      <c r="BJ344" s="598"/>
      <c r="BK344" s="598"/>
      <c r="BL344" s="598"/>
      <c r="BM344" s="598"/>
      <c r="BN344" s="598"/>
      <c r="BO344" s="598"/>
      <c r="BP344" s="598"/>
      <c r="BQ344" s="598"/>
      <c r="BR344" s="598"/>
      <c r="BS344" s="598"/>
      <c r="BT344" s="598"/>
      <c r="BU344" s="598"/>
      <c r="BV344" s="598"/>
      <c r="BW344" s="598"/>
      <c r="BX344" s="598"/>
      <c r="BY344" s="598"/>
      <c r="BZ344" s="598"/>
      <c r="CA344" s="598"/>
      <c r="CB344" s="598"/>
      <c r="CC344" s="598"/>
      <c r="CD344" s="598"/>
      <c r="CE344" s="598"/>
      <c r="CF344" s="598"/>
      <c r="CG344" s="598"/>
      <c r="CH344" s="598"/>
      <c r="CI344" s="599"/>
      <c r="CK344" s="1296"/>
    </row>
    <row r="345" spans="2:89" ht="28.5" x14ac:dyDescent="0.2">
      <c r="B345" s="973" t="s">
        <v>752</v>
      </c>
      <c r="C345" s="974" t="s">
        <v>561</v>
      </c>
      <c r="D345" s="918" t="s">
        <v>86</v>
      </c>
      <c r="E345" s="960" t="s">
        <v>344</v>
      </c>
      <c r="F345" s="961">
        <v>2</v>
      </c>
      <c r="G345" s="597"/>
      <c r="H345" s="597"/>
      <c r="I345" s="597">
        <v>3.4140000000000001</v>
      </c>
      <c r="J345" s="597">
        <v>3.3693005048847255</v>
      </c>
      <c r="K345" s="597">
        <v>3.3201527315590238</v>
      </c>
      <c r="L345" s="597">
        <v>2.9993430120398479</v>
      </c>
      <c r="M345" s="598">
        <v>1.4052422679070486</v>
      </c>
      <c r="N345" s="598">
        <v>0.10542200459851973</v>
      </c>
      <c r="O345" s="598">
        <v>0.10248897655043732</v>
      </c>
      <c r="P345" s="598">
        <v>9.9555948502354885E-2</v>
      </c>
      <c r="Q345" s="598">
        <v>9.6622920454272454E-2</v>
      </c>
      <c r="R345" s="598">
        <v>9.4667568422217505E-2</v>
      </c>
      <c r="S345" s="598">
        <v>9.3689892406190023E-2</v>
      </c>
      <c r="T345" s="598">
        <v>9.2712216390162555E-2</v>
      </c>
      <c r="U345" s="598">
        <v>9.1734540374135073E-2</v>
      </c>
      <c r="V345" s="598">
        <v>9.0756864358107606E-2</v>
      </c>
      <c r="W345" s="598">
        <v>8.9779188342080138E-2</v>
      </c>
      <c r="X345" s="598">
        <v>8.8801512326052656E-2</v>
      </c>
      <c r="Y345" s="598">
        <v>8.7823836310025175E-2</v>
      </c>
      <c r="Z345" s="598">
        <v>8.6846160293997693E-2</v>
      </c>
      <c r="AA345" s="598">
        <v>8.5868484277970225E-2</v>
      </c>
      <c r="AB345" s="598">
        <v>8.440197025392901E-2</v>
      </c>
      <c r="AC345" s="598">
        <v>8.244661822187406E-2</v>
      </c>
      <c r="AD345" s="598">
        <v>8.0491266189819111E-2</v>
      </c>
      <c r="AE345" s="598">
        <v>7.8535914157764147E-2</v>
      </c>
      <c r="AF345" s="598">
        <v>7.6580562125709212E-2</v>
      </c>
      <c r="AG345" s="598">
        <v>7.4625210093654262E-2</v>
      </c>
      <c r="AH345" s="598">
        <v>7.2669858061599299E-2</v>
      </c>
      <c r="AI345" s="598">
        <v>7.0714506029544349E-2</v>
      </c>
      <c r="AJ345" s="598">
        <v>6.87591539974894E-2</v>
      </c>
      <c r="AK345" s="598">
        <v>6.6803801965434451E-2</v>
      </c>
      <c r="AL345" s="598"/>
      <c r="AM345" s="598"/>
      <c r="AN345" s="598"/>
      <c r="AO345" s="598"/>
      <c r="AP345" s="598"/>
      <c r="AQ345" s="598"/>
      <c r="AR345" s="598"/>
      <c r="AS345" s="598"/>
      <c r="AT345" s="598"/>
      <c r="AU345" s="598"/>
      <c r="AV345" s="598"/>
      <c r="AW345" s="598"/>
      <c r="AX345" s="598"/>
      <c r="AY345" s="598"/>
      <c r="AZ345" s="598"/>
      <c r="BA345" s="598"/>
      <c r="BB345" s="598"/>
      <c r="BC345" s="598"/>
      <c r="BD345" s="598"/>
      <c r="BE345" s="598"/>
      <c r="BF345" s="598"/>
      <c r="BG345" s="598"/>
      <c r="BH345" s="598"/>
      <c r="BI345" s="598"/>
      <c r="BJ345" s="598"/>
      <c r="BK345" s="598"/>
      <c r="BL345" s="598"/>
      <c r="BM345" s="598"/>
      <c r="BN345" s="598"/>
      <c r="BO345" s="598"/>
      <c r="BP345" s="598"/>
      <c r="BQ345" s="598"/>
      <c r="BR345" s="598"/>
      <c r="BS345" s="598"/>
      <c r="BT345" s="598"/>
      <c r="BU345" s="598"/>
      <c r="BV345" s="598"/>
      <c r="BW345" s="598"/>
      <c r="BX345" s="598"/>
      <c r="BY345" s="598"/>
      <c r="BZ345" s="598"/>
      <c r="CA345" s="598"/>
      <c r="CB345" s="598"/>
      <c r="CC345" s="598"/>
      <c r="CD345" s="598"/>
      <c r="CE345" s="598"/>
      <c r="CF345" s="598"/>
      <c r="CG345" s="598"/>
      <c r="CH345" s="598"/>
      <c r="CI345" s="599"/>
      <c r="CK345" s="1296"/>
    </row>
    <row r="346" spans="2:89" x14ac:dyDescent="0.2">
      <c r="B346" s="973" t="s">
        <v>753</v>
      </c>
      <c r="C346" s="974" t="s">
        <v>563</v>
      </c>
      <c r="D346" s="918" t="s">
        <v>86</v>
      </c>
      <c r="E346" s="960" t="s">
        <v>344</v>
      </c>
      <c r="F346" s="961">
        <v>2</v>
      </c>
      <c r="G346" s="597"/>
      <c r="H346" s="597"/>
      <c r="I346" s="597">
        <v>7.8E-2</v>
      </c>
      <c r="J346" s="597">
        <v>7.6933676633784712E-2</v>
      </c>
      <c r="K346" s="597">
        <v>7.5811449959485896E-2</v>
      </c>
      <c r="L346" s="597">
        <v>6.8486169478661624E-2</v>
      </c>
      <c r="M346" s="598">
        <v>3.208691361146071E-2</v>
      </c>
      <c r="N346" s="598">
        <v>2.4071769199896192E-3</v>
      </c>
      <c r="O346" s="598">
        <v>2.3402049680720464E-3</v>
      </c>
      <c r="P346" s="598">
        <v>2.2732330161544731E-3</v>
      </c>
      <c r="Q346" s="598">
        <v>2.2062610642369002E-3</v>
      </c>
      <c r="R346" s="598">
        <v>2.1616130962918518E-3</v>
      </c>
      <c r="S346" s="598">
        <v>2.1392891123193274E-3</v>
      </c>
      <c r="T346" s="598">
        <v>2.116965128346803E-3</v>
      </c>
      <c r="U346" s="598">
        <v>2.0946411443742785E-3</v>
      </c>
      <c r="V346" s="598">
        <v>2.0723171604017545E-3</v>
      </c>
      <c r="W346" s="598">
        <v>2.0499931764292301E-3</v>
      </c>
      <c r="X346" s="598">
        <v>2.0276691924567057E-3</v>
      </c>
      <c r="Y346" s="598">
        <v>2.0053452084841813E-3</v>
      </c>
      <c r="Z346" s="598">
        <v>1.9830212245116573E-3</v>
      </c>
      <c r="AA346" s="598">
        <v>1.9606972405391328E-3</v>
      </c>
      <c r="AB346" s="598">
        <v>1.9272112645803462E-3</v>
      </c>
      <c r="AC346" s="598">
        <v>1.8825632966352976E-3</v>
      </c>
      <c r="AD346" s="598">
        <v>1.8379153286902489E-3</v>
      </c>
      <c r="AE346" s="598">
        <v>1.7932673607452003E-3</v>
      </c>
      <c r="AF346" s="598">
        <v>1.7486193928001516E-3</v>
      </c>
      <c r="AG346" s="598">
        <v>1.703971424855103E-3</v>
      </c>
      <c r="AH346" s="598">
        <v>1.6593234569100544E-3</v>
      </c>
      <c r="AI346" s="598">
        <v>1.6146754889650057E-3</v>
      </c>
      <c r="AJ346" s="598">
        <v>1.5700275210199571E-3</v>
      </c>
      <c r="AK346" s="598">
        <v>1.5253795530749085E-3</v>
      </c>
      <c r="AL346" s="598"/>
      <c r="AM346" s="598"/>
      <c r="AN346" s="598"/>
      <c r="AO346" s="598"/>
      <c r="AP346" s="598"/>
      <c r="AQ346" s="598"/>
      <c r="AR346" s="598"/>
      <c r="AS346" s="598"/>
      <c r="AT346" s="598"/>
      <c r="AU346" s="598"/>
      <c r="AV346" s="598"/>
      <c r="AW346" s="598"/>
      <c r="AX346" s="598"/>
      <c r="AY346" s="598"/>
      <c r="AZ346" s="598"/>
      <c r="BA346" s="598"/>
      <c r="BB346" s="598"/>
      <c r="BC346" s="598"/>
      <c r="BD346" s="598"/>
      <c r="BE346" s="598"/>
      <c r="BF346" s="598"/>
      <c r="BG346" s="598"/>
      <c r="BH346" s="598"/>
      <c r="BI346" s="598"/>
      <c r="BJ346" s="598"/>
      <c r="BK346" s="598"/>
      <c r="BL346" s="598"/>
      <c r="BM346" s="598"/>
      <c r="BN346" s="598"/>
      <c r="BO346" s="598"/>
      <c r="BP346" s="598"/>
      <c r="BQ346" s="598"/>
      <c r="BR346" s="598"/>
      <c r="BS346" s="598"/>
      <c r="BT346" s="598"/>
      <c r="BU346" s="598"/>
      <c r="BV346" s="598"/>
      <c r="BW346" s="598"/>
      <c r="BX346" s="598"/>
      <c r="BY346" s="598"/>
      <c r="BZ346" s="598"/>
      <c r="CA346" s="598"/>
      <c r="CB346" s="598"/>
      <c r="CC346" s="598"/>
      <c r="CD346" s="598"/>
      <c r="CE346" s="598"/>
      <c r="CF346" s="598"/>
      <c r="CG346" s="598"/>
      <c r="CH346" s="598"/>
      <c r="CI346" s="599"/>
      <c r="CK346" s="1296"/>
    </row>
    <row r="347" spans="2:89" ht="29.25" thickBot="1" x14ac:dyDescent="0.25">
      <c r="B347" s="975" t="s">
        <v>754</v>
      </c>
      <c r="C347" s="976" t="s">
        <v>565</v>
      </c>
      <c r="D347" s="977" t="s">
        <v>755</v>
      </c>
      <c r="E347" s="978" t="s">
        <v>344</v>
      </c>
      <c r="F347" s="979">
        <v>2</v>
      </c>
      <c r="G347" s="729">
        <f>SUM(G334:G337)+G344+G345+G346</f>
        <v>0</v>
      </c>
      <c r="H347" s="729">
        <f t="shared" ref="H347:AK347" si="192">SUM(H334:H337)+H344+H345+H346</f>
        <v>0</v>
      </c>
      <c r="I347" s="729">
        <f t="shared" si="192"/>
        <v>12.215</v>
      </c>
      <c r="J347" s="729">
        <f t="shared" si="192"/>
        <v>12.424252961385028</v>
      </c>
      <c r="K347" s="729">
        <f t="shared" si="192"/>
        <v>12.454526404246483</v>
      </c>
      <c r="L347" s="729">
        <f t="shared" si="192"/>
        <v>12.474483689219737</v>
      </c>
      <c r="M347" s="729">
        <f t="shared" si="192"/>
        <v>12.626309989845788</v>
      </c>
      <c r="N347" s="729">
        <f t="shared" si="192"/>
        <v>12.931030459389866</v>
      </c>
      <c r="O347" s="729">
        <f t="shared" si="192"/>
        <v>13.164243088003868</v>
      </c>
      <c r="P347" s="729">
        <f t="shared" si="192"/>
        <v>13.373858848093819</v>
      </c>
      <c r="Q347" s="729">
        <f t="shared" si="192"/>
        <v>13.549366875810637</v>
      </c>
      <c r="R347" s="729">
        <f t="shared" si="192"/>
        <v>13.702949698221051</v>
      </c>
      <c r="S347" s="729">
        <f t="shared" si="192"/>
        <v>13.830858148224266</v>
      </c>
      <c r="T347" s="729">
        <f t="shared" si="192"/>
        <v>13.948861861553635</v>
      </c>
      <c r="U347" s="729">
        <f t="shared" si="192"/>
        <v>14.064405768189053</v>
      </c>
      <c r="V347" s="729">
        <f t="shared" si="192"/>
        <v>14.178847132532852</v>
      </c>
      <c r="W347" s="729">
        <f t="shared" si="192"/>
        <v>14.291304003748028</v>
      </c>
      <c r="X347" s="729">
        <f t="shared" si="192"/>
        <v>14.399962492054707</v>
      </c>
      <c r="Y347" s="729">
        <f t="shared" si="192"/>
        <v>14.504819648584709</v>
      </c>
      <c r="Z347" s="729">
        <f t="shared" si="192"/>
        <v>14.608827548381885</v>
      </c>
      <c r="AA347" s="729">
        <f t="shared" si="192"/>
        <v>14.711447610203434</v>
      </c>
      <c r="AB347" s="729">
        <f t="shared" si="192"/>
        <v>14.812753973785957</v>
      </c>
      <c r="AC347" s="729">
        <f t="shared" si="192"/>
        <v>14.912786925675158</v>
      </c>
      <c r="AD347" s="729">
        <f t="shared" si="192"/>
        <v>15.01075535485688</v>
      </c>
      <c r="AE347" s="729">
        <f t="shared" si="192"/>
        <v>15.106325975456649</v>
      </c>
      <c r="AF347" s="729">
        <f t="shared" si="192"/>
        <v>15.199765900956427</v>
      </c>
      <c r="AG347" s="729">
        <f t="shared" si="192"/>
        <v>15.291901201245796</v>
      </c>
      <c r="AH347" s="729">
        <f t="shared" si="192"/>
        <v>15.382692864366271</v>
      </c>
      <c r="AI347" s="729">
        <f t="shared" si="192"/>
        <v>15.472871956006269</v>
      </c>
      <c r="AJ347" s="729">
        <f t="shared" si="192"/>
        <v>15.562943247422941</v>
      </c>
      <c r="AK347" s="729">
        <f t="shared" si="192"/>
        <v>15.652745286388116</v>
      </c>
      <c r="AL347" s="729"/>
      <c r="AM347" s="729"/>
      <c r="AN347" s="729"/>
      <c r="AO347" s="729"/>
      <c r="AP347" s="729"/>
      <c r="AQ347" s="729"/>
      <c r="AR347" s="729"/>
      <c r="AS347" s="729"/>
      <c r="AT347" s="729"/>
      <c r="AU347" s="729"/>
      <c r="AV347" s="729"/>
      <c r="AW347" s="729"/>
      <c r="AX347" s="729"/>
      <c r="AY347" s="729"/>
      <c r="AZ347" s="729"/>
      <c r="BA347" s="729"/>
      <c r="BB347" s="729"/>
      <c r="BC347" s="729"/>
      <c r="BD347" s="729"/>
      <c r="BE347" s="729"/>
      <c r="BF347" s="729"/>
      <c r="BG347" s="729"/>
      <c r="BH347" s="729"/>
      <c r="BI347" s="729"/>
      <c r="BJ347" s="729"/>
      <c r="BK347" s="729"/>
      <c r="BL347" s="729"/>
      <c r="BM347" s="729"/>
      <c r="BN347" s="729"/>
      <c r="BO347" s="729"/>
      <c r="BP347" s="729"/>
      <c r="BQ347" s="729"/>
      <c r="BR347" s="729"/>
      <c r="BS347" s="729"/>
      <c r="BT347" s="729"/>
      <c r="BU347" s="729"/>
      <c r="BV347" s="729"/>
      <c r="BW347" s="729"/>
      <c r="BX347" s="729"/>
      <c r="BY347" s="729"/>
      <c r="BZ347" s="729"/>
      <c r="CA347" s="729"/>
      <c r="CB347" s="729"/>
      <c r="CC347" s="729"/>
      <c r="CD347" s="729"/>
      <c r="CE347" s="729"/>
      <c r="CF347" s="729"/>
      <c r="CG347" s="729"/>
      <c r="CH347" s="729"/>
      <c r="CI347" s="729"/>
      <c r="CK347" s="1296"/>
    </row>
    <row r="348" spans="2:89" x14ac:dyDescent="0.2">
      <c r="B348" s="933" t="s">
        <v>756</v>
      </c>
      <c r="C348" s="934" t="s">
        <v>568</v>
      </c>
      <c r="D348" s="925" t="s">
        <v>86</v>
      </c>
      <c r="E348" s="980" t="s">
        <v>344</v>
      </c>
      <c r="F348" s="981">
        <v>2</v>
      </c>
      <c r="G348" s="593"/>
      <c r="H348" s="593"/>
      <c r="I348" s="593">
        <v>0.2228945</v>
      </c>
      <c r="J348" s="593">
        <v>0.22953270318025651</v>
      </c>
      <c r="K348" s="593">
        <v>0.2352137440827955</v>
      </c>
      <c r="L348" s="593">
        <v>0.2404254557778335</v>
      </c>
      <c r="M348" s="594">
        <v>0.24655893937977372</v>
      </c>
      <c r="N348" s="594">
        <v>0.25357297295599301</v>
      </c>
      <c r="O348" s="594">
        <v>0.26036976253301897</v>
      </c>
      <c r="P348" s="594">
        <v>0.26720628711451949</v>
      </c>
      <c r="Q348" s="594">
        <v>0.27450776596569404</v>
      </c>
      <c r="R348" s="594">
        <v>0.28006789667672954</v>
      </c>
      <c r="S348" s="594">
        <v>0.28867842500048929</v>
      </c>
      <c r="T348" s="594">
        <v>0.297718929825527</v>
      </c>
      <c r="U348" s="594">
        <v>0.305002365485046</v>
      </c>
      <c r="V348" s="594">
        <v>0.31085030756813603</v>
      </c>
      <c r="W348" s="594">
        <v>0.31530343317580456</v>
      </c>
      <c r="X348" s="594">
        <v>0.31939113187034279</v>
      </c>
      <c r="Y348" s="594">
        <v>0.32309601277342725</v>
      </c>
      <c r="Z348" s="594">
        <v>0.32740176288351802</v>
      </c>
      <c r="AA348" s="594">
        <v>0.33128847402541856</v>
      </c>
      <c r="AB348" s="594">
        <v>0.33503907073575379</v>
      </c>
      <c r="AC348" s="594">
        <v>0.33928252586763902</v>
      </c>
      <c r="AD348" s="594">
        <v>0.34449314920012103</v>
      </c>
      <c r="AE348" s="594">
        <v>0.35039029404144284</v>
      </c>
      <c r="AF348" s="594">
        <v>0.35630140162372131</v>
      </c>
      <c r="AG348" s="594">
        <v>0.36301425451317926</v>
      </c>
      <c r="AH348" s="594">
        <v>0.37002278916514059</v>
      </c>
      <c r="AI348" s="594">
        <v>0.37724776566979534</v>
      </c>
      <c r="AJ348" s="594">
        <v>0.38489577556049653</v>
      </c>
      <c r="AK348" s="594">
        <v>0.39249443734212774</v>
      </c>
      <c r="AL348" s="594"/>
      <c r="AM348" s="594"/>
      <c r="AN348" s="594"/>
      <c r="AO348" s="594"/>
      <c r="AP348" s="594"/>
      <c r="AQ348" s="594"/>
      <c r="AR348" s="594"/>
      <c r="AS348" s="594"/>
      <c r="AT348" s="594"/>
      <c r="AU348" s="594"/>
      <c r="AV348" s="594"/>
      <c r="AW348" s="594"/>
      <c r="AX348" s="594"/>
      <c r="AY348" s="594"/>
      <c r="AZ348" s="594"/>
      <c r="BA348" s="594"/>
      <c r="BB348" s="594"/>
      <c r="BC348" s="594"/>
      <c r="BD348" s="594"/>
      <c r="BE348" s="594"/>
      <c r="BF348" s="594"/>
      <c r="BG348" s="594"/>
      <c r="BH348" s="594"/>
      <c r="BI348" s="594"/>
      <c r="BJ348" s="594"/>
      <c r="BK348" s="594"/>
      <c r="BL348" s="594"/>
      <c r="BM348" s="594"/>
      <c r="BN348" s="594"/>
      <c r="BO348" s="594"/>
      <c r="BP348" s="594"/>
      <c r="BQ348" s="594"/>
      <c r="BR348" s="594"/>
      <c r="BS348" s="594"/>
      <c r="BT348" s="594"/>
      <c r="BU348" s="594"/>
      <c r="BV348" s="594"/>
      <c r="BW348" s="594"/>
      <c r="BX348" s="594"/>
      <c r="BY348" s="594"/>
      <c r="BZ348" s="594"/>
      <c r="CA348" s="594"/>
      <c r="CB348" s="594"/>
      <c r="CC348" s="594"/>
      <c r="CD348" s="594"/>
      <c r="CE348" s="594"/>
      <c r="CF348" s="594"/>
      <c r="CG348" s="594"/>
      <c r="CH348" s="594"/>
      <c r="CI348" s="595"/>
      <c r="CK348" s="1296"/>
    </row>
    <row r="349" spans="2:89" x14ac:dyDescent="0.2">
      <c r="B349" s="940" t="s">
        <v>757</v>
      </c>
      <c r="C349" s="901" t="s">
        <v>570</v>
      </c>
      <c r="D349" s="907" t="s">
        <v>86</v>
      </c>
      <c r="E349" s="982" t="s">
        <v>344</v>
      </c>
      <c r="F349" s="983">
        <v>2</v>
      </c>
      <c r="G349" s="597"/>
      <c r="H349" s="597"/>
      <c r="I349" s="597">
        <v>0</v>
      </c>
      <c r="J349" s="597">
        <v>0</v>
      </c>
      <c r="K349" s="597">
        <v>0</v>
      </c>
      <c r="L349" s="597">
        <v>0</v>
      </c>
      <c r="M349" s="598">
        <v>0</v>
      </c>
      <c r="N349" s="598">
        <v>0</v>
      </c>
      <c r="O349" s="598">
        <v>0</v>
      </c>
      <c r="P349" s="598">
        <v>0</v>
      </c>
      <c r="Q349" s="598">
        <v>0</v>
      </c>
      <c r="R349" s="598">
        <v>0</v>
      </c>
      <c r="S349" s="598">
        <v>0</v>
      </c>
      <c r="T349" s="598">
        <v>0</v>
      </c>
      <c r="U349" s="598">
        <v>0</v>
      </c>
      <c r="V349" s="598">
        <v>0</v>
      </c>
      <c r="W349" s="598">
        <v>0</v>
      </c>
      <c r="X349" s="598">
        <v>0</v>
      </c>
      <c r="Y349" s="598">
        <v>0</v>
      </c>
      <c r="Z349" s="598">
        <v>0</v>
      </c>
      <c r="AA349" s="598">
        <v>0</v>
      </c>
      <c r="AB349" s="598">
        <v>0</v>
      </c>
      <c r="AC349" s="598">
        <v>0</v>
      </c>
      <c r="AD349" s="598">
        <v>0</v>
      </c>
      <c r="AE349" s="598">
        <v>0</v>
      </c>
      <c r="AF349" s="598">
        <v>0</v>
      </c>
      <c r="AG349" s="598">
        <v>0</v>
      </c>
      <c r="AH349" s="598">
        <v>0</v>
      </c>
      <c r="AI349" s="598">
        <v>0</v>
      </c>
      <c r="AJ349" s="598">
        <v>0</v>
      </c>
      <c r="AK349" s="598">
        <v>0</v>
      </c>
      <c r="AL349" s="598"/>
      <c r="AM349" s="598"/>
      <c r="AN349" s="598"/>
      <c r="AO349" s="598"/>
      <c r="AP349" s="598"/>
      <c r="AQ349" s="598"/>
      <c r="AR349" s="598"/>
      <c r="AS349" s="598"/>
      <c r="AT349" s="598"/>
      <c r="AU349" s="598"/>
      <c r="AV349" s="598"/>
      <c r="AW349" s="598"/>
      <c r="AX349" s="598"/>
      <c r="AY349" s="598"/>
      <c r="AZ349" s="598"/>
      <c r="BA349" s="598"/>
      <c r="BB349" s="598"/>
      <c r="BC349" s="598"/>
      <c r="BD349" s="598"/>
      <c r="BE349" s="598"/>
      <c r="BF349" s="598"/>
      <c r="BG349" s="598"/>
      <c r="BH349" s="598"/>
      <c r="BI349" s="598"/>
      <c r="BJ349" s="598"/>
      <c r="BK349" s="598"/>
      <c r="BL349" s="598"/>
      <c r="BM349" s="598"/>
      <c r="BN349" s="598"/>
      <c r="BO349" s="598"/>
      <c r="BP349" s="598"/>
      <c r="BQ349" s="598"/>
      <c r="BR349" s="598"/>
      <c r="BS349" s="598"/>
      <c r="BT349" s="598"/>
      <c r="BU349" s="598"/>
      <c r="BV349" s="598"/>
      <c r="BW349" s="598"/>
      <c r="BX349" s="598"/>
      <c r="BY349" s="598"/>
      <c r="BZ349" s="598"/>
      <c r="CA349" s="598"/>
      <c r="CB349" s="598"/>
      <c r="CC349" s="598"/>
      <c r="CD349" s="598"/>
      <c r="CE349" s="598"/>
      <c r="CF349" s="598"/>
      <c r="CG349" s="598"/>
      <c r="CH349" s="598"/>
      <c r="CI349" s="599"/>
      <c r="CK349" s="1296"/>
    </row>
    <row r="350" spans="2:89" x14ac:dyDescent="0.2">
      <c r="B350" s="937" t="s">
        <v>758</v>
      </c>
      <c r="C350" s="984" t="s">
        <v>572</v>
      </c>
      <c r="D350" s="907" t="s">
        <v>86</v>
      </c>
      <c r="E350" s="982" t="s">
        <v>344</v>
      </c>
      <c r="F350" s="983">
        <v>2</v>
      </c>
      <c r="G350" s="597"/>
      <c r="H350" s="597"/>
      <c r="I350" s="597">
        <v>16.861414125280735</v>
      </c>
      <c r="J350" s="597">
        <v>17.406992489696009</v>
      </c>
      <c r="K350" s="597">
        <v>17.54518716501147</v>
      </c>
      <c r="L350" s="597">
        <v>18.191790789120915</v>
      </c>
      <c r="M350" s="598">
        <v>22.793885227604243</v>
      </c>
      <c r="N350" s="598">
        <v>27.387782417402541</v>
      </c>
      <c r="O350" s="598">
        <v>27.85222146362841</v>
      </c>
      <c r="P350" s="598">
        <v>28.251319245388419</v>
      </c>
      <c r="Q350" s="598">
        <v>28.549048424705482</v>
      </c>
      <c r="R350" s="598">
        <v>28.790386490912443</v>
      </c>
      <c r="S350" s="598">
        <v>28.971118538187696</v>
      </c>
      <c r="T350" s="598">
        <v>29.132582306584396</v>
      </c>
      <c r="U350" s="598">
        <v>29.293831291675978</v>
      </c>
      <c r="V350" s="598">
        <v>29.459564765662559</v>
      </c>
      <c r="W350" s="598">
        <v>29.630901597491945</v>
      </c>
      <c r="X350" s="598">
        <v>29.797427837927223</v>
      </c>
      <c r="Y350" s="598">
        <v>29.969355972710741</v>
      </c>
      <c r="Z350" s="598">
        <v>30.139116108270784</v>
      </c>
      <c r="AA350" s="598">
        <v>30.291793470238076</v>
      </c>
      <c r="AB350" s="598">
        <v>30.438482948846936</v>
      </c>
      <c r="AC350" s="598">
        <v>30.588564097946254</v>
      </c>
      <c r="AD350" s="598">
        <v>30.741248251524894</v>
      </c>
      <c r="AE350" s="598">
        <v>30.893717826200493</v>
      </c>
      <c r="AF350" s="598">
        <v>31.046179987552435</v>
      </c>
      <c r="AG350" s="598">
        <v>31.194151456239776</v>
      </c>
      <c r="AH350" s="598">
        <v>31.339702215006021</v>
      </c>
      <c r="AI350" s="598">
        <v>31.494317683755142</v>
      </c>
      <c r="AJ350" s="598">
        <v>31.657928000538398</v>
      </c>
      <c r="AK350" s="598">
        <v>31.828618100796657</v>
      </c>
      <c r="AL350" s="598"/>
      <c r="AM350" s="598"/>
      <c r="AN350" s="598"/>
      <c r="AO350" s="598"/>
      <c r="AP350" s="598"/>
      <c r="AQ350" s="598"/>
      <c r="AR350" s="598"/>
      <c r="AS350" s="598"/>
      <c r="AT350" s="598"/>
      <c r="AU350" s="598"/>
      <c r="AV350" s="598"/>
      <c r="AW350" s="598"/>
      <c r="AX350" s="598"/>
      <c r="AY350" s="598"/>
      <c r="AZ350" s="598"/>
      <c r="BA350" s="598"/>
      <c r="BB350" s="598"/>
      <c r="BC350" s="598"/>
      <c r="BD350" s="598"/>
      <c r="BE350" s="598"/>
      <c r="BF350" s="598"/>
      <c r="BG350" s="598"/>
      <c r="BH350" s="598"/>
      <c r="BI350" s="598"/>
      <c r="BJ350" s="598"/>
      <c r="BK350" s="598"/>
      <c r="BL350" s="598"/>
      <c r="BM350" s="598"/>
      <c r="BN350" s="598"/>
      <c r="BO350" s="598"/>
      <c r="BP350" s="598"/>
      <c r="BQ350" s="598"/>
      <c r="BR350" s="598"/>
      <c r="BS350" s="598"/>
      <c r="BT350" s="598"/>
      <c r="BU350" s="598"/>
      <c r="BV350" s="598"/>
      <c r="BW350" s="598"/>
      <c r="BX350" s="598"/>
      <c r="BY350" s="598"/>
      <c r="BZ350" s="598"/>
      <c r="CA350" s="598"/>
      <c r="CB350" s="598"/>
      <c r="CC350" s="598"/>
      <c r="CD350" s="598"/>
      <c r="CE350" s="598"/>
      <c r="CF350" s="598"/>
      <c r="CG350" s="598"/>
      <c r="CH350" s="598"/>
      <c r="CI350" s="599"/>
      <c r="CK350" s="1296"/>
    </row>
    <row r="351" spans="2:89" x14ac:dyDescent="0.2">
      <c r="B351" s="937" t="s">
        <v>759</v>
      </c>
      <c r="C351" s="984" t="s">
        <v>574</v>
      </c>
      <c r="D351" s="907" t="s">
        <v>86</v>
      </c>
      <c r="E351" s="982" t="s">
        <v>344</v>
      </c>
      <c r="F351" s="983">
        <v>2</v>
      </c>
      <c r="G351" s="597"/>
      <c r="H351" s="597"/>
      <c r="I351" s="597">
        <v>9.8881450554464365</v>
      </c>
      <c r="J351" s="597">
        <v>9.7649371057985839</v>
      </c>
      <c r="K351" s="597">
        <v>9.6319790058662473</v>
      </c>
      <c r="L351" s="597">
        <v>8.9202220783995561</v>
      </c>
      <c r="M351" s="598">
        <v>4.6160319909614547</v>
      </c>
      <c r="N351" s="598">
        <v>0.64129997312160503</v>
      </c>
      <c r="O351" s="598">
        <v>0.62765297232263006</v>
      </c>
      <c r="P351" s="598">
        <v>0.61514943772102437</v>
      </c>
      <c r="Q351" s="598">
        <v>0.60275038726540264</v>
      </c>
      <c r="R351" s="598">
        <v>0.59200450052354414</v>
      </c>
      <c r="S351" s="598">
        <v>0.58293797223489108</v>
      </c>
      <c r="T351" s="598">
        <v>0.57401657337296041</v>
      </c>
      <c r="U351" s="598">
        <v>0.56523830927392849</v>
      </c>
      <c r="V351" s="598">
        <v>0.5566014439923257</v>
      </c>
      <c r="W351" s="598">
        <v>0.54810454846831247</v>
      </c>
      <c r="X351" s="598">
        <v>0.53974661382738243</v>
      </c>
      <c r="Y351" s="598">
        <v>0.53152544542584346</v>
      </c>
      <c r="Z351" s="598">
        <v>0.52344058123306969</v>
      </c>
      <c r="AA351" s="598">
        <v>0.51548901284067961</v>
      </c>
      <c r="AB351" s="598">
        <v>0.50503077920549111</v>
      </c>
      <c r="AC351" s="598">
        <v>0.49211620167637549</v>
      </c>
      <c r="AD351" s="598">
        <v>0.47941003873053156</v>
      </c>
      <c r="AE351" s="598">
        <v>0.46690733547005092</v>
      </c>
      <c r="AF351" s="598">
        <v>0.45460280641848833</v>
      </c>
      <c r="AG351" s="598">
        <v>0.44249109292637173</v>
      </c>
      <c r="AH351" s="598">
        <v>0.43056604111612229</v>
      </c>
      <c r="AI351" s="598">
        <v>0.41882184170907355</v>
      </c>
      <c r="AJ351" s="598">
        <v>0.4072538482480409</v>
      </c>
      <c r="AK351" s="598">
        <v>0.39585715048655917</v>
      </c>
      <c r="AL351" s="598"/>
      <c r="AM351" s="598"/>
      <c r="AN351" s="598"/>
      <c r="AO351" s="598"/>
      <c r="AP351" s="598"/>
      <c r="AQ351" s="598"/>
      <c r="AR351" s="598"/>
      <c r="AS351" s="598"/>
      <c r="AT351" s="598"/>
      <c r="AU351" s="598"/>
      <c r="AV351" s="598"/>
      <c r="AW351" s="598"/>
      <c r="AX351" s="598"/>
      <c r="AY351" s="598"/>
      <c r="AZ351" s="598"/>
      <c r="BA351" s="598"/>
      <c r="BB351" s="598"/>
      <c r="BC351" s="598"/>
      <c r="BD351" s="598"/>
      <c r="BE351" s="598"/>
      <c r="BF351" s="598"/>
      <c r="BG351" s="598"/>
      <c r="BH351" s="598"/>
      <c r="BI351" s="598"/>
      <c r="BJ351" s="598"/>
      <c r="BK351" s="598"/>
      <c r="BL351" s="598"/>
      <c r="BM351" s="598"/>
      <c r="BN351" s="598"/>
      <c r="BO351" s="598"/>
      <c r="BP351" s="598"/>
      <c r="BQ351" s="598"/>
      <c r="BR351" s="598"/>
      <c r="BS351" s="598"/>
      <c r="BT351" s="598"/>
      <c r="BU351" s="598"/>
      <c r="BV351" s="598"/>
      <c r="BW351" s="598"/>
      <c r="BX351" s="598"/>
      <c r="BY351" s="598"/>
      <c r="BZ351" s="598"/>
      <c r="CA351" s="598"/>
      <c r="CB351" s="598"/>
      <c r="CC351" s="598"/>
      <c r="CD351" s="598"/>
      <c r="CE351" s="598"/>
      <c r="CF351" s="598"/>
      <c r="CG351" s="598"/>
      <c r="CH351" s="598"/>
      <c r="CI351" s="599"/>
      <c r="CK351" s="1296"/>
    </row>
    <row r="352" spans="2:89" x14ac:dyDescent="0.2">
      <c r="B352" s="985" t="s">
        <v>760</v>
      </c>
      <c r="C352" s="984" t="s">
        <v>576</v>
      </c>
      <c r="D352" s="986" t="s">
        <v>761</v>
      </c>
      <c r="E352" s="982" t="s">
        <v>344</v>
      </c>
      <c r="F352" s="983">
        <v>2</v>
      </c>
      <c r="G352" s="569">
        <f>SUM(G348:G351)</f>
        <v>0</v>
      </c>
      <c r="H352" s="569">
        <f t="shared" ref="H352:AK352" si="193">SUM(H348:H351)</f>
        <v>0</v>
      </c>
      <c r="I352" s="569">
        <f t="shared" si="193"/>
        <v>26.97245368072717</v>
      </c>
      <c r="J352" s="569">
        <f t="shared" si="193"/>
        <v>27.401462298674851</v>
      </c>
      <c r="K352" s="569">
        <f t="shared" si="193"/>
        <v>27.412379914960511</v>
      </c>
      <c r="L352" s="569">
        <f t="shared" si="193"/>
        <v>27.352438323298308</v>
      </c>
      <c r="M352" s="718">
        <f t="shared" si="193"/>
        <v>27.65647615794547</v>
      </c>
      <c r="N352" s="718">
        <f t="shared" si="193"/>
        <v>28.282655363480139</v>
      </c>
      <c r="O352" s="718">
        <f t="shared" si="193"/>
        <v>28.74024419848406</v>
      </c>
      <c r="P352" s="718">
        <f t="shared" si="193"/>
        <v>29.133674970223961</v>
      </c>
      <c r="Q352" s="718">
        <f t="shared" si="193"/>
        <v>29.426306577936579</v>
      </c>
      <c r="R352" s="718">
        <f t="shared" si="193"/>
        <v>29.662458888112717</v>
      </c>
      <c r="S352" s="718">
        <f t="shared" si="193"/>
        <v>29.842734935423078</v>
      </c>
      <c r="T352" s="718">
        <f t="shared" si="193"/>
        <v>30.004317809782886</v>
      </c>
      <c r="U352" s="718">
        <f t="shared" si="193"/>
        <v>30.164071966434953</v>
      </c>
      <c r="V352" s="718">
        <f t="shared" si="193"/>
        <v>30.327016517223019</v>
      </c>
      <c r="W352" s="718">
        <f t="shared" si="193"/>
        <v>30.494309579136061</v>
      </c>
      <c r="X352" s="718">
        <f t="shared" si="193"/>
        <v>30.65656558362495</v>
      </c>
      <c r="Y352" s="718">
        <f t="shared" si="193"/>
        <v>30.823977430910009</v>
      </c>
      <c r="Z352" s="718">
        <f t="shared" si="193"/>
        <v>30.989958452387373</v>
      </c>
      <c r="AA352" s="718">
        <f t="shared" si="193"/>
        <v>31.138570957104172</v>
      </c>
      <c r="AB352" s="718">
        <f t="shared" si="193"/>
        <v>31.27855279878818</v>
      </c>
      <c r="AC352" s="718">
        <f t="shared" si="193"/>
        <v>31.419962825490266</v>
      </c>
      <c r="AD352" s="718">
        <f t="shared" si="193"/>
        <v>31.565151439455548</v>
      </c>
      <c r="AE352" s="718">
        <f t="shared" si="193"/>
        <v>31.711015455711987</v>
      </c>
      <c r="AF352" s="718">
        <f t="shared" si="193"/>
        <v>31.857084195594645</v>
      </c>
      <c r="AG352" s="718">
        <f t="shared" si="193"/>
        <v>31.999656803679326</v>
      </c>
      <c r="AH352" s="718">
        <f t="shared" si="193"/>
        <v>32.140291045287285</v>
      </c>
      <c r="AI352" s="718">
        <f t="shared" si="193"/>
        <v>32.29038729113401</v>
      </c>
      <c r="AJ352" s="718">
        <f t="shared" si="193"/>
        <v>32.450077624346932</v>
      </c>
      <c r="AK352" s="718">
        <f t="shared" si="193"/>
        <v>32.616969688625339</v>
      </c>
      <c r="AL352" s="718"/>
      <c r="AM352" s="718"/>
      <c r="AN352" s="718"/>
      <c r="AO352" s="718"/>
      <c r="AP352" s="718"/>
      <c r="AQ352" s="718"/>
      <c r="AR352" s="718"/>
      <c r="AS352" s="718"/>
      <c r="AT352" s="718"/>
      <c r="AU352" s="718"/>
      <c r="AV352" s="718"/>
      <c r="AW352" s="718"/>
      <c r="AX352" s="718"/>
      <c r="AY352" s="718"/>
      <c r="AZ352" s="718"/>
      <c r="BA352" s="718"/>
      <c r="BB352" s="718"/>
      <c r="BC352" s="718"/>
      <c r="BD352" s="718"/>
      <c r="BE352" s="718"/>
      <c r="BF352" s="718"/>
      <c r="BG352" s="718"/>
      <c r="BH352" s="718"/>
      <c r="BI352" s="718"/>
      <c r="BJ352" s="718"/>
      <c r="BK352" s="718"/>
      <c r="BL352" s="718"/>
      <c r="BM352" s="718"/>
      <c r="BN352" s="718"/>
      <c r="BO352" s="718"/>
      <c r="BP352" s="718"/>
      <c r="BQ352" s="718"/>
      <c r="BR352" s="718"/>
      <c r="BS352" s="718"/>
      <c r="BT352" s="718"/>
      <c r="BU352" s="718"/>
      <c r="BV352" s="718"/>
      <c r="BW352" s="718"/>
      <c r="BX352" s="718"/>
      <c r="BY352" s="718"/>
      <c r="BZ352" s="718"/>
      <c r="CA352" s="718"/>
      <c r="CB352" s="718"/>
      <c r="CC352" s="718"/>
      <c r="CD352" s="718"/>
      <c r="CE352" s="718"/>
      <c r="CF352" s="718"/>
      <c r="CG352" s="718"/>
      <c r="CH352" s="718"/>
      <c r="CI352" s="719"/>
      <c r="CK352" s="1296"/>
    </row>
    <row r="353" spans="2:89" ht="28.5" x14ac:dyDescent="0.2">
      <c r="B353" s="985" t="s">
        <v>762</v>
      </c>
      <c r="C353" s="984" t="s">
        <v>579</v>
      </c>
      <c r="D353" s="986" t="s">
        <v>763</v>
      </c>
      <c r="E353" s="982" t="s">
        <v>581</v>
      </c>
      <c r="F353" s="983">
        <v>1</v>
      </c>
      <c r="G353" s="750" t="e">
        <f>(G351+G350)/(G337+G345)</f>
        <v>#DIV/0!</v>
      </c>
      <c r="H353" s="750" t="e">
        <f t="shared" ref="H353:AK353" si="194">(H351+H350)/(H337+H345)</f>
        <v>#DIV/0!</v>
      </c>
      <c r="I353" s="750">
        <f t="shared" si="194"/>
        <v>2.4864806823505456</v>
      </c>
      <c r="J353" s="750">
        <f t="shared" si="194"/>
        <v>2.4801307814684153</v>
      </c>
      <c r="K353" s="750">
        <f t="shared" si="194"/>
        <v>2.4751919145884309</v>
      </c>
      <c r="L353" s="750">
        <f t="shared" si="194"/>
        <v>2.4666303078991518</v>
      </c>
      <c r="M353" s="750">
        <f t="shared" si="194"/>
        <v>2.4648361937141616</v>
      </c>
      <c r="N353" s="750">
        <f t="shared" si="194"/>
        <v>2.4587047130502362</v>
      </c>
      <c r="O353" s="750">
        <f t="shared" si="194"/>
        <v>2.4507149810857274</v>
      </c>
      <c r="P353" s="750">
        <f t="shared" si="194"/>
        <v>2.4423205447989669</v>
      </c>
      <c r="Q353" s="750">
        <f t="shared" si="194"/>
        <v>2.4324697011531451</v>
      </c>
      <c r="R353" s="750">
        <f t="shared" si="194"/>
        <v>2.4226181447330517</v>
      </c>
      <c r="S353" s="750">
        <f t="shared" si="194"/>
        <v>2.4130886689195314</v>
      </c>
      <c r="T353" s="750">
        <f t="shared" si="194"/>
        <v>2.4040630036682789</v>
      </c>
      <c r="U353" s="750">
        <f t="shared" si="194"/>
        <v>2.3956483251948302</v>
      </c>
      <c r="V353" s="750">
        <f t="shared" si="194"/>
        <v>2.3879805077513696</v>
      </c>
      <c r="W353" s="750">
        <f t="shared" si="194"/>
        <v>2.3812552416550283</v>
      </c>
      <c r="X353" s="750">
        <f t="shared" si="194"/>
        <v>2.374958176291655</v>
      </c>
      <c r="Y353" s="750">
        <f t="shared" si="194"/>
        <v>2.3698677541274082</v>
      </c>
      <c r="Z353" s="750">
        <f t="shared" si="194"/>
        <v>2.3648465843764019</v>
      </c>
      <c r="AA353" s="750">
        <f t="shared" si="194"/>
        <v>2.3588443209044039</v>
      </c>
      <c r="AB353" s="750">
        <f t="shared" si="194"/>
        <v>2.3525109090641734</v>
      </c>
      <c r="AC353" s="750">
        <f t="shared" si="194"/>
        <v>2.3465565242991144</v>
      </c>
      <c r="AD353" s="750">
        <f t="shared" si="194"/>
        <v>2.3412462870939637</v>
      </c>
      <c r="AE353" s="750">
        <f t="shared" si="194"/>
        <v>2.3364108531232337</v>
      </c>
      <c r="AF353" s="750">
        <f t="shared" si="194"/>
        <v>2.3320087363922575</v>
      </c>
      <c r="AG353" s="750">
        <f t="shared" si="194"/>
        <v>2.3275623527791196</v>
      </c>
      <c r="AH353" s="750">
        <f t="shared" si="194"/>
        <v>2.3232286302059491</v>
      </c>
      <c r="AI353" s="750">
        <f t="shared" si="194"/>
        <v>2.3197192669103863</v>
      </c>
      <c r="AJ353" s="750">
        <f t="shared" si="194"/>
        <v>2.3169317943242085</v>
      </c>
      <c r="AK353" s="750">
        <f t="shared" si="194"/>
        <v>2.314741478197397</v>
      </c>
      <c r="AL353" s="750"/>
      <c r="AM353" s="750"/>
      <c r="AN353" s="750"/>
      <c r="AO353" s="750"/>
      <c r="AP353" s="750"/>
      <c r="AQ353" s="750"/>
      <c r="AR353" s="750"/>
      <c r="AS353" s="750"/>
      <c r="AT353" s="750"/>
      <c r="AU353" s="750"/>
      <c r="AV353" s="750"/>
      <c r="AW353" s="750"/>
      <c r="AX353" s="750"/>
      <c r="AY353" s="750"/>
      <c r="AZ353" s="750"/>
      <c r="BA353" s="750"/>
      <c r="BB353" s="750"/>
      <c r="BC353" s="750"/>
      <c r="BD353" s="750"/>
      <c r="BE353" s="750"/>
      <c r="BF353" s="750"/>
      <c r="BG353" s="750"/>
      <c r="BH353" s="750"/>
      <c r="BI353" s="750"/>
      <c r="BJ353" s="750"/>
      <c r="BK353" s="750"/>
      <c r="BL353" s="750"/>
      <c r="BM353" s="750"/>
      <c r="BN353" s="750"/>
      <c r="BO353" s="750"/>
      <c r="BP353" s="750"/>
      <c r="BQ353" s="750"/>
      <c r="BR353" s="750"/>
      <c r="BS353" s="750"/>
      <c r="BT353" s="750"/>
      <c r="BU353" s="750"/>
      <c r="BV353" s="750"/>
      <c r="BW353" s="750"/>
      <c r="BX353" s="750"/>
      <c r="BY353" s="750"/>
      <c r="BZ353" s="750"/>
      <c r="CA353" s="750"/>
      <c r="CB353" s="750"/>
      <c r="CC353" s="750"/>
      <c r="CD353" s="750"/>
      <c r="CE353" s="750"/>
      <c r="CF353" s="750"/>
      <c r="CG353" s="750"/>
      <c r="CH353" s="750"/>
      <c r="CI353" s="750"/>
      <c r="CK353" s="1296"/>
    </row>
    <row r="354" spans="2:89" ht="28.5" x14ac:dyDescent="0.2">
      <c r="B354" s="985" t="s">
        <v>764</v>
      </c>
      <c r="C354" s="984" t="s">
        <v>583</v>
      </c>
      <c r="D354" s="986" t="s">
        <v>765</v>
      </c>
      <c r="E354" s="982" t="s">
        <v>375</v>
      </c>
      <c r="F354" s="983">
        <v>1</v>
      </c>
      <c r="G354" s="743" t="e">
        <f>G337/(G337+G345)</f>
        <v>#DIV/0!</v>
      </c>
      <c r="H354" s="743" t="e">
        <f t="shared" ref="H354:AK354" si="195">H337/(H337+H345)</f>
        <v>#DIV/0!</v>
      </c>
      <c r="I354" s="743">
        <f t="shared" si="195"/>
        <v>0.68265476854433904</v>
      </c>
      <c r="J354" s="743">
        <f t="shared" si="195"/>
        <v>0.69246549587824457</v>
      </c>
      <c r="K354" s="743">
        <f t="shared" si="195"/>
        <v>0.69761324103173861</v>
      </c>
      <c r="L354" s="743">
        <f t="shared" si="195"/>
        <v>0.72712205421877885</v>
      </c>
      <c r="M354" s="744">
        <f t="shared" si="195"/>
        <v>0.87363362044274295</v>
      </c>
      <c r="N354" s="744">
        <f t="shared" si="195"/>
        <v>0.99075240580643431</v>
      </c>
      <c r="O354" s="744">
        <f t="shared" si="195"/>
        <v>0.99118074516820054</v>
      </c>
      <c r="P354" s="744">
        <f t="shared" si="195"/>
        <v>0.99157681734286673</v>
      </c>
      <c r="Q354" s="744">
        <f t="shared" si="195"/>
        <v>0.9919376389787159</v>
      </c>
      <c r="R354" s="744">
        <f t="shared" si="195"/>
        <v>0.99219453008285585</v>
      </c>
      <c r="S354" s="744">
        <f t="shared" si="195"/>
        <v>0.9923502204281861</v>
      </c>
      <c r="T354" s="744">
        <f t="shared" si="195"/>
        <v>0.99249708758944943</v>
      </c>
      <c r="U354" s="744">
        <f t="shared" si="195"/>
        <v>0.99263996832631307</v>
      </c>
      <c r="V354" s="744">
        <f t="shared" si="195"/>
        <v>0.99277970339323063</v>
      </c>
      <c r="W354" s="744">
        <f t="shared" si="195"/>
        <v>0.99291603037564813</v>
      </c>
      <c r="X354" s="744">
        <f t="shared" si="195"/>
        <v>0.99304813709328088</v>
      </c>
      <c r="Y354" s="744">
        <f t="shared" si="195"/>
        <v>0.99317623399594168</v>
      </c>
      <c r="Z354" s="744">
        <f t="shared" si="195"/>
        <v>0.99330199866837032</v>
      </c>
      <c r="AA354" s="744">
        <f t="shared" si="195"/>
        <v>0.99342524331397897</v>
      </c>
      <c r="AB354" s="744">
        <f t="shared" si="195"/>
        <v>0.9935832576250424</v>
      </c>
      <c r="AC354" s="744">
        <f t="shared" si="195"/>
        <v>0.99377537273863059</v>
      </c>
      <c r="AD354" s="744">
        <f t="shared" si="195"/>
        <v>0.99396393643085912</v>
      </c>
      <c r="AE354" s="744">
        <f t="shared" si="195"/>
        <v>0.99414896350910698</v>
      </c>
      <c r="AF354" s="744">
        <f t="shared" si="195"/>
        <v>0.99433072691929536</v>
      </c>
      <c r="AG354" s="744">
        <f t="shared" si="195"/>
        <v>0.99450969459504801</v>
      </c>
      <c r="AH354" s="744">
        <f t="shared" si="195"/>
        <v>0.99468595312319474</v>
      </c>
      <c r="AI354" s="744">
        <f t="shared" si="195"/>
        <v>0.99485986635831003</v>
      </c>
      <c r="AJ354" s="744">
        <f t="shared" si="195"/>
        <v>0.99503167420665528</v>
      </c>
      <c r="AK354" s="744">
        <f t="shared" si="195"/>
        <v>0.99520136386690983</v>
      </c>
      <c r="AL354" s="744"/>
      <c r="AM354" s="744"/>
      <c r="AN354" s="744"/>
      <c r="AO354" s="744"/>
      <c r="AP354" s="744"/>
      <c r="AQ354" s="744"/>
      <c r="AR354" s="744"/>
      <c r="AS354" s="744"/>
      <c r="AT354" s="744"/>
      <c r="AU354" s="744"/>
      <c r="AV354" s="744"/>
      <c r="AW354" s="744"/>
      <c r="AX354" s="744"/>
      <c r="AY354" s="744"/>
      <c r="AZ354" s="744"/>
      <c r="BA354" s="744"/>
      <c r="BB354" s="744"/>
      <c r="BC354" s="744"/>
      <c r="BD354" s="744"/>
      <c r="BE354" s="744"/>
      <c r="BF354" s="744"/>
      <c r="BG354" s="744"/>
      <c r="BH354" s="744"/>
      <c r="BI354" s="744"/>
      <c r="BJ354" s="744"/>
      <c r="BK354" s="744"/>
      <c r="BL354" s="744"/>
      <c r="BM354" s="744"/>
      <c r="BN354" s="744"/>
      <c r="BO354" s="744"/>
      <c r="BP354" s="744"/>
      <c r="BQ354" s="744"/>
      <c r="BR354" s="744"/>
      <c r="BS354" s="744"/>
      <c r="BT354" s="744"/>
      <c r="BU354" s="744"/>
      <c r="BV354" s="744"/>
      <c r="BW354" s="744"/>
      <c r="BX354" s="744"/>
      <c r="BY354" s="744"/>
      <c r="BZ354" s="744"/>
      <c r="CA354" s="744"/>
      <c r="CB354" s="744"/>
      <c r="CC354" s="744"/>
      <c r="CD354" s="744"/>
      <c r="CE354" s="744"/>
      <c r="CF354" s="744"/>
      <c r="CG354" s="744"/>
      <c r="CH354" s="744"/>
      <c r="CI354" s="745"/>
      <c r="CK354" s="1296"/>
    </row>
    <row r="355" spans="2:89" ht="29.25" thickBot="1" x14ac:dyDescent="0.25">
      <c r="B355" s="987" t="s">
        <v>766</v>
      </c>
      <c r="C355" s="988" t="s">
        <v>586</v>
      </c>
      <c r="D355" s="989" t="s">
        <v>767</v>
      </c>
      <c r="E355" s="990" t="s">
        <v>375</v>
      </c>
      <c r="F355" s="991">
        <v>1</v>
      </c>
      <c r="G355" s="785" t="e">
        <f>(G337)/(G337+G346+G345+G344)</f>
        <v>#DIV/0!</v>
      </c>
      <c r="H355" s="785" t="e">
        <f t="shared" ref="H355:AK355" si="196">(H337)/(H337+H346+H345+H344)</f>
        <v>#DIV/0!</v>
      </c>
      <c r="I355" s="785">
        <f t="shared" si="196"/>
        <v>0.66365443701427795</v>
      </c>
      <c r="J355" s="785">
        <f t="shared" si="196"/>
        <v>0.67306512060629986</v>
      </c>
      <c r="K355" s="785">
        <f t="shared" si="196"/>
        <v>0.67803929690409015</v>
      </c>
      <c r="L355" s="785">
        <f t="shared" si="196"/>
        <v>0.70654484159404463</v>
      </c>
      <c r="M355" s="785">
        <f t="shared" si="196"/>
        <v>0.84786602144012302</v>
      </c>
      <c r="N355" s="785">
        <f t="shared" si="196"/>
        <v>0.96058591479376643</v>
      </c>
      <c r="O355" s="785">
        <f t="shared" si="196"/>
        <v>0.96099775962603307</v>
      </c>
      <c r="P355" s="785">
        <f t="shared" si="196"/>
        <v>0.96137857718570785</v>
      </c>
      <c r="Q355" s="785">
        <f t="shared" si="196"/>
        <v>0.96172549966942267</v>
      </c>
      <c r="R355" s="785">
        <f t="shared" si="196"/>
        <v>0.96197249383307537</v>
      </c>
      <c r="S355" s="785">
        <f t="shared" si="196"/>
        <v>0.96212218556217077</v>
      </c>
      <c r="T355" s="785">
        <f t="shared" si="196"/>
        <v>0.96226339369863267</v>
      </c>
      <c r="U355" s="785">
        <f t="shared" si="196"/>
        <v>0.96240076868011504</v>
      </c>
      <c r="V355" s="785">
        <f t="shared" si="196"/>
        <v>0.96253511888820553</v>
      </c>
      <c r="W355" s="785">
        <f t="shared" si="196"/>
        <v>0.9626661920429519</v>
      </c>
      <c r="X355" s="785">
        <f t="shared" si="196"/>
        <v>0.96279320728933027</v>
      </c>
      <c r="Y355" s="785">
        <f t="shared" si="196"/>
        <v>0.96291636699260952</v>
      </c>
      <c r="Z355" s="785">
        <f t="shared" si="196"/>
        <v>0.96303728409863809</v>
      </c>
      <c r="AA355" s="785">
        <f t="shared" si="196"/>
        <v>0.96315577806415431</v>
      </c>
      <c r="AB355" s="785">
        <f t="shared" si="196"/>
        <v>0.9633077010792781</v>
      </c>
      <c r="AC355" s="785">
        <f t="shared" si="196"/>
        <v>0.9634924098022013</v>
      </c>
      <c r="AD355" s="785">
        <f t="shared" si="196"/>
        <v>0.96367370343876246</v>
      </c>
      <c r="AE355" s="785">
        <f t="shared" si="196"/>
        <v>0.96385159625777905</v>
      </c>
      <c r="AF355" s="785">
        <f t="shared" si="196"/>
        <v>0.96402635071140053</v>
      </c>
      <c r="AG355" s="785">
        <f t="shared" si="196"/>
        <v>0.96419841671598738</v>
      </c>
      <c r="AH355" s="785">
        <f t="shared" si="196"/>
        <v>0.96436787754309217</v>
      </c>
      <c r="AI355" s="785">
        <f t="shared" si="196"/>
        <v>0.96453508303620505</v>
      </c>
      <c r="AJ355" s="785">
        <f t="shared" si="196"/>
        <v>0.96470026386726349</v>
      </c>
      <c r="AK355" s="785">
        <f t="shared" si="196"/>
        <v>0.9648634077462781</v>
      </c>
      <c r="AL355" s="785"/>
      <c r="AM355" s="785"/>
      <c r="AN355" s="785"/>
      <c r="AO355" s="785"/>
      <c r="AP355" s="785"/>
      <c r="AQ355" s="785"/>
      <c r="AR355" s="785"/>
      <c r="AS355" s="785"/>
      <c r="AT355" s="785"/>
      <c r="AU355" s="785"/>
      <c r="AV355" s="785"/>
      <c r="AW355" s="785"/>
      <c r="AX355" s="785"/>
      <c r="AY355" s="785"/>
      <c r="AZ355" s="785"/>
      <c r="BA355" s="785"/>
      <c r="BB355" s="785"/>
      <c r="BC355" s="785"/>
      <c r="BD355" s="785"/>
      <c r="BE355" s="785"/>
      <c r="BF355" s="785"/>
      <c r="BG355" s="785"/>
      <c r="BH355" s="785"/>
      <c r="BI355" s="785"/>
      <c r="BJ355" s="785"/>
      <c r="BK355" s="785"/>
      <c r="BL355" s="785"/>
      <c r="BM355" s="785"/>
      <c r="BN355" s="785"/>
      <c r="BO355" s="785"/>
      <c r="BP355" s="785"/>
      <c r="BQ355" s="785"/>
      <c r="BR355" s="785"/>
      <c r="BS355" s="785"/>
      <c r="BT355" s="785"/>
      <c r="BU355" s="785"/>
      <c r="BV355" s="785"/>
      <c r="BW355" s="785"/>
      <c r="BX355" s="785"/>
      <c r="BY355" s="785"/>
      <c r="BZ355" s="785"/>
      <c r="CA355" s="785"/>
      <c r="CB355" s="785"/>
      <c r="CC355" s="785"/>
      <c r="CD355" s="785"/>
      <c r="CE355" s="785"/>
      <c r="CF355" s="785"/>
      <c r="CG355" s="785"/>
      <c r="CH355" s="785"/>
      <c r="CI355" s="785"/>
      <c r="CK355" s="1296"/>
    </row>
    <row r="356" spans="2:89" ht="29.25" thickBot="1" x14ac:dyDescent="0.25">
      <c r="B356" s="992" t="s">
        <v>768</v>
      </c>
      <c r="C356" s="993" t="s">
        <v>245</v>
      </c>
      <c r="D356" s="993" t="s">
        <v>769</v>
      </c>
      <c r="E356" s="993" t="s">
        <v>236</v>
      </c>
      <c r="F356" s="994">
        <v>2</v>
      </c>
      <c r="G356" s="629">
        <f>SUM(G316:G318)+G314+G325+G330+G331+G324</f>
        <v>0</v>
      </c>
      <c r="H356" s="629">
        <f t="shared" ref="H356:I356" si="197">SUM(H316:H318)+H314+H325+H330+H331+H324</f>
        <v>0</v>
      </c>
      <c r="I356" s="629">
        <f t="shared" si="197"/>
        <v>10.524737305639521</v>
      </c>
      <c r="J356" s="629">
        <f t="shared" ref="J356:AK356" si="198">SUM(J316:J318)+J314+J325+J330+J331+J324</f>
        <v>10.721646720619631</v>
      </c>
      <c r="K356" s="629">
        <f t="shared" si="198"/>
        <v>10.786570689299159</v>
      </c>
      <c r="L356" s="629">
        <f t="shared" si="198"/>
        <v>10.754076709536269</v>
      </c>
      <c r="M356" s="629">
        <f t="shared" si="198"/>
        <v>10.617421452566376</v>
      </c>
      <c r="N356" s="629">
        <f t="shared" si="198"/>
        <v>10.448143569894196</v>
      </c>
      <c r="O356" s="629">
        <f t="shared" si="198"/>
        <v>10.532203462050299</v>
      </c>
      <c r="P356" s="629">
        <f t="shared" si="198"/>
        <v>10.520727927875663</v>
      </c>
      <c r="Q356" s="629">
        <f t="shared" si="198"/>
        <v>10.494462044253021</v>
      </c>
      <c r="R356" s="629">
        <f t="shared" si="198"/>
        <v>10.457498665877004</v>
      </c>
      <c r="S356" s="629">
        <f t="shared" si="198"/>
        <v>10.416276421556693</v>
      </c>
      <c r="T356" s="629">
        <f t="shared" si="198"/>
        <v>14.2961791055381</v>
      </c>
      <c r="U356" s="629">
        <f t="shared" si="198"/>
        <v>14.250853637413879</v>
      </c>
      <c r="V356" s="629">
        <f t="shared" si="198"/>
        <v>14.206338228068622</v>
      </c>
      <c r="W356" s="629">
        <f t="shared" si="198"/>
        <v>14.165612090432885</v>
      </c>
      <c r="X356" s="629">
        <f t="shared" si="198"/>
        <v>14.125133284201702</v>
      </c>
      <c r="Y356" s="629">
        <f t="shared" si="198"/>
        <v>14.085095275029385</v>
      </c>
      <c r="Z356" s="629">
        <f t="shared" si="198"/>
        <v>14.060665671417237</v>
      </c>
      <c r="AA356" s="629">
        <f t="shared" si="198"/>
        <v>14.03375995100437</v>
      </c>
      <c r="AB356" s="629">
        <f t="shared" si="198"/>
        <v>14.003094521632423</v>
      </c>
      <c r="AC356" s="629">
        <f t="shared" si="198"/>
        <v>13.975579161792062</v>
      </c>
      <c r="AD356" s="629">
        <f t="shared" si="198"/>
        <v>13.949844618748845</v>
      </c>
      <c r="AE356" s="629">
        <f t="shared" si="198"/>
        <v>13.937904329328436</v>
      </c>
      <c r="AF356" s="629">
        <f t="shared" si="198"/>
        <v>13.949872457141435</v>
      </c>
      <c r="AG356" s="629">
        <f t="shared" si="198"/>
        <v>13.96113806871424</v>
      </c>
      <c r="AH356" s="629">
        <f t="shared" si="198"/>
        <v>13.973149219028173</v>
      </c>
      <c r="AI356" s="629">
        <f t="shared" si="198"/>
        <v>13.985599911271589</v>
      </c>
      <c r="AJ356" s="629">
        <f t="shared" si="198"/>
        <v>13.998949199493994</v>
      </c>
      <c r="AK356" s="629">
        <f t="shared" si="198"/>
        <v>14.012236725766648</v>
      </c>
      <c r="AL356" s="629"/>
      <c r="AM356" s="629"/>
      <c r="AN356" s="629"/>
      <c r="AO356" s="629"/>
      <c r="AP356" s="629"/>
      <c r="AQ356" s="629"/>
      <c r="AR356" s="629"/>
      <c r="AS356" s="629"/>
      <c r="AT356" s="629"/>
      <c r="AU356" s="629"/>
      <c r="AV356" s="629"/>
      <c r="AW356" s="629"/>
      <c r="AX356" s="629"/>
      <c r="AY356" s="629"/>
      <c r="AZ356" s="629"/>
      <c r="BA356" s="629"/>
      <c r="BB356" s="629"/>
      <c r="BC356" s="629"/>
      <c r="BD356" s="629"/>
      <c r="BE356" s="629"/>
      <c r="BF356" s="629"/>
      <c r="BG356" s="629"/>
      <c r="BH356" s="629"/>
      <c r="BI356" s="629"/>
      <c r="BJ356" s="629"/>
      <c r="BK356" s="629"/>
      <c r="BL356" s="629"/>
      <c r="BM356" s="629"/>
      <c r="BN356" s="629"/>
      <c r="BO356" s="629"/>
      <c r="BP356" s="629"/>
      <c r="BQ356" s="629"/>
      <c r="BR356" s="629"/>
      <c r="BS356" s="629"/>
      <c r="BT356" s="629"/>
      <c r="BU356" s="629"/>
      <c r="BV356" s="629"/>
      <c r="BW356" s="629"/>
      <c r="BX356" s="629"/>
      <c r="BY356" s="629"/>
      <c r="BZ356" s="629"/>
      <c r="CA356" s="629"/>
      <c r="CB356" s="629"/>
      <c r="CC356" s="629"/>
      <c r="CD356" s="629"/>
      <c r="CE356" s="629"/>
      <c r="CF356" s="629"/>
      <c r="CG356" s="629"/>
      <c r="CH356" s="629"/>
      <c r="CI356" s="629"/>
      <c r="CK356" s="1296"/>
    </row>
    <row r="357" spans="2:89" ht="29.25" thickBot="1" x14ac:dyDescent="0.25">
      <c r="B357" s="923" t="s">
        <v>770</v>
      </c>
      <c r="C357" s="924" t="s">
        <v>591</v>
      </c>
      <c r="D357" s="925" t="s">
        <v>86</v>
      </c>
      <c r="E357" s="924" t="s">
        <v>236</v>
      </c>
      <c r="F357" s="995">
        <v>2</v>
      </c>
      <c r="G357" s="633"/>
      <c r="H357" s="1507"/>
      <c r="I357" s="593">
        <v>0</v>
      </c>
      <c r="J357" s="593">
        <v>0</v>
      </c>
      <c r="K357" s="593">
        <v>0</v>
      </c>
      <c r="L357" s="593">
        <v>0</v>
      </c>
      <c r="M357" s="594">
        <v>0</v>
      </c>
      <c r="N357" s="594">
        <v>0</v>
      </c>
      <c r="O357" s="594">
        <v>0</v>
      </c>
      <c r="P357" s="594">
        <v>0</v>
      </c>
      <c r="Q357" s="594">
        <v>0</v>
      </c>
      <c r="R357" s="594">
        <v>0</v>
      </c>
      <c r="S357" s="594">
        <v>0</v>
      </c>
      <c r="T357" s="594">
        <v>0</v>
      </c>
      <c r="U357" s="594">
        <v>0</v>
      </c>
      <c r="V357" s="594">
        <v>0</v>
      </c>
      <c r="W357" s="594">
        <v>0</v>
      </c>
      <c r="X357" s="594">
        <v>0</v>
      </c>
      <c r="Y357" s="594">
        <v>0</v>
      </c>
      <c r="Z357" s="594">
        <v>0</v>
      </c>
      <c r="AA357" s="594">
        <v>0</v>
      </c>
      <c r="AB357" s="594">
        <v>0</v>
      </c>
      <c r="AC357" s="594">
        <v>0</v>
      </c>
      <c r="AD357" s="594">
        <v>0</v>
      </c>
      <c r="AE357" s="594">
        <v>0</v>
      </c>
      <c r="AF357" s="594">
        <v>0</v>
      </c>
      <c r="AG357" s="594">
        <v>0</v>
      </c>
      <c r="AH357" s="594">
        <v>0</v>
      </c>
      <c r="AI357" s="594">
        <v>0</v>
      </c>
      <c r="AJ357" s="594">
        <v>0</v>
      </c>
      <c r="AK357" s="594">
        <v>0</v>
      </c>
      <c r="AL357" s="594"/>
      <c r="AM357" s="594"/>
      <c r="AN357" s="594"/>
      <c r="AO357" s="594"/>
      <c r="AP357" s="594"/>
      <c r="AQ357" s="594"/>
      <c r="AR357" s="594"/>
      <c r="AS357" s="594"/>
      <c r="AT357" s="594"/>
      <c r="AU357" s="594"/>
      <c r="AV357" s="594"/>
      <c r="AW357" s="594"/>
      <c r="AX357" s="594"/>
      <c r="AY357" s="594"/>
      <c r="AZ357" s="594"/>
      <c r="BA357" s="594"/>
      <c r="BB357" s="594"/>
      <c r="BC357" s="594"/>
      <c r="BD357" s="594"/>
      <c r="BE357" s="594"/>
      <c r="BF357" s="594"/>
      <c r="BG357" s="594"/>
      <c r="BH357" s="594"/>
      <c r="BI357" s="594"/>
      <c r="BJ357" s="594"/>
      <c r="BK357" s="594"/>
      <c r="BL357" s="594"/>
      <c r="BM357" s="594"/>
      <c r="BN357" s="594"/>
      <c r="BO357" s="594"/>
      <c r="BP357" s="594"/>
      <c r="BQ357" s="594"/>
      <c r="BR357" s="594"/>
      <c r="BS357" s="594"/>
      <c r="BT357" s="594"/>
      <c r="BU357" s="594"/>
      <c r="BV357" s="594"/>
      <c r="BW357" s="594"/>
      <c r="BX357" s="594"/>
      <c r="BY357" s="594"/>
      <c r="BZ357" s="594"/>
      <c r="CA357" s="594"/>
      <c r="CB357" s="594"/>
      <c r="CC357" s="594"/>
      <c r="CD357" s="594"/>
      <c r="CE357" s="594"/>
      <c r="CF357" s="594"/>
      <c r="CG357" s="594"/>
      <c r="CH357" s="594"/>
      <c r="CI357" s="595"/>
    </row>
    <row r="358" spans="2:89" x14ac:dyDescent="0.2">
      <c r="B358" s="905" t="s">
        <v>771</v>
      </c>
      <c r="C358" s="906" t="s">
        <v>593</v>
      </c>
      <c r="D358" s="907" t="s">
        <v>86</v>
      </c>
      <c r="E358" s="906" t="s">
        <v>236</v>
      </c>
      <c r="F358" s="902">
        <v>2</v>
      </c>
      <c r="G358" s="637"/>
      <c r="H358" s="1504"/>
      <c r="I358" s="1504">
        <v>1.198928833840802</v>
      </c>
      <c r="J358" s="1504">
        <v>1.26843224419106</v>
      </c>
      <c r="K358" s="1504">
        <v>1.312453256896954</v>
      </c>
      <c r="L358" s="1504">
        <v>1.279851588729108</v>
      </c>
      <c r="M358" s="1505">
        <v>1.3054705255422749</v>
      </c>
      <c r="N358" s="1505">
        <v>1.2905172002817631</v>
      </c>
      <c r="O358" s="1505">
        <v>1.2468989380337021</v>
      </c>
      <c r="P358" s="1505">
        <v>1.265758583831196</v>
      </c>
      <c r="Q358" s="1505">
        <v>1.2710757865712741</v>
      </c>
      <c r="R358" s="1505">
        <v>1.2795261426506099</v>
      </c>
      <c r="S358" s="1505">
        <v>1.109217946261251</v>
      </c>
      <c r="T358" s="1505">
        <v>0.44151219497483202</v>
      </c>
      <c r="U358" s="1505">
        <v>0.42310749776372902</v>
      </c>
      <c r="V358" s="1505">
        <v>0.38202714989766501</v>
      </c>
      <c r="W358" s="1505">
        <v>0.360196926163452</v>
      </c>
      <c r="X358" s="1505">
        <v>0.36521137339305498</v>
      </c>
      <c r="Y358" s="1505">
        <v>0.36318474633411701</v>
      </c>
      <c r="Z358" s="1505">
        <v>0.37082782892067501</v>
      </c>
      <c r="AA358" s="1505">
        <v>0.37618737099245603</v>
      </c>
      <c r="AB358" s="1505">
        <v>0.37825350830321403</v>
      </c>
      <c r="AC358" s="1505">
        <v>0.361263021227819</v>
      </c>
      <c r="AD358" s="1505">
        <v>0.35161651236574798</v>
      </c>
      <c r="AE358" s="1505">
        <v>0.33747056263238501</v>
      </c>
      <c r="AF358" s="1505">
        <v>0.330593702233134</v>
      </c>
      <c r="AG358" s="1505">
        <v>0.32270736688977902</v>
      </c>
      <c r="AH358" s="1505">
        <v>0.32731487713584001</v>
      </c>
      <c r="AI358" s="1505">
        <v>0.33112001426618798</v>
      </c>
      <c r="AJ358" s="1505">
        <v>0.33604659127751302</v>
      </c>
      <c r="AK358" s="1505">
        <v>0.33765742391475201</v>
      </c>
      <c r="AL358" s="594"/>
      <c r="AM358" s="594"/>
      <c r="AN358" s="594"/>
      <c r="AO358" s="594"/>
      <c r="AP358" s="594"/>
      <c r="AQ358" s="594"/>
      <c r="AR358" s="594"/>
      <c r="AS358" s="594"/>
      <c r="AT358" s="594"/>
      <c r="AU358" s="594"/>
      <c r="AV358" s="594"/>
      <c r="AW358" s="594"/>
      <c r="AX358" s="594"/>
      <c r="AY358" s="594"/>
      <c r="AZ358" s="594"/>
      <c r="BA358" s="594"/>
      <c r="BB358" s="594"/>
      <c r="BC358" s="594"/>
      <c r="BD358" s="594"/>
      <c r="BE358" s="594"/>
      <c r="BF358" s="594"/>
      <c r="BG358" s="594"/>
      <c r="BH358" s="594"/>
      <c r="BI358" s="594"/>
      <c r="BJ358" s="594"/>
      <c r="BK358" s="594"/>
      <c r="BL358" s="594"/>
      <c r="BM358" s="594"/>
      <c r="BN358" s="594"/>
      <c r="BO358" s="594"/>
      <c r="BP358" s="594"/>
      <c r="BQ358" s="594"/>
      <c r="BR358" s="594"/>
      <c r="BS358" s="594"/>
      <c r="BT358" s="594"/>
      <c r="BU358" s="594"/>
      <c r="BV358" s="594"/>
      <c r="BW358" s="594"/>
      <c r="BX358" s="594"/>
      <c r="BY358" s="594"/>
      <c r="BZ358" s="594"/>
      <c r="CA358" s="594"/>
      <c r="CB358" s="594"/>
      <c r="CC358" s="594"/>
      <c r="CD358" s="594"/>
      <c r="CE358" s="594"/>
      <c r="CF358" s="594"/>
      <c r="CG358" s="594"/>
      <c r="CH358" s="594"/>
      <c r="CI358" s="595"/>
    </row>
    <row r="359" spans="2:89" x14ac:dyDescent="0.2">
      <c r="B359" s="905" t="s">
        <v>772</v>
      </c>
      <c r="C359" s="906" t="s">
        <v>384</v>
      </c>
      <c r="D359" s="907" t="s">
        <v>773</v>
      </c>
      <c r="E359" s="906" t="s">
        <v>236</v>
      </c>
      <c r="F359" s="902">
        <v>2</v>
      </c>
      <c r="G359" s="795">
        <f t="shared" ref="G359:AK359" si="199">G357+G358</f>
        <v>0</v>
      </c>
      <c r="H359" s="795">
        <f t="shared" si="199"/>
        <v>0</v>
      </c>
      <c r="I359" s="795">
        <f t="shared" si="199"/>
        <v>1.198928833840802</v>
      </c>
      <c r="J359" s="795">
        <f t="shared" si="199"/>
        <v>1.26843224419106</v>
      </c>
      <c r="K359" s="795">
        <f t="shared" si="199"/>
        <v>1.312453256896954</v>
      </c>
      <c r="L359" s="795">
        <f t="shared" si="199"/>
        <v>1.279851588729108</v>
      </c>
      <c r="M359" s="795">
        <f t="shared" si="199"/>
        <v>1.3054705255422749</v>
      </c>
      <c r="N359" s="795">
        <f t="shared" si="199"/>
        <v>1.2905172002817631</v>
      </c>
      <c r="O359" s="795">
        <f t="shared" si="199"/>
        <v>1.2468989380337021</v>
      </c>
      <c r="P359" s="795">
        <f t="shared" si="199"/>
        <v>1.265758583831196</v>
      </c>
      <c r="Q359" s="795">
        <f t="shared" si="199"/>
        <v>1.2710757865712741</v>
      </c>
      <c r="R359" s="795">
        <f t="shared" si="199"/>
        <v>1.2795261426506099</v>
      </c>
      <c r="S359" s="795">
        <f t="shared" si="199"/>
        <v>1.109217946261251</v>
      </c>
      <c r="T359" s="795">
        <f t="shared" si="199"/>
        <v>0.44151219497483202</v>
      </c>
      <c r="U359" s="795">
        <f t="shared" si="199"/>
        <v>0.42310749776372902</v>
      </c>
      <c r="V359" s="795">
        <f t="shared" si="199"/>
        <v>0.38202714989766501</v>
      </c>
      <c r="W359" s="795">
        <f t="shared" si="199"/>
        <v>0.360196926163452</v>
      </c>
      <c r="X359" s="795">
        <f t="shared" si="199"/>
        <v>0.36521137339305498</v>
      </c>
      <c r="Y359" s="795">
        <f t="shared" si="199"/>
        <v>0.36318474633411701</v>
      </c>
      <c r="Z359" s="795">
        <f t="shared" si="199"/>
        <v>0.37082782892067501</v>
      </c>
      <c r="AA359" s="795">
        <f t="shared" si="199"/>
        <v>0.37618737099245603</v>
      </c>
      <c r="AB359" s="795">
        <f t="shared" si="199"/>
        <v>0.37825350830321403</v>
      </c>
      <c r="AC359" s="795">
        <f t="shared" si="199"/>
        <v>0.361263021227819</v>
      </c>
      <c r="AD359" s="795">
        <f t="shared" si="199"/>
        <v>0.35161651236574798</v>
      </c>
      <c r="AE359" s="795">
        <f t="shared" si="199"/>
        <v>0.33747056263238501</v>
      </c>
      <c r="AF359" s="795">
        <f t="shared" si="199"/>
        <v>0.330593702233134</v>
      </c>
      <c r="AG359" s="795">
        <f t="shared" si="199"/>
        <v>0.32270736688977902</v>
      </c>
      <c r="AH359" s="795">
        <f t="shared" si="199"/>
        <v>0.32731487713584001</v>
      </c>
      <c r="AI359" s="795">
        <f t="shared" si="199"/>
        <v>0.33112001426618798</v>
      </c>
      <c r="AJ359" s="795">
        <f t="shared" si="199"/>
        <v>0.33604659127751302</v>
      </c>
      <c r="AK359" s="795">
        <f t="shared" si="199"/>
        <v>0.33765742391475201</v>
      </c>
      <c r="AL359" s="796"/>
      <c r="AM359" s="796"/>
      <c r="AN359" s="796"/>
      <c r="AO359" s="796"/>
      <c r="AP359" s="796"/>
      <c r="AQ359" s="796"/>
      <c r="AR359" s="796"/>
      <c r="AS359" s="796"/>
      <c r="AT359" s="796"/>
      <c r="AU359" s="796"/>
      <c r="AV359" s="796"/>
      <c r="AW359" s="796"/>
      <c r="AX359" s="796"/>
      <c r="AY359" s="796"/>
      <c r="AZ359" s="796"/>
      <c r="BA359" s="796"/>
      <c r="BB359" s="796"/>
      <c r="BC359" s="796"/>
      <c r="BD359" s="796"/>
      <c r="BE359" s="796"/>
      <c r="BF359" s="796"/>
      <c r="BG359" s="796"/>
      <c r="BH359" s="796"/>
      <c r="BI359" s="796"/>
      <c r="BJ359" s="796"/>
      <c r="BK359" s="796"/>
      <c r="BL359" s="796"/>
      <c r="BM359" s="796"/>
      <c r="BN359" s="796"/>
      <c r="BO359" s="796"/>
      <c r="BP359" s="796"/>
      <c r="BQ359" s="796"/>
      <c r="BR359" s="796"/>
      <c r="BS359" s="796"/>
      <c r="BT359" s="796"/>
      <c r="BU359" s="796"/>
      <c r="BV359" s="796"/>
      <c r="BW359" s="796"/>
      <c r="BX359" s="796"/>
      <c r="BY359" s="796"/>
      <c r="BZ359" s="796"/>
      <c r="CA359" s="796"/>
      <c r="CB359" s="796"/>
      <c r="CC359" s="796"/>
      <c r="CD359" s="796"/>
      <c r="CE359" s="796"/>
      <c r="CF359" s="796"/>
      <c r="CG359" s="796"/>
      <c r="CH359" s="796"/>
      <c r="CI359" s="797"/>
    </row>
    <row r="360" spans="2:89" x14ac:dyDescent="0.2">
      <c r="B360" s="1067" t="s">
        <v>774</v>
      </c>
      <c r="C360" s="1068" t="s">
        <v>597</v>
      </c>
      <c r="D360" s="1069" t="s">
        <v>775</v>
      </c>
      <c r="E360" s="1068" t="s">
        <v>236</v>
      </c>
      <c r="F360" s="1070">
        <v>2</v>
      </c>
      <c r="G360" s="798">
        <f>G313-G356</f>
        <v>0</v>
      </c>
      <c r="H360" s="798">
        <f t="shared" ref="H360:AK360" si="200">H313-H356</f>
        <v>0</v>
      </c>
      <c r="I360" s="798">
        <f t="shared" si="200"/>
        <v>4.7286658509651165</v>
      </c>
      <c r="J360" s="798">
        <f t="shared" si="200"/>
        <v>4.5375799232484511</v>
      </c>
      <c r="K360" s="798">
        <f t="shared" si="200"/>
        <v>4.4633490621379952</v>
      </c>
      <c r="L360" s="798">
        <f t="shared" si="200"/>
        <v>4.4765055323950378</v>
      </c>
      <c r="M360" s="799">
        <f t="shared" si="200"/>
        <v>4.5849368483129247</v>
      </c>
      <c r="N360" s="799">
        <f t="shared" si="200"/>
        <v>4.736673385931395</v>
      </c>
      <c r="O360" s="799">
        <f t="shared" si="200"/>
        <v>4.6626445701044528</v>
      </c>
      <c r="P360" s="799">
        <f t="shared" si="200"/>
        <v>4.674527794662696</v>
      </c>
      <c r="Q360" s="799">
        <f t="shared" si="200"/>
        <v>4.6997094614926969</v>
      </c>
      <c r="R360" s="799">
        <f t="shared" si="200"/>
        <v>4.7353878794409763</v>
      </c>
      <c r="S360" s="799">
        <f t="shared" si="200"/>
        <v>4.7748929088691785</v>
      </c>
      <c r="T360" s="799">
        <f t="shared" si="200"/>
        <v>1.1015121949748305</v>
      </c>
      <c r="U360" s="799">
        <f t="shared" si="200"/>
        <v>1.0831074977637272</v>
      </c>
      <c r="V360" s="799">
        <f t="shared" si="200"/>
        <v>1.0420271498976632</v>
      </c>
      <c r="W360" s="799">
        <f t="shared" si="200"/>
        <v>1.0201969261634503</v>
      </c>
      <c r="X360" s="799">
        <f t="shared" si="200"/>
        <v>1.0523782861594242</v>
      </c>
      <c r="Y360" s="799">
        <f t="shared" si="200"/>
        <v>1.0897645157227114</v>
      </c>
      <c r="Z360" s="799">
        <f t="shared" si="200"/>
        <v>1.1115996529350607</v>
      </c>
      <c r="AA360" s="799">
        <f t="shared" si="200"/>
        <v>1.1356730833692339</v>
      </c>
      <c r="AB360" s="799">
        <f t="shared" si="200"/>
        <v>1.1631404575323714</v>
      </c>
      <c r="AC360" s="799">
        <f t="shared" si="200"/>
        <v>1.1877883607561728</v>
      </c>
      <c r="AD360" s="799">
        <f t="shared" si="200"/>
        <v>1.2108475219452206</v>
      </c>
      <c r="AE360" s="799">
        <f t="shared" si="200"/>
        <v>1.2215124414095246</v>
      </c>
      <c r="AF360" s="799">
        <f t="shared" si="200"/>
        <v>1.2106874759944546</v>
      </c>
      <c r="AG360" s="799">
        <f t="shared" si="200"/>
        <v>1.2005058742901884</v>
      </c>
      <c r="AH360" s="799">
        <f t="shared" si="200"/>
        <v>1.1896652446182969</v>
      </c>
      <c r="AI360" s="799">
        <f t="shared" si="200"/>
        <v>1.1784403110479662</v>
      </c>
      <c r="AJ360" s="799">
        <f t="shared" si="200"/>
        <v>1.1664164187265005</v>
      </c>
      <c r="AK360" s="799">
        <f t="shared" si="200"/>
        <v>1.1544567947209874</v>
      </c>
      <c r="AL360" s="799"/>
      <c r="AM360" s="799"/>
      <c r="AN360" s="799"/>
      <c r="AO360" s="799"/>
      <c r="AP360" s="799"/>
      <c r="AQ360" s="799"/>
      <c r="AR360" s="799"/>
      <c r="AS360" s="799"/>
      <c r="AT360" s="799"/>
      <c r="AU360" s="799"/>
      <c r="AV360" s="799"/>
      <c r="AW360" s="799"/>
      <c r="AX360" s="799"/>
      <c r="AY360" s="799"/>
      <c r="AZ360" s="799"/>
      <c r="BA360" s="799"/>
      <c r="BB360" s="799"/>
      <c r="BC360" s="799"/>
      <c r="BD360" s="799"/>
      <c r="BE360" s="799"/>
      <c r="BF360" s="799"/>
      <c r="BG360" s="799"/>
      <c r="BH360" s="799"/>
      <c r="BI360" s="799"/>
      <c r="BJ360" s="799"/>
      <c r="BK360" s="799"/>
      <c r="BL360" s="799"/>
      <c r="BM360" s="799"/>
      <c r="BN360" s="799"/>
      <c r="BO360" s="799"/>
      <c r="BP360" s="799"/>
      <c r="BQ360" s="799"/>
      <c r="BR360" s="799"/>
      <c r="BS360" s="799"/>
      <c r="BT360" s="799"/>
      <c r="BU360" s="799"/>
      <c r="BV360" s="799"/>
      <c r="BW360" s="799"/>
      <c r="BX360" s="799"/>
      <c r="BY360" s="799"/>
      <c r="BZ360" s="799"/>
      <c r="CA360" s="799"/>
      <c r="CB360" s="799"/>
      <c r="CC360" s="799"/>
      <c r="CD360" s="799"/>
      <c r="CE360" s="799"/>
      <c r="CF360" s="799"/>
      <c r="CG360" s="799"/>
      <c r="CH360" s="799"/>
      <c r="CI360" s="800"/>
    </row>
    <row r="361" spans="2:89" ht="15" thickBot="1" x14ac:dyDescent="0.25">
      <c r="B361" s="905" t="s">
        <v>776</v>
      </c>
      <c r="C361" s="906" t="s">
        <v>600</v>
      </c>
      <c r="D361" s="907" t="s">
        <v>777</v>
      </c>
      <c r="E361" s="906" t="s">
        <v>236</v>
      </c>
      <c r="F361" s="902">
        <v>2</v>
      </c>
      <c r="G361" s="798">
        <f t="shared" ref="G361:AK361" si="201">G304-G315</f>
        <v>0</v>
      </c>
      <c r="H361" s="798">
        <f t="shared" si="201"/>
        <v>0</v>
      </c>
      <c r="I361" s="798">
        <f t="shared" si="201"/>
        <v>0</v>
      </c>
      <c r="J361" s="798">
        <f t="shared" si="201"/>
        <v>0</v>
      </c>
      <c r="K361" s="798">
        <f t="shared" si="201"/>
        <v>0</v>
      </c>
      <c r="L361" s="798">
        <f t="shared" si="201"/>
        <v>0</v>
      </c>
      <c r="M361" s="798">
        <f t="shared" si="201"/>
        <v>0</v>
      </c>
      <c r="N361" s="798">
        <f t="shared" si="201"/>
        <v>0</v>
      </c>
      <c r="O361" s="798">
        <f t="shared" si="201"/>
        <v>0</v>
      </c>
      <c r="P361" s="798">
        <f t="shared" si="201"/>
        <v>0</v>
      </c>
      <c r="Q361" s="798">
        <f t="shared" si="201"/>
        <v>0</v>
      </c>
      <c r="R361" s="798">
        <f t="shared" si="201"/>
        <v>0</v>
      </c>
      <c r="S361" s="798">
        <f t="shared" si="201"/>
        <v>0</v>
      </c>
      <c r="T361" s="798">
        <f t="shared" si="201"/>
        <v>0</v>
      </c>
      <c r="U361" s="798">
        <f t="shared" si="201"/>
        <v>0</v>
      </c>
      <c r="V361" s="798">
        <f t="shared" si="201"/>
        <v>0</v>
      </c>
      <c r="W361" s="798">
        <f t="shared" si="201"/>
        <v>0</v>
      </c>
      <c r="X361" s="798">
        <f t="shared" si="201"/>
        <v>0</v>
      </c>
      <c r="Y361" s="798">
        <f t="shared" si="201"/>
        <v>0</v>
      </c>
      <c r="Z361" s="798">
        <f t="shared" si="201"/>
        <v>0</v>
      </c>
      <c r="AA361" s="798">
        <f t="shared" si="201"/>
        <v>0</v>
      </c>
      <c r="AB361" s="798">
        <f t="shared" si="201"/>
        <v>0</v>
      </c>
      <c r="AC361" s="798">
        <f t="shared" si="201"/>
        <v>0</v>
      </c>
      <c r="AD361" s="798">
        <f t="shared" si="201"/>
        <v>0</v>
      </c>
      <c r="AE361" s="798">
        <f t="shared" si="201"/>
        <v>0</v>
      </c>
      <c r="AF361" s="798">
        <f t="shared" si="201"/>
        <v>0</v>
      </c>
      <c r="AG361" s="798">
        <f t="shared" si="201"/>
        <v>0</v>
      </c>
      <c r="AH361" s="798">
        <f t="shared" si="201"/>
        <v>0</v>
      </c>
      <c r="AI361" s="798">
        <f t="shared" si="201"/>
        <v>0</v>
      </c>
      <c r="AJ361" s="798">
        <f t="shared" si="201"/>
        <v>0</v>
      </c>
      <c r="AK361" s="798">
        <f t="shared" si="201"/>
        <v>0</v>
      </c>
      <c r="AL361" s="798"/>
      <c r="AM361" s="798"/>
      <c r="AN361" s="798"/>
      <c r="AO361" s="798"/>
      <c r="AP361" s="798"/>
      <c r="AQ361" s="798"/>
      <c r="AR361" s="798"/>
      <c r="AS361" s="798"/>
      <c r="AT361" s="798"/>
      <c r="AU361" s="798"/>
      <c r="AV361" s="798"/>
      <c r="AW361" s="798"/>
      <c r="AX361" s="798"/>
      <c r="AY361" s="798"/>
      <c r="AZ361" s="798"/>
      <c r="BA361" s="798"/>
      <c r="BB361" s="798"/>
      <c r="BC361" s="798"/>
      <c r="BD361" s="798"/>
      <c r="BE361" s="798"/>
      <c r="BF361" s="798"/>
      <c r="BG361" s="798"/>
      <c r="BH361" s="798"/>
      <c r="BI361" s="798"/>
      <c r="BJ361" s="798"/>
      <c r="BK361" s="798"/>
      <c r="BL361" s="798"/>
      <c r="BM361" s="798"/>
      <c r="BN361" s="798"/>
      <c r="BO361" s="798"/>
      <c r="BP361" s="798"/>
      <c r="BQ361" s="798"/>
      <c r="BR361" s="798"/>
      <c r="BS361" s="798"/>
      <c r="BT361" s="798"/>
      <c r="BU361" s="798"/>
      <c r="BV361" s="798"/>
      <c r="BW361" s="798"/>
      <c r="BX361" s="798"/>
      <c r="BY361" s="798"/>
      <c r="BZ361" s="798"/>
      <c r="CA361" s="798"/>
      <c r="CB361" s="798"/>
      <c r="CC361" s="798"/>
      <c r="CD361" s="798"/>
      <c r="CE361" s="798"/>
      <c r="CF361" s="798"/>
      <c r="CG361" s="798"/>
      <c r="CH361" s="798"/>
      <c r="CI361" s="798"/>
    </row>
    <row r="362" spans="2:89" x14ac:dyDescent="0.2">
      <c r="B362" s="996" t="s">
        <v>778</v>
      </c>
      <c r="C362" s="997" t="s">
        <v>393</v>
      </c>
      <c r="D362" s="998" t="s">
        <v>779</v>
      </c>
      <c r="E362" s="997" t="s">
        <v>236</v>
      </c>
      <c r="F362" s="999">
        <v>2</v>
      </c>
      <c r="G362" s="805">
        <f>G360-G359</f>
        <v>0</v>
      </c>
      <c r="H362" s="805">
        <f t="shared" ref="H362:AK362" si="202">H360-H359</f>
        <v>0</v>
      </c>
      <c r="I362" s="805">
        <f t="shared" si="202"/>
        <v>3.5297370171243143</v>
      </c>
      <c r="J362" s="805">
        <f t="shared" si="202"/>
        <v>3.269147679057391</v>
      </c>
      <c r="K362" s="805">
        <f t="shared" si="202"/>
        <v>3.1508958052410412</v>
      </c>
      <c r="L362" s="805">
        <f>L360-L359</f>
        <v>3.1966539436659298</v>
      </c>
      <c r="M362" s="806">
        <f t="shared" si="202"/>
        <v>3.2794663227706495</v>
      </c>
      <c r="N362" s="806">
        <f t="shared" si="202"/>
        <v>3.4461561856496319</v>
      </c>
      <c r="O362" s="806">
        <f t="shared" si="202"/>
        <v>3.4157456320707507</v>
      </c>
      <c r="P362" s="806">
        <f t="shared" si="202"/>
        <v>3.4087692108315002</v>
      </c>
      <c r="Q362" s="806">
        <f t="shared" si="202"/>
        <v>3.4286336749214228</v>
      </c>
      <c r="R362" s="806">
        <f t="shared" si="202"/>
        <v>3.4558617367903661</v>
      </c>
      <c r="S362" s="806">
        <f t="shared" si="202"/>
        <v>3.6656749626079277</v>
      </c>
      <c r="T362" s="806">
        <f t="shared" si="202"/>
        <v>0.65999999999999859</v>
      </c>
      <c r="U362" s="806">
        <f t="shared" si="202"/>
        <v>0.65999999999999814</v>
      </c>
      <c r="V362" s="806">
        <f t="shared" si="202"/>
        <v>0.65999999999999814</v>
      </c>
      <c r="W362" s="806">
        <f t="shared" si="202"/>
        <v>0.65999999999999825</v>
      </c>
      <c r="X362" s="806">
        <f t="shared" si="202"/>
        <v>0.68716691276636921</v>
      </c>
      <c r="Y362" s="806">
        <f t="shared" si="202"/>
        <v>0.72657976938859437</v>
      </c>
      <c r="Z362" s="806">
        <f t="shared" si="202"/>
        <v>0.74077182401438568</v>
      </c>
      <c r="AA362" s="806">
        <f t="shared" si="202"/>
        <v>0.75948571237677787</v>
      </c>
      <c r="AB362" s="806">
        <f t="shared" si="202"/>
        <v>0.78488694922915736</v>
      </c>
      <c r="AC362" s="806">
        <f t="shared" si="202"/>
        <v>0.82652533952835383</v>
      </c>
      <c r="AD362" s="806">
        <f t="shared" si="202"/>
        <v>0.85923100957947263</v>
      </c>
      <c r="AE362" s="806">
        <f t="shared" si="202"/>
        <v>0.88404187877713958</v>
      </c>
      <c r="AF362" s="806">
        <f t="shared" si="202"/>
        <v>0.88009377376132059</v>
      </c>
      <c r="AG362" s="806">
        <f t="shared" si="202"/>
        <v>0.87779850740040932</v>
      </c>
      <c r="AH362" s="806">
        <f t="shared" si="202"/>
        <v>0.86235036748245686</v>
      </c>
      <c r="AI362" s="806">
        <f t="shared" si="202"/>
        <v>0.84732029678177823</v>
      </c>
      <c r="AJ362" s="806">
        <f t="shared" si="202"/>
        <v>0.83036982744898746</v>
      </c>
      <c r="AK362" s="806">
        <f t="shared" si="202"/>
        <v>0.81679937080623533</v>
      </c>
      <c r="AL362" s="806"/>
      <c r="AM362" s="806"/>
      <c r="AN362" s="806"/>
      <c r="AO362" s="806"/>
      <c r="AP362" s="806"/>
      <c r="AQ362" s="806"/>
      <c r="AR362" s="806"/>
      <c r="AS362" s="806"/>
      <c r="AT362" s="806"/>
      <c r="AU362" s="806"/>
      <c r="AV362" s="806"/>
      <c r="AW362" s="806"/>
      <c r="AX362" s="806"/>
      <c r="AY362" s="806"/>
      <c r="AZ362" s="806"/>
      <c r="BA362" s="806"/>
      <c r="BB362" s="806"/>
      <c r="BC362" s="806"/>
      <c r="BD362" s="806"/>
      <c r="BE362" s="806"/>
      <c r="BF362" s="806"/>
      <c r="BG362" s="806"/>
      <c r="BH362" s="806"/>
      <c r="BI362" s="806"/>
      <c r="BJ362" s="806"/>
      <c r="BK362" s="806"/>
      <c r="BL362" s="806"/>
      <c r="BM362" s="806"/>
      <c r="BN362" s="806"/>
      <c r="BO362" s="806"/>
      <c r="BP362" s="806"/>
      <c r="BQ362" s="806"/>
      <c r="BR362" s="806"/>
      <c r="BS362" s="806"/>
      <c r="BT362" s="806"/>
      <c r="BU362" s="806"/>
      <c r="BV362" s="806"/>
      <c r="BW362" s="806"/>
      <c r="BX362" s="806"/>
      <c r="BY362" s="806"/>
      <c r="BZ362" s="806"/>
      <c r="CA362" s="806"/>
      <c r="CB362" s="806"/>
      <c r="CC362" s="806"/>
      <c r="CD362" s="806"/>
      <c r="CE362" s="806"/>
      <c r="CF362" s="806"/>
      <c r="CG362" s="806"/>
      <c r="CH362" s="806"/>
      <c r="CI362" s="807"/>
    </row>
    <row r="364" spans="2:89" ht="15" thickBot="1" x14ac:dyDescent="0.25"/>
    <row r="365" spans="2:89" ht="15" x14ac:dyDescent="0.2">
      <c r="B365" s="1297" t="s">
        <v>787</v>
      </c>
      <c r="C365" s="1298"/>
      <c r="D365" s="1298"/>
      <c r="E365" s="1298"/>
      <c r="F365" s="1298"/>
      <c r="G365" s="1298"/>
      <c r="H365" s="1298"/>
      <c r="I365" s="1298"/>
      <c r="J365" s="1298"/>
      <c r="K365" s="1298"/>
      <c r="L365" s="1298"/>
      <c r="M365" s="1298"/>
      <c r="N365" s="1298"/>
      <c r="O365" s="1298"/>
      <c r="P365" s="1298"/>
      <c r="Q365" s="1298"/>
      <c r="R365" s="1298"/>
      <c r="S365" s="1298"/>
      <c r="T365" s="1298"/>
      <c r="U365" s="1298"/>
      <c r="V365" s="1298"/>
      <c r="W365" s="1298"/>
      <c r="X365" s="1298"/>
      <c r="Y365" s="1298"/>
      <c r="Z365" s="1298"/>
      <c r="AA365" s="1298"/>
      <c r="AB365" s="1298"/>
      <c r="AC365" s="1298"/>
      <c r="AD365" s="1298"/>
      <c r="AE365" s="1298"/>
      <c r="AF365" s="1298"/>
      <c r="AG365" s="1298"/>
      <c r="AH365" s="1298"/>
      <c r="AI365" s="1298"/>
      <c r="AJ365" s="1298"/>
      <c r="AK365" s="1298"/>
      <c r="AL365" s="1298"/>
      <c r="AM365" s="1298"/>
      <c r="AN365" s="1298"/>
      <c r="AO365" s="1298"/>
      <c r="AP365" s="1298"/>
      <c r="AQ365" s="1298"/>
      <c r="AR365" s="1298"/>
      <c r="AS365" s="1298"/>
      <c r="AT365" s="1298"/>
      <c r="AU365" s="1298"/>
      <c r="AV365" s="1298"/>
      <c r="AW365" s="1298"/>
      <c r="AX365" s="1298"/>
      <c r="AY365" s="1298"/>
      <c r="AZ365" s="1298"/>
      <c r="BA365" s="1298"/>
      <c r="BB365" s="1298"/>
      <c r="BC365" s="1298"/>
      <c r="BD365" s="1298"/>
      <c r="BE365" s="1298"/>
      <c r="BF365" s="1298"/>
      <c r="BG365" s="1298"/>
      <c r="BH365" s="1298"/>
      <c r="BI365" s="1298"/>
      <c r="BJ365" s="1298"/>
      <c r="BK365" s="1298"/>
      <c r="BL365" s="1298"/>
      <c r="BM365" s="1298"/>
      <c r="BN365" s="1298"/>
      <c r="BO365" s="1298"/>
      <c r="BP365" s="1298"/>
      <c r="BQ365" s="1298"/>
      <c r="BR365" s="1298"/>
      <c r="BS365" s="1298"/>
      <c r="BT365" s="1298"/>
      <c r="BU365" s="1298"/>
      <c r="BV365" s="1298"/>
      <c r="BW365" s="1298"/>
      <c r="BX365" s="1298"/>
      <c r="BY365" s="1298"/>
      <c r="BZ365" s="1298"/>
      <c r="CA365" s="1298"/>
      <c r="CB365" s="1298"/>
      <c r="CC365" s="1298"/>
      <c r="CD365" s="1298"/>
      <c r="CE365" s="1298"/>
      <c r="CF365" s="1298"/>
      <c r="CG365" s="1298"/>
      <c r="CH365" s="1298"/>
      <c r="CI365" s="1299"/>
    </row>
    <row r="366" spans="2:89" x14ac:dyDescent="0.2">
      <c r="B366" s="1300"/>
      <c r="C366" s="1301"/>
      <c r="D366" s="1301"/>
      <c r="E366" s="1301"/>
      <c r="F366" s="1301"/>
      <c r="G366" s="1301"/>
      <c r="H366" s="1301"/>
      <c r="I366" s="1301"/>
      <c r="J366" s="1301"/>
      <c r="K366" s="1301"/>
      <c r="L366" s="1301"/>
      <c r="M366" s="1301"/>
      <c r="N366" s="1301"/>
      <c r="O366" s="1301"/>
      <c r="P366" s="1301"/>
      <c r="Q366" s="1301"/>
      <c r="R366" s="1301"/>
      <c r="S366" s="1301"/>
      <c r="T366" s="1301"/>
      <c r="U366" s="1301"/>
      <c r="V366" s="1301"/>
      <c r="W366" s="1301"/>
      <c r="X366" s="1301"/>
      <c r="Y366" s="1301"/>
      <c r="Z366" s="1301"/>
      <c r="AA366" s="1301"/>
      <c r="AB366" s="1301"/>
      <c r="AC366" s="1301"/>
      <c r="AD366" s="1301"/>
      <c r="AE366" s="1301"/>
      <c r="AF366" s="1301"/>
      <c r="AG366" s="1301"/>
      <c r="AH366" s="1301"/>
      <c r="AI366" s="1301"/>
      <c r="AJ366" s="1301"/>
      <c r="AK366" s="1301"/>
      <c r="AL366" s="1301"/>
      <c r="AM366" s="1301"/>
      <c r="AN366" s="1301"/>
      <c r="AO366" s="1301"/>
      <c r="AP366" s="1301"/>
      <c r="AQ366" s="1301"/>
      <c r="AR366" s="1301"/>
      <c r="AS366" s="1301"/>
      <c r="AT366" s="1301"/>
      <c r="AU366" s="1301"/>
      <c r="AV366" s="1301"/>
      <c r="AW366" s="1301"/>
      <c r="AX366" s="1301"/>
      <c r="AY366" s="1301"/>
      <c r="AZ366" s="1301"/>
      <c r="BA366" s="1301"/>
      <c r="BB366" s="1301"/>
      <c r="BC366" s="1301"/>
      <c r="BD366" s="1301"/>
      <c r="BE366" s="1301"/>
      <c r="BF366" s="1301"/>
      <c r="BG366" s="1301"/>
      <c r="BH366" s="1301"/>
      <c r="BI366" s="1301"/>
      <c r="BJ366" s="1301"/>
      <c r="BK366" s="1301"/>
      <c r="BL366" s="1301"/>
      <c r="BM366" s="1301"/>
      <c r="BN366" s="1301"/>
      <c r="BO366" s="1301"/>
      <c r="BP366" s="1301"/>
      <c r="BQ366" s="1301"/>
      <c r="BR366" s="1301"/>
      <c r="BS366" s="1301"/>
      <c r="BT366" s="1301"/>
      <c r="BU366" s="1301"/>
      <c r="BV366" s="1301"/>
      <c r="BW366" s="1301"/>
      <c r="BX366" s="1301"/>
      <c r="BY366" s="1301"/>
      <c r="BZ366" s="1301"/>
      <c r="CA366" s="1301"/>
      <c r="CB366" s="1301"/>
      <c r="CC366" s="1301"/>
      <c r="CD366" s="1301"/>
      <c r="CE366" s="1301"/>
      <c r="CF366" s="1301"/>
      <c r="CG366" s="1301"/>
      <c r="CH366" s="1301"/>
      <c r="CI366" s="1302"/>
    </row>
    <row r="367" spans="2:89" x14ac:dyDescent="0.2">
      <c r="B367" s="1300" t="s">
        <v>788</v>
      </c>
      <c r="C367" s="1301"/>
      <c r="D367" s="1301"/>
      <c r="E367" s="1301"/>
      <c r="F367" s="1301"/>
      <c r="G367" s="1000" t="s">
        <v>208</v>
      </c>
      <c r="H367" s="1000" t="s">
        <v>209</v>
      </c>
      <c r="I367" s="1000" t="s">
        <v>210</v>
      </c>
      <c r="J367" s="1000" t="s">
        <v>211</v>
      </c>
      <c r="K367" s="1000" t="s">
        <v>212</v>
      </c>
      <c r="L367" s="1000" t="s">
        <v>213</v>
      </c>
      <c r="M367" s="1000" t="s">
        <v>214</v>
      </c>
      <c r="N367" s="1000" t="s">
        <v>215</v>
      </c>
      <c r="O367" s="1000" t="s">
        <v>216</v>
      </c>
      <c r="P367" s="1000" t="s">
        <v>217</v>
      </c>
      <c r="Q367" s="1000" t="s">
        <v>218</v>
      </c>
      <c r="R367" s="1000" t="s">
        <v>247</v>
      </c>
      <c r="S367" s="1000" t="s">
        <v>248</v>
      </c>
      <c r="T367" s="1000" t="s">
        <v>249</v>
      </c>
      <c r="U367" s="1000" t="s">
        <v>250</v>
      </c>
      <c r="V367" s="1000" t="s">
        <v>219</v>
      </c>
      <c r="W367" s="1000" t="s">
        <v>251</v>
      </c>
      <c r="X367" s="1000" t="s">
        <v>252</v>
      </c>
      <c r="Y367" s="1000" t="s">
        <v>253</v>
      </c>
      <c r="Z367" s="1000" t="s">
        <v>254</v>
      </c>
      <c r="AA367" s="1000" t="s">
        <v>220</v>
      </c>
      <c r="AB367" s="1000" t="s">
        <v>255</v>
      </c>
      <c r="AC367" s="1000" t="s">
        <v>256</v>
      </c>
      <c r="AD367" s="1000" t="s">
        <v>257</v>
      </c>
      <c r="AE367" s="1000" t="s">
        <v>258</v>
      </c>
      <c r="AF367" s="1000" t="s">
        <v>221</v>
      </c>
      <c r="AG367" s="1000" t="s">
        <v>259</v>
      </c>
      <c r="AH367" s="1000" t="s">
        <v>260</v>
      </c>
      <c r="AI367" s="1000" t="s">
        <v>261</v>
      </c>
      <c r="AJ367" s="1000" t="s">
        <v>262</v>
      </c>
      <c r="AK367" s="1000" t="s">
        <v>222</v>
      </c>
      <c r="AL367" s="1000"/>
      <c r="AM367" s="1000"/>
      <c r="AN367" s="1000"/>
      <c r="AO367" s="1000"/>
      <c r="AP367" s="1000"/>
      <c r="AQ367" s="1000"/>
      <c r="AR367" s="1000"/>
      <c r="AS367" s="1000"/>
      <c r="AT367" s="1000"/>
      <c r="AU367" s="1000"/>
      <c r="AV367" s="1000"/>
      <c r="AW367" s="1000"/>
      <c r="AX367" s="1000"/>
      <c r="AY367" s="1000"/>
      <c r="AZ367" s="1000"/>
      <c r="BA367" s="1000"/>
      <c r="BB367" s="1000"/>
      <c r="BC367" s="1000"/>
      <c r="BD367" s="1000"/>
      <c r="BE367" s="1000"/>
      <c r="BF367" s="1000"/>
      <c r="BG367" s="1000"/>
      <c r="BH367" s="1000"/>
      <c r="BI367" s="1000"/>
      <c r="BJ367" s="1000"/>
      <c r="BK367" s="1000"/>
      <c r="BL367" s="1000"/>
      <c r="BM367" s="1000"/>
      <c r="BN367" s="1000"/>
      <c r="BO367" s="1000"/>
      <c r="BP367" s="1000"/>
      <c r="BQ367" s="1000"/>
      <c r="BR367" s="1000"/>
      <c r="BS367" s="1000"/>
      <c r="BT367" s="1000"/>
      <c r="BU367" s="1000"/>
      <c r="BV367" s="1000"/>
      <c r="BW367" s="1000"/>
      <c r="BX367" s="1000"/>
      <c r="BY367" s="1000"/>
      <c r="BZ367" s="1000"/>
      <c r="CA367" s="1000"/>
      <c r="CB367" s="1000"/>
      <c r="CC367" s="1000"/>
      <c r="CD367" s="1000"/>
      <c r="CE367" s="1000"/>
      <c r="CF367" s="1000"/>
      <c r="CG367" s="1000"/>
      <c r="CH367" s="1000"/>
      <c r="CI367" s="1001"/>
    </row>
    <row r="368" spans="2:89" x14ac:dyDescent="0.2">
      <c r="B368" s="1300"/>
      <c r="C368" s="1301" t="s">
        <v>789</v>
      </c>
      <c r="D368" s="1301"/>
      <c r="E368" s="1301" t="s">
        <v>236</v>
      </c>
      <c r="F368" s="1301">
        <v>2</v>
      </c>
      <c r="G368" s="1002">
        <f t="shared" ref="G368:AK369" si="203">G46-G57</f>
        <v>0</v>
      </c>
      <c r="H368" s="1002">
        <f t="shared" si="203"/>
        <v>0</v>
      </c>
      <c r="I368" s="1002">
        <f t="shared" si="203"/>
        <v>2.424220732377981</v>
      </c>
      <c r="J368" s="1002">
        <f t="shared" si="203"/>
        <v>2.4311707611431728</v>
      </c>
      <c r="K368" s="1002">
        <f t="shared" si="203"/>
        <v>2.3921150283314363</v>
      </c>
      <c r="L368" s="1002">
        <f t="shared" si="203"/>
        <v>2.3724928988692273</v>
      </c>
      <c r="M368" s="1002">
        <f t="shared" si="203"/>
        <v>2.5303507561497365</v>
      </c>
      <c r="N368" s="1002">
        <f t="shared" si="203"/>
        <v>2.6763161180535122</v>
      </c>
      <c r="O368" s="1002">
        <f t="shared" si="203"/>
        <v>2.7514738557745271</v>
      </c>
      <c r="P368" s="1002">
        <f t="shared" si="203"/>
        <v>2.8185447901608844</v>
      </c>
      <c r="Q368" s="1002">
        <f t="shared" si="203"/>
        <v>2.8729395326807099</v>
      </c>
      <c r="R368" s="1002">
        <f t="shared" si="203"/>
        <v>2.9126693878698617</v>
      </c>
      <c r="S368" s="1002">
        <f t="shared" si="203"/>
        <v>2.9376867481020787</v>
      </c>
      <c r="T368" s="1002">
        <f t="shared" si="203"/>
        <v>2.960793901707055</v>
      </c>
      <c r="U368" s="1002">
        <f t="shared" si="203"/>
        <v>2.9835896398338289</v>
      </c>
      <c r="V368" s="1002">
        <f t="shared" si="203"/>
        <v>3.0072794835200067</v>
      </c>
      <c r="W368" s="1002">
        <f t="shared" si="203"/>
        <v>3.031066111423486</v>
      </c>
      <c r="X368" s="1002">
        <f t="shared" si="203"/>
        <v>3.0552852238697694</v>
      </c>
      <c r="Y368" s="1002">
        <f t="shared" si="203"/>
        <v>3.0803301327221928</v>
      </c>
      <c r="Z368" s="1002">
        <f t="shared" si="203"/>
        <v>3.1055659193209908</v>
      </c>
      <c r="AA368" s="1002">
        <f t="shared" si="203"/>
        <v>3.1279859505761629</v>
      </c>
      <c r="AB368" s="1002">
        <f t="shared" si="203"/>
        <v>3.1451207182113787</v>
      </c>
      <c r="AC368" s="1002">
        <f t="shared" si="203"/>
        <v>3.166246783468317</v>
      </c>
      <c r="AD368" s="1002">
        <f t="shared" si="203"/>
        <v>3.1884884866135503</v>
      </c>
      <c r="AE368" s="1002">
        <f t="shared" si="203"/>
        <v>3.2105622597474697</v>
      </c>
      <c r="AF368" s="1002">
        <f t="shared" si="203"/>
        <v>3.2326825538211583</v>
      </c>
      <c r="AG368" s="1002">
        <f t="shared" si="203"/>
        <v>3.2540847790442688</v>
      </c>
      <c r="AH368" s="1002">
        <f t="shared" si="203"/>
        <v>3.2759408932334764</v>
      </c>
      <c r="AI368" s="1002">
        <f t="shared" si="203"/>
        <v>3.2985154469324693</v>
      </c>
      <c r="AJ368" s="1002">
        <f t="shared" si="203"/>
        <v>3.322107790902824</v>
      </c>
      <c r="AK368" s="1002">
        <f t="shared" si="203"/>
        <v>3.3461716069635314</v>
      </c>
      <c r="AL368" s="1002"/>
      <c r="AM368" s="1002"/>
      <c r="AN368" s="1002"/>
      <c r="AO368" s="1002"/>
      <c r="AP368" s="1002"/>
      <c r="AQ368" s="1002"/>
      <c r="AR368" s="1002"/>
      <c r="AS368" s="1002"/>
      <c r="AT368" s="1002"/>
      <c r="AU368" s="1002"/>
      <c r="AV368" s="1002"/>
      <c r="AW368" s="1002"/>
      <c r="AX368" s="1002"/>
      <c r="AY368" s="1002"/>
      <c r="AZ368" s="1002"/>
      <c r="BA368" s="1002"/>
      <c r="BB368" s="1002"/>
      <c r="BC368" s="1002"/>
      <c r="BD368" s="1002"/>
      <c r="BE368" s="1002"/>
      <c r="BF368" s="1002"/>
      <c r="BG368" s="1002"/>
      <c r="BH368" s="1002"/>
      <c r="BI368" s="1002"/>
      <c r="BJ368" s="1002"/>
      <c r="BK368" s="1002"/>
      <c r="BL368" s="1002"/>
      <c r="BM368" s="1002"/>
      <c r="BN368" s="1002"/>
      <c r="BO368" s="1002"/>
      <c r="BP368" s="1002"/>
      <c r="BQ368" s="1002"/>
      <c r="BR368" s="1002"/>
      <c r="BS368" s="1002"/>
      <c r="BT368" s="1002"/>
      <c r="BU368" s="1002"/>
      <c r="BV368" s="1002"/>
      <c r="BW368" s="1002"/>
      <c r="BX368" s="1002"/>
      <c r="BY368" s="1002"/>
      <c r="BZ368" s="1002"/>
      <c r="CA368" s="1002"/>
      <c r="CB368" s="1002"/>
      <c r="CC368" s="1002"/>
      <c r="CD368" s="1002"/>
      <c r="CE368" s="1002"/>
      <c r="CF368" s="1002"/>
      <c r="CG368" s="1002"/>
      <c r="CH368" s="1002"/>
      <c r="CI368" s="1003"/>
    </row>
    <row r="369" spans="2:87" x14ac:dyDescent="0.2">
      <c r="B369" s="1300"/>
      <c r="C369" s="1301" t="s">
        <v>790</v>
      </c>
      <c r="D369" s="1301"/>
      <c r="E369" s="1301" t="s">
        <v>236</v>
      </c>
      <c r="F369" s="1301">
        <v>2</v>
      </c>
      <c r="G369" s="1002">
        <f t="shared" si="203"/>
        <v>0</v>
      </c>
      <c r="H369" s="1002">
        <f t="shared" si="203"/>
        <v>0</v>
      </c>
      <c r="I369" s="1002">
        <f t="shared" si="203"/>
        <v>1.5130070642010627</v>
      </c>
      <c r="J369" s="1002">
        <f t="shared" si="203"/>
        <v>1.5546717243035104</v>
      </c>
      <c r="K369" s="1002">
        <f t="shared" si="203"/>
        <v>1.5136715266902645</v>
      </c>
      <c r="L369" s="1002">
        <f t="shared" si="203"/>
        <v>1.3804227732748786</v>
      </c>
      <c r="M369" s="1002">
        <f t="shared" si="203"/>
        <v>1.1905634173250812</v>
      </c>
      <c r="N369" s="1002">
        <f t="shared" si="203"/>
        <v>1.0986595575808218</v>
      </c>
      <c r="O369" s="1002">
        <f t="shared" si="203"/>
        <v>1.0661075377321501</v>
      </c>
      <c r="P369" s="1002">
        <f t="shared" si="203"/>
        <v>1.03362929194765</v>
      </c>
      <c r="Q369" s="1002">
        <f t="shared" si="203"/>
        <v>1.0011303799636984</v>
      </c>
      <c r="R369" s="1002">
        <f t="shared" si="203"/>
        <v>0.98069128093319791</v>
      </c>
      <c r="S369" s="1002">
        <f t="shared" si="203"/>
        <v>0.97261405701554493</v>
      </c>
      <c r="T369" s="1002">
        <f t="shared" si="203"/>
        <v>0.96463990603838889</v>
      </c>
      <c r="U369" s="1002">
        <f t="shared" si="203"/>
        <v>0.95667742037633319</v>
      </c>
      <c r="V369" s="1002">
        <f t="shared" si="203"/>
        <v>0.94880083863042264</v>
      </c>
      <c r="W369" s="1002">
        <f t="shared" si="203"/>
        <v>0.94169168936419123</v>
      </c>
      <c r="X369" s="1002">
        <f t="shared" si="203"/>
        <v>0.93467352021017358</v>
      </c>
      <c r="Y369" s="1002">
        <f t="shared" si="203"/>
        <v>0.92765488156767006</v>
      </c>
      <c r="Z369" s="1002">
        <f t="shared" si="203"/>
        <v>0.92090805458075442</v>
      </c>
      <c r="AA369" s="1002">
        <f t="shared" si="203"/>
        <v>0.91416612429999156</v>
      </c>
      <c r="AB369" s="1002">
        <f t="shared" si="203"/>
        <v>0.90739094904594897</v>
      </c>
      <c r="AC369" s="1002">
        <f t="shared" si="203"/>
        <v>0.90071028777070783</v>
      </c>
      <c r="AD369" s="1002">
        <f t="shared" si="203"/>
        <v>0.89450943025151586</v>
      </c>
      <c r="AE369" s="1002">
        <f t="shared" si="203"/>
        <v>0.88872928058622669</v>
      </c>
      <c r="AF369" s="1002">
        <f t="shared" si="203"/>
        <v>0.88304312277788644</v>
      </c>
      <c r="AG369" s="1002">
        <f t="shared" si="203"/>
        <v>0.87736229495279761</v>
      </c>
      <c r="AH369" s="1002">
        <f t="shared" si="203"/>
        <v>0.87194841195992734</v>
      </c>
      <c r="AI369" s="1002">
        <f t="shared" si="203"/>
        <v>0.86653447196573696</v>
      </c>
      <c r="AJ369" s="1002">
        <f t="shared" si="203"/>
        <v>0.86121103469042726</v>
      </c>
      <c r="AK369" s="1002">
        <f t="shared" si="203"/>
        <v>0.85571777838127472</v>
      </c>
      <c r="AL369" s="1002"/>
      <c r="AM369" s="1002"/>
      <c r="AN369" s="1002"/>
      <c r="AO369" s="1002"/>
      <c r="AP369" s="1002"/>
      <c r="AQ369" s="1002"/>
      <c r="AR369" s="1002"/>
      <c r="AS369" s="1002"/>
      <c r="AT369" s="1002"/>
      <c r="AU369" s="1002"/>
      <c r="AV369" s="1002"/>
      <c r="AW369" s="1002"/>
      <c r="AX369" s="1002"/>
      <c r="AY369" s="1002"/>
      <c r="AZ369" s="1002"/>
      <c r="BA369" s="1002"/>
      <c r="BB369" s="1002"/>
      <c r="BC369" s="1002"/>
      <c r="BD369" s="1002"/>
      <c r="BE369" s="1002"/>
      <c r="BF369" s="1002"/>
      <c r="BG369" s="1002"/>
      <c r="BH369" s="1002"/>
      <c r="BI369" s="1002"/>
      <c r="BJ369" s="1002"/>
      <c r="BK369" s="1002"/>
      <c r="BL369" s="1002"/>
      <c r="BM369" s="1002"/>
      <c r="BN369" s="1002"/>
      <c r="BO369" s="1002"/>
      <c r="BP369" s="1002"/>
      <c r="BQ369" s="1002"/>
      <c r="BR369" s="1002"/>
      <c r="BS369" s="1002"/>
      <c r="BT369" s="1002"/>
      <c r="BU369" s="1002"/>
      <c r="BV369" s="1002"/>
      <c r="BW369" s="1002"/>
      <c r="BX369" s="1002"/>
      <c r="BY369" s="1002"/>
      <c r="BZ369" s="1002"/>
      <c r="CA369" s="1002"/>
      <c r="CB369" s="1002"/>
      <c r="CC369" s="1002"/>
      <c r="CD369" s="1002"/>
      <c r="CE369" s="1002"/>
      <c r="CF369" s="1002"/>
      <c r="CG369" s="1002"/>
      <c r="CH369" s="1002"/>
      <c r="CI369" s="1003"/>
    </row>
    <row r="370" spans="2:87" x14ac:dyDescent="0.2">
      <c r="B370" s="1300"/>
      <c r="C370" s="1301" t="s">
        <v>791</v>
      </c>
      <c r="D370" s="1301"/>
      <c r="E370" s="1301" t="s">
        <v>236</v>
      </c>
      <c r="F370" s="1301">
        <v>2</v>
      </c>
      <c r="G370" s="1002">
        <f t="shared" ref="G370:AK370" si="204">G43+G45-G55-G56</f>
        <v>0</v>
      </c>
      <c r="H370" s="1002">
        <f t="shared" si="204"/>
        <v>0</v>
      </c>
      <c r="I370" s="1002">
        <f t="shared" si="204"/>
        <v>4.4854535911501303</v>
      </c>
      <c r="J370" s="1002">
        <f t="shared" si="204"/>
        <v>8.3910287536053296</v>
      </c>
      <c r="K370" s="1002">
        <f t="shared" si="204"/>
        <v>8.4062203651169423</v>
      </c>
      <c r="L370" s="1002">
        <f t="shared" si="204"/>
        <v>8.5793283661519606</v>
      </c>
      <c r="M370" s="1002">
        <f t="shared" si="204"/>
        <v>8.5891042641428896</v>
      </c>
      <c r="N370" s="1002">
        <f t="shared" si="204"/>
        <v>8.5997477317727142</v>
      </c>
      <c r="O370" s="1002">
        <f t="shared" si="204"/>
        <v>8.6104916991826563</v>
      </c>
      <c r="P370" s="1002">
        <f t="shared" si="204"/>
        <v>8.6212872300050698</v>
      </c>
      <c r="Q370" s="1002">
        <f t="shared" si="204"/>
        <v>8.6314576441275932</v>
      </c>
      <c r="R370" s="1002">
        <f t="shared" si="204"/>
        <v>8.641577604230676</v>
      </c>
      <c r="S370" s="1002">
        <f t="shared" si="204"/>
        <v>8.651594186095247</v>
      </c>
      <c r="T370" s="1002">
        <f t="shared" si="204"/>
        <v>8.661471224016756</v>
      </c>
      <c r="U370" s="1002">
        <f t="shared" si="204"/>
        <v>8.6712536797948836</v>
      </c>
      <c r="V370" s="1002">
        <f t="shared" si="204"/>
        <v>8.6809278802115859</v>
      </c>
      <c r="W370" s="1002">
        <f t="shared" si="204"/>
        <v>8.6904238782025054</v>
      </c>
      <c r="X370" s="1002">
        <f t="shared" si="204"/>
        <v>8.6997940795975488</v>
      </c>
      <c r="Y370" s="1002">
        <f t="shared" si="204"/>
        <v>8.7090002024415405</v>
      </c>
      <c r="Z370" s="1002">
        <f t="shared" si="204"/>
        <v>8.718031206106863</v>
      </c>
      <c r="AA370" s="1002">
        <f t="shared" si="204"/>
        <v>8.7269450727778572</v>
      </c>
      <c r="AB370" s="1002">
        <f t="shared" si="204"/>
        <v>8.735742657545325</v>
      </c>
      <c r="AC370" s="1002">
        <f t="shared" si="204"/>
        <v>8.7444182385835685</v>
      </c>
      <c r="AD370" s="1002">
        <f t="shared" si="204"/>
        <v>8.7529615783670263</v>
      </c>
      <c r="AE370" s="1002">
        <f t="shared" si="204"/>
        <v>8.7613815355971028</v>
      </c>
      <c r="AF370" s="1002">
        <f t="shared" si="204"/>
        <v>8.7696728022570145</v>
      </c>
      <c r="AG370" s="1002">
        <f t="shared" si="204"/>
        <v>8.7778470363577394</v>
      </c>
      <c r="AH370" s="1002">
        <f t="shared" si="204"/>
        <v>8.7859050133794394</v>
      </c>
      <c r="AI370" s="1002">
        <f t="shared" si="204"/>
        <v>8.7938526256278351</v>
      </c>
      <c r="AJ370" s="1002">
        <f t="shared" si="204"/>
        <v>8.8017080923690774</v>
      </c>
      <c r="AK370" s="1002">
        <f t="shared" si="204"/>
        <v>8.8094762982164561</v>
      </c>
      <c r="AL370" s="1002"/>
      <c r="AM370" s="1002"/>
      <c r="AN370" s="1002"/>
      <c r="AO370" s="1002"/>
      <c r="AP370" s="1002"/>
      <c r="AQ370" s="1002"/>
      <c r="AR370" s="1002"/>
      <c r="AS370" s="1002"/>
      <c r="AT370" s="1002"/>
      <c r="AU370" s="1002"/>
      <c r="AV370" s="1002"/>
      <c r="AW370" s="1002"/>
      <c r="AX370" s="1002"/>
      <c r="AY370" s="1002"/>
      <c r="AZ370" s="1002"/>
      <c r="BA370" s="1002"/>
      <c r="BB370" s="1002"/>
      <c r="BC370" s="1002"/>
      <c r="BD370" s="1002"/>
      <c r="BE370" s="1002"/>
      <c r="BF370" s="1002"/>
      <c r="BG370" s="1002"/>
      <c r="BH370" s="1002"/>
      <c r="BI370" s="1002"/>
      <c r="BJ370" s="1002"/>
      <c r="BK370" s="1002"/>
      <c r="BL370" s="1002"/>
      <c r="BM370" s="1002"/>
      <c r="BN370" s="1002"/>
      <c r="BO370" s="1002"/>
      <c r="BP370" s="1002"/>
      <c r="BQ370" s="1002"/>
      <c r="BR370" s="1002"/>
      <c r="BS370" s="1002"/>
      <c r="BT370" s="1002"/>
      <c r="BU370" s="1002"/>
      <c r="BV370" s="1002"/>
      <c r="BW370" s="1002"/>
      <c r="BX370" s="1002"/>
      <c r="BY370" s="1002"/>
      <c r="BZ370" s="1002"/>
      <c r="CA370" s="1002"/>
      <c r="CB370" s="1002"/>
      <c r="CC370" s="1002"/>
      <c r="CD370" s="1002"/>
      <c r="CE370" s="1002"/>
      <c r="CF370" s="1002"/>
      <c r="CG370" s="1002"/>
      <c r="CH370" s="1002"/>
      <c r="CI370" s="1003"/>
    </row>
    <row r="371" spans="2:87" x14ac:dyDescent="0.2">
      <c r="B371" s="1300"/>
      <c r="C371" s="1301" t="s">
        <v>243</v>
      </c>
      <c r="D371" s="1301"/>
      <c r="E371" s="1301" t="s">
        <v>236</v>
      </c>
      <c r="F371" s="1301">
        <v>2</v>
      </c>
      <c r="G371" s="1002">
        <f t="shared" ref="G371:AK371" si="205">G61</f>
        <v>0</v>
      </c>
      <c r="H371" s="1002">
        <f t="shared" si="205"/>
        <v>0</v>
      </c>
      <c r="I371" s="1002">
        <f t="shared" si="205"/>
        <v>1.3210509183999999</v>
      </c>
      <c r="J371" s="1002">
        <f t="shared" si="205"/>
        <v>0.81112059999999986</v>
      </c>
      <c r="K371" s="1002">
        <f t="shared" si="205"/>
        <v>0.77940079999999978</v>
      </c>
      <c r="L371" s="1002">
        <f t="shared" si="205"/>
        <v>0.74768099999999993</v>
      </c>
      <c r="M371" s="1002">
        <f t="shared" si="205"/>
        <v>0.74768099999999993</v>
      </c>
      <c r="N371" s="1002">
        <f t="shared" si="205"/>
        <v>0.74768099999999993</v>
      </c>
      <c r="O371" s="1002">
        <f t="shared" si="205"/>
        <v>0.74768099999999993</v>
      </c>
      <c r="P371" s="1002">
        <f t="shared" si="205"/>
        <v>0.74768099999999993</v>
      </c>
      <c r="Q371" s="1002">
        <f t="shared" si="205"/>
        <v>0.74768099999999993</v>
      </c>
      <c r="R371" s="1002">
        <f t="shared" si="205"/>
        <v>0.74768099999999993</v>
      </c>
      <c r="S371" s="1002">
        <f t="shared" si="205"/>
        <v>0.74768099999999993</v>
      </c>
      <c r="T371" s="1002">
        <f t="shared" si="205"/>
        <v>0.74768099999999993</v>
      </c>
      <c r="U371" s="1002">
        <f t="shared" si="205"/>
        <v>0.74768099999999993</v>
      </c>
      <c r="V371" s="1002">
        <f t="shared" si="205"/>
        <v>0.74768099999999993</v>
      </c>
      <c r="W371" s="1002">
        <f t="shared" si="205"/>
        <v>0.74768099999999993</v>
      </c>
      <c r="X371" s="1002">
        <f t="shared" si="205"/>
        <v>0.74768099999999993</v>
      </c>
      <c r="Y371" s="1002">
        <f t="shared" si="205"/>
        <v>0.74768099999999993</v>
      </c>
      <c r="Z371" s="1002">
        <f t="shared" si="205"/>
        <v>0.74768099999999993</v>
      </c>
      <c r="AA371" s="1002">
        <f t="shared" si="205"/>
        <v>0.74768099999999993</v>
      </c>
      <c r="AB371" s="1002">
        <f t="shared" si="205"/>
        <v>0.74768099999999993</v>
      </c>
      <c r="AC371" s="1002">
        <f t="shared" si="205"/>
        <v>0.74768099999999993</v>
      </c>
      <c r="AD371" s="1002">
        <f t="shared" si="205"/>
        <v>0.74768099999999982</v>
      </c>
      <c r="AE371" s="1002">
        <f t="shared" si="205"/>
        <v>0.74768099999999993</v>
      </c>
      <c r="AF371" s="1002">
        <f t="shared" si="205"/>
        <v>0.74768099999999993</v>
      </c>
      <c r="AG371" s="1002">
        <f t="shared" si="205"/>
        <v>0.74768099999999993</v>
      </c>
      <c r="AH371" s="1002">
        <f t="shared" si="205"/>
        <v>0.74768099999999993</v>
      </c>
      <c r="AI371" s="1002">
        <f t="shared" si="205"/>
        <v>0.74768099999999993</v>
      </c>
      <c r="AJ371" s="1002">
        <f t="shared" si="205"/>
        <v>0.74768100000000004</v>
      </c>
      <c r="AK371" s="1002">
        <f t="shared" si="205"/>
        <v>0.74768099999999993</v>
      </c>
      <c r="AL371" s="1002"/>
      <c r="AM371" s="1002"/>
      <c r="AN371" s="1002"/>
      <c r="AO371" s="1002"/>
      <c r="AP371" s="1002"/>
      <c r="AQ371" s="1002"/>
      <c r="AR371" s="1002"/>
      <c r="AS371" s="1002"/>
      <c r="AT371" s="1002"/>
      <c r="AU371" s="1002"/>
      <c r="AV371" s="1002"/>
      <c r="AW371" s="1002"/>
      <c r="AX371" s="1002"/>
      <c r="AY371" s="1002"/>
      <c r="AZ371" s="1002"/>
      <c r="BA371" s="1002"/>
      <c r="BB371" s="1002"/>
      <c r="BC371" s="1002"/>
      <c r="BD371" s="1002"/>
      <c r="BE371" s="1002"/>
      <c r="BF371" s="1002"/>
      <c r="BG371" s="1002"/>
      <c r="BH371" s="1002"/>
      <c r="BI371" s="1002"/>
      <c r="BJ371" s="1002"/>
      <c r="BK371" s="1002"/>
      <c r="BL371" s="1002"/>
      <c r="BM371" s="1002"/>
      <c r="BN371" s="1002"/>
      <c r="BO371" s="1002"/>
      <c r="BP371" s="1002"/>
      <c r="BQ371" s="1002"/>
      <c r="BR371" s="1002"/>
      <c r="BS371" s="1002"/>
      <c r="BT371" s="1002"/>
      <c r="BU371" s="1002"/>
      <c r="BV371" s="1002"/>
      <c r="BW371" s="1002"/>
      <c r="BX371" s="1002"/>
      <c r="BY371" s="1002"/>
      <c r="BZ371" s="1002"/>
      <c r="CA371" s="1002"/>
      <c r="CB371" s="1002"/>
      <c r="CC371" s="1002"/>
      <c r="CD371" s="1002"/>
      <c r="CE371" s="1002"/>
      <c r="CF371" s="1002"/>
      <c r="CG371" s="1002"/>
      <c r="CH371" s="1002"/>
      <c r="CI371" s="1003"/>
    </row>
    <row r="372" spans="2:87" x14ac:dyDescent="0.2">
      <c r="B372" s="1300"/>
      <c r="C372" s="1301" t="s">
        <v>792</v>
      </c>
      <c r="D372" s="1301"/>
      <c r="E372" s="1301" t="s">
        <v>236</v>
      </c>
      <c r="F372" s="1301">
        <v>2</v>
      </c>
      <c r="G372" s="1002">
        <f t="shared" ref="G372:AK372" si="206">G85-SUM(G368:G371)</f>
        <v>0</v>
      </c>
      <c r="H372" s="1002">
        <f t="shared" si="206"/>
        <v>0</v>
      </c>
      <c r="I372" s="1002">
        <f t="shared" si="206"/>
        <v>0.19949174740822428</v>
      </c>
      <c r="J372" s="1002">
        <f t="shared" si="206"/>
        <v>0.19881498267651665</v>
      </c>
      <c r="K372" s="1002">
        <f t="shared" si="206"/>
        <v>0.19878899233229674</v>
      </c>
      <c r="L372" s="1002">
        <f t="shared" si="206"/>
        <v>0.19878728353243602</v>
      </c>
      <c r="M372" s="1002">
        <f t="shared" si="206"/>
        <v>0.19878486804218021</v>
      </c>
      <c r="N372" s="1002">
        <f t="shared" si="206"/>
        <v>0.19860773826280997</v>
      </c>
      <c r="O372" s="1002">
        <f t="shared" si="206"/>
        <v>0.19848626539911507</v>
      </c>
      <c r="P372" s="1002">
        <f t="shared" si="206"/>
        <v>0.19837549282806854</v>
      </c>
      <c r="Q372" s="1002">
        <f t="shared" si="206"/>
        <v>0.19828018683123005</v>
      </c>
      <c r="R372" s="1002">
        <f t="shared" si="206"/>
        <v>0.1981990120440269</v>
      </c>
      <c r="S372" s="1002">
        <f t="shared" si="206"/>
        <v>0.19813366857277259</v>
      </c>
      <c r="T372" s="1002">
        <f t="shared" si="206"/>
        <v>0.19807281652719055</v>
      </c>
      <c r="U372" s="1002">
        <f t="shared" si="206"/>
        <v>0.19801307991145123</v>
      </c>
      <c r="V372" s="1002">
        <f t="shared" si="206"/>
        <v>0.1979536609916579</v>
      </c>
      <c r="W372" s="1002">
        <f t="shared" si="206"/>
        <v>0.19789514196487978</v>
      </c>
      <c r="X372" s="1002">
        <f t="shared" si="206"/>
        <v>0.19783834536193723</v>
      </c>
      <c r="Y372" s="1002">
        <f t="shared" si="206"/>
        <v>0.19778327252002548</v>
      </c>
      <c r="Z372" s="1002">
        <f t="shared" si="206"/>
        <v>0.19772858478411059</v>
      </c>
      <c r="AA372" s="1002">
        <f t="shared" si="206"/>
        <v>0.1976745263805384</v>
      </c>
      <c r="AB372" s="1002">
        <f t="shared" si="206"/>
        <v>0.19762106368972177</v>
      </c>
      <c r="AC372" s="1002">
        <f t="shared" si="206"/>
        <v>0.19756817844323038</v>
      </c>
      <c r="AD372" s="1002">
        <f t="shared" si="206"/>
        <v>0.19751622938016133</v>
      </c>
      <c r="AE372" s="1002">
        <f t="shared" si="206"/>
        <v>0.19746536763313216</v>
      </c>
      <c r="AF372" s="1002">
        <f t="shared" si="206"/>
        <v>0.19741547207621224</v>
      </c>
      <c r="AG372" s="1002">
        <f t="shared" si="206"/>
        <v>0.19736616811777452</v>
      </c>
      <c r="AH372" s="1002">
        <f t="shared" si="206"/>
        <v>0.1973174734482761</v>
      </c>
      <c r="AI372" s="1002">
        <f t="shared" si="206"/>
        <v>0.19726905655690885</v>
      </c>
      <c r="AJ372" s="1002">
        <f t="shared" si="206"/>
        <v>0.19722068854888875</v>
      </c>
      <c r="AK372" s="1002">
        <f t="shared" si="206"/>
        <v>0.1971724426367345</v>
      </c>
      <c r="AL372" s="1002"/>
      <c r="AM372" s="1002"/>
      <c r="AN372" s="1002"/>
      <c r="AO372" s="1002"/>
      <c r="AP372" s="1002"/>
      <c r="AQ372" s="1002"/>
      <c r="AR372" s="1002"/>
      <c r="AS372" s="1002"/>
      <c r="AT372" s="1002"/>
      <c r="AU372" s="1002"/>
      <c r="AV372" s="1002"/>
      <c r="AW372" s="1002"/>
      <c r="AX372" s="1002"/>
      <c r="AY372" s="1002"/>
      <c r="AZ372" s="1002"/>
      <c r="BA372" s="1002"/>
      <c r="BB372" s="1002"/>
      <c r="BC372" s="1002"/>
      <c r="BD372" s="1002"/>
      <c r="BE372" s="1002"/>
      <c r="BF372" s="1002"/>
      <c r="BG372" s="1002"/>
      <c r="BH372" s="1002"/>
      <c r="BI372" s="1002"/>
      <c r="BJ372" s="1002"/>
      <c r="BK372" s="1002"/>
      <c r="BL372" s="1002"/>
      <c r="BM372" s="1002"/>
      <c r="BN372" s="1002"/>
      <c r="BO372" s="1002"/>
      <c r="BP372" s="1002"/>
      <c r="BQ372" s="1002"/>
      <c r="BR372" s="1002"/>
      <c r="BS372" s="1002"/>
      <c r="BT372" s="1002"/>
      <c r="BU372" s="1002"/>
      <c r="BV372" s="1002"/>
      <c r="BW372" s="1002"/>
      <c r="BX372" s="1002"/>
      <c r="BY372" s="1002"/>
      <c r="BZ372" s="1002"/>
      <c r="CA372" s="1002"/>
      <c r="CB372" s="1002"/>
      <c r="CC372" s="1002"/>
      <c r="CD372" s="1002"/>
      <c r="CE372" s="1002"/>
      <c r="CF372" s="1002"/>
      <c r="CG372" s="1002"/>
      <c r="CH372" s="1002"/>
      <c r="CI372" s="1003"/>
    </row>
    <row r="373" spans="2:87" x14ac:dyDescent="0.2">
      <c r="B373" s="1300"/>
      <c r="C373" s="1301" t="s">
        <v>793</v>
      </c>
      <c r="D373" s="1301"/>
      <c r="E373" s="1301" t="s">
        <v>236</v>
      </c>
      <c r="F373" s="1301">
        <v>2</v>
      </c>
      <c r="G373" s="1002">
        <f t="shared" ref="G373:AK373" si="207">G42</f>
        <v>0</v>
      </c>
      <c r="H373" s="1002">
        <f t="shared" si="207"/>
        <v>0</v>
      </c>
      <c r="I373" s="1002">
        <f t="shared" si="207"/>
        <v>7.8400000000000007</v>
      </c>
      <c r="J373" s="1002">
        <f t="shared" si="207"/>
        <v>7.8400000000000007</v>
      </c>
      <c r="K373" s="1002">
        <f t="shared" si="207"/>
        <v>7.8400000000000007</v>
      </c>
      <c r="L373" s="1002">
        <f t="shared" si="207"/>
        <v>7.8400000000000007</v>
      </c>
      <c r="M373" s="1002">
        <f t="shared" si="207"/>
        <v>7.8400000000000007</v>
      </c>
      <c r="N373" s="1002">
        <f t="shared" si="207"/>
        <v>7.8400000000000007</v>
      </c>
      <c r="O373" s="1002">
        <f t="shared" si="207"/>
        <v>7.8400000000000007</v>
      </c>
      <c r="P373" s="1002">
        <f t="shared" si="207"/>
        <v>7.8400000000000007</v>
      </c>
      <c r="Q373" s="1002">
        <f t="shared" si="207"/>
        <v>7.8400000000000007</v>
      </c>
      <c r="R373" s="1002">
        <f t="shared" si="207"/>
        <v>7.3100000000000005</v>
      </c>
      <c r="S373" s="1002">
        <f t="shared" si="207"/>
        <v>7.3100000000000005</v>
      </c>
      <c r="T373" s="1002">
        <f t="shared" si="207"/>
        <v>7.3100000000000005</v>
      </c>
      <c r="U373" s="1002">
        <f t="shared" si="207"/>
        <v>7.3100000000000005</v>
      </c>
      <c r="V373" s="1002">
        <f t="shared" si="207"/>
        <v>7.3100000000000005</v>
      </c>
      <c r="W373" s="1002">
        <f t="shared" si="207"/>
        <v>7.3100000000000005</v>
      </c>
      <c r="X373" s="1002">
        <f t="shared" si="207"/>
        <v>7.3100000000000005</v>
      </c>
      <c r="Y373" s="1002">
        <f t="shared" si="207"/>
        <v>7.3100000000000005</v>
      </c>
      <c r="Z373" s="1002">
        <f t="shared" si="207"/>
        <v>7.3100000000000005</v>
      </c>
      <c r="AA373" s="1002">
        <f t="shared" si="207"/>
        <v>7.3100000000000005</v>
      </c>
      <c r="AB373" s="1002">
        <f t="shared" si="207"/>
        <v>6.66</v>
      </c>
      <c r="AC373" s="1002">
        <f t="shared" si="207"/>
        <v>6.66</v>
      </c>
      <c r="AD373" s="1002">
        <f t="shared" si="207"/>
        <v>6.66</v>
      </c>
      <c r="AE373" s="1002">
        <f t="shared" si="207"/>
        <v>6.66</v>
      </c>
      <c r="AF373" s="1002">
        <f t="shared" si="207"/>
        <v>6.66</v>
      </c>
      <c r="AG373" s="1002">
        <f t="shared" si="207"/>
        <v>6.0200000000000005</v>
      </c>
      <c r="AH373" s="1002">
        <f t="shared" si="207"/>
        <v>6.0200000000000005</v>
      </c>
      <c r="AI373" s="1002">
        <f t="shared" si="207"/>
        <v>6.0200000000000005</v>
      </c>
      <c r="AJ373" s="1002">
        <f t="shared" si="207"/>
        <v>6.0200000000000005</v>
      </c>
      <c r="AK373" s="1002">
        <f t="shared" si="207"/>
        <v>6.0200000000000005</v>
      </c>
      <c r="AL373" s="1002"/>
      <c r="AM373" s="1002"/>
      <c r="AN373" s="1002"/>
      <c r="AO373" s="1002"/>
      <c r="AP373" s="1002"/>
      <c r="AQ373" s="1002"/>
      <c r="AR373" s="1002"/>
      <c r="AS373" s="1002"/>
      <c r="AT373" s="1002"/>
      <c r="AU373" s="1002"/>
      <c r="AV373" s="1002"/>
      <c r="AW373" s="1002"/>
      <c r="AX373" s="1002"/>
      <c r="AY373" s="1002"/>
      <c r="AZ373" s="1002"/>
      <c r="BA373" s="1002"/>
      <c r="BB373" s="1002"/>
      <c r="BC373" s="1002"/>
      <c r="BD373" s="1002"/>
      <c r="BE373" s="1002"/>
      <c r="BF373" s="1002"/>
      <c r="BG373" s="1002"/>
      <c r="BH373" s="1002"/>
      <c r="BI373" s="1002"/>
      <c r="BJ373" s="1002"/>
      <c r="BK373" s="1002"/>
      <c r="BL373" s="1002"/>
      <c r="BM373" s="1002"/>
      <c r="BN373" s="1002"/>
      <c r="BO373" s="1002"/>
      <c r="BP373" s="1002"/>
      <c r="BQ373" s="1002"/>
      <c r="BR373" s="1002"/>
      <c r="BS373" s="1002"/>
      <c r="BT373" s="1002"/>
      <c r="BU373" s="1002"/>
      <c r="BV373" s="1002"/>
      <c r="BW373" s="1002"/>
      <c r="BX373" s="1002"/>
      <c r="BY373" s="1002"/>
      <c r="BZ373" s="1002"/>
      <c r="CA373" s="1002"/>
      <c r="CB373" s="1002"/>
      <c r="CC373" s="1002"/>
      <c r="CD373" s="1002"/>
      <c r="CE373" s="1002"/>
      <c r="CF373" s="1002"/>
      <c r="CG373" s="1002"/>
      <c r="CH373" s="1002"/>
      <c r="CI373" s="1003"/>
    </row>
    <row r="374" spans="2:87" x14ac:dyDescent="0.2">
      <c r="B374" s="1300"/>
      <c r="C374" s="1301" t="s">
        <v>794</v>
      </c>
      <c r="D374" s="1301"/>
      <c r="E374" s="1301" t="s">
        <v>236</v>
      </c>
      <c r="F374" s="1301">
        <v>2</v>
      </c>
      <c r="G374" s="1002">
        <f t="shared" ref="G374:AK374" si="208">SUM(G368:G372)+G88</f>
        <v>0</v>
      </c>
      <c r="H374" s="1002">
        <f t="shared" si="208"/>
        <v>0</v>
      </c>
      <c r="I374" s="1002">
        <f t="shared" si="208"/>
        <v>10.993224053537398</v>
      </c>
      <c r="J374" s="1002">
        <f t="shared" si="208"/>
        <v>14.33680682172853</v>
      </c>
      <c r="K374" s="1002">
        <f t="shared" si="208"/>
        <v>14.390196712470939</v>
      </c>
      <c r="L374" s="1002">
        <f t="shared" si="208"/>
        <v>14.188712321828502</v>
      </c>
      <c r="M374" s="1002">
        <f t="shared" si="208"/>
        <v>14.366484305659887</v>
      </c>
      <c r="N374" s="1002">
        <f t="shared" si="208"/>
        <v>14.321012145669858</v>
      </c>
      <c r="O374" s="1002">
        <f t="shared" si="208"/>
        <v>14.354240358088449</v>
      </c>
      <c r="P374" s="1002">
        <f t="shared" si="208"/>
        <v>14.439517804941673</v>
      </c>
      <c r="Q374" s="1002">
        <f t="shared" si="208"/>
        <v>14.451488743603232</v>
      </c>
      <c r="R374" s="1002">
        <f t="shared" si="208"/>
        <v>14.170818285077761</v>
      </c>
      <c r="S374" s="1002">
        <f t="shared" si="208"/>
        <v>14.017709659785643</v>
      </c>
      <c r="T374" s="1002">
        <f t="shared" si="208"/>
        <v>13.87265884828939</v>
      </c>
      <c r="U374" s="1002">
        <f t="shared" si="208"/>
        <v>13.897214819916497</v>
      </c>
      <c r="V374" s="1002">
        <f t="shared" si="208"/>
        <v>13.892642863353673</v>
      </c>
      <c r="W374" s="1002">
        <f t="shared" si="208"/>
        <v>13.898757820955062</v>
      </c>
      <c r="X374" s="1002">
        <f t="shared" si="208"/>
        <v>13.935272169039429</v>
      </c>
      <c r="Y374" s="1002">
        <f t="shared" si="208"/>
        <v>13.96244948925143</v>
      </c>
      <c r="Z374" s="1002">
        <f t="shared" si="208"/>
        <v>13.98991476479272</v>
      </c>
      <c r="AA374" s="1002">
        <f t="shared" si="208"/>
        <v>14.014452674034551</v>
      </c>
      <c r="AB374" s="1002">
        <f t="shared" si="208"/>
        <v>14.033556388492375</v>
      </c>
      <c r="AC374" s="1002">
        <f t="shared" si="208"/>
        <v>14.046624488265824</v>
      </c>
      <c r="AD374" s="1002">
        <f t="shared" si="208"/>
        <v>14.051156724612254</v>
      </c>
      <c r="AE374" s="1002">
        <f t="shared" si="208"/>
        <v>14.06581944356393</v>
      </c>
      <c r="AF374" s="1002">
        <f t="shared" si="208"/>
        <v>14.080494950932271</v>
      </c>
      <c r="AG374" s="1002">
        <f t="shared" si="208"/>
        <v>14.094341278472582</v>
      </c>
      <c r="AH374" s="1002">
        <f t="shared" si="208"/>
        <v>14.11879279202112</v>
      </c>
      <c r="AI374" s="1002">
        <f t="shared" si="208"/>
        <v>14.14385260108295</v>
      </c>
      <c r="AJ374" s="1002">
        <f t="shared" si="208"/>
        <v>14.179928606511218</v>
      </c>
      <c r="AK374" s="1002">
        <f t="shared" si="208"/>
        <v>14.206219126197997</v>
      </c>
      <c r="AL374" s="1002"/>
      <c r="AM374" s="1002"/>
      <c r="AN374" s="1002"/>
      <c r="AO374" s="1002"/>
      <c r="AP374" s="1002"/>
      <c r="AQ374" s="1002"/>
      <c r="AR374" s="1002"/>
      <c r="AS374" s="1002"/>
      <c r="AT374" s="1002"/>
      <c r="AU374" s="1002"/>
      <c r="AV374" s="1002"/>
      <c r="AW374" s="1002"/>
      <c r="AX374" s="1002"/>
      <c r="AY374" s="1002"/>
      <c r="AZ374" s="1002"/>
      <c r="BA374" s="1002"/>
      <c r="BB374" s="1002"/>
      <c r="BC374" s="1002"/>
      <c r="BD374" s="1002"/>
      <c r="BE374" s="1002"/>
      <c r="BF374" s="1002"/>
      <c r="BG374" s="1002"/>
      <c r="BH374" s="1002"/>
      <c r="BI374" s="1002"/>
      <c r="BJ374" s="1002"/>
      <c r="BK374" s="1002"/>
      <c r="BL374" s="1002"/>
      <c r="BM374" s="1002"/>
      <c r="BN374" s="1002"/>
      <c r="BO374" s="1002"/>
      <c r="BP374" s="1002"/>
      <c r="BQ374" s="1002"/>
      <c r="BR374" s="1002"/>
      <c r="BS374" s="1002"/>
      <c r="BT374" s="1002"/>
      <c r="BU374" s="1002"/>
      <c r="BV374" s="1002"/>
      <c r="BW374" s="1002"/>
      <c r="BX374" s="1002"/>
      <c r="BY374" s="1002"/>
      <c r="BZ374" s="1002"/>
      <c r="CA374" s="1002"/>
      <c r="CB374" s="1002"/>
      <c r="CC374" s="1002"/>
      <c r="CD374" s="1002"/>
      <c r="CE374" s="1002"/>
      <c r="CF374" s="1002"/>
      <c r="CG374" s="1002"/>
      <c r="CH374" s="1002"/>
      <c r="CI374" s="1003"/>
    </row>
    <row r="375" spans="2:87" x14ac:dyDescent="0.2">
      <c r="B375" s="1300"/>
      <c r="C375" s="1301"/>
      <c r="D375" s="1301"/>
      <c r="E375" s="1301"/>
      <c r="F375" s="1301"/>
      <c r="G375" s="1301"/>
      <c r="H375" s="1301"/>
      <c r="I375" s="1301"/>
      <c r="J375" s="1301"/>
      <c r="K375" s="1301"/>
      <c r="L375" s="1301"/>
      <c r="M375" s="1301"/>
      <c r="N375" s="1301"/>
      <c r="O375" s="1301"/>
      <c r="P375" s="1301"/>
      <c r="Q375" s="1301"/>
      <c r="R375" s="1301"/>
      <c r="S375" s="1301"/>
      <c r="T375" s="1301"/>
      <c r="U375" s="1301"/>
      <c r="V375" s="1301"/>
      <c r="W375" s="1301"/>
      <c r="X375" s="1301"/>
      <c r="Y375" s="1301"/>
      <c r="Z375" s="1301"/>
      <c r="AA375" s="1301"/>
      <c r="AB375" s="1301"/>
      <c r="AC375" s="1301"/>
      <c r="AD375" s="1301"/>
      <c r="AE375" s="1301"/>
      <c r="AF375" s="1301"/>
      <c r="AG375" s="1301"/>
      <c r="AH375" s="1301"/>
      <c r="AI375" s="1301"/>
      <c r="AJ375" s="1301"/>
      <c r="AK375" s="1301"/>
      <c r="AL375" s="1301"/>
      <c r="AM375" s="1301"/>
      <c r="AN375" s="1301"/>
      <c r="AO375" s="1301"/>
      <c r="AP375" s="1301"/>
      <c r="AQ375" s="1301"/>
      <c r="AR375" s="1301"/>
      <c r="AS375" s="1301"/>
      <c r="AT375" s="1301"/>
      <c r="AU375" s="1301"/>
      <c r="AV375" s="1301"/>
      <c r="AW375" s="1301"/>
      <c r="AX375" s="1301"/>
      <c r="AY375" s="1301"/>
      <c r="AZ375" s="1301"/>
      <c r="BA375" s="1301"/>
      <c r="BB375" s="1301"/>
      <c r="BC375" s="1301"/>
      <c r="BD375" s="1301"/>
      <c r="BE375" s="1301"/>
      <c r="BF375" s="1301"/>
      <c r="BG375" s="1301"/>
      <c r="BH375" s="1301"/>
      <c r="BI375" s="1301"/>
      <c r="BJ375" s="1301"/>
      <c r="BK375" s="1301"/>
      <c r="BL375" s="1301"/>
      <c r="BM375" s="1301"/>
      <c r="BN375" s="1301"/>
      <c r="BO375" s="1301"/>
      <c r="BP375" s="1301"/>
      <c r="BQ375" s="1301"/>
      <c r="BR375" s="1301"/>
      <c r="BS375" s="1301"/>
      <c r="BT375" s="1301"/>
      <c r="BU375" s="1301"/>
      <c r="BV375" s="1301"/>
      <c r="BW375" s="1301"/>
      <c r="BX375" s="1301"/>
      <c r="BY375" s="1301"/>
      <c r="BZ375" s="1301"/>
      <c r="CA375" s="1301"/>
      <c r="CB375" s="1301"/>
      <c r="CC375" s="1301"/>
      <c r="CD375" s="1301"/>
      <c r="CE375" s="1301"/>
      <c r="CF375" s="1301"/>
      <c r="CG375" s="1301"/>
      <c r="CH375" s="1301"/>
      <c r="CI375" s="1302"/>
    </row>
    <row r="376" spans="2:87" x14ac:dyDescent="0.2">
      <c r="B376" s="1300" t="s">
        <v>795</v>
      </c>
      <c r="C376" s="1301"/>
      <c r="D376" s="1301"/>
      <c r="E376" s="1301"/>
      <c r="F376" s="1301"/>
      <c r="G376" s="1000" t="s">
        <v>208</v>
      </c>
      <c r="H376" s="1000" t="s">
        <v>209</v>
      </c>
      <c r="I376" s="1000" t="s">
        <v>210</v>
      </c>
      <c r="J376" s="1000" t="s">
        <v>211</v>
      </c>
      <c r="K376" s="1000" t="s">
        <v>212</v>
      </c>
      <c r="L376" s="1000" t="s">
        <v>213</v>
      </c>
      <c r="M376" s="1000" t="s">
        <v>214</v>
      </c>
      <c r="N376" s="1000" t="s">
        <v>215</v>
      </c>
      <c r="O376" s="1000" t="s">
        <v>216</v>
      </c>
      <c r="P376" s="1000" t="s">
        <v>217</v>
      </c>
      <c r="Q376" s="1000" t="s">
        <v>218</v>
      </c>
      <c r="R376" s="1000" t="s">
        <v>247</v>
      </c>
      <c r="S376" s="1000" t="s">
        <v>248</v>
      </c>
      <c r="T376" s="1000" t="s">
        <v>249</v>
      </c>
      <c r="U376" s="1000" t="s">
        <v>250</v>
      </c>
      <c r="V376" s="1000" t="s">
        <v>219</v>
      </c>
      <c r="W376" s="1000" t="s">
        <v>251</v>
      </c>
      <c r="X376" s="1000" t="s">
        <v>252</v>
      </c>
      <c r="Y376" s="1000" t="s">
        <v>253</v>
      </c>
      <c r="Z376" s="1000" t="s">
        <v>254</v>
      </c>
      <c r="AA376" s="1000" t="s">
        <v>220</v>
      </c>
      <c r="AB376" s="1000" t="s">
        <v>255</v>
      </c>
      <c r="AC376" s="1000" t="s">
        <v>256</v>
      </c>
      <c r="AD376" s="1000" t="s">
        <v>257</v>
      </c>
      <c r="AE376" s="1000" t="s">
        <v>258</v>
      </c>
      <c r="AF376" s="1000" t="s">
        <v>221</v>
      </c>
      <c r="AG376" s="1000" t="s">
        <v>259</v>
      </c>
      <c r="AH376" s="1000" t="s">
        <v>260</v>
      </c>
      <c r="AI376" s="1000" t="s">
        <v>261</v>
      </c>
      <c r="AJ376" s="1000" t="s">
        <v>262</v>
      </c>
      <c r="AK376" s="1000" t="s">
        <v>222</v>
      </c>
      <c r="AL376" s="1000"/>
      <c r="AM376" s="1000"/>
      <c r="AN376" s="1000"/>
      <c r="AO376" s="1000"/>
      <c r="AP376" s="1000"/>
      <c r="AQ376" s="1000"/>
      <c r="AR376" s="1000"/>
      <c r="AS376" s="1000"/>
      <c r="AT376" s="1000"/>
      <c r="AU376" s="1000"/>
      <c r="AV376" s="1000"/>
      <c r="AW376" s="1000"/>
      <c r="AX376" s="1000"/>
      <c r="AY376" s="1000"/>
      <c r="AZ376" s="1000"/>
      <c r="BA376" s="1000"/>
      <c r="BB376" s="1000"/>
      <c r="BC376" s="1000"/>
      <c r="BD376" s="1000"/>
      <c r="BE376" s="1000"/>
      <c r="BF376" s="1000"/>
      <c r="BG376" s="1000"/>
      <c r="BH376" s="1000"/>
      <c r="BI376" s="1000"/>
      <c r="BJ376" s="1000"/>
      <c r="BK376" s="1000"/>
      <c r="BL376" s="1000"/>
      <c r="BM376" s="1000"/>
      <c r="BN376" s="1000"/>
      <c r="BO376" s="1000"/>
      <c r="BP376" s="1000"/>
      <c r="BQ376" s="1000"/>
      <c r="BR376" s="1000"/>
      <c r="BS376" s="1000"/>
      <c r="BT376" s="1000"/>
      <c r="BU376" s="1000"/>
      <c r="BV376" s="1000"/>
      <c r="BW376" s="1000"/>
      <c r="BX376" s="1000"/>
      <c r="BY376" s="1000"/>
      <c r="BZ376" s="1000"/>
      <c r="CA376" s="1000"/>
      <c r="CB376" s="1000"/>
      <c r="CC376" s="1000"/>
      <c r="CD376" s="1000"/>
      <c r="CE376" s="1000"/>
      <c r="CF376" s="1000"/>
      <c r="CG376" s="1000"/>
      <c r="CH376" s="1000"/>
      <c r="CI376" s="1001"/>
    </row>
    <row r="377" spans="2:87" x14ac:dyDescent="0.2">
      <c r="B377" s="1300"/>
      <c r="C377" s="1301" t="s">
        <v>789</v>
      </c>
      <c r="D377" s="1301"/>
      <c r="E377" s="1301" t="s">
        <v>236</v>
      </c>
      <c r="F377" s="1301">
        <v>2</v>
      </c>
      <c r="G377" s="1002">
        <f t="shared" ref="G377:AK378" si="209">G136-G147</f>
        <v>0</v>
      </c>
      <c r="H377" s="1002">
        <f t="shared" si="209"/>
        <v>0</v>
      </c>
      <c r="I377" s="1002">
        <f t="shared" si="209"/>
        <v>2.424220732377981</v>
      </c>
      <c r="J377" s="1002">
        <f t="shared" si="209"/>
        <v>2.4311707611431728</v>
      </c>
      <c r="K377" s="1002">
        <f t="shared" si="209"/>
        <v>2.3921150283314363</v>
      </c>
      <c r="L377" s="1002">
        <f t="shared" si="209"/>
        <v>2.3724928988692273</v>
      </c>
      <c r="M377" s="1002">
        <f t="shared" si="209"/>
        <v>2.9647219441091397</v>
      </c>
      <c r="N377" s="1002">
        <f t="shared" si="209"/>
        <v>3.565977530315497</v>
      </c>
      <c r="O377" s="1002">
        <f t="shared" si="209"/>
        <v>3.6686587588829593</v>
      </c>
      <c r="P377" s="1002">
        <f t="shared" si="209"/>
        <v>3.6764109297767642</v>
      </c>
      <c r="Q377" s="1002">
        <f t="shared" si="209"/>
        <v>3.6694257424762262</v>
      </c>
      <c r="R377" s="1002">
        <f t="shared" si="209"/>
        <v>3.6599492005658041</v>
      </c>
      <c r="S377" s="1002">
        <f t="shared" si="209"/>
        <v>3.6457216419574943</v>
      </c>
      <c r="T377" s="1002">
        <f t="shared" si="209"/>
        <v>3.628237837950119</v>
      </c>
      <c r="U377" s="1002">
        <f t="shared" si="209"/>
        <v>3.6003581471137265</v>
      </c>
      <c r="V377" s="1002">
        <f t="shared" si="209"/>
        <v>3.5733207407677643</v>
      </c>
      <c r="W377" s="1002">
        <f t="shared" si="209"/>
        <v>3.5488798186298345</v>
      </c>
      <c r="X377" s="1002">
        <f t="shared" si="209"/>
        <v>3.5247451695197922</v>
      </c>
      <c r="Y377" s="1002">
        <f t="shared" si="209"/>
        <v>3.5011567917997519</v>
      </c>
      <c r="Z377" s="1002">
        <f t="shared" si="209"/>
        <v>3.4780557173508755</v>
      </c>
      <c r="AA377" s="1002">
        <f t="shared" si="209"/>
        <v>3.4525699286571498</v>
      </c>
      <c r="AB377" s="1002">
        <f t="shared" si="209"/>
        <v>3.4238599439271469</v>
      </c>
      <c r="AC377" s="1002">
        <f t="shared" si="209"/>
        <v>3.398755991868132</v>
      </c>
      <c r="AD377" s="1002">
        <f t="shared" si="209"/>
        <v>3.3754148899869723</v>
      </c>
      <c r="AE377" s="1002">
        <f t="shared" si="209"/>
        <v>3.3654294678446668</v>
      </c>
      <c r="AF377" s="1002">
        <f t="shared" si="209"/>
        <v>3.3786450167494029</v>
      </c>
      <c r="AG377" s="1002">
        <f t="shared" si="209"/>
        <v>3.3912536574544014</v>
      </c>
      <c r="AH377" s="1002">
        <f t="shared" si="209"/>
        <v>3.4046632170786451</v>
      </c>
      <c r="AI377" s="1002">
        <f t="shared" si="209"/>
        <v>3.418593443307524</v>
      </c>
      <c r="AJ377" s="1002">
        <f t="shared" si="209"/>
        <v>3.4334733914402111</v>
      </c>
      <c r="AK377" s="1002">
        <f t="shared" si="209"/>
        <v>3.4483726320965413</v>
      </c>
      <c r="AL377" s="1002"/>
      <c r="AM377" s="1002"/>
      <c r="AN377" s="1002"/>
      <c r="AO377" s="1002"/>
      <c r="AP377" s="1002"/>
      <c r="AQ377" s="1002"/>
      <c r="AR377" s="1002"/>
      <c r="AS377" s="1002"/>
      <c r="AT377" s="1002"/>
      <c r="AU377" s="1002"/>
      <c r="AV377" s="1002"/>
      <c r="AW377" s="1002"/>
      <c r="AX377" s="1002"/>
      <c r="AY377" s="1002"/>
      <c r="AZ377" s="1002"/>
      <c r="BA377" s="1002"/>
      <c r="BB377" s="1002"/>
      <c r="BC377" s="1002"/>
      <c r="BD377" s="1002"/>
      <c r="BE377" s="1002"/>
      <c r="BF377" s="1002"/>
      <c r="BG377" s="1002"/>
      <c r="BH377" s="1002"/>
      <c r="BI377" s="1002"/>
      <c r="BJ377" s="1002"/>
      <c r="BK377" s="1002"/>
      <c r="BL377" s="1002"/>
      <c r="BM377" s="1002"/>
      <c r="BN377" s="1002"/>
      <c r="BO377" s="1002"/>
      <c r="BP377" s="1002"/>
      <c r="BQ377" s="1002"/>
      <c r="BR377" s="1002"/>
      <c r="BS377" s="1002"/>
      <c r="BT377" s="1002"/>
      <c r="BU377" s="1002"/>
      <c r="BV377" s="1002"/>
      <c r="BW377" s="1002"/>
      <c r="BX377" s="1002"/>
      <c r="BY377" s="1002"/>
      <c r="BZ377" s="1002"/>
      <c r="CA377" s="1002"/>
      <c r="CB377" s="1002"/>
      <c r="CC377" s="1002"/>
      <c r="CD377" s="1002"/>
      <c r="CE377" s="1002"/>
      <c r="CF377" s="1002"/>
      <c r="CG377" s="1002"/>
      <c r="CH377" s="1002"/>
      <c r="CI377" s="1003"/>
    </row>
    <row r="378" spans="2:87" x14ac:dyDescent="0.2">
      <c r="B378" s="1300"/>
      <c r="C378" s="1301" t="s">
        <v>790</v>
      </c>
      <c r="D378" s="1301"/>
      <c r="E378" s="1301" t="s">
        <v>236</v>
      </c>
      <c r="F378" s="1301">
        <v>2</v>
      </c>
      <c r="G378" s="1002">
        <f t="shared" si="209"/>
        <v>0</v>
      </c>
      <c r="H378" s="1002">
        <f t="shared" si="209"/>
        <v>0</v>
      </c>
      <c r="I378" s="1002">
        <f t="shared" si="209"/>
        <v>1.5130070642010627</v>
      </c>
      <c r="J378" s="1002">
        <f t="shared" si="209"/>
        <v>1.5546717243035104</v>
      </c>
      <c r="K378" s="1002">
        <f t="shared" si="209"/>
        <v>1.5136715266902645</v>
      </c>
      <c r="L378" s="1002">
        <f t="shared" si="209"/>
        <v>1.3804227732748786</v>
      </c>
      <c r="M378" s="1002">
        <f t="shared" si="209"/>
        <v>0.70094476633658587</v>
      </c>
      <c r="N378" s="1002">
        <f t="shared" si="209"/>
        <v>9.6493165059508695E-2</v>
      </c>
      <c r="O378" s="1002">
        <f t="shared" si="209"/>
        <v>9.3354564773532517E-2</v>
      </c>
      <c r="P378" s="1002">
        <f t="shared" si="209"/>
        <v>9.0431855948471584E-2</v>
      </c>
      <c r="Q378" s="1002">
        <f t="shared" si="209"/>
        <v>8.7558485506619183E-2</v>
      </c>
      <c r="R378" s="1002">
        <f t="shared" si="209"/>
        <v>8.5088752345469157E-2</v>
      </c>
      <c r="S378" s="1002">
        <f t="shared" si="209"/>
        <v>8.3009044943662694E-2</v>
      </c>
      <c r="T378" s="1002">
        <f t="shared" si="209"/>
        <v>8.0976443529063663E-2</v>
      </c>
      <c r="U378" s="1002">
        <f t="shared" si="209"/>
        <v>7.875953228648247E-2</v>
      </c>
      <c r="V378" s="1002">
        <f t="shared" si="209"/>
        <v>7.6592830344005047E-2</v>
      </c>
      <c r="W378" s="1002">
        <f t="shared" si="209"/>
        <v>7.456096415575858E-2</v>
      </c>
      <c r="X378" s="1002">
        <f t="shared" si="209"/>
        <v>7.2574925243796967E-2</v>
      </c>
      <c r="Y378" s="1002">
        <f t="shared" si="209"/>
        <v>7.0626823866772159E-2</v>
      </c>
      <c r="Z378" s="1002">
        <f t="shared" si="209"/>
        <v>6.8738394895697386E-2</v>
      </c>
      <c r="AA378" s="1002">
        <f t="shared" si="209"/>
        <v>6.6885538020983099E-2</v>
      </c>
      <c r="AB378" s="1002">
        <f t="shared" si="209"/>
        <v>6.4741013343721454E-2</v>
      </c>
      <c r="AC378" s="1002">
        <f t="shared" si="209"/>
        <v>6.2319646078008203E-2</v>
      </c>
      <c r="AD378" s="1002">
        <f t="shared" si="209"/>
        <v>5.9996944524430884E-2</v>
      </c>
      <c r="AE378" s="1002">
        <f t="shared" si="209"/>
        <v>5.7997918605001419E-2</v>
      </c>
      <c r="AF378" s="1002">
        <f t="shared" si="209"/>
        <v>5.645735463773513E-2</v>
      </c>
      <c r="AG378" s="1002">
        <f t="shared" si="209"/>
        <v>5.4936382851260485E-2</v>
      </c>
      <c r="AH378" s="1002">
        <f t="shared" si="209"/>
        <v>5.3454430504008228E-2</v>
      </c>
      <c r="AI378" s="1002">
        <f t="shared" si="209"/>
        <v>5.1990147175288728E-2</v>
      </c>
      <c r="AJ378" s="1002">
        <f t="shared" si="209"/>
        <v>5.0549503971295706E-2</v>
      </c>
      <c r="AK378" s="1002">
        <f t="shared" si="209"/>
        <v>4.9113035050724632E-2</v>
      </c>
      <c r="AL378" s="1002"/>
      <c r="AM378" s="1002"/>
      <c r="AN378" s="1002"/>
      <c r="AO378" s="1002"/>
      <c r="AP378" s="1002"/>
      <c r="AQ378" s="1002"/>
      <c r="AR378" s="1002"/>
      <c r="AS378" s="1002"/>
      <c r="AT378" s="1002"/>
      <c r="AU378" s="1002"/>
      <c r="AV378" s="1002"/>
      <c r="AW378" s="1002"/>
      <c r="AX378" s="1002"/>
      <c r="AY378" s="1002"/>
      <c r="AZ378" s="1002"/>
      <c r="BA378" s="1002"/>
      <c r="BB378" s="1002"/>
      <c r="BC378" s="1002"/>
      <c r="BD378" s="1002"/>
      <c r="BE378" s="1002"/>
      <c r="BF378" s="1002"/>
      <c r="BG378" s="1002"/>
      <c r="BH378" s="1002"/>
      <c r="BI378" s="1002"/>
      <c r="BJ378" s="1002"/>
      <c r="BK378" s="1002"/>
      <c r="BL378" s="1002"/>
      <c r="BM378" s="1002"/>
      <c r="BN378" s="1002"/>
      <c r="BO378" s="1002"/>
      <c r="BP378" s="1002"/>
      <c r="BQ378" s="1002"/>
      <c r="BR378" s="1002"/>
      <c r="BS378" s="1002"/>
      <c r="BT378" s="1002"/>
      <c r="BU378" s="1002"/>
      <c r="BV378" s="1002"/>
      <c r="BW378" s="1002"/>
      <c r="BX378" s="1002"/>
      <c r="BY378" s="1002"/>
      <c r="BZ378" s="1002"/>
      <c r="CA378" s="1002"/>
      <c r="CB378" s="1002"/>
      <c r="CC378" s="1002"/>
      <c r="CD378" s="1002"/>
      <c r="CE378" s="1002"/>
      <c r="CF378" s="1002"/>
      <c r="CG378" s="1002"/>
      <c r="CH378" s="1002"/>
      <c r="CI378" s="1003"/>
    </row>
    <row r="379" spans="2:87" x14ac:dyDescent="0.2">
      <c r="B379" s="1300"/>
      <c r="C379" s="1301" t="s">
        <v>791</v>
      </c>
      <c r="D379" s="1301"/>
      <c r="E379" s="1301" t="s">
        <v>236</v>
      </c>
      <c r="F379" s="1301">
        <v>2</v>
      </c>
      <c r="G379" s="1002">
        <f t="shared" ref="G379:AK379" si="210">G133+G135-G145-G146</f>
        <v>0</v>
      </c>
      <c r="H379" s="1002">
        <f t="shared" si="210"/>
        <v>0</v>
      </c>
      <c r="I379" s="1002">
        <f t="shared" si="210"/>
        <v>4.4854535911501303</v>
      </c>
      <c r="J379" s="1002">
        <f t="shared" si="210"/>
        <v>4.1153331450710429</v>
      </c>
      <c r="K379" s="1002">
        <f t="shared" si="210"/>
        <v>4.3063420495157096</v>
      </c>
      <c r="L379" s="1002">
        <f t="shared" si="210"/>
        <v>4.5033788943335527</v>
      </c>
      <c r="M379" s="1002">
        <f t="shared" si="210"/>
        <v>4.6836989189836604</v>
      </c>
      <c r="N379" s="1002">
        <f t="shared" si="210"/>
        <v>4.72239593734189</v>
      </c>
      <c r="O379" s="1002">
        <f t="shared" si="210"/>
        <v>4.7147428474399575</v>
      </c>
      <c r="P379" s="1002">
        <f t="shared" si="210"/>
        <v>4.7070902817835032</v>
      </c>
      <c r="Q379" s="1002">
        <f t="shared" si="210"/>
        <v>4.6994382403725226</v>
      </c>
      <c r="R379" s="1002">
        <f t="shared" si="210"/>
        <v>4.6830508296580886</v>
      </c>
      <c r="S379" s="1002">
        <f t="shared" si="210"/>
        <v>4.6666639431891266</v>
      </c>
      <c r="T379" s="1002">
        <f t="shared" si="210"/>
        <v>8.5746204125933012</v>
      </c>
      <c r="U379" s="1002">
        <f t="shared" si="210"/>
        <v>8.5680889425800579</v>
      </c>
      <c r="V379" s="1002">
        <f t="shared" si="210"/>
        <v>8.561449741450863</v>
      </c>
      <c r="W379" s="1002">
        <f t="shared" si="210"/>
        <v>8.5557973334365478</v>
      </c>
      <c r="X379" s="1002">
        <f t="shared" si="210"/>
        <v>8.5500196530718284</v>
      </c>
      <c r="Y379" s="1002">
        <f t="shared" si="210"/>
        <v>8.5440784184015381</v>
      </c>
      <c r="Z379" s="1002">
        <f t="shared" si="210"/>
        <v>8.5531736106155751</v>
      </c>
      <c r="AA379" s="1002">
        <f t="shared" si="210"/>
        <v>8.5621521900807576</v>
      </c>
      <c r="AB379" s="1002">
        <f t="shared" si="210"/>
        <v>8.5710150118878925</v>
      </c>
      <c r="AC379" s="1002">
        <f t="shared" si="210"/>
        <v>8.5797563542112716</v>
      </c>
      <c r="AD379" s="1002">
        <f t="shared" si="210"/>
        <v>8.5883659795253529</v>
      </c>
      <c r="AE379" s="1002">
        <f t="shared" si="210"/>
        <v>8.5968527465315177</v>
      </c>
      <c r="AF379" s="1002">
        <f t="shared" si="210"/>
        <v>8.6052113472130021</v>
      </c>
      <c r="AG379" s="1002">
        <f t="shared" si="210"/>
        <v>8.6134534395807698</v>
      </c>
      <c r="AH379" s="1002">
        <f t="shared" si="210"/>
        <v>8.6215797991149916</v>
      </c>
      <c r="AI379" s="1002">
        <f t="shared" si="210"/>
        <v>8.6295963181213828</v>
      </c>
      <c r="AJ379" s="1002">
        <f t="shared" si="210"/>
        <v>8.6375212158660979</v>
      </c>
      <c r="AK379" s="1002">
        <f t="shared" si="210"/>
        <v>8.6453593769624284</v>
      </c>
      <c r="AL379" s="1002"/>
      <c r="AM379" s="1002"/>
      <c r="AN379" s="1002"/>
      <c r="AO379" s="1002"/>
      <c r="AP379" s="1002"/>
      <c r="AQ379" s="1002"/>
      <c r="AR379" s="1002"/>
      <c r="AS379" s="1002"/>
      <c r="AT379" s="1002"/>
      <c r="AU379" s="1002"/>
      <c r="AV379" s="1002"/>
      <c r="AW379" s="1002"/>
      <c r="AX379" s="1002"/>
      <c r="AY379" s="1002"/>
      <c r="AZ379" s="1002"/>
      <c r="BA379" s="1002"/>
      <c r="BB379" s="1002"/>
      <c r="BC379" s="1002"/>
      <c r="BD379" s="1002"/>
      <c r="BE379" s="1002"/>
      <c r="BF379" s="1002"/>
      <c r="BG379" s="1002"/>
      <c r="BH379" s="1002"/>
      <c r="BI379" s="1002"/>
      <c r="BJ379" s="1002"/>
      <c r="BK379" s="1002"/>
      <c r="BL379" s="1002"/>
      <c r="BM379" s="1002"/>
      <c r="BN379" s="1002"/>
      <c r="BO379" s="1002"/>
      <c r="BP379" s="1002"/>
      <c r="BQ379" s="1002"/>
      <c r="BR379" s="1002"/>
      <c r="BS379" s="1002"/>
      <c r="BT379" s="1002"/>
      <c r="BU379" s="1002"/>
      <c r="BV379" s="1002"/>
      <c r="BW379" s="1002"/>
      <c r="BX379" s="1002"/>
      <c r="BY379" s="1002"/>
      <c r="BZ379" s="1002"/>
      <c r="CA379" s="1002"/>
      <c r="CB379" s="1002"/>
      <c r="CC379" s="1002"/>
      <c r="CD379" s="1002"/>
      <c r="CE379" s="1002"/>
      <c r="CF379" s="1002"/>
      <c r="CG379" s="1002"/>
      <c r="CH379" s="1002"/>
      <c r="CI379" s="1003"/>
    </row>
    <row r="380" spans="2:87" x14ac:dyDescent="0.2">
      <c r="B380" s="1300"/>
      <c r="C380" s="1301" t="s">
        <v>243</v>
      </c>
      <c r="D380" s="1301"/>
      <c r="E380" s="1301" t="s">
        <v>236</v>
      </c>
      <c r="F380" s="1301">
        <v>2</v>
      </c>
      <c r="G380" s="1002">
        <f t="shared" ref="G380:AK380" si="211">G151</f>
        <v>0</v>
      </c>
      <c r="H380" s="1002">
        <f t="shared" si="211"/>
        <v>0</v>
      </c>
      <c r="I380" s="1002">
        <f t="shared" si="211"/>
        <v>1.3210509183999999</v>
      </c>
      <c r="J380" s="1002">
        <f t="shared" si="211"/>
        <v>0.81112059999999986</v>
      </c>
      <c r="K380" s="1002">
        <f t="shared" si="211"/>
        <v>0.77940079999999978</v>
      </c>
      <c r="L380" s="1002">
        <f t="shared" si="211"/>
        <v>0.74768099999999993</v>
      </c>
      <c r="M380" s="1002">
        <f t="shared" si="211"/>
        <v>0.74009159999999996</v>
      </c>
      <c r="N380" s="1002">
        <f t="shared" si="211"/>
        <v>0.73250219999999999</v>
      </c>
      <c r="O380" s="1002">
        <f t="shared" si="211"/>
        <v>0.72491280000000013</v>
      </c>
      <c r="P380" s="1002">
        <f t="shared" si="211"/>
        <v>0.71732340000000006</v>
      </c>
      <c r="Q380" s="1002">
        <f t="shared" si="211"/>
        <v>0.70973400000000009</v>
      </c>
      <c r="R380" s="1002">
        <f t="shared" si="211"/>
        <v>0.70214460000000012</v>
      </c>
      <c r="S380" s="1002">
        <f t="shared" si="211"/>
        <v>0.69455520000000015</v>
      </c>
      <c r="T380" s="1002">
        <f t="shared" si="211"/>
        <v>0.68696580000000018</v>
      </c>
      <c r="U380" s="1002">
        <f t="shared" si="211"/>
        <v>0.67937640000000021</v>
      </c>
      <c r="V380" s="1002">
        <f t="shared" si="211"/>
        <v>0.67178700000000025</v>
      </c>
      <c r="W380" s="1002">
        <f t="shared" si="211"/>
        <v>0.66419760000000028</v>
      </c>
      <c r="X380" s="1002">
        <f t="shared" si="211"/>
        <v>0.65660820000000031</v>
      </c>
      <c r="Y380" s="1002">
        <f t="shared" si="211"/>
        <v>0.64901880000000034</v>
      </c>
      <c r="Z380" s="1002">
        <f t="shared" si="211"/>
        <v>0.64142940000000037</v>
      </c>
      <c r="AA380" s="1002">
        <f t="shared" si="211"/>
        <v>0.6338400000000004</v>
      </c>
      <c r="AB380" s="1002">
        <f t="shared" si="211"/>
        <v>0.62625060000000043</v>
      </c>
      <c r="AC380" s="1002">
        <f t="shared" si="211"/>
        <v>0.61866120000000047</v>
      </c>
      <c r="AD380" s="1002">
        <f t="shared" si="211"/>
        <v>0.6110718000000005</v>
      </c>
      <c r="AE380" s="1002">
        <f t="shared" si="211"/>
        <v>0.60348240000000053</v>
      </c>
      <c r="AF380" s="1002">
        <f t="shared" si="211"/>
        <v>0.59589300000000056</v>
      </c>
      <c r="AG380" s="1002">
        <f t="shared" si="211"/>
        <v>0.58830360000000059</v>
      </c>
      <c r="AH380" s="1002">
        <f t="shared" si="211"/>
        <v>0.58071420000000062</v>
      </c>
      <c r="AI380" s="1002">
        <f t="shared" si="211"/>
        <v>0.57312480000000066</v>
      </c>
      <c r="AJ380" s="1002">
        <f t="shared" si="211"/>
        <v>0.56553540000000069</v>
      </c>
      <c r="AK380" s="1002">
        <f t="shared" si="211"/>
        <v>0.55794599999999994</v>
      </c>
      <c r="AL380" s="1002"/>
      <c r="AM380" s="1002"/>
      <c r="AN380" s="1002"/>
      <c r="AO380" s="1002"/>
      <c r="AP380" s="1002"/>
      <c r="AQ380" s="1002"/>
      <c r="AR380" s="1002"/>
      <c r="AS380" s="1002"/>
      <c r="AT380" s="1002"/>
      <c r="AU380" s="1002"/>
      <c r="AV380" s="1002"/>
      <c r="AW380" s="1002"/>
      <c r="AX380" s="1002"/>
      <c r="AY380" s="1002"/>
      <c r="AZ380" s="1002"/>
      <c r="BA380" s="1002"/>
      <c r="BB380" s="1002"/>
      <c r="BC380" s="1002"/>
      <c r="BD380" s="1002"/>
      <c r="BE380" s="1002"/>
      <c r="BF380" s="1002"/>
      <c r="BG380" s="1002"/>
      <c r="BH380" s="1002"/>
      <c r="BI380" s="1002"/>
      <c r="BJ380" s="1002"/>
      <c r="BK380" s="1002"/>
      <c r="BL380" s="1002"/>
      <c r="BM380" s="1002"/>
      <c r="BN380" s="1002"/>
      <c r="BO380" s="1002"/>
      <c r="BP380" s="1002"/>
      <c r="BQ380" s="1002"/>
      <c r="BR380" s="1002"/>
      <c r="BS380" s="1002"/>
      <c r="BT380" s="1002"/>
      <c r="BU380" s="1002"/>
      <c r="BV380" s="1002"/>
      <c r="BW380" s="1002"/>
      <c r="BX380" s="1002"/>
      <c r="BY380" s="1002"/>
      <c r="BZ380" s="1002"/>
      <c r="CA380" s="1002"/>
      <c r="CB380" s="1002"/>
      <c r="CC380" s="1002"/>
      <c r="CD380" s="1002"/>
      <c r="CE380" s="1002"/>
      <c r="CF380" s="1002"/>
      <c r="CG380" s="1002"/>
      <c r="CH380" s="1002"/>
      <c r="CI380" s="1003"/>
    </row>
    <row r="381" spans="2:87" x14ac:dyDescent="0.2">
      <c r="B381" s="1300"/>
      <c r="C381" s="1301" t="s">
        <v>792</v>
      </c>
      <c r="D381" s="1301"/>
      <c r="E381" s="1301" t="s">
        <v>236</v>
      </c>
      <c r="F381" s="1301">
        <v>2</v>
      </c>
      <c r="G381" s="1002">
        <f t="shared" ref="G381:AK381" si="212">G175-SUM(G377:G380)</f>
        <v>0</v>
      </c>
      <c r="H381" s="1002">
        <f t="shared" si="212"/>
        <v>0</v>
      </c>
      <c r="I381" s="1002">
        <f t="shared" si="212"/>
        <v>0.19949174740822428</v>
      </c>
      <c r="J381" s="1002">
        <f t="shared" si="212"/>
        <v>0.19881498267651487</v>
      </c>
      <c r="K381" s="1002">
        <f t="shared" si="212"/>
        <v>0.19878899233229852</v>
      </c>
      <c r="L381" s="1002">
        <f t="shared" si="212"/>
        <v>0.19878728353243602</v>
      </c>
      <c r="M381" s="1002">
        <f t="shared" si="212"/>
        <v>0.19865087975061613</v>
      </c>
      <c r="N381" s="1002">
        <f t="shared" si="212"/>
        <v>0.19834412458477679</v>
      </c>
      <c r="O381" s="1002">
        <f t="shared" si="212"/>
        <v>0.19823137753128783</v>
      </c>
      <c r="P381" s="1002">
        <f t="shared" si="212"/>
        <v>0.19812933077044192</v>
      </c>
      <c r="Q381" s="1002">
        <f t="shared" si="212"/>
        <v>0.1980427505838076</v>
      </c>
      <c r="R381" s="1002">
        <f t="shared" si="212"/>
        <v>0.19796623446418593</v>
      </c>
      <c r="S381" s="1002">
        <f t="shared" si="212"/>
        <v>0.19790148251789041</v>
      </c>
      <c r="T381" s="1002">
        <f t="shared" si="212"/>
        <v>0.19784122199726895</v>
      </c>
      <c r="U381" s="1002">
        <f t="shared" si="212"/>
        <v>0.19778207690649197</v>
      </c>
      <c r="V381" s="1002">
        <f t="shared" si="212"/>
        <v>0.19772324951165743</v>
      </c>
      <c r="W381" s="1002">
        <f t="shared" si="212"/>
        <v>0.19766532200983988</v>
      </c>
      <c r="X381" s="1002">
        <f t="shared" si="212"/>
        <v>0.1976091169318579</v>
      </c>
      <c r="Y381" s="1002">
        <f t="shared" si="212"/>
        <v>0.19755463561490672</v>
      </c>
      <c r="Z381" s="1002">
        <f t="shared" si="212"/>
        <v>0.1975005394039524</v>
      </c>
      <c r="AA381" s="1002">
        <f t="shared" si="212"/>
        <v>0.19744707252534077</v>
      </c>
      <c r="AB381" s="1002">
        <f t="shared" si="212"/>
        <v>0.19739414045409731</v>
      </c>
      <c r="AC381" s="1002">
        <f t="shared" si="212"/>
        <v>0.19734172492178992</v>
      </c>
      <c r="AD381" s="1002">
        <f t="shared" si="212"/>
        <v>0.19729024557290487</v>
      </c>
      <c r="AE381" s="1002">
        <f t="shared" si="212"/>
        <v>0.19723985354005791</v>
      </c>
      <c r="AF381" s="1002">
        <f t="shared" si="212"/>
        <v>0.19719042769732376</v>
      </c>
      <c r="AG381" s="1002">
        <f t="shared" si="212"/>
        <v>0.19714159345307003</v>
      </c>
      <c r="AH381" s="1002">
        <f t="shared" si="212"/>
        <v>0.19709336849775028</v>
      </c>
      <c r="AI381" s="1002">
        <f t="shared" si="212"/>
        <v>0.19704542132057057</v>
      </c>
      <c r="AJ381" s="1002">
        <f t="shared" si="212"/>
        <v>0.19699752302673801</v>
      </c>
      <c r="AK381" s="1002">
        <f t="shared" si="212"/>
        <v>0.19694974682876598</v>
      </c>
      <c r="AL381" s="1002"/>
      <c r="AM381" s="1002"/>
      <c r="AN381" s="1002"/>
      <c r="AO381" s="1002"/>
      <c r="AP381" s="1002"/>
      <c r="AQ381" s="1002"/>
      <c r="AR381" s="1002"/>
      <c r="AS381" s="1002"/>
      <c r="AT381" s="1002"/>
      <c r="AU381" s="1002"/>
      <c r="AV381" s="1002"/>
      <c r="AW381" s="1002"/>
      <c r="AX381" s="1002"/>
      <c r="AY381" s="1002"/>
      <c r="AZ381" s="1002"/>
      <c r="BA381" s="1002"/>
      <c r="BB381" s="1002"/>
      <c r="BC381" s="1002"/>
      <c r="BD381" s="1002"/>
      <c r="BE381" s="1002"/>
      <c r="BF381" s="1002"/>
      <c r="BG381" s="1002"/>
      <c r="BH381" s="1002"/>
      <c r="BI381" s="1002"/>
      <c r="BJ381" s="1002"/>
      <c r="BK381" s="1002"/>
      <c r="BL381" s="1002"/>
      <c r="BM381" s="1002"/>
      <c r="BN381" s="1002"/>
      <c r="BO381" s="1002"/>
      <c r="BP381" s="1002"/>
      <c r="BQ381" s="1002"/>
      <c r="BR381" s="1002"/>
      <c r="BS381" s="1002"/>
      <c r="BT381" s="1002"/>
      <c r="BU381" s="1002"/>
      <c r="BV381" s="1002"/>
      <c r="BW381" s="1002"/>
      <c r="BX381" s="1002"/>
      <c r="BY381" s="1002"/>
      <c r="BZ381" s="1002"/>
      <c r="CA381" s="1002"/>
      <c r="CB381" s="1002"/>
      <c r="CC381" s="1002"/>
      <c r="CD381" s="1002"/>
      <c r="CE381" s="1002"/>
      <c r="CF381" s="1002"/>
      <c r="CG381" s="1002"/>
      <c r="CH381" s="1002"/>
      <c r="CI381" s="1003"/>
    </row>
    <row r="382" spans="2:87" x14ac:dyDescent="0.2">
      <c r="B382" s="1300"/>
      <c r="C382" s="1301" t="s">
        <v>793</v>
      </c>
      <c r="D382" s="1301"/>
      <c r="E382" s="1301" t="s">
        <v>236</v>
      </c>
      <c r="F382" s="1301">
        <v>2</v>
      </c>
      <c r="G382" s="1002">
        <f t="shared" ref="G382:AK382" si="213">G132</f>
        <v>0</v>
      </c>
      <c r="H382" s="1002">
        <f t="shared" si="213"/>
        <v>0</v>
      </c>
      <c r="I382" s="1002">
        <f t="shared" si="213"/>
        <v>8.2732826222203375</v>
      </c>
      <c r="J382" s="1002">
        <f t="shared" si="213"/>
        <v>8.2793829945226545</v>
      </c>
      <c r="K382" s="1002">
        <f t="shared" si="213"/>
        <v>8.2702387972878952</v>
      </c>
      <c r="L382" s="1002">
        <f t="shared" si="213"/>
        <v>8.2509830298220397</v>
      </c>
      <c r="M382" s="1002">
        <f t="shared" si="213"/>
        <v>10.490289847933466</v>
      </c>
      <c r="N382" s="1002">
        <f t="shared" si="213"/>
        <v>10.470241600723718</v>
      </c>
      <c r="O382" s="1002">
        <f t="shared" si="213"/>
        <v>10.479844524978555</v>
      </c>
      <c r="P382" s="1002">
        <f t="shared" si="213"/>
        <v>10.229385798279178</v>
      </c>
      <c r="Q382" s="1002">
        <f t="shared" si="213"/>
        <v>10.184199218939174</v>
      </c>
      <c r="R382" s="1002">
        <f t="shared" si="213"/>
        <v>9.8381996170335473</v>
      </c>
      <c r="S382" s="1002">
        <f t="shared" si="213"/>
        <v>9.6178513126081739</v>
      </c>
      <c r="T382" s="1002">
        <f t="shared" si="213"/>
        <v>13.32864171606975</v>
      </c>
      <c r="U382" s="1002">
        <f t="shared" si="213"/>
        <v>13.284365098886759</v>
      </c>
      <c r="V382" s="1002">
        <f t="shared" si="213"/>
        <v>13.210873562074289</v>
      </c>
      <c r="W382" s="1002">
        <f t="shared" si="213"/>
        <v>13.15110103823198</v>
      </c>
      <c r="X382" s="1002">
        <f t="shared" si="213"/>
        <v>13.121557064767277</v>
      </c>
      <c r="Y382" s="1002">
        <f t="shared" si="213"/>
        <v>13.082435469682968</v>
      </c>
      <c r="Z382" s="1002">
        <f t="shared" si="213"/>
        <v>13.0588976622661</v>
      </c>
      <c r="AA382" s="1002">
        <f t="shared" si="213"/>
        <v>13.032894729284232</v>
      </c>
      <c r="AB382" s="1002">
        <f t="shared" si="213"/>
        <v>13.003260709612858</v>
      </c>
      <c r="AC382" s="1002">
        <f t="shared" si="213"/>
        <v>12.966834917079201</v>
      </c>
      <c r="AD382" s="1002">
        <f t="shared" si="213"/>
        <v>12.922139859609661</v>
      </c>
      <c r="AE382" s="1002">
        <f t="shared" si="213"/>
        <v>12.901002386521242</v>
      </c>
      <c r="AF382" s="1002">
        <f t="shared" si="213"/>
        <v>12.903397146297465</v>
      </c>
      <c r="AG382" s="1002">
        <f t="shared" si="213"/>
        <v>12.905088673339502</v>
      </c>
      <c r="AH382" s="1002">
        <f t="shared" si="213"/>
        <v>12.917505015195397</v>
      </c>
      <c r="AI382" s="1002">
        <f t="shared" si="213"/>
        <v>12.930350129924765</v>
      </c>
      <c r="AJ382" s="1002">
        <f t="shared" si="213"/>
        <v>12.954077034304341</v>
      </c>
      <c r="AK382" s="1002">
        <f t="shared" si="213"/>
        <v>12.967740790938461</v>
      </c>
      <c r="AL382" s="1002"/>
      <c r="AM382" s="1002"/>
      <c r="AN382" s="1002"/>
      <c r="AO382" s="1002"/>
      <c r="AP382" s="1002"/>
      <c r="AQ382" s="1002"/>
      <c r="AR382" s="1002"/>
      <c r="AS382" s="1002"/>
      <c r="AT382" s="1002"/>
      <c r="AU382" s="1002"/>
      <c r="AV382" s="1002"/>
      <c r="AW382" s="1002"/>
      <c r="AX382" s="1002"/>
      <c r="AY382" s="1002"/>
      <c r="AZ382" s="1002"/>
      <c r="BA382" s="1002"/>
      <c r="BB382" s="1002"/>
      <c r="BC382" s="1002"/>
      <c r="BD382" s="1002"/>
      <c r="BE382" s="1002"/>
      <c r="BF382" s="1002"/>
      <c r="BG382" s="1002"/>
      <c r="BH382" s="1002"/>
      <c r="BI382" s="1002"/>
      <c r="BJ382" s="1002"/>
      <c r="BK382" s="1002"/>
      <c r="BL382" s="1002"/>
      <c r="BM382" s="1002"/>
      <c r="BN382" s="1002"/>
      <c r="BO382" s="1002"/>
      <c r="BP382" s="1002"/>
      <c r="BQ382" s="1002"/>
      <c r="BR382" s="1002"/>
      <c r="BS382" s="1002"/>
      <c r="BT382" s="1002"/>
      <c r="BU382" s="1002"/>
      <c r="BV382" s="1002"/>
      <c r="BW382" s="1002"/>
      <c r="BX382" s="1002"/>
      <c r="BY382" s="1002"/>
      <c r="BZ382" s="1002"/>
      <c r="CA382" s="1002"/>
      <c r="CB382" s="1002"/>
      <c r="CC382" s="1002"/>
      <c r="CD382" s="1002"/>
      <c r="CE382" s="1002"/>
      <c r="CF382" s="1002"/>
      <c r="CG382" s="1002"/>
      <c r="CH382" s="1002"/>
      <c r="CI382" s="1003"/>
    </row>
    <row r="383" spans="2:87" x14ac:dyDescent="0.2">
      <c r="B383" s="1300"/>
      <c r="C383" s="1301" t="s">
        <v>794</v>
      </c>
      <c r="D383" s="1301"/>
      <c r="E383" s="1301" t="s">
        <v>236</v>
      </c>
      <c r="F383" s="1301">
        <v>2</v>
      </c>
      <c r="G383" s="1002">
        <f t="shared" ref="G383:AK383" si="214">SUM(G377:G381)+G178</f>
        <v>0</v>
      </c>
      <c r="H383" s="1002">
        <f t="shared" si="214"/>
        <v>0</v>
      </c>
      <c r="I383" s="1002">
        <f t="shared" si="214"/>
        <v>10.993224053537398</v>
      </c>
      <c r="J383" s="1002">
        <f t="shared" si="214"/>
        <v>10.061111213194241</v>
      </c>
      <c r="K383" s="1002">
        <f t="shared" si="214"/>
        <v>10.290318396869708</v>
      </c>
      <c r="L383" s="1002">
        <f t="shared" si="214"/>
        <v>10.112762850010094</v>
      </c>
      <c r="M383" s="1002">
        <f t="shared" si="214"/>
        <v>10.398108109180001</v>
      </c>
      <c r="N383" s="1002">
        <f t="shared" si="214"/>
        <v>10.315712957301674</v>
      </c>
      <c r="O383" s="1002">
        <f t="shared" si="214"/>
        <v>10.379900348627737</v>
      </c>
      <c r="P383" s="1002">
        <f t="shared" si="214"/>
        <v>10.40938579827918</v>
      </c>
      <c r="Q383" s="1002">
        <f t="shared" si="214"/>
        <v>10.364199218939175</v>
      </c>
      <c r="R383" s="1002">
        <f t="shared" si="214"/>
        <v>10.018199617033547</v>
      </c>
      <c r="S383" s="1002">
        <f t="shared" si="214"/>
        <v>9.7978513126081737</v>
      </c>
      <c r="T383" s="1002">
        <f t="shared" si="214"/>
        <v>13.508641716069752</v>
      </c>
      <c r="U383" s="1002">
        <f t="shared" si="214"/>
        <v>13.464365098886759</v>
      </c>
      <c r="V383" s="1002">
        <f t="shared" si="214"/>
        <v>13.39087356207429</v>
      </c>
      <c r="W383" s="1002">
        <f t="shared" si="214"/>
        <v>13.33110103823198</v>
      </c>
      <c r="X383" s="1002">
        <f t="shared" si="214"/>
        <v>13.301557064767277</v>
      </c>
      <c r="Y383" s="1002">
        <f t="shared" si="214"/>
        <v>13.26243546968297</v>
      </c>
      <c r="Z383" s="1002">
        <f t="shared" si="214"/>
        <v>13.238897662266101</v>
      </c>
      <c r="AA383" s="1002">
        <f t="shared" si="214"/>
        <v>13.212894729284233</v>
      </c>
      <c r="AB383" s="1002">
        <f t="shared" si="214"/>
        <v>13.18326070961286</v>
      </c>
      <c r="AC383" s="1002">
        <f t="shared" si="214"/>
        <v>13.1468349170792</v>
      </c>
      <c r="AD383" s="1002">
        <f t="shared" si="214"/>
        <v>13.102139859609661</v>
      </c>
      <c r="AE383" s="1002">
        <f t="shared" si="214"/>
        <v>13.081002386521243</v>
      </c>
      <c r="AF383" s="1002">
        <f t="shared" si="214"/>
        <v>13.083397146297465</v>
      </c>
      <c r="AG383" s="1002">
        <f t="shared" si="214"/>
        <v>13.085088673339502</v>
      </c>
      <c r="AH383" s="1002">
        <f t="shared" si="214"/>
        <v>13.097505015195397</v>
      </c>
      <c r="AI383" s="1002">
        <f t="shared" si="214"/>
        <v>13.110350129924766</v>
      </c>
      <c r="AJ383" s="1002">
        <f t="shared" si="214"/>
        <v>13.134077034304342</v>
      </c>
      <c r="AK383" s="1002">
        <f t="shared" si="214"/>
        <v>13.14774079093846</v>
      </c>
      <c r="AL383" s="1002"/>
      <c r="AM383" s="1002"/>
      <c r="AN383" s="1002"/>
      <c r="AO383" s="1002"/>
      <c r="AP383" s="1002"/>
      <c r="AQ383" s="1002"/>
      <c r="AR383" s="1002"/>
      <c r="AS383" s="1002"/>
      <c r="AT383" s="1002"/>
      <c r="AU383" s="1002"/>
      <c r="AV383" s="1002"/>
      <c r="AW383" s="1002"/>
      <c r="AX383" s="1002"/>
      <c r="AY383" s="1002"/>
      <c r="AZ383" s="1002"/>
      <c r="BA383" s="1002"/>
      <c r="BB383" s="1002"/>
      <c r="BC383" s="1002"/>
      <c r="BD383" s="1002"/>
      <c r="BE383" s="1002"/>
      <c r="BF383" s="1002"/>
      <c r="BG383" s="1002"/>
      <c r="BH383" s="1002"/>
      <c r="BI383" s="1002"/>
      <c r="BJ383" s="1002"/>
      <c r="BK383" s="1002"/>
      <c r="BL383" s="1002"/>
      <c r="BM383" s="1002"/>
      <c r="BN383" s="1002"/>
      <c r="BO383" s="1002"/>
      <c r="BP383" s="1002"/>
      <c r="BQ383" s="1002"/>
      <c r="BR383" s="1002"/>
      <c r="BS383" s="1002"/>
      <c r="BT383" s="1002"/>
      <c r="BU383" s="1002"/>
      <c r="BV383" s="1002"/>
      <c r="BW383" s="1002"/>
      <c r="BX383" s="1002"/>
      <c r="BY383" s="1002"/>
      <c r="BZ383" s="1002"/>
      <c r="CA383" s="1002"/>
      <c r="CB383" s="1002"/>
      <c r="CC383" s="1002"/>
      <c r="CD383" s="1002"/>
      <c r="CE383" s="1002"/>
      <c r="CF383" s="1002"/>
      <c r="CG383" s="1002"/>
      <c r="CH383" s="1002"/>
      <c r="CI383" s="1003"/>
    </row>
    <row r="384" spans="2:87" x14ac:dyDescent="0.2">
      <c r="B384" s="1300"/>
      <c r="C384" s="1301"/>
      <c r="D384" s="1301"/>
      <c r="E384" s="1301"/>
      <c r="F384" s="1301"/>
      <c r="G384" s="1301"/>
      <c r="H384" s="1301"/>
      <c r="I384" s="1301"/>
      <c r="J384" s="1301"/>
      <c r="K384" s="1301"/>
      <c r="L384" s="1301"/>
      <c r="M384" s="1301"/>
      <c r="N384" s="1301"/>
      <c r="O384" s="1301"/>
      <c r="P384" s="1301"/>
      <c r="Q384" s="1301"/>
      <c r="R384" s="1301"/>
      <c r="S384" s="1301"/>
      <c r="T384" s="1301"/>
      <c r="U384" s="1301"/>
      <c r="V384" s="1301"/>
      <c r="W384" s="1301"/>
      <c r="X384" s="1301"/>
      <c r="Y384" s="1301"/>
      <c r="Z384" s="1301"/>
      <c r="AA384" s="1301"/>
      <c r="AB384" s="1301"/>
      <c r="AC384" s="1301"/>
      <c r="AD384" s="1301"/>
      <c r="AE384" s="1301"/>
      <c r="AF384" s="1301"/>
      <c r="AG384" s="1301"/>
      <c r="AH384" s="1301"/>
      <c r="AI384" s="1301"/>
      <c r="AJ384" s="1301"/>
      <c r="AK384" s="1301"/>
      <c r="AL384" s="1301"/>
      <c r="AM384" s="1301"/>
      <c r="AN384" s="1301"/>
      <c r="AO384" s="1301"/>
      <c r="AP384" s="1301"/>
      <c r="AQ384" s="1301"/>
      <c r="AR384" s="1301"/>
      <c r="AS384" s="1301"/>
      <c r="AT384" s="1301"/>
      <c r="AU384" s="1301"/>
      <c r="AV384" s="1301"/>
      <c r="AW384" s="1301"/>
      <c r="AX384" s="1301"/>
      <c r="AY384" s="1301"/>
      <c r="AZ384" s="1301"/>
      <c r="BA384" s="1301"/>
      <c r="BB384" s="1301"/>
      <c r="BC384" s="1301"/>
      <c r="BD384" s="1301"/>
      <c r="BE384" s="1301"/>
      <c r="BF384" s="1301"/>
      <c r="BG384" s="1301"/>
      <c r="BH384" s="1301"/>
      <c r="BI384" s="1301"/>
      <c r="BJ384" s="1301"/>
      <c r="BK384" s="1301"/>
      <c r="BL384" s="1301"/>
      <c r="BM384" s="1301"/>
      <c r="BN384" s="1301"/>
      <c r="BO384" s="1301"/>
      <c r="BP384" s="1301"/>
      <c r="BQ384" s="1301"/>
      <c r="BR384" s="1301"/>
      <c r="BS384" s="1301"/>
      <c r="BT384" s="1301"/>
      <c r="BU384" s="1301"/>
      <c r="BV384" s="1301"/>
      <c r="BW384" s="1301"/>
      <c r="BX384" s="1301"/>
      <c r="BY384" s="1301"/>
      <c r="BZ384" s="1301"/>
      <c r="CA384" s="1301"/>
      <c r="CB384" s="1301"/>
      <c r="CC384" s="1301"/>
      <c r="CD384" s="1301"/>
      <c r="CE384" s="1301"/>
      <c r="CF384" s="1301"/>
      <c r="CG384" s="1301"/>
      <c r="CH384" s="1301"/>
      <c r="CI384" s="1302"/>
    </row>
    <row r="385" spans="2:87" x14ac:dyDescent="0.2">
      <c r="B385" s="1300" t="s">
        <v>796</v>
      </c>
      <c r="C385" s="1301"/>
      <c r="D385" s="1301"/>
      <c r="E385" s="1301"/>
      <c r="F385" s="1301"/>
      <c r="G385" s="1000" t="s">
        <v>208</v>
      </c>
      <c r="H385" s="1000" t="s">
        <v>209</v>
      </c>
      <c r="I385" s="1000" t="s">
        <v>210</v>
      </c>
      <c r="J385" s="1000" t="s">
        <v>211</v>
      </c>
      <c r="K385" s="1000" t="s">
        <v>212</v>
      </c>
      <c r="L385" s="1000" t="s">
        <v>213</v>
      </c>
      <c r="M385" s="1000" t="s">
        <v>214</v>
      </c>
      <c r="N385" s="1000" t="s">
        <v>215</v>
      </c>
      <c r="O385" s="1000" t="s">
        <v>216</v>
      </c>
      <c r="P385" s="1000" t="s">
        <v>217</v>
      </c>
      <c r="Q385" s="1000" t="s">
        <v>218</v>
      </c>
      <c r="R385" s="1000" t="s">
        <v>247</v>
      </c>
      <c r="S385" s="1000" t="s">
        <v>248</v>
      </c>
      <c r="T385" s="1000" t="s">
        <v>249</v>
      </c>
      <c r="U385" s="1000" t="s">
        <v>250</v>
      </c>
      <c r="V385" s="1000" t="s">
        <v>219</v>
      </c>
      <c r="W385" s="1000" t="s">
        <v>251</v>
      </c>
      <c r="X385" s="1000" t="s">
        <v>252</v>
      </c>
      <c r="Y385" s="1000" t="s">
        <v>253</v>
      </c>
      <c r="Z385" s="1000" t="s">
        <v>254</v>
      </c>
      <c r="AA385" s="1000" t="s">
        <v>220</v>
      </c>
      <c r="AB385" s="1000" t="s">
        <v>255</v>
      </c>
      <c r="AC385" s="1000" t="s">
        <v>256</v>
      </c>
      <c r="AD385" s="1000" t="s">
        <v>257</v>
      </c>
      <c r="AE385" s="1000" t="s">
        <v>258</v>
      </c>
      <c r="AF385" s="1000" t="s">
        <v>221</v>
      </c>
      <c r="AG385" s="1000" t="s">
        <v>259</v>
      </c>
      <c r="AH385" s="1000" t="s">
        <v>260</v>
      </c>
      <c r="AI385" s="1000" t="s">
        <v>261</v>
      </c>
      <c r="AJ385" s="1000" t="s">
        <v>262</v>
      </c>
      <c r="AK385" s="1000" t="s">
        <v>222</v>
      </c>
      <c r="AL385" s="1000"/>
      <c r="AM385" s="1000"/>
      <c r="AN385" s="1000"/>
      <c r="AO385" s="1000"/>
      <c r="AP385" s="1000"/>
      <c r="AQ385" s="1000"/>
      <c r="AR385" s="1000"/>
      <c r="AS385" s="1000"/>
      <c r="AT385" s="1000"/>
      <c r="AU385" s="1000"/>
      <c r="AV385" s="1000"/>
      <c r="AW385" s="1000"/>
      <c r="AX385" s="1000"/>
      <c r="AY385" s="1000"/>
      <c r="AZ385" s="1000"/>
      <c r="BA385" s="1000"/>
      <c r="BB385" s="1000"/>
      <c r="BC385" s="1000"/>
      <c r="BD385" s="1000"/>
      <c r="BE385" s="1000"/>
      <c r="BF385" s="1000"/>
      <c r="BG385" s="1000"/>
      <c r="BH385" s="1000"/>
      <c r="BI385" s="1000"/>
      <c r="BJ385" s="1000"/>
      <c r="BK385" s="1000"/>
      <c r="BL385" s="1000"/>
      <c r="BM385" s="1000"/>
      <c r="BN385" s="1000"/>
      <c r="BO385" s="1000"/>
      <c r="BP385" s="1000"/>
      <c r="BQ385" s="1000"/>
      <c r="BR385" s="1000"/>
      <c r="BS385" s="1000"/>
      <c r="BT385" s="1000"/>
      <c r="BU385" s="1000"/>
      <c r="BV385" s="1000"/>
      <c r="BW385" s="1000"/>
      <c r="BX385" s="1000"/>
      <c r="BY385" s="1000"/>
      <c r="BZ385" s="1000"/>
      <c r="CA385" s="1000"/>
      <c r="CB385" s="1000"/>
      <c r="CC385" s="1000"/>
      <c r="CD385" s="1000"/>
      <c r="CE385" s="1000"/>
      <c r="CF385" s="1000"/>
      <c r="CG385" s="1000"/>
      <c r="CH385" s="1000"/>
      <c r="CI385" s="1001"/>
    </row>
    <row r="386" spans="2:87" x14ac:dyDescent="0.2">
      <c r="B386" s="1300"/>
      <c r="C386" s="1301" t="s">
        <v>789</v>
      </c>
      <c r="D386" s="1301"/>
      <c r="E386" s="1301" t="s">
        <v>236</v>
      </c>
      <c r="F386" s="1301">
        <v>2</v>
      </c>
      <c r="G386" s="1002">
        <f t="shared" ref="G386:AK387" si="215">G227-G238</f>
        <v>0</v>
      </c>
      <c r="H386" s="1002">
        <f t="shared" si="215"/>
        <v>0</v>
      </c>
      <c r="I386" s="1002">
        <f t="shared" si="215"/>
        <v>2.4490244538520547</v>
      </c>
      <c r="J386" s="1002">
        <f t="shared" si="215"/>
        <v>2.4530108051284878</v>
      </c>
      <c r="K386" s="1002">
        <f t="shared" si="215"/>
        <v>2.4136278483535962</v>
      </c>
      <c r="L386" s="1002">
        <f t="shared" si="215"/>
        <v>2.3938408890364875</v>
      </c>
      <c r="M386" s="1002">
        <f t="shared" si="215"/>
        <v>2.553122618674319</v>
      </c>
      <c r="N386" s="1002">
        <f t="shared" si="215"/>
        <v>2.7003921633132375</v>
      </c>
      <c r="O386" s="1002">
        <f t="shared" si="215"/>
        <v>2.7762158685545724</v>
      </c>
      <c r="P386" s="1002">
        <f t="shared" si="215"/>
        <v>2.8438797824969511</v>
      </c>
      <c r="Q386" s="1002">
        <f t="shared" si="215"/>
        <v>2.8987525156745106</v>
      </c>
      <c r="R386" s="1002">
        <f t="shared" si="215"/>
        <v>2.9388287808286755</v>
      </c>
      <c r="S386" s="1002">
        <f t="shared" si="215"/>
        <v>2.964061239496143</v>
      </c>
      <c r="T386" s="1002">
        <f t="shared" si="215"/>
        <v>2.9873670902941241</v>
      </c>
      <c r="U386" s="1002">
        <f t="shared" si="215"/>
        <v>3.0103590162822251</v>
      </c>
      <c r="V386" s="1002">
        <f t="shared" si="215"/>
        <v>3.0342538724449719</v>
      </c>
      <c r="W386" s="1002">
        <f t="shared" si="215"/>
        <v>3.0582468265261875</v>
      </c>
      <c r="X386" s="1002">
        <f t="shared" si="215"/>
        <v>3.08267715014212</v>
      </c>
      <c r="Y386" s="1002">
        <f t="shared" si="215"/>
        <v>3.1079419281045535</v>
      </c>
      <c r="Z386" s="1002">
        <f t="shared" si="215"/>
        <v>3.133399579847187</v>
      </c>
      <c r="AA386" s="1002">
        <f t="shared" si="215"/>
        <v>3.1560146504253077</v>
      </c>
      <c r="AB386" s="1002">
        <f t="shared" si="215"/>
        <v>3.1732940186908172</v>
      </c>
      <c r="AC386" s="1002">
        <f t="shared" si="215"/>
        <v>3.1946032146213073</v>
      </c>
      <c r="AD386" s="1002">
        <f t="shared" si="215"/>
        <v>3.2170391496839006</v>
      </c>
      <c r="AE386" s="1002">
        <f t="shared" si="215"/>
        <v>3.2393060090969112</v>
      </c>
      <c r="AF386" s="1002">
        <f t="shared" si="215"/>
        <v>3.2616202489356154</v>
      </c>
      <c r="AG386" s="1002">
        <f t="shared" si="215"/>
        <v>3.2832097857494507</v>
      </c>
      <c r="AH386" s="1002">
        <f t="shared" si="215"/>
        <v>3.3052578257734102</v>
      </c>
      <c r="AI386" s="1002">
        <f t="shared" si="215"/>
        <v>3.3280313153642282</v>
      </c>
      <c r="AJ386" s="1002">
        <f t="shared" si="215"/>
        <v>3.3518323787319457</v>
      </c>
      <c r="AK386" s="1002">
        <f t="shared" si="215"/>
        <v>3.3761094889229621</v>
      </c>
      <c r="AL386" s="1002"/>
      <c r="AM386" s="1002"/>
      <c r="AN386" s="1002"/>
      <c r="AO386" s="1002"/>
      <c r="AP386" s="1002"/>
      <c r="AQ386" s="1002"/>
      <c r="AR386" s="1002"/>
      <c r="AS386" s="1002"/>
      <c r="AT386" s="1002"/>
      <c r="AU386" s="1002"/>
      <c r="AV386" s="1002"/>
      <c r="AW386" s="1002"/>
      <c r="AX386" s="1002"/>
      <c r="AY386" s="1002"/>
      <c r="AZ386" s="1002"/>
      <c r="BA386" s="1002"/>
      <c r="BB386" s="1002"/>
      <c r="BC386" s="1002"/>
      <c r="BD386" s="1002"/>
      <c r="BE386" s="1002"/>
      <c r="BF386" s="1002"/>
      <c r="BG386" s="1002"/>
      <c r="BH386" s="1002"/>
      <c r="BI386" s="1002"/>
      <c r="BJ386" s="1002"/>
      <c r="BK386" s="1002"/>
      <c r="BL386" s="1002"/>
      <c r="BM386" s="1002"/>
      <c r="BN386" s="1002"/>
      <c r="BO386" s="1002"/>
      <c r="BP386" s="1002"/>
      <c r="BQ386" s="1002"/>
      <c r="BR386" s="1002"/>
      <c r="BS386" s="1002"/>
      <c r="BT386" s="1002"/>
      <c r="BU386" s="1002"/>
      <c r="BV386" s="1002"/>
      <c r="BW386" s="1002"/>
      <c r="BX386" s="1002"/>
      <c r="BY386" s="1002"/>
      <c r="BZ386" s="1002"/>
      <c r="CA386" s="1002"/>
      <c r="CB386" s="1002"/>
      <c r="CC386" s="1002"/>
      <c r="CD386" s="1002"/>
      <c r="CE386" s="1002"/>
      <c r="CF386" s="1002"/>
      <c r="CG386" s="1002"/>
      <c r="CH386" s="1002"/>
      <c r="CI386" s="1003"/>
    </row>
    <row r="387" spans="2:87" x14ac:dyDescent="0.2">
      <c r="B387" s="1300"/>
      <c r="C387" s="1301" t="s">
        <v>790</v>
      </c>
      <c r="D387" s="1301"/>
      <c r="E387" s="1301" t="s">
        <v>236</v>
      </c>
      <c r="F387" s="1301">
        <v>2</v>
      </c>
      <c r="G387" s="1002">
        <f t="shared" si="215"/>
        <v>0</v>
      </c>
      <c r="H387" s="1002">
        <f t="shared" si="215"/>
        <v>0</v>
      </c>
      <c r="I387" s="1002">
        <f t="shared" si="215"/>
        <v>2.0197035980870042</v>
      </c>
      <c r="J387" s="1002">
        <f t="shared" si="215"/>
        <v>2.0753214903712163</v>
      </c>
      <c r="K387" s="1002">
        <f t="shared" si="215"/>
        <v>2.020590584877739</v>
      </c>
      <c r="L387" s="1002">
        <f t="shared" si="215"/>
        <v>1.8427176634080884</v>
      </c>
      <c r="M387" s="1002">
        <f t="shared" si="215"/>
        <v>1.5892756052609431</v>
      </c>
      <c r="N387" s="1002">
        <f t="shared" si="215"/>
        <v>1.4665937218808549</v>
      </c>
      <c r="O387" s="1002">
        <f t="shared" si="215"/>
        <v>1.4231402356619536</v>
      </c>
      <c r="P387" s="1002">
        <f t="shared" si="215"/>
        <v>1.3797852299765392</v>
      </c>
      <c r="Q387" s="1002">
        <f t="shared" si="215"/>
        <v>1.336402637111674</v>
      </c>
      <c r="R387" s="1002">
        <f t="shared" si="215"/>
        <v>1.309118612581784</v>
      </c>
      <c r="S387" s="1002">
        <f t="shared" si="215"/>
        <v>1.2983363772604621</v>
      </c>
      <c r="T387" s="1002">
        <f t="shared" si="215"/>
        <v>1.2876917333580522</v>
      </c>
      <c r="U387" s="1002">
        <f t="shared" si="215"/>
        <v>1.2770626614112783</v>
      </c>
      <c r="V387" s="1002">
        <f t="shared" si="215"/>
        <v>1.2665482620609736</v>
      </c>
      <c r="W387" s="1002">
        <f t="shared" si="215"/>
        <v>1.257058303492983</v>
      </c>
      <c r="X387" s="1002">
        <f t="shared" si="215"/>
        <v>1.2476897937036135</v>
      </c>
      <c r="Y387" s="1002">
        <f t="shared" si="215"/>
        <v>1.2383206571970222</v>
      </c>
      <c r="Z387" s="1002">
        <f t="shared" si="215"/>
        <v>1.2293143603570673</v>
      </c>
      <c r="AA387" s="1002">
        <f t="shared" si="215"/>
        <v>1.2203146000993059</v>
      </c>
      <c r="AB387" s="1002">
        <f t="shared" si="215"/>
        <v>1.2112704613361567</v>
      </c>
      <c r="AC387" s="1002">
        <f t="shared" si="215"/>
        <v>1.2023524886878727</v>
      </c>
      <c r="AD387" s="1002">
        <f t="shared" si="215"/>
        <v>1.1940750030507847</v>
      </c>
      <c r="AE387" s="1002">
        <f t="shared" si="215"/>
        <v>1.1863591176774204</v>
      </c>
      <c r="AF387" s="1002">
        <f t="shared" si="215"/>
        <v>1.1787687014417505</v>
      </c>
      <c r="AG387" s="1002">
        <f t="shared" si="215"/>
        <v>1.1711854001671438</v>
      </c>
      <c r="AH387" s="1002">
        <f t="shared" si="215"/>
        <v>1.1639584418673186</v>
      </c>
      <c r="AI387" s="1002">
        <f t="shared" si="215"/>
        <v>1.15673140747679</v>
      </c>
      <c r="AJ387" s="1002">
        <f t="shared" si="215"/>
        <v>1.1496251845955303</v>
      </c>
      <c r="AK387" s="1002">
        <f t="shared" si="215"/>
        <v>1.1422922713558501</v>
      </c>
      <c r="AL387" s="1002"/>
      <c r="AM387" s="1002"/>
      <c r="AN387" s="1002"/>
      <c r="AO387" s="1002"/>
      <c r="AP387" s="1002"/>
      <c r="AQ387" s="1002"/>
      <c r="AR387" s="1002"/>
      <c r="AS387" s="1002"/>
      <c r="AT387" s="1002"/>
      <c r="AU387" s="1002"/>
      <c r="AV387" s="1002"/>
      <c r="AW387" s="1002"/>
      <c r="AX387" s="1002"/>
      <c r="AY387" s="1002"/>
      <c r="AZ387" s="1002"/>
      <c r="BA387" s="1002"/>
      <c r="BB387" s="1002"/>
      <c r="BC387" s="1002"/>
      <c r="BD387" s="1002"/>
      <c r="BE387" s="1002"/>
      <c r="BF387" s="1002"/>
      <c r="BG387" s="1002"/>
      <c r="BH387" s="1002"/>
      <c r="BI387" s="1002"/>
      <c r="BJ387" s="1002"/>
      <c r="BK387" s="1002"/>
      <c r="BL387" s="1002"/>
      <c r="BM387" s="1002"/>
      <c r="BN387" s="1002"/>
      <c r="BO387" s="1002"/>
      <c r="BP387" s="1002"/>
      <c r="BQ387" s="1002"/>
      <c r="BR387" s="1002"/>
      <c r="BS387" s="1002"/>
      <c r="BT387" s="1002"/>
      <c r="BU387" s="1002"/>
      <c r="BV387" s="1002"/>
      <c r="BW387" s="1002"/>
      <c r="BX387" s="1002"/>
      <c r="BY387" s="1002"/>
      <c r="BZ387" s="1002"/>
      <c r="CA387" s="1002"/>
      <c r="CB387" s="1002"/>
      <c r="CC387" s="1002"/>
      <c r="CD387" s="1002"/>
      <c r="CE387" s="1002"/>
      <c r="CF387" s="1002"/>
      <c r="CG387" s="1002"/>
      <c r="CH387" s="1002"/>
      <c r="CI387" s="1003"/>
    </row>
    <row r="388" spans="2:87" x14ac:dyDescent="0.2">
      <c r="B388" s="1300"/>
      <c r="C388" s="1301" t="s">
        <v>791</v>
      </c>
      <c r="D388" s="1301"/>
      <c r="E388" s="1301" t="s">
        <v>236</v>
      </c>
      <c r="F388" s="1301">
        <v>2</v>
      </c>
      <c r="G388" s="1002">
        <f t="shared" ref="G388:AK388" si="216">G224+G226-G236-G237</f>
        <v>0</v>
      </c>
      <c r="H388" s="1002">
        <f t="shared" si="216"/>
        <v>0</v>
      </c>
      <c r="I388" s="1002">
        <f t="shared" si="216"/>
        <v>4.5354665878922384</v>
      </c>
      <c r="J388" s="1002">
        <f t="shared" si="216"/>
        <v>9.4590744509776972</v>
      </c>
      <c r="K388" s="1002">
        <f t="shared" si="216"/>
        <v>9.4740407793367591</v>
      </c>
      <c r="L388" s="1002">
        <f t="shared" si="216"/>
        <v>9.646999345377667</v>
      </c>
      <c r="M388" s="1002">
        <f t="shared" si="216"/>
        <v>9.6569013903787599</v>
      </c>
      <c r="N388" s="1002">
        <f t="shared" si="216"/>
        <v>9.6675735219941217</v>
      </c>
      <c r="O388" s="1002">
        <f t="shared" si="216"/>
        <v>9.6783461533895991</v>
      </c>
      <c r="P388" s="1002">
        <f t="shared" si="216"/>
        <v>9.6891703481975497</v>
      </c>
      <c r="Q388" s="1002">
        <f t="shared" si="216"/>
        <v>9.6993694263056103</v>
      </c>
      <c r="R388" s="1002">
        <f t="shared" si="216"/>
        <v>9.7095180503942302</v>
      </c>
      <c r="S388" s="1002">
        <f t="shared" si="216"/>
        <v>9.7195632962443383</v>
      </c>
      <c r="T388" s="1002">
        <f t="shared" si="216"/>
        <v>9.7294689981513844</v>
      </c>
      <c r="U388" s="1002">
        <f t="shared" si="216"/>
        <v>9.7392801179150474</v>
      </c>
      <c r="V388" s="1002">
        <f t="shared" si="216"/>
        <v>9.7489829823172869</v>
      </c>
      <c r="W388" s="1002">
        <f t="shared" si="216"/>
        <v>9.7585076442937453</v>
      </c>
      <c r="X388" s="1002">
        <f t="shared" si="216"/>
        <v>9.7679065096743223</v>
      </c>
      <c r="Y388" s="1002">
        <f t="shared" si="216"/>
        <v>9.7771412965038529</v>
      </c>
      <c r="Z388" s="1002">
        <f t="shared" si="216"/>
        <v>9.7862009641547107</v>
      </c>
      <c r="AA388" s="1002">
        <f t="shared" si="216"/>
        <v>9.7951434948112439</v>
      </c>
      <c r="AB388" s="1002">
        <f t="shared" si="216"/>
        <v>9.8039697435642488</v>
      </c>
      <c r="AC388" s="1002">
        <f t="shared" si="216"/>
        <v>9.8126739885880259</v>
      </c>
      <c r="AD388" s="1002">
        <f t="shared" si="216"/>
        <v>9.8212459923570226</v>
      </c>
      <c r="AE388" s="1002">
        <f t="shared" si="216"/>
        <v>9.8296946135726344</v>
      </c>
      <c r="AF388" s="1002">
        <f t="shared" si="216"/>
        <v>9.8380145442180833</v>
      </c>
      <c r="AG388" s="1002">
        <f t="shared" si="216"/>
        <v>9.8462174423043454</v>
      </c>
      <c r="AH388" s="1002">
        <f t="shared" si="216"/>
        <v>9.8543040833115825</v>
      </c>
      <c r="AI388" s="1002">
        <f t="shared" si="216"/>
        <v>9.8622803595455153</v>
      </c>
      <c r="AJ388" s="1002">
        <f t="shared" si="216"/>
        <v>9.8701644902722929</v>
      </c>
      <c r="AK388" s="1002">
        <f t="shared" si="216"/>
        <v>9.8779613601052088</v>
      </c>
      <c r="AL388" s="1002"/>
      <c r="AM388" s="1002"/>
      <c r="AN388" s="1002"/>
      <c r="AO388" s="1002"/>
      <c r="AP388" s="1002"/>
      <c r="AQ388" s="1002"/>
      <c r="AR388" s="1002"/>
      <c r="AS388" s="1002"/>
      <c r="AT388" s="1002"/>
      <c r="AU388" s="1002"/>
      <c r="AV388" s="1002"/>
      <c r="AW388" s="1002"/>
      <c r="AX388" s="1002"/>
      <c r="AY388" s="1002"/>
      <c r="AZ388" s="1002"/>
      <c r="BA388" s="1002"/>
      <c r="BB388" s="1002"/>
      <c r="BC388" s="1002"/>
      <c r="BD388" s="1002"/>
      <c r="BE388" s="1002"/>
      <c r="BF388" s="1002"/>
      <c r="BG388" s="1002"/>
      <c r="BH388" s="1002"/>
      <c r="BI388" s="1002"/>
      <c r="BJ388" s="1002"/>
      <c r="BK388" s="1002"/>
      <c r="BL388" s="1002"/>
      <c r="BM388" s="1002"/>
      <c r="BN388" s="1002"/>
      <c r="BO388" s="1002"/>
      <c r="BP388" s="1002"/>
      <c r="BQ388" s="1002"/>
      <c r="BR388" s="1002"/>
      <c r="BS388" s="1002"/>
      <c r="BT388" s="1002"/>
      <c r="BU388" s="1002"/>
      <c r="BV388" s="1002"/>
      <c r="BW388" s="1002"/>
      <c r="BX388" s="1002"/>
      <c r="BY388" s="1002"/>
      <c r="BZ388" s="1002"/>
      <c r="CA388" s="1002"/>
      <c r="CB388" s="1002"/>
      <c r="CC388" s="1002"/>
      <c r="CD388" s="1002"/>
      <c r="CE388" s="1002"/>
      <c r="CF388" s="1002"/>
      <c r="CG388" s="1002"/>
      <c r="CH388" s="1002"/>
      <c r="CI388" s="1003"/>
    </row>
    <row r="389" spans="2:87" x14ac:dyDescent="0.2">
      <c r="B389" s="1300"/>
      <c r="C389" s="1301" t="s">
        <v>243</v>
      </c>
      <c r="D389" s="1301"/>
      <c r="E389" s="1301" t="s">
        <v>236</v>
      </c>
      <c r="F389" s="1301">
        <v>2</v>
      </c>
      <c r="G389" s="1002">
        <f t="shared" ref="G389:AK389" si="217">G242</f>
        <v>0</v>
      </c>
      <c r="H389" s="1002">
        <f t="shared" si="217"/>
        <v>0</v>
      </c>
      <c r="I389" s="1002">
        <f t="shared" si="217"/>
        <v>1.3210509183999999</v>
      </c>
      <c r="J389" s="1002">
        <f t="shared" si="217"/>
        <v>0.81112059999999986</v>
      </c>
      <c r="K389" s="1002">
        <f t="shared" si="217"/>
        <v>0.77940079999999978</v>
      </c>
      <c r="L389" s="1002">
        <f t="shared" si="217"/>
        <v>0.74768099999999993</v>
      </c>
      <c r="M389" s="1002">
        <f t="shared" si="217"/>
        <v>0.74768099999999993</v>
      </c>
      <c r="N389" s="1002">
        <f t="shared" si="217"/>
        <v>0.74768099999999993</v>
      </c>
      <c r="O389" s="1002">
        <f t="shared" si="217"/>
        <v>0.74768099999999993</v>
      </c>
      <c r="P389" s="1002">
        <f t="shared" si="217"/>
        <v>0.74768099999999993</v>
      </c>
      <c r="Q389" s="1002">
        <f t="shared" si="217"/>
        <v>0.74768099999999993</v>
      </c>
      <c r="R389" s="1002">
        <f t="shared" si="217"/>
        <v>0.74768099999999993</v>
      </c>
      <c r="S389" s="1002">
        <f t="shared" si="217"/>
        <v>0.74768099999999993</v>
      </c>
      <c r="T389" s="1002">
        <f t="shared" si="217"/>
        <v>0.74768099999999993</v>
      </c>
      <c r="U389" s="1002">
        <f t="shared" si="217"/>
        <v>0.74768099999999993</v>
      </c>
      <c r="V389" s="1002">
        <f t="shared" si="217"/>
        <v>0.74768099999999993</v>
      </c>
      <c r="W389" s="1002">
        <f t="shared" si="217"/>
        <v>0.74768099999999993</v>
      </c>
      <c r="X389" s="1002">
        <f t="shared" si="217"/>
        <v>0.74768099999999993</v>
      </c>
      <c r="Y389" s="1002">
        <f t="shared" si="217"/>
        <v>0.74768099999999993</v>
      </c>
      <c r="Z389" s="1002">
        <f t="shared" si="217"/>
        <v>0.74768099999999993</v>
      </c>
      <c r="AA389" s="1002">
        <f t="shared" si="217"/>
        <v>0.74768099999999993</v>
      </c>
      <c r="AB389" s="1002">
        <f t="shared" si="217"/>
        <v>0.74768099999999993</v>
      </c>
      <c r="AC389" s="1002">
        <f t="shared" si="217"/>
        <v>0.74768099999999993</v>
      </c>
      <c r="AD389" s="1002">
        <f t="shared" si="217"/>
        <v>0.74768099999999982</v>
      </c>
      <c r="AE389" s="1002">
        <f t="shared" si="217"/>
        <v>0.74768099999999993</v>
      </c>
      <c r="AF389" s="1002">
        <f t="shared" si="217"/>
        <v>0.74768099999999993</v>
      </c>
      <c r="AG389" s="1002">
        <f t="shared" si="217"/>
        <v>0.74768099999999993</v>
      </c>
      <c r="AH389" s="1002">
        <f t="shared" si="217"/>
        <v>0.74768099999999993</v>
      </c>
      <c r="AI389" s="1002">
        <f t="shared" si="217"/>
        <v>0.74768099999999993</v>
      </c>
      <c r="AJ389" s="1002">
        <f t="shared" si="217"/>
        <v>0.74768100000000004</v>
      </c>
      <c r="AK389" s="1002">
        <f t="shared" si="217"/>
        <v>0.74768099999999993</v>
      </c>
      <c r="AL389" s="1002"/>
      <c r="AM389" s="1002"/>
      <c r="AN389" s="1002"/>
      <c r="AO389" s="1002"/>
      <c r="AP389" s="1002"/>
      <c r="AQ389" s="1002"/>
      <c r="AR389" s="1002"/>
      <c r="AS389" s="1002"/>
      <c r="AT389" s="1002"/>
      <c r="AU389" s="1002"/>
      <c r="AV389" s="1002"/>
      <c r="AW389" s="1002"/>
      <c r="AX389" s="1002"/>
      <c r="AY389" s="1002"/>
      <c r="AZ389" s="1002"/>
      <c r="BA389" s="1002"/>
      <c r="BB389" s="1002"/>
      <c r="BC389" s="1002"/>
      <c r="BD389" s="1002"/>
      <c r="BE389" s="1002"/>
      <c r="BF389" s="1002"/>
      <c r="BG389" s="1002"/>
      <c r="BH389" s="1002"/>
      <c r="BI389" s="1002"/>
      <c r="BJ389" s="1002"/>
      <c r="BK389" s="1002"/>
      <c r="BL389" s="1002"/>
      <c r="BM389" s="1002"/>
      <c r="BN389" s="1002"/>
      <c r="BO389" s="1002"/>
      <c r="BP389" s="1002"/>
      <c r="BQ389" s="1002"/>
      <c r="BR389" s="1002"/>
      <c r="BS389" s="1002"/>
      <c r="BT389" s="1002"/>
      <c r="BU389" s="1002"/>
      <c r="BV389" s="1002"/>
      <c r="BW389" s="1002"/>
      <c r="BX389" s="1002"/>
      <c r="BY389" s="1002"/>
      <c r="BZ389" s="1002"/>
      <c r="CA389" s="1002"/>
      <c r="CB389" s="1002"/>
      <c r="CC389" s="1002"/>
      <c r="CD389" s="1002"/>
      <c r="CE389" s="1002"/>
      <c r="CF389" s="1002"/>
      <c r="CG389" s="1002"/>
      <c r="CH389" s="1002"/>
      <c r="CI389" s="1003"/>
    </row>
    <row r="390" spans="2:87" x14ac:dyDescent="0.2">
      <c r="B390" s="1300"/>
      <c r="C390" s="1301" t="s">
        <v>792</v>
      </c>
      <c r="D390" s="1301"/>
      <c r="E390" s="1301" t="s">
        <v>236</v>
      </c>
      <c r="F390" s="1301">
        <v>2</v>
      </c>
      <c r="G390" s="1002">
        <f t="shared" ref="G390:AK390" si="218">G266-SUM(G386:G389)</f>
        <v>0</v>
      </c>
      <c r="H390" s="1002">
        <f t="shared" si="218"/>
        <v>0</v>
      </c>
      <c r="I390" s="1002">
        <f t="shared" si="218"/>
        <v>0.19949174740822428</v>
      </c>
      <c r="J390" s="1002">
        <f t="shared" si="218"/>
        <v>0.19881498267651487</v>
      </c>
      <c r="K390" s="1002">
        <f t="shared" si="218"/>
        <v>0.19878899233229674</v>
      </c>
      <c r="L390" s="1002">
        <f t="shared" si="218"/>
        <v>0.19878728353243424</v>
      </c>
      <c r="M390" s="1002">
        <f t="shared" si="218"/>
        <v>0.19878486804217665</v>
      </c>
      <c r="N390" s="1002">
        <f t="shared" si="218"/>
        <v>0.19860773826280997</v>
      </c>
      <c r="O390" s="1002">
        <f t="shared" si="218"/>
        <v>0.19848626539911329</v>
      </c>
      <c r="P390" s="1002">
        <f t="shared" si="218"/>
        <v>0.19837549282806677</v>
      </c>
      <c r="Q390" s="1002">
        <f t="shared" si="218"/>
        <v>0.19828018683123183</v>
      </c>
      <c r="R390" s="1002">
        <f t="shared" si="218"/>
        <v>0.1981990120440269</v>
      </c>
      <c r="S390" s="1002">
        <f t="shared" si="218"/>
        <v>0.19813366857277259</v>
      </c>
      <c r="T390" s="1002">
        <f t="shared" si="218"/>
        <v>0.19807281652719055</v>
      </c>
      <c r="U390" s="1002">
        <f t="shared" si="218"/>
        <v>0.19801307991145123</v>
      </c>
      <c r="V390" s="1002">
        <f t="shared" si="218"/>
        <v>0.19795366099165967</v>
      </c>
      <c r="W390" s="1002">
        <f t="shared" si="218"/>
        <v>0.19789514196488156</v>
      </c>
      <c r="X390" s="1002">
        <f t="shared" si="218"/>
        <v>0.19783834536193545</v>
      </c>
      <c r="Y390" s="1002">
        <f t="shared" si="218"/>
        <v>0.19778327252002548</v>
      </c>
      <c r="Z390" s="1002">
        <f t="shared" si="218"/>
        <v>0.19772858478411415</v>
      </c>
      <c r="AA390" s="1002">
        <f t="shared" si="218"/>
        <v>0.1976745263805384</v>
      </c>
      <c r="AB390" s="1002">
        <f t="shared" si="218"/>
        <v>0.19762106368972354</v>
      </c>
      <c r="AC390" s="1002">
        <f t="shared" si="218"/>
        <v>0.19756817844323038</v>
      </c>
      <c r="AD390" s="1002">
        <f t="shared" si="218"/>
        <v>0.19751622938016133</v>
      </c>
      <c r="AE390" s="1002">
        <f t="shared" si="218"/>
        <v>0.19746536763313038</v>
      </c>
      <c r="AF390" s="1002">
        <f t="shared" si="218"/>
        <v>0.19741547207621402</v>
      </c>
      <c r="AG390" s="1002">
        <f t="shared" si="218"/>
        <v>0.19736616811777452</v>
      </c>
      <c r="AH390" s="1002">
        <f t="shared" si="218"/>
        <v>0.1973174734482761</v>
      </c>
      <c r="AI390" s="1002">
        <f t="shared" si="218"/>
        <v>0.19726905655690885</v>
      </c>
      <c r="AJ390" s="1002">
        <f t="shared" si="218"/>
        <v>0.1972206885488923</v>
      </c>
      <c r="AK390" s="1002">
        <f t="shared" si="218"/>
        <v>0.1971724426367345</v>
      </c>
      <c r="AL390" s="1002"/>
      <c r="AM390" s="1002"/>
      <c r="AN390" s="1002"/>
      <c r="AO390" s="1002"/>
      <c r="AP390" s="1002"/>
      <c r="AQ390" s="1002"/>
      <c r="AR390" s="1002"/>
      <c r="AS390" s="1002"/>
      <c r="AT390" s="1002"/>
      <c r="AU390" s="1002"/>
      <c r="AV390" s="1002"/>
      <c r="AW390" s="1002"/>
      <c r="AX390" s="1002"/>
      <c r="AY390" s="1002"/>
      <c r="AZ390" s="1002"/>
      <c r="BA390" s="1002"/>
      <c r="BB390" s="1002"/>
      <c r="BC390" s="1002"/>
      <c r="BD390" s="1002"/>
      <c r="BE390" s="1002"/>
      <c r="BF390" s="1002"/>
      <c r="BG390" s="1002"/>
      <c r="BH390" s="1002"/>
      <c r="BI390" s="1002"/>
      <c r="BJ390" s="1002"/>
      <c r="BK390" s="1002"/>
      <c r="BL390" s="1002"/>
      <c r="BM390" s="1002"/>
      <c r="BN390" s="1002"/>
      <c r="BO390" s="1002"/>
      <c r="BP390" s="1002"/>
      <c r="BQ390" s="1002"/>
      <c r="BR390" s="1002"/>
      <c r="BS390" s="1002"/>
      <c r="BT390" s="1002"/>
      <c r="BU390" s="1002"/>
      <c r="BV390" s="1002"/>
      <c r="BW390" s="1002"/>
      <c r="BX390" s="1002"/>
      <c r="BY390" s="1002"/>
      <c r="BZ390" s="1002"/>
      <c r="CA390" s="1002"/>
      <c r="CB390" s="1002"/>
      <c r="CC390" s="1002"/>
      <c r="CD390" s="1002"/>
      <c r="CE390" s="1002"/>
      <c r="CF390" s="1002"/>
      <c r="CG390" s="1002"/>
      <c r="CH390" s="1002"/>
      <c r="CI390" s="1003"/>
    </row>
    <row r="391" spans="2:87" x14ac:dyDescent="0.2">
      <c r="B391" s="1300"/>
      <c r="C391" s="1301" t="s">
        <v>793</v>
      </c>
      <c r="D391" s="1301"/>
      <c r="E391" s="1301" t="s">
        <v>236</v>
      </c>
      <c r="F391" s="1301">
        <v>2</v>
      </c>
      <c r="G391" s="1002">
        <f t="shared" ref="G391:AK391" si="219">G223</f>
        <v>0</v>
      </c>
      <c r="H391" s="1002">
        <f t="shared" si="219"/>
        <v>0</v>
      </c>
      <c r="I391" s="1002">
        <f t="shared" si="219"/>
        <v>14.809709999999999</v>
      </c>
      <c r="J391" s="1002">
        <f t="shared" si="219"/>
        <v>14.809709999999999</v>
      </c>
      <c r="K391" s="1002">
        <f t="shared" si="219"/>
        <v>14.809709999999999</v>
      </c>
      <c r="L391" s="1002">
        <f t="shared" si="219"/>
        <v>14.809709999999999</v>
      </c>
      <c r="M391" s="1002">
        <f t="shared" si="219"/>
        <v>14.809709999999999</v>
      </c>
      <c r="N391" s="1002">
        <f t="shared" si="219"/>
        <v>14.809709999999999</v>
      </c>
      <c r="O391" s="1002">
        <f t="shared" si="219"/>
        <v>14.809709999999999</v>
      </c>
      <c r="P391" s="1002">
        <f t="shared" si="219"/>
        <v>14.809709999999999</v>
      </c>
      <c r="Q391" s="1002">
        <f t="shared" si="219"/>
        <v>14.809709999999999</v>
      </c>
      <c r="R391" s="1002">
        <f t="shared" si="219"/>
        <v>14.809709999999999</v>
      </c>
      <c r="S391" s="1002">
        <f t="shared" si="219"/>
        <v>14.809709999999999</v>
      </c>
      <c r="T391" s="1002">
        <f t="shared" si="219"/>
        <v>14.809709999999999</v>
      </c>
      <c r="U391" s="1002">
        <f t="shared" si="219"/>
        <v>14.809709999999999</v>
      </c>
      <c r="V391" s="1002">
        <f t="shared" si="219"/>
        <v>14.809709999999999</v>
      </c>
      <c r="W391" s="1002">
        <f t="shared" si="219"/>
        <v>14.809709999999999</v>
      </c>
      <c r="X391" s="1002">
        <f t="shared" si="219"/>
        <v>14.809709999999999</v>
      </c>
      <c r="Y391" s="1002">
        <f t="shared" si="219"/>
        <v>14.809709999999999</v>
      </c>
      <c r="Z391" s="1002">
        <f t="shared" si="219"/>
        <v>14.809709999999999</v>
      </c>
      <c r="AA391" s="1002">
        <f t="shared" si="219"/>
        <v>14.809709999999999</v>
      </c>
      <c r="AB391" s="1002">
        <f t="shared" si="219"/>
        <v>14.809709999999999</v>
      </c>
      <c r="AC391" s="1002">
        <f t="shared" si="219"/>
        <v>14.809709999999999</v>
      </c>
      <c r="AD391" s="1002">
        <f t="shared" si="219"/>
        <v>14.809709999999999</v>
      </c>
      <c r="AE391" s="1002">
        <f t="shared" si="219"/>
        <v>14.809709999999999</v>
      </c>
      <c r="AF391" s="1002">
        <f t="shared" si="219"/>
        <v>14.809709999999999</v>
      </c>
      <c r="AG391" s="1002">
        <f t="shared" si="219"/>
        <v>14.809709999999999</v>
      </c>
      <c r="AH391" s="1002">
        <f t="shared" si="219"/>
        <v>14.809709999999999</v>
      </c>
      <c r="AI391" s="1002">
        <f t="shared" si="219"/>
        <v>14.809709999999999</v>
      </c>
      <c r="AJ391" s="1002">
        <f t="shared" si="219"/>
        <v>14.809709999999999</v>
      </c>
      <c r="AK391" s="1002">
        <f t="shared" si="219"/>
        <v>14.809709999999999</v>
      </c>
      <c r="AL391" s="1002"/>
      <c r="AM391" s="1002"/>
      <c r="AN391" s="1002"/>
      <c r="AO391" s="1002"/>
      <c r="AP391" s="1002"/>
      <c r="AQ391" s="1002"/>
      <c r="AR391" s="1002"/>
      <c r="AS391" s="1002"/>
      <c r="AT391" s="1002"/>
      <c r="AU391" s="1002"/>
      <c r="AV391" s="1002"/>
      <c r="AW391" s="1002"/>
      <c r="AX391" s="1002"/>
      <c r="AY391" s="1002"/>
      <c r="AZ391" s="1002"/>
      <c r="BA391" s="1002"/>
      <c r="BB391" s="1002"/>
      <c r="BC391" s="1002"/>
      <c r="BD391" s="1002"/>
      <c r="BE391" s="1002"/>
      <c r="BF391" s="1002"/>
      <c r="BG391" s="1002"/>
      <c r="BH391" s="1002"/>
      <c r="BI391" s="1002"/>
      <c r="BJ391" s="1002"/>
      <c r="BK391" s="1002"/>
      <c r="BL391" s="1002"/>
      <c r="BM391" s="1002"/>
      <c r="BN391" s="1002"/>
      <c r="BO391" s="1002"/>
      <c r="BP391" s="1002"/>
      <c r="BQ391" s="1002"/>
      <c r="BR391" s="1002"/>
      <c r="BS391" s="1002"/>
      <c r="BT391" s="1002"/>
      <c r="BU391" s="1002"/>
      <c r="BV391" s="1002"/>
      <c r="BW391" s="1002"/>
      <c r="BX391" s="1002"/>
      <c r="BY391" s="1002"/>
      <c r="BZ391" s="1002"/>
      <c r="CA391" s="1002"/>
      <c r="CB391" s="1002"/>
      <c r="CC391" s="1002"/>
      <c r="CD391" s="1002"/>
      <c r="CE391" s="1002"/>
      <c r="CF391" s="1002"/>
      <c r="CG391" s="1002"/>
      <c r="CH391" s="1002"/>
      <c r="CI391" s="1003"/>
    </row>
    <row r="392" spans="2:87" x14ac:dyDescent="0.2">
      <c r="B392" s="1300"/>
      <c r="C392" s="1301" t="s">
        <v>794</v>
      </c>
      <c r="D392" s="1301"/>
      <c r="E392" s="1301" t="s">
        <v>236</v>
      </c>
      <c r="F392" s="1301">
        <v>2</v>
      </c>
      <c r="G392" s="1002">
        <f t="shared" ref="G392:AK392" si="220">SUM(G386:G390)+G269</f>
        <v>0</v>
      </c>
      <c r="H392" s="1002">
        <f t="shared" si="220"/>
        <v>0</v>
      </c>
      <c r="I392" s="1002">
        <f t="shared" si="220"/>
        <v>11.723666139480322</v>
      </c>
      <c r="J392" s="1002">
        <f t="shared" si="220"/>
        <v>16.265774573344977</v>
      </c>
      <c r="K392" s="1002">
        <f t="shared" si="220"/>
        <v>16.198902261797343</v>
      </c>
      <c r="L392" s="1002">
        <f t="shared" si="220"/>
        <v>16.109877770083784</v>
      </c>
      <c r="M392" s="1002">
        <f t="shared" si="220"/>
        <v>16.051236007898474</v>
      </c>
      <c r="N392" s="1002">
        <f t="shared" si="220"/>
        <v>16.071365345732787</v>
      </c>
      <c r="O392" s="1002">
        <f t="shared" si="220"/>
        <v>16.070768461038938</v>
      </c>
      <c r="P392" s="1002">
        <f t="shared" si="220"/>
        <v>16.124650437330303</v>
      </c>
      <c r="Q392" s="1002">
        <f t="shared" si="220"/>
        <v>16.1515615524943</v>
      </c>
      <c r="R392" s="1002">
        <f t="shared" si="220"/>
        <v>16.182871598499325</v>
      </c>
      <c r="S392" s="1002">
        <f t="shared" si="220"/>
        <v>16.036993527834966</v>
      </c>
      <c r="T392" s="1002">
        <f t="shared" si="220"/>
        <v>15.391793833305583</v>
      </c>
      <c r="U392" s="1002">
        <f t="shared" si="220"/>
        <v>15.395503373283731</v>
      </c>
      <c r="V392" s="1002">
        <f t="shared" si="220"/>
        <v>15.377446927712557</v>
      </c>
      <c r="W392" s="1002">
        <f t="shared" si="220"/>
        <v>15.37958584244125</v>
      </c>
      <c r="X392" s="1002">
        <f t="shared" si="220"/>
        <v>15.409004172275047</v>
      </c>
      <c r="Y392" s="1002">
        <f t="shared" si="220"/>
        <v>15.432052900659571</v>
      </c>
      <c r="Z392" s="1002">
        <f t="shared" si="220"/>
        <v>15.465152318063753</v>
      </c>
      <c r="AA392" s="1002">
        <f t="shared" si="220"/>
        <v>15.493015642708853</v>
      </c>
      <c r="AB392" s="1002">
        <f t="shared" si="220"/>
        <v>15.51208979558416</v>
      </c>
      <c r="AC392" s="1002">
        <f t="shared" si="220"/>
        <v>15.516141891568255</v>
      </c>
      <c r="AD392" s="1002">
        <f t="shared" si="220"/>
        <v>15.529173886837617</v>
      </c>
      <c r="AE392" s="1002">
        <f t="shared" si="220"/>
        <v>15.537976670612482</v>
      </c>
      <c r="AF392" s="1002">
        <f t="shared" si="220"/>
        <v>15.554093668904796</v>
      </c>
      <c r="AG392" s="1002">
        <f t="shared" si="220"/>
        <v>15.568367163228492</v>
      </c>
      <c r="AH392" s="1002">
        <f t="shared" si="220"/>
        <v>15.595833701536428</v>
      </c>
      <c r="AI392" s="1002">
        <f t="shared" si="220"/>
        <v>15.623113153209632</v>
      </c>
      <c r="AJ392" s="1002">
        <f t="shared" si="220"/>
        <v>15.652570333426175</v>
      </c>
      <c r="AK392" s="1002">
        <f t="shared" si="220"/>
        <v>15.678873986935507</v>
      </c>
      <c r="AL392" s="1002"/>
      <c r="AM392" s="1002"/>
      <c r="AN392" s="1002"/>
      <c r="AO392" s="1002"/>
      <c r="AP392" s="1002"/>
      <c r="AQ392" s="1002"/>
      <c r="AR392" s="1002"/>
      <c r="AS392" s="1002"/>
      <c r="AT392" s="1002"/>
      <c r="AU392" s="1002"/>
      <c r="AV392" s="1002"/>
      <c r="AW392" s="1002"/>
      <c r="AX392" s="1002"/>
      <c r="AY392" s="1002"/>
      <c r="AZ392" s="1002"/>
      <c r="BA392" s="1002"/>
      <c r="BB392" s="1002"/>
      <c r="BC392" s="1002"/>
      <c r="BD392" s="1002"/>
      <c r="BE392" s="1002"/>
      <c r="BF392" s="1002"/>
      <c r="BG392" s="1002"/>
      <c r="BH392" s="1002"/>
      <c r="BI392" s="1002"/>
      <c r="BJ392" s="1002"/>
      <c r="BK392" s="1002"/>
      <c r="BL392" s="1002"/>
      <c r="BM392" s="1002"/>
      <c r="BN392" s="1002"/>
      <c r="BO392" s="1002"/>
      <c r="BP392" s="1002"/>
      <c r="BQ392" s="1002"/>
      <c r="BR392" s="1002"/>
      <c r="BS392" s="1002"/>
      <c r="BT392" s="1002"/>
      <c r="BU392" s="1002"/>
      <c r="BV392" s="1002"/>
      <c r="BW392" s="1002"/>
      <c r="BX392" s="1002"/>
      <c r="BY392" s="1002"/>
      <c r="BZ392" s="1002"/>
      <c r="CA392" s="1002"/>
      <c r="CB392" s="1002"/>
      <c r="CC392" s="1002"/>
      <c r="CD392" s="1002"/>
      <c r="CE392" s="1002"/>
      <c r="CF392" s="1002"/>
      <c r="CG392" s="1002"/>
      <c r="CH392" s="1002"/>
      <c r="CI392" s="1003"/>
    </row>
    <row r="393" spans="2:87" x14ac:dyDescent="0.2">
      <c r="B393" s="1300"/>
      <c r="C393" s="1301"/>
      <c r="D393" s="1301"/>
      <c r="E393" s="1301"/>
      <c r="F393" s="1301"/>
      <c r="G393" s="1301"/>
      <c r="H393" s="1301"/>
      <c r="I393" s="1301"/>
      <c r="J393" s="1301"/>
      <c r="K393" s="1301"/>
      <c r="L393" s="1301"/>
      <c r="M393" s="1301"/>
      <c r="N393" s="1301"/>
      <c r="O393" s="1301"/>
      <c r="P393" s="1301"/>
      <c r="Q393" s="1301"/>
      <c r="R393" s="1301"/>
      <c r="S393" s="1301"/>
      <c r="T393" s="1301"/>
      <c r="U393" s="1301"/>
      <c r="V393" s="1301"/>
      <c r="W393" s="1301"/>
      <c r="X393" s="1301"/>
      <c r="Y393" s="1301"/>
      <c r="Z393" s="1301"/>
      <c r="AA393" s="1301"/>
      <c r="AB393" s="1301"/>
      <c r="AC393" s="1301"/>
      <c r="AD393" s="1301"/>
      <c r="AE393" s="1301"/>
      <c r="AF393" s="1301"/>
      <c r="AG393" s="1301"/>
      <c r="AH393" s="1301"/>
      <c r="AI393" s="1301"/>
      <c r="AJ393" s="1301"/>
      <c r="AK393" s="1301"/>
      <c r="AL393" s="1301"/>
      <c r="AM393" s="1301"/>
      <c r="AN393" s="1301"/>
      <c r="AO393" s="1301"/>
      <c r="AP393" s="1301"/>
      <c r="AQ393" s="1301"/>
      <c r="AR393" s="1301"/>
      <c r="AS393" s="1301"/>
      <c r="AT393" s="1301"/>
      <c r="AU393" s="1301"/>
      <c r="AV393" s="1301"/>
      <c r="AW393" s="1301"/>
      <c r="AX393" s="1301"/>
      <c r="AY393" s="1301"/>
      <c r="AZ393" s="1301"/>
      <c r="BA393" s="1301"/>
      <c r="BB393" s="1301"/>
      <c r="BC393" s="1301"/>
      <c r="BD393" s="1301"/>
      <c r="BE393" s="1301"/>
      <c r="BF393" s="1301"/>
      <c r="BG393" s="1301"/>
      <c r="BH393" s="1301"/>
      <c r="BI393" s="1301"/>
      <c r="BJ393" s="1301"/>
      <c r="BK393" s="1301"/>
      <c r="BL393" s="1301"/>
      <c r="BM393" s="1301"/>
      <c r="BN393" s="1301"/>
      <c r="BO393" s="1301"/>
      <c r="BP393" s="1301"/>
      <c r="BQ393" s="1301"/>
      <c r="BR393" s="1301"/>
      <c r="BS393" s="1301"/>
      <c r="BT393" s="1301"/>
      <c r="BU393" s="1301"/>
      <c r="BV393" s="1301"/>
      <c r="BW393" s="1301"/>
      <c r="BX393" s="1301"/>
      <c r="BY393" s="1301"/>
      <c r="BZ393" s="1301"/>
      <c r="CA393" s="1301"/>
      <c r="CB393" s="1301"/>
      <c r="CC393" s="1301"/>
      <c r="CD393" s="1301"/>
      <c r="CE393" s="1301"/>
      <c r="CF393" s="1301"/>
      <c r="CG393" s="1301"/>
      <c r="CH393" s="1301"/>
      <c r="CI393" s="1302"/>
    </row>
    <row r="394" spans="2:87" x14ac:dyDescent="0.2">
      <c r="B394" s="1300" t="s">
        <v>797</v>
      </c>
      <c r="C394" s="1301"/>
      <c r="D394" s="1301"/>
      <c r="E394" s="1301"/>
      <c r="F394" s="1301"/>
      <c r="G394" s="1000" t="s">
        <v>208</v>
      </c>
      <c r="H394" s="1000" t="s">
        <v>209</v>
      </c>
      <c r="I394" s="1000" t="s">
        <v>210</v>
      </c>
      <c r="J394" s="1000" t="s">
        <v>211</v>
      </c>
      <c r="K394" s="1000" t="s">
        <v>212</v>
      </c>
      <c r="L394" s="1000" t="s">
        <v>213</v>
      </c>
      <c r="M394" s="1000" t="s">
        <v>214</v>
      </c>
      <c r="N394" s="1000" t="s">
        <v>215</v>
      </c>
      <c r="O394" s="1000" t="s">
        <v>216</v>
      </c>
      <c r="P394" s="1000" t="s">
        <v>217</v>
      </c>
      <c r="Q394" s="1000" t="s">
        <v>218</v>
      </c>
      <c r="R394" s="1000" t="s">
        <v>247</v>
      </c>
      <c r="S394" s="1000" t="s">
        <v>248</v>
      </c>
      <c r="T394" s="1000" t="s">
        <v>249</v>
      </c>
      <c r="U394" s="1000" t="s">
        <v>250</v>
      </c>
      <c r="V394" s="1000" t="s">
        <v>219</v>
      </c>
      <c r="W394" s="1000" t="s">
        <v>251</v>
      </c>
      <c r="X394" s="1000" t="s">
        <v>252</v>
      </c>
      <c r="Y394" s="1000" t="s">
        <v>253</v>
      </c>
      <c r="Z394" s="1000" t="s">
        <v>254</v>
      </c>
      <c r="AA394" s="1000" t="s">
        <v>220</v>
      </c>
      <c r="AB394" s="1000" t="s">
        <v>255</v>
      </c>
      <c r="AC394" s="1000" t="s">
        <v>256</v>
      </c>
      <c r="AD394" s="1000" t="s">
        <v>257</v>
      </c>
      <c r="AE394" s="1000" t="s">
        <v>258</v>
      </c>
      <c r="AF394" s="1000" t="s">
        <v>221</v>
      </c>
      <c r="AG394" s="1000" t="s">
        <v>259</v>
      </c>
      <c r="AH394" s="1000" t="s">
        <v>260</v>
      </c>
      <c r="AI394" s="1000" t="s">
        <v>261</v>
      </c>
      <c r="AJ394" s="1000" t="s">
        <v>262</v>
      </c>
      <c r="AK394" s="1000" t="s">
        <v>222</v>
      </c>
      <c r="AL394" s="1000"/>
      <c r="AM394" s="1000"/>
      <c r="AN394" s="1000"/>
      <c r="AO394" s="1000"/>
      <c r="AP394" s="1000"/>
      <c r="AQ394" s="1000"/>
      <c r="AR394" s="1000"/>
      <c r="AS394" s="1000"/>
      <c r="AT394" s="1000"/>
      <c r="AU394" s="1000"/>
      <c r="AV394" s="1000"/>
      <c r="AW394" s="1000"/>
      <c r="AX394" s="1000"/>
      <c r="AY394" s="1000"/>
      <c r="AZ394" s="1000"/>
      <c r="BA394" s="1000"/>
      <c r="BB394" s="1000"/>
      <c r="BC394" s="1000"/>
      <c r="BD394" s="1000"/>
      <c r="BE394" s="1000"/>
      <c r="BF394" s="1000"/>
      <c r="BG394" s="1000"/>
      <c r="BH394" s="1000"/>
      <c r="BI394" s="1000"/>
      <c r="BJ394" s="1000"/>
      <c r="BK394" s="1000"/>
      <c r="BL394" s="1000"/>
      <c r="BM394" s="1000"/>
      <c r="BN394" s="1000"/>
      <c r="BO394" s="1000"/>
      <c r="BP394" s="1000"/>
      <c r="BQ394" s="1000"/>
      <c r="BR394" s="1000"/>
      <c r="BS394" s="1000"/>
      <c r="BT394" s="1000"/>
      <c r="BU394" s="1000"/>
      <c r="BV394" s="1000"/>
      <c r="BW394" s="1000"/>
      <c r="BX394" s="1000"/>
      <c r="BY394" s="1000"/>
      <c r="BZ394" s="1000"/>
      <c r="CA394" s="1000"/>
      <c r="CB394" s="1000"/>
      <c r="CC394" s="1000"/>
      <c r="CD394" s="1000"/>
      <c r="CE394" s="1000"/>
      <c r="CF394" s="1000"/>
      <c r="CG394" s="1000"/>
      <c r="CH394" s="1000"/>
      <c r="CI394" s="1001"/>
    </row>
    <row r="395" spans="2:87" x14ac:dyDescent="0.2">
      <c r="B395" s="1300"/>
      <c r="C395" s="1301" t="s">
        <v>789</v>
      </c>
      <c r="D395" s="1301"/>
      <c r="E395" s="1301" t="s">
        <v>236</v>
      </c>
      <c r="F395" s="1301">
        <v>2</v>
      </c>
      <c r="G395" s="1002">
        <f t="shared" ref="G395:AK396" si="221">G317-G328</f>
        <v>0</v>
      </c>
      <c r="H395" s="1002">
        <f t="shared" si="221"/>
        <v>0</v>
      </c>
      <c r="I395" s="1002">
        <f t="shared" si="221"/>
        <v>2.4490244538520547</v>
      </c>
      <c r="J395" s="1002">
        <f t="shared" si="221"/>
        <v>2.4530108051284878</v>
      </c>
      <c r="K395" s="1002">
        <f t="shared" si="221"/>
        <v>2.4136278483535962</v>
      </c>
      <c r="L395" s="1002">
        <f t="shared" si="221"/>
        <v>2.3938408890364875</v>
      </c>
      <c r="M395" s="1002">
        <f t="shared" si="221"/>
        <v>2.9915598593787314</v>
      </c>
      <c r="N395" s="1002">
        <f t="shared" si="221"/>
        <v>3.5983953503794246</v>
      </c>
      <c r="O395" s="1002">
        <f t="shared" si="221"/>
        <v>3.7020363615058574</v>
      </c>
      <c r="P395" s="1002">
        <f t="shared" si="221"/>
        <v>3.7098431115248389</v>
      </c>
      <c r="Q395" s="1002">
        <f t="shared" si="221"/>
        <v>3.7027782416916915</v>
      </c>
      <c r="R395" s="1002">
        <f t="shared" si="221"/>
        <v>3.6932029513909903</v>
      </c>
      <c r="S395" s="1002">
        <f t="shared" si="221"/>
        <v>3.6788364457106777</v>
      </c>
      <c r="T395" s="1002">
        <f t="shared" si="221"/>
        <v>3.6611847214601991</v>
      </c>
      <c r="U395" s="1002">
        <f t="shared" si="221"/>
        <v>3.6330382850323613</v>
      </c>
      <c r="V395" s="1002">
        <f t="shared" si="221"/>
        <v>3.6057428786375882</v>
      </c>
      <c r="W395" s="1002">
        <f t="shared" si="221"/>
        <v>3.5810696414580589</v>
      </c>
      <c r="X395" s="1002">
        <f t="shared" si="221"/>
        <v>3.5567066929797253</v>
      </c>
      <c r="Y395" s="1002">
        <f t="shared" si="221"/>
        <v>3.532896311440898</v>
      </c>
      <c r="Z395" s="1002">
        <f t="shared" si="221"/>
        <v>3.5095784490656263</v>
      </c>
      <c r="AA395" s="1002">
        <f t="shared" si="221"/>
        <v>3.4838535502512928</v>
      </c>
      <c r="AB395" s="1002">
        <f t="shared" si="221"/>
        <v>3.45487409275316</v>
      </c>
      <c r="AC395" s="1002">
        <f t="shared" si="221"/>
        <v>3.4295358050711302</v>
      </c>
      <c r="AD395" s="1002">
        <f t="shared" si="221"/>
        <v>3.4059779886870616</v>
      </c>
      <c r="AE395" s="1002">
        <f t="shared" si="221"/>
        <v>3.3959047062652834</v>
      </c>
      <c r="AF395" s="1002">
        <f t="shared" si="221"/>
        <v>3.4092556251523183</v>
      </c>
      <c r="AG395" s="1002">
        <f t="shared" si="221"/>
        <v>3.4219943729481614</v>
      </c>
      <c r="AH395" s="1002">
        <f t="shared" si="221"/>
        <v>3.4355422781386324</v>
      </c>
      <c r="AI395" s="1002">
        <f t="shared" si="221"/>
        <v>3.449616283659227</v>
      </c>
      <c r="AJ395" s="1002">
        <f t="shared" si="221"/>
        <v>3.4646494823960547</v>
      </c>
      <c r="AK395" s="1002">
        <f t="shared" si="221"/>
        <v>3.4797025434234889</v>
      </c>
      <c r="AL395" s="1002"/>
      <c r="AM395" s="1002"/>
      <c r="AN395" s="1002"/>
      <c r="AO395" s="1002"/>
      <c r="AP395" s="1002"/>
      <c r="AQ395" s="1002"/>
      <c r="AR395" s="1002"/>
      <c r="AS395" s="1002"/>
      <c r="AT395" s="1002"/>
      <c r="AU395" s="1002"/>
      <c r="AV395" s="1002"/>
      <c r="AW395" s="1002"/>
      <c r="AX395" s="1002"/>
      <c r="AY395" s="1002"/>
      <c r="AZ395" s="1002"/>
      <c r="BA395" s="1002"/>
      <c r="BB395" s="1002"/>
      <c r="BC395" s="1002"/>
      <c r="BD395" s="1002"/>
      <c r="BE395" s="1002"/>
      <c r="BF395" s="1002"/>
      <c r="BG395" s="1002"/>
      <c r="BH395" s="1002"/>
      <c r="BI395" s="1002"/>
      <c r="BJ395" s="1002"/>
      <c r="BK395" s="1002"/>
      <c r="BL395" s="1002"/>
      <c r="BM395" s="1002"/>
      <c r="BN395" s="1002"/>
      <c r="BO395" s="1002"/>
      <c r="BP395" s="1002"/>
      <c r="BQ395" s="1002"/>
      <c r="BR395" s="1002"/>
      <c r="BS395" s="1002"/>
      <c r="BT395" s="1002"/>
      <c r="BU395" s="1002"/>
      <c r="BV395" s="1002"/>
      <c r="BW395" s="1002"/>
      <c r="BX395" s="1002"/>
      <c r="BY395" s="1002"/>
      <c r="BZ395" s="1002"/>
      <c r="CA395" s="1002"/>
      <c r="CB395" s="1002"/>
      <c r="CC395" s="1002"/>
      <c r="CD395" s="1002"/>
      <c r="CE395" s="1002"/>
      <c r="CF395" s="1002"/>
      <c r="CG395" s="1002"/>
      <c r="CH395" s="1002"/>
      <c r="CI395" s="1003"/>
    </row>
    <row r="396" spans="2:87" x14ac:dyDescent="0.2">
      <c r="B396" s="1300"/>
      <c r="C396" s="1301" t="s">
        <v>790</v>
      </c>
      <c r="D396" s="1301"/>
      <c r="E396" s="1301" t="s">
        <v>236</v>
      </c>
      <c r="F396" s="1301">
        <v>2</v>
      </c>
      <c r="G396" s="1002">
        <f t="shared" si="221"/>
        <v>0</v>
      </c>
      <c r="H396" s="1002">
        <f t="shared" si="221"/>
        <v>0</v>
      </c>
      <c r="I396" s="1002">
        <f t="shared" si="221"/>
        <v>2.0197035980870042</v>
      </c>
      <c r="J396" s="1002">
        <f t="shared" si="221"/>
        <v>2.0753214903712163</v>
      </c>
      <c r="K396" s="1002">
        <f t="shared" si="221"/>
        <v>2.020590584877739</v>
      </c>
      <c r="L396" s="1002">
        <f t="shared" si="221"/>
        <v>1.8427176634080884</v>
      </c>
      <c r="M396" s="1002">
        <f t="shared" si="221"/>
        <v>0.93568675264435219</v>
      </c>
      <c r="N396" s="1002">
        <f t="shared" si="221"/>
        <v>0.12880811813288043</v>
      </c>
      <c r="O396" s="1002">
        <f t="shared" si="221"/>
        <v>0.1246184203842515</v>
      </c>
      <c r="P396" s="1002">
        <f t="shared" si="221"/>
        <v>0.12071691478668611</v>
      </c>
      <c r="Q396" s="1002">
        <f t="shared" si="221"/>
        <v>0.11688127068603518</v>
      </c>
      <c r="R396" s="1002">
        <f t="shared" si="221"/>
        <v>0.11358443944848669</v>
      </c>
      <c r="S396" s="1002">
        <f t="shared" si="221"/>
        <v>0.11080825113993122</v>
      </c>
      <c r="T396" s="1002">
        <f t="shared" si="221"/>
        <v>0.10809494431693237</v>
      </c>
      <c r="U396" s="1002">
        <f t="shared" si="221"/>
        <v>0.10513560346570827</v>
      </c>
      <c r="V396" s="1002">
        <f t="shared" si="221"/>
        <v>0.10224328669287513</v>
      </c>
      <c r="W396" s="1002">
        <f t="shared" si="221"/>
        <v>9.95309613189021E-2</v>
      </c>
      <c r="X396" s="1002">
        <f t="shared" si="221"/>
        <v>9.6879810487331103E-2</v>
      </c>
      <c r="Y396" s="1002">
        <f t="shared" si="221"/>
        <v>9.427930223214126E-2</v>
      </c>
      <c r="Z396" s="1002">
        <f t="shared" si="221"/>
        <v>9.175845029571944E-2</v>
      </c>
      <c r="AA396" s="1002">
        <f t="shared" si="221"/>
        <v>8.9285083326625242E-2</v>
      </c>
      <c r="AB396" s="1002">
        <f t="shared" si="221"/>
        <v>8.6422370845412433E-2</v>
      </c>
      <c r="AC396" s="1002">
        <f t="shared" si="221"/>
        <v>8.3190102936978247E-2</v>
      </c>
      <c r="AD396" s="1002">
        <f t="shared" si="221"/>
        <v>8.0089543266082475E-2</v>
      </c>
      <c r="AE396" s="1002">
        <f t="shared" si="221"/>
        <v>7.7421056160060286E-2</v>
      </c>
      <c r="AF396" s="1002">
        <f t="shared" si="221"/>
        <v>7.5364567025679702E-2</v>
      </c>
      <c r="AG396" s="1002">
        <f t="shared" si="221"/>
        <v>7.333423137000708E-2</v>
      </c>
      <c r="AH396" s="1002">
        <f t="shared" si="221"/>
        <v>7.1355982517930849E-2</v>
      </c>
      <c r="AI396" s="1002">
        <f t="shared" si="221"/>
        <v>6.9401319927379759E-2</v>
      </c>
      <c r="AJ396" s="1002">
        <f t="shared" si="221"/>
        <v>6.7478214390393532E-2</v>
      </c>
      <c r="AK396" s="1002">
        <f t="shared" si="221"/>
        <v>6.5560681078049368E-2</v>
      </c>
      <c r="AL396" s="1002"/>
      <c r="AM396" s="1002"/>
      <c r="AN396" s="1002"/>
      <c r="AO396" s="1002"/>
      <c r="AP396" s="1002"/>
      <c r="AQ396" s="1002"/>
      <c r="AR396" s="1002"/>
      <c r="AS396" s="1002"/>
      <c r="AT396" s="1002"/>
      <c r="AU396" s="1002"/>
      <c r="AV396" s="1002"/>
      <c r="AW396" s="1002"/>
      <c r="AX396" s="1002"/>
      <c r="AY396" s="1002"/>
      <c r="AZ396" s="1002"/>
      <c r="BA396" s="1002"/>
      <c r="BB396" s="1002"/>
      <c r="BC396" s="1002"/>
      <c r="BD396" s="1002"/>
      <c r="BE396" s="1002"/>
      <c r="BF396" s="1002"/>
      <c r="BG396" s="1002"/>
      <c r="BH396" s="1002"/>
      <c r="BI396" s="1002"/>
      <c r="BJ396" s="1002"/>
      <c r="BK396" s="1002"/>
      <c r="BL396" s="1002"/>
      <c r="BM396" s="1002"/>
      <c r="BN396" s="1002"/>
      <c r="BO396" s="1002"/>
      <c r="BP396" s="1002"/>
      <c r="BQ396" s="1002"/>
      <c r="BR396" s="1002"/>
      <c r="BS396" s="1002"/>
      <c r="BT396" s="1002"/>
      <c r="BU396" s="1002"/>
      <c r="BV396" s="1002"/>
      <c r="BW396" s="1002"/>
      <c r="BX396" s="1002"/>
      <c r="BY396" s="1002"/>
      <c r="BZ396" s="1002"/>
      <c r="CA396" s="1002"/>
      <c r="CB396" s="1002"/>
      <c r="CC396" s="1002"/>
      <c r="CD396" s="1002"/>
      <c r="CE396" s="1002"/>
      <c r="CF396" s="1002"/>
      <c r="CG396" s="1002"/>
      <c r="CH396" s="1002"/>
      <c r="CI396" s="1003"/>
    </row>
    <row r="397" spans="2:87" x14ac:dyDescent="0.2">
      <c r="B397" s="1300"/>
      <c r="C397" s="1301" t="s">
        <v>791</v>
      </c>
      <c r="D397" s="1301"/>
      <c r="E397" s="1301" t="s">
        <v>236</v>
      </c>
      <c r="F397" s="1301">
        <v>2</v>
      </c>
      <c r="G397" s="1002">
        <f>G314+G316-G326-G327</f>
        <v>0</v>
      </c>
      <c r="H397" s="1002">
        <f t="shared" ref="H397:AK397" si="222">H314+H316-H326-H327</f>
        <v>0</v>
      </c>
      <c r="I397" s="1002">
        <f t="shared" si="222"/>
        <v>4.5354665878922384</v>
      </c>
      <c r="J397" s="1002">
        <f t="shared" si="222"/>
        <v>5.1833788424434104</v>
      </c>
      <c r="K397" s="1002">
        <f t="shared" si="222"/>
        <v>5.3741624637355283</v>
      </c>
      <c r="L397" s="1002">
        <f t="shared" si="222"/>
        <v>5.5710498735592591</v>
      </c>
      <c r="M397" s="1002">
        <f t="shared" si="222"/>
        <v>5.7514323607926761</v>
      </c>
      <c r="N397" s="1002">
        <f t="shared" si="222"/>
        <v>5.7900937767971099</v>
      </c>
      <c r="O397" s="1002">
        <f t="shared" si="222"/>
        <v>5.7824045026289035</v>
      </c>
      <c r="P397" s="1002">
        <f t="shared" si="222"/>
        <v>5.774715170793697</v>
      </c>
      <c r="Q397" s="1002">
        <f t="shared" si="222"/>
        <v>5.767025781291486</v>
      </c>
      <c r="R397" s="1002">
        <f t="shared" si="222"/>
        <v>5.7506004405733426</v>
      </c>
      <c r="S397" s="1002">
        <f t="shared" si="222"/>
        <v>5.7341750421881938</v>
      </c>
      <c r="T397" s="1002">
        <f t="shared" si="222"/>
        <v>9.6420924177637026</v>
      </c>
      <c r="U397" s="1002">
        <f t="shared" si="222"/>
        <v>9.6355212720093171</v>
      </c>
      <c r="V397" s="1002">
        <f t="shared" si="222"/>
        <v>9.628841813226499</v>
      </c>
      <c r="W397" s="1002">
        <f t="shared" si="222"/>
        <v>9.6231485656460851</v>
      </c>
      <c r="X397" s="1002">
        <f t="shared" si="222"/>
        <v>9.617329463802788</v>
      </c>
      <c r="Y397" s="1002">
        <f t="shared" si="222"/>
        <v>9.6113462257414408</v>
      </c>
      <c r="Z397" s="1002">
        <f t="shared" si="222"/>
        <v>9.6203988326519401</v>
      </c>
      <c r="AA397" s="1002">
        <f t="shared" si="222"/>
        <v>9.629334244901111</v>
      </c>
      <c r="AB397" s="1002">
        <f t="shared" si="222"/>
        <v>9.6381533175797554</v>
      </c>
      <c r="AC397" s="1002">
        <f t="shared" si="222"/>
        <v>9.646850328862163</v>
      </c>
      <c r="AD397" s="1002">
        <f t="shared" si="222"/>
        <v>9.6554150412227955</v>
      </c>
      <c r="AE397" s="1002">
        <f t="shared" si="222"/>
        <v>9.6638563133630342</v>
      </c>
      <c r="AF397" s="1002">
        <f t="shared" si="222"/>
        <v>9.6721688372661134</v>
      </c>
      <c r="AG397" s="1002">
        <f t="shared" si="222"/>
        <v>9.6803642709429987</v>
      </c>
      <c r="AH397" s="1002">
        <f t="shared" si="222"/>
        <v>9.6884433898738589</v>
      </c>
      <c r="AI397" s="1002">
        <f t="shared" si="222"/>
        <v>9.696412086364413</v>
      </c>
      <c r="AJ397" s="1002">
        <f t="shared" si="222"/>
        <v>9.70428857968081</v>
      </c>
      <c r="AK397" s="1002">
        <f t="shared" si="222"/>
        <v>9.7120777544363452</v>
      </c>
      <c r="AL397" s="1002"/>
      <c r="AM397" s="1002"/>
      <c r="AN397" s="1002"/>
      <c r="AO397" s="1002"/>
      <c r="AP397" s="1002"/>
      <c r="AQ397" s="1002"/>
      <c r="AR397" s="1002"/>
      <c r="AS397" s="1002"/>
      <c r="AT397" s="1002"/>
      <c r="AU397" s="1002"/>
      <c r="AV397" s="1002"/>
      <c r="AW397" s="1002"/>
      <c r="AX397" s="1002"/>
      <c r="AY397" s="1002"/>
      <c r="AZ397" s="1002"/>
      <c r="BA397" s="1002"/>
      <c r="BB397" s="1002"/>
      <c r="BC397" s="1002"/>
      <c r="BD397" s="1002"/>
      <c r="BE397" s="1002"/>
      <c r="BF397" s="1002"/>
      <c r="BG397" s="1002"/>
      <c r="BH397" s="1002"/>
      <c r="BI397" s="1002"/>
      <c r="BJ397" s="1002"/>
      <c r="BK397" s="1002"/>
      <c r="BL397" s="1002"/>
      <c r="BM397" s="1002"/>
      <c r="BN397" s="1002"/>
      <c r="BO397" s="1002"/>
      <c r="BP397" s="1002"/>
      <c r="BQ397" s="1002"/>
      <c r="BR397" s="1002"/>
      <c r="BS397" s="1002"/>
      <c r="BT397" s="1002"/>
      <c r="BU397" s="1002"/>
      <c r="BV397" s="1002"/>
      <c r="BW397" s="1002"/>
      <c r="BX397" s="1002"/>
      <c r="BY397" s="1002"/>
      <c r="BZ397" s="1002"/>
      <c r="CA397" s="1002"/>
      <c r="CB397" s="1002"/>
      <c r="CC397" s="1002"/>
      <c r="CD397" s="1002"/>
      <c r="CE397" s="1002"/>
      <c r="CF397" s="1002"/>
      <c r="CG397" s="1002"/>
      <c r="CH397" s="1002"/>
      <c r="CI397" s="1003"/>
    </row>
    <row r="398" spans="2:87" x14ac:dyDescent="0.2">
      <c r="B398" s="1300"/>
      <c r="C398" s="1301" t="s">
        <v>243</v>
      </c>
      <c r="D398" s="1301"/>
      <c r="E398" s="1301" t="s">
        <v>236</v>
      </c>
      <c r="F398" s="1301">
        <v>2</v>
      </c>
      <c r="G398" s="1002">
        <f>G332</f>
        <v>0</v>
      </c>
      <c r="H398" s="1002">
        <f t="shared" ref="H398:AK398" si="223">H332</f>
        <v>0</v>
      </c>
      <c r="I398" s="1002">
        <f t="shared" si="223"/>
        <v>1.3210509183999999</v>
      </c>
      <c r="J398" s="1002">
        <f t="shared" si="223"/>
        <v>0.81112059999999986</v>
      </c>
      <c r="K398" s="1002">
        <f t="shared" si="223"/>
        <v>0.77940079999999978</v>
      </c>
      <c r="L398" s="1002">
        <f t="shared" si="223"/>
        <v>0.74768099999999993</v>
      </c>
      <c r="M398" s="1002">
        <f t="shared" si="223"/>
        <v>0.74009159999999996</v>
      </c>
      <c r="N398" s="1002">
        <f t="shared" si="223"/>
        <v>0.73250219999999999</v>
      </c>
      <c r="O398" s="1002">
        <f t="shared" si="223"/>
        <v>0.72491280000000013</v>
      </c>
      <c r="P398" s="1002">
        <f t="shared" si="223"/>
        <v>0.71732340000000006</v>
      </c>
      <c r="Q398" s="1002">
        <f t="shared" si="223"/>
        <v>0.70973400000000009</v>
      </c>
      <c r="R398" s="1002">
        <f t="shared" si="223"/>
        <v>0.70214460000000012</v>
      </c>
      <c r="S398" s="1002">
        <f t="shared" si="223"/>
        <v>0.69455520000000015</v>
      </c>
      <c r="T398" s="1002">
        <f t="shared" si="223"/>
        <v>0.68696580000000018</v>
      </c>
      <c r="U398" s="1002">
        <f t="shared" si="223"/>
        <v>0.67937640000000021</v>
      </c>
      <c r="V398" s="1002">
        <f t="shared" si="223"/>
        <v>0.67178700000000025</v>
      </c>
      <c r="W398" s="1002">
        <f t="shared" si="223"/>
        <v>0.66419760000000028</v>
      </c>
      <c r="X398" s="1002">
        <f t="shared" si="223"/>
        <v>0.65660820000000031</v>
      </c>
      <c r="Y398" s="1002">
        <f t="shared" si="223"/>
        <v>0.64901880000000034</v>
      </c>
      <c r="Z398" s="1002">
        <f t="shared" si="223"/>
        <v>0.64142940000000037</v>
      </c>
      <c r="AA398" s="1002">
        <f t="shared" si="223"/>
        <v>0.6338400000000004</v>
      </c>
      <c r="AB398" s="1002">
        <f t="shared" si="223"/>
        <v>0.62625060000000043</v>
      </c>
      <c r="AC398" s="1002">
        <f t="shared" si="223"/>
        <v>0.61866120000000047</v>
      </c>
      <c r="AD398" s="1002">
        <f t="shared" si="223"/>
        <v>0.6110718000000005</v>
      </c>
      <c r="AE398" s="1002">
        <f t="shared" si="223"/>
        <v>0.60348240000000053</v>
      </c>
      <c r="AF398" s="1002">
        <f t="shared" si="223"/>
        <v>0.59589300000000056</v>
      </c>
      <c r="AG398" s="1002">
        <f t="shared" si="223"/>
        <v>0.58830360000000059</v>
      </c>
      <c r="AH398" s="1002">
        <f t="shared" si="223"/>
        <v>0.58071420000000062</v>
      </c>
      <c r="AI398" s="1002">
        <f t="shared" si="223"/>
        <v>0.57312480000000066</v>
      </c>
      <c r="AJ398" s="1002">
        <f t="shared" si="223"/>
        <v>0.56553540000000069</v>
      </c>
      <c r="AK398" s="1002">
        <f t="shared" si="223"/>
        <v>0.55794599999999994</v>
      </c>
      <c r="AL398" s="1002"/>
      <c r="AM398" s="1002"/>
      <c r="AN398" s="1002"/>
      <c r="AO398" s="1002"/>
      <c r="AP398" s="1002"/>
      <c r="AQ398" s="1002"/>
      <c r="AR398" s="1002"/>
      <c r="AS398" s="1002"/>
      <c r="AT398" s="1002"/>
      <c r="AU398" s="1002"/>
      <c r="AV398" s="1002"/>
      <c r="AW398" s="1002"/>
      <c r="AX398" s="1002"/>
      <c r="AY398" s="1002"/>
      <c r="AZ398" s="1002"/>
      <c r="BA398" s="1002"/>
      <c r="BB398" s="1002"/>
      <c r="BC398" s="1002"/>
      <c r="BD398" s="1002"/>
      <c r="BE398" s="1002"/>
      <c r="BF398" s="1002"/>
      <c r="BG398" s="1002"/>
      <c r="BH398" s="1002"/>
      <c r="BI398" s="1002"/>
      <c r="BJ398" s="1002"/>
      <c r="BK398" s="1002"/>
      <c r="BL398" s="1002"/>
      <c r="BM398" s="1002"/>
      <c r="BN398" s="1002"/>
      <c r="BO398" s="1002"/>
      <c r="BP398" s="1002"/>
      <c r="BQ398" s="1002"/>
      <c r="BR398" s="1002"/>
      <c r="BS398" s="1002"/>
      <c r="BT398" s="1002"/>
      <c r="BU398" s="1002"/>
      <c r="BV398" s="1002"/>
      <c r="BW398" s="1002"/>
      <c r="BX398" s="1002"/>
      <c r="BY398" s="1002"/>
      <c r="BZ398" s="1002"/>
      <c r="CA398" s="1002"/>
      <c r="CB398" s="1002"/>
      <c r="CC398" s="1002"/>
      <c r="CD398" s="1002"/>
      <c r="CE398" s="1002"/>
      <c r="CF398" s="1002"/>
      <c r="CG398" s="1002"/>
      <c r="CH398" s="1002"/>
      <c r="CI398" s="1003"/>
    </row>
    <row r="399" spans="2:87" x14ac:dyDescent="0.2">
      <c r="B399" s="1300"/>
      <c r="C399" s="1301" t="s">
        <v>792</v>
      </c>
      <c r="D399" s="1301"/>
      <c r="E399" s="1301" t="s">
        <v>236</v>
      </c>
      <c r="F399" s="1301">
        <v>2</v>
      </c>
      <c r="G399" s="1002">
        <f>G356-SUM(G395:G398)</f>
        <v>0</v>
      </c>
      <c r="H399" s="1002">
        <f t="shared" ref="H399:AK399" si="224">H356-SUM(H395:H398)</f>
        <v>0</v>
      </c>
      <c r="I399" s="1002">
        <f t="shared" si="224"/>
        <v>0.19949174740822428</v>
      </c>
      <c r="J399" s="1002">
        <f t="shared" si="224"/>
        <v>0.19881498267651665</v>
      </c>
      <c r="K399" s="1002">
        <f t="shared" si="224"/>
        <v>0.19878899233229674</v>
      </c>
      <c r="L399" s="1002">
        <f t="shared" si="224"/>
        <v>0.19878728353243424</v>
      </c>
      <c r="M399" s="1002">
        <f t="shared" si="224"/>
        <v>0.19865087975061613</v>
      </c>
      <c r="N399" s="1002">
        <f t="shared" si="224"/>
        <v>0.19834412458478035</v>
      </c>
      <c r="O399" s="1002">
        <f t="shared" si="224"/>
        <v>0.19823137753128606</v>
      </c>
      <c r="P399" s="1002">
        <f t="shared" si="224"/>
        <v>0.19812933077044192</v>
      </c>
      <c r="Q399" s="1002">
        <f t="shared" si="224"/>
        <v>0.1980427505838076</v>
      </c>
      <c r="R399" s="1002">
        <f t="shared" si="224"/>
        <v>0.19796623446418415</v>
      </c>
      <c r="S399" s="1002">
        <f t="shared" si="224"/>
        <v>0.19790148251789041</v>
      </c>
      <c r="T399" s="1002">
        <f t="shared" si="224"/>
        <v>0.19784122199726539</v>
      </c>
      <c r="U399" s="1002">
        <f t="shared" si="224"/>
        <v>0.19778207690649197</v>
      </c>
      <c r="V399" s="1002">
        <f t="shared" si="224"/>
        <v>0.1977232495116592</v>
      </c>
      <c r="W399" s="1002">
        <f t="shared" si="224"/>
        <v>0.19766532200983988</v>
      </c>
      <c r="X399" s="1002">
        <f t="shared" si="224"/>
        <v>0.1976091169318579</v>
      </c>
      <c r="Y399" s="1002">
        <f t="shared" si="224"/>
        <v>0.19755463561490494</v>
      </c>
      <c r="Z399" s="1002">
        <f t="shared" si="224"/>
        <v>0.19750053940395063</v>
      </c>
      <c r="AA399" s="1002">
        <f t="shared" si="224"/>
        <v>0.19744707252534077</v>
      </c>
      <c r="AB399" s="1002">
        <f t="shared" si="224"/>
        <v>0.19739414045409553</v>
      </c>
      <c r="AC399" s="1002">
        <f t="shared" si="224"/>
        <v>0.19734172492178992</v>
      </c>
      <c r="AD399" s="1002">
        <f t="shared" si="224"/>
        <v>0.19729024557290487</v>
      </c>
      <c r="AE399" s="1002">
        <f t="shared" si="224"/>
        <v>0.19723985354005791</v>
      </c>
      <c r="AF399" s="1002">
        <f t="shared" si="224"/>
        <v>0.19719042769732376</v>
      </c>
      <c r="AG399" s="1002">
        <f t="shared" si="224"/>
        <v>0.19714159345307358</v>
      </c>
      <c r="AH399" s="1002">
        <f t="shared" si="224"/>
        <v>0.1970933684977485</v>
      </c>
      <c r="AI399" s="1002">
        <f t="shared" si="224"/>
        <v>0.19704542132056879</v>
      </c>
      <c r="AJ399" s="1002">
        <f t="shared" si="224"/>
        <v>0.19699752302673623</v>
      </c>
      <c r="AK399" s="1002">
        <f t="shared" si="224"/>
        <v>0.19694974682876598</v>
      </c>
      <c r="AL399" s="1002"/>
      <c r="AM399" s="1002"/>
      <c r="AN399" s="1002"/>
      <c r="AO399" s="1002"/>
      <c r="AP399" s="1002"/>
      <c r="AQ399" s="1002"/>
      <c r="AR399" s="1002"/>
      <c r="AS399" s="1002"/>
      <c r="AT399" s="1002"/>
      <c r="AU399" s="1002"/>
      <c r="AV399" s="1002"/>
      <c r="AW399" s="1002"/>
      <c r="AX399" s="1002"/>
      <c r="AY399" s="1002"/>
      <c r="AZ399" s="1002"/>
      <c r="BA399" s="1002"/>
      <c r="BB399" s="1002"/>
      <c r="BC399" s="1002"/>
      <c r="BD399" s="1002"/>
      <c r="BE399" s="1002"/>
      <c r="BF399" s="1002"/>
      <c r="BG399" s="1002"/>
      <c r="BH399" s="1002"/>
      <c r="BI399" s="1002"/>
      <c r="BJ399" s="1002"/>
      <c r="BK399" s="1002"/>
      <c r="BL399" s="1002"/>
      <c r="BM399" s="1002"/>
      <c r="BN399" s="1002"/>
      <c r="BO399" s="1002"/>
      <c r="BP399" s="1002"/>
      <c r="BQ399" s="1002"/>
      <c r="BR399" s="1002"/>
      <c r="BS399" s="1002"/>
      <c r="BT399" s="1002"/>
      <c r="BU399" s="1002"/>
      <c r="BV399" s="1002"/>
      <c r="BW399" s="1002"/>
      <c r="BX399" s="1002"/>
      <c r="BY399" s="1002"/>
      <c r="BZ399" s="1002"/>
      <c r="CA399" s="1002"/>
      <c r="CB399" s="1002"/>
      <c r="CC399" s="1002"/>
      <c r="CD399" s="1002"/>
      <c r="CE399" s="1002"/>
      <c r="CF399" s="1002"/>
      <c r="CG399" s="1002"/>
      <c r="CH399" s="1002"/>
      <c r="CI399" s="1003"/>
    </row>
    <row r="400" spans="2:87" x14ac:dyDescent="0.2">
      <c r="B400" s="1300"/>
      <c r="C400" s="1301" t="s">
        <v>793</v>
      </c>
      <c r="D400" s="1301"/>
      <c r="E400" s="1301" t="s">
        <v>236</v>
      </c>
      <c r="F400" s="1301">
        <v>2</v>
      </c>
      <c r="G400" s="1002">
        <f>G313</f>
        <v>0</v>
      </c>
      <c r="H400" s="1002">
        <f t="shared" ref="H400:AK400" si="225">H313</f>
        <v>0</v>
      </c>
      <c r="I400" s="1002">
        <f t="shared" si="225"/>
        <v>15.253403156604637</v>
      </c>
      <c r="J400" s="1002">
        <f t="shared" si="225"/>
        <v>15.259226643868082</v>
      </c>
      <c r="K400" s="1002">
        <f t="shared" si="225"/>
        <v>15.249919751437155</v>
      </c>
      <c r="L400" s="1002">
        <f t="shared" si="225"/>
        <v>15.230582241931307</v>
      </c>
      <c r="M400" s="1002">
        <f t="shared" si="225"/>
        <v>15.2023583008793</v>
      </c>
      <c r="N400" s="1002">
        <f t="shared" si="225"/>
        <v>15.184816955825591</v>
      </c>
      <c r="O400" s="1002">
        <f t="shared" si="225"/>
        <v>15.194848032154752</v>
      </c>
      <c r="P400" s="1002">
        <f t="shared" si="225"/>
        <v>15.195255722538359</v>
      </c>
      <c r="Q400" s="1002">
        <f t="shared" si="225"/>
        <v>15.194171505745718</v>
      </c>
      <c r="R400" s="1002">
        <f t="shared" si="225"/>
        <v>15.192886545317981</v>
      </c>
      <c r="S400" s="1002">
        <f t="shared" si="225"/>
        <v>15.191169330425872</v>
      </c>
      <c r="T400" s="1002">
        <f t="shared" si="225"/>
        <v>15.39769130051293</v>
      </c>
      <c r="U400" s="1002">
        <f t="shared" si="225"/>
        <v>15.333961135177606</v>
      </c>
      <c r="V400" s="1002">
        <f t="shared" si="225"/>
        <v>15.248365377966286</v>
      </c>
      <c r="W400" s="1002">
        <f t="shared" si="225"/>
        <v>15.185809016596336</v>
      </c>
      <c r="X400" s="1002">
        <f t="shared" si="225"/>
        <v>15.177511570361126</v>
      </c>
      <c r="Y400" s="1002">
        <f t="shared" si="225"/>
        <v>15.174859790752096</v>
      </c>
      <c r="Z400" s="1002">
        <f t="shared" si="225"/>
        <v>15.172265324352297</v>
      </c>
      <c r="AA400" s="1002">
        <f t="shared" si="225"/>
        <v>15.169433034373604</v>
      </c>
      <c r="AB400" s="1002">
        <f t="shared" si="225"/>
        <v>15.166234979164795</v>
      </c>
      <c r="AC400" s="1002">
        <f t="shared" si="225"/>
        <v>15.163367522548235</v>
      </c>
      <c r="AD400" s="1002">
        <f t="shared" si="225"/>
        <v>15.160692140694065</v>
      </c>
      <c r="AE400" s="1002">
        <f t="shared" si="225"/>
        <v>15.159416770737961</v>
      </c>
      <c r="AF400" s="1002">
        <f t="shared" si="225"/>
        <v>15.16055993313589</v>
      </c>
      <c r="AG400" s="1002">
        <f t="shared" si="225"/>
        <v>15.161643943004428</v>
      </c>
      <c r="AH400" s="1002">
        <f t="shared" si="225"/>
        <v>15.16281446364647</v>
      </c>
      <c r="AI400" s="1002">
        <f t="shared" si="225"/>
        <v>15.164040222319555</v>
      </c>
      <c r="AJ400" s="1002">
        <f t="shared" si="225"/>
        <v>15.165365618220495</v>
      </c>
      <c r="AK400" s="1002">
        <f t="shared" si="225"/>
        <v>15.166693520487636</v>
      </c>
      <c r="AL400" s="1002"/>
      <c r="AM400" s="1002"/>
      <c r="AN400" s="1002"/>
      <c r="AO400" s="1002"/>
      <c r="AP400" s="1002"/>
      <c r="AQ400" s="1002"/>
      <c r="AR400" s="1002"/>
      <c r="AS400" s="1002"/>
      <c r="AT400" s="1002"/>
      <c r="AU400" s="1002"/>
      <c r="AV400" s="1002"/>
      <c r="AW400" s="1002"/>
      <c r="AX400" s="1002"/>
      <c r="AY400" s="1002"/>
      <c r="AZ400" s="1002"/>
      <c r="BA400" s="1002"/>
      <c r="BB400" s="1002"/>
      <c r="BC400" s="1002"/>
      <c r="BD400" s="1002"/>
      <c r="BE400" s="1002"/>
      <c r="BF400" s="1002"/>
      <c r="BG400" s="1002"/>
      <c r="BH400" s="1002"/>
      <c r="BI400" s="1002"/>
      <c r="BJ400" s="1002"/>
      <c r="BK400" s="1002"/>
      <c r="BL400" s="1002"/>
      <c r="BM400" s="1002"/>
      <c r="BN400" s="1002"/>
      <c r="BO400" s="1002"/>
      <c r="BP400" s="1002"/>
      <c r="BQ400" s="1002"/>
      <c r="BR400" s="1002"/>
      <c r="BS400" s="1002"/>
      <c r="BT400" s="1002"/>
      <c r="BU400" s="1002"/>
      <c r="BV400" s="1002"/>
      <c r="BW400" s="1002"/>
      <c r="BX400" s="1002"/>
      <c r="BY400" s="1002"/>
      <c r="BZ400" s="1002"/>
      <c r="CA400" s="1002"/>
      <c r="CB400" s="1002"/>
      <c r="CC400" s="1002"/>
      <c r="CD400" s="1002"/>
      <c r="CE400" s="1002"/>
      <c r="CF400" s="1002"/>
      <c r="CG400" s="1002"/>
      <c r="CH400" s="1002"/>
      <c r="CI400" s="1003"/>
    </row>
    <row r="401" spans="2:87" x14ac:dyDescent="0.2">
      <c r="B401" s="1300"/>
      <c r="C401" s="1301" t="s">
        <v>794</v>
      </c>
      <c r="D401" s="1301"/>
      <c r="E401" s="1301" t="s">
        <v>236</v>
      </c>
      <c r="F401" s="1301">
        <v>2</v>
      </c>
      <c r="G401" s="1002">
        <f>SUM(G395:G399)+G359</f>
        <v>0</v>
      </c>
      <c r="H401" s="1002">
        <f t="shared" ref="H401:AK401" si="226">SUM(H395:H399)+H359</f>
        <v>0</v>
      </c>
      <c r="I401" s="1002">
        <f t="shared" si="226"/>
        <v>11.723666139480322</v>
      </c>
      <c r="J401" s="1002">
        <f t="shared" si="226"/>
        <v>11.990078964810692</v>
      </c>
      <c r="K401" s="1002">
        <f t="shared" si="226"/>
        <v>12.099023946196112</v>
      </c>
      <c r="L401" s="1002">
        <f t="shared" si="226"/>
        <v>12.033928298265376</v>
      </c>
      <c r="M401" s="1002">
        <f t="shared" si="226"/>
        <v>11.92289197810865</v>
      </c>
      <c r="N401" s="1002">
        <f t="shared" si="226"/>
        <v>11.738660770175958</v>
      </c>
      <c r="O401" s="1002">
        <f t="shared" si="226"/>
        <v>11.779102400084001</v>
      </c>
      <c r="P401" s="1002">
        <f t="shared" si="226"/>
        <v>11.78648651170686</v>
      </c>
      <c r="Q401" s="1002">
        <f t="shared" si="226"/>
        <v>11.765537830824295</v>
      </c>
      <c r="R401" s="1002">
        <f t="shared" si="226"/>
        <v>11.737024808527615</v>
      </c>
      <c r="S401" s="1002">
        <f t="shared" si="226"/>
        <v>11.525494367817945</v>
      </c>
      <c r="T401" s="1002">
        <f t="shared" si="226"/>
        <v>14.737691300512932</v>
      </c>
      <c r="U401" s="1002">
        <f t="shared" si="226"/>
        <v>14.673961135177608</v>
      </c>
      <c r="V401" s="1002">
        <f t="shared" si="226"/>
        <v>14.588365377966287</v>
      </c>
      <c r="W401" s="1002">
        <f t="shared" si="226"/>
        <v>14.525809016596337</v>
      </c>
      <c r="X401" s="1002">
        <f t="shared" si="226"/>
        <v>14.490344657594758</v>
      </c>
      <c r="Y401" s="1002">
        <f t="shared" si="226"/>
        <v>14.448280021363502</v>
      </c>
      <c r="Z401" s="1002">
        <f t="shared" si="226"/>
        <v>14.431493500337911</v>
      </c>
      <c r="AA401" s="1002">
        <f t="shared" si="226"/>
        <v>14.409947321996826</v>
      </c>
      <c r="AB401" s="1002">
        <f t="shared" si="226"/>
        <v>14.381348029935637</v>
      </c>
      <c r="AC401" s="1002">
        <f t="shared" si="226"/>
        <v>14.336842183019881</v>
      </c>
      <c r="AD401" s="1002">
        <f t="shared" si="226"/>
        <v>14.301461131114593</v>
      </c>
      <c r="AE401" s="1002">
        <f t="shared" si="226"/>
        <v>14.275374891960821</v>
      </c>
      <c r="AF401" s="1002">
        <f t="shared" si="226"/>
        <v>14.280466159374569</v>
      </c>
      <c r="AG401" s="1002">
        <f t="shared" si="226"/>
        <v>14.283845435604018</v>
      </c>
      <c r="AH401" s="1002">
        <f t="shared" si="226"/>
        <v>14.300464096164013</v>
      </c>
      <c r="AI401" s="1002">
        <f t="shared" si="226"/>
        <v>14.316719925537777</v>
      </c>
      <c r="AJ401" s="1002">
        <f t="shared" si="226"/>
        <v>14.334995790771508</v>
      </c>
      <c r="AK401" s="1002">
        <f t="shared" si="226"/>
        <v>14.349894149681401</v>
      </c>
      <c r="AL401" s="1002"/>
      <c r="AM401" s="1002"/>
      <c r="AN401" s="1002"/>
      <c r="AO401" s="1002"/>
      <c r="AP401" s="1002"/>
      <c r="AQ401" s="1002"/>
      <c r="AR401" s="1002"/>
      <c r="AS401" s="1002"/>
      <c r="AT401" s="1002"/>
      <c r="AU401" s="1002"/>
      <c r="AV401" s="1002"/>
      <c r="AW401" s="1002"/>
      <c r="AX401" s="1002"/>
      <c r="AY401" s="1002"/>
      <c r="AZ401" s="1002"/>
      <c r="BA401" s="1002"/>
      <c r="BB401" s="1002"/>
      <c r="BC401" s="1002"/>
      <c r="BD401" s="1002"/>
      <c r="BE401" s="1002"/>
      <c r="BF401" s="1002"/>
      <c r="BG401" s="1002"/>
      <c r="BH401" s="1002"/>
      <c r="BI401" s="1002"/>
      <c r="BJ401" s="1002"/>
      <c r="BK401" s="1002"/>
      <c r="BL401" s="1002"/>
      <c r="BM401" s="1002"/>
      <c r="BN401" s="1002"/>
      <c r="BO401" s="1002"/>
      <c r="BP401" s="1002"/>
      <c r="BQ401" s="1002"/>
      <c r="BR401" s="1002"/>
      <c r="BS401" s="1002"/>
      <c r="BT401" s="1002"/>
      <c r="BU401" s="1002"/>
      <c r="BV401" s="1002"/>
      <c r="BW401" s="1002"/>
      <c r="BX401" s="1002"/>
      <c r="BY401" s="1002"/>
      <c r="BZ401" s="1002"/>
      <c r="CA401" s="1002"/>
      <c r="CB401" s="1002"/>
      <c r="CC401" s="1002"/>
      <c r="CD401" s="1002"/>
      <c r="CE401" s="1002"/>
      <c r="CF401" s="1002"/>
      <c r="CG401" s="1002"/>
      <c r="CH401" s="1002"/>
      <c r="CI401" s="1003"/>
    </row>
    <row r="402" spans="2:87" ht="15" thickBot="1" x14ac:dyDescent="0.25">
      <c r="B402" s="1303"/>
      <c r="C402" s="1304"/>
      <c r="D402" s="1304"/>
      <c r="E402" s="1304"/>
      <c r="F402" s="1304"/>
      <c r="G402" s="1304"/>
      <c r="H402" s="1304"/>
      <c r="I402" s="1304"/>
      <c r="J402" s="1304"/>
      <c r="K402" s="1304"/>
      <c r="L402" s="1304"/>
      <c r="M402" s="1304"/>
      <c r="N402" s="1304"/>
      <c r="O402" s="1304"/>
      <c r="P402" s="1304"/>
      <c r="Q402" s="1304"/>
      <c r="R402" s="1304"/>
      <c r="S402" s="1304"/>
      <c r="T402" s="1304"/>
      <c r="U402" s="1304"/>
      <c r="V402" s="1304"/>
      <c r="W402" s="1304"/>
      <c r="X402" s="1304"/>
      <c r="Y402" s="1304"/>
      <c r="Z402" s="1304"/>
      <c r="AA402" s="1304"/>
      <c r="AB402" s="1304"/>
      <c r="AC402" s="1304"/>
      <c r="AD402" s="1304"/>
      <c r="AE402" s="1304"/>
      <c r="AF402" s="1304"/>
      <c r="AG402" s="1304"/>
      <c r="AH402" s="1304"/>
      <c r="AI402" s="1304"/>
      <c r="AJ402" s="1304"/>
      <c r="AK402" s="1304"/>
      <c r="AL402" s="1304"/>
      <c r="AM402" s="1304"/>
      <c r="AN402" s="1304"/>
      <c r="AO402" s="1304"/>
      <c r="AP402" s="1304"/>
      <c r="AQ402" s="1304"/>
      <c r="AR402" s="1304"/>
      <c r="AS402" s="1304"/>
      <c r="AT402" s="1304"/>
      <c r="AU402" s="1304"/>
      <c r="AV402" s="1304"/>
      <c r="AW402" s="1304"/>
      <c r="AX402" s="1304"/>
      <c r="AY402" s="1304"/>
      <c r="AZ402" s="1304"/>
      <c r="BA402" s="1304"/>
      <c r="BB402" s="1304"/>
      <c r="BC402" s="1304"/>
      <c r="BD402" s="1304"/>
      <c r="BE402" s="1304"/>
      <c r="BF402" s="1304"/>
      <c r="BG402" s="1304"/>
      <c r="BH402" s="1304"/>
      <c r="BI402" s="1304"/>
      <c r="BJ402" s="1304"/>
      <c r="BK402" s="1304"/>
      <c r="BL402" s="1304"/>
      <c r="BM402" s="1304"/>
      <c r="BN402" s="1304"/>
      <c r="BO402" s="1304"/>
      <c r="BP402" s="1304"/>
      <c r="BQ402" s="1304"/>
      <c r="BR402" s="1304"/>
      <c r="BS402" s="1304"/>
      <c r="BT402" s="1304"/>
      <c r="BU402" s="1304"/>
      <c r="BV402" s="1304"/>
      <c r="BW402" s="1304"/>
      <c r="BX402" s="1304"/>
      <c r="BY402" s="1304"/>
      <c r="BZ402" s="1304"/>
      <c r="CA402" s="1304"/>
      <c r="CB402" s="1304"/>
      <c r="CC402" s="1304"/>
      <c r="CD402" s="1304"/>
      <c r="CE402" s="1304"/>
      <c r="CF402" s="1304"/>
      <c r="CG402" s="1304"/>
      <c r="CH402" s="1304"/>
      <c r="CI402" s="1305"/>
    </row>
  </sheetData>
  <phoneticPr fontId="34" type="noConversion"/>
  <conditionalFormatting sqref="B277 D277:E277 B280 D280:E280">
    <cfRule type="expression" dxfId="2614" priority="62">
      <formula>"error.type(c3)=5"</formula>
    </cfRule>
    <cfRule type="expression" dxfId="2613" priority="63">
      <formula>ERROR.TYPE(B277)=2</formula>
    </cfRule>
    <cfRule type="expression" dxfId="2612" priority="64">
      <formula>ISNA(B277)</formula>
    </cfRule>
  </conditionalFormatting>
  <conditionalFormatting sqref="B282:B287 D282:E287">
    <cfRule type="expression" dxfId="2611" priority="12">
      <formula>"error.type(c3)=5"</formula>
    </cfRule>
    <cfRule type="expression" dxfId="2610" priority="13">
      <formula>ERROR.TYPE(B282)=2</formula>
    </cfRule>
    <cfRule type="expression" dxfId="2609" priority="14">
      <formula>ISNA(B282)</formula>
    </cfRule>
  </conditionalFormatting>
  <conditionalFormatting sqref="B293 D293:E293 B299 D299:E299 B300:E300">
    <cfRule type="expression" dxfId="2608" priority="107">
      <formula>"error.type(c3)=5"</formula>
    </cfRule>
    <cfRule type="expression" dxfId="2607" priority="108">
      <formula>ERROR.TYPE(B293)=2</formula>
    </cfRule>
    <cfRule type="expression" dxfId="2606" priority="109">
      <formula>ISNA(B293)</formula>
    </cfRule>
  </conditionalFormatting>
  <conditionalFormatting sqref="B95:E99">
    <cfRule type="expression" dxfId="2605" priority="116">
      <formula>"error.type(c3)=5"</formula>
    </cfRule>
    <cfRule type="expression" dxfId="2604" priority="117">
      <formula>ERROR.TYPE(B95)=2</formula>
    </cfRule>
    <cfRule type="expression" dxfId="2603" priority="118">
      <formula>ISNA(B95)</formula>
    </cfRule>
  </conditionalFormatting>
  <conditionalFormatting sqref="B101:E106">
    <cfRule type="expression" dxfId="2602" priority="15">
      <formula>"error.type(c3)=5"</formula>
    </cfRule>
    <cfRule type="expression" dxfId="2601" priority="16">
      <formula>ERROR.TYPE(B101)=2</formula>
    </cfRule>
    <cfRule type="expression" dxfId="2600" priority="17">
      <formula>ISNA(B101)</formula>
    </cfRule>
  </conditionalFormatting>
  <conditionalFormatting sqref="B112:E112 B118:E119 B276:E276 B278:E279">
    <cfRule type="expression" dxfId="2599" priority="161">
      <formula>"error.type(c3)=5"</formula>
    </cfRule>
    <cfRule type="expression" dxfId="2598" priority="162">
      <formula>ERROR.TYPE(B112)=2</formula>
    </cfRule>
    <cfRule type="expression" dxfId="2597" priority="163">
      <formula>ISNA(B112)</formula>
    </cfRule>
  </conditionalFormatting>
  <conditionalFormatting sqref="C31">
    <cfRule type="expression" dxfId="2596" priority="38">
      <formula>"error.type(c3)=5"</formula>
    </cfRule>
    <cfRule type="expression" dxfId="2595" priority="39">
      <formula>ERROR.TYPE(C31)=2</formula>
    </cfRule>
    <cfRule type="expression" dxfId="2594" priority="40">
      <formula>ISNA(C31)</formula>
    </cfRule>
  </conditionalFormatting>
  <conditionalFormatting sqref="C33:C40">
    <cfRule type="expression" dxfId="2593" priority="140">
      <formula>"error.type(c3)=5"</formula>
    </cfRule>
    <cfRule type="expression" dxfId="2592" priority="141">
      <formula>ERROR.TYPE(C33)=2</formula>
    </cfRule>
    <cfRule type="expression" dxfId="2591" priority="142">
      <formula>ISNA(C33)</formula>
    </cfRule>
  </conditionalFormatting>
  <conditionalFormatting sqref="C45:C49">
    <cfRule type="expression" dxfId="2590" priority="155">
      <formula>"error.type(c3)=5"</formula>
    </cfRule>
    <cfRule type="expression" dxfId="2589" priority="156">
      <formula>ERROR.TYPE(C45)=2</formula>
    </cfRule>
    <cfRule type="expression" dxfId="2588" priority="157">
      <formula>ISNA(C45)</formula>
    </cfRule>
  </conditionalFormatting>
  <conditionalFormatting sqref="C56:C59">
    <cfRule type="expression" dxfId="2587" priority="149">
      <formula>"error.type(c3)=5"</formula>
    </cfRule>
    <cfRule type="expression" dxfId="2586" priority="150">
      <formula>ERROR.TYPE(C56)=2</formula>
    </cfRule>
    <cfRule type="expression" dxfId="2585" priority="151">
      <formula>ISNA(C56)</formula>
    </cfRule>
  </conditionalFormatting>
  <conditionalFormatting sqref="C64">
    <cfRule type="expression" dxfId="2584" priority="146">
      <formula>"error.type(c3)=5"</formula>
    </cfRule>
    <cfRule type="expression" dxfId="2583" priority="147">
      <formula>ERROR.TYPE(C64)=2</formula>
    </cfRule>
    <cfRule type="expression" dxfId="2582" priority="148">
      <formula>ISNA(C64)</formula>
    </cfRule>
  </conditionalFormatting>
  <conditionalFormatting sqref="C78">
    <cfRule type="expression" dxfId="2581" priority="143">
      <formula>"error.type(c3)=5"</formula>
    </cfRule>
    <cfRule type="expression" dxfId="2580" priority="144">
      <formula>ERROR.TYPE(C78)=2</formula>
    </cfRule>
    <cfRule type="expression" dxfId="2579" priority="145">
      <formula>ISNA(C78)</formula>
    </cfRule>
  </conditionalFormatting>
  <conditionalFormatting sqref="C128:C130">
    <cfRule type="expression" dxfId="2578" priority="35">
      <formula>"error.type(c3)=5"</formula>
    </cfRule>
    <cfRule type="expression" dxfId="2577" priority="36">
      <formula>ERROR.TYPE(C128)=2</formula>
    </cfRule>
    <cfRule type="expression" dxfId="2576" priority="37">
      <formula>ISNA(C128)</formula>
    </cfRule>
  </conditionalFormatting>
  <conditionalFormatting sqref="C134:C139">
    <cfRule type="expression" dxfId="2575" priority="26">
      <formula>"error.type(c3)=5"</formula>
    </cfRule>
    <cfRule type="expression" dxfId="2574" priority="27">
      <formula>ERROR.TYPE(C134)=2</formula>
    </cfRule>
    <cfRule type="expression" dxfId="2573" priority="28">
      <formula>ISNA(C134)</formula>
    </cfRule>
  </conditionalFormatting>
  <conditionalFormatting sqref="C146:C149">
    <cfRule type="expression" dxfId="2572" priority="128">
      <formula>"error.type(c3)=5"</formula>
    </cfRule>
    <cfRule type="expression" dxfId="2571" priority="129">
      <formula>ERROR.TYPE(C146)=2</formula>
    </cfRule>
    <cfRule type="expression" dxfId="2570" priority="130">
      <formula>ISNA(C146)</formula>
    </cfRule>
  </conditionalFormatting>
  <conditionalFormatting sqref="C154">
    <cfRule type="expression" dxfId="2569" priority="125">
      <formula>"error.type(c3)=5"</formula>
    </cfRule>
    <cfRule type="expression" dxfId="2568" priority="126">
      <formula>ERROR.TYPE(C154)=2</formula>
    </cfRule>
    <cfRule type="expression" dxfId="2567" priority="127">
      <formula>ISNA(C154)</formula>
    </cfRule>
  </conditionalFormatting>
  <conditionalFormatting sqref="C168">
    <cfRule type="expression" dxfId="2566" priority="122">
      <formula>"error.type(c3)=5"</formula>
    </cfRule>
    <cfRule type="expression" dxfId="2565" priority="123">
      <formula>ERROR.TYPE(C168)=2</formula>
    </cfRule>
    <cfRule type="expression" dxfId="2564" priority="124">
      <formula>ISNA(C168)</formula>
    </cfRule>
  </conditionalFormatting>
  <conditionalFormatting sqref="C212">
    <cfRule type="expression" dxfId="2563" priority="32">
      <formula>"error.type(c3)=5"</formula>
    </cfRule>
    <cfRule type="expression" dxfId="2562" priority="33">
      <formula>ERROR.TYPE(C212)=2</formula>
    </cfRule>
    <cfRule type="expression" dxfId="2561" priority="34">
      <formula>ISNA(C212)</formula>
    </cfRule>
  </conditionalFormatting>
  <conditionalFormatting sqref="C214:C221">
    <cfRule type="expression" dxfId="2560" priority="41">
      <formula>"error.type(c3)=5"</formula>
    </cfRule>
    <cfRule type="expression" dxfId="2559" priority="42">
      <formula>ERROR.TYPE(C214)=2</formula>
    </cfRule>
    <cfRule type="expression" dxfId="2558" priority="43">
      <formula>ISNA(C214)</formula>
    </cfRule>
  </conditionalFormatting>
  <conditionalFormatting sqref="C225:C230">
    <cfRule type="expression" dxfId="2557" priority="23">
      <formula>"error.type(c3)=5"</formula>
    </cfRule>
    <cfRule type="expression" dxfId="2556" priority="24">
      <formula>ERROR.TYPE(C225)=2</formula>
    </cfRule>
    <cfRule type="expression" dxfId="2555" priority="25">
      <formula>ISNA(C225)</formula>
    </cfRule>
  </conditionalFormatting>
  <conditionalFormatting sqref="C237:C240">
    <cfRule type="expression" dxfId="2554" priority="95">
      <formula>"error.type(c3)=5"</formula>
    </cfRule>
    <cfRule type="expression" dxfId="2553" priority="96">
      <formula>ERROR.TYPE(C237)=2</formula>
    </cfRule>
    <cfRule type="expression" dxfId="2552" priority="97">
      <formula>ISNA(C237)</formula>
    </cfRule>
  </conditionalFormatting>
  <conditionalFormatting sqref="C245">
    <cfRule type="expression" dxfId="2551" priority="92">
      <formula>"error.type(c3)=5"</formula>
    </cfRule>
    <cfRule type="expression" dxfId="2550" priority="93">
      <formula>ERROR.TYPE(C245)=2</formula>
    </cfRule>
    <cfRule type="expression" dxfId="2549" priority="94">
      <formula>ISNA(C245)</formula>
    </cfRule>
  </conditionalFormatting>
  <conditionalFormatting sqref="C259">
    <cfRule type="expression" dxfId="2548" priority="89">
      <formula>"error.type(c3)=5"</formula>
    </cfRule>
    <cfRule type="expression" dxfId="2547" priority="90">
      <formula>ERROR.TYPE(C259)=2</formula>
    </cfRule>
    <cfRule type="expression" dxfId="2546" priority="91">
      <formula>ISNA(C259)</formula>
    </cfRule>
  </conditionalFormatting>
  <conditionalFormatting sqref="C277 C280">
    <cfRule type="expression" dxfId="2545" priority="50">
      <formula>"error.type(c3)=5"</formula>
    </cfRule>
    <cfRule type="expression" dxfId="2544" priority="51">
      <formula>ERROR.TYPE(C277)=2</formula>
    </cfRule>
    <cfRule type="expression" dxfId="2543" priority="52">
      <formula>ISNA(C277)</formula>
    </cfRule>
  </conditionalFormatting>
  <conditionalFormatting sqref="C282:C287">
    <cfRule type="expression" dxfId="2542" priority="9">
      <formula>"error.type(c3)=5"</formula>
    </cfRule>
    <cfRule type="expression" dxfId="2541" priority="10">
      <formula>ERROR.TYPE(C282)=2</formula>
    </cfRule>
    <cfRule type="expression" dxfId="2540" priority="11">
      <formula>ISNA(C282)</formula>
    </cfRule>
  </conditionalFormatting>
  <conditionalFormatting sqref="C293 C299">
    <cfRule type="expression" dxfId="2539" priority="53">
      <formula>"error.type(c3)=5"</formula>
    </cfRule>
    <cfRule type="expression" dxfId="2538" priority="54">
      <formula>ERROR.TYPE(C293)=2</formula>
    </cfRule>
    <cfRule type="expression" dxfId="2537" priority="55">
      <formula>ISNA(C293)</formula>
    </cfRule>
  </conditionalFormatting>
  <conditionalFormatting sqref="C309:C311">
    <cfRule type="expression" dxfId="2536" priority="29">
      <formula>"error.type(c3)=5"</formula>
    </cfRule>
    <cfRule type="expression" dxfId="2535" priority="30">
      <formula>ERROR.TYPE(C309)=2</formula>
    </cfRule>
    <cfRule type="expression" dxfId="2534" priority="31">
      <formula>ISNA(C309)</formula>
    </cfRule>
  </conditionalFormatting>
  <conditionalFormatting sqref="C315:C320">
    <cfRule type="expression" dxfId="2533" priority="20">
      <formula>"error.type(c3)=5"</formula>
    </cfRule>
    <cfRule type="expression" dxfId="2532" priority="21">
      <formula>ERROR.TYPE(C315)=2</formula>
    </cfRule>
    <cfRule type="expression" dxfId="2531" priority="22">
      <formula>ISNA(C315)</formula>
    </cfRule>
  </conditionalFormatting>
  <conditionalFormatting sqref="C327:C330">
    <cfRule type="expression" dxfId="2530" priority="74">
      <formula>"error.type(c3)=5"</formula>
    </cfRule>
    <cfRule type="expression" dxfId="2529" priority="75">
      <formula>ERROR.TYPE(C327)=2</formula>
    </cfRule>
    <cfRule type="expression" dxfId="2528" priority="76">
      <formula>ISNA(C327)</formula>
    </cfRule>
  </conditionalFormatting>
  <conditionalFormatting sqref="C335">
    <cfRule type="expression" dxfId="2527" priority="71">
      <formula>"error.type(c3)=5"</formula>
    </cfRule>
    <cfRule type="expression" dxfId="2526" priority="72">
      <formula>ERROR.TYPE(C335)=2</formula>
    </cfRule>
    <cfRule type="expression" dxfId="2525" priority="73">
      <formula>ISNA(C335)</formula>
    </cfRule>
  </conditionalFormatting>
  <conditionalFormatting sqref="C349">
    <cfRule type="expression" dxfId="2524" priority="68">
      <formula>"error.type(c3)=5"</formula>
    </cfRule>
    <cfRule type="expression" dxfId="2523" priority="69">
      <formula>ERROR.TYPE(C349)=2</formula>
    </cfRule>
    <cfRule type="expression" dxfId="2522" priority="70">
      <formula>ISNA(C349)</formula>
    </cfRule>
  </conditionalFormatting>
  <conditionalFormatting sqref="G28:G29">
    <cfRule type="cellIs" dxfId="2521" priority="7" operator="greaterThan">
      <formula>0</formula>
    </cfRule>
  </conditionalFormatting>
  <conditionalFormatting sqref="G91:AK91">
    <cfRule type="cellIs" dxfId="2520" priority="4" operator="lessThan">
      <formula>0</formula>
    </cfRule>
  </conditionalFormatting>
  <conditionalFormatting sqref="G181:AK181">
    <cfRule type="cellIs" dxfId="2519" priority="3" operator="lessThan">
      <formula>0</formula>
    </cfRule>
  </conditionalFormatting>
  <conditionalFormatting sqref="G272:AK272">
    <cfRule type="cellIs" dxfId="2518" priority="1" operator="lessThan">
      <formula>0</formula>
    </cfRule>
  </conditionalFormatting>
  <conditionalFormatting sqref="G362:AK362">
    <cfRule type="cellIs" dxfId="2517" priority="2" operator="lessThan">
      <formula>0</formula>
    </cfRule>
  </conditionalFormatting>
  <conditionalFormatting sqref="H29:CI29">
    <cfRule type="cellIs" dxfId="2516" priority="6" operator="greaterThan">
      <formula>0</formula>
    </cfRule>
  </conditionalFormatting>
  <hyperlinks>
    <hyperlink ref="B3" location="ESWHRT!B22" display="Table 3a: DYAA - Baseline" xr:uid="{B3AAB6F4-81E3-40DE-B254-83797E5EC060}"/>
    <hyperlink ref="C22" location="ESWHRT!$A$1" display="Back to top of sheet" xr:uid="{C714F9A6-7FA0-4500-A663-F61FDCBDE9A5}"/>
    <hyperlink ref="B4" location="ESWHRT!B93" display="Table 3b: DYAA - Final plan Options" xr:uid="{88964DEF-ECDA-4F03-9B6E-D49AE879C2EA}"/>
    <hyperlink ref="C93" location="ESWHRT!$A$1" display="Back to top of sheet" xr:uid="{A12725FB-CBD0-491D-8E12-7B0214612946}"/>
    <hyperlink ref="B5" location="ESWHRT!B120" display="Table 3c: DYAA - Final plan" xr:uid="{F55AD68B-507F-42E6-8400-107ED559B01F}"/>
    <hyperlink ref="C120" location="ESWHRT!$A$1" display="Back to top of sheet" xr:uid="{692FC5A8-DC8C-4759-A6B4-94E7EE78B052}"/>
    <hyperlink ref="B6" location="ESWHRT!B203" display="Table 3d: DYCP - Baseline" xr:uid="{696A1A28-F271-4085-9DA9-D2C85C17B080}"/>
    <hyperlink ref="C203" location="ESWHRT!$A$1" display="Back to top of sheet" xr:uid="{8A039966-D35B-49C6-90DB-3CEC78348F9F}"/>
    <hyperlink ref="B7" location="ESWHRT!B274" display="Table 3e: DYCP - Final plan Options" xr:uid="{7B64459A-32EC-4D8B-B70F-4973CB0AFF47}"/>
    <hyperlink ref="C274" location="ESWHRT!$A$1" display="Back to top of sheet" xr:uid="{6C444EC8-9C4D-43CA-B277-80E295B57157}"/>
    <hyperlink ref="B8" location="ESWHRT!B301" display="Table 3f: DYCP - Final plan" xr:uid="{B424B6A4-EF2E-4720-A3DB-9478DB2027AF}"/>
    <hyperlink ref="C301" location="ESWHRT!$A$1" display="Back to top of sheet" xr:uid="{7CA0D95C-5610-4574-BB37-E2BDC223BDFB}"/>
  </hyperlinks>
  <pageMargins left="0.7" right="0.7" top="0.75" bottom="0.75" header="0.3" footer="0.3"/>
  <pageSetup paperSize="9" orientation="portrait" r:id="rId1"/>
  <drawing r:id="rId2"/>
  <legacyDrawing r:id="rId3"/>
  <tableParts count="6">
    <tablePart r:id="rId4"/>
    <tablePart r:id="rId5"/>
    <tablePart r:id="rId6"/>
    <tablePart r:id="rId7"/>
    <tablePart r:id="rId8"/>
    <tablePart r:id="rId9"/>
  </tableParts>
  <extLst>
    <ext xmlns:x14="http://schemas.microsoft.com/office/spreadsheetml/2009/9/main" uri="{05C60535-1F16-4fd2-B633-F4F36F0B64E0}">
      <x14:sparklineGroups xmlns:xm="http://schemas.microsoft.com/office/excel/2006/main">
        <x14:sparklineGroup displayEmptyCellsAs="gap" high="1" low="1" negative="1" xr2:uid="{54BA7E92-E4DD-440C-9226-8C71663E5068}">
          <x14:colorSeries rgb="FF376092"/>
          <x14:colorNegative rgb="FFD00000"/>
          <x14:colorAxis rgb="FF000000"/>
          <x14:colorMarkers rgb="FFD00000"/>
          <x14:colorFirst rgb="FFD00000"/>
          <x14:colorLast rgb="FFD00000"/>
          <x14:colorHigh rgb="FFD00000"/>
          <x14:colorLow rgb="FFD00000"/>
          <x14:sparklines>
            <x14:sparkline>
              <xm:f>ESWHRT!G66:CI66</xm:f>
              <xm:sqref>F66</xm:sqref>
            </x14:sparkline>
            <x14:sparkline>
              <xm:f>ESWHRT!G67:CI67</xm:f>
              <xm:sqref>F67</xm:sqref>
            </x14:sparkline>
            <x14:sparkline>
              <xm:f>ESWHRT!G68:CI68</xm:f>
              <xm:sqref>F68</xm:sqref>
            </x14:sparkline>
            <x14:sparkline>
              <xm:f>ESWHRT!G69:CI69</xm:f>
              <xm:sqref>F69</xm:sqref>
            </x14:sparkline>
            <x14:sparkline>
              <xm:f>ESWHRT!G70:CI70</xm:f>
              <xm:sqref>F70</xm:sqref>
            </x14:sparkline>
            <x14:sparkline>
              <xm:f>ESWHRT!G71:CI71</xm:f>
              <xm:sqref>F71</xm:sqref>
            </x14:sparkline>
            <x14:sparkline>
              <xm:f>ESWHRT!G72:CI72</xm:f>
              <xm:sqref>F72</xm:sqref>
            </x14:sparkline>
          </x14:sparklines>
        </x14:sparklineGroup>
        <x14:sparklineGroup displayEmptyCellsAs="gap" high="1" low="1" negative="1" xr2:uid="{F4B2FD6F-1E9B-4CFC-AB37-D3A6531A445F}">
          <x14:colorSeries rgb="FF376092"/>
          <x14:colorNegative rgb="FFD00000"/>
          <x14:colorAxis rgb="FF000000"/>
          <x14:colorMarkers rgb="FFD00000"/>
          <x14:colorFirst rgb="FFD00000"/>
          <x14:colorLast rgb="FFD00000"/>
          <x14:colorHigh rgb="FFD00000"/>
          <x14:colorLow rgb="FFD00000"/>
          <x14:sparklines>
            <x14:sparkline>
              <xm:f>ESWHRT!G156:CI156</xm:f>
              <xm:sqref>F156</xm:sqref>
            </x14:sparkline>
            <x14:sparkline>
              <xm:f>ESWHRT!G157:CI157</xm:f>
              <xm:sqref>F157</xm:sqref>
            </x14:sparkline>
            <x14:sparkline>
              <xm:f>ESWHRT!G158:CI158</xm:f>
              <xm:sqref>F158</xm:sqref>
            </x14:sparkline>
            <x14:sparkline>
              <xm:f>ESWHRT!G159:CI159</xm:f>
              <xm:sqref>F159</xm:sqref>
            </x14:sparkline>
            <x14:sparkline>
              <xm:f>ESWHRT!G160:CI160</xm:f>
              <xm:sqref>F160</xm:sqref>
            </x14:sparkline>
            <x14:sparkline>
              <xm:f>ESWHRT!G161:CI161</xm:f>
              <xm:sqref>F161</xm:sqref>
            </x14:sparkline>
            <x14:sparkline>
              <xm:f>ESWHRT!G162:CI162</xm:f>
              <xm:sqref>F162</xm:sqref>
            </x14:sparkline>
          </x14:sparklines>
        </x14:sparklineGroup>
        <x14:sparklineGroup displayEmptyCellsAs="gap" high="1" low="1" negative="1" xr2:uid="{832936A6-016D-4BB5-9F90-FC9228A17029}">
          <x14:colorSeries rgb="FF376092"/>
          <x14:colorNegative rgb="FFD00000"/>
          <x14:colorAxis rgb="FF000000"/>
          <x14:colorMarkers rgb="FFD00000"/>
          <x14:colorFirst rgb="FFD00000"/>
          <x14:colorLast rgb="FFD00000"/>
          <x14:colorHigh rgb="FFD00000"/>
          <x14:colorLow rgb="FFD00000"/>
          <x14:sparklines>
            <x14:sparkline>
              <xm:f>ESWHRT!G337:CI337</xm:f>
              <xm:sqref>F337</xm:sqref>
            </x14:sparkline>
            <x14:sparkline>
              <xm:f>ESWHRT!G338:CI338</xm:f>
              <xm:sqref>F338</xm:sqref>
            </x14:sparkline>
            <x14:sparkline>
              <xm:f>ESWHRT!G339:CI339</xm:f>
              <xm:sqref>F339</xm:sqref>
            </x14:sparkline>
            <x14:sparkline>
              <xm:f>ESWHRT!G340:CI340</xm:f>
              <xm:sqref>F340</xm:sqref>
            </x14:sparkline>
            <x14:sparkline>
              <xm:f>ESWHRT!G341:CI341</xm:f>
              <xm:sqref>F341</xm:sqref>
            </x14:sparkline>
            <x14:sparkline>
              <xm:f>ESWHRT!G342:CI342</xm:f>
              <xm:sqref>F342</xm:sqref>
            </x14:sparkline>
            <x14:sparkline>
              <xm:f>ESWHRT!G343:CI343</xm:f>
              <xm:sqref>F343</xm:sqref>
            </x14:sparkline>
          </x14:sparklines>
        </x14:sparklineGroup>
      </x14:sparklineGroup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C54D01-24A6-44A8-9252-2F6553576F49}">
  <sheetPr codeName="Sheet4"/>
  <dimension ref="A1:CK402"/>
  <sheetViews>
    <sheetView showOutlineSymbols="0" showWhiteSpace="0" workbookViewId="0">
      <selection activeCell="A202" sqref="A1:XFD1048576"/>
    </sheetView>
  </sheetViews>
  <sheetFormatPr defaultColWidth="9" defaultRowHeight="14.25" x14ac:dyDescent="0.2"/>
  <cols>
    <col min="1" max="1" width="3.6640625" style="1284" customWidth="1"/>
    <col min="2" max="2" width="10.109375" style="1284" customWidth="1"/>
    <col min="3" max="3" width="33.6640625" style="1284" customWidth="1"/>
    <col min="4" max="4" width="33.109375" style="1284" customWidth="1"/>
    <col min="5" max="5" width="7.44140625" style="1284" customWidth="1"/>
    <col min="6" max="6" width="14" style="1284" customWidth="1"/>
    <col min="7" max="86" width="8" style="1284" customWidth="1"/>
    <col min="87" max="87" width="8.6640625" style="1284" customWidth="1"/>
    <col min="88" max="88" width="8" style="1284" bestFit="1" customWidth="1"/>
    <col min="89" max="89" width="10.109375" style="1284" customWidth="1"/>
    <col min="90" max="90" width="42.6640625" style="1284" customWidth="1"/>
    <col min="91" max="91" width="4.109375" style="1284" customWidth="1"/>
    <col min="92" max="92" width="9" style="1284" customWidth="1"/>
    <col min="93" max="93" width="6.6640625" style="1284" customWidth="1"/>
    <col min="94" max="94" width="4.109375" style="1284" customWidth="1"/>
    <col min="95" max="96" width="4.5546875" style="1284" customWidth="1"/>
    <col min="97" max="97" width="4.6640625" style="1284" customWidth="1"/>
    <col min="98" max="98" width="7.5546875" style="1284" customWidth="1"/>
    <col min="99" max="99" width="6.6640625" style="1284" customWidth="1"/>
    <col min="100" max="100" width="4.5546875" style="1284" customWidth="1"/>
    <col min="101" max="103" width="5.109375" style="1284" customWidth="1"/>
    <col min="104" max="104" width="4.6640625" style="1284" customWidth="1"/>
    <col min="105" max="105" width="3.5546875" style="1284" customWidth="1"/>
    <col min="106" max="107" width="5.109375" style="1284" customWidth="1"/>
    <col min="108" max="235" width="9" style="1284"/>
    <col min="236" max="236" width="1.109375" style="1284" customWidth="1"/>
    <col min="237" max="237" width="8" style="1284" customWidth="1"/>
    <col min="238" max="238" width="8.44140625" style="1284" customWidth="1"/>
    <col min="239" max="239" width="23.6640625" style="1284" customWidth="1"/>
    <col min="240" max="240" width="21.6640625" style="1284" customWidth="1"/>
    <col min="241" max="241" width="9.44140625" style="1284" customWidth="1"/>
    <col min="242" max="242" width="8.109375" style="1284" bestFit="1" customWidth="1"/>
    <col min="243" max="243" width="16.109375" style="1284" customWidth="1"/>
    <col min="244" max="271" width="11.6640625" style="1284" customWidth="1"/>
    <col min="272" max="491" width="9" style="1284"/>
    <col min="492" max="492" width="1.109375" style="1284" customWidth="1"/>
    <col min="493" max="493" width="8" style="1284" customWidth="1"/>
    <col min="494" max="494" width="8.44140625" style="1284" customWidth="1"/>
    <col min="495" max="495" width="23.6640625" style="1284" customWidth="1"/>
    <col min="496" max="496" width="21.6640625" style="1284" customWidth="1"/>
    <col min="497" max="497" width="9.44140625" style="1284" customWidth="1"/>
    <col min="498" max="498" width="8.109375" style="1284" bestFit="1" customWidth="1"/>
    <col min="499" max="499" width="16.109375" style="1284" customWidth="1"/>
    <col min="500" max="527" width="11.6640625" style="1284" customWidth="1"/>
    <col min="528" max="747" width="9" style="1284"/>
    <col min="748" max="748" width="1.109375" style="1284" customWidth="1"/>
    <col min="749" max="749" width="8" style="1284" customWidth="1"/>
    <col min="750" max="750" width="8.44140625" style="1284" customWidth="1"/>
    <col min="751" max="751" width="23.6640625" style="1284" customWidth="1"/>
    <col min="752" max="752" width="21.6640625" style="1284" customWidth="1"/>
    <col min="753" max="753" width="9.44140625" style="1284" customWidth="1"/>
    <col min="754" max="754" width="8.109375" style="1284" bestFit="1" customWidth="1"/>
    <col min="755" max="755" width="16.109375" style="1284" customWidth="1"/>
    <col min="756" max="783" width="11.6640625" style="1284" customWidth="1"/>
    <col min="784" max="1003" width="9" style="1284"/>
    <col min="1004" max="1004" width="1.109375" style="1284" customWidth="1"/>
    <col min="1005" max="1005" width="8" style="1284" customWidth="1"/>
    <col min="1006" max="1006" width="8.44140625" style="1284" customWidth="1"/>
    <col min="1007" max="1007" width="23.6640625" style="1284" customWidth="1"/>
    <col min="1008" max="1008" width="21.6640625" style="1284" customWidth="1"/>
    <col min="1009" max="1009" width="9.44140625" style="1284" customWidth="1"/>
    <col min="1010" max="1010" width="8.109375" style="1284" bestFit="1" customWidth="1"/>
    <col min="1011" max="1011" width="16.109375" style="1284" customWidth="1"/>
    <col min="1012" max="1039" width="11.6640625" style="1284" customWidth="1"/>
    <col min="1040" max="1259" width="9" style="1284"/>
    <col min="1260" max="1260" width="1.109375" style="1284" customWidth="1"/>
    <col min="1261" max="1261" width="8" style="1284" customWidth="1"/>
    <col min="1262" max="1262" width="8.44140625" style="1284" customWidth="1"/>
    <col min="1263" max="1263" width="23.6640625" style="1284" customWidth="1"/>
    <col min="1264" max="1264" width="21.6640625" style="1284" customWidth="1"/>
    <col min="1265" max="1265" width="9.44140625" style="1284" customWidth="1"/>
    <col min="1266" max="1266" width="8.109375" style="1284" bestFit="1" customWidth="1"/>
    <col min="1267" max="1267" width="16.109375" style="1284" customWidth="1"/>
    <col min="1268" max="1295" width="11.6640625" style="1284" customWidth="1"/>
    <col min="1296" max="1515" width="9" style="1284"/>
    <col min="1516" max="1516" width="1.109375" style="1284" customWidth="1"/>
    <col min="1517" max="1517" width="8" style="1284" customWidth="1"/>
    <col min="1518" max="1518" width="8.44140625" style="1284" customWidth="1"/>
    <col min="1519" max="1519" width="23.6640625" style="1284" customWidth="1"/>
    <col min="1520" max="1520" width="21.6640625" style="1284" customWidth="1"/>
    <col min="1521" max="1521" width="9.44140625" style="1284" customWidth="1"/>
    <col min="1522" max="1522" width="8.109375" style="1284" bestFit="1" customWidth="1"/>
    <col min="1523" max="1523" width="16.109375" style="1284" customWidth="1"/>
    <col min="1524" max="1551" width="11.6640625" style="1284" customWidth="1"/>
    <col min="1552" max="1771" width="9" style="1284"/>
    <col min="1772" max="1772" width="1.109375" style="1284" customWidth="1"/>
    <col min="1773" max="1773" width="8" style="1284" customWidth="1"/>
    <col min="1774" max="1774" width="8.44140625" style="1284" customWidth="1"/>
    <col min="1775" max="1775" width="23.6640625" style="1284" customWidth="1"/>
    <col min="1776" max="1776" width="21.6640625" style="1284" customWidth="1"/>
    <col min="1777" max="1777" width="9.44140625" style="1284" customWidth="1"/>
    <col min="1778" max="1778" width="8.109375" style="1284" bestFit="1" customWidth="1"/>
    <col min="1779" max="1779" width="16.109375" style="1284" customWidth="1"/>
    <col min="1780" max="1807" width="11.6640625" style="1284" customWidth="1"/>
    <col min="1808" max="2027" width="9" style="1284"/>
    <col min="2028" max="2028" width="1.109375" style="1284" customWidth="1"/>
    <col min="2029" max="2029" width="8" style="1284" customWidth="1"/>
    <col min="2030" max="2030" width="8.44140625" style="1284" customWidth="1"/>
    <col min="2031" max="2031" width="23.6640625" style="1284" customWidth="1"/>
    <col min="2032" max="2032" width="21.6640625" style="1284" customWidth="1"/>
    <col min="2033" max="2033" width="9.44140625" style="1284" customWidth="1"/>
    <col min="2034" max="2034" width="8.109375" style="1284" bestFit="1" customWidth="1"/>
    <col min="2035" max="2035" width="16.109375" style="1284" customWidth="1"/>
    <col min="2036" max="2063" width="11.6640625" style="1284" customWidth="1"/>
    <col min="2064" max="2283" width="9" style="1284"/>
    <col min="2284" max="2284" width="1.109375" style="1284" customWidth="1"/>
    <col min="2285" max="2285" width="8" style="1284" customWidth="1"/>
    <col min="2286" max="2286" width="8.44140625" style="1284" customWidth="1"/>
    <col min="2287" max="2287" width="23.6640625" style="1284" customWidth="1"/>
    <col min="2288" max="2288" width="21.6640625" style="1284" customWidth="1"/>
    <col min="2289" max="2289" width="9.44140625" style="1284" customWidth="1"/>
    <col min="2290" max="2290" width="8.109375" style="1284" bestFit="1" customWidth="1"/>
    <col min="2291" max="2291" width="16.109375" style="1284" customWidth="1"/>
    <col min="2292" max="2319" width="11.6640625" style="1284" customWidth="1"/>
    <col min="2320" max="2539" width="9" style="1284"/>
    <col min="2540" max="2540" width="1.109375" style="1284" customWidth="1"/>
    <col min="2541" max="2541" width="8" style="1284" customWidth="1"/>
    <col min="2542" max="2542" width="8.44140625" style="1284" customWidth="1"/>
    <col min="2543" max="2543" width="23.6640625" style="1284" customWidth="1"/>
    <col min="2544" max="2544" width="21.6640625" style="1284" customWidth="1"/>
    <col min="2545" max="2545" width="9.44140625" style="1284" customWidth="1"/>
    <col min="2546" max="2546" width="8.109375" style="1284" bestFit="1" customWidth="1"/>
    <col min="2547" max="2547" width="16.109375" style="1284" customWidth="1"/>
    <col min="2548" max="2575" width="11.6640625" style="1284" customWidth="1"/>
    <col min="2576" max="2795" width="9" style="1284"/>
    <col min="2796" max="2796" width="1.109375" style="1284" customWidth="1"/>
    <col min="2797" max="2797" width="8" style="1284" customWidth="1"/>
    <col min="2798" max="2798" width="8.44140625" style="1284" customWidth="1"/>
    <col min="2799" max="2799" width="23.6640625" style="1284" customWidth="1"/>
    <col min="2800" max="2800" width="21.6640625" style="1284" customWidth="1"/>
    <col min="2801" max="2801" width="9.44140625" style="1284" customWidth="1"/>
    <col min="2802" max="2802" width="8.109375" style="1284" bestFit="1" customWidth="1"/>
    <col min="2803" max="2803" width="16.109375" style="1284" customWidth="1"/>
    <col min="2804" max="2831" width="11.6640625" style="1284" customWidth="1"/>
    <col min="2832" max="3051" width="9" style="1284"/>
    <col min="3052" max="3052" width="1.109375" style="1284" customWidth="1"/>
    <col min="3053" max="3053" width="8" style="1284" customWidth="1"/>
    <col min="3054" max="3054" width="8.44140625" style="1284" customWidth="1"/>
    <col min="3055" max="3055" width="23.6640625" style="1284" customWidth="1"/>
    <col min="3056" max="3056" width="21.6640625" style="1284" customWidth="1"/>
    <col min="3057" max="3057" width="9.44140625" style="1284" customWidth="1"/>
    <col min="3058" max="3058" width="8.109375" style="1284" bestFit="1" customWidth="1"/>
    <col min="3059" max="3059" width="16.109375" style="1284" customWidth="1"/>
    <col min="3060" max="3087" width="11.6640625" style="1284" customWidth="1"/>
    <col min="3088" max="3307" width="9" style="1284"/>
    <col min="3308" max="3308" width="1.109375" style="1284" customWidth="1"/>
    <col min="3309" max="3309" width="8" style="1284" customWidth="1"/>
    <col min="3310" max="3310" width="8.44140625" style="1284" customWidth="1"/>
    <col min="3311" max="3311" width="23.6640625" style="1284" customWidth="1"/>
    <col min="3312" max="3312" width="21.6640625" style="1284" customWidth="1"/>
    <col min="3313" max="3313" width="9.44140625" style="1284" customWidth="1"/>
    <col min="3314" max="3314" width="8.109375" style="1284" bestFit="1" customWidth="1"/>
    <col min="3315" max="3315" width="16.109375" style="1284" customWidth="1"/>
    <col min="3316" max="3343" width="11.6640625" style="1284" customWidth="1"/>
    <col min="3344" max="3563" width="9" style="1284"/>
    <col min="3564" max="3564" width="1.109375" style="1284" customWidth="1"/>
    <col min="3565" max="3565" width="8" style="1284" customWidth="1"/>
    <col min="3566" max="3566" width="8.44140625" style="1284" customWidth="1"/>
    <col min="3567" max="3567" width="23.6640625" style="1284" customWidth="1"/>
    <col min="3568" max="3568" width="21.6640625" style="1284" customWidth="1"/>
    <col min="3569" max="3569" width="9.44140625" style="1284" customWidth="1"/>
    <col min="3570" max="3570" width="8.109375" style="1284" bestFit="1" customWidth="1"/>
    <col min="3571" max="3571" width="16.109375" style="1284" customWidth="1"/>
    <col min="3572" max="3599" width="11.6640625" style="1284" customWidth="1"/>
    <col min="3600" max="3819" width="9" style="1284"/>
    <col min="3820" max="3820" width="1.109375" style="1284" customWidth="1"/>
    <col min="3821" max="3821" width="8" style="1284" customWidth="1"/>
    <col min="3822" max="3822" width="8.44140625" style="1284" customWidth="1"/>
    <col min="3823" max="3823" width="23.6640625" style="1284" customWidth="1"/>
    <col min="3824" max="3824" width="21.6640625" style="1284" customWidth="1"/>
    <col min="3825" max="3825" width="9.44140625" style="1284" customWidth="1"/>
    <col min="3826" max="3826" width="8.109375" style="1284" bestFit="1" customWidth="1"/>
    <col min="3827" max="3827" width="16.109375" style="1284" customWidth="1"/>
    <col min="3828" max="3855" width="11.6640625" style="1284" customWidth="1"/>
    <col min="3856" max="4075" width="9" style="1284"/>
    <col min="4076" max="4076" width="1.109375" style="1284" customWidth="1"/>
    <col min="4077" max="4077" width="8" style="1284" customWidth="1"/>
    <col min="4078" max="4078" width="8.44140625" style="1284" customWidth="1"/>
    <col min="4079" max="4079" width="23.6640625" style="1284" customWidth="1"/>
    <col min="4080" max="4080" width="21.6640625" style="1284" customWidth="1"/>
    <col min="4081" max="4081" width="9.44140625" style="1284" customWidth="1"/>
    <col min="4082" max="4082" width="8.109375" style="1284" bestFit="1" customWidth="1"/>
    <col min="4083" max="4083" width="16.109375" style="1284" customWidth="1"/>
    <col min="4084" max="4111" width="11.6640625" style="1284" customWidth="1"/>
    <col min="4112" max="4331" width="9" style="1284"/>
    <col min="4332" max="4332" width="1.109375" style="1284" customWidth="1"/>
    <col min="4333" max="4333" width="8" style="1284" customWidth="1"/>
    <col min="4334" max="4334" width="8.44140625" style="1284" customWidth="1"/>
    <col min="4335" max="4335" width="23.6640625" style="1284" customWidth="1"/>
    <col min="4336" max="4336" width="21.6640625" style="1284" customWidth="1"/>
    <col min="4337" max="4337" width="9.44140625" style="1284" customWidth="1"/>
    <col min="4338" max="4338" width="8.109375" style="1284" bestFit="1" customWidth="1"/>
    <col min="4339" max="4339" width="16.109375" style="1284" customWidth="1"/>
    <col min="4340" max="4367" width="11.6640625" style="1284" customWidth="1"/>
    <col min="4368" max="4587" width="9" style="1284"/>
    <col min="4588" max="4588" width="1.109375" style="1284" customWidth="1"/>
    <col min="4589" max="4589" width="8" style="1284" customWidth="1"/>
    <col min="4590" max="4590" width="8.44140625" style="1284" customWidth="1"/>
    <col min="4591" max="4591" width="23.6640625" style="1284" customWidth="1"/>
    <col min="4592" max="4592" width="21.6640625" style="1284" customWidth="1"/>
    <col min="4593" max="4593" width="9.44140625" style="1284" customWidth="1"/>
    <col min="4594" max="4594" width="8.109375" style="1284" bestFit="1" customWidth="1"/>
    <col min="4595" max="4595" width="16.109375" style="1284" customWidth="1"/>
    <col min="4596" max="4623" width="11.6640625" style="1284" customWidth="1"/>
    <col min="4624" max="4843" width="9" style="1284"/>
    <col min="4844" max="4844" width="1.109375" style="1284" customWidth="1"/>
    <col min="4845" max="4845" width="8" style="1284" customWidth="1"/>
    <col min="4846" max="4846" width="8.44140625" style="1284" customWidth="1"/>
    <col min="4847" max="4847" width="23.6640625" style="1284" customWidth="1"/>
    <col min="4848" max="4848" width="21.6640625" style="1284" customWidth="1"/>
    <col min="4849" max="4849" width="9.44140625" style="1284" customWidth="1"/>
    <col min="4850" max="4850" width="8.109375" style="1284" bestFit="1" customWidth="1"/>
    <col min="4851" max="4851" width="16.109375" style="1284" customWidth="1"/>
    <col min="4852" max="4879" width="11.6640625" style="1284" customWidth="1"/>
    <col min="4880" max="5099" width="9" style="1284"/>
    <col min="5100" max="5100" width="1.109375" style="1284" customWidth="1"/>
    <col min="5101" max="5101" width="8" style="1284" customWidth="1"/>
    <col min="5102" max="5102" width="8.44140625" style="1284" customWidth="1"/>
    <col min="5103" max="5103" width="23.6640625" style="1284" customWidth="1"/>
    <col min="5104" max="5104" width="21.6640625" style="1284" customWidth="1"/>
    <col min="5105" max="5105" width="9.44140625" style="1284" customWidth="1"/>
    <col min="5106" max="5106" width="8.109375" style="1284" bestFit="1" customWidth="1"/>
    <col min="5107" max="5107" width="16.109375" style="1284" customWidth="1"/>
    <col min="5108" max="5135" width="11.6640625" style="1284" customWidth="1"/>
    <col min="5136" max="5355" width="9" style="1284"/>
    <col min="5356" max="5356" width="1.109375" style="1284" customWidth="1"/>
    <col min="5357" max="5357" width="8" style="1284" customWidth="1"/>
    <col min="5358" max="5358" width="8.44140625" style="1284" customWidth="1"/>
    <col min="5359" max="5359" width="23.6640625" style="1284" customWidth="1"/>
    <col min="5360" max="5360" width="21.6640625" style="1284" customWidth="1"/>
    <col min="5361" max="5361" width="9.44140625" style="1284" customWidth="1"/>
    <col min="5362" max="5362" width="8.109375" style="1284" bestFit="1" customWidth="1"/>
    <col min="5363" max="5363" width="16.109375" style="1284" customWidth="1"/>
    <col min="5364" max="5391" width="11.6640625" style="1284" customWidth="1"/>
    <col min="5392" max="5611" width="9" style="1284"/>
    <col min="5612" max="5612" width="1.109375" style="1284" customWidth="1"/>
    <col min="5613" max="5613" width="8" style="1284" customWidth="1"/>
    <col min="5614" max="5614" width="8.44140625" style="1284" customWidth="1"/>
    <col min="5615" max="5615" width="23.6640625" style="1284" customWidth="1"/>
    <col min="5616" max="5616" width="21.6640625" style="1284" customWidth="1"/>
    <col min="5617" max="5617" width="9.44140625" style="1284" customWidth="1"/>
    <col min="5618" max="5618" width="8.109375" style="1284" bestFit="1" customWidth="1"/>
    <col min="5619" max="5619" width="16.109375" style="1284" customWidth="1"/>
    <col min="5620" max="5647" width="11.6640625" style="1284" customWidth="1"/>
    <col min="5648" max="5867" width="9" style="1284"/>
    <col min="5868" max="5868" width="1.109375" style="1284" customWidth="1"/>
    <col min="5869" max="5869" width="8" style="1284" customWidth="1"/>
    <col min="5870" max="5870" width="8.44140625" style="1284" customWidth="1"/>
    <col min="5871" max="5871" width="23.6640625" style="1284" customWidth="1"/>
    <col min="5872" max="5872" width="21.6640625" style="1284" customWidth="1"/>
    <col min="5873" max="5873" width="9.44140625" style="1284" customWidth="1"/>
    <col min="5874" max="5874" width="8.109375" style="1284" bestFit="1" customWidth="1"/>
    <col min="5875" max="5875" width="16.109375" style="1284" customWidth="1"/>
    <col min="5876" max="5903" width="11.6640625" style="1284" customWidth="1"/>
    <col min="5904" max="6123" width="9" style="1284"/>
    <col min="6124" max="6124" width="1.109375" style="1284" customWidth="1"/>
    <col min="6125" max="6125" width="8" style="1284" customWidth="1"/>
    <col min="6126" max="6126" width="8.44140625" style="1284" customWidth="1"/>
    <col min="6127" max="6127" width="23.6640625" style="1284" customWidth="1"/>
    <col min="6128" max="6128" width="21.6640625" style="1284" customWidth="1"/>
    <col min="6129" max="6129" width="9.44140625" style="1284" customWidth="1"/>
    <col min="6130" max="6130" width="8.109375" style="1284" bestFit="1" customWidth="1"/>
    <col min="6131" max="6131" width="16.109375" style="1284" customWidth="1"/>
    <col min="6132" max="6159" width="11.6640625" style="1284" customWidth="1"/>
    <col min="6160" max="6379" width="9" style="1284"/>
    <col min="6380" max="6380" width="1.109375" style="1284" customWidth="1"/>
    <col min="6381" max="6381" width="8" style="1284" customWidth="1"/>
    <col min="6382" max="6382" width="8.44140625" style="1284" customWidth="1"/>
    <col min="6383" max="6383" width="23.6640625" style="1284" customWidth="1"/>
    <col min="6384" max="6384" width="21.6640625" style="1284" customWidth="1"/>
    <col min="6385" max="6385" width="9.44140625" style="1284" customWidth="1"/>
    <col min="6386" max="6386" width="8.109375" style="1284" bestFit="1" customWidth="1"/>
    <col min="6387" max="6387" width="16.109375" style="1284" customWidth="1"/>
    <col min="6388" max="6415" width="11.6640625" style="1284" customWidth="1"/>
    <col min="6416" max="6635" width="9" style="1284"/>
    <col min="6636" max="6636" width="1.109375" style="1284" customWidth="1"/>
    <col min="6637" max="6637" width="8" style="1284" customWidth="1"/>
    <col min="6638" max="6638" width="8.44140625" style="1284" customWidth="1"/>
    <col min="6639" max="6639" width="23.6640625" style="1284" customWidth="1"/>
    <col min="6640" max="6640" width="21.6640625" style="1284" customWidth="1"/>
    <col min="6641" max="6641" width="9.44140625" style="1284" customWidth="1"/>
    <col min="6642" max="6642" width="8.109375" style="1284" bestFit="1" customWidth="1"/>
    <col min="6643" max="6643" width="16.109375" style="1284" customWidth="1"/>
    <col min="6644" max="6671" width="11.6640625" style="1284" customWidth="1"/>
    <col min="6672" max="6891" width="9" style="1284"/>
    <col min="6892" max="6892" width="1.109375" style="1284" customWidth="1"/>
    <col min="6893" max="6893" width="8" style="1284" customWidth="1"/>
    <col min="6894" max="6894" width="8.44140625" style="1284" customWidth="1"/>
    <col min="6895" max="6895" width="23.6640625" style="1284" customWidth="1"/>
    <col min="6896" max="6896" width="21.6640625" style="1284" customWidth="1"/>
    <col min="6897" max="6897" width="9.44140625" style="1284" customWidth="1"/>
    <col min="6898" max="6898" width="8.109375" style="1284" bestFit="1" customWidth="1"/>
    <col min="6899" max="6899" width="16.109375" style="1284" customWidth="1"/>
    <col min="6900" max="6927" width="11.6640625" style="1284" customWidth="1"/>
    <col min="6928" max="7147" width="9" style="1284"/>
    <col min="7148" max="7148" width="1.109375" style="1284" customWidth="1"/>
    <col min="7149" max="7149" width="8" style="1284" customWidth="1"/>
    <col min="7150" max="7150" width="8.44140625" style="1284" customWidth="1"/>
    <col min="7151" max="7151" width="23.6640625" style="1284" customWidth="1"/>
    <col min="7152" max="7152" width="21.6640625" style="1284" customWidth="1"/>
    <col min="7153" max="7153" width="9.44140625" style="1284" customWidth="1"/>
    <col min="7154" max="7154" width="8.109375" style="1284" bestFit="1" customWidth="1"/>
    <col min="7155" max="7155" width="16.109375" style="1284" customWidth="1"/>
    <col min="7156" max="7183" width="11.6640625" style="1284" customWidth="1"/>
    <col min="7184" max="7403" width="9" style="1284"/>
    <col min="7404" max="7404" width="1.109375" style="1284" customWidth="1"/>
    <col min="7405" max="7405" width="8" style="1284" customWidth="1"/>
    <col min="7406" max="7406" width="8.44140625" style="1284" customWidth="1"/>
    <col min="7407" max="7407" width="23.6640625" style="1284" customWidth="1"/>
    <col min="7408" max="7408" width="21.6640625" style="1284" customWidth="1"/>
    <col min="7409" max="7409" width="9.44140625" style="1284" customWidth="1"/>
    <col min="7410" max="7410" width="8.109375" style="1284" bestFit="1" customWidth="1"/>
    <col min="7411" max="7411" width="16.109375" style="1284" customWidth="1"/>
    <col min="7412" max="7439" width="11.6640625" style="1284" customWidth="1"/>
    <col min="7440" max="7659" width="9" style="1284"/>
    <col min="7660" max="7660" width="1.109375" style="1284" customWidth="1"/>
    <col min="7661" max="7661" width="8" style="1284" customWidth="1"/>
    <col min="7662" max="7662" width="8.44140625" style="1284" customWidth="1"/>
    <col min="7663" max="7663" width="23.6640625" style="1284" customWidth="1"/>
    <col min="7664" max="7664" width="21.6640625" style="1284" customWidth="1"/>
    <col min="7665" max="7665" width="9.44140625" style="1284" customWidth="1"/>
    <col min="7666" max="7666" width="8.109375" style="1284" bestFit="1" customWidth="1"/>
    <col min="7667" max="7667" width="16.109375" style="1284" customWidth="1"/>
    <col min="7668" max="7695" width="11.6640625" style="1284" customWidth="1"/>
    <col min="7696" max="7915" width="9" style="1284"/>
    <col min="7916" max="7916" width="1.109375" style="1284" customWidth="1"/>
    <col min="7917" max="7917" width="8" style="1284" customWidth="1"/>
    <col min="7918" max="7918" width="8.44140625" style="1284" customWidth="1"/>
    <col min="7919" max="7919" width="23.6640625" style="1284" customWidth="1"/>
    <col min="7920" max="7920" width="21.6640625" style="1284" customWidth="1"/>
    <col min="7921" max="7921" width="9.44140625" style="1284" customWidth="1"/>
    <col min="7922" max="7922" width="8.109375" style="1284" bestFit="1" customWidth="1"/>
    <col min="7923" max="7923" width="16.109375" style="1284" customWidth="1"/>
    <col min="7924" max="7951" width="11.6640625" style="1284" customWidth="1"/>
    <col min="7952" max="8171" width="9" style="1284"/>
    <col min="8172" max="8172" width="1.109375" style="1284" customWidth="1"/>
    <col min="8173" max="8173" width="8" style="1284" customWidth="1"/>
    <col min="8174" max="8174" width="8.44140625" style="1284" customWidth="1"/>
    <col min="8175" max="8175" width="23.6640625" style="1284" customWidth="1"/>
    <col min="8176" max="8176" width="21.6640625" style="1284" customWidth="1"/>
    <col min="8177" max="8177" width="9.44140625" style="1284" customWidth="1"/>
    <col min="8178" max="8178" width="8.109375" style="1284" bestFit="1" customWidth="1"/>
    <col min="8179" max="8179" width="16.109375" style="1284" customWidth="1"/>
    <col min="8180" max="8207" width="11.6640625" style="1284" customWidth="1"/>
    <col min="8208" max="8427" width="9" style="1284"/>
    <col min="8428" max="8428" width="1.109375" style="1284" customWidth="1"/>
    <col min="8429" max="8429" width="8" style="1284" customWidth="1"/>
    <col min="8430" max="8430" width="8.44140625" style="1284" customWidth="1"/>
    <col min="8431" max="8431" width="23.6640625" style="1284" customWidth="1"/>
    <col min="8432" max="8432" width="21.6640625" style="1284" customWidth="1"/>
    <col min="8433" max="8433" width="9.44140625" style="1284" customWidth="1"/>
    <col min="8434" max="8434" width="8.109375" style="1284" bestFit="1" customWidth="1"/>
    <col min="8435" max="8435" width="16.109375" style="1284" customWidth="1"/>
    <col min="8436" max="8463" width="11.6640625" style="1284" customWidth="1"/>
    <col min="8464" max="8683" width="9" style="1284"/>
    <col min="8684" max="8684" width="1.109375" style="1284" customWidth="1"/>
    <col min="8685" max="8685" width="8" style="1284" customWidth="1"/>
    <col min="8686" max="8686" width="8.44140625" style="1284" customWidth="1"/>
    <col min="8687" max="8687" width="23.6640625" style="1284" customWidth="1"/>
    <col min="8688" max="8688" width="21.6640625" style="1284" customWidth="1"/>
    <col min="8689" max="8689" width="9.44140625" style="1284" customWidth="1"/>
    <col min="8690" max="8690" width="8.109375" style="1284" bestFit="1" customWidth="1"/>
    <col min="8691" max="8691" width="16.109375" style="1284" customWidth="1"/>
    <col min="8692" max="8719" width="11.6640625" style="1284" customWidth="1"/>
    <col min="8720" max="8939" width="9" style="1284"/>
    <col min="8940" max="8940" width="1.109375" style="1284" customWidth="1"/>
    <col min="8941" max="8941" width="8" style="1284" customWidth="1"/>
    <col min="8942" max="8942" width="8.44140625" style="1284" customWidth="1"/>
    <col min="8943" max="8943" width="23.6640625" style="1284" customWidth="1"/>
    <col min="8944" max="8944" width="21.6640625" style="1284" customWidth="1"/>
    <col min="8945" max="8945" width="9.44140625" style="1284" customWidth="1"/>
    <col min="8946" max="8946" width="8.109375" style="1284" bestFit="1" customWidth="1"/>
    <col min="8947" max="8947" width="16.109375" style="1284" customWidth="1"/>
    <col min="8948" max="8975" width="11.6640625" style="1284" customWidth="1"/>
    <col min="8976" max="9195" width="9" style="1284"/>
    <col min="9196" max="9196" width="1.109375" style="1284" customWidth="1"/>
    <col min="9197" max="9197" width="8" style="1284" customWidth="1"/>
    <col min="9198" max="9198" width="8.44140625" style="1284" customWidth="1"/>
    <col min="9199" max="9199" width="23.6640625" style="1284" customWidth="1"/>
    <col min="9200" max="9200" width="21.6640625" style="1284" customWidth="1"/>
    <col min="9201" max="9201" width="9.44140625" style="1284" customWidth="1"/>
    <col min="9202" max="9202" width="8.109375" style="1284" bestFit="1" customWidth="1"/>
    <col min="9203" max="9203" width="16.109375" style="1284" customWidth="1"/>
    <col min="9204" max="9231" width="11.6640625" style="1284" customWidth="1"/>
    <col min="9232" max="9451" width="9" style="1284"/>
    <col min="9452" max="9452" width="1.109375" style="1284" customWidth="1"/>
    <col min="9453" max="9453" width="8" style="1284" customWidth="1"/>
    <col min="9454" max="9454" width="8.44140625" style="1284" customWidth="1"/>
    <col min="9455" max="9455" width="23.6640625" style="1284" customWidth="1"/>
    <col min="9456" max="9456" width="21.6640625" style="1284" customWidth="1"/>
    <col min="9457" max="9457" width="9.44140625" style="1284" customWidth="1"/>
    <col min="9458" max="9458" width="8.109375" style="1284" bestFit="1" customWidth="1"/>
    <col min="9459" max="9459" width="16.109375" style="1284" customWidth="1"/>
    <col min="9460" max="9487" width="11.6640625" style="1284" customWidth="1"/>
    <col min="9488" max="9707" width="9" style="1284"/>
    <col min="9708" max="9708" width="1.109375" style="1284" customWidth="1"/>
    <col min="9709" max="9709" width="8" style="1284" customWidth="1"/>
    <col min="9710" max="9710" width="8.44140625" style="1284" customWidth="1"/>
    <col min="9711" max="9711" width="23.6640625" style="1284" customWidth="1"/>
    <col min="9712" max="9712" width="21.6640625" style="1284" customWidth="1"/>
    <col min="9713" max="9713" width="9.44140625" style="1284" customWidth="1"/>
    <col min="9714" max="9714" width="8.109375" style="1284" bestFit="1" customWidth="1"/>
    <col min="9715" max="9715" width="16.109375" style="1284" customWidth="1"/>
    <col min="9716" max="9743" width="11.6640625" style="1284" customWidth="1"/>
    <col min="9744" max="9963" width="9" style="1284"/>
    <col min="9964" max="9964" width="1.109375" style="1284" customWidth="1"/>
    <col min="9965" max="9965" width="8" style="1284" customWidth="1"/>
    <col min="9966" max="9966" width="8.44140625" style="1284" customWidth="1"/>
    <col min="9967" max="9967" width="23.6640625" style="1284" customWidth="1"/>
    <col min="9968" max="9968" width="21.6640625" style="1284" customWidth="1"/>
    <col min="9969" max="9969" width="9.44140625" style="1284" customWidth="1"/>
    <col min="9970" max="9970" width="8.109375" style="1284" bestFit="1" customWidth="1"/>
    <col min="9971" max="9971" width="16.109375" style="1284" customWidth="1"/>
    <col min="9972" max="9999" width="11.6640625" style="1284" customWidth="1"/>
    <col min="10000" max="10219" width="9" style="1284"/>
    <col min="10220" max="10220" width="1.109375" style="1284" customWidth="1"/>
    <col min="10221" max="10221" width="8" style="1284" customWidth="1"/>
    <col min="10222" max="10222" width="8.44140625" style="1284" customWidth="1"/>
    <col min="10223" max="10223" width="23.6640625" style="1284" customWidth="1"/>
    <col min="10224" max="10224" width="21.6640625" style="1284" customWidth="1"/>
    <col min="10225" max="10225" width="9.44140625" style="1284" customWidth="1"/>
    <col min="10226" max="10226" width="8.109375" style="1284" bestFit="1" customWidth="1"/>
    <col min="10227" max="10227" width="16.109375" style="1284" customWidth="1"/>
    <col min="10228" max="10255" width="11.6640625" style="1284" customWidth="1"/>
    <col min="10256" max="10475" width="9" style="1284"/>
    <col min="10476" max="10476" width="1.109375" style="1284" customWidth="1"/>
    <col min="10477" max="10477" width="8" style="1284" customWidth="1"/>
    <col min="10478" max="10478" width="8.44140625" style="1284" customWidth="1"/>
    <col min="10479" max="10479" width="23.6640625" style="1284" customWidth="1"/>
    <col min="10480" max="10480" width="21.6640625" style="1284" customWidth="1"/>
    <col min="10481" max="10481" width="9.44140625" style="1284" customWidth="1"/>
    <col min="10482" max="10482" width="8.109375" style="1284" bestFit="1" customWidth="1"/>
    <col min="10483" max="10483" width="16.109375" style="1284" customWidth="1"/>
    <col min="10484" max="10511" width="11.6640625" style="1284" customWidth="1"/>
    <col min="10512" max="10731" width="9" style="1284"/>
    <col min="10732" max="10732" width="1.109375" style="1284" customWidth="1"/>
    <col min="10733" max="10733" width="8" style="1284" customWidth="1"/>
    <col min="10734" max="10734" width="8.44140625" style="1284" customWidth="1"/>
    <col min="10735" max="10735" width="23.6640625" style="1284" customWidth="1"/>
    <col min="10736" max="10736" width="21.6640625" style="1284" customWidth="1"/>
    <col min="10737" max="10737" width="9.44140625" style="1284" customWidth="1"/>
    <col min="10738" max="10738" width="8.109375" style="1284" bestFit="1" customWidth="1"/>
    <col min="10739" max="10739" width="16.109375" style="1284" customWidth="1"/>
    <col min="10740" max="10767" width="11.6640625" style="1284" customWidth="1"/>
    <col min="10768" max="10987" width="9" style="1284"/>
    <col min="10988" max="10988" width="1.109375" style="1284" customWidth="1"/>
    <col min="10989" max="10989" width="8" style="1284" customWidth="1"/>
    <col min="10990" max="10990" width="8.44140625" style="1284" customWidth="1"/>
    <col min="10991" max="10991" width="23.6640625" style="1284" customWidth="1"/>
    <col min="10992" max="10992" width="21.6640625" style="1284" customWidth="1"/>
    <col min="10993" max="10993" width="9.44140625" style="1284" customWidth="1"/>
    <col min="10994" max="10994" width="8.109375" style="1284" bestFit="1" customWidth="1"/>
    <col min="10995" max="10995" width="16.109375" style="1284" customWidth="1"/>
    <col min="10996" max="11023" width="11.6640625" style="1284" customWidth="1"/>
    <col min="11024" max="11243" width="9" style="1284"/>
    <col min="11244" max="11244" width="1.109375" style="1284" customWidth="1"/>
    <col min="11245" max="11245" width="8" style="1284" customWidth="1"/>
    <col min="11246" max="11246" width="8.44140625" style="1284" customWidth="1"/>
    <col min="11247" max="11247" width="23.6640625" style="1284" customWidth="1"/>
    <col min="11248" max="11248" width="21.6640625" style="1284" customWidth="1"/>
    <col min="11249" max="11249" width="9.44140625" style="1284" customWidth="1"/>
    <col min="11250" max="11250" width="8.109375" style="1284" bestFit="1" customWidth="1"/>
    <col min="11251" max="11251" width="16.109375" style="1284" customWidth="1"/>
    <col min="11252" max="11279" width="11.6640625" style="1284" customWidth="1"/>
    <col min="11280" max="11499" width="9" style="1284"/>
    <col min="11500" max="11500" width="1.109375" style="1284" customWidth="1"/>
    <col min="11501" max="11501" width="8" style="1284" customWidth="1"/>
    <col min="11502" max="11502" width="8.44140625" style="1284" customWidth="1"/>
    <col min="11503" max="11503" width="23.6640625" style="1284" customWidth="1"/>
    <col min="11504" max="11504" width="21.6640625" style="1284" customWidth="1"/>
    <col min="11505" max="11505" width="9.44140625" style="1284" customWidth="1"/>
    <col min="11506" max="11506" width="8.109375" style="1284" bestFit="1" customWidth="1"/>
    <col min="11507" max="11507" width="16.109375" style="1284" customWidth="1"/>
    <col min="11508" max="11535" width="11.6640625" style="1284" customWidth="1"/>
    <col min="11536" max="11755" width="9" style="1284"/>
    <col min="11756" max="11756" width="1.109375" style="1284" customWidth="1"/>
    <col min="11757" max="11757" width="8" style="1284" customWidth="1"/>
    <col min="11758" max="11758" width="8.44140625" style="1284" customWidth="1"/>
    <col min="11759" max="11759" width="23.6640625" style="1284" customWidth="1"/>
    <col min="11760" max="11760" width="21.6640625" style="1284" customWidth="1"/>
    <col min="11761" max="11761" width="9.44140625" style="1284" customWidth="1"/>
    <col min="11762" max="11762" width="8.109375" style="1284" bestFit="1" customWidth="1"/>
    <col min="11763" max="11763" width="16.109375" style="1284" customWidth="1"/>
    <col min="11764" max="11791" width="11.6640625" style="1284" customWidth="1"/>
    <col min="11792" max="12011" width="9" style="1284"/>
    <col min="12012" max="12012" width="1.109375" style="1284" customWidth="1"/>
    <col min="12013" max="12013" width="8" style="1284" customWidth="1"/>
    <col min="12014" max="12014" width="8.44140625" style="1284" customWidth="1"/>
    <col min="12015" max="12015" width="23.6640625" style="1284" customWidth="1"/>
    <col min="12016" max="12016" width="21.6640625" style="1284" customWidth="1"/>
    <col min="12017" max="12017" width="9.44140625" style="1284" customWidth="1"/>
    <col min="12018" max="12018" width="8.109375" style="1284" bestFit="1" customWidth="1"/>
    <col min="12019" max="12019" width="16.109375" style="1284" customWidth="1"/>
    <col min="12020" max="12047" width="11.6640625" style="1284" customWidth="1"/>
    <col min="12048" max="12267" width="9" style="1284"/>
    <col min="12268" max="12268" width="1.109375" style="1284" customWidth="1"/>
    <col min="12269" max="12269" width="8" style="1284" customWidth="1"/>
    <col min="12270" max="12270" width="8.44140625" style="1284" customWidth="1"/>
    <col min="12271" max="12271" width="23.6640625" style="1284" customWidth="1"/>
    <col min="12272" max="12272" width="21.6640625" style="1284" customWidth="1"/>
    <col min="12273" max="12273" width="9.44140625" style="1284" customWidth="1"/>
    <col min="12274" max="12274" width="8.109375" style="1284" bestFit="1" customWidth="1"/>
    <col min="12275" max="12275" width="16.109375" style="1284" customWidth="1"/>
    <col min="12276" max="12303" width="11.6640625" style="1284" customWidth="1"/>
    <col min="12304" max="12523" width="9" style="1284"/>
    <col min="12524" max="12524" width="1.109375" style="1284" customWidth="1"/>
    <col min="12525" max="12525" width="8" style="1284" customWidth="1"/>
    <col min="12526" max="12526" width="8.44140625" style="1284" customWidth="1"/>
    <col min="12527" max="12527" width="23.6640625" style="1284" customWidth="1"/>
    <col min="12528" max="12528" width="21.6640625" style="1284" customWidth="1"/>
    <col min="12529" max="12529" width="9.44140625" style="1284" customWidth="1"/>
    <col min="12530" max="12530" width="8.109375" style="1284" bestFit="1" customWidth="1"/>
    <col min="12531" max="12531" width="16.109375" style="1284" customWidth="1"/>
    <col min="12532" max="12559" width="11.6640625" style="1284" customWidth="1"/>
    <col min="12560" max="12779" width="9" style="1284"/>
    <col min="12780" max="12780" width="1.109375" style="1284" customWidth="1"/>
    <col min="12781" max="12781" width="8" style="1284" customWidth="1"/>
    <col min="12782" max="12782" width="8.44140625" style="1284" customWidth="1"/>
    <col min="12783" max="12783" width="23.6640625" style="1284" customWidth="1"/>
    <col min="12784" max="12784" width="21.6640625" style="1284" customWidth="1"/>
    <col min="12785" max="12785" width="9.44140625" style="1284" customWidth="1"/>
    <col min="12786" max="12786" width="8.109375" style="1284" bestFit="1" customWidth="1"/>
    <col min="12787" max="12787" width="16.109375" style="1284" customWidth="1"/>
    <col min="12788" max="12815" width="11.6640625" style="1284" customWidth="1"/>
    <col min="12816" max="13035" width="9" style="1284"/>
    <col min="13036" max="13036" width="1.109375" style="1284" customWidth="1"/>
    <col min="13037" max="13037" width="8" style="1284" customWidth="1"/>
    <col min="13038" max="13038" width="8.44140625" style="1284" customWidth="1"/>
    <col min="13039" max="13039" width="23.6640625" style="1284" customWidth="1"/>
    <col min="13040" max="13040" width="21.6640625" style="1284" customWidth="1"/>
    <col min="13041" max="13041" width="9.44140625" style="1284" customWidth="1"/>
    <col min="13042" max="13042" width="8.109375" style="1284" bestFit="1" customWidth="1"/>
    <col min="13043" max="13043" width="16.109375" style="1284" customWidth="1"/>
    <col min="13044" max="13071" width="11.6640625" style="1284" customWidth="1"/>
    <col min="13072" max="13291" width="9" style="1284"/>
    <col min="13292" max="13292" width="1.109375" style="1284" customWidth="1"/>
    <col min="13293" max="13293" width="8" style="1284" customWidth="1"/>
    <col min="13294" max="13294" width="8.44140625" style="1284" customWidth="1"/>
    <col min="13295" max="13295" width="23.6640625" style="1284" customWidth="1"/>
    <col min="13296" max="13296" width="21.6640625" style="1284" customWidth="1"/>
    <col min="13297" max="13297" width="9.44140625" style="1284" customWidth="1"/>
    <col min="13298" max="13298" width="8.109375" style="1284" bestFit="1" customWidth="1"/>
    <col min="13299" max="13299" width="16.109375" style="1284" customWidth="1"/>
    <col min="13300" max="13327" width="11.6640625" style="1284" customWidth="1"/>
    <col min="13328" max="13547" width="9" style="1284"/>
    <col min="13548" max="13548" width="1.109375" style="1284" customWidth="1"/>
    <col min="13549" max="13549" width="8" style="1284" customWidth="1"/>
    <col min="13550" max="13550" width="8.44140625" style="1284" customWidth="1"/>
    <col min="13551" max="13551" width="23.6640625" style="1284" customWidth="1"/>
    <col min="13552" max="13552" width="21.6640625" style="1284" customWidth="1"/>
    <col min="13553" max="13553" width="9.44140625" style="1284" customWidth="1"/>
    <col min="13554" max="13554" width="8.109375" style="1284" bestFit="1" customWidth="1"/>
    <col min="13555" max="13555" width="16.109375" style="1284" customWidth="1"/>
    <col min="13556" max="13583" width="11.6640625" style="1284" customWidth="1"/>
    <col min="13584" max="13803" width="9" style="1284"/>
    <col min="13804" max="13804" width="1.109375" style="1284" customWidth="1"/>
    <col min="13805" max="13805" width="8" style="1284" customWidth="1"/>
    <col min="13806" max="13806" width="8.44140625" style="1284" customWidth="1"/>
    <col min="13807" max="13807" width="23.6640625" style="1284" customWidth="1"/>
    <col min="13808" max="13808" width="21.6640625" style="1284" customWidth="1"/>
    <col min="13809" max="13809" width="9.44140625" style="1284" customWidth="1"/>
    <col min="13810" max="13810" width="8.109375" style="1284" bestFit="1" customWidth="1"/>
    <col min="13811" max="13811" width="16.109375" style="1284" customWidth="1"/>
    <col min="13812" max="13839" width="11.6640625" style="1284" customWidth="1"/>
    <col min="13840" max="14059" width="9" style="1284"/>
    <col min="14060" max="14060" width="1.109375" style="1284" customWidth="1"/>
    <col min="14061" max="14061" width="8" style="1284" customWidth="1"/>
    <col min="14062" max="14062" width="8.44140625" style="1284" customWidth="1"/>
    <col min="14063" max="14063" width="23.6640625" style="1284" customWidth="1"/>
    <col min="14064" max="14064" width="21.6640625" style="1284" customWidth="1"/>
    <col min="14065" max="14065" width="9.44140625" style="1284" customWidth="1"/>
    <col min="14066" max="14066" width="8.109375" style="1284" bestFit="1" customWidth="1"/>
    <col min="14067" max="14067" width="16.109375" style="1284" customWidth="1"/>
    <col min="14068" max="14095" width="11.6640625" style="1284" customWidth="1"/>
    <col min="14096" max="14315" width="9" style="1284"/>
    <col min="14316" max="14316" width="1.109375" style="1284" customWidth="1"/>
    <col min="14317" max="14317" width="8" style="1284" customWidth="1"/>
    <col min="14318" max="14318" width="8.44140625" style="1284" customWidth="1"/>
    <col min="14319" max="14319" width="23.6640625" style="1284" customWidth="1"/>
    <col min="14320" max="14320" width="21.6640625" style="1284" customWidth="1"/>
    <col min="14321" max="14321" width="9.44140625" style="1284" customWidth="1"/>
    <col min="14322" max="14322" width="8.109375" style="1284" bestFit="1" customWidth="1"/>
    <col min="14323" max="14323" width="16.109375" style="1284" customWidth="1"/>
    <col min="14324" max="14351" width="11.6640625" style="1284" customWidth="1"/>
    <col min="14352" max="14571" width="9" style="1284"/>
    <col min="14572" max="14572" width="1.109375" style="1284" customWidth="1"/>
    <col min="14573" max="14573" width="8" style="1284" customWidth="1"/>
    <col min="14574" max="14574" width="8.44140625" style="1284" customWidth="1"/>
    <col min="14575" max="14575" width="23.6640625" style="1284" customWidth="1"/>
    <col min="14576" max="14576" width="21.6640625" style="1284" customWidth="1"/>
    <col min="14577" max="14577" width="9.44140625" style="1284" customWidth="1"/>
    <col min="14578" max="14578" width="8.109375" style="1284" bestFit="1" customWidth="1"/>
    <col min="14579" max="14579" width="16.109375" style="1284" customWidth="1"/>
    <col min="14580" max="14607" width="11.6640625" style="1284" customWidth="1"/>
    <col min="14608" max="14827" width="9" style="1284"/>
    <col min="14828" max="14828" width="1.109375" style="1284" customWidth="1"/>
    <col min="14829" max="14829" width="8" style="1284" customWidth="1"/>
    <col min="14830" max="14830" width="8.44140625" style="1284" customWidth="1"/>
    <col min="14831" max="14831" width="23.6640625" style="1284" customWidth="1"/>
    <col min="14832" max="14832" width="21.6640625" style="1284" customWidth="1"/>
    <col min="14833" max="14833" width="9.44140625" style="1284" customWidth="1"/>
    <col min="14834" max="14834" width="8.109375" style="1284" bestFit="1" customWidth="1"/>
    <col min="14835" max="14835" width="16.109375" style="1284" customWidth="1"/>
    <col min="14836" max="14863" width="11.6640625" style="1284" customWidth="1"/>
    <col min="14864" max="15083" width="9" style="1284"/>
    <col min="15084" max="15084" width="1.109375" style="1284" customWidth="1"/>
    <col min="15085" max="15085" width="8" style="1284" customWidth="1"/>
    <col min="15086" max="15086" width="8.44140625" style="1284" customWidth="1"/>
    <col min="15087" max="15087" width="23.6640625" style="1284" customWidth="1"/>
    <col min="15088" max="15088" width="21.6640625" style="1284" customWidth="1"/>
    <col min="15089" max="15089" width="9.44140625" style="1284" customWidth="1"/>
    <col min="15090" max="15090" width="8.109375" style="1284" bestFit="1" customWidth="1"/>
    <col min="15091" max="15091" width="16.109375" style="1284" customWidth="1"/>
    <col min="15092" max="15119" width="11.6640625" style="1284" customWidth="1"/>
    <col min="15120" max="15339" width="9" style="1284"/>
    <col min="15340" max="15340" width="1.109375" style="1284" customWidth="1"/>
    <col min="15341" max="15341" width="8" style="1284" customWidth="1"/>
    <col min="15342" max="15342" width="8.44140625" style="1284" customWidth="1"/>
    <col min="15343" max="15343" width="23.6640625" style="1284" customWidth="1"/>
    <col min="15344" max="15344" width="21.6640625" style="1284" customWidth="1"/>
    <col min="15345" max="15345" width="9.44140625" style="1284" customWidth="1"/>
    <col min="15346" max="15346" width="8.109375" style="1284" bestFit="1" customWidth="1"/>
    <col min="15347" max="15347" width="16.109375" style="1284" customWidth="1"/>
    <col min="15348" max="15375" width="11.6640625" style="1284" customWidth="1"/>
    <col min="15376" max="15595" width="9" style="1284"/>
    <col min="15596" max="15596" width="1.109375" style="1284" customWidth="1"/>
    <col min="15597" max="15597" width="8" style="1284" customWidth="1"/>
    <col min="15598" max="15598" width="8.44140625" style="1284" customWidth="1"/>
    <col min="15599" max="15599" width="23.6640625" style="1284" customWidth="1"/>
    <col min="15600" max="15600" width="21.6640625" style="1284" customWidth="1"/>
    <col min="15601" max="15601" width="9.44140625" style="1284" customWidth="1"/>
    <col min="15602" max="15602" width="8.109375" style="1284" bestFit="1" customWidth="1"/>
    <col min="15603" max="15603" width="16.109375" style="1284" customWidth="1"/>
    <col min="15604" max="15631" width="11.6640625" style="1284" customWidth="1"/>
    <col min="15632" max="15851" width="9" style="1284"/>
    <col min="15852" max="15852" width="1.109375" style="1284" customWidth="1"/>
    <col min="15853" max="15853" width="8" style="1284" customWidth="1"/>
    <col min="15854" max="15854" width="8.44140625" style="1284" customWidth="1"/>
    <col min="15855" max="15855" width="23.6640625" style="1284" customWidth="1"/>
    <col min="15856" max="15856" width="21.6640625" style="1284" customWidth="1"/>
    <col min="15857" max="15857" width="9.44140625" style="1284" customWidth="1"/>
    <col min="15858" max="15858" width="8.109375" style="1284" bestFit="1" customWidth="1"/>
    <col min="15859" max="15859" width="16.109375" style="1284" customWidth="1"/>
    <col min="15860" max="15887" width="11.6640625" style="1284" customWidth="1"/>
    <col min="15888" max="16107" width="9" style="1284"/>
    <col min="16108" max="16108" width="1.109375" style="1284" customWidth="1"/>
    <col min="16109" max="16109" width="8" style="1284" customWidth="1"/>
    <col min="16110" max="16110" width="8.44140625" style="1284" customWidth="1"/>
    <col min="16111" max="16111" width="23.6640625" style="1284" customWidth="1"/>
    <col min="16112" max="16112" width="21.6640625" style="1284" customWidth="1"/>
    <col min="16113" max="16113" width="9.44140625" style="1284" customWidth="1"/>
    <col min="16114" max="16114" width="8.109375" style="1284" bestFit="1" customWidth="1"/>
    <col min="16115" max="16115" width="16.109375" style="1284" customWidth="1"/>
    <col min="16116" max="16143" width="11.6640625" style="1284" customWidth="1"/>
    <col min="16144" max="16384" width="9" style="1284"/>
  </cols>
  <sheetData>
    <row r="1" spans="2:5" ht="15" thickBot="1" x14ac:dyDescent="0.25"/>
    <row r="2" spans="2:5" ht="30.75" thickBot="1" x14ac:dyDescent="0.25">
      <c r="B2" s="1151" t="s">
        <v>63</v>
      </c>
    </row>
    <row r="3" spans="2:5" ht="44.1" customHeight="1" x14ac:dyDescent="0.25">
      <c r="B3" s="521" t="s">
        <v>438</v>
      </c>
      <c r="C3" s="1285"/>
      <c r="D3" s="1285"/>
      <c r="E3" s="1285"/>
    </row>
    <row r="4" spans="2:5" ht="15" x14ac:dyDescent="0.25">
      <c r="B4" s="521" t="s">
        <v>439</v>
      </c>
      <c r="C4" s="1285"/>
      <c r="D4" s="1285"/>
      <c r="E4" s="1285"/>
    </row>
    <row r="5" spans="2:5" s="1285" customFormat="1" ht="15" x14ac:dyDescent="0.25">
      <c r="B5" s="1308" t="s">
        <v>440</v>
      </c>
    </row>
    <row r="6" spans="2:5" s="1285" customFormat="1" ht="15" x14ac:dyDescent="0.25">
      <c r="B6" s="521" t="s">
        <v>441</v>
      </c>
    </row>
    <row r="7" spans="2:5" s="1285" customFormat="1" ht="15" x14ac:dyDescent="0.25">
      <c r="B7" s="521" t="s">
        <v>442</v>
      </c>
    </row>
    <row r="8" spans="2:5" s="1285" customFormat="1" ht="15" x14ac:dyDescent="0.25">
      <c r="B8" s="521" t="s">
        <v>443</v>
      </c>
    </row>
    <row r="9" spans="2:5" s="1285" customFormat="1" ht="15" x14ac:dyDescent="0.25">
      <c r="B9" s="1286"/>
    </row>
    <row r="10" spans="2:5" s="1285" customFormat="1" ht="15" x14ac:dyDescent="0.25">
      <c r="B10" s="1286"/>
    </row>
    <row r="11" spans="2:5" s="1285" customFormat="1" ht="15" x14ac:dyDescent="0.25">
      <c r="B11" s="1286"/>
    </row>
    <row r="12" spans="2:5" s="1285" customFormat="1" ht="15.75" thickBot="1" x14ac:dyDescent="0.3">
      <c r="B12" s="1286"/>
    </row>
    <row r="13" spans="2:5" s="1285" customFormat="1" ht="28.5" x14ac:dyDescent="0.25">
      <c r="B13" s="1287" t="s">
        <v>64</v>
      </c>
      <c r="C13" s="1288" t="s">
        <v>444</v>
      </c>
      <c r="D13" s="1287" t="s">
        <v>2</v>
      </c>
      <c r="E13" s="1288">
        <f>'TITLE PAGE'!D21</f>
        <v>16</v>
      </c>
    </row>
    <row r="14" spans="2:5" s="1285" customFormat="1" ht="15.75" thickBot="1" x14ac:dyDescent="0.3">
      <c r="B14" s="1289" t="s">
        <v>445</v>
      </c>
      <c r="C14" s="1290" t="s">
        <v>105</v>
      </c>
      <c r="D14" s="1291" t="s">
        <v>200</v>
      </c>
      <c r="E14" s="1290" t="s">
        <v>246</v>
      </c>
    </row>
    <row r="15" spans="2:5" s="1285" customFormat="1" ht="15" x14ac:dyDescent="0.25">
      <c r="B15" s="1286"/>
    </row>
    <row r="16" spans="2:5" s="1285" customFormat="1" ht="15" x14ac:dyDescent="0.25">
      <c r="B16" s="1286"/>
    </row>
    <row r="17" spans="1:89" s="1285" customFormat="1" ht="15" x14ac:dyDescent="0.25">
      <c r="B17" s="1286"/>
    </row>
    <row r="18" spans="1:89" s="1285" customFormat="1" ht="15" x14ac:dyDescent="0.25">
      <c r="B18" s="1286"/>
    </row>
    <row r="19" spans="1:89" s="1285" customFormat="1" ht="15" x14ac:dyDescent="0.25">
      <c r="B19" s="1286"/>
    </row>
    <row r="20" spans="1:89" s="1285" customFormat="1" ht="15" x14ac:dyDescent="0.25">
      <c r="B20" s="1286"/>
    </row>
    <row r="21" spans="1:89" ht="15" thickBot="1" x14ac:dyDescent="0.25">
      <c r="D21" s="1284">
        <f>2.29+14.63+2.13-1.6</f>
        <v>17.45</v>
      </c>
    </row>
    <row r="22" spans="1:89" ht="45.75" thickBot="1" x14ac:dyDescent="0.25">
      <c r="B22" s="522" t="s">
        <v>438</v>
      </c>
      <c r="C22" s="1306" t="s">
        <v>204</v>
      </c>
      <c r="D22" s="523"/>
      <c r="E22" s="523"/>
      <c r="F22" s="523"/>
      <c r="G22" s="523"/>
      <c r="H22" s="1420"/>
      <c r="I22" s="1420"/>
      <c r="J22" s="1420"/>
      <c r="K22" s="1420"/>
      <c r="L22" s="1420"/>
      <c r="M22" s="1420"/>
      <c r="N22" s="1420"/>
      <c r="O22" s="1420"/>
      <c r="P22" s="1420"/>
      <c r="Q22" s="1420"/>
      <c r="R22" s="1420"/>
      <c r="S22" s="1420"/>
      <c r="T22" s="1420"/>
      <c r="U22" s="1420"/>
      <c r="V22" s="1420"/>
      <c r="W22" s="1420"/>
      <c r="X22" s="1420"/>
      <c r="Y22" s="1420"/>
      <c r="Z22" s="1420"/>
      <c r="AA22" s="1420"/>
      <c r="AB22" s="1420"/>
      <c r="AC22" s="1420"/>
      <c r="AD22" s="1420"/>
      <c r="AE22" s="1420"/>
      <c r="AF22" s="1420"/>
      <c r="AG22" s="1420"/>
      <c r="AH22" s="523"/>
      <c r="AI22" s="523"/>
      <c r="AJ22" s="523"/>
      <c r="AK22" s="523"/>
      <c r="AL22" s="523"/>
      <c r="AM22" s="523"/>
      <c r="AN22" s="523"/>
      <c r="AO22" s="523"/>
      <c r="AP22" s="523"/>
      <c r="AQ22" s="523"/>
      <c r="AR22" s="523"/>
      <c r="AS22" s="523"/>
      <c r="AT22" s="523"/>
      <c r="AU22" s="523"/>
      <c r="AV22" s="523"/>
      <c r="AW22" s="523"/>
      <c r="AX22" s="523"/>
      <c r="AY22" s="523"/>
      <c r="AZ22" s="523"/>
      <c r="BA22" s="523"/>
      <c r="BB22" s="523"/>
      <c r="BC22" s="523"/>
      <c r="BD22" s="523"/>
      <c r="BE22" s="523"/>
      <c r="BF22" s="523"/>
      <c r="BG22" s="523"/>
      <c r="BH22" s="523"/>
      <c r="BI22" s="523"/>
      <c r="BJ22" s="523"/>
      <c r="BK22" s="523"/>
      <c r="BL22" s="523"/>
      <c r="BM22" s="523"/>
      <c r="BN22" s="523"/>
      <c r="BO22" s="523"/>
      <c r="BP22" s="523"/>
      <c r="BQ22" s="523"/>
      <c r="BR22" s="523"/>
      <c r="BS22" s="523"/>
      <c r="BT22" s="523"/>
      <c r="BU22" s="523"/>
      <c r="BV22" s="523"/>
      <c r="BW22" s="523"/>
      <c r="BX22" s="523"/>
      <c r="BY22" s="523"/>
      <c r="BZ22" s="523"/>
      <c r="CA22" s="523"/>
      <c r="CB22" s="523"/>
      <c r="CC22" s="523"/>
      <c r="CD22" s="523"/>
      <c r="CE22" s="523"/>
      <c r="CF22" s="523"/>
      <c r="CG22" s="523"/>
      <c r="CH22" s="523"/>
      <c r="CI22" s="523"/>
      <c r="CJ22" s="523"/>
    </row>
    <row r="23" spans="1:89" ht="30.75" thickBot="1" x14ac:dyDescent="0.25">
      <c r="B23" s="524" t="s">
        <v>446</v>
      </c>
      <c r="C23" s="525" t="s">
        <v>205</v>
      </c>
      <c r="D23" s="525" t="s">
        <v>71</v>
      </c>
      <c r="E23" s="525" t="s">
        <v>206</v>
      </c>
      <c r="F23" s="526" t="s">
        <v>207</v>
      </c>
      <c r="G23" s="524" t="s">
        <v>208</v>
      </c>
      <c r="H23" s="524" t="s">
        <v>209</v>
      </c>
      <c r="I23" s="524" t="s">
        <v>210</v>
      </c>
      <c r="J23" s="524" t="s">
        <v>211</v>
      </c>
      <c r="K23" s="524" t="s">
        <v>212</v>
      </c>
      <c r="L23" s="524" t="s">
        <v>213</v>
      </c>
      <c r="M23" s="525" t="s">
        <v>214</v>
      </c>
      <c r="N23" s="525" t="s">
        <v>215</v>
      </c>
      <c r="O23" s="525" t="s">
        <v>216</v>
      </c>
      <c r="P23" s="525" t="s">
        <v>217</v>
      </c>
      <c r="Q23" s="525" t="s">
        <v>218</v>
      </c>
      <c r="R23" s="525" t="s">
        <v>247</v>
      </c>
      <c r="S23" s="525" t="s">
        <v>248</v>
      </c>
      <c r="T23" s="525" t="s">
        <v>249</v>
      </c>
      <c r="U23" s="525" t="s">
        <v>250</v>
      </c>
      <c r="V23" s="525" t="s">
        <v>219</v>
      </c>
      <c r="W23" s="525" t="s">
        <v>251</v>
      </c>
      <c r="X23" s="525" t="s">
        <v>252</v>
      </c>
      <c r="Y23" s="525" t="s">
        <v>253</v>
      </c>
      <c r="Z23" s="525" t="s">
        <v>254</v>
      </c>
      <c r="AA23" s="525" t="s">
        <v>220</v>
      </c>
      <c r="AB23" s="525" t="s">
        <v>255</v>
      </c>
      <c r="AC23" s="525" t="s">
        <v>256</v>
      </c>
      <c r="AD23" s="525" t="s">
        <v>257</v>
      </c>
      <c r="AE23" s="525" t="s">
        <v>258</v>
      </c>
      <c r="AF23" s="525" t="s">
        <v>221</v>
      </c>
      <c r="AG23" s="525" t="s">
        <v>259</v>
      </c>
      <c r="AH23" s="525" t="s">
        <v>260</v>
      </c>
      <c r="AI23" s="525" t="s">
        <v>261</v>
      </c>
      <c r="AJ23" s="525" t="s">
        <v>262</v>
      </c>
      <c r="AK23" s="525" t="s">
        <v>222</v>
      </c>
      <c r="AL23" s="525" t="s">
        <v>263</v>
      </c>
      <c r="AM23" s="525" t="s">
        <v>264</v>
      </c>
      <c r="AN23" s="525" t="s">
        <v>265</v>
      </c>
      <c r="AO23" s="525" t="s">
        <v>266</v>
      </c>
      <c r="AP23" s="525" t="s">
        <v>223</v>
      </c>
      <c r="AQ23" s="525" t="s">
        <v>267</v>
      </c>
      <c r="AR23" s="525" t="s">
        <v>268</v>
      </c>
      <c r="AS23" s="525" t="s">
        <v>269</v>
      </c>
      <c r="AT23" s="525" t="s">
        <v>270</v>
      </c>
      <c r="AU23" s="525" t="s">
        <v>224</v>
      </c>
      <c r="AV23" s="525" t="s">
        <v>271</v>
      </c>
      <c r="AW23" s="525" t="s">
        <v>272</v>
      </c>
      <c r="AX23" s="525" t="s">
        <v>273</v>
      </c>
      <c r="AY23" s="525" t="s">
        <v>274</v>
      </c>
      <c r="AZ23" s="525" t="s">
        <v>225</v>
      </c>
      <c r="BA23" s="525" t="s">
        <v>275</v>
      </c>
      <c r="BB23" s="525" t="s">
        <v>276</v>
      </c>
      <c r="BC23" s="525" t="s">
        <v>277</v>
      </c>
      <c r="BD23" s="525" t="s">
        <v>278</v>
      </c>
      <c r="BE23" s="525" t="s">
        <v>226</v>
      </c>
      <c r="BF23" s="525" t="s">
        <v>279</v>
      </c>
      <c r="BG23" s="525" t="s">
        <v>280</v>
      </c>
      <c r="BH23" s="525" t="s">
        <v>281</v>
      </c>
      <c r="BI23" s="525" t="s">
        <v>282</v>
      </c>
      <c r="BJ23" s="525" t="s">
        <v>227</v>
      </c>
      <c r="BK23" s="525" t="s">
        <v>283</v>
      </c>
      <c r="BL23" s="525" t="s">
        <v>284</v>
      </c>
      <c r="BM23" s="525" t="s">
        <v>285</v>
      </c>
      <c r="BN23" s="525" t="s">
        <v>286</v>
      </c>
      <c r="BO23" s="525" t="s">
        <v>228</v>
      </c>
      <c r="BP23" s="525" t="s">
        <v>287</v>
      </c>
      <c r="BQ23" s="525" t="s">
        <v>288</v>
      </c>
      <c r="BR23" s="525" t="s">
        <v>289</v>
      </c>
      <c r="BS23" s="525" t="s">
        <v>290</v>
      </c>
      <c r="BT23" s="525" t="s">
        <v>229</v>
      </c>
      <c r="BU23" s="525" t="s">
        <v>291</v>
      </c>
      <c r="BV23" s="525" t="s">
        <v>292</v>
      </c>
      <c r="BW23" s="525" t="s">
        <v>293</v>
      </c>
      <c r="BX23" s="525" t="s">
        <v>294</v>
      </c>
      <c r="BY23" s="525" t="s">
        <v>230</v>
      </c>
      <c r="BZ23" s="525" t="s">
        <v>295</v>
      </c>
      <c r="CA23" s="525" t="s">
        <v>296</v>
      </c>
      <c r="CB23" s="525" t="s">
        <v>297</v>
      </c>
      <c r="CC23" s="525" t="s">
        <v>298</v>
      </c>
      <c r="CD23" s="525" t="s">
        <v>231</v>
      </c>
      <c r="CE23" s="525" t="s">
        <v>299</v>
      </c>
      <c r="CF23" s="525" t="s">
        <v>300</v>
      </c>
      <c r="CG23" s="525" t="s">
        <v>301</v>
      </c>
      <c r="CH23" s="525" t="s">
        <v>302</v>
      </c>
      <c r="CI23" s="526" t="s">
        <v>232</v>
      </c>
      <c r="CJ23" s="525" t="s">
        <v>606</v>
      </c>
    </row>
    <row r="24" spans="1:89" s="1292" customFormat="1" x14ac:dyDescent="0.2">
      <c r="A24" s="1284"/>
      <c r="B24" s="1018" t="s">
        <v>447</v>
      </c>
      <c r="C24" s="1019" t="s">
        <v>448</v>
      </c>
      <c r="D24" s="1020" t="s">
        <v>86</v>
      </c>
      <c r="E24" s="1021" t="s">
        <v>236</v>
      </c>
      <c r="F24" s="1022">
        <v>2</v>
      </c>
      <c r="G24" s="532"/>
      <c r="H24" s="540"/>
      <c r="I24" s="540">
        <v>56.657007441582294</v>
      </c>
      <c r="J24" s="540">
        <v>57.250366398023331</v>
      </c>
      <c r="K24" s="540">
        <v>57.425793214282649</v>
      </c>
      <c r="L24" s="540">
        <v>58.288780964781736</v>
      </c>
      <c r="M24" s="541">
        <v>59.465519195511675</v>
      </c>
      <c r="N24" s="541">
        <v>59.63891669272158</v>
      </c>
      <c r="O24" s="541">
        <v>61.777827843415295</v>
      </c>
      <c r="P24" s="541">
        <v>61.666941445371961</v>
      </c>
      <c r="Q24" s="541">
        <v>61.543019290402199</v>
      </c>
      <c r="R24" s="541">
        <v>61.095486780730255</v>
      </c>
      <c r="S24" s="541">
        <v>61.056077358353917</v>
      </c>
      <c r="T24" s="541">
        <v>61.01919053687697</v>
      </c>
      <c r="U24" s="541">
        <v>60.901651570743709</v>
      </c>
      <c r="V24" s="541">
        <v>60.801439289105318</v>
      </c>
      <c r="W24" s="541">
        <v>60.690978834244746</v>
      </c>
      <c r="X24" s="541">
        <v>60.576442116432851</v>
      </c>
      <c r="Y24" s="541">
        <v>60.470680535678873</v>
      </c>
      <c r="Z24" s="541">
        <v>60.379804024811911</v>
      </c>
      <c r="AA24" s="541">
        <v>60.147668580415811</v>
      </c>
      <c r="AB24" s="541">
        <v>57.968271719555005</v>
      </c>
      <c r="AC24" s="541">
        <v>57.914504789915775</v>
      </c>
      <c r="AD24" s="541">
        <v>57.872261666612239</v>
      </c>
      <c r="AE24" s="541">
        <v>57.934824216567009</v>
      </c>
      <c r="AF24" s="541">
        <v>58.000201885780292</v>
      </c>
      <c r="AG24" s="541">
        <v>55.96142450421749</v>
      </c>
      <c r="AH24" s="541">
        <v>56.028489381541952</v>
      </c>
      <c r="AI24" s="541">
        <v>56.095442966332186</v>
      </c>
      <c r="AJ24" s="541">
        <v>56.171812294510914</v>
      </c>
      <c r="AK24" s="541">
        <v>56.24721381350134</v>
      </c>
      <c r="AL24" s="541"/>
      <c r="AM24" s="541"/>
      <c r="AN24" s="541"/>
      <c r="AO24" s="541"/>
      <c r="AP24" s="541"/>
      <c r="AQ24" s="541"/>
      <c r="AR24" s="541"/>
      <c r="AS24" s="541"/>
      <c r="AT24" s="541"/>
      <c r="AU24" s="541"/>
      <c r="AV24" s="541"/>
      <c r="AW24" s="541"/>
      <c r="AX24" s="541"/>
      <c r="AY24" s="541"/>
      <c r="AZ24" s="541"/>
      <c r="BA24" s="541"/>
      <c r="BB24" s="541"/>
      <c r="BC24" s="541"/>
      <c r="BD24" s="541"/>
      <c r="BE24" s="541"/>
      <c r="BF24" s="541"/>
      <c r="BG24" s="541"/>
      <c r="BH24" s="541"/>
      <c r="BI24" s="541"/>
      <c r="BJ24" s="541"/>
      <c r="BK24" s="541"/>
      <c r="BL24" s="541"/>
      <c r="BM24" s="541"/>
      <c r="BN24" s="541"/>
      <c r="BO24" s="541"/>
      <c r="BP24" s="541"/>
      <c r="BQ24" s="541"/>
      <c r="BR24" s="541"/>
      <c r="BS24" s="541"/>
      <c r="BT24" s="541"/>
      <c r="BU24" s="541"/>
      <c r="BV24" s="541"/>
      <c r="BW24" s="541"/>
      <c r="BX24" s="541"/>
      <c r="BY24" s="541"/>
      <c r="BZ24" s="541"/>
      <c r="CA24" s="541"/>
      <c r="CB24" s="541"/>
      <c r="CC24" s="541"/>
      <c r="CD24" s="541"/>
      <c r="CE24" s="541"/>
      <c r="CF24" s="541"/>
      <c r="CG24" s="541"/>
      <c r="CH24" s="541"/>
      <c r="CI24" s="542"/>
      <c r="CJ24" s="1479"/>
      <c r="CK24" s="1293"/>
    </row>
    <row r="25" spans="1:89" s="1292" customFormat="1" x14ac:dyDescent="0.2">
      <c r="A25" s="1284"/>
      <c r="B25" s="1013" t="s">
        <v>449</v>
      </c>
      <c r="C25" s="1014" t="s">
        <v>450</v>
      </c>
      <c r="D25" s="1015" t="s">
        <v>86</v>
      </c>
      <c r="E25" s="1016" t="s">
        <v>236</v>
      </c>
      <c r="F25" s="1017">
        <v>2</v>
      </c>
      <c r="G25" s="1011"/>
      <c r="H25" s="540"/>
      <c r="I25" s="540">
        <v>0</v>
      </c>
      <c r="J25" s="540">
        <v>0</v>
      </c>
      <c r="K25" s="540">
        <v>0</v>
      </c>
      <c r="L25" s="540">
        <v>0</v>
      </c>
      <c r="M25" s="541">
        <v>0</v>
      </c>
      <c r="N25" s="541">
        <v>0</v>
      </c>
      <c r="O25" s="541">
        <v>0</v>
      </c>
      <c r="P25" s="541">
        <v>0</v>
      </c>
      <c r="Q25" s="541">
        <v>0</v>
      </c>
      <c r="R25" s="541">
        <v>0</v>
      </c>
      <c r="S25" s="541">
        <v>0</v>
      </c>
      <c r="T25" s="541">
        <v>0</v>
      </c>
      <c r="U25" s="541">
        <v>0</v>
      </c>
      <c r="V25" s="541">
        <v>0</v>
      </c>
      <c r="W25" s="541">
        <v>0</v>
      </c>
      <c r="X25" s="541">
        <v>0</v>
      </c>
      <c r="Y25" s="541">
        <v>0</v>
      </c>
      <c r="Z25" s="541">
        <v>0</v>
      </c>
      <c r="AA25" s="541">
        <v>0</v>
      </c>
      <c r="AB25" s="541">
        <v>0</v>
      </c>
      <c r="AC25" s="541">
        <v>0</v>
      </c>
      <c r="AD25" s="541">
        <v>0</v>
      </c>
      <c r="AE25" s="541">
        <v>0</v>
      </c>
      <c r="AF25" s="541">
        <v>0</v>
      </c>
      <c r="AG25" s="541">
        <v>0</v>
      </c>
      <c r="AH25" s="541">
        <v>0</v>
      </c>
      <c r="AI25" s="541">
        <v>0</v>
      </c>
      <c r="AJ25" s="541">
        <v>0</v>
      </c>
      <c r="AK25" s="541">
        <v>0</v>
      </c>
      <c r="AL25" s="541"/>
      <c r="AM25" s="541"/>
      <c r="AN25" s="541"/>
      <c r="AO25" s="541"/>
      <c r="AP25" s="541"/>
      <c r="AQ25" s="541"/>
      <c r="AR25" s="541"/>
      <c r="AS25" s="541"/>
      <c r="AT25" s="541"/>
      <c r="AU25" s="541"/>
      <c r="AV25" s="541"/>
      <c r="AW25" s="541"/>
      <c r="AX25" s="541"/>
      <c r="AY25" s="541"/>
      <c r="AZ25" s="541"/>
      <c r="BA25" s="541"/>
      <c r="BB25" s="541"/>
      <c r="BC25" s="541"/>
      <c r="BD25" s="541"/>
      <c r="BE25" s="541"/>
      <c r="BF25" s="541"/>
      <c r="BG25" s="541"/>
      <c r="BH25" s="541"/>
      <c r="BI25" s="541"/>
      <c r="BJ25" s="541"/>
      <c r="BK25" s="541"/>
      <c r="BL25" s="541"/>
      <c r="BM25" s="541"/>
      <c r="BN25" s="541"/>
      <c r="BO25" s="541"/>
      <c r="BP25" s="541"/>
      <c r="BQ25" s="541"/>
      <c r="BR25" s="541"/>
      <c r="BS25" s="541"/>
      <c r="BT25" s="541"/>
      <c r="BU25" s="541"/>
      <c r="BV25" s="541"/>
      <c r="BW25" s="541"/>
      <c r="BX25" s="541"/>
      <c r="BY25" s="541"/>
      <c r="BZ25" s="541"/>
      <c r="CA25" s="541"/>
      <c r="CB25" s="541"/>
      <c r="CC25" s="541"/>
      <c r="CD25" s="541"/>
      <c r="CE25" s="541"/>
      <c r="CF25" s="541"/>
      <c r="CG25" s="541"/>
      <c r="CH25" s="541"/>
      <c r="CI25" s="542"/>
      <c r="CJ25" s="1479"/>
      <c r="CK25" s="1293"/>
    </row>
    <row r="26" spans="1:89" s="1292" customFormat="1" x14ac:dyDescent="0.2">
      <c r="A26" s="1284"/>
      <c r="B26" s="1012" t="s">
        <v>451</v>
      </c>
      <c r="C26" s="1004" t="s">
        <v>452</v>
      </c>
      <c r="D26" s="1005" t="s">
        <v>86</v>
      </c>
      <c r="E26" s="1006" t="s">
        <v>236</v>
      </c>
      <c r="F26" s="1007">
        <v>2</v>
      </c>
      <c r="G26" s="540"/>
      <c r="H26" s="540"/>
      <c r="I26" s="540">
        <v>0</v>
      </c>
      <c r="J26" s="540">
        <v>0</v>
      </c>
      <c r="K26" s="540">
        <v>0</v>
      </c>
      <c r="L26" s="540">
        <v>0</v>
      </c>
      <c r="M26" s="541">
        <v>0</v>
      </c>
      <c r="N26" s="541">
        <v>0</v>
      </c>
      <c r="O26" s="541">
        <v>0</v>
      </c>
      <c r="P26" s="541">
        <v>0</v>
      </c>
      <c r="Q26" s="541">
        <v>0</v>
      </c>
      <c r="R26" s="541">
        <v>0</v>
      </c>
      <c r="S26" s="541">
        <v>0</v>
      </c>
      <c r="T26" s="541">
        <v>0</v>
      </c>
      <c r="U26" s="541">
        <v>0</v>
      </c>
      <c r="V26" s="541">
        <v>0</v>
      </c>
      <c r="W26" s="541">
        <v>0</v>
      </c>
      <c r="X26" s="541">
        <v>0</v>
      </c>
      <c r="Y26" s="541">
        <v>0</v>
      </c>
      <c r="Z26" s="541">
        <v>0</v>
      </c>
      <c r="AA26" s="541">
        <v>0</v>
      </c>
      <c r="AB26" s="541">
        <v>0</v>
      </c>
      <c r="AC26" s="541">
        <v>0</v>
      </c>
      <c r="AD26" s="541">
        <v>0</v>
      </c>
      <c r="AE26" s="541">
        <v>0</v>
      </c>
      <c r="AF26" s="541">
        <v>0</v>
      </c>
      <c r="AG26" s="541">
        <v>0</v>
      </c>
      <c r="AH26" s="541">
        <v>0</v>
      </c>
      <c r="AI26" s="541">
        <v>0</v>
      </c>
      <c r="AJ26" s="541">
        <v>0</v>
      </c>
      <c r="AK26" s="541">
        <v>0</v>
      </c>
      <c r="AL26" s="541"/>
      <c r="AM26" s="541"/>
      <c r="AN26" s="541"/>
      <c r="AO26" s="541"/>
      <c r="AP26" s="541"/>
      <c r="AQ26" s="541"/>
      <c r="AR26" s="541"/>
      <c r="AS26" s="541"/>
      <c r="AT26" s="541"/>
      <c r="AU26" s="541"/>
      <c r="AV26" s="541"/>
      <c r="AW26" s="541"/>
      <c r="AX26" s="541"/>
      <c r="AY26" s="541"/>
      <c r="AZ26" s="541"/>
      <c r="BA26" s="541"/>
      <c r="BB26" s="541"/>
      <c r="BC26" s="541"/>
      <c r="BD26" s="541"/>
      <c r="BE26" s="541"/>
      <c r="BF26" s="541"/>
      <c r="BG26" s="541"/>
      <c r="BH26" s="541"/>
      <c r="BI26" s="541"/>
      <c r="BJ26" s="541"/>
      <c r="BK26" s="541"/>
      <c r="BL26" s="541"/>
      <c r="BM26" s="541"/>
      <c r="BN26" s="541"/>
      <c r="BO26" s="541"/>
      <c r="BP26" s="541"/>
      <c r="BQ26" s="541"/>
      <c r="BR26" s="541"/>
      <c r="BS26" s="541"/>
      <c r="BT26" s="541"/>
      <c r="BU26" s="541"/>
      <c r="BV26" s="541"/>
      <c r="BW26" s="541"/>
      <c r="BX26" s="541"/>
      <c r="BY26" s="541"/>
      <c r="BZ26" s="541"/>
      <c r="CA26" s="541"/>
      <c r="CB26" s="541"/>
      <c r="CC26" s="541"/>
      <c r="CD26" s="541"/>
      <c r="CE26" s="541"/>
      <c r="CF26" s="541"/>
      <c r="CG26" s="541"/>
      <c r="CH26" s="541"/>
      <c r="CI26" s="542"/>
      <c r="CJ26" s="1479"/>
      <c r="CK26" s="1293"/>
    </row>
    <row r="27" spans="1:89" s="1292" customFormat="1" x14ac:dyDescent="0.2">
      <c r="A27" s="1284"/>
      <c r="B27" s="535" t="s">
        <v>453</v>
      </c>
      <c r="C27" s="536" t="s">
        <v>454</v>
      </c>
      <c r="D27" s="537" t="s">
        <v>86</v>
      </c>
      <c r="E27" s="538" t="s">
        <v>236</v>
      </c>
      <c r="F27" s="539">
        <v>2</v>
      </c>
      <c r="G27" s="540"/>
      <c r="H27" s="540"/>
      <c r="I27" s="540">
        <v>1.35</v>
      </c>
      <c r="J27" s="540">
        <v>1.35</v>
      </c>
      <c r="K27" s="540">
        <v>1.35</v>
      </c>
      <c r="L27" s="540">
        <v>1.35</v>
      </c>
      <c r="M27" s="541">
        <v>1.35</v>
      </c>
      <c r="N27" s="541">
        <v>1.35</v>
      </c>
      <c r="O27" s="541">
        <v>1.35</v>
      </c>
      <c r="P27" s="541">
        <v>1.35</v>
      </c>
      <c r="Q27" s="541">
        <v>1.35</v>
      </c>
      <c r="R27" s="541">
        <v>1.35</v>
      </c>
      <c r="S27" s="541">
        <v>1.35</v>
      </c>
      <c r="T27" s="541">
        <v>1.35</v>
      </c>
      <c r="U27" s="541">
        <v>1.35</v>
      </c>
      <c r="V27" s="541">
        <v>1.35</v>
      </c>
      <c r="W27" s="541">
        <v>1.35</v>
      </c>
      <c r="X27" s="541">
        <v>1.35</v>
      </c>
      <c r="Y27" s="541">
        <v>1.35</v>
      </c>
      <c r="Z27" s="541">
        <v>1.35</v>
      </c>
      <c r="AA27" s="541">
        <v>1.35</v>
      </c>
      <c r="AB27" s="541">
        <v>1.35</v>
      </c>
      <c r="AC27" s="541">
        <v>1.35</v>
      </c>
      <c r="AD27" s="541">
        <v>1.35</v>
      </c>
      <c r="AE27" s="541">
        <v>1.35</v>
      </c>
      <c r="AF27" s="541">
        <v>1.35</v>
      </c>
      <c r="AG27" s="541">
        <v>1.35</v>
      </c>
      <c r="AH27" s="541">
        <v>1.35</v>
      </c>
      <c r="AI27" s="541">
        <v>1.35</v>
      </c>
      <c r="AJ27" s="541">
        <v>1.35</v>
      </c>
      <c r="AK27" s="541">
        <v>1.35</v>
      </c>
      <c r="AL27" s="541"/>
      <c r="AM27" s="541"/>
      <c r="AN27" s="541"/>
      <c r="AO27" s="541"/>
      <c r="AP27" s="541"/>
      <c r="AQ27" s="541"/>
      <c r="AR27" s="541"/>
      <c r="AS27" s="541"/>
      <c r="AT27" s="541"/>
      <c r="AU27" s="541"/>
      <c r="AV27" s="541"/>
      <c r="AW27" s="541"/>
      <c r="AX27" s="541"/>
      <c r="AY27" s="541"/>
      <c r="AZ27" s="541"/>
      <c r="BA27" s="541"/>
      <c r="BB27" s="541"/>
      <c r="BC27" s="541"/>
      <c r="BD27" s="541"/>
      <c r="BE27" s="541"/>
      <c r="BF27" s="541"/>
      <c r="BG27" s="541"/>
      <c r="BH27" s="541"/>
      <c r="BI27" s="541"/>
      <c r="BJ27" s="541"/>
      <c r="BK27" s="541"/>
      <c r="BL27" s="541"/>
      <c r="BM27" s="541"/>
      <c r="BN27" s="541"/>
      <c r="BO27" s="541"/>
      <c r="BP27" s="541"/>
      <c r="BQ27" s="541"/>
      <c r="BR27" s="541"/>
      <c r="BS27" s="541"/>
      <c r="BT27" s="541"/>
      <c r="BU27" s="541"/>
      <c r="BV27" s="541"/>
      <c r="BW27" s="541"/>
      <c r="BX27" s="541"/>
      <c r="BY27" s="541"/>
      <c r="BZ27" s="541"/>
      <c r="CA27" s="541"/>
      <c r="CB27" s="541"/>
      <c r="CC27" s="541"/>
      <c r="CD27" s="541"/>
      <c r="CE27" s="541"/>
      <c r="CF27" s="541"/>
      <c r="CG27" s="541"/>
      <c r="CH27" s="541"/>
      <c r="CI27" s="542"/>
      <c r="CJ27" s="1479"/>
      <c r="CK27" s="1293"/>
    </row>
    <row r="28" spans="1:89" s="1292" customFormat="1" x14ac:dyDescent="0.2">
      <c r="A28" s="1284"/>
      <c r="B28" s="543" t="s">
        <v>455</v>
      </c>
      <c r="C28" s="536" t="s">
        <v>456</v>
      </c>
      <c r="D28" s="537" t="s">
        <v>86</v>
      </c>
      <c r="E28" s="538" t="s">
        <v>236</v>
      </c>
      <c r="F28" s="539">
        <v>2</v>
      </c>
      <c r="G28" s="540"/>
      <c r="H28" s="540"/>
      <c r="I28" s="540">
        <v>-3.38</v>
      </c>
      <c r="J28" s="540">
        <v>-3.38</v>
      </c>
      <c r="K28" s="540">
        <v>-3.38</v>
      </c>
      <c r="L28" s="540">
        <v>-3.38</v>
      </c>
      <c r="M28" s="541">
        <v>-3.38</v>
      </c>
      <c r="N28" s="541">
        <v>-3.38</v>
      </c>
      <c r="O28" s="541">
        <v>-3.38</v>
      </c>
      <c r="P28" s="541">
        <v>-3.38</v>
      </c>
      <c r="Q28" s="541">
        <v>-3.38</v>
      </c>
      <c r="R28" s="1526">
        <v>-2.83</v>
      </c>
      <c r="S28" s="541">
        <v>-2.83</v>
      </c>
      <c r="T28" s="541">
        <v>-2.83</v>
      </c>
      <c r="U28" s="541">
        <v>-2.83</v>
      </c>
      <c r="V28" s="541">
        <v>-2.83</v>
      </c>
      <c r="W28" s="541">
        <v>-2.83</v>
      </c>
      <c r="X28" s="541">
        <v>-2.83</v>
      </c>
      <c r="Y28" s="541">
        <v>-2.83</v>
      </c>
      <c r="Z28" s="541">
        <v>-2.83</v>
      </c>
      <c r="AA28" s="541">
        <v>-2.83</v>
      </c>
      <c r="AB28" s="1526">
        <v>-2.0300000000000002</v>
      </c>
      <c r="AC28" s="541">
        <v>-2.0300000000000002</v>
      </c>
      <c r="AD28" s="541">
        <v>-2.0300000000000002</v>
      </c>
      <c r="AE28" s="541">
        <v>-2.0300000000000002</v>
      </c>
      <c r="AF28" s="541">
        <v>-2.0300000000000002</v>
      </c>
      <c r="AG28" s="541">
        <v>-2.0300000000000002</v>
      </c>
      <c r="AH28" s="541">
        <v>-2.0300000000000002</v>
      </c>
      <c r="AI28" s="541">
        <v>-2.0300000000000002</v>
      </c>
      <c r="AJ28" s="541">
        <v>-2.0300000000000002</v>
      </c>
      <c r="AK28" s="541">
        <v>-2.0300000000000002</v>
      </c>
      <c r="AL28" s="541"/>
      <c r="AM28" s="541"/>
      <c r="AN28" s="541"/>
      <c r="AO28" s="541"/>
      <c r="AP28" s="541"/>
      <c r="AQ28" s="541"/>
      <c r="AR28" s="541"/>
      <c r="AS28" s="541"/>
      <c r="AT28" s="541"/>
      <c r="AU28" s="541"/>
      <c r="AV28" s="541"/>
      <c r="AW28" s="541"/>
      <c r="AX28" s="541"/>
      <c r="AY28" s="541"/>
      <c r="AZ28" s="541"/>
      <c r="BA28" s="541"/>
      <c r="BB28" s="541"/>
      <c r="BC28" s="541"/>
      <c r="BD28" s="541"/>
      <c r="BE28" s="541"/>
      <c r="BF28" s="541"/>
      <c r="BG28" s="541"/>
      <c r="BH28" s="541"/>
      <c r="BI28" s="541"/>
      <c r="BJ28" s="541"/>
      <c r="BK28" s="541"/>
      <c r="BL28" s="541"/>
      <c r="BM28" s="541"/>
      <c r="BN28" s="541"/>
      <c r="BO28" s="541"/>
      <c r="BP28" s="541"/>
      <c r="BQ28" s="541"/>
      <c r="BR28" s="541"/>
      <c r="BS28" s="541"/>
      <c r="BT28" s="541"/>
      <c r="BU28" s="541"/>
      <c r="BV28" s="541"/>
      <c r="BW28" s="541"/>
      <c r="BX28" s="541"/>
      <c r="BY28" s="541"/>
      <c r="BZ28" s="541"/>
      <c r="CA28" s="541"/>
      <c r="CB28" s="541"/>
      <c r="CC28" s="541"/>
      <c r="CD28" s="541"/>
      <c r="CE28" s="541"/>
      <c r="CF28" s="541"/>
      <c r="CG28" s="541"/>
      <c r="CH28" s="541"/>
      <c r="CI28" s="542"/>
      <c r="CJ28" s="1479"/>
      <c r="CK28" s="1293"/>
    </row>
    <row r="29" spans="1:89" s="1292" customFormat="1" x14ac:dyDescent="0.2">
      <c r="A29" s="1284"/>
      <c r="B29" s="543" t="s">
        <v>457</v>
      </c>
      <c r="C29" s="536" t="s">
        <v>458</v>
      </c>
      <c r="D29" s="537" t="s">
        <v>86</v>
      </c>
      <c r="E29" s="538" t="s">
        <v>236</v>
      </c>
      <c r="F29" s="539">
        <v>2</v>
      </c>
      <c r="G29" s="540"/>
      <c r="H29" s="540"/>
      <c r="I29" s="540">
        <v>-0.43</v>
      </c>
      <c r="J29" s="540">
        <v>-0.43</v>
      </c>
      <c r="K29" s="540">
        <v>-0.43</v>
      </c>
      <c r="L29" s="540">
        <v>-0.43</v>
      </c>
      <c r="M29" s="541">
        <v>-0.43</v>
      </c>
      <c r="N29" s="541">
        <v>-0.43</v>
      </c>
      <c r="O29" s="541">
        <v>-0.43</v>
      </c>
      <c r="P29" s="541">
        <v>-0.43</v>
      </c>
      <c r="Q29" s="541">
        <v>-0.43</v>
      </c>
      <c r="R29" s="541">
        <v>-0.43</v>
      </c>
      <c r="S29" s="541">
        <v>-0.43</v>
      </c>
      <c r="T29" s="541">
        <v>-0.43</v>
      </c>
      <c r="U29" s="541">
        <v>-0.43</v>
      </c>
      <c r="V29" s="541">
        <v>-0.43</v>
      </c>
      <c r="W29" s="541">
        <v>-0.43</v>
      </c>
      <c r="X29" s="541">
        <v>-0.43</v>
      </c>
      <c r="Y29" s="541">
        <v>-0.43</v>
      </c>
      <c r="Z29" s="541">
        <v>-0.43</v>
      </c>
      <c r="AA29" s="541">
        <v>-0.43</v>
      </c>
      <c r="AB29" s="541">
        <v>-0.43</v>
      </c>
      <c r="AC29" s="541">
        <v>-0.43</v>
      </c>
      <c r="AD29" s="541">
        <v>-0.43</v>
      </c>
      <c r="AE29" s="541">
        <v>-0.43</v>
      </c>
      <c r="AF29" s="541">
        <v>-0.43</v>
      </c>
      <c r="AG29" s="541">
        <v>-0.43</v>
      </c>
      <c r="AH29" s="541">
        <v>-0.43</v>
      </c>
      <c r="AI29" s="541">
        <v>-0.43</v>
      </c>
      <c r="AJ29" s="541">
        <v>-0.43</v>
      </c>
      <c r="AK29" s="541">
        <v>-0.43</v>
      </c>
      <c r="AL29" s="541"/>
      <c r="AM29" s="541"/>
      <c r="AN29" s="541"/>
      <c r="AO29" s="541"/>
      <c r="AP29" s="541"/>
      <c r="AQ29" s="541"/>
      <c r="AR29" s="541"/>
      <c r="AS29" s="541"/>
      <c r="AT29" s="541"/>
      <c r="AU29" s="541"/>
      <c r="AV29" s="541"/>
      <c r="AW29" s="541"/>
      <c r="AX29" s="541"/>
      <c r="AY29" s="541"/>
      <c r="AZ29" s="541"/>
      <c r="BA29" s="541"/>
      <c r="BB29" s="541"/>
      <c r="BC29" s="541"/>
      <c r="BD29" s="541"/>
      <c r="BE29" s="541"/>
      <c r="BF29" s="541"/>
      <c r="BG29" s="541"/>
      <c r="BH29" s="541"/>
      <c r="BI29" s="541"/>
      <c r="BJ29" s="541"/>
      <c r="BK29" s="541"/>
      <c r="BL29" s="541"/>
      <c r="BM29" s="541"/>
      <c r="BN29" s="541"/>
      <c r="BO29" s="541"/>
      <c r="BP29" s="541"/>
      <c r="BQ29" s="541"/>
      <c r="BR29" s="541"/>
      <c r="BS29" s="541"/>
      <c r="BT29" s="541"/>
      <c r="BU29" s="541"/>
      <c r="BV29" s="541"/>
      <c r="BW29" s="541"/>
      <c r="BX29" s="541"/>
      <c r="BY29" s="541"/>
      <c r="BZ29" s="541"/>
      <c r="CA29" s="541"/>
      <c r="CB29" s="541"/>
      <c r="CC29" s="541"/>
      <c r="CD29" s="541"/>
      <c r="CE29" s="541"/>
      <c r="CF29" s="541"/>
      <c r="CG29" s="541"/>
      <c r="CH29" s="541"/>
      <c r="CI29" s="542"/>
      <c r="CJ29" s="1479"/>
      <c r="CK29" s="1293"/>
    </row>
    <row r="30" spans="1:89" s="1292" customFormat="1" x14ac:dyDescent="0.2">
      <c r="A30" s="1284"/>
      <c r="B30" s="543" t="s">
        <v>459</v>
      </c>
      <c r="C30" s="536" t="s">
        <v>460</v>
      </c>
      <c r="D30" s="537" t="s">
        <v>86</v>
      </c>
      <c r="E30" s="538" t="s">
        <v>236</v>
      </c>
      <c r="F30" s="539">
        <v>2</v>
      </c>
      <c r="G30" s="540"/>
      <c r="H30" s="540"/>
      <c r="I30" s="540">
        <v>77.25</v>
      </c>
      <c r="J30" s="540">
        <v>77.25</v>
      </c>
      <c r="K30" s="540">
        <v>77.25</v>
      </c>
      <c r="L30" s="540">
        <v>77.25</v>
      </c>
      <c r="M30" s="541">
        <v>77.25</v>
      </c>
      <c r="N30" s="541">
        <v>77.25</v>
      </c>
      <c r="O30" s="541">
        <v>77.25</v>
      </c>
      <c r="P30" s="541">
        <v>77.25</v>
      </c>
      <c r="Q30" s="541">
        <v>77.25</v>
      </c>
      <c r="R30" s="541">
        <v>77.25</v>
      </c>
      <c r="S30" s="541">
        <v>77.25</v>
      </c>
      <c r="T30" s="541">
        <v>77.25</v>
      </c>
      <c r="U30" s="541">
        <v>77.25</v>
      </c>
      <c r="V30" s="541">
        <v>77.25</v>
      </c>
      <c r="W30" s="541">
        <v>77.25</v>
      </c>
      <c r="X30" s="541">
        <v>77.25</v>
      </c>
      <c r="Y30" s="541">
        <v>77.25</v>
      </c>
      <c r="Z30" s="541">
        <v>77.25</v>
      </c>
      <c r="AA30" s="541">
        <v>77.25</v>
      </c>
      <c r="AB30" s="541">
        <v>77.25</v>
      </c>
      <c r="AC30" s="541">
        <v>77.25</v>
      </c>
      <c r="AD30" s="541">
        <v>77.25</v>
      </c>
      <c r="AE30" s="541">
        <v>77.25</v>
      </c>
      <c r="AF30" s="541">
        <v>77.25</v>
      </c>
      <c r="AG30" s="541">
        <v>77.25</v>
      </c>
      <c r="AH30" s="541">
        <v>77.25</v>
      </c>
      <c r="AI30" s="541">
        <v>77.25</v>
      </c>
      <c r="AJ30" s="541">
        <v>77.25</v>
      </c>
      <c r="AK30" s="541">
        <v>77.25</v>
      </c>
      <c r="AL30" s="541"/>
      <c r="AM30" s="541"/>
      <c r="AN30" s="541"/>
      <c r="AO30" s="541"/>
      <c r="AP30" s="541"/>
      <c r="AQ30" s="541"/>
      <c r="AR30" s="541"/>
      <c r="AS30" s="541"/>
      <c r="AT30" s="541"/>
      <c r="AU30" s="541"/>
      <c r="AV30" s="541"/>
      <c r="AW30" s="541"/>
      <c r="AX30" s="541"/>
      <c r="AY30" s="541"/>
      <c r="AZ30" s="541"/>
      <c r="BA30" s="541"/>
      <c r="BB30" s="541"/>
      <c r="BC30" s="541"/>
      <c r="BD30" s="541"/>
      <c r="BE30" s="541"/>
      <c r="BF30" s="541"/>
      <c r="BG30" s="541"/>
      <c r="BH30" s="541"/>
      <c r="BI30" s="541"/>
      <c r="BJ30" s="541"/>
      <c r="BK30" s="541"/>
      <c r="BL30" s="541"/>
      <c r="BM30" s="541"/>
      <c r="BN30" s="541"/>
      <c r="BO30" s="541"/>
      <c r="BP30" s="541"/>
      <c r="BQ30" s="541"/>
      <c r="BR30" s="541"/>
      <c r="BS30" s="541"/>
      <c r="BT30" s="541"/>
      <c r="BU30" s="541"/>
      <c r="BV30" s="541"/>
      <c r="BW30" s="541"/>
      <c r="BX30" s="541"/>
      <c r="BY30" s="541"/>
      <c r="BZ30" s="541"/>
      <c r="CA30" s="541"/>
      <c r="CB30" s="541"/>
      <c r="CC30" s="541"/>
      <c r="CD30" s="541"/>
      <c r="CE30" s="541"/>
      <c r="CF30" s="541"/>
      <c r="CG30" s="541"/>
      <c r="CH30" s="541"/>
      <c r="CI30" s="542"/>
      <c r="CJ30" s="1479"/>
      <c r="CK30" s="1293"/>
    </row>
    <row r="31" spans="1:89" s="1292" customFormat="1" x14ac:dyDescent="0.2">
      <c r="A31" s="1284"/>
      <c r="B31" s="543" t="s">
        <v>461</v>
      </c>
      <c r="C31" s="546" t="s">
        <v>462</v>
      </c>
      <c r="D31" s="537" t="s">
        <v>463</v>
      </c>
      <c r="E31" s="538" t="s">
        <v>236</v>
      </c>
      <c r="F31" s="539">
        <v>2</v>
      </c>
      <c r="G31" s="547">
        <f>G30+G32</f>
        <v>0</v>
      </c>
      <c r="H31" s="547">
        <f t="shared" ref="H31:AK31" si="0">H30+H32</f>
        <v>0</v>
      </c>
      <c r="I31" s="547">
        <f t="shared" si="0"/>
        <v>76.45</v>
      </c>
      <c r="J31" s="547">
        <f t="shared" si="0"/>
        <v>76.45</v>
      </c>
      <c r="K31" s="547">
        <f t="shared" si="0"/>
        <v>76.45</v>
      </c>
      <c r="L31" s="547">
        <f t="shared" si="0"/>
        <v>76.45</v>
      </c>
      <c r="M31" s="547">
        <f t="shared" si="0"/>
        <v>76.45</v>
      </c>
      <c r="N31" s="547">
        <f t="shared" si="0"/>
        <v>76.430000000000007</v>
      </c>
      <c r="O31" s="547">
        <f t="shared" si="0"/>
        <v>76.430000000000007</v>
      </c>
      <c r="P31" s="547">
        <f t="shared" si="0"/>
        <v>76.430000000000007</v>
      </c>
      <c r="Q31" s="547">
        <f t="shared" si="0"/>
        <v>76.430000000000007</v>
      </c>
      <c r="R31" s="547">
        <f t="shared" si="0"/>
        <v>72.400000000000006</v>
      </c>
      <c r="S31" s="547">
        <f t="shared" si="0"/>
        <v>72.400000000000006</v>
      </c>
      <c r="T31" s="547">
        <f t="shared" si="0"/>
        <v>70.400000000000006</v>
      </c>
      <c r="U31" s="547">
        <f t="shared" si="0"/>
        <v>70.400000000000006</v>
      </c>
      <c r="V31" s="547">
        <f t="shared" si="0"/>
        <v>70.400000000000006</v>
      </c>
      <c r="W31" s="547">
        <f t="shared" si="0"/>
        <v>70.400000000000006</v>
      </c>
      <c r="X31" s="547">
        <f t="shared" si="0"/>
        <v>70.400000000000006</v>
      </c>
      <c r="Y31" s="547">
        <f t="shared" si="0"/>
        <v>70.400000000000006</v>
      </c>
      <c r="Z31" s="547">
        <f t="shared" si="0"/>
        <v>70.400000000000006</v>
      </c>
      <c r="AA31" s="547">
        <f t="shared" si="0"/>
        <v>70.400000000000006</v>
      </c>
      <c r="AB31" s="547">
        <f t="shared" si="0"/>
        <v>52.73</v>
      </c>
      <c r="AC31" s="547">
        <f t="shared" si="0"/>
        <v>52.73</v>
      </c>
      <c r="AD31" s="547">
        <f t="shared" si="0"/>
        <v>52.73</v>
      </c>
      <c r="AE31" s="547">
        <f t="shared" si="0"/>
        <v>52.73</v>
      </c>
      <c r="AF31" s="547">
        <f t="shared" si="0"/>
        <v>52.73</v>
      </c>
      <c r="AG31" s="547">
        <f t="shared" si="0"/>
        <v>35.049999999999997</v>
      </c>
      <c r="AH31" s="547">
        <f t="shared" si="0"/>
        <v>35.049999999999997</v>
      </c>
      <c r="AI31" s="547">
        <f t="shared" si="0"/>
        <v>35.049999999999997</v>
      </c>
      <c r="AJ31" s="547">
        <f t="shared" si="0"/>
        <v>35.049999999999997</v>
      </c>
      <c r="AK31" s="547">
        <f t="shared" si="0"/>
        <v>35.049999999999997</v>
      </c>
      <c r="AL31" s="547"/>
      <c r="AM31" s="547"/>
      <c r="AN31" s="547"/>
      <c r="AO31" s="547"/>
      <c r="AP31" s="547"/>
      <c r="AQ31" s="547"/>
      <c r="AR31" s="547"/>
      <c r="AS31" s="547"/>
      <c r="AT31" s="547"/>
      <c r="AU31" s="547"/>
      <c r="AV31" s="547"/>
      <c r="AW31" s="547"/>
      <c r="AX31" s="547"/>
      <c r="AY31" s="547"/>
      <c r="AZ31" s="547"/>
      <c r="BA31" s="547"/>
      <c r="BB31" s="547"/>
      <c r="BC31" s="547"/>
      <c r="BD31" s="547"/>
      <c r="BE31" s="547"/>
      <c r="BF31" s="547"/>
      <c r="BG31" s="547"/>
      <c r="BH31" s="547"/>
      <c r="BI31" s="547"/>
      <c r="BJ31" s="547"/>
      <c r="BK31" s="547"/>
      <c r="BL31" s="547"/>
      <c r="BM31" s="547"/>
      <c r="BN31" s="547"/>
      <c r="BO31" s="547"/>
      <c r="BP31" s="547"/>
      <c r="BQ31" s="547"/>
      <c r="BR31" s="547"/>
      <c r="BS31" s="547"/>
      <c r="BT31" s="547"/>
      <c r="BU31" s="547"/>
      <c r="BV31" s="547"/>
      <c r="BW31" s="547"/>
      <c r="BX31" s="547"/>
      <c r="BY31" s="547"/>
      <c r="BZ31" s="547"/>
      <c r="CA31" s="547"/>
      <c r="CB31" s="547"/>
      <c r="CC31" s="547"/>
      <c r="CD31" s="547"/>
      <c r="CE31" s="547"/>
      <c r="CF31" s="547"/>
      <c r="CG31" s="547"/>
      <c r="CH31" s="547"/>
      <c r="CI31" s="548"/>
      <c r="CJ31" s="1479"/>
      <c r="CK31" s="1293"/>
    </row>
    <row r="32" spans="1:89" s="1292" customFormat="1" ht="28.5" x14ac:dyDescent="0.2">
      <c r="A32" s="1284"/>
      <c r="B32" s="549" t="s">
        <v>464</v>
      </c>
      <c r="C32" s="550" t="s">
        <v>465</v>
      </c>
      <c r="D32" s="550" t="s">
        <v>466</v>
      </c>
      <c r="E32" s="551" t="s">
        <v>236</v>
      </c>
      <c r="F32" s="539">
        <v>2</v>
      </c>
      <c r="G32" s="547">
        <f>SUM(G33:G38)</f>
        <v>0</v>
      </c>
      <c r="H32" s="547">
        <f t="shared" ref="H32:AK32" si="1">SUM(H33:H38)</f>
        <v>0</v>
      </c>
      <c r="I32" s="547">
        <f t="shared" si="1"/>
        <v>-0.8</v>
      </c>
      <c r="J32" s="547">
        <f t="shared" si="1"/>
        <v>-0.8</v>
      </c>
      <c r="K32" s="547">
        <f t="shared" si="1"/>
        <v>-0.8</v>
      </c>
      <c r="L32" s="547">
        <f t="shared" si="1"/>
        <v>-0.8</v>
      </c>
      <c r="M32" s="552">
        <f t="shared" si="1"/>
        <v>-0.8</v>
      </c>
      <c r="N32" s="552">
        <f t="shared" si="1"/>
        <v>-0.82</v>
      </c>
      <c r="O32" s="552">
        <f t="shared" si="1"/>
        <v>-0.82</v>
      </c>
      <c r="P32" s="552">
        <f t="shared" si="1"/>
        <v>-0.82</v>
      </c>
      <c r="Q32" s="552">
        <f t="shared" si="1"/>
        <v>-0.82</v>
      </c>
      <c r="R32" s="552">
        <f t="shared" si="1"/>
        <v>-4.8499999999999996</v>
      </c>
      <c r="S32" s="552">
        <f t="shared" si="1"/>
        <v>-4.8499999999999996</v>
      </c>
      <c r="T32" s="552">
        <f t="shared" si="1"/>
        <v>-6.8500000000000005</v>
      </c>
      <c r="U32" s="552">
        <f t="shared" si="1"/>
        <v>-6.8500000000000005</v>
      </c>
      <c r="V32" s="552">
        <f t="shared" si="1"/>
        <v>-6.8500000000000005</v>
      </c>
      <c r="W32" s="552">
        <f t="shared" si="1"/>
        <v>-6.8500000000000005</v>
      </c>
      <c r="X32" s="552">
        <f t="shared" si="1"/>
        <v>-6.8500000000000005</v>
      </c>
      <c r="Y32" s="552">
        <f t="shared" si="1"/>
        <v>-6.8500000000000005</v>
      </c>
      <c r="Z32" s="552">
        <f t="shared" si="1"/>
        <v>-6.8500000000000005</v>
      </c>
      <c r="AA32" s="552">
        <f t="shared" si="1"/>
        <v>-6.8500000000000005</v>
      </c>
      <c r="AB32" s="552">
        <f t="shared" si="1"/>
        <v>-24.520000000000003</v>
      </c>
      <c r="AC32" s="552">
        <f t="shared" si="1"/>
        <v>-24.520000000000003</v>
      </c>
      <c r="AD32" s="552">
        <f t="shared" si="1"/>
        <v>-24.520000000000003</v>
      </c>
      <c r="AE32" s="552">
        <f t="shared" si="1"/>
        <v>-24.520000000000003</v>
      </c>
      <c r="AF32" s="552">
        <f t="shared" si="1"/>
        <v>-24.520000000000003</v>
      </c>
      <c r="AG32" s="552">
        <f t="shared" si="1"/>
        <v>-42.2</v>
      </c>
      <c r="AH32" s="552">
        <f t="shared" si="1"/>
        <v>-42.2</v>
      </c>
      <c r="AI32" s="552">
        <f t="shared" si="1"/>
        <v>-42.2</v>
      </c>
      <c r="AJ32" s="552">
        <f t="shared" si="1"/>
        <v>-42.2</v>
      </c>
      <c r="AK32" s="552">
        <f t="shared" si="1"/>
        <v>-42.2</v>
      </c>
      <c r="AL32" s="552"/>
      <c r="AM32" s="552"/>
      <c r="AN32" s="552"/>
      <c r="AO32" s="552"/>
      <c r="AP32" s="552"/>
      <c r="AQ32" s="552"/>
      <c r="AR32" s="552"/>
      <c r="AS32" s="552"/>
      <c r="AT32" s="552"/>
      <c r="AU32" s="552"/>
      <c r="AV32" s="552"/>
      <c r="AW32" s="552"/>
      <c r="AX32" s="552"/>
      <c r="AY32" s="552"/>
      <c r="AZ32" s="552"/>
      <c r="BA32" s="552"/>
      <c r="BB32" s="552"/>
      <c r="BC32" s="552"/>
      <c r="BD32" s="552"/>
      <c r="BE32" s="552"/>
      <c r="BF32" s="552"/>
      <c r="BG32" s="552"/>
      <c r="BH32" s="552"/>
      <c r="BI32" s="552"/>
      <c r="BJ32" s="552"/>
      <c r="BK32" s="552"/>
      <c r="BL32" s="552"/>
      <c r="BM32" s="552"/>
      <c r="BN32" s="552"/>
      <c r="BO32" s="552"/>
      <c r="BP32" s="552"/>
      <c r="BQ32" s="552"/>
      <c r="BR32" s="552"/>
      <c r="BS32" s="552"/>
      <c r="BT32" s="552"/>
      <c r="BU32" s="552"/>
      <c r="BV32" s="552"/>
      <c r="BW32" s="552"/>
      <c r="BX32" s="552"/>
      <c r="BY32" s="552"/>
      <c r="BZ32" s="552"/>
      <c r="CA32" s="552"/>
      <c r="CB32" s="552"/>
      <c r="CC32" s="552"/>
      <c r="CD32" s="552"/>
      <c r="CE32" s="552"/>
      <c r="CF32" s="552"/>
      <c r="CG32" s="552"/>
      <c r="CH32" s="552"/>
      <c r="CI32" s="548"/>
      <c r="CJ32" s="1479"/>
      <c r="CK32" s="1293"/>
    </row>
    <row r="33" spans="1:89" s="1292" customFormat="1" x14ac:dyDescent="0.2">
      <c r="A33" s="1284"/>
      <c r="B33" s="543" t="s">
        <v>467</v>
      </c>
      <c r="C33" s="546" t="s">
        <v>468</v>
      </c>
      <c r="D33" s="537" t="s">
        <v>86</v>
      </c>
      <c r="E33" s="538" t="s">
        <v>236</v>
      </c>
      <c r="F33" s="539">
        <v>2</v>
      </c>
      <c r="G33" s="540"/>
      <c r="H33" s="540"/>
      <c r="I33" s="540">
        <v>0</v>
      </c>
      <c r="J33" s="540">
        <v>0</v>
      </c>
      <c r="K33" s="540">
        <v>0</v>
      </c>
      <c r="L33" s="540">
        <v>0</v>
      </c>
      <c r="M33" s="541">
        <v>0</v>
      </c>
      <c r="N33" s="541">
        <v>0</v>
      </c>
      <c r="O33" s="541">
        <v>0</v>
      </c>
      <c r="P33" s="541">
        <v>0</v>
      </c>
      <c r="Q33" s="541">
        <v>0</v>
      </c>
      <c r="R33" s="541">
        <v>0</v>
      </c>
      <c r="S33" s="541">
        <v>0</v>
      </c>
      <c r="T33" s="541">
        <v>0</v>
      </c>
      <c r="U33" s="541">
        <v>0</v>
      </c>
      <c r="V33" s="541">
        <v>0</v>
      </c>
      <c r="W33" s="541">
        <v>0</v>
      </c>
      <c r="X33" s="541">
        <v>0</v>
      </c>
      <c r="Y33" s="541">
        <v>0</v>
      </c>
      <c r="Z33" s="541">
        <v>0</v>
      </c>
      <c r="AA33" s="541">
        <v>0</v>
      </c>
      <c r="AB33" s="541">
        <v>0</v>
      </c>
      <c r="AC33" s="541">
        <v>0</v>
      </c>
      <c r="AD33" s="541">
        <v>0</v>
      </c>
      <c r="AE33" s="541">
        <v>0</v>
      </c>
      <c r="AF33" s="541">
        <v>0</v>
      </c>
      <c r="AG33" s="541">
        <v>0</v>
      </c>
      <c r="AH33" s="541">
        <v>0</v>
      </c>
      <c r="AI33" s="541">
        <v>0</v>
      </c>
      <c r="AJ33" s="541">
        <v>0</v>
      </c>
      <c r="AK33" s="541">
        <v>0</v>
      </c>
      <c r="AL33" s="541"/>
      <c r="AM33" s="541"/>
      <c r="AN33" s="541"/>
      <c r="AO33" s="541"/>
      <c r="AP33" s="541"/>
      <c r="AQ33" s="541"/>
      <c r="AR33" s="541"/>
      <c r="AS33" s="541"/>
      <c r="AT33" s="541"/>
      <c r="AU33" s="541"/>
      <c r="AV33" s="541"/>
      <c r="AW33" s="541"/>
      <c r="AX33" s="541"/>
      <c r="AY33" s="541"/>
      <c r="AZ33" s="541"/>
      <c r="BA33" s="541"/>
      <c r="BB33" s="541"/>
      <c r="BC33" s="541"/>
      <c r="BD33" s="541"/>
      <c r="BE33" s="541"/>
      <c r="BF33" s="541"/>
      <c r="BG33" s="541"/>
      <c r="BH33" s="541"/>
      <c r="BI33" s="541"/>
      <c r="BJ33" s="541"/>
      <c r="BK33" s="541"/>
      <c r="BL33" s="541"/>
      <c r="BM33" s="541"/>
      <c r="BN33" s="541"/>
      <c r="BO33" s="541"/>
      <c r="BP33" s="541"/>
      <c r="BQ33" s="541"/>
      <c r="BR33" s="541"/>
      <c r="BS33" s="541"/>
      <c r="BT33" s="541"/>
      <c r="BU33" s="541"/>
      <c r="BV33" s="541"/>
      <c r="BW33" s="541"/>
      <c r="BX33" s="541"/>
      <c r="BY33" s="541"/>
      <c r="BZ33" s="541"/>
      <c r="CA33" s="541"/>
      <c r="CB33" s="541"/>
      <c r="CC33" s="541"/>
      <c r="CD33" s="541"/>
      <c r="CE33" s="541"/>
      <c r="CF33" s="541"/>
      <c r="CG33" s="541"/>
      <c r="CH33" s="541"/>
      <c r="CI33" s="542"/>
      <c r="CJ33" s="1479"/>
      <c r="CK33" s="1293"/>
    </row>
    <row r="34" spans="1:89" s="1292" customFormat="1" ht="28.5" x14ac:dyDescent="0.2">
      <c r="A34" s="1284"/>
      <c r="B34" s="543" t="s">
        <v>469</v>
      </c>
      <c r="C34" s="546" t="s">
        <v>470</v>
      </c>
      <c r="D34" s="537" t="s">
        <v>86</v>
      </c>
      <c r="E34" s="538" t="s">
        <v>236</v>
      </c>
      <c r="F34" s="539">
        <v>2</v>
      </c>
      <c r="G34" s="540"/>
      <c r="H34" s="540"/>
      <c r="I34" s="540">
        <v>-0.8</v>
      </c>
      <c r="J34" s="540">
        <v>-0.8</v>
      </c>
      <c r="K34" s="540">
        <v>-0.8</v>
      </c>
      <c r="L34" s="540">
        <v>-0.8</v>
      </c>
      <c r="M34" s="541">
        <v>-0.8</v>
      </c>
      <c r="N34" s="1526">
        <v>-0.82</v>
      </c>
      <c r="O34" s="541">
        <v>-0.82</v>
      </c>
      <c r="P34" s="541">
        <v>-0.82</v>
      </c>
      <c r="Q34" s="541">
        <v>-0.82</v>
      </c>
      <c r="R34" s="1526">
        <f>-6.85+2</f>
        <v>-4.8499999999999996</v>
      </c>
      <c r="S34" s="541">
        <f>-6.85+2</f>
        <v>-4.8499999999999996</v>
      </c>
      <c r="T34" s="1526">
        <v>-6.8500000000000005</v>
      </c>
      <c r="U34" s="541">
        <v>-6.8500000000000005</v>
      </c>
      <c r="V34" s="541">
        <v>-6.8500000000000005</v>
      </c>
      <c r="W34" s="541">
        <v>-6.8500000000000005</v>
      </c>
      <c r="X34" s="541">
        <v>-6.8500000000000005</v>
      </c>
      <c r="Y34" s="541">
        <v>-6.8500000000000005</v>
      </c>
      <c r="Z34" s="541">
        <v>-6.8500000000000005</v>
      </c>
      <c r="AA34" s="541">
        <v>-6.8500000000000005</v>
      </c>
      <c r="AB34" s="541">
        <v>-6.8500000000000005</v>
      </c>
      <c r="AC34" s="541">
        <v>-6.8500000000000005</v>
      </c>
      <c r="AD34" s="541">
        <v>-6.8500000000000005</v>
      </c>
      <c r="AE34" s="541">
        <v>-6.8500000000000005</v>
      </c>
      <c r="AF34" s="541">
        <v>-6.8500000000000005</v>
      </c>
      <c r="AG34" s="541">
        <v>-6.8500000000000005</v>
      </c>
      <c r="AH34" s="541">
        <v>-6.8500000000000005</v>
      </c>
      <c r="AI34" s="541">
        <v>-6.8500000000000005</v>
      </c>
      <c r="AJ34" s="541">
        <v>-6.8500000000000005</v>
      </c>
      <c r="AK34" s="541">
        <v>-6.8500000000000005</v>
      </c>
      <c r="AL34" s="541"/>
      <c r="AM34" s="541"/>
      <c r="AN34" s="541"/>
      <c r="AO34" s="541"/>
      <c r="AP34" s="541"/>
      <c r="AQ34" s="541"/>
      <c r="AR34" s="541"/>
      <c r="AS34" s="541"/>
      <c r="AT34" s="541"/>
      <c r="AU34" s="541"/>
      <c r="AV34" s="541"/>
      <c r="AW34" s="541"/>
      <c r="AX34" s="541"/>
      <c r="AY34" s="541"/>
      <c r="AZ34" s="541"/>
      <c r="BA34" s="541"/>
      <c r="BB34" s="541"/>
      <c r="BC34" s="541"/>
      <c r="BD34" s="541"/>
      <c r="BE34" s="541"/>
      <c r="BF34" s="541"/>
      <c r="BG34" s="541"/>
      <c r="BH34" s="541"/>
      <c r="BI34" s="541"/>
      <c r="BJ34" s="541"/>
      <c r="BK34" s="541"/>
      <c r="BL34" s="541"/>
      <c r="BM34" s="541"/>
      <c r="BN34" s="541"/>
      <c r="BO34" s="541"/>
      <c r="BP34" s="541"/>
      <c r="BQ34" s="541"/>
      <c r="BR34" s="541"/>
      <c r="BS34" s="541"/>
      <c r="BT34" s="541"/>
      <c r="BU34" s="541"/>
      <c r="BV34" s="541"/>
      <c r="BW34" s="541"/>
      <c r="BX34" s="541"/>
      <c r="BY34" s="541"/>
      <c r="BZ34" s="541"/>
      <c r="CA34" s="541"/>
      <c r="CB34" s="541"/>
      <c r="CC34" s="541"/>
      <c r="CD34" s="541"/>
      <c r="CE34" s="541"/>
      <c r="CF34" s="541"/>
      <c r="CG34" s="541"/>
      <c r="CH34" s="541"/>
      <c r="CI34" s="542"/>
      <c r="CJ34" s="1479"/>
      <c r="CK34" s="1293"/>
    </row>
    <row r="35" spans="1:89" s="1292" customFormat="1" ht="42.75" x14ac:dyDescent="0.2">
      <c r="A35" s="1284"/>
      <c r="B35" s="543" t="s">
        <v>471</v>
      </c>
      <c r="C35" s="546" t="s">
        <v>472</v>
      </c>
      <c r="D35" s="537" t="s">
        <v>86</v>
      </c>
      <c r="E35" s="538" t="s">
        <v>236</v>
      </c>
      <c r="F35" s="539">
        <v>2</v>
      </c>
      <c r="G35" s="540"/>
      <c r="H35" s="540"/>
      <c r="I35" s="540">
        <v>0</v>
      </c>
      <c r="J35" s="540">
        <v>0</v>
      </c>
      <c r="K35" s="540">
        <v>0</v>
      </c>
      <c r="L35" s="540">
        <v>0</v>
      </c>
      <c r="M35" s="541">
        <v>0</v>
      </c>
      <c r="N35" s="541">
        <v>0</v>
      </c>
      <c r="O35" s="541">
        <v>0</v>
      </c>
      <c r="P35" s="541">
        <v>0</v>
      </c>
      <c r="Q35" s="541">
        <v>0</v>
      </c>
      <c r="R35" s="541">
        <v>0</v>
      </c>
      <c r="S35" s="541">
        <v>0</v>
      </c>
      <c r="T35" s="541">
        <v>0</v>
      </c>
      <c r="U35" s="541">
        <v>0</v>
      </c>
      <c r="V35" s="541">
        <v>0</v>
      </c>
      <c r="W35" s="541">
        <v>0</v>
      </c>
      <c r="X35" s="541">
        <v>0</v>
      </c>
      <c r="Y35" s="541">
        <v>0</v>
      </c>
      <c r="Z35" s="541">
        <v>0</v>
      </c>
      <c r="AA35" s="541">
        <v>0</v>
      </c>
      <c r="AB35" s="1526">
        <v>-17.670000000000002</v>
      </c>
      <c r="AC35" s="541">
        <v>-17.670000000000002</v>
      </c>
      <c r="AD35" s="541">
        <v>-17.670000000000002</v>
      </c>
      <c r="AE35" s="541">
        <v>-17.670000000000002</v>
      </c>
      <c r="AF35" s="541">
        <v>-17.670000000000002</v>
      </c>
      <c r="AG35" s="1526">
        <v>-35.35</v>
      </c>
      <c r="AH35" s="541">
        <v>-35.35</v>
      </c>
      <c r="AI35" s="541">
        <v>-35.35</v>
      </c>
      <c r="AJ35" s="541">
        <v>-35.35</v>
      </c>
      <c r="AK35" s="541">
        <v>-35.35</v>
      </c>
      <c r="AL35" s="541"/>
      <c r="AM35" s="541"/>
      <c r="AN35" s="541"/>
      <c r="AO35" s="541"/>
      <c r="AP35" s="541"/>
      <c r="AQ35" s="541"/>
      <c r="AR35" s="541"/>
      <c r="AS35" s="541"/>
      <c r="AT35" s="541"/>
      <c r="AU35" s="541"/>
      <c r="AV35" s="541"/>
      <c r="AW35" s="541"/>
      <c r="AX35" s="541"/>
      <c r="AY35" s="541"/>
      <c r="AZ35" s="541"/>
      <c r="BA35" s="541"/>
      <c r="BB35" s="541"/>
      <c r="BC35" s="541"/>
      <c r="BD35" s="541"/>
      <c r="BE35" s="541"/>
      <c r="BF35" s="541"/>
      <c r="BG35" s="541"/>
      <c r="BH35" s="541"/>
      <c r="BI35" s="541"/>
      <c r="BJ35" s="541"/>
      <c r="BK35" s="541"/>
      <c r="BL35" s="541"/>
      <c r="BM35" s="541"/>
      <c r="BN35" s="541"/>
      <c r="BO35" s="541"/>
      <c r="BP35" s="541"/>
      <c r="BQ35" s="541"/>
      <c r="BR35" s="541"/>
      <c r="BS35" s="541"/>
      <c r="BT35" s="541"/>
      <c r="BU35" s="541"/>
      <c r="BV35" s="541"/>
      <c r="BW35" s="541"/>
      <c r="BX35" s="541"/>
      <c r="BY35" s="541"/>
      <c r="BZ35" s="541"/>
      <c r="CA35" s="541"/>
      <c r="CB35" s="541"/>
      <c r="CC35" s="541"/>
      <c r="CD35" s="541"/>
      <c r="CE35" s="541"/>
      <c r="CF35" s="541"/>
      <c r="CG35" s="541"/>
      <c r="CH35" s="541"/>
      <c r="CI35" s="542"/>
      <c r="CJ35" s="1479"/>
      <c r="CK35" s="1293"/>
    </row>
    <row r="36" spans="1:89" s="1292" customFormat="1" ht="28.5" x14ac:dyDescent="0.2">
      <c r="A36" s="1284"/>
      <c r="B36" s="543" t="s">
        <v>473</v>
      </c>
      <c r="C36" s="546" t="s">
        <v>474</v>
      </c>
      <c r="D36" s="537" t="s">
        <v>86</v>
      </c>
      <c r="E36" s="538" t="s">
        <v>236</v>
      </c>
      <c r="F36" s="539">
        <v>2</v>
      </c>
      <c r="G36" s="540"/>
      <c r="H36" s="540"/>
      <c r="I36" s="540">
        <v>0</v>
      </c>
      <c r="J36" s="540">
        <v>0</v>
      </c>
      <c r="K36" s="540">
        <v>0</v>
      </c>
      <c r="L36" s="540">
        <v>0</v>
      </c>
      <c r="M36" s="541">
        <v>0</v>
      </c>
      <c r="N36" s="541">
        <v>0</v>
      </c>
      <c r="O36" s="541">
        <v>0</v>
      </c>
      <c r="P36" s="541">
        <v>0</v>
      </c>
      <c r="Q36" s="541">
        <v>0</v>
      </c>
      <c r="R36" s="541">
        <v>0</v>
      </c>
      <c r="S36" s="541">
        <v>0</v>
      </c>
      <c r="T36" s="541">
        <v>0</v>
      </c>
      <c r="U36" s="541">
        <v>0</v>
      </c>
      <c r="V36" s="541">
        <v>0</v>
      </c>
      <c r="W36" s="541">
        <v>0</v>
      </c>
      <c r="X36" s="541">
        <v>0</v>
      </c>
      <c r="Y36" s="541">
        <v>0</v>
      </c>
      <c r="Z36" s="541">
        <v>0</v>
      </c>
      <c r="AA36" s="541">
        <v>0</v>
      </c>
      <c r="AB36" s="541">
        <v>0</v>
      </c>
      <c r="AC36" s="541">
        <v>0</v>
      </c>
      <c r="AD36" s="541">
        <v>0</v>
      </c>
      <c r="AE36" s="541">
        <v>0</v>
      </c>
      <c r="AF36" s="541">
        <v>0</v>
      </c>
      <c r="AG36" s="541">
        <v>0</v>
      </c>
      <c r="AH36" s="541">
        <v>0</v>
      </c>
      <c r="AI36" s="541">
        <v>0</v>
      </c>
      <c r="AJ36" s="541">
        <v>0</v>
      </c>
      <c r="AK36" s="541">
        <v>0</v>
      </c>
      <c r="AL36" s="541"/>
      <c r="AM36" s="541"/>
      <c r="AN36" s="541"/>
      <c r="AO36" s="541"/>
      <c r="AP36" s="541"/>
      <c r="AQ36" s="541"/>
      <c r="AR36" s="541"/>
      <c r="AS36" s="541"/>
      <c r="AT36" s="541"/>
      <c r="AU36" s="541"/>
      <c r="AV36" s="541"/>
      <c r="AW36" s="541"/>
      <c r="AX36" s="541"/>
      <c r="AY36" s="541"/>
      <c r="AZ36" s="541"/>
      <c r="BA36" s="541"/>
      <c r="BB36" s="541"/>
      <c r="BC36" s="541"/>
      <c r="BD36" s="541"/>
      <c r="BE36" s="541"/>
      <c r="BF36" s="541"/>
      <c r="BG36" s="541"/>
      <c r="BH36" s="541"/>
      <c r="BI36" s="541"/>
      <c r="BJ36" s="541"/>
      <c r="BK36" s="541"/>
      <c r="BL36" s="541"/>
      <c r="BM36" s="541"/>
      <c r="BN36" s="541"/>
      <c r="BO36" s="541"/>
      <c r="BP36" s="541"/>
      <c r="BQ36" s="541"/>
      <c r="BR36" s="541"/>
      <c r="BS36" s="541"/>
      <c r="BT36" s="541"/>
      <c r="BU36" s="541"/>
      <c r="BV36" s="541"/>
      <c r="BW36" s="541"/>
      <c r="BX36" s="541"/>
      <c r="BY36" s="541"/>
      <c r="BZ36" s="541"/>
      <c r="CA36" s="541"/>
      <c r="CB36" s="541"/>
      <c r="CC36" s="541"/>
      <c r="CD36" s="541"/>
      <c r="CE36" s="541"/>
      <c r="CF36" s="541"/>
      <c r="CG36" s="541"/>
      <c r="CH36" s="541"/>
      <c r="CI36" s="542"/>
      <c r="CJ36" s="1479"/>
      <c r="CK36" s="1293"/>
    </row>
    <row r="37" spans="1:89" s="1292" customFormat="1" x14ac:dyDescent="0.2">
      <c r="A37" s="1284"/>
      <c r="B37" s="543" t="s">
        <v>475</v>
      </c>
      <c r="C37" s="546" t="s">
        <v>476</v>
      </c>
      <c r="D37" s="537" t="s">
        <v>477</v>
      </c>
      <c r="E37" s="538" t="s">
        <v>236</v>
      </c>
      <c r="F37" s="539">
        <v>2</v>
      </c>
      <c r="G37" s="540"/>
      <c r="H37" s="540"/>
      <c r="I37" s="540">
        <v>0</v>
      </c>
      <c r="J37" s="540">
        <v>0</v>
      </c>
      <c r="K37" s="540">
        <v>0</v>
      </c>
      <c r="L37" s="540">
        <v>0</v>
      </c>
      <c r="M37" s="541">
        <v>0</v>
      </c>
      <c r="N37" s="541">
        <v>0</v>
      </c>
      <c r="O37" s="541">
        <v>0</v>
      </c>
      <c r="P37" s="541">
        <v>0</v>
      </c>
      <c r="Q37" s="541">
        <v>0</v>
      </c>
      <c r="R37" s="541">
        <v>0</v>
      </c>
      <c r="S37" s="541">
        <v>0</v>
      </c>
      <c r="T37" s="541">
        <v>0</v>
      </c>
      <c r="U37" s="541">
        <v>0</v>
      </c>
      <c r="V37" s="541">
        <v>0</v>
      </c>
      <c r="W37" s="541">
        <v>0</v>
      </c>
      <c r="X37" s="541">
        <v>0</v>
      </c>
      <c r="Y37" s="541">
        <v>0</v>
      </c>
      <c r="Z37" s="541">
        <v>0</v>
      </c>
      <c r="AA37" s="541">
        <v>0</v>
      </c>
      <c r="AB37" s="541">
        <v>0</v>
      </c>
      <c r="AC37" s="541">
        <v>0</v>
      </c>
      <c r="AD37" s="541">
        <v>0</v>
      </c>
      <c r="AE37" s="541">
        <v>0</v>
      </c>
      <c r="AF37" s="541">
        <v>0</v>
      </c>
      <c r="AG37" s="541">
        <v>0</v>
      </c>
      <c r="AH37" s="541">
        <v>0</v>
      </c>
      <c r="AI37" s="541">
        <v>0</v>
      </c>
      <c r="AJ37" s="541">
        <v>0</v>
      </c>
      <c r="AK37" s="541">
        <v>0</v>
      </c>
      <c r="AL37" s="553"/>
      <c r="AM37" s="553"/>
      <c r="AN37" s="553"/>
      <c r="AO37" s="553"/>
      <c r="AP37" s="553"/>
      <c r="AQ37" s="553"/>
      <c r="AR37" s="553"/>
      <c r="AS37" s="553"/>
      <c r="AT37" s="553"/>
      <c r="AU37" s="553"/>
      <c r="AV37" s="553"/>
      <c r="AW37" s="553"/>
      <c r="AX37" s="553"/>
      <c r="AY37" s="553"/>
      <c r="AZ37" s="553"/>
      <c r="BA37" s="553"/>
      <c r="BB37" s="553"/>
      <c r="BC37" s="553"/>
      <c r="BD37" s="553"/>
      <c r="BE37" s="553"/>
      <c r="BF37" s="553"/>
      <c r="BG37" s="553"/>
      <c r="BH37" s="553"/>
      <c r="BI37" s="553"/>
      <c r="BJ37" s="553"/>
      <c r="BK37" s="553"/>
      <c r="BL37" s="553"/>
      <c r="BM37" s="553"/>
      <c r="BN37" s="553"/>
      <c r="BO37" s="553"/>
      <c r="BP37" s="553"/>
      <c r="BQ37" s="553"/>
      <c r="BR37" s="553"/>
      <c r="BS37" s="553"/>
      <c r="BT37" s="553"/>
      <c r="BU37" s="553"/>
      <c r="BV37" s="553"/>
      <c r="BW37" s="553"/>
      <c r="BX37" s="553"/>
      <c r="BY37" s="553"/>
      <c r="BZ37" s="553"/>
      <c r="CA37" s="553"/>
      <c r="CB37" s="553"/>
      <c r="CC37" s="553"/>
      <c r="CD37" s="553"/>
      <c r="CE37" s="553"/>
      <c r="CF37" s="553"/>
      <c r="CG37" s="553"/>
      <c r="CH37" s="553"/>
      <c r="CI37" s="554"/>
      <c r="CJ37" s="1479"/>
      <c r="CK37" s="1293"/>
    </row>
    <row r="38" spans="1:89" s="1292" customFormat="1" ht="28.5" x14ac:dyDescent="0.2">
      <c r="A38" s="1284"/>
      <c r="B38" s="543" t="s">
        <v>478</v>
      </c>
      <c r="C38" s="546" t="s">
        <v>479</v>
      </c>
      <c r="D38" s="537" t="s">
        <v>86</v>
      </c>
      <c r="E38" s="538" t="s">
        <v>236</v>
      </c>
      <c r="F38" s="539">
        <v>2</v>
      </c>
      <c r="G38" s="540"/>
      <c r="H38" s="540"/>
      <c r="I38" s="540">
        <v>0</v>
      </c>
      <c r="J38" s="540">
        <v>0</v>
      </c>
      <c r="K38" s="540">
        <v>0</v>
      </c>
      <c r="L38" s="540">
        <v>0</v>
      </c>
      <c r="M38" s="541">
        <v>0</v>
      </c>
      <c r="N38" s="541">
        <v>0</v>
      </c>
      <c r="O38" s="541">
        <v>0</v>
      </c>
      <c r="P38" s="541">
        <v>0</v>
      </c>
      <c r="Q38" s="541">
        <v>0</v>
      </c>
      <c r="R38" s="541">
        <v>0</v>
      </c>
      <c r="S38" s="541">
        <v>0</v>
      </c>
      <c r="T38" s="541">
        <v>0</v>
      </c>
      <c r="U38" s="541">
        <v>0</v>
      </c>
      <c r="V38" s="541">
        <v>0</v>
      </c>
      <c r="W38" s="541">
        <v>0</v>
      </c>
      <c r="X38" s="541">
        <v>0</v>
      </c>
      <c r="Y38" s="541">
        <v>0</v>
      </c>
      <c r="Z38" s="541">
        <v>0</v>
      </c>
      <c r="AA38" s="541">
        <v>0</v>
      </c>
      <c r="AB38" s="541">
        <v>0</v>
      </c>
      <c r="AC38" s="541">
        <v>0</v>
      </c>
      <c r="AD38" s="541">
        <v>0</v>
      </c>
      <c r="AE38" s="541">
        <v>0</v>
      </c>
      <c r="AF38" s="541">
        <v>0</v>
      </c>
      <c r="AG38" s="541">
        <v>0</v>
      </c>
      <c r="AH38" s="541">
        <v>0</v>
      </c>
      <c r="AI38" s="541">
        <v>0</v>
      </c>
      <c r="AJ38" s="541">
        <v>0</v>
      </c>
      <c r="AK38" s="541">
        <v>0</v>
      </c>
      <c r="AL38" s="541"/>
      <c r="AM38" s="541"/>
      <c r="AN38" s="541"/>
      <c r="AO38" s="541"/>
      <c r="AP38" s="541"/>
      <c r="AQ38" s="541"/>
      <c r="AR38" s="541"/>
      <c r="AS38" s="541"/>
      <c r="AT38" s="541"/>
      <c r="AU38" s="541"/>
      <c r="AV38" s="541"/>
      <c r="AW38" s="541"/>
      <c r="AX38" s="541"/>
      <c r="AY38" s="541"/>
      <c r="AZ38" s="541"/>
      <c r="BA38" s="541"/>
      <c r="BB38" s="541"/>
      <c r="BC38" s="541"/>
      <c r="BD38" s="541"/>
      <c r="BE38" s="541"/>
      <c r="BF38" s="541"/>
      <c r="BG38" s="541"/>
      <c r="BH38" s="541"/>
      <c r="BI38" s="541"/>
      <c r="BJ38" s="541"/>
      <c r="BK38" s="541"/>
      <c r="BL38" s="541"/>
      <c r="BM38" s="541"/>
      <c r="BN38" s="541"/>
      <c r="BO38" s="541"/>
      <c r="BP38" s="541"/>
      <c r="BQ38" s="541"/>
      <c r="BR38" s="541"/>
      <c r="BS38" s="541"/>
      <c r="BT38" s="541"/>
      <c r="BU38" s="541"/>
      <c r="BV38" s="541"/>
      <c r="BW38" s="541"/>
      <c r="BX38" s="541"/>
      <c r="BY38" s="541"/>
      <c r="BZ38" s="541"/>
      <c r="CA38" s="541"/>
      <c r="CB38" s="541"/>
      <c r="CC38" s="541"/>
      <c r="CD38" s="541"/>
      <c r="CE38" s="541"/>
      <c r="CF38" s="541"/>
      <c r="CG38" s="541"/>
      <c r="CH38" s="541"/>
      <c r="CI38" s="542"/>
      <c r="CJ38" s="1479"/>
      <c r="CK38" s="1293"/>
    </row>
    <row r="39" spans="1:89" s="1292" customFormat="1" ht="28.5" x14ac:dyDescent="0.2">
      <c r="A39" s="1284"/>
      <c r="B39" s="543" t="s">
        <v>480</v>
      </c>
      <c r="C39" s="546" t="s">
        <v>481</v>
      </c>
      <c r="D39" s="537" t="s">
        <v>86</v>
      </c>
      <c r="E39" s="538" t="s">
        <v>236</v>
      </c>
      <c r="F39" s="539">
        <v>2</v>
      </c>
      <c r="G39" s="540"/>
      <c r="H39" s="540"/>
      <c r="I39" s="540">
        <v>8.75</v>
      </c>
      <c r="J39" s="540">
        <v>8.75</v>
      </c>
      <c r="K39" s="540">
        <v>8.75</v>
      </c>
      <c r="L39" s="540">
        <v>8.75</v>
      </c>
      <c r="M39" s="541">
        <v>8.75</v>
      </c>
      <c r="N39" s="1526">
        <v>8.6199999999999992</v>
      </c>
      <c r="O39" s="541">
        <v>8.6199999999999992</v>
      </c>
      <c r="P39" s="541">
        <v>8.6199999999999992</v>
      </c>
      <c r="Q39" s="541">
        <v>8.6199999999999992</v>
      </c>
      <c r="R39" s="1526">
        <v>8.3800000000000008</v>
      </c>
      <c r="S39" s="541">
        <v>8.3800000000000008</v>
      </c>
      <c r="T39" s="1526">
        <v>8.23</v>
      </c>
      <c r="U39" s="541">
        <v>8.23</v>
      </c>
      <c r="V39" s="541">
        <v>8.23</v>
      </c>
      <c r="W39" s="541">
        <v>8.23</v>
      </c>
      <c r="X39" s="541">
        <v>8.23</v>
      </c>
      <c r="Y39" s="541">
        <v>8.23</v>
      </c>
      <c r="Z39" s="541">
        <v>8.23</v>
      </c>
      <c r="AA39" s="541">
        <v>8.23</v>
      </c>
      <c r="AB39" s="1526">
        <v>5.86</v>
      </c>
      <c r="AC39" s="541">
        <v>5.86</v>
      </c>
      <c r="AD39" s="541">
        <v>5.86</v>
      </c>
      <c r="AE39" s="541">
        <v>5.86</v>
      </c>
      <c r="AF39" s="541">
        <v>5.86</v>
      </c>
      <c r="AG39" s="1526">
        <v>3.49</v>
      </c>
      <c r="AH39" s="541">
        <v>3.49</v>
      </c>
      <c r="AI39" s="541">
        <v>3.49</v>
      </c>
      <c r="AJ39" s="541">
        <v>3.49</v>
      </c>
      <c r="AK39" s="541">
        <v>3.49</v>
      </c>
      <c r="AL39" s="541"/>
      <c r="AM39" s="541"/>
      <c r="AN39" s="541"/>
      <c r="AO39" s="541"/>
      <c r="AP39" s="541"/>
      <c r="AQ39" s="541"/>
      <c r="AR39" s="541"/>
      <c r="AS39" s="541"/>
      <c r="AT39" s="541"/>
      <c r="AU39" s="541"/>
      <c r="AV39" s="541"/>
      <c r="AW39" s="541"/>
      <c r="AX39" s="541"/>
      <c r="AY39" s="541"/>
      <c r="AZ39" s="541"/>
      <c r="BA39" s="541"/>
      <c r="BB39" s="541"/>
      <c r="BC39" s="541"/>
      <c r="BD39" s="541"/>
      <c r="BE39" s="541"/>
      <c r="BF39" s="541"/>
      <c r="BG39" s="541"/>
      <c r="BH39" s="541"/>
      <c r="BI39" s="541"/>
      <c r="BJ39" s="541"/>
      <c r="BK39" s="541"/>
      <c r="BL39" s="541"/>
      <c r="BM39" s="541"/>
      <c r="BN39" s="541"/>
      <c r="BO39" s="541"/>
      <c r="BP39" s="541"/>
      <c r="BQ39" s="541"/>
      <c r="BR39" s="541"/>
      <c r="BS39" s="541"/>
      <c r="BT39" s="541"/>
      <c r="BU39" s="541"/>
      <c r="BV39" s="541"/>
      <c r="BW39" s="541"/>
      <c r="BX39" s="541"/>
      <c r="BY39" s="541"/>
      <c r="BZ39" s="541"/>
      <c r="CA39" s="541"/>
      <c r="CB39" s="541"/>
      <c r="CC39" s="541"/>
      <c r="CD39" s="541"/>
      <c r="CE39" s="541"/>
      <c r="CF39" s="541"/>
      <c r="CG39" s="541"/>
      <c r="CH39" s="541"/>
      <c r="CI39" s="542"/>
      <c r="CJ39" s="1479"/>
      <c r="CK39" s="1293"/>
    </row>
    <row r="40" spans="1:89" s="1292" customFormat="1" x14ac:dyDescent="0.2">
      <c r="A40" s="1284"/>
      <c r="B40" s="543" t="s">
        <v>482</v>
      </c>
      <c r="C40" s="546" t="s">
        <v>483</v>
      </c>
      <c r="D40" s="537" t="s">
        <v>86</v>
      </c>
      <c r="E40" s="538" t="s">
        <v>236</v>
      </c>
      <c r="F40" s="539">
        <v>2</v>
      </c>
      <c r="G40" s="540"/>
      <c r="H40" s="540"/>
      <c r="I40" s="540">
        <v>8.83</v>
      </c>
      <c r="J40" s="540">
        <v>8.83</v>
      </c>
      <c r="K40" s="540">
        <v>8.83</v>
      </c>
      <c r="L40" s="540">
        <v>8.83</v>
      </c>
      <c r="M40" s="541">
        <v>8.83</v>
      </c>
      <c r="N40" s="541">
        <v>8.83</v>
      </c>
      <c r="O40" s="541">
        <v>8.83</v>
      </c>
      <c r="P40" s="541">
        <v>8.83</v>
      </c>
      <c r="Q40" s="541">
        <v>8.83</v>
      </c>
      <c r="R40" s="541">
        <v>8.83</v>
      </c>
      <c r="S40" s="541">
        <v>8.83</v>
      </c>
      <c r="T40" s="541">
        <v>8.83</v>
      </c>
      <c r="U40" s="541">
        <v>8.83</v>
      </c>
      <c r="V40" s="541">
        <v>8.83</v>
      </c>
      <c r="W40" s="541">
        <v>8.83</v>
      </c>
      <c r="X40" s="541">
        <v>8.83</v>
      </c>
      <c r="Y40" s="541">
        <v>8.83</v>
      </c>
      <c r="Z40" s="541">
        <v>8.83</v>
      </c>
      <c r="AA40" s="541">
        <v>8.83</v>
      </c>
      <c r="AB40" s="541">
        <v>8.83</v>
      </c>
      <c r="AC40" s="541">
        <v>8.83</v>
      </c>
      <c r="AD40" s="541">
        <v>8.83</v>
      </c>
      <c r="AE40" s="541">
        <v>8.83</v>
      </c>
      <c r="AF40" s="541">
        <v>8.83</v>
      </c>
      <c r="AG40" s="541">
        <v>8.83</v>
      </c>
      <c r="AH40" s="541">
        <v>8.83</v>
      </c>
      <c r="AI40" s="541">
        <v>8.83</v>
      </c>
      <c r="AJ40" s="541">
        <v>8.83</v>
      </c>
      <c r="AK40" s="541">
        <v>8.83</v>
      </c>
      <c r="AL40" s="541"/>
      <c r="AM40" s="541"/>
      <c r="AN40" s="541"/>
      <c r="AO40" s="541"/>
      <c r="AP40" s="541"/>
      <c r="AQ40" s="541"/>
      <c r="AR40" s="541"/>
      <c r="AS40" s="541"/>
      <c r="AT40" s="541"/>
      <c r="AU40" s="541"/>
      <c r="AV40" s="541"/>
      <c r="AW40" s="541"/>
      <c r="AX40" s="541"/>
      <c r="AY40" s="541"/>
      <c r="AZ40" s="541"/>
      <c r="BA40" s="541"/>
      <c r="BB40" s="541"/>
      <c r="BC40" s="541"/>
      <c r="BD40" s="541"/>
      <c r="BE40" s="541"/>
      <c r="BF40" s="541"/>
      <c r="BG40" s="541"/>
      <c r="BH40" s="541"/>
      <c r="BI40" s="541"/>
      <c r="BJ40" s="541"/>
      <c r="BK40" s="541"/>
      <c r="BL40" s="541"/>
      <c r="BM40" s="541"/>
      <c r="BN40" s="541"/>
      <c r="BO40" s="541"/>
      <c r="BP40" s="541"/>
      <c r="BQ40" s="541"/>
      <c r="BR40" s="541"/>
      <c r="BS40" s="541"/>
      <c r="BT40" s="541"/>
      <c r="BU40" s="541"/>
      <c r="BV40" s="541"/>
      <c r="BW40" s="541"/>
      <c r="BX40" s="541"/>
      <c r="BY40" s="541"/>
      <c r="BZ40" s="541"/>
      <c r="CA40" s="541"/>
      <c r="CB40" s="541"/>
      <c r="CC40" s="541"/>
      <c r="CD40" s="541"/>
      <c r="CE40" s="541"/>
      <c r="CF40" s="541"/>
      <c r="CG40" s="541"/>
      <c r="CH40" s="541"/>
      <c r="CI40" s="542"/>
      <c r="CJ40" s="1479"/>
      <c r="CK40" s="1293"/>
    </row>
    <row r="41" spans="1:89" s="1292" customFormat="1" x14ac:dyDescent="0.2">
      <c r="A41" s="1284"/>
      <c r="B41" s="549" t="s">
        <v>484</v>
      </c>
      <c r="C41" s="550" t="s">
        <v>387</v>
      </c>
      <c r="D41" s="550" t="s">
        <v>485</v>
      </c>
      <c r="E41" s="551" t="s">
        <v>236</v>
      </c>
      <c r="F41" s="539">
        <v>2</v>
      </c>
      <c r="G41" s="547">
        <f>(G30+G32)-(G39+G40)</f>
        <v>0</v>
      </c>
      <c r="H41" s="547">
        <f t="shared" ref="H41:AK41" si="2">(H30+H32)-(H39+H40)</f>
        <v>0</v>
      </c>
      <c r="I41" s="547">
        <f t="shared" si="2"/>
        <v>58.870000000000005</v>
      </c>
      <c r="J41" s="547">
        <f t="shared" si="2"/>
        <v>58.870000000000005</v>
      </c>
      <c r="K41" s="547">
        <f t="shared" si="2"/>
        <v>58.870000000000005</v>
      </c>
      <c r="L41" s="547">
        <f t="shared" si="2"/>
        <v>58.870000000000005</v>
      </c>
      <c r="M41" s="552">
        <f t="shared" si="2"/>
        <v>58.870000000000005</v>
      </c>
      <c r="N41" s="552">
        <f t="shared" si="2"/>
        <v>58.980000000000004</v>
      </c>
      <c r="O41" s="552">
        <f t="shared" si="2"/>
        <v>58.980000000000004</v>
      </c>
      <c r="P41" s="552">
        <f t="shared" si="2"/>
        <v>58.980000000000004</v>
      </c>
      <c r="Q41" s="552">
        <f t="shared" si="2"/>
        <v>58.980000000000004</v>
      </c>
      <c r="R41" s="552">
        <f t="shared" si="2"/>
        <v>55.190000000000005</v>
      </c>
      <c r="S41" s="552">
        <f t="shared" si="2"/>
        <v>55.190000000000005</v>
      </c>
      <c r="T41" s="552">
        <f t="shared" si="2"/>
        <v>53.34</v>
      </c>
      <c r="U41" s="552">
        <f t="shared" si="2"/>
        <v>53.34</v>
      </c>
      <c r="V41" s="552">
        <f t="shared" si="2"/>
        <v>53.34</v>
      </c>
      <c r="W41" s="552">
        <f t="shared" si="2"/>
        <v>53.34</v>
      </c>
      <c r="X41" s="552">
        <f t="shared" si="2"/>
        <v>53.34</v>
      </c>
      <c r="Y41" s="552">
        <f t="shared" si="2"/>
        <v>53.34</v>
      </c>
      <c r="Z41" s="552">
        <f t="shared" si="2"/>
        <v>53.34</v>
      </c>
      <c r="AA41" s="552">
        <f t="shared" si="2"/>
        <v>53.34</v>
      </c>
      <c r="AB41" s="552">
        <f t="shared" si="2"/>
        <v>38.039999999999992</v>
      </c>
      <c r="AC41" s="552">
        <f t="shared" si="2"/>
        <v>38.039999999999992</v>
      </c>
      <c r="AD41" s="552">
        <f t="shared" si="2"/>
        <v>38.039999999999992</v>
      </c>
      <c r="AE41" s="552">
        <f t="shared" si="2"/>
        <v>38.039999999999992</v>
      </c>
      <c r="AF41" s="552">
        <f t="shared" si="2"/>
        <v>38.039999999999992</v>
      </c>
      <c r="AG41" s="552">
        <f t="shared" si="2"/>
        <v>22.729999999999997</v>
      </c>
      <c r="AH41" s="552">
        <f t="shared" si="2"/>
        <v>22.729999999999997</v>
      </c>
      <c r="AI41" s="552">
        <f t="shared" si="2"/>
        <v>22.729999999999997</v>
      </c>
      <c r="AJ41" s="552">
        <f t="shared" si="2"/>
        <v>22.729999999999997</v>
      </c>
      <c r="AK41" s="552">
        <f t="shared" si="2"/>
        <v>22.729999999999997</v>
      </c>
      <c r="AL41" s="552"/>
      <c r="AM41" s="552"/>
      <c r="AN41" s="552"/>
      <c r="AO41" s="552"/>
      <c r="AP41" s="552"/>
      <c r="AQ41" s="552"/>
      <c r="AR41" s="552"/>
      <c r="AS41" s="552"/>
      <c r="AT41" s="552"/>
      <c r="AU41" s="552"/>
      <c r="AV41" s="552"/>
      <c r="AW41" s="552"/>
      <c r="AX41" s="552"/>
      <c r="AY41" s="552"/>
      <c r="AZ41" s="552"/>
      <c r="BA41" s="552"/>
      <c r="BB41" s="552"/>
      <c r="BC41" s="552"/>
      <c r="BD41" s="552"/>
      <c r="BE41" s="552"/>
      <c r="BF41" s="552"/>
      <c r="BG41" s="552"/>
      <c r="BH41" s="552"/>
      <c r="BI41" s="552"/>
      <c r="BJ41" s="552"/>
      <c r="BK41" s="552"/>
      <c r="BL41" s="552"/>
      <c r="BM41" s="552"/>
      <c r="BN41" s="552"/>
      <c r="BO41" s="552"/>
      <c r="BP41" s="552"/>
      <c r="BQ41" s="552"/>
      <c r="BR41" s="552"/>
      <c r="BS41" s="552"/>
      <c r="BT41" s="552"/>
      <c r="BU41" s="552"/>
      <c r="BV41" s="552"/>
      <c r="BW41" s="552"/>
      <c r="BX41" s="552"/>
      <c r="BY41" s="552"/>
      <c r="BZ41" s="552"/>
      <c r="CA41" s="552"/>
      <c r="CB41" s="552"/>
      <c r="CC41" s="552"/>
      <c r="CD41" s="552"/>
      <c r="CE41" s="552"/>
      <c r="CF41" s="552"/>
      <c r="CG41" s="552"/>
      <c r="CH41" s="552"/>
      <c r="CI41" s="548"/>
      <c r="CJ41" s="1479"/>
      <c r="CK41" s="1293"/>
    </row>
    <row r="42" spans="1:89" s="1292" customFormat="1" ht="38.25" customHeight="1" thickBot="1" x14ac:dyDescent="0.25">
      <c r="A42" s="1284"/>
      <c r="B42" s="555" t="s">
        <v>486</v>
      </c>
      <c r="C42" s="556" t="s">
        <v>390</v>
      </c>
      <c r="D42" s="556" t="s">
        <v>487</v>
      </c>
      <c r="E42" s="557" t="s">
        <v>236</v>
      </c>
      <c r="F42" s="558">
        <v>2</v>
      </c>
      <c r="G42" s="559">
        <f>G41+SUM(G26:G29)</f>
        <v>0</v>
      </c>
      <c r="H42" s="559">
        <f t="shared" ref="H42:AK42" si="3">H41+SUM(H26:H29)</f>
        <v>0</v>
      </c>
      <c r="I42" s="559">
        <f t="shared" si="3"/>
        <v>56.410000000000004</v>
      </c>
      <c r="J42" s="559">
        <f t="shared" si="3"/>
        <v>56.410000000000004</v>
      </c>
      <c r="K42" s="559">
        <f t="shared" si="3"/>
        <v>56.410000000000004</v>
      </c>
      <c r="L42" s="559">
        <f t="shared" si="3"/>
        <v>56.410000000000004</v>
      </c>
      <c r="M42" s="559">
        <f t="shared" si="3"/>
        <v>56.410000000000004</v>
      </c>
      <c r="N42" s="559">
        <f t="shared" si="3"/>
        <v>56.52</v>
      </c>
      <c r="O42" s="559">
        <f t="shared" si="3"/>
        <v>56.52</v>
      </c>
      <c r="P42" s="559">
        <f t="shared" si="3"/>
        <v>56.52</v>
      </c>
      <c r="Q42" s="559">
        <f t="shared" si="3"/>
        <v>56.52</v>
      </c>
      <c r="R42" s="559">
        <f t="shared" si="3"/>
        <v>53.280000000000008</v>
      </c>
      <c r="S42" s="559">
        <f t="shared" si="3"/>
        <v>53.280000000000008</v>
      </c>
      <c r="T42" s="559">
        <f t="shared" si="3"/>
        <v>51.430000000000007</v>
      </c>
      <c r="U42" s="559">
        <f t="shared" si="3"/>
        <v>51.430000000000007</v>
      </c>
      <c r="V42" s="559">
        <f t="shared" si="3"/>
        <v>51.430000000000007</v>
      </c>
      <c r="W42" s="559">
        <f t="shared" si="3"/>
        <v>51.430000000000007</v>
      </c>
      <c r="X42" s="559">
        <f t="shared" si="3"/>
        <v>51.430000000000007</v>
      </c>
      <c r="Y42" s="559">
        <f t="shared" si="3"/>
        <v>51.430000000000007</v>
      </c>
      <c r="Z42" s="559">
        <f t="shared" si="3"/>
        <v>51.430000000000007</v>
      </c>
      <c r="AA42" s="559">
        <f t="shared" si="3"/>
        <v>51.430000000000007</v>
      </c>
      <c r="AB42" s="559">
        <f t="shared" si="3"/>
        <v>36.929999999999993</v>
      </c>
      <c r="AC42" s="559">
        <f t="shared" si="3"/>
        <v>36.929999999999993</v>
      </c>
      <c r="AD42" s="559">
        <f t="shared" si="3"/>
        <v>36.929999999999993</v>
      </c>
      <c r="AE42" s="559">
        <f t="shared" si="3"/>
        <v>36.929999999999993</v>
      </c>
      <c r="AF42" s="559">
        <f t="shared" si="3"/>
        <v>36.929999999999993</v>
      </c>
      <c r="AG42" s="559">
        <f t="shared" si="3"/>
        <v>21.619999999999997</v>
      </c>
      <c r="AH42" s="559">
        <f t="shared" si="3"/>
        <v>21.619999999999997</v>
      </c>
      <c r="AI42" s="559">
        <f t="shared" si="3"/>
        <v>21.619999999999997</v>
      </c>
      <c r="AJ42" s="559">
        <f t="shared" si="3"/>
        <v>21.619999999999997</v>
      </c>
      <c r="AK42" s="559">
        <f t="shared" si="3"/>
        <v>21.619999999999997</v>
      </c>
      <c r="AL42" s="559"/>
      <c r="AM42" s="559"/>
      <c r="AN42" s="559"/>
      <c r="AO42" s="559"/>
      <c r="AP42" s="559"/>
      <c r="AQ42" s="559"/>
      <c r="AR42" s="559"/>
      <c r="AS42" s="559"/>
      <c r="AT42" s="559"/>
      <c r="AU42" s="559"/>
      <c r="AV42" s="559"/>
      <c r="AW42" s="559"/>
      <c r="AX42" s="559"/>
      <c r="AY42" s="559"/>
      <c r="AZ42" s="559"/>
      <c r="BA42" s="559"/>
      <c r="BB42" s="559"/>
      <c r="BC42" s="559"/>
      <c r="BD42" s="559"/>
      <c r="BE42" s="559"/>
      <c r="BF42" s="559"/>
      <c r="BG42" s="559"/>
      <c r="BH42" s="559"/>
      <c r="BI42" s="559"/>
      <c r="BJ42" s="559"/>
      <c r="BK42" s="559"/>
      <c r="BL42" s="559"/>
      <c r="BM42" s="559"/>
      <c r="BN42" s="559"/>
      <c r="BO42" s="559"/>
      <c r="BP42" s="559"/>
      <c r="BQ42" s="559"/>
      <c r="BR42" s="559"/>
      <c r="BS42" s="559"/>
      <c r="BT42" s="559"/>
      <c r="BU42" s="559"/>
      <c r="BV42" s="559"/>
      <c r="BW42" s="559"/>
      <c r="BX42" s="559"/>
      <c r="BY42" s="559"/>
      <c r="BZ42" s="559"/>
      <c r="CA42" s="559"/>
      <c r="CB42" s="559"/>
      <c r="CC42" s="559"/>
      <c r="CD42" s="559"/>
      <c r="CE42" s="559"/>
      <c r="CF42" s="559"/>
      <c r="CG42" s="559"/>
      <c r="CH42" s="559"/>
      <c r="CI42" s="560"/>
      <c r="CJ42" s="1479"/>
      <c r="CK42" s="1293"/>
    </row>
    <row r="43" spans="1:89" s="1292" customFormat="1" x14ac:dyDescent="0.2">
      <c r="A43" s="1284"/>
      <c r="B43" s="1026" t="s">
        <v>488</v>
      </c>
      <c r="C43" s="1027" t="s">
        <v>489</v>
      </c>
      <c r="D43" s="1028" t="s">
        <v>86</v>
      </c>
      <c r="E43" s="1029" t="s">
        <v>236</v>
      </c>
      <c r="F43" s="1030">
        <v>2</v>
      </c>
      <c r="G43" s="532"/>
      <c r="H43" s="532"/>
      <c r="I43" s="532">
        <v>10.656479066524145</v>
      </c>
      <c r="J43" s="532">
        <v>11.878841553703264</v>
      </c>
      <c r="K43" s="532">
        <v>13.247905575158232</v>
      </c>
      <c r="L43" s="532">
        <v>13.997149992446891</v>
      </c>
      <c r="M43" s="533">
        <v>14.669344588998879</v>
      </c>
      <c r="N43" s="533">
        <v>14.882010128673064</v>
      </c>
      <c r="O43" s="533">
        <v>17.015862099071736</v>
      </c>
      <c r="P43" s="533">
        <v>17.065790563985932</v>
      </c>
      <c r="Q43" s="533">
        <v>17.111268998282323</v>
      </c>
      <c r="R43" s="533">
        <v>17.167655322798346</v>
      </c>
      <c r="S43" s="533">
        <v>17.219268163772533</v>
      </c>
      <c r="T43" s="533">
        <v>17.270603565325285</v>
      </c>
      <c r="U43" s="533">
        <v>17.321545355239742</v>
      </c>
      <c r="V43" s="533">
        <v>17.371962634389078</v>
      </c>
      <c r="W43" s="533">
        <v>17.419488938199429</v>
      </c>
      <c r="X43" s="533">
        <v>17.465339008645973</v>
      </c>
      <c r="Y43" s="533">
        <v>17.5104726312846</v>
      </c>
      <c r="Z43" s="533">
        <v>17.554918589257927</v>
      </c>
      <c r="AA43" s="533">
        <v>17.599013745880246</v>
      </c>
      <c r="AB43" s="533">
        <v>17.642968971332778</v>
      </c>
      <c r="AC43" s="533">
        <v>17.685790037629776</v>
      </c>
      <c r="AD43" s="533">
        <v>17.727803170060334</v>
      </c>
      <c r="AE43" s="533">
        <v>17.768965043130006</v>
      </c>
      <c r="AF43" s="533">
        <v>17.809248204421667</v>
      </c>
      <c r="AG43" s="533">
        <v>17.848633793718911</v>
      </c>
      <c r="AH43" s="533">
        <v>17.887278847937743</v>
      </c>
      <c r="AI43" s="533">
        <v>17.92527808042529</v>
      </c>
      <c r="AJ43" s="533">
        <v>17.962644702104349</v>
      </c>
      <c r="AK43" s="533">
        <v>17.999370554045345</v>
      </c>
      <c r="AL43" s="533"/>
      <c r="AM43" s="533"/>
      <c r="AN43" s="533"/>
      <c r="AO43" s="533"/>
      <c r="AP43" s="533"/>
      <c r="AQ43" s="533"/>
      <c r="AR43" s="533"/>
      <c r="AS43" s="533"/>
      <c r="AT43" s="533"/>
      <c r="AU43" s="533"/>
      <c r="AV43" s="533"/>
      <c r="AW43" s="533"/>
      <c r="AX43" s="533"/>
      <c r="AY43" s="533"/>
      <c r="AZ43" s="533"/>
      <c r="BA43" s="533"/>
      <c r="BB43" s="533"/>
      <c r="BC43" s="533"/>
      <c r="BD43" s="533"/>
      <c r="BE43" s="533"/>
      <c r="BF43" s="533"/>
      <c r="BG43" s="533"/>
      <c r="BH43" s="533"/>
      <c r="BI43" s="533"/>
      <c r="BJ43" s="533"/>
      <c r="BK43" s="533"/>
      <c r="BL43" s="533"/>
      <c r="BM43" s="533"/>
      <c r="BN43" s="533"/>
      <c r="BO43" s="533"/>
      <c r="BP43" s="533"/>
      <c r="BQ43" s="533"/>
      <c r="BR43" s="533"/>
      <c r="BS43" s="533"/>
      <c r="BT43" s="533"/>
      <c r="BU43" s="533"/>
      <c r="BV43" s="533"/>
      <c r="BW43" s="533"/>
      <c r="BX43" s="533"/>
      <c r="BY43" s="533"/>
      <c r="BZ43" s="533"/>
      <c r="CA43" s="533"/>
      <c r="CB43" s="533"/>
      <c r="CC43" s="533"/>
      <c r="CD43" s="533"/>
      <c r="CE43" s="533"/>
      <c r="CF43" s="533"/>
      <c r="CG43" s="533"/>
      <c r="CH43" s="533"/>
      <c r="CI43" s="534"/>
      <c r="CJ43" s="1479"/>
      <c r="CK43" s="1293"/>
    </row>
    <row r="44" spans="1:89" s="1292" customFormat="1" ht="28.5" x14ac:dyDescent="0.2">
      <c r="A44" s="1284"/>
      <c r="B44" s="1031" t="s">
        <v>490</v>
      </c>
      <c r="C44" s="1032" t="s">
        <v>491</v>
      </c>
      <c r="D44" s="1023" t="s">
        <v>86</v>
      </c>
      <c r="E44" s="1024" t="s">
        <v>236</v>
      </c>
      <c r="F44" s="1025">
        <v>2</v>
      </c>
      <c r="G44" s="1011"/>
      <c r="H44" s="1008"/>
      <c r="I44" s="1008"/>
      <c r="J44" s="1008"/>
      <c r="K44" s="1008"/>
      <c r="L44" s="1008"/>
      <c r="M44" s="1009"/>
      <c r="N44" s="1009"/>
      <c r="O44" s="1009"/>
      <c r="P44" s="1009"/>
      <c r="Q44" s="1009"/>
      <c r="R44" s="1009"/>
      <c r="S44" s="1009"/>
      <c r="T44" s="1009"/>
      <c r="U44" s="1009"/>
      <c r="V44" s="1009"/>
      <c r="W44" s="1009"/>
      <c r="X44" s="1009"/>
      <c r="Y44" s="1009"/>
      <c r="Z44" s="1009"/>
      <c r="AA44" s="1009"/>
      <c r="AB44" s="1009"/>
      <c r="AC44" s="1009"/>
      <c r="AD44" s="1009"/>
      <c r="AE44" s="1009"/>
      <c r="AF44" s="1009"/>
      <c r="AG44" s="1009"/>
      <c r="AH44" s="1009"/>
      <c r="AI44" s="1009"/>
      <c r="AJ44" s="1009"/>
      <c r="AK44" s="1009"/>
      <c r="AL44" s="1009"/>
      <c r="AM44" s="1009"/>
      <c r="AN44" s="1009"/>
      <c r="AO44" s="1009"/>
      <c r="AP44" s="1009"/>
      <c r="AQ44" s="1009"/>
      <c r="AR44" s="1009"/>
      <c r="AS44" s="1009"/>
      <c r="AT44" s="1009"/>
      <c r="AU44" s="1009"/>
      <c r="AV44" s="1009"/>
      <c r="AW44" s="1009"/>
      <c r="AX44" s="1009"/>
      <c r="AY44" s="1009"/>
      <c r="AZ44" s="1009"/>
      <c r="BA44" s="1009"/>
      <c r="BB44" s="1009"/>
      <c r="BC44" s="1009"/>
      <c r="BD44" s="1009"/>
      <c r="BE44" s="1009"/>
      <c r="BF44" s="1009"/>
      <c r="BG44" s="1009"/>
      <c r="BH44" s="1009"/>
      <c r="BI44" s="1009"/>
      <c r="BJ44" s="1009"/>
      <c r="BK44" s="1009"/>
      <c r="BL44" s="1009"/>
      <c r="BM44" s="1009"/>
      <c r="BN44" s="1009"/>
      <c r="BO44" s="1009"/>
      <c r="BP44" s="1009"/>
      <c r="BQ44" s="1009"/>
      <c r="BR44" s="1009"/>
      <c r="BS44" s="1009"/>
      <c r="BT44" s="1009"/>
      <c r="BU44" s="1009"/>
      <c r="BV44" s="1009"/>
      <c r="BW44" s="1009"/>
      <c r="BX44" s="1009"/>
      <c r="BY44" s="1009"/>
      <c r="BZ44" s="1009"/>
      <c r="CA44" s="1009"/>
      <c r="CB44" s="1009"/>
      <c r="CC44" s="1009"/>
      <c r="CD44" s="1009"/>
      <c r="CE44" s="1009"/>
      <c r="CF44" s="1009"/>
      <c r="CG44" s="1009"/>
      <c r="CH44" s="1009"/>
      <c r="CI44" s="1010"/>
      <c r="CJ44" s="1479"/>
      <c r="CK44" s="1293"/>
    </row>
    <row r="45" spans="1:89" s="1292" customFormat="1" x14ac:dyDescent="0.2">
      <c r="A45" s="1284"/>
      <c r="B45" s="1033" t="s">
        <v>492</v>
      </c>
      <c r="C45" s="1034" t="s">
        <v>493</v>
      </c>
      <c r="D45" s="1035" t="s">
        <v>86</v>
      </c>
      <c r="E45" s="1036" t="s">
        <v>236</v>
      </c>
      <c r="F45" s="1037">
        <v>2</v>
      </c>
      <c r="G45" s="540"/>
      <c r="H45" s="540"/>
      <c r="I45" s="540">
        <v>5.8633642871295341E-2</v>
      </c>
      <c r="J45" s="540">
        <v>6.049951934306496E-2</v>
      </c>
      <c r="K45" s="540">
        <v>5.9692865991587525E-2</v>
      </c>
      <c r="L45" s="540">
        <v>3.5939893013429834E-2</v>
      </c>
      <c r="M45" s="544">
        <v>1.6844298435008023E-2</v>
      </c>
      <c r="N45" s="544">
        <v>1.6437804286749246E-2</v>
      </c>
      <c r="O45" s="544">
        <v>1.6031310138490466E-2</v>
      </c>
      <c r="P45" s="544">
        <v>1.5624815990231685E-2</v>
      </c>
      <c r="Q45" s="544">
        <v>1.5218321841972905E-2</v>
      </c>
      <c r="R45" s="544">
        <v>1.4811827693714124E-2</v>
      </c>
      <c r="S45" s="544">
        <v>1.4405333545455343E-2</v>
      </c>
      <c r="T45" s="544">
        <v>1.3998839397196566E-2</v>
      </c>
      <c r="U45" s="544">
        <v>1.3592345248937782E-2</v>
      </c>
      <c r="V45" s="544">
        <v>1.3592345248937782E-2</v>
      </c>
      <c r="W45" s="544">
        <v>1.3592345248937782E-2</v>
      </c>
      <c r="X45" s="544">
        <v>1.3592345248937782E-2</v>
      </c>
      <c r="Y45" s="544">
        <v>1.3592345248937782E-2</v>
      </c>
      <c r="Z45" s="544">
        <v>1.3592345248937782E-2</v>
      </c>
      <c r="AA45" s="544">
        <v>1.3592345248937782E-2</v>
      </c>
      <c r="AB45" s="544">
        <v>1.3592345248937782E-2</v>
      </c>
      <c r="AC45" s="544">
        <v>1.3592345248937782E-2</v>
      </c>
      <c r="AD45" s="544">
        <v>1.3592345248937782E-2</v>
      </c>
      <c r="AE45" s="544">
        <v>1.3592345248937782E-2</v>
      </c>
      <c r="AF45" s="544">
        <v>1.3592345248937782E-2</v>
      </c>
      <c r="AG45" s="544">
        <v>1.3592345248937782E-2</v>
      </c>
      <c r="AH45" s="544">
        <v>1.3592345248937782E-2</v>
      </c>
      <c r="AI45" s="544">
        <v>1.3592345248937782E-2</v>
      </c>
      <c r="AJ45" s="544">
        <v>1.3592345248937782E-2</v>
      </c>
      <c r="AK45" s="544">
        <v>1.3592345248937782E-2</v>
      </c>
      <c r="AL45" s="544"/>
      <c r="AM45" s="544"/>
      <c r="AN45" s="544"/>
      <c r="AO45" s="544"/>
      <c r="AP45" s="544"/>
      <c r="AQ45" s="544"/>
      <c r="AR45" s="544"/>
      <c r="AS45" s="544"/>
      <c r="AT45" s="544"/>
      <c r="AU45" s="544"/>
      <c r="AV45" s="544"/>
      <c r="AW45" s="544"/>
      <c r="AX45" s="544"/>
      <c r="AY45" s="544"/>
      <c r="AZ45" s="544"/>
      <c r="BA45" s="544"/>
      <c r="BB45" s="544"/>
      <c r="BC45" s="544"/>
      <c r="BD45" s="544"/>
      <c r="BE45" s="544"/>
      <c r="BF45" s="544"/>
      <c r="BG45" s="544"/>
      <c r="BH45" s="544"/>
      <c r="BI45" s="544"/>
      <c r="BJ45" s="544"/>
      <c r="BK45" s="544"/>
      <c r="BL45" s="544"/>
      <c r="BM45" s="544"/>
      <c r="BN45" s="544"/>
      <c r="BO45" s="544"/>
      <c r="BP45" s="544"/>
      <c r="BQ45" s="544"/>
      <c r="BR45" s="544"/>
      <c r="BS45" s="544"/>
      <c r="BT45" s="544"/>
      <c r="BU45" s="544"/>
      <c r="BV45" s="544"/>
      <c r="BW45" s="544"/>
      <c r="BX45" s="544"/>
      <c r="BY45" s="544"/>
      <c r="BZ45" s="544"/>
      <c r="CA45" s="544"/>
      <c r="CB45" s="544"/>
      <c r="CC45" s="544"/>
      <c r="CD45" s="544"/>
      <c r="CE45" s="544"/>
      <c r="CF45" s="544"/>
      <c r="CG45" s="544"/>
      <c r="CH45" s="544"/>
      <c r="CI45" s="545"/>
      <c r="CJ45" s="1479"/>
      <c r="CK45" s="1293"/>
    </row>
    <row r="46" spans="1:89" s="1292" customFormat="1" x14ac:dyDescent="0.2">
      <c r="A46" s="1284"/>
      <c r="B46" s="563" t="s">
        <v>494</v>
      </c>
      <c r="C46" s="564" t="s">
        <v>495</v>
      </c>
      <c r="D46" s="565" t="s">
        <v>86</v>
      </c>
      <c r="E46" s="566" t="s">
        <v>236</v>
      </c>
      <c r="F46" s="567">
        <v>2</v>
      </c>
      <c r="G46" s="540"/>
      <c r="H46" s="540"/>
      <c r="I46" s="540">
        <v>17.798118212161938</v>
      </c>
      <c r="J46" s="540">
        <v>17.580882897895151</v>
      </c>
      <c r="K46" s="540">
        <v>17.563287695161762</v>
      </c>
      <c r="L46" s="540">
        <v>17.825373093549807</v>
      </c>
      <c r="M46" s="544">
        <v>18.583090436730267</v>
      </c>
      <c r="N46" s="544">
        <v>19.313326547497045</v>
      </c>
      <c r="O46" s="544">
        <v>19.632921779241819</v>
      </c>
      <c r="P46" s="544">
        <v>19.935664332792562</v>
      </c>
      <c r="Q46" s="544">
        <v>20.208661716963288</v>
      </c>
      <c r="R46" s="544">
        <v>20.418466228452001</v>
      </c>
      <c r="S46" s="544">
        <v>20.571929230234709</v>
      </c>
      <c r="T46" s="544">
        <v>20.7255774704639</v>
      </c>
      <c r="U46" s="544">
        <v>20.878198474937456</v>
      </c>
      <c r="V46" s="544">
        <v>21.043757692110603</v>
      </c>
      <c r="W46" s="544">
        <v>21.199242549290155</v>
      </c>
      <c r="X46" s="544">
        <v>21.358793743025057</v>
      </c>
      <c r="Y46" s="544">
        <v>21.51784097140051</v>
      </c>
      <c r="Z46" s="544">
        <v>21.686740631261138</v>
      </c>
      <c r="AA46" s="544">
        <v>21.863377146051324</v>
      </c>
      <c r="AB46" s="544">
        <v>22.008571964737634</v>
      </c>
      <c r="AC46" s="544">
        <v>22.181246224527143</v>
      </c>
      <c r="AD46" s="544">
        <v>22.358381243480871</v>
      </c>
      <c r="AE46" s="544">
        <v>22.5336713511435</v>
      </c>
      <c r="AF46" s="544">
        <v>22.707278057955623</v>
      </c>
      <c r="AG46" s="544">
        <v>22.874411540052119</v>
      </c>
      <c r="AH46" s="544">
        <v>23.043062544783471</v>
      </c>
      <c r="AI46" s="544">
        <v>23.209062447879958</v>
      </c>
      <c r="AJ46" s="544">
        <v>23.375394211353363</v>
      </c>
      <c r="AK46" s="544">
        <v>23.537004913712106</v>
      </c>
      <c r="AL46" s="544"/>
      <c r="AM46" s="544"/>
      <c r="AN46" s="544"/>
      <c r="AO46" s="544"/>
      <c r="AP46" s="544"/>
      <c r="AQ46" s="544"/>
      <c r="AR46" s="544"/>
      <c r="AS46" s="544"/>
      <c r="AT46" s="544"/>
      <c r="AU46" s="544"/>
      <c r="AV46" s="544"/>
      <c r="AW46" s="544"/>
      <c r="AX46" s="544"/>
      <c r="AY46" s="544"/>
      <c r="AZ46" s="544"/>
      <c r="BA46" s="544"/>
      <c r="BB46" s="544"/>
      <c r="BC46" s="544"/>
      <c r="BD46" s="544"/>
      <c r="BE46" s="544"/>
      <c r="BF46" s="544"/>
      <c r="BG46" s="544"/>
      <c r="BH46" s="544"/>
      <c r="BI46" s="544"/>
      <c r="BJ46" s="544"/>
      <c r="BK46" s="544"/>
      <c r="BL46" s="544"/>
      <c r="BM46" s="544"/>
      <c r="BN46" s="544"/>
      <c r="BO46" s="544"/>
      <c r="BP46" s="544"/>
      <c r="BQ46" s="544"/>
      <c r="BR46" s="544"/>
      <c r="BS46" s="544"/>
      <c r="BT46" s="544"/>
      <c r="BU46" s="544"/>
      <c r="BV46" s="544"/>
      <c r="BW46" s="544"/>
      <c r="BX46" s="544"/>
      <c r="BY46" s="544"/>
      <c r="BZ46" s="544"/>
      <c r="CA46" s="544"/>
      <c r="CB46" s="544"/>
      <c r="CC46" s="544"/>
      <c r="CD46" s="544"/>
      <c r="CE46" s="544"/>
      <c r="CF46" s="544"/>
      <c r="CG46" s="544"/>
      <c r="CH46" s="544"/>
      <c r="CI46" s="545"/>
      <c r="CJ46" s="1479"/>
      <c r="CK46" s="1293"/>
    </row>
    <row r="47" spans="1:89" s="1294" customFormat="1" x14ac:dyDescent="0.2">
      <c r="A47" s="1284"/>
      <c r="B47" s="563" t="s">
        <v>496</v>
      </c>
      <c r="C47" s="564" t="s">
        <v>497</v>
      </c>
      <c r="D47" s="565" t="s">
        <v>86</v>
      </c>
      <c r="E47" s="566" t="s">
        <v>236</v>
      </c>
      <c r="F47" s="567">
        <v>2</v>
      </c>
      <c r="G47" s="540"/>
      <c r="H47" s="540"/>
      <c r="I47" s="540">
        <v>14.197639194604529</v>
      </c>
      <c r="J47" s="540">
        <v>13.494926863620993</v>
      </c>
      <c r="K47" s="540">
        <v>13.364621256422447</v>
      </c>
      <c r="L47" s="540">
        <v>12.770150220171963</v>
      </c>
      <c r="M47" s="544">
        <v>11.775279789064729</v>
      </c>
      <c r="N47" s="544">
        <v>10.999787677816411</v>
      </c>
      <c r="O47" s="544">
        <v>10.704281161992384</v>
      </c>
      <c r="P47" s="544">
        <v>10.410702050530503</v>
      </c>
      <c r="Q47" s="544">
        <v>10.118169916206458</v>
      </c>
      <c r="R47" s="544">
        <v>9.9197558480889096</v>
      </c>
      <c r="S47" s="544">
        <v>9.8180477465983937</v>
      </c>
      <c r="T47" s="544">
        <v>9.7182293451035768</v>
      </c>
      <c r="U47" s="544">
        <v>9.6193518750613478</v>
      </c>
      <c r="V47" s="544">
        <v>9.5221130895768127</v>
      </c>
      <c r="W47" s="544">
        <v>9.4331769325307402</v>
      </c>
      <c r="X47" s="544">
        <v>9.3458071694812723</v>
      </c>
      <c r="Y47" s="544">
        <v>9.2590646603660858</v>
      </c>
      <c r="Z47" s="544">
        <v>9.1755065039349777</v>
      </c>
      <c r="AA47" s="544">
        <v>9.0925809065948577</v>
      </c>
      <c r="AB47" s="544">
        <v>9.0100630866781124</v>
      </c>
      <c r="AC47" s="544">
        <v>8.9292052758071101</v>
      </c>
      <c r="AD47" s="544">
        <v>8.8536832003770201</v>
      </c>
      <c r="AE47" s="544">
        <v>8.7828544143449658</v>
      </c>
      <c r="AF47" s="544">
        <v>8.7135271922401731</v>
      </c>
      <c r="AG47" s="544">
        <v>8.6448100998362758</v>
      </c>
      <c r="AH47" s="544">
        <v>8.5791888169546677</v>
      </c>
      <c r="AI47" s="544">
        <v>8.5140737504779853</v>
      </c>
      <c r="AJ47" s="544">
        <v>8.450280889731868</v>
      </c>
      <c r="AK47" s="544">
        <v>8.3852879865424192</v>
      </c>
      <c r="AL47" s="544"/>
      <c r="AM47" s="544"/>
      <c r="AN47" s="544"/>
      <c r="AO47" s="544"/>
      <c r="AP47" s="544"/>
      <c r="AQ47" s="544"/>
      <c r="AR47" s="544"/>
      <c r="AS47" s="544"/>
      <c r="AT47" s="544"/>
      <c r="AU47" s="544"/>
      <c r="AV47" s="544"/>
      <c r="AW47" s="544"/>
      <c r="AX47" s="544"/>
      <c r="AY47" s="544"/>
      <c r="AZ47" s="544"/>
      <c r="BA47" s="544"/>
      <c r="BB47" s="544"/>
      <c r="BC47" s="544"/>
      <c r="BD47" s="544"/>
      <c r="BE47" s="544"/>
      <c r="BF47" s="544"/>
      <c r="BG47" s="544"/>
      <c r="BH47" s="544"/>
      <c r="BI47" s="544"/>
      <c r="BJ47" s="544"/>
      <c r="BK47" s="544"/>
      <c r="BL47" s="544"/>
      <c r="BM47" s="544"/>
      <c r="BN47" s="544"/>
      <c r="BO47" s="544"/>
      <c r="BP47" s="544"/>
      <c r="BQ47" s="544"/>
      <c r="BR47" s="544"/>
      <c r="BS47" s="544"/>
      <c r="BT47" s="544"/>
      <c r="BU47" s="544"/>
      <c r="BV47" s="544"/>
      <c r="BW47" s="544"/>
      <c r="BX47" s="544"/>
      <c r="BY47" s="544"/>
      <c r="BZ47" s="544"/>
      <c r="CA47" s="544"/>
      <c r="CB47" s="544"/>
      <c r="CC47" s="544"/>
      <c r="CD47" s="544"/>
      <c r="CE47" s="544"/>
      <c r="CF47" s="544"/>
      <c r="CG47" s="544"/>
      <c r="CH47" s="544"/>
      <c r="CI47" s="545"/>
      <c r="CJ47" s="1479"/>
      <c r="CK47" s="1295"/>
    </row>
    <row r="48" spans="1:89" s="1292" customFormat="1" ht="28.5" x14ac:dyDescent="0.2">
      <c r="A48" s="1284"/>
      <c r="B48" s="563" t="s">
        <v>498</v>
      </c>
      <c r="C48" s="564" t="s">
        <v>499</v>
      </c>
      <c r="D48" s="565" t="s">
        <v>86</v>
      </c>
      <c r="E48" s="566" t="s">
        <v>375</v>
      </c>
      <c r="F48" s="567">
        <v>1</v>
      </c>
      <c r="G48" s="568"/>
      <c r="H48" s="1326"/>
      <c r="I48" s="1326">
        <v>0</v>
      </c>
      <c r="J48" s="1326">
        <v>7.8663419703343864E-3</v>
      </c>
      <c r="K48" s="1326">
        <v>1.9557388117322589E-3</v>
      </c>
      <c r="L48" s="1326">
        <v>1.8716622625815497E-3</v>
      </c>
      <c r="M48" s="1327">
        <v>1.5663124330849633E-3</v>
      </c>
      <c r="N48" s="1327">
        <v>2.4556847170704478E-3</v>
      </c>
      <c r="O48" s="1327">
        <v>2.450670722064484E-3</v>
      </c>
      <c r="P48" s="1327">
        <v>2.6142276115076308E-3</v>
      </c>
      <c r="Q48" s="1327">
        <v>2.7762788700831649E-3</v>
      </c>
      <c r="R48" s="1327">
        <v>2.8769774704891747E-3</v>
      </c>
      <c r="S48" s="1327">
        <v>3.037692944650706E-3</v>
      </c>
      <c r="T48" s="1327">
        <v>3.1965475915500465E-3</v>
      </c>
      <c r="U48" s="1327">
        <v>3.3535077823445749E-3</v>
      </c>
      <c r="V48" s="1327">
        <v>3.4509047091200464E-3</v>
      </c>
      <c r="W48" s="1327">
        <v>3.6054597588464649E-3</v>
      </c>
      <c r="X48" s="1327">
        <v>3.758757590621485E-3</v>
      </c>
      <c r="Y48" s="1327">
        <v>3.852975333124042E-3</v>
      </c>
      <c r="Z48" s="1327">
        <v>4.0043561287034088E-3</v>
      </c>
      <c r="AA48" s="1327">
        <v>4.1549126588518934E-3</v>
      </c>
      <c r="AB48" s="1327">
        <v>4.2453730785990962E-3</v>
      </c>
      <c r="AC48" s="1327">
        <v>4.3978201422087693E-3</v>
      </c>
      <c r="AD48" s="1327">
        <v>4.5280476151259592E-3</v>
      </c>
      <c r="AE48" s="1327">
        <v>4.6574940971079466E-3</v>
      </c>
      <c r="AF48" s="1327">
        <v>4.7859897813887203E-3</v>
      </c>
      <c r="AG48" s="1327">
        <v>4.9130903752869293E-3</v>
      </c>
      <c r="AH48" s="1327">
        <v>5.0396613787663984E-3</v>
      </c>
      <c r="AI48" s="1327">
        <v>5.1652087531929057E-3</v>
      </c>
      <c r="AJ48" s="1327">
        <v>5.290125706451378E-3</v>
      </c>
      <c r="AK48" s="1327">
        <v>5.4137314836726728E-3</v>
      </c>
      <c r="AL48" s="1327"/>
      <c r="AM48" s="1327"/>
      <c r="AN48" s="1327"/>
      <c r="AO48" s="1327"/>
      <c r="AP48" s="1327"/>
      <c r="AQ48" s="1327"/>
      <c r="AR48" s="1327"/>
      <c r="AS48" s="1327"/>
      <c r="AT48" s="1327"/>
      <c r="AU48" s="1327"/>
      <c r="AV48" s="1327"/>
      <c r="AW48" s="1327"/>
      <c r="AX48" s="1327"/>
      <c r="AY48" s="1327"/>
      <c r="AZ48" s="1327"/>
      <c r="BA48" s="1327"/>
      <c r="BB48" s="1327"/>
      <c r="BC48" s="1327"/>
      <c r="BD48" s="1327"/>
      <c r="BE48" s="1327"/>
      <c r="BF48" s="1327"/>
      <c r="BG48" s="1327"/>
      <c r="BH48" s="1327"/>
      <c r="BI48" s="1327"/>
      <c r="BJ48" s="1327"/>
      <c r="BK48" s="1327"/>
      <c r="BL48" s="1327"/>
      <c r="BM48" s="1327"/>
      <c r="BN48" s="1327"/>
      <c r="BO48" s="1327"/>
      <c r="BP48" s="1327"/>
      <c r="BQ48" s="1327"/>
      <c r="BR48" s="1327"/>
      <c r="BS48" s="1327"/>
      <c r="BT48" s="1327"/>
      <c r="BU48" s="1327"/>
      <c r="BV48" s="1327"/>
      <c r="BW48" s="1327"/>
      <c r="BX48" s="1327"/>
      <c r="BY48" s="1327"/>
      <c r="BZ48" s="1327"/>
      <c r="CA48" s="1327"/>
      <c r="CB48" s="1327"/>
      <c r="CC48" s="1327"/>
      <c r="CD48" s="1327"/>
      <c r="CE48" s="1327"/>
      <c r="CF48" s="1327"/>
      <c r="CG48" s="1327"/>
      <c r="CH48" s="1327"/>
      <c r="CI48" s="1328"/>
      <c r="CJ48" s="1479"/>
      <c r="CK48" s="1293"/>
    </row>
    <row r="49" spans="1:89" s="1292" customFormat="1" ht="28.5" x14ac:dyDescent="0.2">
      <c r="A49" s="1284"/>
      <c r="B49" s="563" t="s">
        <v>500</v>
      </c>
      <c r="C49" s="564" t="s">
        <v>501</v>
      </c>
      <c r="D49" s="565" t="s">
        <v>502</v>
      </c>
      <c r="E49" s="566" t="s">
        <v>236</v>
      </c>
      <c r="F49" s="567">
        <v>2</v>
      </c>
      <c r="G49" s="569">
        <f>G48*(G43+SUM(G45:G47)-SUM(G55:G58))</f>
        <v>0</v>
      </c>
      <c r="H49" s="569">
        <f t="shared" ref="H49:AK49" si="4">H48*(SUM(H43:H47)-SUM(H55:H58))</f>
        <v>0</v>
      </c>
      <c r="I49" s="569">
        <f t="shared" si="4"/>
        <v>0</v>
      </c>
      <c r="J49" s="569">
        <f t="shared" si="4"/>
        <v>0.33130170487274913</v>
      </c>
      <c r="K49" s="569">
        <f t="shared" si="4"/>
        <v>8.4813467096120768E-2</v>
      </c>
      <c r="L49" s="569">
        <f t="shared" si="4"/>
        <v>8.1965826100679151E-2</v>
      </c>
      <c r="M49" s="569">
        <f t="shared" si="4"/>
        <v>6.9256020755667128E-2</v>
      </c>
      <c r="N49" s="569">
        <f t="shared" si="4"/>
        <v>0.10900781347261197</v>
      </c>
      <c r="O49" s="569">
        <f t="shared" si="4"/>
        <v>0.11406964648025496</v>
      </c>
      <c r="P49" s="569">
        <f t="shared" si="4"/>
        <v>0.1218340993176021</v>
      </c>
      <c r="Q49" s="569">
        <f t="shared" si="4"/>
        <v>0.12945654614317778</v>
      </c>
      <c r="R49" s="569">
        <f t="shared" si="4"/>
        <v>0.13434106122928416</v>
      </c>
      <c r="S49" s="569">
        <f t="shared" si="4"/>
        <v>0.14214870188421899</v>
      </c>
      <c r="T49" s="569">
        <f t="shared" si="4"/>
        <v>0.14990696443448262</v>
      </c>
      <c r="U49" s="569">
        <f t="shared" si="4"/>
        <v>0.15760692487379416</v>
      </c>
      <c r="V49" s="569">
        <f t="shared" si="4"/>
        <v>0.16258317321056215</v>
      </c>
      <c r="W49" s="569">
        <f t="shared" si="4"/>
        <v>0.17026469740322073</v>
      </c>
      <c r="X49" s="569">
        <f t="shared" si="4"/>
        <v>0.17793600546995414</v>
      </c>
      <c r="Y49" s="569">
        <f t="shared" si="4"/>
        <v>0.18283680550480688</v>
      </c>
      <c r="Z49" s="569">
        <f t="shared" si="4"/>
        <v>0.19052787145703381</v>
      </c>
      <c r="AA49" s="569">
        <f t="shared" si="4"/>
        <v>0.19825168831767181</v>
      </c>
      <c r="AB49" s="569">
        <f t="shared" si="4"/>
        <v>0.20300833523496428</v>
      </c>
      <c r="AC49" s="569">
        <f t="shared" si="4"/>
        <v>0.21087766795617369</v>
      </c>
      <c r="AD49" s="569">
        <f t="shared" si="4"/>
        <v>0.21775966358134377</v>
      </c>
      <c r="AE49" s="569">
        <f t="shared" si="4"/>
        <v>0.2246501139673264</v>
      </c>
      <c r="AF49" s="569">
        <f t="shared" si="4"/>
        <v>0.23152663443199051</v>
      </c>
      <c r="AG49" s="569">
        <f t="shared" si="4"/>
        <v>0.2383388647019711</v>
      </c>
      <c r="AH49" s="569">
        <f t="shared" si="4"/>
        <v>0.24517935909304489</v>
      </c>
      <c r="AI49" s="569">
        <f t="shared" si="4"/>
        <v>0.25199086128928277</v>
      </c>
      <c r="AJ49" s="569">
        <f t="shared" si="4"/>
        <v>0.25881133645287757</v>
      </c>
      <c r="AK49" s="569">
        <f t="shared" si="4"/>
        <v>0.26556646389422944</v>
      </c>
      <c r="AL49" s="569"/>
      <c r="AM49" s="569"/>
      <c r="AN49" s="569"/>
      <c r="AO49" s="569"/>
      <c r="AP49" s="569"/>
      <c r="AQ49" s="569"/>
      <c r="AR49" s="569"/>
      <c r="AS49" s="569"/>
      <c r="AT49" s="569"/>
      <c r="AU49" s="569"/>
      <c r="AV49" s="569"/>
      <c r="AW49" s="569"/>
      <c r="AX49" s="569"/>
      <c r="AY49" s="569"/>
      <c r="AZ49" s="569"/>
      <c r="BA49" s="569"/>
      <c r="BB49" s="569"/>
      <c r="BC49" s="569"/>
      <c r="BD49" s="569"/>
      <c r="BE49" s="569"/>
      <c r="BF49" s="569"/>
      <c r="BG49" s="569"/>
      <c r="BH49" s="569"/>
      <c r="BI49" s="569"/>
      <c r="BJ49" s="569"/>
      <c r="BK49" s="569"/>
      <c r="BL49" s="569"/>
      <c r="BM49" s="569"/>
      <c r="BN49" s="569"/>
      <c r="BO49" s="569"/>
      <c r="BP49" s="569"/>
      <c r="BQ49" s="569"/>
      <c r="BR49" s="569"/>
      <c r="BS49" s="569"/>
      <c r="BT49" s="569"/>
      <c r="BU49" s="569"/>
      <c r="BV49" s="569"/>
      <c r="BW49" s="569"/>
      <c r="BX49" s="569"/>
      <c r="BY49" s="569"/>
      <c r="BZ49" s="569"/>
      <c r="CA49" s="569"/>
      <c r="CB49" s="569"/>
      <c r="CC49" s="569"/>
      <c r="CD49" s="569"/>
      <c r="CE49" s="569"/>
      <c r="CF49" s="569"/>
      <c r="CG49" s="569"/>
      <c r="CH49" s="569"/>
      <c r="CI49" s="570"/>
      <c r="CJ49" s="1479"/>
      <c r="CK49" s="1293"/>
    </row>
    <row r="50" spans="1:89" s="1292" customFormat="1" x14ac:dyDescent="0.2">
      <c r="A50" s="1284"/>
      <c r="B50" s="563" t="s">
        <v>503</v>
      </c>
      <c r="C50" s="571" t="s">
        <v>305</v>
      </c>
      <c r="D50" s="572" t="s">
        <v>504</v>
      </c>
      <c r="E50" s="573" t="s">
        <v>239</v>
      </c>
      <c r="F50" s="574">
        <v>1</v>
      </c>
      <c r="G50" s="575" t="e">
        <f>(((G46-G57))*1000000)/((G79)*1000)</f>
        <v>#DIV/0!</v>
      </c>
      <c r="H50" s="575" t="e">
        <f t="shared" ref="H50:AK51" si="5">(((H46-H57))*1000000)/((H79)*1000)</f>
        <v>#DIV/0!</v>
      </c>
      <c r="I50" s="575">
        <f t="shared" si="5"/>
        <v>132.91356220642322</v>
      </c>
      <c r="J50" s="575">
        <f t="shared" si="5"/>
        <v>128.94403756204545</v>
      </c>
      <c r="K50" s="575">
        <f t="shared" si="5"/>
        <v>125.79694277072677</v>
      </c>
      <c r="L50" s="575">
        <f t="shared" si="5"/>
        <v>123.88589633692149</v>
      </c>
      <c r="M50" s="576">
        <f t="shared" si="5"/>
        <v>122.6507294430416</v>
      </c>
      <c r="N50" s="576">
        <f t="shared" si="5"/>
        <v>122.1275243540079</v>
      </c>
      <c r="O50" s="576">
        <f t="shared" si="5"/>
        <v>121.86339826410516</v>
      </c>
      <c r="P50" s="576">
        <f t="shared" si="5"/>
        <v>121.60205758609354</v>
      </c>
      <c r="Q50" s="576">
        <f t="shared" si="5"/>
        <v>121.34335184074163</v>
      </c>
      <c r="R50" s="576">
        <f t="shared" si="5"/>
        <v>121.15400955192671</v>
      </c>
      <c r="S50" s="576">
        <f t="shared" si="5"/>
        <v>121.05392285227275</v>
      </c>
      <c r="T50" s="576">
        <f t="shared" si="5"/>
        <v>120.97808062366232</v>
      </c>
      <c r="U50" s="576">
        <f t="shared" si="5"/>
        <v>120.89144958954385</v>
      </c>
      <c r="V50" s="576">
        <f t="shared" si="5"/>
        <v>120.82144128594148</v>
      </c>
      <c r="W50" s="576">
        <f t="shared" si="5"/>
        <v>120.7218710294965</v>
      </c>
      <c r="X50" s="576">
        <f t="shared" si="5"/>
        <v>120.67075298531756</v>
      </c>
      <c r="Y50" s="576">
        <f t="shared" si="5"/>
        <v>120.6282417718258</v>
      </c>
      <c r="Z50" s="576">
        <f t="shared" si="5"/>
        <v>120.60751148304426</v>
      </c>
      <c r="AA50" s="576">
        <f t="shared" si="5"/>
        <v>120.56070322539369</v>
      </c>
      <c r="AB50" s="576">
        <f t="shared" si="5"/>
        <v>120.33396925689921</v>
      </c>
      <c r="AC50" s="576">
        <f t="shared" si="5"/>
        <v>120.27918600939871</v>
      </c>
      <c r="AD50" s="576">
        <f t="shared" si="5"/>
        <v>120.25714081462711</v>
      </c>
      <c r="AE50" s="576">
        <f t="shared" si="5"/>
        <v>120.22789256407887</v>
      </c>
      <c r="AF50" s="576">
        <f t="shared" si="5"/>
        <v>120.20205091262228</v>
      </c>
      <c r="AG50" s="576">
        <f t="shared" si="5"/>
        <v>120.17204668124913</v>
      </c>
      <c r="AH50" s="576">
        <f t="shared" si="5"/>
        <v>120.17464168568776</v>
      </c>
      <c r="AI50" s="576">
        <f t="shared" si="5"/>
        <v>120.16150476880783</v>
      </c>
      <c r="AJ50" s="576">
        <f t="shared" si="5"/>
        <v>120.14543197456366</v>
      </c>
      <c r="AK50" s="576">
        <f t="shared" si="5"/>
        <v>120.11598289796973</v>
      </c>
      <c r="AL50" s="576"/>
      <c r="AM50" s="576"/>
      <c r="AN50" s="576"/>
      <c r="AO50" s="576"/>
      <c r="AP50" s="576"/>
      <c r="AQ50" s="576"/>
      <c r="AR50" s="576"/>
      <c r="AS50" s="576"/>
      <c r="AT50" s="576"/>
      <c r="AU50" s="576"/>
      <c r="AV50" s="576"/>
      <c r="AW50" s="576"/>
      <c r="AX50" s="576"/>
      <c r="AY50" s="576"/>
      <c r="AZ50" s="576"/>
      <c r="BA50" s="576"/>
      <c r="BB50" s="576"/>
      <c r="BC50" s="576"/>
      <c r="BD50" s="576"/>
      <c r="BE50" s="576"/>
      <c r="BF50" s="576"/>
      <c r="BG50" s="576"/>
      <c r="BH50" s="576"/>
      <c r="BI50" s="576"/>
      <c r="BJ50" s="576"/>
      <c r="BK50" s="576"/>
      <c r="BL50" s="576"/>
      <c r="BM50" s="576"/>
      <c r="BN50" s="576"/>
      <c r="BO50" s="576"/>
      <c r="BP50" s="576"/>
      <c r="BQ50" s="576"/>
      <c r="BR50" s="576"/>
      <c r="BS50" s="576"/>
      <c r="BT50" s="576"/>
      <c r="BU50" s="576"/>
      <c r="BV50" s="576"/>
      <c r="BW50" s="576"/>
      <c r="BX50" s="576"/>
      <c r="BY50" s="576"/>
      <c r="BZ50" s="576"/>
      <c r="CA50" s="576"/>
      <c r="CB50" s="576"/>
      <c r="CC50" s="576"/>
      <c r="CD50" s="576"/>
      <c r="CE50" s="576"/>
      <c r="CF50" s="576"/>
      <c r="CG50" s="576"/>
      <c r="CH50" s="576"/>
      <c r="CI50" s="570"/>
      <c r="CJ50" s="1479"/>
      <c r="CK50" s="1293"/>
    </row>
    <row r="51" spans="1:89" s="1292" customFormat="1" x14ac:dyDescent="0.2">
      <c r="A51" s="1284"/>
      <c r="B51" s="563" t="s">
        <v>505</v>
      </c>
      <c r="C51" s="571" t="s">
        <v>324</v>
      </c>
      <c r="D51" s="572" t="s">
        <v>506</v>
      </c>
      <c r="E51" s="573" t="s">
        <v>239</v>
      </c>
      <c r="F51" s="574">
        <v>1</v>
      </c>
      <c r="G51" s="575" t="e">
        <f>(((G47-G58))*1000000)/((G80)*1000)</f>
        <v>#DIV/0!</v>
      </c>
      <c r="H51" s="575" t="e">
        <f t="shared" si="5"/>
        <v>#DIV/0!</v>
      </c>
      <c r="I51" s="575">
        <f t="shared" si="5"/>
        <v>153.01222380103448</v>
      </c>
      <c r="J51" s="575">
        <f t="shared" si="5"/>
        <v>146.59616769423974</v>
      </c>
      <c r="K51" s="575">
        <f t="shared" si="5"/>
        <v>147.48440940677801</v>
      </c>
      <c r="L51" s="575">
        <f t="shared" si="5"/>
        <v>145.19589200160385</v>
      </c>
      <c r="M51" s="576">
        <f t="shared" si="5"/>
        <v>143.43353659168639</v>
      </c>
      <c r="N51" s="576">
        <f t="shared" si="5"/>
        <v>143.09611812830784</v>
      </c>
      <c r="O51" s="576">
        <f t="shared" si="5"/>
        <v>142.771038015035</v>
      </c>
      <c r="P51" s="576">
        <f t="shared" si="5"/>
        <v>142.44689207054472</v>
      </c>
      <c r="Q51" s="576">
        <f t="shared" si="5"/>
        <v>142.10964185677278</v>
      </c>
      <c r="R51" s="576">
        <f t="shared" si="5"/>
        <v>141.91933327291568</v>
      </c>
      <c r="S51" s="576">
        <f t="shared" si="5"/>
        <v>141.91957808788857</v>
      </c>
      <c r="T51" s="576">
        <f t="shared" si="5"/>
        <v>141.92388966193988</v>
      </c>
      <c r="U51" s="576">
        <f t="shared" si="5"/>
        <v>141.91842833219317</v>
      </c>
      <c r="V51" s="576">
        <f t="shared" si="5"/>
        <v>141.91359811816756</v>
      </c>
      <c r="W51" s="576">
        <f t="shared" si="5"/>
        <v>142.01171822917757</v>
      </c>
      <c r="X51" s="576">
        <f t="shared" si="5"/>
        <v>142.1115501463855</v>
      </c>
      <c r="Y51" s="576">
        <f t="shared" si="5"/>
        <v>142.19887228247939</v>
      </c>
      <c r="Z51" s="576">
        <f t="shared" si="5"/>
        <v>142.31441560663723</v>
      </c>
      <c r="AA51" s="576">
        <f t="shared" si="5"/>
        <v>142.41745857462666</v>
      </c>
      <c r="AB51" s="576">
        <f t="shared" si="5"/>
        <v>142.50310775672426</v>
      </c>
      <c r="AC51" s="576">
        <f t="shared" si="5"/>
        <v>142.59182731588891</v>
      </c>
      <c r="AD51" s="576">
        <f t="shared" si="5"/>
        <v>142.74505945285088</v>
      </c>
      <c r="AE51" s="576">
        <f t="shared" si="5"/>
        <v>142.954339577122</v>
      </c>
      <c r="AF51" s="576">
        <f t="shared" si="5"/>
        <v>143.16766953073056</v>
      </c>
      <c r="AG51" s="576">
        <f t="shared" si="5"/>
        <v>143.37038326106543</v>
      </c>
      <c r="AH51" s="576">
        <f t="shared" si="5"/>
        <v>143.60568379843068</v>
      </c>
      <c r="AI51" s="576">
        <f t="shared" si="5"/>
        <v>143.83008846052272</v>
      </c>
      <c r="AJ51" s="576">
        <f t="shared" si="5"/>
        <v>144.05777584383188</v>
      </c>
      <c r="AK51" s="576">
        <f t="shared" si="5"/>
        <v>144.24429999586695</v>
      </c>
      <c r="AL51" s="576"/>
      <c r="AM51" s="576"/>
      <c r="AN51" s="576"/>
      <c r="AO51" s="576"/>
      <c r="AP51" s="576"/>
      <c r="AQ51" s="576"/>
      <c r="AR51" s="576"/>
      <c r="AS51" s="576"/>
      <c r="AT51" s="576"/>
      <c r="AU51" s="576"/>
      <c r="AV51" s="576"/>
      <c r="AW51" s="576"/>
      <c r="AX51" s="576"/>
      <c r="AY51" s="576"/>
      <c r="AZ51" s="576"/>
      <c r="BA51" s="576"/>
      <c r="BB51" s="576"/>
      <c r="BC51" s="576"/>
      <c r="BD51" s="576"/>
      <c r="BE51" s="576"/>
      <c r="BF51" s="576"/>
      <c r="BG51" s="576"/>
      <c r="BH51" s="576"/>
      <c r="BI51" s="576"/>
      <c r="BJ51" s="576"/>
      <c r="BK51" s="576"/>
      <c r="BL51" s="576"/>
      <c r="BM51" s="576"/>
      <c r="BN51" s="576"/>
      <c r="BO51" s="576"/>
      <c r="BP51" s="576"/>
      <c r="BQ51" s="576"/>
      <c r="BR51" s="576"/>
      <c r="BS51" s="576"/>
      <c r="BT51" s="576"/>
      <c r="BU51" s="576"/>
      <c r="BV51" s="576"/>
      <c r="BW51" s="576"/>
      <c r="BX51" s="576"/>
      <c r="BY51" s="576"/>
      <c r="BZ51" s="576"/>
      <c r="CA51" s="576"/>
      <c r="CB51" s="576"/>
      <c r="CC51" s="576"/>
      <c r="CD51" s="576"/>
      <c r="CE51" s="576"/>
      <c r="CF51" s="576"/>
      <c r="CG51" s="576"/>
      <c r="CH51" s="576"/>
      <c r="CI51" s="570"/>
      <c r="CJ51" s="1479"/>
      <c r="CK51" s="1293"/>
    </row>
    <row r="52" spans="1:89" s="1292" customFormat="1" ht="28.5" x14ac:dyDescent="0.2">
      <c r="A52" s="1284"/>
      <c r="B52" s="563" t="s">
        <v>507</v>
      </c>
      <c r="C52" s="571" t="s">
        <v>238</v>
      </c>
      <c r="D52" s="572" t="s">
        <v>508</v>
      </c>
      <c r="E52" s="573" t="s">
        <v>239</v>
      </c>
      <c r="F52" s="574">
        <v>1</v>
      </c>
      <c r="G52" s="575" t="e">
        <f>(((G46-G57)+(G47-G58))*1000000)/((G79+G80)*1000)</f>
        <v>#DIV/0!</v>
      </c>
      <c r="H52" s="575" t="e">
        <f t="shared" ref="H52:AK52" si="6">(((H46-H57)+(H47-H58))*1000000)/((H79+H80)*1000)</f>
        <v>#DIV/0!</v>
      </c>
      <c r="I52" s="575">
        <f t="shared" si="6"/>
        <v>141.13405562357715</v>
      </c>
      <c r="J52" s="575">
        <f t="shared" si="6"/>
        <v>136.04960965470798</v>
      </c>
      <c r="K52" s="575">
        <f t="shared" si="6"/>
        <v>134.3259370135178</v>
      </c>
      <c r="L52" s="575">
        <f t="shared" si="6"/>
        <v>131.96493043532092</v>
      </c>
      <c r="M52" s="576">
        <f t="shared" si="6"/>
        <v>129.95408704166542</v>
      </c>
      <c r="N52" s="576">
        <f t="shared" si="6"/>
        <v>128.99062609878649</v>
      </c>
      <c r="O52" s="576">
        <f t="shared" si="6"/>
        <v>128.50810660867023</v>
      </c>
      <c r="P52" s="576">
        <f t="shared" si="6"/>
        <v>128.03452063869588</v>
      </c>
      <c r="Q52" s="576">
        <f t="shared" si="6"/>
        <v>127.56811507468673</v>
      </c>
      <c r="R52" s="576">
        <f t="shared" si="6"/>
        <v>127.24678992992378</v>
      </c>
      <c r="S52" s="576">
        <f t="shared" si="6"/>
        <v>127.09498765798855</v>
      </c>
      <c r="T52" s="576">
        <f t="shared" si="6"/>
        <v>126.96282305183411</v>
      </c>
      <c r="U52" s="576">
        <f t="shared" si="6"/>
        <v>126.82048816776187</v>
      </c>
      <c r="V52" s="576">
        <f t="shared" si="6"/>
        <v>126.68873671320281</v>
      </c>
      <c r="W52" s="576">
        <f t="shared" si="6"/>
        <v>126.56553901963039</v>
      </c>
      <c r="X52" s="576">
        <f t="shared" si="6"/>
        <v>126.47871375961397</v>
      </c>
      <c r="Y52" s="576">
        <f t="shared" si="6"/>
        <v>126.39532448219254</v>
      </c>
      <c r="Z52" s="576">
        <f t="shared" si="6"/>
        <v>126.33443803799415</v>
      </c>
      <c r="AA52" s="576">
        <f t="shared" si="6"/>
        <v>126.24880415093683</v>
      </c>
      <c r="AB52" s="576">
        <f t="shared" si="6"/>
        <v>126.02508967197812</v>
      </c>
      <c r="AC52" s="576">
        <f t="shared" si="6"/>
        <v>125.93024993431145</v>
      </c>
      <c r="AD52" s="576">
        <f t="shared" si="6"/>
        <v>125.87667235192103</v>
      </c>
      <c r="AE52" s="576">
        <f t="shared" si="6"/>
        <v>125.83170023602644</v>
      </c>
      <c r="AF52" s="576">
        <f t="shared" si="6"/>
        <v>125.79043967851202</v>
      </c>
      <c r="AG52" s="576">
        <f t="shared" si="6"/>
        <v>125.74426904231382</v>
      </c>
      <c r="AH52" s="576">
        <f t="shared" si="6"/>
        <v>125.73131319370033</v>
      </c>
      <c r="AI52" s="576">
        <f t="shared" si="6"/>
        <v>125.70347287135789</v>
      </c>
      <c r="AJ52" s="576">
        <f t="shared" si="6"/>
        <v>125.67372832332397</v>
      </c>
      <c r="AK52" s="576">
        <f t="shared" si="6"/>
        <v>125.62441517651523</v>
      </c>
      <c r="AL52" s="576"/>
      <c r="AM52" s="576"/>
      <c r="AN52" s="576"/>
      <c r="AO52" s="576"/>
      <c r="AP52" s="576"/>
      <c r="AQ52" s="576"/>
      <c r="AR52" s="576"/>
      <c r="AS52" s="576"/>
      <c r="AT52" s="576"/>
      <c r="AU52" s="576"/>
      <c r="AV52" s="576"/>
      <c r="AW52" s="576"/>
      <c r="AX52" s="576"/>
      <c r="AY52" s="576"/>
      <c r="AZ52" s="576"/>
      <c r="BA52" s="576"/>
      <c r="BB52" s="576"/>
      <c r="BC52" s="576"/>
      <c r="BD52" s="576"/>
      <c r="BE52" s="576"/>
      <c r="BF52" s="576"/>
      <c r="BG52" s="576"/>
      <c r="BH52" s="576"/>
      <c r="BI52" s="576"/>
      <c r="BJ52" s="576"/>
      <c r="BK52" s="576"/>
      <c r="BL52" s="576"/>
      <c r="BM52" s="576"/>
      <c r="BN52" s="576"/>
      <c r="BO52" s="576"/>
      <c r="BP52" s="576"/>
      <c r="BQ52" s="576"/>
      <c r="BR52" s="576"/>
      <c r="BS52" s="576"/>
      <c r="BT52" s="576"/>
      <c r="BU52" s="576"/>
      <c r="BV52" s="576"/>
      <c r="BW52" s="576"/>
      <c r="BX52" s="576"/>
      <c r="BY52" s="576"/>
      <c r="BZ52" s="576"/>
      <c r="CA52" s="576"/>
      <c r="CB52" s="576"/>
      <c r="CC52" s="576"/>
      <c r="CD52" s="576"/>
      <c r="CE52" s="576"/>
      <c r="CF52" s="576"/>
      <c r="CG52" s="576"/>
      <c r="CH52" s="576"/>
      <c r="CI52" s="570"/>
      <c r="CJ52" s="1479"/>
      <c r="CK52" s="1293"/>
    </row>
    <row r="53" spans="1:89" s="1292" customFormat="1" x14ac:dyDescent="0.2">
      <c r="A53" s="1284"/>
      <c r="B53" s="563" t="s">
        <v>509</v>
      </c>
      <c r="C53" s="571" t="s">
        <v>510</v>
      </c>
      <c r="D53" s="572" t="s">
        <v>86</v>
      </c>
      <c r="E53" s="573" t="s">
        <v>236</v>
      </c>
      <c r="F53" s="574">
        <v>2</v>
      </c>
      <c r="G53" s="540"/>
      <c r="H53" s="540"/>
      <c r="I53" s="540">
        <v>1.0979360068731416</v>
      </c>
      <c r="J53" s="540">
        <v>1.0895863339821239</v>
      </c>
      <c r="K53" s="540">
        <v>1.0890163901033498</v>
      </c>
      <c r="L53" s="540">
        <v>1.0888825549864094</v>
      </c>
      <c r="M53" s="541">
        <v>1.0897778365877797</v>
      </c>
      <c r="N53" s="541">
        <v>1.0893635564282043</v>
      </c>
      <c r="O53" s="541">
        <v>1.0889528911563582</v>
      </c>
      <c r="P53" s="541">
        <v>1.0885805895820937</v>
      </c>
      <c r="Q53" s="541">
        <v>1.0882472024048366</v>
      </c>
      <c r="R53" s="541">
        <v>1.087914922574255</v>
      </c>
      <c r="S53" s="541">
        <v>1.0875739223899561</v>
      </c>
      <c r="T53" s="541">
        <v>1.0872354526027144</v>
      </c>
      <c r="U53" s="541">
        <v>1.0868994024612753</v>
      </c>
      <c r="V53" s="541">
        <v>1.0865633295672554</v>
      </c>
      <c r="W53" s="541">
        <v>1.0862293738149602</v>
      </c>
      <c r="X53" s="541">
        <v>1.0858983892363658</v>
      </c>
      <c r="Y53" s="541">
        <v>1.0855701264083264</v>
      </c>
      <c r="Z53" s="541">
        <v>1.0852448363085927</v>
      </c>
      <c r="AA53" s="541">
        <v>1.0849253694785199</v>
      </c>
      <c r="AB53" s="541">
        <v>1.0846089703615276</v>
      </c>
      <c r="AC53" s="541">
        <v>1.0842957985471762</v>
      </c>
      <c r="AD53" s="541">
        <v>1.0839853895629465</v>
      </c>
      <c r="AE53" s="541">
        <v>1.0836776858333965</v>
      </c>
      <c r="AF53" s="541">
        <v>1.083372843334788</v>
      </c>
      <c r="AG53" s="541">
        <v>1.0830708712598258</v>
      </c>
      <c r="AH53" s="541">
        <v>1.0827717070335765</v>
      </c>
      <c r="AI53" s="541">
        <v>1.0824754042665927</v>
      </c>
      <c r="AJ53" s="541">
        <v>1.0821822706677517</v>
      </c>
      <c r="AK53" s="541">
        <v>1.0818922460133711</v>
      </c>
      <c r="AL53" s="541"/>
      <c r="AM53" s="541"/>
      <c r="AN53" s="541"/>
      <c r="AO53" s="541"/>
      <c r="AP53" s="541"/>
      <c r="AQ53" s="541"/>
      <c r="AR53" s="541"/>
      <c r="AS53" s="541"/>
      <c r="AT53" s="541"/>
      <c r="AU53" s="541"/>
      <c r="AV53" s="541"/>
      <c r="AW53" s="541"/>
      <c r="AX53" s="541"/>
      <c r="AY53" s="541"/>
      <c r="AZ53" s="541"/>
      <c r="BA53" s="541"/>
      <c r="BB53" s="541"/>
      <c r="BC53" s="541"/>
      <c r="BD53" s="541"/>
      <c r="BE53" s="541"/>
      <c r="BF53" s="541"/>
      <c r="BG53" s="541"/>
      <c r="BH53" s="541"/>
      <c r="BI53" s="541"/>
      <c r="BJ53" s="541"/>
      <c r="BK53" s="541"/>
      <c r="BL53" s="541"/>
      <c r="BM53" s="541"/>
      <c r="BN53" s="541"/>
      <c r="BO53" s="541"/>
      <c r="BP53" s="541"/>
      <c r="BQ53" s="541"/>
      <c r="BR53" s="541"/>
      <c r="BS53" s="541"/>
      <c r="BT53" s="541"/>
      <c r="BU53" s="541"/>
      <c r="BV53" s="541"/>
      <c r="BW53" s="541"/>
      <c r="BX53" s="541"/>
      <c r="BY53" s="541"/>
      <c r="BZ53" s="541"/>
      <c r="CA53" s="541"/>
      <c r="CB53" s="541"/>
      <c r="CC53" s="541"/>
      <c r="CD53" s="541"/>
      <c r="CE53" s="541"/>
      <c r="CF53" s="541"/>
      <c r="CG53" s="541"/>
      <c r="CH53" s="541"/>
      <c r="CI53" s="542"/>
      <c r="CJ53" s="1479"/>
      <c r="CK53" s="1293"/>
    </row>
    <row r="54" spans="1:89" s="1292" customFormat="1" ht="15" thickBot="1" x14ac:dyDescent="0.25">
      <c r="A54" s="1284"/>
      <c r="B54" s="577" t="s">
        <v>511</v>
      </c>
      <c r="C54" s="578" t="s">
        <v>512</v>
      </c>
      <c r="D54" s="579" t="s">
        <v>86</v>
      </c>
      <c r="E54" s="580" t="s">
        <v>236</v>
      </c>
      <c r="F54" s="581">
        <v>2</v>
      </c>
      <c r="G54" s="582"/>
      <c r="H54" s="582"/>
      <c r="I54" s="582">
        <v>0.71365102411868819</v>
      </c>
      <c r="J54" s="582">
        <v>0.71365102411868819</v>
      </c>
      <c r="K54" s="582">
        <v>0.71365102411868819</v>
      </c>
      <c r="L54" s="582">
        <v>0.71365102411868819</v>
      </c>
      <c r="M54" s="583">
        <v>0.71365102411868819</v>
      </c>
      <c r="N54" s="583">
        <v>0.71365102411868819</v>
      </c>
      <c r="O54" s="583">
        <v>0.71365102411868819</v>
      </c>
      <c r="P54" s="583">
        <v>0.71365102411868819</v>
      </c>
      <c r="Q54" s="583">
        <v>0.71365102411868819</v>
      </c>
      <c r="R54" s="583">
        <v>0.71365102411868819</v>
      </c>
      <c r="S54" s="583">
        <v>0.71365102411868819</v>
      </c>
      <c r="T54" s="583">
        <v>0.71365102411868819</v>
      </c>
      <c r="U54" s="583">
        <v>0.71365102411868819</v>
      </c>
      <c r="V54" s="583">
        <v>0.71365102411868819</v>
      </c>
      <c r="W54" s="583">
        <v>0.71365102411868819</v>
      </c>
      <c r="X54" s="583">
        <v>0.71365102411868819</v>
      </c>
      <c r="Y54" s="583">
        <v>0.71365102411868819</v>
      </c>
      <c r="Z54" s="583">
        <v>0.71365102411868819</v>
      </c>
      <c r="AA54" s="583">
        <v>0.71365102411868819</v>
      </c>
      <c r="AB54" s="583">
        <v>0.71365102411868819</v>
      </c>
      <c r="AC54" s="583">
        <v>0.71365102411868819</v>
      </c>
      <c r="AD54" s="583">
        <v>0.71365102411868819</v>
      </c>
      <c r="AE54" s="583">
        <v>0.71365102411868819</v>
      </c>
      <c r="AF54" s="583">
        <v>0.71365102411868819</v>
      </c>
      <c r="AG54" s="583">
        <v>0.71365102411868819</v>
      </c>
      <c r="AH54" s="583">
        <v>0.71365102411868819</v>
      </c>
      <c r="AI54" s="583">
        <v>0.71365102411868819</v>
      </c>
      <c r="AJ54" s="583">
        <v>0.71365102411868819</v>
      </c>
      <c r="AK54" s="583">
        <v>0.71365102411868819</v>
      </c>
      <c r="AL54" s="583"/>
      <c r="AM54" s="583"/>
      <c r="AN54" s="583"/>
      <c r="AO54" s="583"/>
      <c r="AP54" s="583"/>
      <c r="AQ54" s="583"/>
      <c r="AR54" s="583"/>
      <c r="AS54" s="583"/>
      <c r="AT54" s="583"/>
      <c r="AU54" s="583"/>
      <c r="AV54" s="583"/>
      <c r="AW54" s="583"/>
      <c r="AX54" s="583"/>
      <c r="AY54" s="583"/>
      <c r="AZ54" s="583"/>
      <c r="BA54" s="583"/>
      <c r="BB54" s="583"/>
      <c r="BC54" s="583"/>
      <c r="BD54" s="583"/>
      <c r="BE54" s="583"/>
      <c r="BF54" s="583"/>
      <c r="BG54" s="583"/>
      <c r="BH54" s="583"/>
      <c r="BI54" s="583"/>
      <c r="BJ54" s="583"/>
      <c r="BK54" s="583"/>
      <c r="BL54" s="583"/>
      <c r="BM54" s="583"/>
      <c r="BN54" s="583"/>
      <c r="BO54" s="583"/>
      <c r="BP54" s="583"/>
      <c r="BQ54" s="583"/>
      <c r="BR54" s="583"/>
      <c r="BS54" s="583"/>
      <c r="BT54" s="583"/>
      <c r="BU54" s="583"/>
      <c r="BV54" s="583"/>
      <c r="BW54" s="583"/>
      <c r="BX54" s="583"/>
      <c r="BY54" s="583"/>
      <c r="BZ54" s="583"/>
      <c r="CA54" s="583"/>
      <c r="CB54" s="583"/>
      <c r="CC54" s="583"/>
      <c r="CD54" s="583"/>
      <c r="CE54" s="583"/>
      <c r="CF54" s="583"/>
      <c r="CG54" s="583"/>
      <c r="CH54" s="583"/>
      <c r="CI54" s="584"/>
      <c r="CJ54" s="1479"/>
      <c r="CK54" s="1293"/>
    </row>
    <row r="55" spans="1:89" s="1292" customFormat="1" x14ac:dyDescent="0.2">
      <c r="A55" s="1284"/>
      <c r="B55" s="527" t="s">
        <v>513</v>
      </c>
      <c r="C55" s="528" t="s">
        <v>514</v>
      </c>
      <c r="D55" s="529" t="s">
        <v>86</v>
      </c>
      <c r="E55" s="530" t="s">
        <v>236</v>
      </c>
      <c r="F55" s="531">
        <v>2</v>
      </c>
      <c r="G55" s="532"/>
      <c r="H55" s="532"/>
      <c r="I55" s="532">
        <v>3.1940738474326512E-2</v>
      </c>
      <c r="J55" s="532">
        <v>4.0251839304238653E-2</v>
      </c>
      <c r="K55" s="532">
        <v>3.8869775634189051E-2</v>
      </c>
      <c r="L55" s="532">
        <v>3.8091231352925789E-2</v>
      </c>
      <c r="M55" s="533">
        <v>3.9203260828638967E-2</v>
      </c>
      <c r="N55" s="533">
        <v>3.9378269276312591E-2</v>
      </c>
      <c r="O55" s="533">
        <v>3.9553277723986202E-2</v>
      </c>
      <c r="P55" s="533">
        <v>3.9728286171659827E-2</v>
      </c>
      <c r="Q55" s="533">
        <v>3.9903294619333451E-2</v>
      </c>
      <c r="R55" s="533">
        <v>4.0078303067007069E-2</v>
      </c>
      <c r="S55" s="533">
        <v>4.0253311514680694E-2</v>
      </c>
      <c r="T55" s="533">
        <v>4.0428319962354312E-2</v>
      </c>
      <c r="U55" s="533">
        <v>4.0603328410027936E-2</v>
      </c>
      <c r="V55" s="533">
        <v>4.0778336857701561E-2</v>
      </c>
      <c r="W55" s="533">
        <v>4.0953345305375172E-2</v>
      </c>
      <c r="X55" s="533">
        <v>4.1128353753048789E-2</v>
      </c>
      <c r="Y55" s="533">
        <v>4.1303362200722421E-2</v>
      </c>
      <c r="Z55" s="533">
        <v>4.1478370648396039E-2</v>
      </c>
      <c r="AA55" s="533">
        <v>4.1653379096069656E-2</v>
      </c>
      <c r="AB55" s="533">
        <v>4.1828387543743274E-2</v>
      </c>
      <c r="AC55" s="533">
        <v>4.2003395991416899E-2</v>
      </c>
      <c r="AD55" s="533">
        <v>4.217840443909053E-2</v>
      </c>
      <c r="AE55" s="533">
        <v>4.2353412886764134E-2</v>
      </c>
      <c r="AF55" s="533">
        <v>4.2528421334437759E-2</v>
      </c>
      <c r="AG55" s="533">
        <v>4.2703429782111384E-2</v>
      </c>
      <c r="AH55" s="533">
        <v>4.2878438229785008E-2</v>
      </c>
      <c r="AI55" s="533">
        <v>4.3053446677458626E-2</v>
      </c>
      <c r="AJ55" s="533">
        <v>4.3228455125132244E-2</v>
      </c>
      <c r="AK55" s="533">
        <v>4.3403463572805868E-2</v>
      </c>
      <c r="AL55" s="533"/>
      <c r="AM55" s="533"/>
      <c r="AN55" s="533"/>
      <c r="AO55" s="533"/>
      <c r="AP55" s="533"/>
      <c r="AQ55" s="533"/>
      <c r="AR55" s="533"/>
      <c r="AS55" s="533"/>
      <c r="AT55" s="533"/>
      <c r="AU55" s="533"/>
      <c r="AV55" s="533"/>
      <c r="AW55" s="533"/>
      <c r="AX55" s="533"/>
      <c r="AY55" s="533"/>
      <c r="AZ55" s="533"/>
      <c r="BA55" s="533"/>
      <c r="BB55" s="533"/>
      <c r="BC55" s="533"/>
      <c r="BD55" s="533"/>
      <c r="BE55" s="533"/>
      <c r="BF55" s="533"/>
      <c r="BG55" s="533"/>
      <c r="BH55" s="533"/>
      <c r="BI55" s="533"/>
      <c r="BJ55" s="533"/>
      <c r="BK55" s="533"/>
      <c r="BL55" s="533"/>
      <c r="BM55" s="533"/>
      <c r="BN55" s="533"/>
      <c r="BO55" s="533"/>
      <c r="BP55" s="533"/>
      <c r="BQ55" s="533"/>
      <c r="BR55" s="533"/>
      <c r="BS55" s="533"/>
      <c r="BT55" s="533"/>
      <c r="BU55" s="533"/>
      <c r="BV55" s="533"/>
      <c r="BW55" s="533"/>
      <c r="BX55" s="533"/>
      <c r="BY55" s="533"/>
      <c r="BZ55" s="533"/>
      <c r="CA55" s="533"/>
      <c r="CB55" s="533"/>
      <c r="CC55" s="533"/>
      <c r="CD55" s="533"/>
      <c r="CE55" s="533"/>
      <c r="CF55" s="533"/>
      <c r="CG55" s="533"/>
      <c r="CH55" s="533"/>
      <c r="CI55" s="534"/>
      <c r="CJ55" s="1479"/>
      <c r="CK55" s="1293"/>
    </row>
    <row r="56" spans="1:89" s="1292" customFormat="1" x14ac:dyDescent="0.2">
      <c r="A56" s="1284"/>
      <c r="B56" s="543" t="s">
        <v>515</v>
      </c>
      <c r="C56" s="546" t="s">
        <v>516</v>
      </c>
      <c r="D56" s="537" t="s">
        <v>86</v>
      </c>
      <c r="E56" s="538" t="s">
        <v>236</v>
      </c>
      <c r="F56" s="539">
        <v>2</v>
      </c>
      <c r="G56" s="540"/>
      <c r="H56" s="540"/>
      <c r="I56" s="540">
        <v>2.9136428712953424E-3</v>
      </c>
      <c r="J56" s="540">
        <v>2.9391133179009492E-3</v>
      </c>
      <c r="K56" s="540">
        <v>2.7918244958601225E-3</v>
      </c>
      <c r="L56" s="540">
        <v>1.6155685626926231E-3</v>
      </c>
      <c r="M56" s="544">
        <v>7.5718419645942354E-4</v>
      </c>
      <c r="N56" s="544">
        <v>7.3891148856349302E-4</v>
      </c>
      <c r="O56" s="544">
        <v>7.2063878066756239E-4</v>
      </c>
      <c r="P56" s="544">
        <v>7.0236607277163177E-4</v>
      </c>
      <c r="Q56" s="544">
        <v>6.8409336487570125E-4</v>
      </c>
      <c r="R56" s="544">
        <v>6.6582065697977063E-4</v>
      </c>
      <c r="S56" s="544">
        <v>6.4754794908384011E-4</v>
      </c>
      <c r="T56" s="544">
        <v>6.2927524118790959E-4</v>
      </c>
      <c r="U56" s="544">
        <v>6.1100253329197886E-4</v>
      </c>
      <c r="V56" s="544">
        <v>6.1100253329197886E-4</v>
      </c>
      <c r="W56" s="544">
        <v>6.1100253329197886E-4</v>
      </c>
      <c r="X56" s="544">
        <v>6.1100253329197886E-4</v>
      </c>
      <c r="Y56" s="544">
        <v>6.1100253329197886E-4</v>
      </c>
      <c r="Z56" s="544">
        <v>6.1100253329197886E-4</v>
      </c>
      <c r="AA56" s="544">
        <v>6.1100253329197886E-4</v>
      </c>
      <c r="AB56" s="544">
        <v>6.1100253329197886E-4</v>
      </c>
      <c r="AC56" s="544">
        <v>6.1100253329197886E-4</v>
      </c>
      <c r="AD56" s="544">
        <v>6.1100253329197886E-4</v>
      </c>
      <c r="AE56" s="544">
        <v>6.1100253329197886E-4</v>
      </c>
      <c r="AF56" s="544">
        <v>6.1100253329197886E-4</v>
      </c>
      <c r="AG56" s="544">
        <v>6.1100253329197886E-4</v>
      </c>
      <c r="AH56" s="544">
        <v>6.1100253329197886E-4</v>
      </c>
      <c r="AI56" s="544">
        <v>6.1100253329197886E-4</v>
      </c>
      <c r="AJ56" s="544">
        <v>6.1100253329197886E-4</v>
      </c>
      <c r="AK56" s="544">
        <v>6.1100253329197886E-4</v>
      </c>
      <c r="AL56" s="544"/>
      <c r="AM56" s="544"/>
      <c r="AN56" s="544"/>
      <c r="AO56" s="544"/>
      <c r="AP56" s="544"/>
      <c r="AQ56" s="544"/>
      <c r="AR56" s="544"/>
      <c r="AS56" s="544"/>
      <c r="AT56" s="544"/>
      <c r="AU56" s="544"/>
      <c r="AV56" s="544"/>
      <c r="AW56" s="544"/>
      <c r="AX56" s="544"/>
      <c r="AY56" s="544"/>
      <c r="AZ56" s="544"/>
      <c r="BA56" s="544"/>
      <c r="BB56" s="544"/>
      <c r="BC56" s="544"/>
      <c r="BD56" s="544"/>
      <c r="BE56" s="544"/>
      <c r="BF56" s="544"/>
      <c r="BG56" s="544"/>
      <c r="BH56" s="544"/>
      <c r="BI56" s="544"/>
      <c r="BJ56" s="544"/>
      <c r="BK56" s="544"/>
      <c r="BL56" s="544"/>
      <c r="BM56" s="544"/>
      <c r="BN56" s="544"/>
      <c r="BO56" s="544"/>
      <c r="BP56" s="544"/>
      <c r="BQ56" s="544"/>
      <c r="BR56" s="544"/>
      <c r="BS56" s="544"/>
      <c r="BT56" s="544"/>
      <c r="BU56" s="544"/>
      <c r="BV56" s="544"/>
      <c r="BW56" s="544"/>
      <c r="BX56" s="544"/>
      <c r="BY56" s="544"/>
      <c r="BZ56" s="544"/>
      <c r="CA56" s="544"/>
      <c r="CB56" s="544"/>
      <c r="CC56" s="544"/>
      <c r="CD56" s="544"/>
      <c r="CE56" s="544"/>
      <c r="CF56" s="544"/>
      <c r="CG56" s="544"/>
      <c r="CH56" s="544"/>
      <c r="CI56" s="545"/>
      <c r="CJ56" s="1479"/>
      <c r="CK56" s="1293"/>
    </row>
    <row r="57" spans="1:89" s="1292" customFormat="1" x14ac:dyDescent="0.2">
      <c r="A57" s="1284"/>
      <c r="B57" s="543" t="s">
        <v>517</v>
      </c>
      <c r="C57" s="546" t="s">
        <v>518</v>
      </c>
      <c r="D57" s="537" t="s">
        <v>86</v>
      </c>
      <c r="E57" s="538" t="s">
        <v>236</v>
      </c>
      <c r="F57" s="539">
        <v>2</v>
      </c>
      <c r="G57" s="540"/>
      <c r="H57" s="540"/>
      <c r="I57" s="540">
        <v>0.39965056297299739</v>
      </c>
      <c r="J57" s="540">
        <v>0.46831854841479637</v>
      </c>
      <c r="K57" s="540">
        <v>0.45994932996175353</v>
      </c>
      <c r="L57" s="540">
        <v>0.45604570269946643</v>
      </c>
      <c r="M57" s="544">
        <v>0.48237897868150514</v>
      </c>
      <c r="N57" s="544">
        <v>0.50448075084222466</v>
      </c>
      <c r="O57" s="544">
        <v>0.51358756329500599</v>
      </c>
      <c r="P57" s="544">
        <v>0.52219567629493679</v>
      </c>
      <c r="Q57" s="544">
        <v>0.53031425676010113</v>
      </c>
      <c r="R57" s="544">
        <v>0.53617864179914965</v>
      </c>
      <c r="S57" s="544">
        <v>0.53990498521545471</v>
      </c>
      <c r="T57" s="544">
        <v>0.543594303479073</v>
      </c>
      <c r="U57" s="544">
        <v>0.54724877567788099</v>
      </c>
      <c r="V57" s="544">
        <v>0.55087047528946842</v>
      </c>
      <c r="W57" s="544">
        <v>0.55446094650900668</v>
      </c>
      <c r="X57" s="544">
        <v>0.55801567178386113</v>
      </c>
      <c r="Y57" s="544">
        <v>0.56153707040222267</v>
      </c>
      <c r="Z57" s="544">
        <v>0.56502159082017855</v>
      </c>
      <c r="AA57" s="544">
        <v>0.56840093590468355</v>
      </c>
      <c r="AB57" s="544">
        <v>0.5717429500748139</v>
      </c>
      <c r="AC57" s="544">
        <v>0.57505065556557711</v>
      </c>
      <c r="AD57" s="544">
        <v>0.57832430273743318</v>
      </c>
      <c r="AE57" s="544">
        <v>0.58156543503767266</v>
      </c>
      <c r="AF57" s="544">
        <v>0.58477179475881835</v>
      </c>
      <c r="AG57" s="544">
        <v>0.58794329647880561</v>
      </c>
      <c r="AH57" s="544">
        <v>0.59108037807287206</v>
      </c>
      <c r="AI57" s="544">
        <v>0.59418210757179313</v>
      </c>
      <c r="AJ57" s="544">
        <v>0.59724491974041183</v>
      </c>
      <c r="AK57" s="544">
        <v>0.60026978354310145</v>
      </c>
      <c r="AL57" s="544"/>
      <c r="AM57" s="544"/>
      <c r="AN57" s="544"/>
      <c r="AO57" s="544"/>
      <c r="AP57" s="544"/>
      <c r="AQ57" s="544"/>
      <c r="AR57" s="544"/>
      <c r="AS57" s="544"/>
      <c r="AT57" s="544"/>
      <c r="AU57" s="544"/>
      <c r="AV57" s="544"/>
      <c r="AW57" s="544"/>
      <c r="AX57" s="544"/>
      <c r="AY57" s="544"/>
      <c r="AZ57" s="544"/>
      <c r="BA57" s="544"/>
      <c r="BB57" s="544"/>
      <c r="BC57" s="544"/>
      <c r="BD57" s="544"/>
      <c r="BE57" s="544"/>
      <c r="BF57" s="544"/>
      <c r="BG57" s="544"/>
      <c r="BH57" s="544"/>
      <c r="BI57" s="544"/>
      <c r="BJ57" s="544"/>
      <c r="BK57" s="544"/>
      <c r="BL57" s="544"/>
      <c r="BM57" s="544"/>
      <c r="BN57" s="544"/>
      <c r="BO57" s="544"/>
      <c r="BP57" s="544"/>
      <c r="BQ57" s="544"/>
      <c r="BR57" s="544"/>
      <c r="BS57" s="544"/>
      <c r="BT57" s="544"/>
      <c r="BU57" s="544"/>
      <c r="BV57" s="544"/>
      <c r="BW57" s="544"/>
      <c r="BX57" s="544"/>
      <c r="BY57" s="544"/>
      <c r="BZ57" s="544"/>
      <c r="CA57" s="544"/>
      <c r="CB57" s="544"/>
      <c r="CC57" s="544"/>
      <c r="CD57" s="544"/>
      <c r="CE57" s="544"/>
      <c r="CF57" s="544"/>
      <c r="CG57" s="544"/>
      <c r="CH57" s="544"/>
      <c r="CI57" s="545"/>
      <c r="CJ57" s="1479"/>
      <c r="CK57" s="1293"/>
    </row>
    <row r="58" spans="1:89" s="1292" customFormat="1" x14ac:dyDescent="0.2">
      <c r="A58" s="1284"/>
      <c r="B58" s="543" t="s">
        <v>519</v>
      </c>
      <c r="C58" s="546" t="s">
        <v>520</v>
      </c>
      <c r="D58" s="537" t="s">
        <v>86</v>
      </c>
      <c r="E58" s="538" t="s">
        <v>236</v>
      </c>
      <c r="F58" s="539">
        <v>2</v>
      </c>
      <c r="G58" s="540"/>
      <c r="H58" s="540"/>
      <c r="I58" s="540">
        <v>0.33594718026353254</v>
      </c>
      <c r="J58" s="540">
        <v>0.38727948170714011</v>
      </c>
      <c r="K58" s="540">
        <v>0.36743741027069388</v>
      </c>
      <c r="L58" s="540">
        <v>0.33979624292718547</v>
      </c>
      <c r="M58" s="544">
        <v>0.30625147476292663</v>
      </c>
      <c r="N58" s="544">
        <v>0.27697689854745411</v>
      </c>
      <c r="O58" s="544">
        <v>0.26893819633641314</v>
      </c>
      <c r="P58" s="544">
        <v>0.26091226125129952</v>
      </c>
      <c r="Q58" s="544">
        <v>0.25289909329211285</v>
      </c>
      <c r="R58" s="544">
        <v>0.24855851939062246</v>
      </c>
      <c r="S58" s="544">
        <v>0.2478905395468281</v>
      </c>
      <c r="T58" s="544">
        <v>0.24723532682896079</v>
      </c>
      <c r="U58" s="544">
        <v>0.24659288123702081</v>
      </c>
      <c r="V58" s="544">
        <v>0.24596320277100844</v>
      </c>
      <c r="W58" s="544">
        <v>0.24534629143092332</v>
      </c>
      <c r="X58" s="544">
        <v>0.24472938009083819</v>
      </c>
      <c r="Y58" s="544">
        <v>0.2441124687507526</v>
      </c>
      <c r="Z58" s="544">
        <v>0.24349555741066733</v>
      </c>
      <c r="AA58" s="544">
        <v>0.24289141319650906</v>
      </c>
      <c r="AB58" s="544">
        <v>0.24228726898235114</v>
      </c>
      <c r="AC58" s="544">
        <v>0.24167036916016651</v>
      </c>
      <c r="AD58" s="544">
        <v>0.24105346933798177</v>
      </c>
      <c r="AE58" s="544">
        <v>0.24043656951579712</v>
      </c>
      <c r="AF58" s="544">
        <v>0.23981966969361224</v>
      </c>
      <c r="AG58" s="544">
        <v>0.23920276987142738</v>
      </c>
      <c r="AH58" s="544">
        <v>0.23858587004924287</v>
      </c>
      <c r="AI58" s="544">
        <v>0.23796897022705799</v>
      </c>
      <c r="AJ58" s="544">
        <v>0.23735207040487352</v>
      </c>
      <c r="AK58" s="544">
        <v>0.23673517058268903</v>
      </c>
      <c r="AL58" s="544"/>
      <c r="AM58" s="544"/>
      <c r="AN58" s="544"/>
      <c r="AO58" s="544"/>
      <c r="AP58" s="544"/>
      <c r="AQ58" s="544"/>
      <c r="AR58" s="544"/>
      <c r="AS58" s="544"/>
      <c r="AT58" s="544"/>
      <c r="AU58" s="544"/>
      <c r="AV58" s="544"/>
      <c r="AW58" s="544"/>
      <c r="AX58" s="544"/>
      <c r="AY58" s="544"/>
      <c r="AZ58" s="544"/>
      <c r="BA58" s="544"/>
      <c r="BB58" s="544"/>
      <c r="BC58" s="544"/>
      <c r="BD58" s="544"/>
      <c r="BE58" s="544"/>
      <c r="BF58" s="544"/>
      <c r="BG58" s="544"/>
      <c r="BH58" s="544"/>
      <c r="BI58" s="544"/>
      <c r="BJ58" s="544"/>
      <c r="BK58" s="544"/>
      <c r="BL58" s="544"/>
      <c r="BM58" s="544"/>
      <c r="BN58" s="544"/>
      <c r="BO58" s="544"/>
      <c r="BP58" s="544"/>
      <c r="BQ58" s="544"/>
      <c r="BR58" s="544"/>
      <c r="BS58" s="544"/>
      <c r="BT58" s="544"/>
      <c r="BU58" s="544"/>
      <c r="BV58" s="544"/>
      <c r="BW58" s="544"/>
      <c r="BX58" s="544"/>
      <c r="BY58" s="544"/>
      <c r="BZ58" s="544"/>
      <c r="CA58" s="544"/>
      <c r="CB58" s="544"/>
      <c r="CC58" s="544"/>
      <c r="CD58" s="544"/>
      <c r="CE58" s="544"/>
      <c r="CF58" s="544"/>
      <c r="CG58" s="544"/>
      <c r="CH58" s="544"/>
      <c r="CI58" s="545"/>
      <c r="CJ58" s="1479"/>
      <c r="CK58" s="1293"/>
    </row>
    <row r="59" spans="1:89" s="1292" customFormat="1" x14ac:dyDescent="0.2">
      <c r="A59" s="1284"/>
      <c r="B59" s="543" t="s">
        <v>521</v>
      </c>
      <c r="C59" s="546" t="s">
        <v>522</v>
      </c>
      <c r="D59" s="537" t="s">
        <v>86</v>
      </c>
      <c r="E59" s="538" t="s">
        <v>236</v>
      </c>
      <c r="F59" s="539">
        <v>2</v>
      </c>
      <c r="G59" s="540"/>
      <c r="H59" s="540"/>
      <c r="I59" s="540">
        <v>5.1229979988093338E-2</v>
      </c>
      <c r="J59" s="540">
        <v>5.9579652879111059E-2</v>
      </c>
      <c r="K59" s="540">
        <v>6.0149596757885018E-2</v>
      </c>
      <c r="L59" s="540">
        <v>6.028343187482562E-2</v>
      </c>
      <c r="M59" s="544">
        <v>5.9388150273455301E-2</v>
      </c>
      <c r="N59" s="544">
        <v>5.9802430433030657E-2</v>
      </c>
      <c r="O59" s="544">
        <v>6.0213095704876846E-2</v>
      </c>
      <c r="P59" s="544">
        <v>6.0585397279141154E-2</v>
      </c>
      <c r="Q59" s="544">
        <v>6.0918784456398214E-2</v>
      </c>
      <c r="R59" s="544">
        <v>6.1251064286979975E-2</v>
      </c>
      <c r="S59" s="544">
        <v>6.1592064471278865E-2</v>
      </c>
      <c r="T59" s="544">
        <v>6.1930534258520624E-2</v>
      </c>
      <c r="U59" s="544">
        <v>6.2266584399959794E-2</v>
      </c>
      <c r="V59" s="544">
        <v>6.2602657293979513E-2</v>
      </c>
      <c r="W59" s="544">
        <v>6.293661304627475E-2</v>
      </c>
      <c r="X59" s="544">
        <v>6.3267597624869179E-2</v>
      </c>
      <c r="Y59" s="544">
        <v>6.3595860452908576E-2</v>
      </c>
      <c r="Z59" s="544">
        <v>6.3921150552642261E-2</v>
      </c>
      <c r="AA59" s="544">
        <v>6.4240617382714915E-2</v>
      </c>
      <c r="AB59" s="544">
        <v>6.4557016499707284E-2</v>
      </c>
      <c r="AC59" s="544">
        <v>6.4870188314058733E-2</v>
      </c>
      <c r="AD59" s="544">
        <v>6.5180597298288456E-2</v>
      </c>
      <c r="AE59" s="544">
        <v>6.5488301027838397E-2</v>
      </c>
      <c r="AF59" s="544">
        <v>6.5793143526446829E-2</v>
      </c>
      <c r="AG59" s="544">
        <v>6.609511560140903E-2</v>
      </c>
      <c r="AH59" s="544">
        <v>6.6394279827658428E-2</v>
      </c>
      <c r="AI59" s="544">
        <v>6.6690582594642209E-2</v>
      </c>
      <c r="AJ59" s="544">
        <v>6.6983716193483228E-2</v>
      </c>
      <c r="AK59" s="544">
        <v>6.7273740847863792E-2</v>
      </c>
      <c r="AL59" s="544"/>
      <c r="AM59" s="544"/>
      <c r="AN59" s="544"/>
      <c r="AO59" s="544"/>
      <c r="AP59" s="544"/>
      <c r="AQ59" s="544"/>
      <c r="AR59" s="544"/>
      <c r="AS59" s="544"/>
      <c r="AT59" s="544"/>
      <c r="AU59" s="544"/>
      <c r="AV59" s="544"/>
      <c r="AW59" s="544"/>
      <c r="AX59" s="544"/>
      <c r="AY59" s="544"/>
      <c r="AZ59" s="544"/>
      <c r="BA59" s="544"/>
      <c r="BB59" s="544"/>
      <c r="BC59" s="544"/>
      <c r="BD59" s="544"/>
      <c r="BE59" s="544"/>
      <c r="BF59" s="544"/>
      <c r="BG59" s="544"/>
      <c r="BH59" s="544"/>
      <c r="BI59" s="544"/>
      <c r="BJ59" s="544"/>
      <c r="BK59" s="544"/>
      <c r="BL59" s="544"/>
      <c r="BM59" s="544"/>
      <c r="BN59" s="544"/>
      <c r="BO59" s="544"/>
      <c r="BP59" s="544"/>
      <c r="BQ59" s="544"/>
      <c r="BR59" s="544"/>
      <c r="BS59" s="544"/>
      <c r="BT59" s="544"/>
      <c r="BU59" s="544"/>
      <c r="BV59" s="544"/>
      <c r="BW59" s="544"/>
      <c r="BX59" s="544"/>
      <c r="BY59" s="544"/>
      <c r="BZ59" s="544"/>
      <c r="CA59" s="544"/>
      <c r="CB59" s="544"/>
      <c r="CC59" s="544"/>
      <c r="CD59" s="544"/>
      <c r="CE59" s="544"/>
      <c r="CF59" s="544"/>
      <c r="CG59" s="544"/>
      <c r="CH59" s="544"/>
      <c r="CI59" s="545"/>
      <c r="CJ59" s="1479"/>
      <c r="CK59" s="1293"/>
    </row>
    <row r="60" spans="1:89" s="1292" customFormat="1" x14ac:dyDescent="0.2">
      <c r="A60" s="1284"/>
      <c r="B60" s="543" t="s">
        <v>523</v>
      </c>
      <c r="C60" s="536" t="s">
        <v>524</v>
      </c>
      <c r="D60" s="537" t="s">
        <v>86</v>
      </c>
      <c r="E60" s="538" t="s">
        <v>236</v>
      </c>
      <c r="F60" s="539">
        <v>2</v>
      </c>
      <c r="G60" s="540"/>
      <c r="H60" s="540"/>
      <c r="I60" s="540">
        <v>1.89237436365741</v>
      </c>
      <c r="J60" s="540">
        <v>2.0526977643768127</v>
      </c>
      <c r="K60" s="540">
        <v>1.964117262879618</v>
      </c>
      <c r="L60" s="540">
        <v>1.8797318225829041</v>
      </c>
      <c r="M60" s="544">
        <v>1.8875849512570146</v>
      </c>
      <c r="N60" s="544">
        <v>1.8941867394124146</v>
      </c>
      <c r="O60" s="544">
        <v>1.8925512281590504</v>
      </c>
      <c r="P60" s="544">
        <v>1.8914400129301914</v>
      </c>
      <c r="Q60" s="544">
        <v>1.8908444775071787</v>
      </c>
      <c r="R60" s="544">
        <v>1.8888316507992613</v>
      </c>
      <c r="S60" s="544">
        <v>1.885275551302674</v>
      </c>
      <c r="T60" s="544">
        <v>1.8817462402299037</v>
      </c>
      <c r="U60" s="544">
        <v>1.8782414277418187</v>
      </c>
      <c r="V60" s="544">
        <v>1.8747383252545502</v>
      </c>
      <c r="W60" s="544">
        <v>1.8712558011751281</v>
      </c>
      <c r="X60" s="544">
        <v>1.8678119942140907</v>
      </c>
      <c r="Y60" s="544">
        <v>1.864404235660102</v>
      </c>
      <c r="Z60" s="544">
        <v>1.8610363280348241</v>
      </c>
      <c r="AA60" s="544">
        <v>1.8577666518867311</v>
      </c>
      <c r="AB60" s="544">
        <v>1.8545373743660925</v>
      </c>
      <c r="AC60" s="544">
        <v>1.8513583884354889</v>
      </c>
      <c r="AD60" s="544">
        <v>1.8482162236539144</v>
      </c>
      <c r="AE60" s="544">
        <v>1.8451092789986361</v>
      </c>
      <c r="AF60" s="544">
        <v>1.842039968153393</v>
      </c>
      <c r="AG60" s="544">
        <v>1.8390083857329547</v>
      </c>
      <c r="AH60" s="544">
        <v>1.8360140312871498</v>
      </c>
      <c r="AI60" s="544">
        <v>1.8330578903957564</v>
      </c>
      <c r="AJ60" s="544">
        <v>1.8301438360028075</v>
      </c>
      <c r="AK60" s="544">
        <v>1.8272708389202481</v>
      </c>
      <c r="AL60" s="544"/>
      <c r="AM60" s="544"/>
      <c r="AN60" s="544"/>
      <c r="AO60" s="544"/>
      <c r="AP60" s="544"/>
      <c r="AQ60" s="544"/>
      <c r="AR60" s="544"/>
      <c r="AS60" s="544"/>
      <c r="AT60" s="544"/>
      <c r="AU60" s="544"/>
      <c r="AV60" s="544"/>
      <c r="AW60" s="544"/>
      <c r="AX60" s="544"/>
      <c r="AY60" s="544"/>
      <c r="AZ60" s="544"/>
      <c r="BA60" s="544"/>
      <c r="BB60" s="544"/>
      <c r="BC60" s="544"/>
      <c r="BD60" s="544"/>
      <c r="BE60" s="544"/>
      <c r="BF60" s="544"/>
      <c r="BG60" s="544"/>
      <c r="BH60" s="544"/>
      <c r="BI60" s="544"/>
      <c r="BJ60" s="544"/>
      <c r="BK60" s="544"/>
      <c r="BL60" s="544"/>
      <c r="BM60" s="544"/>
      <c r="BN60" s="544"/>
      <c r="BO60" s="544"/>
      <c r="BP60" s="544"/>
      <c r="BQ60" s="544"/>
      <c r="BR60" s="544"/>
      <c r="BS60" s="544"/>
      <c r="BT60" s="544"/>
      <c r="BU60" s="544"/>
      <c r="BV60" s="544"/>
      <c r="BW60" s="544"/>
      <c r="BX60" s="544"/>
      <c r="BY60" s="544"/>
      <c r="BZ60" s="544"/>
      <c r="CA60" s="544"/>
      <c r="CB60" s="544"/>
      <c r="CC60" s="544"/>
      <c r="CD60" s="544"/>
      <c r="CE60" s="544"/>
      <c r="CF60" s="544"/>
      <c r="CG60" s="544"/>
      <c r="CH60" s="544"/>
      <c r="CI60" s="545"/>
      <c r="CJ60" s="1479"/>
      <c r="CK60" s="1293"/>
    </row>
    <row r="61" spans="1:89" s="1292" customFormat="1" x14ac:dyDescent="0.2">
      <c r="A61" s="1284"/>
      <c r="B61" s="543" t="s">
        <v>525</v>
      </c>
      <c r="C61" s="536" t="s">
        <v>243</v>
      </c>
      <c r="D61" s="537" t="s">
        <v>526</v>
      </c>
      <c r="E61" s="538" t="s">
        <v>236</v>
      </c>
      <c r="F61" s="539">
        <v>2</v>
      </c>
      <c r="G61" s="547">
        <f>SUM(G55:G60)</f>
        <v>0</v>
      </c>
      <c r="H61" s="547">
        <f t="shared" ref="H61:AK61" si="7">SUM(H55:H60)</f>
        <v>0</v>
      </c>
      <c r="I61" s="547">
        <f t="shared" si="7"/>
        <v>2.7140564682276551</v>
      </c>
      <c r="J61" s="547">
        <f t="shared" si="7"/>
        <v>3.0110663999999998</v>
      </c>
      <c r="K61" s="547">
        <f t="shared" si="7"/>
        <v>2.8933151999999995</v>
      </c>
      <c r="L61" s="547">
        <f t="shared" si="7"/>
        <v>2.7755640000000001</v>
      </c>
      <c r="M61" s="552">
        <f t="shared" si="7"/>
        <v>2.7755640000000001</v>
      </c>
      <c r="N61" s="552">
        <f t="shared" si="7"/>
        <v>2.7755640000000001</v>
      </c>
      <c r="O61" s="552">
        <f t="shared" si="7"/>
        <v>2.7755640000000001</v>
      </c>
      <c r="P61" s="552">
        <f t="shared" si="7"/>
        <v>2.7755640000000001</v>
      </c>
      <c r="Q61" s="552">
        <f t="shared" si="7"/>
        <v>2.7755640000000001</v>
      </c>
      <c r="R61" s="552">
        <f t="shared" si="7"/>
        <v>2.7755640000000001</v>
      </c>
      <c r="S61" s="552">
        <f t="shared" si="7"/>
        <v>2.7755640000000001</v>
      </c>
      <c r="T61" s="552">
        <f t="shared" si="7"/>
        <v>2.7755640000000001</v>
      </c>
      <c r="U61" s="552">
        <f t="shared" si="7"/>
        <v>2.7755640000000001</v>
      </c>
      <c r="V61" s="552">
        <f t="shared" si="7"/>
        <v>2.7755640000000001</v>
      </c>
      <c r="W61" s="552">
        <f t="shared" si="7"/>
        <v>2.7755640000000001</v>
      </c>
      <c r="X61" s="552">
        <f t="shared" si="7"/>
        <v>2.7755640000000001</v>
      </c>
      <c r="Y61" s="552">
        <f t="shared" si="7"/>
        <v>2.7755640000000001</v>
      </c>
      <c r="Z61" s="552">
        <f t="shared" si="7"/>
        <v>2.7755640000000001</v>
      </c>
      <c r="AA61" s="552">
        <f t="shared" si="7"/>
        <v>2.7755640000000001</v>
      </c>
      <c r="AB61" s="552">
        <f t="shared" si="7"/>
        <v>2.7755640000000001</v>
      </c>
      <c r="AC61" s="552">
        <f t="shared" si="7"/>
        <v>2.7755640000000001</v>
      </c>
      <c r="AD61" s="552">
        <f t="shared" si="7"/>
        <v>2.7755640000000001</v>
      </c>
      <c r="AE61" s="552">
        <f t="shared" si="7"/>
        <v>2.7755640000000001</v>
      </c>
      <c r="AF61" s="552">
        <f t="shared" si="7"/>
        <v>2.7755640000000001</v>
      </c>
      <c r="AG61" s="552">
        <f t="shared" si="7"/>
        <v>2.7755640000000001</v>
      </c>
      <c r="AH61" s="552">
        <f t="shared" si="7"/>
        <v>2.7755640000000001</v>
      </c>
      <c r="AI61" s="552">
        <f t="shared" si="7"/>
        <v>2.7755640000000001</v>
      </c>
      <c r="AJ61" s="552">
        <f t="shared" si="7"/>
        <v>2.7755640000000001</v>
      </c>
      <c r="AK61" s="552">
        <f t="shared" si="7"/>
        <v>2.7755640000000001</v>
      </c>
      <c r="AL61" s="552"/>
      <c r="AM61" s="552"/>
      <c r="AN61" s="552"/>
      <c r="AO61" s="552"/>
      <c r="AP61" s="552"/>
      <c r="AQ61" s="552"/>
      <c r="AR61" s="552"/>
      <c r="AS61" s="552"/>
      <c r="AT61" s="552"/>
      <c r="AU61" s="552"/>
      <c r="AV61" s="552"/>
      <c r="AW61" s="552"/>
      <c r="AX61" s="552"/>
      <c r="AY61" s="552"/>
      <c r="AZ61" s="552"/>
      <c r="BA61" s="552"/>
      <c r="BB61" s="552"/>
      <c r="BC61" s="552"/>
      <c r="BD61" s="552"/>
      <c r="BE61" s="552"/>
      <c r="BF61" s="552"/>
      <c r="BG61" s="552"/>
      <c r="BH61" s="552"/>
      <c r="BI61" s="552"/>
      <c r="BJ61" s="552"/>
      <c r="BK61" s="552"/>
      <c r="BL61" s="552"/>
      <c r="BM61" s="552"/>
      <c r="BN61" s="552"/>
      <c r="BO61" s="552"/>
      <c r="BP61" s="552"/>
      <c r="BQ61" s="552"/>
      <c r="BR61" s="552"/>
      <c r="BS61" s="552"/>
      <c r="BT61" s="552"/>
      <c r="BU61" s="552"/>
      <c r="BV61" s="552"/>
      <c r="BW61" s="552"/>
      <c r="BX61" s="552"/>
      <c r="BY61" s="552"/>
      <c r="BZ61" s="552"/>
      <c r="CA61" s="552"/>
      <c r="CB61" s="552"/>
      <c r="CC61" s="552"/>
      <c r="CD61" s="552"/>
      <c r="CE61" s="552"/>
      <c r="CF61" s="552"/>
      <c r="CG61" s="552"/>
      <c r="CH61" s="552"/>
      <c r="CI61" s="548"/>
      <c r="CJ61" s="1479"/>
      <c r="CK61" s="1293"/>
    </row>
    <row r="62" spans="1:89" s="1292" customFormat="1" ht="15" thickBot="1" x14ac:dyDescent="0.25">
      <c r="A62" s="1284"/>
      <c r="B62" s="585" t="s">
        <v>527</v>
      </c>
      <c r="C62" s="586" t="s">
        <v>528</v>
      </c>
      <c r="D62" s="587" t="s">
        <v>529</v>
      </c>
      <c r="E62" s="588" t="s">
        <v>530</v>
      </c>
      <c r="F62" s="558">
        <v>2</v>
      </c>
      <c r="G62" s="559" t="e">
        <f>(G61*1000000)/(G76*1000)</f>
        <v>#DIV/0!</v>
      </c>
      <c r="H62" s="559" t="e">
        <f t="shared" ref="H62:AK62" si="8">(H61*1000000)/(H76*1000)</f>
        <v>#DIV/0!</v>
      </c>
      <c r="I62" s="559">
        <f t="shared" si="8"/>
        <v>26.172445908134648</v>
      </c>
      <c r="J62" s="559">
        <f t="shared" si="8"/>
        <v>28.902501631768818</v>
      </c>
      <c r="K62" s="559">
        <f t="shared" si="8"/>
        <v>27.446526167727498</v>
      </c>
      <c r="L62" s="559">
        <f t="shared" si="8"/>
        <v>26.050955438380992</v>
      </c>
      <c r="M62" s="589">
        <f t="shared" si="8"/>
        <v>25.771615976090828</v>
      </c>
      <c r="N62" s="589">
        <f t="shared" si="8"/>
        <v>25.525573609389234</v>
      </c>
      <c r="O62" s="589">
        <f t="shared" si="8"/>
        <v>25.318783634778111</v>
      </c>
      <c r="P62" s="589">
        <f t="shared" si="8"/>
        <v>25.136320456931383</v>
      </c>
      <c r="Q62" s="589">
        <f t="shared" si="8"/>
        <v>24.976607016423404</v>
      </c>
      <c r="R62" s="589">
        <f t="shared" si="8"/>
        <v>24.825019559072064</v>
      </c>
      <c r="S62" s="589">
        <f t="shared" si="8"/>
        <v>24.676515269251791</v>
      </c>
      <c r="T62" s="589">
        <f t="shared" si="8"/>
        <v>24.531071510071421</v>
      </c>
      <c r="U62" s="589">
        <f t="shared" si="8"/>
        <v>24.388524322281093</v>
      </c>
      <c r="V62" s="589">
        <f t="shared" si="8"/>
        <v>24.248393944879364</v>
      </c>
      <c r="W62" s="589">
        <f t="shared" si="8"/>
        <v>24.110887161608435</v>
      </c>
      <c r="X62" s="589">
        <f t="shared" si="8"/>
        <v>23.976325000172835</v>
      </c>
      <c r="Y62" s="589">
        <f t="shared" si="8"/>
        <v>23.844541076228861</v>
      </c>
      <c r="Z62" s="589">
        <f t="shared" si="8"/>
        <v>23.71560230765003</v>
      </c>
      <c r="AA62" s="589">
        <f t="shared" si="8"/>
        <v>23.59070035113168</v>
      </c>
      <c r="AB62" s="589">
        <f t="shared" si="8"/>
        <v>23.468499999767129</v>
      </c>
      <c r="AC62" s="589">
        <f t="shared" si="8"/>
        <v>23.349021630642742</v>
      </c>
      <c r="AD62" s="589">
        <f t="shared" si="8"/>
        <v>23.231998421442473</v>
      </c>
      <c r="AE62" s="589">
        <f t="shared" si="8"/>
        <v>23.117320236271294</v>
      </c>
      <c r="AF62" s="589">
        <f t="shared" si="8"/>
        <v>23.005015073246593</v>
      </c>
      <c r="AG62" s="589">
        <f t="shared" si="8"/>
        <v>22.895033158481979</v>
      </c>
      <c r="AH62" s="589">
        <f t="shared" si="8"/>
        <v>22.787307653841179</v>
      </c>
      <c r="AI62" s="589">
        <f t="shared" si="8"/>
        <v>22.681821565172548</v>
      </c>
      <c r="AJ62" s="589">
        <f t="shared" si="8"/>
        <v>22.578649579394742</v>
      </c>
      <c r="AK62" s="589">
        <f t="shared" si="8"/>
        <v>22.47770906135608</v>
      </c>
      <c r="AL62" s="589"/>
      <c r="AM62" s="589"/>
      <c r="AN62" s="589"/>
      <c r="AO62" s="589"/>
      <c r="AP62" s="589"/>
      <c r="AQ62" s="589"/>
      <c r="AR62" s="589"/>
      <c r="AS62" s="589"/>
      <c r="AT62" s="589"/>
      <c r="AU62" s="589"/>
      <c r="AV62" s="589"/>
      <c r="AW62" s="589"/>
      <c r="AX62" s="589"/>
      <c r="AY62" s="589"/>
      <c r="AZ62" s="589"/>
      <c r="BA62" s="589"/>
      <c r="BB62" s="589"/>
      <c r="BC62" s="589"/>
      <c r="BD62" s="589"/>
      <c r="BE62" s="589"/>
      <c r="BF62" s="589"/>
      <c r="BG62" s="589"/>
      <c r="BH62" s="589"/>
      <c r="BI62" s="589"/>
      <c r="BJ62" s="589"/>
      <c r="BK62" s="589"/>
      <c r="BL62" s="589"/>
      <c r="BM62" s="589"/>
      <c r="BN62" s="589"/>
      <c r="BO62" s="589"/>
      <c r="BP62" s="589"/>
      <c r="BQ62" s="589"/>
      <c r="BR62" s="589"/>
      <c r="BS62" s="589"/>
      <c r="BT62" s="589"/>
      <c r="BU62" s="589"/>
      <c r="BV62" s="589"/>
      <c r="BW62" s="589"/>
      <c r="BX62" s="589"/>
      <c r="BY62" s="589"/>
      <c r="BZ62" s="589"/>
      <c r="CA62" s="589"/>
      <c r="CB62" s="589"/>
      <c r="CC62" s="589"/>
      <c r="CD62" s="589"/>
      <c r="CE62" s="589"/>
      <c r="CF62" s="589"/>
      <c r="CG62" s="589"/>
      <c r="CH62" s="589"/>
      <c r="CI62" s="560"/>
      <c r="CJ62" s="1479"/>
      <c r="CK62" s="1293"/>
    </row>
    <row r="63" spans="1:89" s="1292" customFormat="1" x14ac:dyDescent="0.2">
      <c r="A63" s="1284"/>
      <c r="B63" s="561" t="s">
        <v>531</v>
      </c>
      <c r="C63" s="562" t="s">
        <v>532</v>
      </c>
      <c r="D63" s="590" t="s">
        <v>86</v>
      </c>
      <c r="E63" s="591" t="s">
        <v>344</v>
      </c>
      <c r="F63" s="592">
        <v>2</v>
      </c>
      <c r="G63" s="593"/>
      <c r="H63" s="593"/>
      <c r="I63" s="593">
        <v>5.9089999999999998</v>
      </c>
      <c r="J63" s="593">
        <v>6.0497184242398276</v>
      </c>
      <c r="K63" s="593">
        <v>6.0797545880510917</v>
      </c>
      <c r="L63" s="593">
        <v>6.2107425934316316</v>
      </c>
      <c r="M63" s="594">
        <v>6.3920580454308684</v>
      </c>
      <c r="N63" s="594">
        <v>6.4205930226834074</v>
      </c>
      <c r="O63" s="594">
        <v>6.4491279999359445</v>
      </c>
      <c r="P63" s="594">
        <v>6.4776629771884835</v>
      </c>
      <c r="Q63" s="594">
        <v>6.5061979544410207</v>
      </c>
      <c r="R63" s="594">
        <v>6.5347329316935596</v>
      </c>
      <c r="S63" s="594">
        <v>6.5632679089460977</v>
      </c>
      <c r="T63" s="594">
        <v>6.5918028861986357</v>
      </c>
      <c r="U63" s="594">
        <v>6.6203378634511747</v>
      </c>
      <c r="V63" s="594">
        <v>6.6488728407037128</v>
      </c>
      <c r="W63" s="594">
        <v>6.6774078179562508</v>
      </c>
      <c r="X63" s="594">
        <v>6.705942795208788</v>
      </c>
      <c r="Y63" s="594">
        <v>6.7344777724613269</v>
      </c>
      <c r="Z63" s="594">
        <v>6.7630127497138659</v>
      </c>
      <c r="AA63" s="594">
        <v>6.7915477269664031</v>
      </c>
      <c r="AB63" s="594">
        <v>6.8200827042189411</v>
      </c>
      <c r="AC63" s="594">
        <v>6.8486176814714801</v>
      </c>
      <c r="AD63" s="594">
        <v>6.877152658724019</v>
      </c>
      <c r="AE63" s="594">
        <v>6.9056876359765553</v>
      </c>
      <c r="AF63" s="594">
        <v>6.9342226132290943</v>
      </c>
      <c r="AG63" s="594">
        <v>6.9627575904816323</v>
      </c>
      <c r="AH63" s="594">
        <v>6.9912925677341713</v>
      </c>
      <c r="AI63" s="594">
        <v>7.0198275449867085</v>
      </c>
      <c r="AJ63" s="594">
        <v>7.0483625222392465</v>
      </c>
      <c r="AK63" s="594">
        <v>7.0768974994917864</v>
      </c>
      <c r="AL63" s="594"/>
      <c r="AM63" s="594"/>
      <c r="AN63" s="594"/>
      <c r="AO63" s="594"/>
      <c r="AP63" s="594"/>
      <c r="AQ63" s="594"/>
      <c r="AR63" s="594"/>
      <c r="AS63" s="594"/>
      <c r="AT63" s="594"/>
      <c r="AU63" s="594"/>
      <c r="AV63" s="594"/>
      <c r="AW63" s="594"/>
      <c r="AX63" s="594"/>
      <c r="AY63" s="594"/>
      <c r="AZ63" s="594"/>
      <c r="BA63" s="594"/>
      <c r="BB63" s="594"/>
      <c r="BC63" s="594"/>
      <c r="BD63" s="594"/>
      <c r="BE63" s="594"/>
      <c r="BF63" s="594"/>
      <c r="BG63" s="594"/>
      <c r="BH63" s="594"/>
      <c r="BI63" s="594"/>
      <c r="BJ63" s="594"/>
      <c r="BK63" s="594"/>
      <c r="BL63" s="594"/>
      <c r="BM63" s="594"/>
      <c r="BN63" s="594"/>
      <c r="BO63" s="594"/>
      <c r="BP63" s="594"/>
      <c r="BQ63" s="594"/>
      <c r="BR63" s="594"/>
      <c r="BS63" s="594"/>
      <c r="BT63" s="594"/>
      <c r="BU63" s="594"/>
      <c r="BV63" s="594"/>
      <c r="BW63" s="594"/>
      <c r="BX63" s="594"/>
      <c r="BY63" s="594"/>
      <c r="BZ63" s="594"/>
      <c r="CA63" s="594"/>
      <c r="CB63" s="594"/>
      <c r="CC63" s="594"/>
      <c r="CD63" s="594"/>
      <c r="CE63" s="594"/>
      <c r="CF63" s="594"/>
      <c r="CG63" s="594"/>
      <c r="CH63" s="594"/>
      <c r="CI63" s="595"/>
      <c r="CJ63" s="1480">
        <v>8.5036463621186922</v>
      </c>
      <c r="CK63" s="1293"/>
    </row>
    <row r="64" spans="1:89" s="1292" customFormat="1" x14ac:dyDescent="0.2">
      <c r="A64" s="1284"/>
      <c r="B64" s="563" t="s">
        <v>533</v>
      </c>
      <c r="C64" s="564" t="s">
        <v>534</v>
      </c>
      <c r="D64" s="596" t="s">
        <v>86</v>
      </c>
      <c r="E64" s="573" t="s">
        <v>344</v>
      </c>
      <c r="F64" s="574">
        <v>2</v>
      </c>
      <c r="G64" s="597"/>
      <c r="H64" s="597"/>
      <c r="I64" s="597">
        <v>0.19900000000000001</v>
      </c>
      <c r="J64" s="597">
        <v>0.20557287866130006</v>
      </c>
      <c r="K64" s="597">
        <v>0.20321800534188358</v>
      </c>
      <c r="L64" s="597">
        <v>0.12258687303834717</v>
      </c>
      <c r="M64" s="598">
        <v>5.7453979423387862E-2</v>
      </c>
      <c r="N64" s="598">
        <v>5.6067474279234829E-2</v>
      </c>
      <c r="O64" s="598">
        <v>5.4680969135081796E-2</v>
      </c>
      <c r="P64" s="598">
        <v>5.3294463990928763E-2</v>
      </c>
      <c r="Q64" s="598">
        <v>5.190795884677573E-2</v>
      </c>
      <c r="R64" s="598">
        <v>5.052145370262269E-2</v>
      </c>
      <c r="S64" s="598">
        <v>4.9134948558469657E-2</v>
      </c>
      <c r="T64" s="598">
        <v>4.7748443414316631E-2</v>
      </c>
      <c r="U64" s="598">
        <v>4.6361938270163584E-2</v>
      </c>
      <c r="V64" s="598">
        <v>4.6361938270163584E-2</v>
      </c>
      <c r="W64" s="598">
        <v>4.6361938270163584E-2</v>
      </c>
      <c r="X64" s="598">
        <v>4.6361938270163584E-2</v>
      </c>
      <c r="Y64" s="598">
        <v>4.6361938270163584E-2</v>
      </c>
      <c r="Z64" s="598">
        <v>4.6361938270163584E-2</v>
      </c>
      <c r="AA64" s="598">
        <v>4.6361938270163584E-2</v>
      </c>
      <c r="AB64" s="598">
        <v>4.6361938270163584E-2</v>
      </c>
      <c r="AC64" s="598">
        <v>4.6361938270163584E-2</v>
      </c>
      <c r="AD64" s="598">
        <v>4.6361938270163584E-2</v>
      </c>
      <c r="AE64" s="598">
        <v>4.6361938270163584E-2</v>
      </c>
      <c r="AF64" s="598">
        <v>4.6361938270163584E-2</v>
      </c>
      <c r="AG64" s="598">
        <v>4.6361938270163584E-2</v>
      </c>
      <c r="AH64" s="598">
        <v>4.6361938270163584E-2</v>
      </c>
      <c r="AI64" s="598">
        <v>4.6361938270163584E-2</v>
      </c>
      <c r="AJ64" s="598">
        <v>4.6361938270163584E-2</v>
      </c>
      <c r="AK64" s="598">
        <v>4.6361938270163584E-2</v>
      </c>
      <c r="AL64" s="598"/>
      <c r="AM64" s="598"/>
      <c r="AN64" s="598"/>
      <c r="AO64" s="598"/>
      <c r="AP64" s="598"/>
      <c r="AQ64" s="598"/>
      <c r="AR64" s="598"/>
      <c r="AS64" s="598"/>
      <c r="AT64" s="598"/>
      <c r="AU64" s="598"/>
      <c r="AV64" s="598"/>
      <c r="AW64" s="598"/>
      <c r="AX64" s="598"/>
      <c r="AY64" s="598"/>
      <c r="AZ64" s="598"/>
      <c r="BA64" s="598"/>
      <c r="BB64" s="598"/>
      <c r="BC64" s="598"/>
      <c r="BD64" s="598"/>
      <c r="BE64" s="598"/>
      <c r="BF64" s="598"/>
      <c r="BG64" s="598"/>
      <c r="BH64" s="598"/>
      <c r="BI64" s="598"/>
      <c r="BJ64" s="598"/>
      <c r="BK64" s="598"/>
      <c r="BL64" s="598"/>
      <c r="BM64" s="598"/>
      <c r="BN64" s="598"/>
      <c r="BO64" s="598"/>
      <c r="BP64" s="598"/>
      <c r="BQ64" s="598"/>
      <c r="BR64" s="598"/>
      <c r="BS64" s="598"/>
      <c r="BT64" s="598"/>
      <c r="BU64" s="598"/>
      <c r="BV64" s="598"/>
      <c r="BW64" s="598"/>
      <c r="BX64" s="598"/>
      <c r="BY64" s="598"/>
      <c r="BZ64" s="598"/>
      <c r="CA64" s="598"/>
      <c r="CB64" s="598"/>
      <c r="CC64" s="598"/>
      <c r="CD64" s="598"/>
      <c r="CE64" s="598"/>
      <c r="CF64" s="598"/>
      <c r="CG64" s="598"/>
      <c r="CH64" s="598"/>
      <c r="CI64" s="599"/>
      <c r="CJ64" s="1481">
        <v>4.6361938270163584E-2</v>
      </c>
      <c r="CK64" s="1293"/>
    </row>
    <row r="65" spans="1:89" s="1292" customFormat="1" x14ac:dyDescent="0.2">
      <c r="A65" s="1284"/>
      <c r="B65" s="600" t="s">
        <v>535</v>
      </c>
      <c r="C65" s="601" t="s">
        <v>536</v>
      </c>
      <c r="D65" s="596" t="s">
        <v>86</v>
      </c>
      <c r="E65" s="573" t="s">
        <v>344</v>
      </c>
      <c r="F65" s="574">
        <v>2</v>
      </c>
      <c r="G65" s="597"/>
      <c r="H65" s="597"/>
      <c r="I65" s="597">
        <v>1.1990000000000001</v>
      </c>
      <c r="J65" s="597">
        <v>1.0715058907424664</v>
      </c>
      <c r="K65" s="597">
        <v>1.0751217938942144</v>
      </c>
      <c r="L65" s="597">
        <v>1.0560621144608044</v>
      </c>
      <c r="M65" s="598">
        <v>0.97117674972012147</v>
      </c>
      <c r="N65" s="598">
        <v>0.97532547125533076</v>
      </c>
      <c r="O65" s="598">
        <v>0.97947419279053993</v>
      </c>
      <c r="P65" s="598">
        <v>0.98362291432574944</v>
      </c>
      <c r="Q65" s="598">
        <v>0.98777163586095873</v>
      </c>
      <c r="R65" s="598">
        <v>0.99192035739616824</v>
      </c>
      <c r="S65" s="598">
        <v>0.99606907893137753</v>
      </c>
      <c r="T65" s="598">
        <v>1.0002178004665871</v>
      </c>
      <c r="U65" s="598">
        <v>1.0043665220017965</v>
      </c>
      <c r="V65" s="598">
        <v>1.0086692996641338</v>
      </c>
      <c r="W65" s="598">
        <v>1.0129720773264712</v>
      </c>
      <c r="X65" s="598">
        <v>1.0172748549888087</v>
      </c>
      <c r="Y65" s="598">
        <v>1.0215776326511461</v>
      </c>
      <c r="Z65" s="598">
        <v>1.0258804103134835</v>
      </c>
      <c r="AA65" s="598">
        <v>1.030183187975821</v>
      </c>
      <c r="AB65" s="598">
        <v>1.0344859656381586</v>
      </c>
      <c r="AC65" s="598">
        <v>1.0387887433004961</v>
      </c>
      <c r="AD65" s="598">
        <v>1.0430915209628335</v>
      </c>
      <c r="AE65" s="598">
        <v>1.047394298625171</v>
      </c>
      <c r="AF65" s="598">
        <v>1.0516970762875084</v>
      </c>
      <c r="AG65" s="598">
        <v>1.0559998539498459</v>
      </c>
      <c r="AH65" s="598">
        <v>1.0603026316121831</v>
      </c>
      <c r="AI65" s="598">
        <v>1.0646054092745207</v>
      </c>
      <c r="AJ65" s="598">
        <v>1.0689081869368582</v>
      </c>
      <c r="AK65" s="598">
        <v>1.0732109645991956</v>
      </c>
      <c r="AL65" s="598"/>
      <c r="AM65" s="598"/>
      <c r="AN65" s="598"/>
      <c r="AO65" s="598"/>
      <c r="AP65" s="598"/>
      <c r="AQ65" s="598"/>
      <c r="AR65" s="598"/>
      <c r="AS65" s="598"/>
      <c r="AT65" s="598"/>
      <c r="AU65" s="598"/>
      <c r="AV65" s="598"/>
      <c r="AW65" s="598"/>
      <c r="AX65" s="598"/>
      <c r="AY65" s="598"/>
      <c r="AZ65" s="598"/>
      <c r="BA65" s="598"/>
      <c r="BB65" s="598"/>
      <c r="BC65" s="598"/>
      <c r="BD65" s="598"/>
      <c r="BE65" s="598"/>
      <c r="BF65" s="598"/>
      <c r="BG65" s="598"/>
      <c r="BH65" s="598"/>
      <c r="BI65" s="598"/>
      <c r="BJ65" s="598"/>
      <c r="BK65" s="598"/>
      <c r="BL65" s="598"/>
      <c r="BM65" s="598"/>
      <c r="BN65" s="598"/>
      <c r="BO65" s="598"/>
      <c r="BP65" s="598"/>
      <c r="BQ65" s="598"/>
      <c r="BR65" s="598"/>
      <c r="BS65" s="598"/>
      <c r="BT65" s="598"/>
      <c r="BU65" s="598"/>
      <c r="BV65" s="598"/>
      <c r="BW65" s="598"/>
      <c r="BX65" s="598"/>
      <c r="BY65" s="598"/>
      <c r="BZ65" s="598"/>
      <c r="CA65" s="598"/>
      <c r="CB65" s="598"/>
      <c r="CC65" s="598"/>
      <c r="CD65" s="598"/>
      <c r="CE65" s="598"/>
      <c r="CF65" s="598"/>
      <c r="CG65" s="598"/>
      <c r="CH65" s="598"/>
      <c r="CI65" s="599"/>
      <c r="CJ65" s="1481">
        <v>1.2883498477160686</v>
      </c>
      <c r="CK65" s="1293"/>
    </row>
    <row r="66" spans="1:89" s="1292" customFormat="1" ht="28.5" x14ac:dyDescent="0.2">
      <c r="A66" s="1284"/>
      <c r="B66" s="600" t="s">
        <v>537</v>
      </c>
      <c r="C66" s="601" t="s">
        <v>538</v>
      </c>
      <c r="D66" s="602" t="s">
        <v>539</v>
      </c>
      <c r="E66" s="603" t="s">
        <v>344</v>
      </c>
      <c r="F66" s="604">
        <v>2</v>
      </c>
      <c r="G66" s="597"/>
      <c r="H66" s="597"/>
      <c r="I66" s="597">
        <v>66.096000000000004</v>
      </c>
      <c r="J66" s="552">
        <f t="shared" ref="J66:L66" si="9">I66+SUM(J67:J72)</f>
        <v>66.826625834473973</v>
      </c>
      <c r="K66" s="552">
        <f t="shared" si="9"/>
        <v>68.338795487888873</v>
      </c>
      <c r="L66" s="552">
        <f t="shared" si="9"/>
        <v>70.369334615768921</v>
      </c>
      <c r="M66" s="552">
        <f t="shared" ref="M66" si="10">L66+SUM(M67:M72)</f>
        <v>74.013571043018345</v>
      </c>
      <c r="N66" s="552">
        <f t="shared" ref="N66" si="11">M66+SUM(N67:N72)</f>
        <v>77.217958275216787</v>
      </c>
      <c r="O66" s="552">
        <f t="shared" ref="O66" si="12">N66+SUM(O67:O72)</f>
        <v>78.661232763114413</v>
      </c>
      <c r="P66" s="552">
        <f t="shared" ref="P66" si="13">O66+SUM(P67:P72)</f>
        <v>80.013779477011198</v>
      </c>
      <c r="Q66" s="552">
        <f t="shared" ref="Q66" si="14">P66+SUM(Q67:Q72)</f>
        <v>81.278303078147033</v>
      </c>
      <c r="R66" s="552">
        <f t="shared" ref="R66" si="15">Q66+SUM(R67:R72)</f>
        <v>82.236709479109578</v>
      </c>
      <c r="S66" s="552">
        <f t="shared" ref="S66" si="16">R66+SUM(S67:S72)</f>
        <v>82.91014081380834</v>
      </c>
      <c r="T66" s="552">
        <f t="shared" ref="T66" si="17">S66+SUM(T67:T72)</f>
        <v>83.576803338409164</v>
      </c>
      <c r="U66" s="552">
        <f t="shared" ref="U66" si="18">T66+SUM(U67:U72)</f>
        <v>84.237096815910434</v>
      </c>
      <c r="V66" s="552">
        <f t="shared" ref="V66" si="19">U66+SUM(V67:V72)</f>
        <v>84.891399897537241</v>
      </c>
      <c r="W66" s="552">
        <f t="shared" ref="W66" si="20">V66+SUM(W67:W72)</f>
        <v>85.539994708181965</v>
      </c>
      <c r="X66" s="552">
        <f t="shared" ref="X66" si="21">W66+SUM(X67:X72)</f>
        <v>86.182059177551395</v>
      </c>
      <c r="Y66" s="552">
        <f t="shared" ref="Y66" si="22">X66+SUM(Y67:Y72)</f>
        <v>86.818035458127881</v>
      </c>
      <c r="Z66" s="552">
        <f t="shared" ref="Z66" si="23">Y66+SUM(Z67:Z72)</f>
        <v>87.44728080483462</v>
      </c>
      <c r="AA66" s="552">
        <f t="shared" ref="AA66" si="24">Z66+SUM(AA67:AA72)</f>
        <v>88.062732190867408</v>
      </c>
      <c r="AB66" s="552">
        <f t="shared" ref="AB66" si="25">AA66+SUM(AB67:AB72)</f>
        <v>88.671370414774074</v>
      </c>
      <c r="AC66" s="552">
        <f t="shared" ref="AC66" si="26">AB66+SUM(AC67:AC72)</f>
        <v>89.273747483878765</v>
      </c>
      <c r="AD66" s="552">
        <f t="shared" ref="AD66" si="27">AC66+SUM(AD67:AD72)</f>
        <v>89.869908787690946</v>
      </c>
      <c r="AE66" s="552">
        <f t="shared" ref="AE66" si="28">AD66+SUM(AE67:AE72)</f>
        <v>90.460134462426069</v>
      </c>
      <c r="AF66" s="552">
        <f t="shared" ref="AF66" si="29">AE66+SUM(AF67:AF72)</f>
        <v>91.044015440633103</v>
      </c>
      <c r="AG66" s="552">
        <f t="shared" ref="AG66" si="30">AF66+SUM(AG67:AG72)</f>
        <v>91.621537442792558</v>
      </c>
      <c r="AH66" s="552">
        <f t="shared" ref="AH66" si="31">AG66+SUM(AH67:AH72)</f>
        <v>92.192781380432024</v>
      </c>
      <c r="AI66" s="552">
        <f t="shared" ref="AI66" si="32">AH66+SUM(AI67:AI72)</f>
        <v>92.757579362464242</v>
      </c>
      <c r="AJ66" s="552">
        <f t="shared" ref="AJ66" si="33">AI66+SUM(AJ67:AJ72)</f>
        <v>93.315283871838133</v>
      </c>
      <c r="AK66" s="552">
        <f t="shared" ref="AK66" si="34">AJ66+SUM(AK67:AK72)</f>
        <v>93.866071495727482</v>
      </c>
      <c r="AL66" s="552"/>
      <c r="AM66" s="552"/>
      <c r="AN66" s="552"/>
      <c r="AO66" s="552"/>
      <c r="AP66" s="552"/>
      <c r="AQ66" s="552"/>
      <c r="AR66" s="552"/>
      <c r="AS66" s="552"/>
      <c r="AT66" s="552"/>
      <c r="AU66" s="552"/>
      <c r="AV66" s="552"/>
      <c r="AW66" s="552"/>
      <c r="AX66" s="552"/>
      <c r="AY66" s="552"/>
      <c r="AZ66" s="552"/>
      <c r="BA66" s="552"/>
      <c r="BB66" s="552"/>
      <c r="BC66" s="552"/>
      <c r="BD66" s="552"/>
      <c r="BE66" s="552"/>
      <c r="BF66" s="552"/>
      <c r="BG66" s="552"/>
      <c r="BH66" s="552"/>
      <c r="BI66" s="552"/>
      <c r="BJ66" s="552"/>
      <c r="BK66" s="552"/>
      <c r="BL66" s="552"/>
      <c r="BM66" s="552"/>
      <c r="BN66" s="552"/>
      <c r="BO66" s="552"/>
      <c r="BP66" s="552"/>
      <c r="BQ66" s="552"/>
      <c r="BR66" s="552"/>
      <c r="BS66" s="552"/>
      <c r="BT66" s="552"/>
      <c r="BU66" s="552"/>
      <c r="BV66" s="552"/>
      <c r="BW66" s="552"/>
      <c r="BX66" s="552"/>
      <c r="BY66" s="552"/>
      <c r="BZ66" s="552"/>
      <c r="CA66" s="552"/>
      <c r="CB66" s="552"/>
      <c r="CC66" s="552"/>
      <c r="CD66" s="552"/>
      <c r="CE66" s="552"/>
      <c r="CF66" s="552"/>
      <c r="CG66" s="552"/>
      <c r="CH66" s="552"/>
      <c r="CI66" s="548"/>
      <c r="CJ66" s="1479"/>
      <c r="CK66" s="1293"/>
    </row>
    <row r="67" spans="1:89" s="1292" customFormat="1" x14ac:dyDescent="0.2">
      <c r="A67" s="1284"/>
      <c r="B67" s="600" t="s">
        <v>540</v>
      </c>
      <c r="C67" s="601" t="s">
        <v>541</v>
      </c>
      <c r="D67" s="602" t="s">
        <v>542</v>
      </c>
      <c r="E67" s="603" t="s">
        <v>344</v>
      </c>
      <c r="F67" s="604">
        <v>2</v>
      </c>
      <c r="G67" s="597"/>
      <c r="H67" s="597"/>
      <c r="I67" s="597">
        <v>0.42699999999999999</v>
      </c>
      <c r="J67" s="597">
        <v>0.48688780049825436</v>
      </c>
      <c r="K67" s="597">
        <v>1.2295706409975247</v>
      </c>
      <c r="L67" s="597">
        <v>1.1194672742417315</v>
      </c>
      <c r="M67" s="598">
        <v>1.1503983206225092</v>
      </c>
      <c r="N67" s="598">
        <v>1.0326793054495065</v>
      </c>
      <c r="O67" s="598">
        <v>0.88166889654174152</v>
      </c>
      <c r="P67" s="598">
        <v>0.78832755269874177</v>
      </c>
      <c r="Q67" s="598">
        <v>0.69919436293649784</v>
      </c>
      <c r="R67" s="598">
        <v>0.67067344885074998</v>
      </c>
      <c r="S67" s="598">
        <v>0.66395618639375609</v>
      </c>
      <c r="T67" s="598">
        <v>0.6569858013547637</v>
      </c>
      <c r="U67" s="598">
        <v>0.65042263415247725</v>
      </c>
      <c r="V67" s="598">
        <v>0.64424846366225397</v>
      </c>
      <c r="W67" s="598">
        <v>0.63836643459500919</v>
      </c>
      <c r="X67" s="598">
        <v>0.6316360990207468</v>
      </c>
      <c r="Y67" s="598">
        <v>0.62536470498675767</v>
      </c>
      <c r="Z67" s="598">
        <v>0.61843367217523337</v>
      </c>
      <c r="AA67" s="598">
        <v>0.61191929456674554</v>
      </c>
      <c r="AB67" s="598">
        <v>0.60489963992676343</v>
      </c>
      <c r="AC67" s="598">
        <v>0.59845337435124379</v>
      </c>
      <c r="AD67" s="598">
        <v>0.59205163868849919</v>
      </c>
      <c r="AE67" s="598">
        <v>0.58593391473325029</v>
      </c>
      <c r="AF67" s="598">
        <v>0.57939662432348993</v>
      </c>
      <c r="AG67" s="598">
        <v>0.57284443561901566</v>
      </c>
      <c r="AH67" s="598">
        <v>0.56637737045774705</v>
      </c>
      <c r="AI67" s="598">
        <v>0.55973880560000544</v>
      </c>
      <c r="AJ67" s="598">
        <v>0.55243201133050024</v>
      </c>
      <c r="AK67" s="598">
        <v>0.54530585798399989</v>
      </c>
      <c r="AL67" s="598"/>
      <c r="AM67" s="598"/>
      <c r="AN67" s="598"/>
      <c r="AO67" s="598"/>
      <c r="AP67" s="598"/>
      <c r="AQ67" s="598"/>
      <c r="AR67" s="598"/>
      <c r="AS67" s="598"/>
      <c r="AT67" s="598"/>
      <c r="AU67" s="598"/>
      <c r="AV67" s="598"/>
      <c r="AW67" s="598"/>
      <c r="AX67" s="598"/>
      <c r="AY67" s="598"/>
      <c r="AZ67" s="598"/>
      <c r="BA67" s="598"/>
      <c r="BB67" s="598"/>
      <c r="BC67" s="598"/>
      <c r="BD67" s="598"/>
      <c r="BE67" s="598"/>
      <c r="BF67" s="598"/>
      <c r="BG67" s="598"/>
      <c r="BH67" s="598"/>
      <c r="BI67" s="598"/>
      <c r="BJ67" s="598"/>
      <c r="BK67" s="598"/>
      <c r="BL67" s="598"/>
      <c r="BM67" s="598"/>
      <c r="BN67" s="598"/>
      <c r="BO67" s="598"/>
      <c r="BP67" s="598"/>
      <c r="BQ67" s="598"/>
      <c r="BR67" s="598"/>
      <c r="BS67" s="598"/>
      <c r="BT67" s="598"/>
      <c r="BU67" s="598"/>
      <c r="BV67" s="598"/>
      <c r="BW67" s="598"/>
      <c r="BX67" s="598"/>
      <c r="BY67" s="598"/>
      <c r="BZ67" s="598"/>
      <c r="CA67" s="598"/>
      <c r="CB67" s="598"/>
      <c r="CC67" s="598"/>
      <c r="CD67" s="598"/>
      <c r="CE67" s="598"/>
      <c r="CF67" s="598"/>
      <c r="CG67" s="598"/>
      <c r="CH67" s="598"/>
      <c r="CI67" s="599"/>
      <c r="CJ67" s="1479"/>
      <c r="CK67" s="1293"/>
    </row>
    <row r="68" spans="1:89" s="1292" customFormat="1" x14ac:dyDescent="0.2">
      <c r="A68" s="1284"/>
      <c r="B68" s="600" t="s">
        <v>543</v>
      </c>
      <c r="C68" s="601" t="s">
        <v>544</v>
      </c>
      <c r="D68" s="602" t="s">
        <v>545</v>
      </c>
      <c r="E68" s="603" t="s">
        <v>344</v>
      </c>
      <c r="F68" s="604">
        <v>2</v>
      </c>
      <c r="G68" s="597"/>
      <c r="H68" s="597"/>
      <c r="I68" s="597">
        <v>0</v>
      </c>
      <c r="J68" s="597">
        <v>0.27817138937187569</v>
      </c>
      <c r="K68" s="597">
        <v>0.33800000000000002</v>
      </c>
      <c r="L68" s="597">
        <v>0.98350000000000004</v>
      </c>
      <c r="M68" s="598">
        <v>2.6174184272398326</v>
      </c>
      <c r="N68" s="598">
        <v>2.2800306814960565</v>
      </c>
      <c r="O68" s="598">
        <v>0.61622450851244759</v>
      </c>
      <c r="P68" s="598">
        <v>0.61622450851244759</v>
      </c>
      <c r="Q68" s="598">
        <v>0.61622450851244759</v>
      </c>
      <c r="R68" s="598">
        <v>0.3292949717363392</v>
      </c>
      <c r="S68" s="598">
        <v>4.2365434960230777E-2</v>
      </c>
      <c r="T68" s="598">
        <v>4.2365434960230777E-2</v>
      </c>
      <c r="U68" s="598">
        <v>4.2365434960230777E-2</v>
      </c>
      <c r="V68" s="598">
        <v>4.2365434960230777E-2</v>
      </c>
      <c r="W68" s="598">
        <v>4.2365434960230777E-2</v>
      </c>
      <c r="X68" s="598">
        <v>4.2365434960230777E-2</v>
      </c>
      <c r="Y68" s="598">
        <v>4.2365434960230777E-2</v>
      </c>
      <c r="Z68" s="598">
        <v>4.2365434960230777E-2</v>
      </c>
      <c r="AA68" s="598">
        <v>4.2365434960230777E-2</v>
      </c>
      <c r="AB68" s="598">
        <v>4.2365434960230777E-2</v>
      </c>
      <c r="AC68" s="598">
        <v>4.2365434960230777E-2</v>
      </c>
      <c r="AD68" s="598">
        <v>4.2365434960230777E-2</v>
      </c>
      <c r="AE68" s="598">
        <v>4.2365434960230777E-2</v>
      </c>
      <c r="AF68" s="598">
        <v>4.2365434960230777E-2</v>
      </c>
      <c r="AG68" s="598">
        <v>4.2365434960230777E-2</v>
      </c>
      <c r="AH68" s="598">
        <v>4.2365434960230777E-2</v>
      </c>
      <c r="AI68" s="598">
        <v>4.2365434960230777E-2</v>
      </c>
      <c r="AJ68" s="598">
        <v>4.2365434960230777E-2</v>
      </c>
      <c r="AK68" s="598">
        <v>4.2365434960230777E-2</v>
      </c>
      <c r="AL68" s="598"/>
      <c r="AM68" s="598"/>
      <c r="AN68" s="598"/>
      <c r="AO68" s="598"/>
      <c r="AP68" s="598"/>
      <c r="AQ68" s="598"/>
      <c r="AR68" s="598"/>
      <c r="AS68" s="598"/>
      <c r="AT68" s="598"/>
      <c r="AU68" s="598"/>
      <c r="AV68" s="598"/>
      <c r="AW68" s="598"/>
      <c r="AX68" s="598"/>
      <c r="AY68" s="598"/>
      <c r="AZ68" s="598"/>
      <c r="BA68" s="598"/>
      <c r="BB68" s="598"/>
      <c r="BC68" s="598"/>
      <c r="BD68" s="598"/>
      <c r="BE68" s="598"/>
      <c r="BF68" s="598"/>
      <c r="BG68" s="598"/>
      <c r="BH68" s="598"/>
      <c r="BI68" s="598"/>
      <c r="BJ68" s="598"/>
      <c r="BK68" s="598"/>
      <c r="BL68" s="598"/>
      <c r="BM68" s="598"/>
      <c r="BN68" s="598"/>
      <c r="BO68" s="598"/>
      <c r="BP68" s="598"/>
      <c r="BQ68" s="598"/>
      <c r="BR68" s="598"/>
      <c r="BS68" s="598"/>
      <c r="BT68" s="598"/>
      <c r="BU68" s="598"/>
      <c r="BV68" s="598"/>
      <c r="BW68" s="598"/>
      <c r="BX68" s="598"/>
      <c r="BY68" s="598"/>
      <c r="BZ68" s="598"/>
      <c r="CA68" s="598"/>
      <c r="CB68" s="598"/>
      <c r="CC68" s="598"/>
      <c r="CD68" s="598"/>
      <c r="CE68" s="598"/>
      <c r="CF68" s="598"/>
      <c r="CG68" s="598"/>
      <c r="CH68" s="598"/>
      <c r="CI68" s="599"/>
      <c r="CJ68" s="1479"/>
      <c r="CK68" s="1293"/>
    </row>
    <row r="69" spans="1:89" s="1292" customFormat="1" x14ac:dyDescent="0.2">
      <c r="A69" s="1284"/>
      <c r="B69" s="600" t="s">
        <v>546</v>
      </c>
      <c r="C69" s="601" t="s">
        <v>547</v>
      </c>
      <c r="D69" s="602" t="s">
        <v>548</v>
      </c>
      <c r="E69" s="603" t="s">
        <v>344</v>
      </c>
      <c r="F69" s="604">
        <v>2</v>
      </c>
      <c r="G69" s="597"/>
      <c r="H69" s="597"/>
      <c r="I69" s="597">
        <v>0</v>
      </c>
      <c r="J69" s="597">
        <v>0</v>
      </c>
      <c r="K69" s="597">
        <v>0</v>
      </c>
      <c r="L69" s="597">
        <v>0</v>
      </c>
      <c r="M69" s="598">
        <v>0</v>
      </c>
      <c r="N69" s="598">
        <v>3.0000000000000001E-3</v>
      </c>
      <c r="O69" s="598">
        <v>3.0000000000000001E-3</v>
      </c>
      <c r="P69" s="598">
        <v>3.0000000000000001E-3</v>
      </c>
      <c r="Q69" s="598">
        <v>3.0000000000000001E-3</v>
      </c>
      <c r="R69" s="598">
        <v>3.0000000000000001E-3</v>
      </c>
      <c r="S69" s="598">
        <v>3.0000000000000001E-3</v>
      </c>
      <c r="T69" s="598">
        <v>3.0000000000000001E-3</v>
      </c>
      <c r="U69" s="598">
        <v>3.0000000000000001E-3</v>
      </c>
      <c r="V69" s="598">
        <v>3.0000000000000001E-3</v>
      </c>
      <c r="W69" s="598">
        <v>3.0000000000000001E-3</v>
      </c>
      <c r="X69" s="598">
        <v>3.0000000000000001E-3</v>
      </c>
      <c r="Y69" s="598">
        <v>3.0000000000000001E-3</v>
      </c>
      <c r="Z69" s="598">
        <v>3.0000000000000001E-3</v>
      </c>
      <c r="AA69" s="598">
        <v>3.0000000000000001E-3</v>
      </c>
      <c r="AB69" s="598">
        <v>3.0000000000000001E-3</v>
      </c>
      <c r="AC69" s="598">
        <v>3.0000000000000001E-3</v>
      </c>
      <c r="AD69" s="598">
        <v>3.0000000000000001E-3</v>
      </c>
      <c r="AE69" s="598">
        <v>3.0000000000000001E-3</v>
      </c>
      <c r="AF69" s="598">
        <v>3.0000000000000001E-3</v>
      </c>
      <c r="AG69" s="598">
        <v>3.0000000000000001E-3</v>
      </c>
      <c r="AH69" s="598">
        <v>3.0000000000000001E-3</v>
      </c>
      <c r="AI69" s="598">
        <v>3.0000000000000001E-3</v>
      </c>
      <c r="AJ69" s="598">
        <v>3.0000000000000001E-3</v>
      </c>
      <c r="AK69" s="598">
        <v>3.0000000000000001E-3</v>
      </c>
      <c r="AL69" s="598"/>
      <c r="AM69" s="598"/>
      <c r="AN69" s="598"/>
      <c r="AO69" s="598"/>
      <c r="AP69" s="598"/>
      <c r="AQ69" s="598"/>
      <c r="AR69" s="598"/>
      <c r="AS69" s="598"/>
      <c r="AT69" s="598"/>
      <c r="AU69" s="598"/>
      <c r="AV69" s="598"/>
      <c r="AW69" s="598"/>
      <c r="AX69" s="598"/>
      <c r="AY69" s="598"/>
      <c r="AZ69" s="598"/>
      <c r="BA69" s="598"/>
      <c r="BB69" s="598"/>
      <c r="BC69" s="598"/>
      <c r="BD69" s="598"/>
      <c r="BE69" s="598"/>
      <c r="BF69" s="598"/>
      <c r="BG69" s="598"/>
      <c r="BH69" s="598"/>
      <c r="BI69" s="598"/>
      <c r="BJ69" s="598"/>
      <c r="BK69" s="598"/>
      <c r="BL69" s="598"/>
      <c r="BM69" s="598"/>
      <c r="BN69" s="598"/>
      <c r="BO69" s="598"/>
      <c r="BP69" s="598"/>
      <c r="BQ69" s="598"/>
      <c r="BR69" s="598"/>
      <c r="BS69" s="598"/>
      <c r="BT69" s="598"/>
      <c r="BU69" s="598"/>
      <c r="BV69" s="598"/>
      <c r="BW69" s="598"/>
      <c r="BX69" s="598"/>
      <c r="BY69" s="598"/>
      <c r="BZ69" s="598"/>
      <c r="CA69" s="598"/>
      <c r="CB69" s="598"/>
      <c r="CC69" s="598"/>
      <c r="CD69" s="598"/>
      <c r="CE69" s="598"/>
      <c r="CF69" s="598"/>
      <c r="CG69" s="598"/>
      <c r="CH69" s="598"/>
      <c r="CI69" s="599"/>
      <c r="CJ69" s="1479"/>
      <c r="CK69" s="1293"/>
    </row>
    <row r="70" spans="1:89" s="1292" customFormat="1" ht="28.5" x14ac:dyDescent="0.2">
      <c r="A70" s="1284"/>
      <c r="B70" s="600" t="s">
        <v>549</v>
      </c>
      <c r="C70" s="601" t="s">
        <v>550</v>
      </c>
      <c r="D70" s="602" t="s">
        <v>551</v>
      </c>
      <c r="E70" s="603" t="s">
        <v>344</v>
      </c>
      <c r="F70" s="604">
        <v>2</v>
      </c>
      <c r="G70" s="597"/>
      <c r="H70" s="597"/>
      <c r="I70" s="597">
        <v>0</v>
      </c>
      <c r="J70" s="597">
        <v>0</v>
      </c>
      <c r="K70" s="597">
        <v>0</v>
      </c>
      <c r="L70" s="597">
        <v>0</v>
      </c>
      <c r="M70" s="598">
        <v>0</v>
      </c>
      <c r="N70" s="598">
        <v>0</v>
      </c>
      <c r="O70" s="598">
        <v>0</v>
      </c>
      <c r="P70" s="598">
        <v>0</v>
      </c>
      <c r="Q70" s="598">
        <v>0</v>
      </c>
      <c r="R70" s="598">
        <v>0</v>
      </c>
      <c r="S70" s="598">
        <v>0</v>
      </c>
      <c r="T70" s="598">
        <v>0</v>
      </c>
      <c r="U70" s="598">
        <v>0</v>
      </c>
      <c r="V70" s="598">
        <v>0</v>
      </c>
      <c r="W70" s="598">
        <v>0</v>
      </c>
      <c r="X70" s="598">
        <v>0</v>
      </c>
      <c r="Y70" s="598">
        <v>0</v>
      </c>
      <c r="Z70" s="598">
        <v>0</v>
      </c>
      <c r="AA70" s="598">
        <v>0</v>
      </c>
      <c r="AB70" s="598">
        <v>0</v>
      </c>
      <c r="AC70" s="598">
        <v>0</v>
      </c>
      <c r="AD70" s="598">
        <v>0</v>
      </c>
      <c r="AE70" s="598">
        <v>0</v>
      </c>
      <c r="AF70" s="598">
        <v>0</v>
      </c>
      <c r="AG70" s="598">
        <v>0</v>
      </c>
      <c r="AH70" s="598">
        <v>0</v>
      </c>
      <c r="AI70" s="598">
        <v>0</v>
      </c>
      <c r="AJ70" s="598">
        <v>0</v>
      </c>
      <c r="AK70" s="598">
        <v>0</v>
      </c>
      <c r="AL70" s="598"/>
      <c r="AM70" s="598"/>
      <c r="AN70" s="598"/>
      <c r="AO70" s="598"/>
      <c r="AP70" s="598"/>
      <c r="AQ70" s="598"/>
      <c r="AR70" s="598"/>
      <c r="AS70" s="598"/>
      <c r="AT70" s="598"/>
      <c r="AU70" s="598"/>
      <c r="AV70" s="598"/>
      <c r="AW70" s="598"/>
      <c r="AX70" s="598"/>
      <c r="AY70" s="598"/>
      <c r="AZ70" s="598"/>
      <c r="BA70" s="598"/>
      <c r="BB70" s="598"/>
      <c r="BC70" s="598"/>
      <c r="BD70" s="598"/>
      <c r="BE70" s="598"/>
      <c r="BF70" s="598"/>
      <c r="BG70" s="598"/>
      <c r="BH70" s="598"/>
      <c r="BI70" s="598"/>
      <c r="BJ70" s="598"/>
      <c r="BK70" s="598"/>
      <c r="BL70" s="598"/>
      <c r="BM70" s="598"/>
      <c r="BN70" s="598"/>
      <c r="BO70" s="598"/>
      <c r="BP70" s="598"/>
      <c r="BQ70" s="598"/>
      <c r="BR70" s="598"/>
      <c r="BS70" s="598"/>
      <c r="BT70" s="598"/>
      <c r="BU70" s="598"/>
      <c r="BV70" s="598"/>
      <c r="BW70" s="598"/>
      <c r="BX70" s="598"/>
      <c r="BY70" s="598"/>
      <c r="BZ70" s="598"/>
      <c r="CA70" s="598"/>
      <c r="CB70" s="598"/>
      <c r="CC70" s="598"/>
      <c r="CD70" s="598"/>
      <c r="CE70" s="598"/>
      <c r="CF70" s="598"/>
      <c r="CG70" s="598"/>
      <c r="CH70" s="598"/>
      <c r="CI70" s="599"/>
      <c r="CJ70" s="1479"/>
      <c r="CK70" s="1293"/>
    </row>
    <row r="71" spans="1:89" s="1292" customFormat="1" x14ac:dyDescent="0.2">
      <c r="A71" s="1284"/>
      <c r="B71" s="600" t="s">
        <v>552</v>
      </c>
      <c r="C71" s="601" t="s">
        <v>553</v>
      </c>
      <c r="D71" s="602" t="s">
        <v>554</v>
      </c>
      <c r="E71" s="603" t="s">
        <v>344</v>
      </c>
      <c r="F71" s="604">
        <v>2</v>
      </c>
      <c r="G71" s="597"/>
      <c r="H71" s="597"/>
      <c r="I71" s="597">
        <v>0</v>
      </c>
      <c r="J71" s="597">
        <v>1.155E-3</v>
      </c>
      <c r="K71" s="597">
        <v>2.31E-3</v>
      </c>
      <c r="L71" s="597">
        <v>1.1549999999999976E-3</v>
      </c>
      <c r="M71" s="598">
        <v>1.5E-3</v>
      </c>
      <c r="N71" s="598">
        <v>3.0000000000000001E-3</v>
      </c>
      <c r="O71" s="598">
        <v>3.0000000000000001E-3</v>
      </c>
      <c r="P71" s="598">
        <v>3.0000000000000001E-3</v>
      </c>
      <c r="Q71" s="598">
        <v>3.0000000000000001E-3</v>
      </c>
      <c r="R71" s="598">
        <v>3.0000000000000001E-3</v>
      </c>
      <c r="S71" s="598">
        <v>3.0000000000000001E-3</v>
      </c>
      <c r="T71" s="598">
        <v>3.0000000000000001E-3</v>
      </c>
      <c r="U71" s="598">
        <v>3.0000000000000001E-3</v>
      </c>
      <c r="V71" s="598">
        <v>3.0000000000000001E-3</v>
      </c>
      <c r="W71" s="598">
        <v>3.0000000000000001E-3</v>
      </c>
      <c r="X71" s="598">
        <v>3.0000000000000001E-3</v>
      </c>
      <c r="Y71" s="598">
        <v>3.0000000000000001E-3</v>
      </c>
      <c r="Z71" s="598">
        <v>3.0000000000000001E-3</v>
      </c>
      <c r="AA71" s="598">
        <v>3.0000000000000001E-3</v>
      </c>
      <c r="AB71" s="598">
        <v>3.0000000000000001E-3</v>
      </c>
      <c r="AC71" s="598">
        <v>3.0000000000000001E-3</v>
      </c>
      <c r="AD71" s="598">
        <v>3.0000000000000001E-3</v>
      </c>
      <c r="AE71" s="598">
        <v>3.0000000000000001E-3</v>
      </c>
      <c r="AF71" s="598">
        <v>3.0000000000000001E-3</v>
      </c>
      <c r="AG71" s="598">
        <v>3.0000000000000001E-3</v>
      </c>
      <c r="AH71" s="598">
        <v>3.0000000000000001E-3</v>
      </c>
      <c r="AI71" s="598">
        <v>3.0000000000000001E-3</v>
      </c>
      <c r="AJ71" s="598">
        <v>3.0000000000000001E-3</v>
      </c>
      <c r="AK71" s="598">
        <v>3.0000000000000001E-3</v>
      </c>
      <c r="AL71" s="598"/>
      <c r="AM71" s="598"/>
      <c r="AN71" s="598"/>
      <c r="AO71" s="598"/>
      <c r="AP71" s="598"/>
      <c r="AQ71" s="598"/>
      <c r="AR71" s="598"/>
      <c r="AS71" s="598"/>
      <c r="AT71" s="598"/>
      <c r="AU71" s="598"/>
      <c r="AV71" s="598"/>
      <c r="AW71" s="598"/>
      <c r="AX71" s="598"/>
      <c r="AY71" s="598"/>
      <c r="AZ71" s="598"/>
      <c r="BA71" s="598"/>
      <c r="BB71" s="598"/>
      <c r="BC71" s="598"/>
      <c r="BD71" s="598"/>
      <c r="BE71" s="598"/>
      <c r="BF71" s="598"/>
      <c r="BG71" s="598"/>
      <c r="BH71" s="598"/>
      <c r="BI71" s="598"/>
      <c r="BJ71" s="598"/>
      <c r="BK71" s="598"/>
      <c r="BL71" s="598"/>
      <c r="BM71" s="598"/>
      <c r="BN71" s="598"/>
      <c r="BO71" s="598"/>
      <c r="BP71" s="598"/>
      <c r="BQ71" s="598"/>
      <c r="BR71" s="598"/>
      <c r="BS71" s="598"/>
      <c r="BT71" s="598"/>
      <c r="BU71" s="598"/>
      <c r="BV71" s="598"/>
      <c r="BW71" s="598"/>
      <c r="BX71" s="598"/>
      <c r="BY71" s="598"/>
      <c r="BZ71" s="598"/>
      <c r="CA71" s="598"/>
      <c r="CB71" s="598"/>
      <c r="CC71" s="598"/>
      <c r="CD71" s="598"/>
      <c r="CE71" s="598"/>
      <c r="CF71" s="598"/>
      <c r="CG71" s="598"/>
      <c r="CH71" s="598"/>
      <c r="CI71" s="599"/>
      <c r="CJ71" s="1479"/>
      <c r="CK71" s="1293"/>
    </row>
    <row r="72" spans="1:89" s="1292" customFormat="1" ht="28.5" x14ac:dyDescent="0.2">
      <c r="A72" s="1284"/>
      <c r="B72" s="600" t="s">
        <v>555</v>
      </c>
      <c r="C72" s="601" t="s">
        <v>556</v>
      </c>
      <c r="D72" s="602" t="s">
        <v>557</v>
      </c>
      <c r="E72" s="603" t="s">
        <v>344</v>
      </c>
      <c r="F72" s="604">
        <v>2</v>
      </c>
      <c r="G72" s="597"/>
      <c r="H72" s="597"/>
      <c r="I72" s="597">
        <v>0</v>
      </c>
      <c r="J72" s="597">
        <v>-3.5588355396157567E-2</v>
      </c>
      <c r="K72" s="597">
        <v>-5.7710987582623829E-2</v>
      </c>
      <c r="L72" s="597">
        <v>-7.3583146361684726E-2</v>
      </c>
      <c r="M72" s="598">
        <v>-0.1250803206129234</v>
      </c>
      <c r="N72" s="598">
        <v>-0.11432275474712128</v>
      </c>
      <c r="O72" s="598">
        <v>-6.0618917156560315E-2</v>
      </c>
      <c r="P72" s="598">
        <v>-5.8005347314406208E-2</v>
      </c>
      <c r="Q72" s="598">
        <v>-5.6895270313106039E-2</v>
      </c>
      <c r="R72" s="598">
        <v>-4.7562019624550089E-2</v>
      </c>
      <c r="S72" s="598">
        <v>-3.8890286655231421E-2</v>
      </c>
      <c r="T72" s="598">
        <v>-3.8688711714172541E-2</v>
      </c>
      <c r="U72" s="598">
        <v>-3.8494591611438977E-2</v>
      </c>
      <c r="V72" s="598">
        <v>-3.8310816995675623E-2</v>
      </c>
      <c r="W72" s="598">
        <v>-3.813705891052166E-2</v>
      </c>
      <c r="X72" s="598">
        <v>-3.7937064611554661E-2</v>
      </c>
      <c r="Y72" s="598">
        <v>-3.7753859370496912E-2</v>
      </c>
      <c r="Z72" s="598">
        <v>-3.7553760428721716E-2</v>
      </c>
      <c r="AA72" s="598">
        <v>-4.4833343494190103E-2</v>
      </c>
      <c r="AB72" s="598">
        <v>-4.4626850980321819E-2</v>
      </c>
      <c r="AC72" s="598">
        <v>-4.4441740206778491E-2</v>
      </c>
      <c r="AD72" s="598">
        <v>-4.4255769836553327E-2</v>
      </c>
      <c r="AE72" s="598">
        <v>-4.4073674958355014E-2</v>
      </c>
      <c r="AF72" s="598">
        <v>-4.3881081076690975E-2</v>
      </c>
      <c r="AG72" s="598">
        <v>-4.3687868419794995E-2</v>
      </c>
      <c r="AH72" s="598">
        <v>-4.3498867778509975E-2</v>
      </c>
      <c r="AI72" s="598">
        <v>-4.3306258528019725E-2</v>
      </c>
      <c r="AJ72" s="598">
        <v>-4.3092936916835356E-2</v>
      </c>
      <c r="AK72" s="598">
        <v>-4.2883669054887719E-2</v>
      </c>
      <c r="AL72" s="598"/>
      <c r="AM72" s="598"/>
      <c r="AN72" s="598"/>
      <c r="AO72" s="598"/>
      <c r="AP72" s="598"/>
      <c r="AQ72" s="598"/>
      <c r="AR72" s="598"/>
      <c r="AS72" s="598"/>
      <c r="AT72" s="598"/>
      <c r="AU72" s="598"/>
      <c r="AV72" s="598"/>
      <c r="AW72" s="598"/>
      <c r="AX72" s="598"/>
      <c r="AY72" s="598"/>
      <c r="AZ72" s="598"/>
      <c r="BA72" s="598"/>
      <c r="BB72" s="598"/>
      <c r="BC72" s="598"/>
      <c r="BD72" s="598"/>
      <c r="BE72" s="598"/>
      <c r="BF72" s="598"/>
      <c r="BG72" s="598"/>
      <c r="BH72" s="598"/>
      <c r="BI72" s="598"/>
      <c r="BJ72" s="598"/>
      <c r="BK72" s="598"/>
      <c r="BL72" s="598"/>
      <c r="BM72" s="598"/>
      <c r="BN72" s="598"/>
      <c r="BO72" s="598"/>
      <c r="BP72" s="598"/>
      <c r="BQ72" s="598"/>
      <c r="BR72" s="598"/>
      <c r="BS72" s="598"/>
      <c r="BT72" s="598"/>
      <c r="BU72" s="598"/>
      <c r="BV72" s="598"/>
      <c r="BW72" s="598"/>
      <c r="BX72" s="598"/>
      <c r="BY72" s="598"/>
      <c r="BZ72" s="598"/>
      <c r="CA72" s="598"/>
      <c r="CB72" s="598"/>
      <c r="CC72" s="598"/>
      <c r="CD72" s="598"/>
      <c r="CE72" s="598"/>
      <c r="CF72" s="598"/>
      <c r="CG72" s="598"/>
      <c r="CH72" s="598"/>
      <c r="CI72" s="599"/>
      <c r="CJ72" s="1479"/>
      <c r="CK72" s="1293"/>
    </row>
    <row r="73" spans="1:89" s="1292" customFormat="1" x14ac:dyDescent="0.2">
      <c r="A73" s="1284"/>
      <c r="B73" s="600" t="s">
        <v>558</v>
      </c>
      <c r="C73" s="601" t="s">
        <v>559</v>
      </c>
      <c r="D73" s="596" t="s">
        <v>86</v>
      </c>
      <c r="E73" s="573" t="s">
        <v>344</v>
      </c>
      <c r="F73" s="574">
        <v>2</v>
      </c>
      <c r="G73" s="597"/>
      <c r="H73" s="597"/>
      <c r="I73" s="597">
        <v>2.0139999999999998</v>
      </c>
      <c r="J73" s="597">
        <v>2.0380341458615643</v>
      </c>
      <c r="K73" s="597">
        <v>2.0841909239095804</v>
      </c>
      <c r="L73" s="597">
        <v>2.1462198607366396</v>
      </c>
      <c r="M73" s="598">
        <v>2.257435129908024</v>
      </c>
      <c r="N73" s="598">
        <v>2.3548928332136247</v>
      </c>
      <c r="O73" s="598">
        <v>2.3986466989286583</v>
      </c>
      <c r="P73" s="598">
        <v>2.4397869948015196</v>
      </c>
      <c r="Q73" s="598">
        <v>2.4782766524018247</v>
      </c>
      <c r="R73" s="598">
        <v>2.5074330593135614</v>
      </c>
      <c r="S73" s="598">
        <v>2.5279177332559799</v>
      </c>
      <c r="T73" s="598">
        <v>2.5482008322573448</v>
      </c>
      <c r="U73" s="598">
        <v>2.5682898111559593</v>
      </c>
      <c r="V73" s="598">
        <v>2.5881950154388442</v>
      </c>
      <c r="W73" s="598">
        <v>2.607926461636525</v>
      </c>
      <c r="X73" s="598">
        <v>2.6274579135352787</v>
      </c>
      <c r="Y73" s="598">
        <v>2.6468061601929649</v>
      </c>
      <c r="Z73" s="598">
        <v>2.6659543079088643</v>
      </c>
      <c r="AA73" s="598">
        <v>2.6846792323338704</v>
      </c>
      <c r="AB73" s="598">
        <v>2.703197664244946</v>
      </c>
      <c r="AC73" s="598">
        <v>2.7215309853825382</v>
      </c>
      <c r="AD73" s="598">
        <v>2.7396783361498689</v>
      </c>
      <c r="AE73" s="598">
        <v>2.7576435920390203</v>
      </c>
      <c r="AF73" s="598">
        <v>2.7754162540464828</v>
      </c>
      <c r="AG73" s="598">
        <v>2.792995703397072</v>
      </c>
      <c r="AH73" s="598">
        <v>2.8103861521063842</v>
      </c>
      <c r="AI73" s="598">
        <v>2.8275839915651568</v>
      </c>
      <c r="AJ73" s="598">
        <v>2.8445685094127682</v>
      </c>
      <c r="AK73" s="598">
        <v>2.8613437593984563</v>
      </c>
      <c r="AL73" s="598"/>
      <c r="AM73" s="598"/>
      <c r="AN73" s="598"/>
      <c r="AO73" s="598"/>
      <c r="AP73" s="598"/>
      <c r="AQ73" s="598"/>
      <c r="AR73" s="598"/>
      <c r="AS73" s="598"/>
      <c r="AT73" s="598"/>
      <c r="AU73" s="598"/>
      <c r="AV73" s="598"/>
      <c r="AW73" s="598"/>
      <c r="AX73" s="598"/>
      <c r="AY73" s="598"/>
      <c r="AZ73" s="598"/>
      <c r="BA73" s="598"/>
      <c r="BB73" s="598"/>
      <c r="BC73" s="598"/>
      <c r="BD73" s="598"/>
      <c r="BE73" s="598"/>
      <c r="BF73" s="598"/>
      <c r="BG73" s="598"/>
      <c r="BH73" s="598"/>
      <c r="BI73" s="598"/>
      <c r="BJ73" s="598"/>
      <c r="BK73" s="598"/>
      <c r="BL73" s="598"/>
      <c r="BM73" s="598"/>
      <c r="BN73" s="598"/>
      <c r="BO73" s="598"/>
      <c r="BP73" s="598"/>
      <c r="BQ73" s="598"/>
      <c r="BR73" s="598"/>
      <c r="BS73" s="598"/>
      <c r="BT73" s="598"/>
      <c r="BU73" s="598"/>
      <c r="BV73" s="598"/>
      <c r="BW73" s="598"/>
      <c r="BX73" s="598"/>
      <c r="BY73" s="598"/>
      <c r="BZ73" s="598"/>
      <c r="CA73" s="598"/>
      <c r="CB73" s="598"/>
      <c r="CC73" s="598"/>
      <c r="CD73" s="598"/>
      <c r="CE73" s="598"/>
      <c r="CF73" s="598"/>
      <c r="CG73" s="598"/>
      <c r="CH73" s="598"/>
      <c r="CI73" s="599"/>
      <c r="CJ73" s="1479"/>
      <c r="CK73" s="1293"/>
    </row>
    <row r="74" spans="1:89" s="1292" customFormat="1" ht="28.5" x14ac:dyDescent="0.2">
      <c r="A74" s="1284"/>
      <c r="B74" s="600" t="s">
        <v>560</v>
      </c>
      <c r="C74" s="601" t="s">
        <v>561</v>
      </c>
      <c r="D74" s="596" t="s">
        <v>86</v>
      </c>
      <c r="E74" s="573" t="s">
        <v>344</v>
      </c>
      <c r="F74" s="574">
        <v>2</v>
      </c>
      <c r="G74" s="597"/>
      <c r="H74" s="597"/>
      <c r="I74" s="597">
        <v>27.367000000000001</v>
      </c>
      <c r="J74" s="597">
        <v>27.087815027782518</v>
      </c>
      <c r="K74" s="597">
        <v>26.74591390466075</v>
      </c>
      <c r="L74" s="597">
        <v>25.783219513257777</v>
      </c>
      <c r="M74" s="598">
        <v>23.237893780254414</v>
      </c>
      <c r="N74" s="598">
        <v>21.016583685066379</v>
      </c>
      <c r="O74" s="598">
        <v>20.406619248957547</v>
      </c>
      <c r="P74" s="598">
        <v>19.797623562848727</v>
      </c>
      <c r="Q74" s="598">
        <v>19.189596626739881</v>
      </c>
      <c r="R74" s="598">
        <v>18.860240513936635</v>
      </c>
      <c r="S74" s="598">
        <v>18.809555224438977</v>
      </c>
      <c r="T74" s="598">
        <v>18.7598386849413</v>
      </c>
      <c r="U74" s="598">
        <v>18.711090895443633</v>
      </c>
      <c r="V74" s="598">
        <v>18.663311855945992</v>
      </c>
      <c r="W74" s="598">
        <v>18.616501566448346</v>
      </c>
      <c r="X74" s="598">
        <v>18.569691276950703</v>
      </c>
      <c r="Y74" s="598">
        <v>18.522880987453028</v>
      </c>
      <c r="Z74" s="598">
        <v>18.476070697955372</v>
      </c>
      <c r="AA74" s="598">
        <v>18.430229158457699</v>
      </c>
      <c r="AB74" s="598">
        <v>18.384387618960055</v>
      </c>
      <c r="AC74" s="598">
        <v>18.337578203423096</v>
      </c>
      <c r="AD74" s="598">
        <v>18.29076878788613</v>
      </c>
      <c r="AE74" s="598">
        <v>18.243959372349167</v>
      </c>
      <c r="AF74" s="598">
        <v>18.19714995681219</v>
      </c>
      <c r="AG74" s="598">
        <v>18.150340541275213</v>
      </c>
      <c r="AH74" s="598">
        <v>18.103531125738265</v>
      </c>
      <c r="AI74" s="598">
        <v>18.056721710201288</v>
      </c>
      <c r="AJ74" s="598">
        <v>18.009912294664339</v>
      </c>
      <c r="AK74" s="598">
        <v>17.963102879127394</v>
      </c>
      <c r="AL74" s="598"/>
      <c r="AM74" s="598"/>
      <c r="AN74" s="598"/>
      <c r="AO74" s="598"/>
      <c r="AP74" s="598"/>
      <c r="AQ74" s="598"/>
      <c r="AR74" s="598"/>
      <c r="AS74" s="598"/>
      <c r="AT74" s="598"/>
      <c r="AU74" s="598"/>
      <c r="AV74" s="598"/>
      <c r="AW74" s="598"/>
      <c r="AX74" s="598"/>
      <c r="AY74" s="598"/>
      <c r="AZ74" s="598"/>
      <c r="BA74" s="598"/>
      <c r="BB74" s="598"/>
      <c r="BC74" s="598"/>
      <c r="BD74" s="598"/>
      <c r="BE74" s="598"/>
      <c r="BF74" s="598"/>
      <c r="BG74" s="598"/>
      <c r="BH74" s="598"/>
      <c r="BI74" s="598"/>
      <c r="BJ74" s="598"/>
      <c r="BK74" s="598"/>
      <c r="BL74" s="598"/>
      <c r="BM74" s="598"/>
      <c r="BN74" s="598"/>
      <c r="BO74" s="598"/>
      <c r="BP74" s="598"/>
      <c r="BQ74" s="598"/>
      <c r="BR74" s="598"/>
      <c r="BS74" s="598"/>
      <c r="BT74" s="598"/>
      <c r="BU74" s="598"/>
      <c r="BV74" s="598"/>
      <c r="BW74" s="598"/>
      <c r="BX74" s="598"/>
      <c r="BY74" s="598"/>
      <c r="BZ74" s="598"/>
      <c r="CA74" s="598"/>
      <c r="CB74" s="598"/>
      <c r="CC74" s="598"/>
      <c r="CD74" s="598"/>
      <c r="CE74" s="598"/>
      <c r="CF74" s="598"/>
      <c r="CG74" s="598"/>
      <c r="CH74" s="598"/>
      <c r="CI74" s="599"/>
      <c r="CJ74" s="1479"/>
      <c r="CK74" s="1293"/>
    </row>
    <row r="75" spans="1:89" s="1292" customFormat="1" x14ac:dyDescent="0.2">
      <c r="A75" s="1284"/>
      <c r="B75" s="600" t="s">
        <v>562</v>
      </c>
      <c r="C75" s="601" t="s">
        <v>563</v>
      </c>
      <c r="D75" s="596" t="s">
        <v>86</v>
      </c>
      <c r="E75" s="573" t="s">
        <v>344</v>
      </c>
      <c r="F75" s="574">
        <v>2</v>
      </c>
      <c r="G75" s="597"/>
      <c r="H75" s="597"/>
      <c r="I75" s="597">
        <v>0.91500000000000004</v>
      </c>
      <c r="J75" s="597">
        <v>0.90085858284560449</v>
      </c>
      <c r="K75" s="597">
        <v>0.88944970596737105</v>
      </c>
      <c r="L75" s="597">
        <v>0.85548909737034196</v>
      </c>
      <c r="M75" s="598">
        <v>0.76889640313387742</v>
      </c>
      <c r="N75" s="598">
        <v>0.69517581682585317</v>
      </c>
      <c r="O75" s="598">
        <v>0.67491574442224089</v>
      </c>
      <c r="P75" s="598">
        <v>0.6546869220186291</v>
      </c>
      <c r="Q75" s="598">
        <v>0.63448934961501613</v>
      </c>
      <c r="R75" s="598">
        <v>0.62355049068192336</v>
      </c>
      <c r="S75" s="598">
        <v>0.62187034521935025</v>
      </c>
      <c r="T75" s="598">
        <v>0.62022144975677673</v>
      </c>
      <c r="U75" s="598">
        <v>0.61860380429420325</v>
      </c>
      <c r="V75" s="598">
        <v>0.61701740883163048</v>
      </c>
      <c r="W75" s="598">
        <v>0.61546226336905785</v>
      </c>
      <c r="X75" s="598">
        <v>0.61390711790648511</v>
      </c>
      <c r="Y75" s="598">
        <v>0.61235197244391171</v>
      </c>
      <c r="Z75" s="598">
        <v>0.61079682698133841</v>
      </c>
      <c r="AA75" s="598">
        <v>0.60927293151876494</v>
      </c>
      <c r="AB75" s="598">
        <v>0.60774903605619213</v>
      </c>
      <c r="AC75" s="598">
        <v>0.6061930166329238</v>
      </c>
      <c r="AD75" s="598">
        <v>0.60463699720965525</v>
      </c>
      <c r="AE75" s="598">
        <v>0.6030809777863867</v>
      </c>
      <c r="AF75" s="598">
        <v>0.60152495836311781</v>
      </c>
      <c r="AG75" s="598">
        <v>0.59996893893984871</v>
      </c>
      <c r="AH75" s="598">
        <v>0.59841291951658071</v>
      </c>
      <c r="AI75" s="598">
        <v>0.5968569000933116</v>
      </c>
      <c r="AJ75" s="598">
        <v>0.59530088067004372</v>
      </c>
      <c r="AK75" s="598">
        <v>0.59374486124677561</v>
      </c>
      <c r="AL75" s="598"/>
      <c r="AM75" s="598"/>
      <c r="AN75" s="598"/>
      <c r="AO75" s="598"/>
      <c r="AP75" s="598"/>
      <c r="AQ75" s="598"/>
      <c r="AR75" s="598"/>
      <c r="AS75" s="598"/>
      <c r="AT75" s="598"/>
      <c r="AU75" s="598"/>
      <c r="AV75" s="598"/>
      <c r="AW75" s="598"/>
      <c r="AX75" s="598"/>
      <c r="AY75" s="598"/>
      <c r="AZ75" s="598"/>
      <c r="BA75" s="598"/>
      <c r="BB75" s="598"/>
      <c r="BC75" s="598"/>
      <c r="BD75" s="598"/>
      <c r="BE75" s="598"/>
      <c r="BF75" s="598"/>
      <c r="BG75" s="598"/>
      <c r="BH75" s="598"/>
      <c r="BI75" s="598"/>
      <c r="BJ75" s="598"/>
      <c r="BK75" s="598"/>
      <c r="BL75" s="598"/>
      <c r="BM75" s="598"/>
      <c r="BN75" s="598"/>
      <c r="BO75" s="598"/>
      <c r="BP75" s="598"/>
      <c r="BQ75" s="598"/>
      <c r="BR75" s="598"/>
      <c r="BS75" s="598"/>
      <c r="BT75" s="598"/>
      <c r="BU75" s="598"/>
      <c r="BV75" s="598"/>
      <c r="BW75" s="598"/>
      <c r="BX75" s="598"/>
      <c r="BY75" s="598"/>
      <c r="BZ75" s="598"/>
      <c r="CA75" s="598"/>
      <c r="CB75" s="598"/>
      <c r="CC75" s="598"/>
      <c r="CD75" s="598"/>
      <c r="CE75" s="598"/>
      <c r="CF75" s="598"/>
      <c r="CG75" s="598"/>
      <c r="CH75" s="598"/>
      <c r="CI75" s="599"/>
      <c r="CJ75" s="1479"/>
      <c r="CK75" s="1293"/>
    </row>
    <row r="76" spans="1:89" s="1292" customFormat="1" ht="29.25" thickBot="1" x14ac:dyDescent="0.25">
      <c r="A76" s="1284"/>
      <c r="B76" s="605" t="s">
        <v>564</v>
      </c>
      <c r="C76" s="606" t="s">
        <v>565</v>
      </c>
      <c r="D76" s="607" t="s">
        <v>566</v>
      </c>
      <c r="E76" s="608" t="s">
        <v>344</v>
      </c>
      <c r="F76" s="609">
        <v>2</v>
      </c>
      <c r="G76" s="559">
        <f>SUM(G63:G66)+G73+G74+G75</f>
        <v>0</v>
      </c>
      <c r="H76" s="559">
        <f t="shared" ref="H76:AK76" si="35">SUM(H63:H66)+H73+H74+H75</f>
        <v>0</v>
      </c>
      <c r="I76" s="559">
        <f t="shared" si="35"/>
        <v>103.69900000000001</v>
      </c>
      <c r="J76" s="559">
        <f t="shared" si="35"/>
        <v>104.18013078460724</v>
      </c>
      <c r="K76" s="559">
        <f t="shared" si="35"/>
        <v>105.41644440971376</v>
      </c>
      <c r="L76" s="559">
        <f t="shared" si="35"/>
        <v>106.54365466806445</v>
      </c>
      <c r="M76" s="559">
        <f t="shared" si="35"/>
        <v>107.69848513088903</v>
      </c>
      <c r="N76" s="559">
        <f t="shared" si="35"/>
        <v>108.73659657854061</v>
      </c>
      <c r="O76" s="559">
        <f t="shared" si="35"/>
        <v>109.62469761728443</v>
      </c>
      <c r="P76" s="559">
        <f t="shared" si="35"/>
        <v>110.42045731218523</v>
      </c>
      <c r="Q76" s="559">
        <f t="shared" si="35"/>
        <v>111.12654325605251</v>
      </c>
      <c r="R76" s="559">
        <f t="shared" si="35"/>
        <v>111.80510828583404</v>
      </c>
      <c r="S76" s="559">
        <f t="shared" si="35"/>
        <v>112.47795605315859</v>
      </c>
      <c r="T76" s="559">
        <f t="shared" si="35"/>
        <v>113.14483343544414</v>
      </c>
      <c r="U76" s="559">
        <f t="shared" si="35"/>
        <v>113.80614765052738</v>
      </c>
      <c r="V76" s="559">
        <f t="shared" si="35"/>
        <v>114.46382825639171</v>
      </c>
      <c r="W76" s="559">
        <f t="shared" si="35"/>
        <v>115.11662683318877</v>
      </c>
      <c r="X76" s="559">
        <f t="shared" si="35"/>
        <v>115.76269507441162</v>
      </c>
      <c r="Y76" s="559">
        <f t="shared" si="35"/>
        <v>116.40249192160044</v>
      </c>
      <c r="Z76" s="559">
        <f t="shared" si="35"/>
        <v>117.03535773597771</v>
      </c>
      <c r="AA76" s="559">
        <f t="shared" si="35"/>
        <v>117.65500636639014</v>
      </c>
      <c r="AB76" s="559">
        <f t="shared" si="35"/>
        <v>118.26763534216252</v>
      </c>
      <c r="AC76" s="559">
        <f t="shared" si="35"/>
        <v>118.87281805235946</v>
      </c>
      <c r="AD76" s="559">
        <f t="shared" si="35"/>
        <v>119.4715990268936</v>
      </c>
      <c r="AE76" s="559">
        <f t="shared" si="35"/>
        <v>120.06426227747254</v>
      </c>
      <c r="AF76" s="559">
        <f t="shared" si="35"/>
        <v>120.65038823764166</v>
      </c>
      <c r="AG76" s="559">
        <f t="shared" si="35"/>
        <v>121.22996200910633</v>
      </c>
      <c r="AH76" s="559">
        <f t="shared" si="35"/>
        <v>121.80306871540976</v>
      </c>
      <c r="AI76" s="559">
        <f t="shared" si="35"/>
        <v>122.3695368568554</v>
      </c>
      <c r="AJ76" s="559">
        <f t="shared" si="35"/>
        <v>122.92869820403155</v>
      </c>
      <c r="AK76" s="559">
        <f t="shared" si="35"/>
        <v>123.48073339786124</v>
      </c>
      <c r="AL76" s="559"/>
      <c r="AM76" s="559"/>
      <c r="AN76" s="559"/>
      <c r="AO76" s="559"/>
      <c r="AP76" s="559"/>
      <c r="AQ76" s="559"/>
      <c r="AR76" s="559"/>
      <c r="AS76" s="559"/>
      <c r="AT76" s="559"/>
      <c r="AU76" s="559"/>
      <c r="AV76" s="559"/>
      <c r="AW76" s="559"/>
      <c r="AX76" s="559"/>
      <c r="AY76" s="559"/>
      <c r="AZ76" s="559"/>
      <c r="BA76" s="559"/>
      <c r="BB76" s="559"/>
      <c r="BC76" s="559"/>
      <c r="BD76" s="559"/>
      <c r="BE76" s="559"/>
      <c r="BF76" s="559"/>
      <c r="BG76" s="559"/>
      <c r="BH76" s="559"/>
      <c r="BI76" s="559"/>
      <c r="BJ76" s="559"/>
      <c r="BK76" s="559"/>
      <c r="BL76" s="559"/>
      <c r="BM76" s="559"/>
      <c r="BN76" s="559"/>
      <c r="BO76" s="559"/>
      <c r="BP76" s="559"/>
      <c r="BQ76" s="559"/>
      <c r="BR76" s="559"/>
      <c r="BS76" s="559"/>
      <c r="BT76" s="559"/>
      <c r="BU76" s="559"/>
      <c r="BV76" s="559"/>
      <c r="BW76" s="559"/>
      <c r="BX76" s="559"/>
      <c r="BY76" s="559"/>
      <c r="BZ76" s="559"/>
      <c r="CA76" s="559"/>
      <c r="CB76" s="559"/>
      <c r="CC76" s="559"/>
      <c r="CD76" s="559"/>
      <c r="CE76" s="559"/>
      <c r="CF76" s="559"/>
      <c r="CG76" s="559"/>
      <c r="CH76" s="559"/>
      <c r="CI76" s="559"/>
      <c r="CJ76" s="1479"/>
      <c r="CK76" s="1293"/>
    </row>
    <row r="77" spans="1:89" s="1292" customFormat="1" x14ac:dyDescent="0.2">
      <c r="A77" s="1284"/>
      <c r="B77" s="527" t="s">
        <v>567</v>
      </c>
      <c r="C77" s="528" t="s">
        <v>568</v>
      </c>
      <c r="D77" s="529" t="s">
        <v>86</v>
      </c>
      <c r="E77" s="610" t="s">
        <v>344</v>
      </c>
      <c r="F77" s="611">
        <v>2</v>
      </c>
      <c r="G77" s="593"/>
      <c r="H77" s="593"/>
      <c r="I77" s="593">
        <v>2.9167739999999998</v>
      </c>
      <c r="J77" s="593">
        <v>2.9607540564970298</v>
      </c>
      <c r="K77" s="593">
        <v>3.0026749529208496</v>
      </c>
      <c r="L77" s="593">
        <v>3.0372866624532482</v>
      </c>
      <c r="M77" s="594">
        <v>3.0666877924701303</v>
      </c>
      <c r="N77" s="594">
        <v>3.1079853610336823</v>
      </c>
      <c r="O77" s="594">
        <v>3.1564715319065106</v>
      </c>
      <c r="P77" s="594">
        <v>3.2043633352628569</v>
      </c>
      <c r="Q77" s="594">
        <v>3.2483729598452369</v>
      </c>
      <c r="R77" s="594">
        <v>3.2887589079177917</v>
      </c>
      <c r="S77" s="594">
        <v>3.3509241751971741</v>
      </c>
      <c r="T77" s="594">
        <v>3.4127679629028016</v>
      </c>
      <c r="U77" s="594">
        <v>3.4591154277864993</v>
      </c>
      <c r="V77" s="594">
        <v>3.4921526597447143</v>
      </c>
      <c r="W77" s="594">
        <v>3.5218294394713872</v>
      </c>
      <c r="X77" s="594">
        <v>3.5495504037312746</v>
      </c>
      <c r="Y77" s="594">
        <v>3.5809001657754296</v>
      </c>
      <c r="Z77" s="594">
        <v>3.6152625692640465</v>
      </c>
      <c r="AA77" s="594">
        <v>3.6489080374131935</v>
      </c>
      <c r="AB77" s="594">
        <v>3.6848952170890139</v>
      </c>
      <c r="AC77" s="594">
        <v>3.7264568657626098</v>
      </c>
      <c r="AD77" s="594">
        <v>3.7731272584415172</v>
      </c>
      <c r="AE77" s="594">
        <v>3.8247430171140131</v>
      </c>
      <c r="AF77" s="594">
        <v>3.8755585535749102</v>
      </c>
      <c r="AG77" s="594">
        <v>3.9314320136829588</v>
      </c>
      <c r="AH77" s="594">
        <v>3.9891051972515856</v>
      </c>
      <c r="AI77" s="594">
        <v>4.0470606775999451</v>
      </c>
      <c r="AJ77" s="594">
        <v>4.1065688667987903</v>
      </c>
      <c r="AK77" s="594">
        <v>4.16301749357247</v>
      </c>
      <c r="AL77" s="594"/>
      <c r="AM77" s="594"/>
      <c r="AN77" s="594"/>
      <c r="AO77" s="594"/>
      <c r="AP77" s="594"/>
      <c r="AQ77" s="594"/>
      <c r="AR77" s="594"/>
      <c r="AS77" s="594"/>
      <c r="AT77" s="594"/>
      <c r="AU77" s="594"/>
      <c r="AV77" s="594"/>
      <c r="AW77" s="594"/>
      <c r="AX77" s="594"/>
      <c r="AY77" s="594"/>
      <c r="AZ77" s="594"/>
      <c r="BA77" s="594"/>
      <c r="BB77" s="594"/>
      <c r="BC77" s="594"/>
      <c r="BD77" s="594"/>
      <c r="BE77" s="594"/>
      <c r="BF77" s="594"/>
      <c r="BG77" s="594"/>
      <c r="BH77" s="594"/>
      <c r="BI77" s="594"/>
      <c r="BJ77" s="594"/>
      <c r="BK77" s="594"/>
      <c r="BL77" s="594"/>
      <c r="BM77" s="594"/>
      <c r="BN77" s="594"/>
      <c r="BO77" s="594"/>
      <c r="BP77" s="594"/>
      <c r="BQ77" s="594"/>
      <c r="BR77" s="594"/>
      <c r="BS77" s="594"/>
      <c r="BT77" s="594"/>
      <c r="BU77" s="594"/>
      <c r="BV77" s="594"/>
      <c r="BW77" s="594"/>
      <c r="BX77" s="594"/>
      <c r="BY77" s="594"/>
      <c r="BZ77" s="594"/>
      <c r="CA77" s="594"/>
      <c r="CB77" s="594"/>
      <c r="CC77" s="594"/>
      <c r="CD77" s="594"/>
      <c r="CE77" s="594"/>
      <c r="CF77" s="594"/>
      <c r="CG77" s="594"/>
      <c r="CH77" s="594"/>
      <c r="CI77" s="595"/>
      <c r="CJ77" s="1479"/>
      <c r="CK77" s="1293"/>
    </row>
    <row r="78" spans="1:89" s="1292" customFormat="1" x14ac:dyDescent="0.2">
      <c r="A78" s="1284"/>
      <c r="B78" s="543" t="s">
        <v>569</v>
      </c>
      <c r="C78" s="546" t="s">
        <v>570</v>
      </c>
      <c r="D78" s="537" t="s">
        <v>86</v>
      </c>
      <c r="E78" s="612" t="s">
        <v>344</v>
      </c>
      <c r="F78" s="613">
        <v>2</v>
      </c>
      <c r="G78" s="597"/>
      <c r="H78" s="597"/>
      <c r="I78" s="597">
        <v>0</v>
      </c>
      <c r="J78" s="597">
        <v>0</v>
      </c>
      <c r="K78" s="597">
        <v>0</v>
      </c>
      <c r="L78" s="597">
        <v>0</v>
      </c>
      <c r="M78" s="598">
        <v>0</v>
      </c>
      <c r="N78" s="598">
        <v>0</v>
      </c>
      <c r="O78" s="598">
        <v>0</v>
      </c>
      <c r="P78" s="598">
        <v>0</v>
      </c>
      <c r="Q78" s="598">
        <v>0</v>
      </c>
      <c r="R78" s="598">
        <v>0</v>
      </c>
      <c r="S78" s="598">
        <v>0</v>
      </c>
      <c r="T78" s="598">
        <v>0</v>
      </c>
      <c r="U78" s="598">
        <v>0</v>
      </c>
      <c r="V78" s="598">
        <v>0</v>
      </c>
      <c r="W78" s="598">
        <v>0</v>
      </c>
      <c r="X78" s="598">
        <v>0</v>
      </c>
      <c r="Y78" s="598">
        <v>0</v>
      </c>
      <c r="Z78" s="598">
        <v>0</v>
      </c>
      <c r="AA78" s="598">
        <v>0</v>
      </c>
      <c r="AB78" s="598">
        <v>0</v>
      </c>
      <c r="AC78" s="598">
        <v>0</v>
      </c>
      <c r="AD78" s="598">
        <v>0</v>
      </c>
      <c r="AE78" s="598">
        <v>0</v>
      </c>
      <c r="AF78" s="598">
        <v>0</v>
      </c>
      <c r="AG78" s="598">
        <v>0</v>
      </c>
      <c r="AH78" s="598">
        <v>0</v>
      </c>
      <c r="AI78" s="598">
        <v>0</v>
      </c>
      <c r="AJ78" s="598">
        <v>0</v>
      </c>
      <c r="AK78" s="598">
        <v>0</v>
      </c>
      <c r="AL78" s="598"/>
      <c r="AM78" s="598"/>
      <c r="AN78" s="598"/>
      <c r="AO78" s="598"/>
      <c r="AP78" s="598"/>
      <c r="AQ78" s="598"/>
      <c r="AR78" s="598"/>
      <c r="AS78" s="598"/>
      <c r="AT78" s="598"/>
      <c r="AU78" s="598"/>
      <c r="AV78" s="598"/>
      <c r="AW78" s="598"/>
      <c r="AX78" s="598"/>
      <c r="AY78" s="598"/>
      <c r="AZ78" s="598"/>
      <c r="BA78" s="598"/>
      <c r="BB78" s="598"/>
      <c r="BC78" s="598"/>
      <c r="BD78" s="598"/>
      <c r="BE78" s="598"/>
      <c r="BF78" s="598"/>
      <c r="BG78" s="598"/>
      <c r="BH78" s="598"/>
      <c r="BI78" s="598"/>
      <c r="BJ78" s="598"/>
      <c r="BK78" s="598"/>
      <c r="BL78" s="598"/>
      <c r="BM78" s="598"/>
      <c r="BN78" s="598"/>
      <c r="BO78" s="598"/>
      <c r="BP78" s="598"/>
      <c r="BQ78" s="598"/>
      <c r="BR78" s="598"/>
      <c r="BS78" s="598"/>
      <c r="BT78" s="598"/>
      <c r="BU78" s="598"/>
      <c r="BV78" s="598"/>
      <c r="BW78" s="598"/>
      <c r="BX78" s="598"/>
      <c r="BY78" s="598"/>
      <c r="BZ78" s="598"/>
      <c r="CA78" s="598"/>
      <c r="CB78" s="598"/>
      <c r="CC78" s="598"/>
      <c r="CD78" s="598"/>
      <c r="CE78" s="598"/>
      <c r="CF78" s="598"/>
      <c r="CG78" s="598"/>
      <c r="CH78" s="598"/>
      <c r="CI78" s="599"/>
      <c r="CJ78" s="1479"/>
      <c r="CK78" s="1293"/>
    </row>
    <row r="79" spans="1:89" s="1292" customFormat="1" x14ac:dyDescent="0.2">
      <c r="A79" s="1284"/>
      <c r="B79" s="535" t="s">
        <v>571</v>
      </c>
      <c r="C79" s="614" t="s">
        <v>572</v>
      </c>
      <c r="D79" s="537" t="s">
        <v>86</v>
      </c>
      <c r="E79" s="612" t="s">
        <v>344</v>
      </c>
      <c r="F79" s="613">
        <v>2</v>
      </c>
      <c r="G79" s="597"/>
      <c r="H79" s="597"/>
      <c r="I79" s="597">
        <v>130.90061962351149</v>
      </c>
      <c r="J79" s="597">
        <v>132.71311084272594</v>
      </c>
      <c r="K79" s="597">
        <v>135.95988891695063</v>
      </c>
      <c r="L79" s="597">
        <v>140.20423554601018</v>
      </c>
      <c r="M79" s="598">
        <v>147.57932170680357</v>
      </c>
      <c r="N79" s="598">
        <v>154.00988348977012</v>
      </c>
      <c r="O79" s="598">
        <v>156.89152352793374</v>
      </c>
      <c r="P79" s="598">
        <v>159.64753427591472</v>
      </c>
      <c r="Q79" s="598">
        <v>162.17079190321235</v>
      </c>
      <c r="R79" s="598">
        <v>164.10754922750851</v>
      </c>
      <c r="S79" s="598">
        <v>165.48017423165365</v>
      </c>
      <c r="T79" s="598">
        <v>166.82346969751313</v>
      </c>
      <c r="U79" s="598">
        <v>168.17524951754766</v>
      </c>
      <c r="V79" s="598">
        <v>169.61300079446778</v>
      </c>
      <c r="W79" s="598">
        <v>171.01111361782091</v>
      </c>
      <c r="X79" s="598">
        <v>172.37630127137851</v>
      </c>
      <c r="Y79" s="598">
        <v>173.72634793631624</v>
      </c>
      <c r="Z79" s="598">
        <v>175.12772447353228</v>
      </c>
      <c r="AA79" s="598">
        <v>176.63281351581631</v>
      </c>
      <c r="AB79" s="598">
        <v>178.14445203662859</v>
      </c>
      <c r="AC79" s="598">
        <v>179.63370293571194</v>
      </c>
      <c r="AD79" s="598">
        <v>181.11237963254726</v>
      </c>
      <c r="AE79" s="598">
        <v>182.58746325779461</v>
      </c>
      <c r="AF79" s="598">
        <v>184.04433281490495</v>
      </c>
      <c r="AG79" s="598">
        <v>185.45467818058518</v>
      </c>
      <c r="AH79" s="598">
        <v>186.82795181892791</v>
      </c>
      <c r="AI79" s="598">
        <v>188.20403742296222</v>
      </c>
      <c r="AJ79" s="598">
        <v>189.58814261398953</v>
      </c>
      <c r="AK79" s="598">
        <v>190.95489689870985</v>
      </c>
      <c r="AL79" s="598"/>
      <c r="AM79" s="598"/>
      <c r="AN79" s="598"/>
      <c r="AO79" s="598"/>
      <c r="AP79" s="598"/>
      <c r="AQ79" s="598"/>
      <c r="AR79" s="598"/>
      <c r="AS79" s="598"/>
      <c r="AT79" s="598"/>
      <c r="AU79" s="598"/>
      <c r="AV79" s="598"/>
      <c r="AW79" s="598"/>
      <c r="AX79" s="598"/>
      <c r="AY79" s="598"/>
      <c r="AZ79" s="598"/>
      <c r="BA79" s="598"/>
      <c r="BB79" s="598"/>
      <c r="BC79" s="598"/>
      <c r="BD79" s="598"/>
      <c r="BE79" s="598"/>
      <c r="BF79" s="598"/>
      <c r="BG79" s="598"/>
      <c r="BH79" s="598"/>
      <c r="BI79" s="598"/>
      <c r="BJ79" s="598"/>
      <c r="BK79" s="598"/>
      <c r="BL79" s="598"/>
      <c r="BM79" s="598"/>
      <c r="BN79" s="598"/>
      <c r="BO79" s="598"/>
      <c r="BP79" s="598"/>
      <c r="BQ79" s="598"/>
      <c r="BR79" s="598"/>
      <c r="BS79" s="598"/>
      <c r="BT79" s="598"/>
      <c r="BU79" s="598"/>
      <c r="BV79" s="598"/>
      <c r="BW79" s="598"/>
      <c r="BX79" s="598"/>
      <c r="BY79" s="598"/>
      <c r="BZ79" s="598"/>
      <c r="CA79" s="598"/>
      <c r="CB79" s="598"/>
      <c r="CC79" s="598"/>
      <c r="CD79" s="598"/>
      <c r="CE79" s="598"/>
      <c r="CF79" s="598"/>
      <c r="CG79" s="598"/>
      <c r="CH79" s="598"/>
      <c r="CI79" s="599"/>
      <c r="CJ79" s="1479"/>
      <c r="CK79" s="1293"/>
    </row>
    <row r="80" spans="1:89" s="1292" customFormat="1" x14ac:dyDescent="0.2">
      <c r="A80" s="1284"/>
      <c r="B80" s="535" t="s">
        <v>573</v>
      </c>
      <c r="C80" s="614" t="s">
        <v>574</v>
      </c>
      <c r="D80" s="537" t="s">
        <v>86</v>
      </c>
      <c r="E80" s="612" t="s">
        <v>344</v>
      </c>
      <c r="F80" s="613">
        <v>2</v>
      </c>
      <c r="G80" s="597"/>
      <c r="H80" s="597"/>
      <c r="I80" s="597">
        <v>90.592056438351563</v>
      </c>
      <c r="J80" s="597">
        <v>89.413301780527377</v>
      </c>
      <c r="K80" s="597">
        <v>88.125815456900995</v>
      </c>
      <c r="L80" s="597">
        <v>85.610920570035631</v>
      </c>
      <c r="M80" s="598">
        <v>79.960576771880014</v>
      </c>
      <c r="N80" s="598">
        <v>74.93432330326597</v>
      </c>
      <c r="O80" s="598">
        <v>73.091455457212845</v>
      </c>
      <c r="P80" s="598">
        <v>71.253150151234394</v>
      </c>
      <c r="Q80" s="598">
        <v>69.420137113970071</v>
      </c>
      <c r="R80" s="598">
        <v>68.145735367148646</v>
      </c>
      <c r="S80" s="598">
        <v>67.433664445682879</v>
      </c>
      <c r="T80" s="598">
        <v>66.7329090319773</v>
      </c>
      <c r="U80" s="598">
        <v>66.04328348313723</v>
      </c>
      <c r="V80" s="598">
        <v>65.364771310229273</v>
      </c>
      <c r="W80" s="598">
        <v>64.697693652805157</v>
      </c>
      <c r="X80" s="598">
        <v>64.041788158778402</v>
      </c>
      <c r="Y80" s="598">
        <v>63.396791035775905</v>
      </c>
      <c r="Z80" s="598">
        <v>62.762517124145361</v>
      </c>
      <c r="AA80" s="598">
        <v>62.139077483685874</v>
      </c>
      <c r="AB80" s="598">
        <v>61.526909523010318</v>
      </c>
      <c r="AC80" s="598">
        <v>60.925896456892502</v>
      </c>
      <c r="AD80" s="598">
        <v>60.335746568404467</v>
      </c>
      <c r="AE80" s="598">
        <v>59.756268120987301</v>
      </c>
      <c r="AF80" s="598">
        <v>59.187298014428471</v>
      </c>
      <c r="AG80" s="598">
        <v>58.628617283242818</v>
      </c>
      <c r="AH80" s="598">
        <v>58.079894376691605</v>
      </c>
      <c r="AI80" s="598">
        <v>57.540844678841204</v>
      </c>
      <c r="AJ80" s="598">
        <v>57.011353751777683</v>
      </c>
      <c r="AK80" s="598">
        <v>56.491333218665908</v>
      </c>
      <c r="AL80" s="598"/>
      <c r="AM80" s="598"/>
      <c r="AN80" s="598"/>
      <c r="AO80" s="598"/>
      <c r="AP80" s="598"/>
      <c r="AQ80" s="598"/>
      <c r="AR80" s="598"/>
      <c r="AS80" s="598"/>
      <c r="AT80" s="598"/>
      <c r="AU80" s="598"/>
      <c r="AV80" s="598"/>
      <c r="AW80" s="598"/>
      <c r="AX80" s="598"/>
      <c r="AY80" s="598"/>
      <c r="AZ80" s="598"/>
      <c r="BA80" s="598"/>
      <c r="BB80" s="598"/>
      <c r="BC80" s="598"/>
      <c r="BD80" s="598"/>
      <c r="BE80" s="598"/>
      <c r="BF80" s="598"/>
      <c r="BG80" s="598"/>
      <c r="BH80" s="598"/>
      <c r="BI80" s="598"/>
      <c r="BJ80" s="598"/>
      <c r="BK80" s="598"/>
      <c r="BL80" s="598"/>
      <c r="BM80" s="598"/>
      <c r="BN80" s="598"/>
      <c r="BO80" s="598"/>
      <c r="BP80" s="598"/>
      <c r="BQ80" s="598"/>
      <c r="BR80" s="598"/>
      <c r="BS80" s="598"/>
      <c r="BT80" s="598"/>
      <c r="BU80" s="598"/>
      <c r="BV80" s="598"/>
      <c r="BW80" s="598"/>
      <c r="BX80" s="598"/>
      <c r="BY80" s="598"/>
      <c r="BZ80" s="598"/>
      <c r="CA80" s="598"/>
      <c r="CB80" s="598"/>
      <c r="CC80" s="598"/>
      <c r="CD80" s="598"/>
      <c r="CE80" s="598"/>
      <c r="CF80" s="598"/>
      <c r="CG80" s="598"/>
      <c r="CH80" s="598"/>
      <c r="CI80" s="599"/>
      <c r="CJ80" s="1479"/>
      <c r="CK80" s="1293"/>
    </row>
    <row r="81" spans="1:89" s="1292" customFormat="1" x14ac:dyDescent="0.2">
      <c r="A81" s="1284"/>
      <c r="B81" s="615" t="s">
        <v>575</v>
      </c>
      <c r="C81" s="614" t="s">
        <v>576</v>
      </c>
      <c r="D81" s="616" t="s">
        <v>577</v>
      </c>
      <c r="E81" s="612" t="s">
        <v>344</v>
      </c>
      <c r="F81" s="613">
        <v>2</v>
      </c>
      <c r="G81" s="547">
        <f>SUM(G77:G80)</f>
        <v>0</v>
      </c>
      <c r="H81" s="547">
        <f t="shared" ref="H81:AK81" si="36">SUM(H77:H80)</f>
        <v>0</v>
      </c>
      <c r="I81" s="547">
        <f t="shared" si="36"/>
        <v>224.40945006186305</v>
      </c>
      <c r="J81" s="547">
        <f t="shared" si="36"/>
        <v>225.08716667975034</v>
      </c>
      <c r="K81" s="547">
        <f t="shared" si="36"/>
        <v>227.08837932677247</v>
      </c>
      <c r="L81" s="547">
        <f t="shared" si="36"/>
        <v>228.85244277849907</v>
      </c>
      <c r="M81" s="552">
        <f t="shared" si="36"/>
        <v>230.60658627115373</v>
      </c>
      <c r="N81" s="552">
        <f t="shared" si="36"/>
        <v>232.05219215406976</v>
      </c>
      <c r="O81" s="552">
        <f t="shared" si="36"/>
        <v>233.13945051705309</v>
      </c>
      <c r="P81" s="552">
        <f t="shared" si="36"/>
        <v>234.10504776241197</v>
      </c>
      <c r="Q81" s="552">
        <f t="shared" si="36"/>
        <v>234.83930197702765</v>
      </c>
      <c r="R81" s="552">
        <f t="shared" si="36"/>
        <v>235.54204350257493</v>
      </c>
      <c r="S81" s="552">
        <f t="shared" si="36"/>
        <v>236.26476285253369</v>
      </c>
      <c r="T81" s="552">
        <f t="shared" si="36"/>
        <v>236.96914669239322</v>
      </c>
      <c r="U81" s="552">
        <f t="shared" si="36"/>
        <v>237.67764842847137</v>
      </c>
      <c r="V81" s="552">
        <f t="shared" si="36"/>
        <v>238.46992476444177</v>
      </c>
      <c r="W81" s="552">
        <f t="shared" si="36"/>
        <v>239.23063671009746</v>
      </c>
      <c r="X81" s="552">
        <f t="shared" si="36"/>
        <v>239.9676398338882</v>
      </c>
      <c r="Y81" s="552">
        <f t="shared" si="36"/>
        <v>240.7040391378676</v>
      </c>
      <c r="Z81" s="552">
        <f t="shared" si="36"/>
        <v>241.50550416694171</v>
      </c>
      <c r="AA81" s="552">
        <f t="shared" si="36"/>
        <v>242.42079903691538</v>
      </c>
      <c r="AB81" s="552">
        <f t="shared" si="36"/>
        <v>243.35625677672792</v>
      </c>
      <c r="AC81" s="552">
        <f t="shared" si="36"/>
        <v>244.28605625836704</v>
      </c>
      <c r="AD81" s="552">
        <f t="shared" si="36"/>
        <v>245.22125345939324</v>
      </c>
      <c r="AE81" s="552">
        <f t="shared" si="36"/>
        <v>246.16847439589591</v>
      </c>
      <c r="AF81" s="552">
        <f t="shared" si="36"/>
        <v>247.10718938290833</v>
      </c>
      <c r="AG81" s="552">
        <f t="shared" si="36"/>
        <v>248.01472747751095</v>
      </c>
      <c r="AH81" s="552">
        <f t="shared" si="36"/>
        <v>248.8969513928711</v>
      </c>
      <c r="AI81" s="552">
        <f t="shared" si="36"/>
        <v>249.79194277940337</v>
      </c>
      <c r="AJ81" s="552">
        <f t="shared" si="36"/>
        <v>250.706065232566</v>
      </c>
      <c r="AK81" s="552">
        <f t="shared" si="36"/>
        <v>251.60924761094824</v>
      </c>
      <c r="AL81" s="552"/>
      <c r="AM81" s="552"/>
      <c r="AN81" s="552"/>
      <c r="AO81" s="552"/>
      <c r="AP81" s="552"/>
      <c r="AQ81" s="552"/>
      <c r="AR81" s="552"/>
      <c r="AS81" s="552"/>
      <c r="AT81" s="552"/>
      <c r="AU81" s="552"/>
      <c r="AV81" s="552"/>
      <c r="AW81" s="552"/>
      <c r="AX81" s="552"/>
      <c r="AY81" s="552"/>
      <c r="AZ81" s="552"/>
      <c r="BA81" s="552"/>
      <c r="BB81" s="552"/>
      <c r="BC81" s="552"/>
      <c r="BD81" s="552"/>
      <c r="BE81" s="552"/>
      <c r="BF81" s="552"/>
      <c r="BG81" s="552"/>
      <c r="BH81" s="552"/>
      <c r="BI81" s="552"/>
      <c r="BJ81" s="552"/>
      <c r="BK81" s="552"/>
      <c r="BL81" s="552"/>
      <c r="BM81" s="552"/>
      <c r="BN81" s="552"/>
      <c r="BO81" s="552"/>
      <c r="BP81" s="552"/>
      <c r="BQ81" s="552"/>
      <c r="BR81" s="552"/>
      <c r="BS81" s="552"/>
      <c r="BT81" s="552"/>
      <c r="BU81" s="552"/>
      <c r="BV81" s="552"/>
      <c r="BW81" s="552"/>
      <c r="BX81" s="552"/>
      <c r="BY81" s="552"/>
      <c r="BZ81" s="552"/>
      <c r="CA81" s="552"/>
      <c r="CB81" s="552"/>
      <c r="CC81" s="552"/>
      <c r="CD81" s="552"/>
      <c r="CE81" s="552"/>
      <c r="CF81" s="552"/>
      <c r="CG81" s="552"/>
      <c r="CH81" s="552"/>
      <c r="CI81" s="548"/>
      <c r="CJ81" s="1479"/>
      <c r="CK81" s="1293"/>
    </row>
    <row r="82" spans="1:89" s="1292" customFormat="1" ht="28.5" x14ac:dyDescent="0.2">
      <c r="A82" s="1284"/>
      <c r="B82" s="615" t="s">
        <v>578</v>
      </c>
      <c r="C82" s="614" t="s">
        <v>579</v>
      </c>
      <c r="D82" s="616" t="s">
        <v>580</v>
      </c>
      <c r="E82" s="612" t="s">
        <v>581</v>
      </c>
      <c r="F82" s="613">
        <v>1</v>
      </c>
      <c r="G82" s="575" t="e">
        <f>(G80+G79)/(G66+G74)</f>
        <v>#DIV/0!</v>
      </c>
      <c r="H82" s="575" t="e">
        <f t="shared" ref="H82:AK82" si="37">(H80+H79)/(H66+H74)</f>
        <v>#DIV/0!</v>
      </c>
      <c r="I82" s="575">
        <f t="shared" si="37"/>
        <v>2.3698434253326242</v>
      </c>
      <c r="J82" s="575">
        <f t="shared" si="37"/>
        <v>2.3651997561167852</v>
      </c>
      <c r="K82" s="575">
        <f t="shared" si="37"/>
        <v>2.3566954750708833</v>
      </c>
      <c r="L82" s="575">
        <f t="shared" si="37"/>
        <v>2.3485091806612379</v>
      </c>
      <c r="M82" s="575">
        <f t="shared" si="37"/>
        <v>2.3397066449556672</v>
      </c>
      <c r="N82" s="575">
        <f t="shared" si="37"/>
        <v>2.3305876143403776</v>
      </c>
      <c r="O82" s="575">
        <f t="shared" si="37"/>
        <v>2.3214693194026443</v>
      </c>
      <c r="P82" s="575">
        <f t="shared" si="37"/>
        <v>2.3133697893710439</v>
      </c>
      <c r="Q82" s="575">
        <f t="shared" si="37"/>
        <v>2.3051236235400019</v>
      </c>
      <c r="R82" s="575">
        <f t="shared" si="37"/>
        <v>2.2973322598815527</v>
      </c>
      <c r="S82" s="575">
        <f t="shared" si="37"/>
        <v>2.2897614498352343</v>
      </c>
      <c r="T82" s="575">
        <f t="shared" si="37"/>
        <v>2.2822360995214126</v>
      </c>
      <c r="U82" s="575">
        <f t="shared" si="37"/>
        <v>2.2751107931825509</v>
      </c>
      <c r="V82" s="575">
        <f t="shared" si="37"/>
        <v>2.2691171471180613</v>
      </c>
      <c r="W82" s="575">
        <f t="shared" si="37"/>
        <v>2.263025502020831</v>
      </c>
      <c r="X82" s="575">
        <f t="shared" si="37"/>
        <v>2.2569368855830509</v>
      </c>
      <c r="Y82" s="575">
        <f t="shared" si="37"/>
        <v>2.2510069873427567</v>
      </c>
      <c r="Z82" s="575">
        <f t="shared" si="37"/>
        <v>2.2458715497820299</v>
      </c>
      <c r="AA82" s="575">
        <f t="shared" si="37"/>
        <v>2.2421377711177284</v>
      </c>
      <c r="AB82" s="575">
        <f t="shared" si="37"/>
        <v>2.2387526459260281</v>
      </c>
      <c r="AC82" s="575">
        <f t="shared" si="37"/>
        <v>2.2354487118913959</v>
      </c>
      <c r="AD82" s="575">
        <f t="shared" si="37"/>
        <v>2.2323096675521499</v>
      </c>
      <c r="AE82" s="575">
        <f t="shared" si="37"/>
        <v>2.2293891870082851</v>
      </c>
      <c r="AF82" s="575">
        <f t="shared" si="37"/>
        <v>2.2265565361226147</v>
      </c>
      <c r="AG82" s="575">
        <f t="shared" si="37"/>
        <v>2.2235503295229595</v>
      </c>
      <c r="AH82" s="575">
        <f t="shared" si="37"/>
        <v>2.220453618355724</v>
      </c>
      <c r="AI82" s="575">
        <f t="shared" si="37"/>
        <v>2.2176278668279314</v>
      </c>
      <c r="AJ82" s="575">
        <f t="shared" si="37"/>
        <v>2.2151274361730566</v>
      </c>
      <c r="AK82" s="575">
        <f t="shared" si="37"/>
        <v>2.21271623885846</v>
      </c>
      <c r="AL82" s="575"/>
      <c r="AM82" s="575"/>
      <c r="AN82" s="575"/>
      <c r="AO82" s="575"/>
      <c r="AP82" s="575"/>
      <c r="AQ82" s="575"/>
      <c r="AR82" s="575"/>
      <c r="AS82" s="575"/>
      <c r="AT82" s="575"/>
      <c r="AU82" s="575"/>
      <c r="AV82" s="575"/>
      <c r="AW82" s="575"/>
      <c r="AX82" s="575"/>
      <c r="AY82" s="575"/>
      <c r="AZ82" s="575"/>
      <c r="BA82" s="575"/>
      <c r="BB82" s="575"/>
      <c r="BC82" s="575"/>
      <c r="BD82" s="575"/>
      <c r="BE82" s="575"/>
      <c r="BF82" s="575"/>
      <c r="BG82" s="575"/>
      <c r="BH82" s="575"/>
      <c r="BI82" s="575"/>
      <c r="BJ82" s="575"/>
      <c r="BK82" s="575"/>
      <c r="BL82" s="575"/>
      <c r="BM82" s="575"/>
      <c r="BN82" s="575"/>
      <c r="BO82" s="575"/>
      <c r="BP82" s="575"/>
      <c r="BQ82" s="575"/>
      <c r="BR82" s="575"/>
      <c r="BS82" s="575"/>
      <c r="BT82" s="575"/>
      <c r="BU82" s="575"/>
      <c r="BV82" s="575"/>
      <c r="BW82" s="575"/>
      <c r="BX82" s="575"/>
      <c r="BY82" s="575"/>
      <c r="BZ82" s="575"/>
      <c r="CA82" s="575"/>
      <c r="CB82" s="575"/>
      <c r="CC82" s="575"/>
      <c r="CD82" s="575"/>
      <c r="CE82" s="575"/>
      <c r="CF82" s="575"/>
      <c r="CG82" s="575"/>
      <c r="CH82" s="575"/>
      <c r="CI82" s="575"/>
      <c r="CJ82" s="1479"/>
      <c r="CK82" s="1293"/>
    </row>
    <row r="83" spans="1:89" s="1292" customFormat="1" ht="28.5" x14ac:dyDescent="0.2">
      <c r="A83" s="1284"/>
      <c r="B83" s="615" t="s">
        <v>582</v>
      </c>
      <c r="C83" s="614" t="s">
        <v>583</v>
      </c>
      <c r="D83" s="616" t="s">
        <v>584</v>
      </c>
      <c r="E83" s="612" t="s">
        <v>375</v>
      </c>
      <c r="F83" s="613">
        <v>1</v>
      </c>
      <c r="G83" s="617" t="e">
        <f>G66/(G66+G74)</f>
        <v>#DIV/0!</v>
      </c>
      <c r="H83" s="617" t="e">
        <f t="shared" ref="H83:AK83" si="38">H66/(H66+H74)</f>
        <v>#DIV/0!</v>
      </c>
      <c r="I83" s="617">
        <f t="shared" si="38"/>
        <v>0.70718894107828767</v>
      </c>
      <c r="J83" s="617">
        <f t="shared" si="38"/>
        <v>0.7115692242952073</v>
      </c>
      <c r="K83" s="617">
        <f t="shared" si="38"/>
        <v>0.71871487986315041</v>
      </c>
      <c r="L83" s="617">
        <f t="shared" si="38"/>
        <v>0.73185091392726409</v>
      </c>
      <c r="M83" s="618">
        <f t="shared" si="38"/>
        <v>0.7610535345407623</v>
      </c>
      <c r="N83" s="618">
        <f t="shared" si="38"/>
        <v>0.78605709085951136</v>
      </c>
      <c r="O83" s="618">
        <f t="shared" si="38"/>
        <v>0.79401371045704217</v>
      </c>
      <c r="P83" s="618">
        <f t="shared" si="38"/>
        <v>0.80164968170077222</v>
      </c>
      <c r="Q83" s="618">
        <f t="shared" si="38"/>
        <v>0.80899773277726361</v>
      </c>
      <c r="R83" s="618">
        <f t="shared" si="38"/>
        <v>0.81344402066299826</v>
      </c>
      <c r="S83" s="618">
        <f t="shared" si="38"/>
        <v>0.81508443342805059</v>
      </c>
      <c r="T83" s="618">
        <f t="shared" si="38"/>
        <v>0.81668502782550934</v>
      </c>
      <c r="U83" s="618">
        <f t="shared" si="38"/>
        <v>0.8182474960326086</v>
      </c>
      <c r="V83" s="618">
        <f t="shared" si="38"/>
        <v>0.81977341697039463</v>
      </c>
      <c r="W83" s="618">
        <f t="shared" si="38"/>
        <v>0.82126413394934039</v>
      </c>
      <c r="X83" s="618">
        <f t="shared" si="38"/>
        <v>0.82272667333596239</v>
      </c>
      <c r="Y83" s="618">
        <f t="shared" si="38"/>
        <v>0.82416252285955804</v>
      </c>
      <c r="Z83" s="618">
        <f t="shared" si="38"/>
        <v>0.82557131703419795</v>
      </c>
      <c r="AA83" s="618">
        <f t="shared" si="38"/>
        <v>0.82693476709693836</v>
      </c>
      <c r="AB83" s="618">
        <f t="shared" si="38"/>
        <v>0.82827278087025469</v>
      </c>
      <c r="AC83" s="618">
        <f t="shared" si="38"/>
        <v>0.82959434719066072</v>
      </c>
      <c r="AD83" s="618">
        <f t="shared" si="38"/>
        <v>0.83089262014741461</v>
      </c>
      <c r="AE83" s="618">
        <f t="shared" si="38"/>
        <v>0.83216860811075732</v>
      </c>
      <c r="AF83" s="618">
        <f t="shared" si="38"/>
        <v>0.83342222786980868</v>
      </c>
      <c r="AG83" s="618">
        <f t="shared" si="38"/>
        <v>0.8346540036063741</v>
      </c>
      <c r="AH83" s="618">
        <f t="shared" si="38"/>
        <v>0.83586458409726516</v>
      </c>
      <c r="AI83" s="618">
        <f t="shared" si="38"/>
        <v>0.83705422914357641</v>
      </c>
      <c r="AJ83" s="618">
        <f t="shared" si="38"/>
        <v>0.83822249665989368</v>
      </c>
      <c r="AK83" s="618">
        <f t="shared" si="38"/>
        <v>0.83937015560076911</v>
      </c>
      <c r="AL83" s="618"/>
      <c r="AM83" s="618"/>
      <c r="AN83" s="618"/>
      <c r="AO83" s="618"/>
      <c r="AP83" s="618"/>
      <c r="AQ83" s="618"/>
      <c r="AR83" s="618"/>
      <c r="AS83" s="618"/>
      <c r="AT83" s="618"/>
      <c r="AU83" s="618"/>
      <c r="AV83" s="618"/>
      <c r="AW83" s="618"/>
      <c r="AX83" s="618"/>
      <c r="AY83" s="618"/>
      <c r="AZ83" s="618"/>
      <c r="BA83" s="618"/>
      <c r="BB83" s="618"/>
      <c r="BC83" s="618"/>
      <c r="BD83" s="618"/>
      <c r="BE83" s="618"/>
      <c r="BF83" s="618"/>
      <c r="BG83" s="618"/>
      <c r="BH83" s="618"/>
      <c r="BI83" s="618"/>
      <c r="BJ83" s="618"/>
      <c r="BK83" s="618"/>
      <c r="BL83" s="618"/>
      <c r="BM83" s="618"/>
      <c r="BN83" s="618"/>
      <c r="BO83" s="618"/>
      <c r="BP83" s="618"/>
      <c r="BQ83" s="618"/>
      <c r="BR83" s="618"/>
      <c r="BS83" s="618"/>
      <c r="BT83" s="618"/>
      <c r="BU83" s="618"/>
      <c r="BV83" s="618"/>
      <c r="BW83" s="618"/>
      <c r="BX83" s="618"/>
      <c r="BY83" s="618"/>
      <c r="BZ83" s="618"/>
      <c r="CA83" s="618"/>
      <c r="CB83" s="618"/>
      <c r="CC83" s="618"/>
      <c r="CD83" s="618"/>
      <c r="CE83" s="618"/>
      <c r="CF83" s="618"/>
      <c r="CG83" s="618"/>
      <c r="CH83" s="618"/>
      <c r="CI83" s="619"/>
      <c r="CJ83" s="1479"/>
      <c r="CK83" s="1293"/>
    </row>
    <row r="84" spans="1:89" s="1292" customFormat="1" ht="29.25" thickBot="1" x14ac:dyDescent="0.25">
      <c r="A84" s="1284"/>
      <c r="B84" s="620" t="s">
        <v>585</v>
      </c>
      <c r="C84" s="621" t="s">
        <v>586</v>
      </c>
      <c r="D84" s="622" t="s">
        <v>587</v>
      </c>
      <c r="E84" s="623" t="s">
        <v>375</v>
      </c>
      <c r="F84" s="624">
        <v>1</v>
      </c>
      <c r="G84" s="625" t="e">
        <f>(G66)/(G66+G75+G74+G73)</f>
        <v>#DIV/0!</v>
      </c>
      <c r="H84" s="625" t="e">
        <f t="shared" ref="H84:AK84" si="39">(H66)/(H66+H75+H74+H73)</f>
        <v>#DIV/0!</v>
      </c>
      <c r="I84" s="625">
        <f t="shared" si="39"/>
        <v>0.68570005809610757</v>
      </c>
      <c r="J84" s="625">
        <f t="shared" si="39"/>
        <v>0.68997755014504591</v>
      </c>
      <c r="K84" s="625">
        <f t="shared" si="39"/>
        <v>0.69691969599997716</v>
      </c>
      <c r="L84" s="625">
        <f t="shared" si="39"/>
        <v>0.70969550299547435</v>
      </c>
      <c r="M84" s="625">
        <f t="shared" si="39"/>
        <v>0.73808533625956163</v>
      </c>
      <c r="N84" s="625">
        <f t="shared" si="39"/>
        <v>0.76238589268315704</v>
      </c>
      <c r="O84" s="625">
        <f t="shared" si="39"/>
        <v>0.77012084845803852</v>
      </c>
      <c r="P84" s="625">
        <f t="shared" si="39"/>
        <v>0.77754334196767316</v>
      </c>
      <c r="Q84" s="625">
        <f t="shared" si="39"/>
        <v>0.78468604660386687</v>
      </c>
      <c r="R84" s="625">
        <f t="shared" si="39"/>
        <v>0.78900834626208272</v>
      </c>
      <c r="S84" s="625">
        <f t="shared" si="39"/>
        <v>0.79060311502559744</v>
      </c>
      <c r="T84" s="625">
        <f t="shared" si="39"/>
        <v>0.79215916210914572</v>
      </c>
      <c r="U84" s="625">
        <f t="shared" si="39"/>
        <v>0.79367816713243988</v>
      </c>
      <c r="V84" s="625">
        <f t="shared" si="39"/>
        <v>0.79516167280331063</v>
      </c>
      <c r="W84" s="625">
        <f t="shared" si="39"/>
        <v>0.79661097335382713</v>
      </c>
      <c r="X84" s="625">
        <f t="shared" si="39"/>
        <v>0.79803290042844122</v>
      </c>
      <c r="Y84" s="625">
        <f t="shared" si="39"/>
        <v>0.79942887512105998</v>
      </c>
      <c r="Z84" s="625">
        <f t="shared" si="39"/>
        <v>0.80079852209461544</v>
      </c>
      <c r="AA84" s="625">
        <f t="shared" si="39"/>
        <v>0.80212412730135829</v>
      </c>
      <c r="AB84" s="625">
        <f t="shared" si="39"/>
        <v>0.80342500601478317</v>
      </c>
      <c r="AC84" s="625">
        <f t="shared" si="39"/>
        <v>0.8047098630634405</v>
      </c>
      <c r="AD84" s="625">
        <f t="shared" si="39"/>
        <v>0.80597205957481655</v>
      </c>
      <c r="AE84" s="625">
        <f t="shared" si="39"/>
        <v>0.80721260918683091</v>
      </c>
      <c r="AF84" s="625">
        <f t="shared" si="39"/>
        <v>0.80843141641546756</v>
      </c>
      <c r="AG84" s="625">
        <f t="shared" si="39"/>
        <v>0.80962899179974257</v>
      </c>
      <c r="AH84" s="625">
        <f t="shared" si="39"/>
        <v>0.81080595323418503</v>
      </c>
      <c r="AI84" s="625">
        <f t="shared" si="39"/>
        <v>0.81196254236966137</v>
      </c>
      <c r="AJ84" s="625">
        <f t="shared" si="39"/>
        <v>0.81309833632107087</v>
      </c>
      <c r="AK84" s="625">
        <f t="shared" si="39"/>
        <v>0.81421409181747006</v>
      </c>
      <c r="AL84" s="625"/>
      <c r="AM84" s="625"/>
      <c r="AN84" s="625"/>
      <c r="AO84" s="625"/>
      <c r="AP84" s="625"/>
      <c r="AQ84" s="625"/>
      <c r="AR84" s="625"/>
      <c r="AS84" s="625"/>
      <c r="AT84" s="625"/>
      <c r="AU84" s="625"/>
      <c r="AV84" s="625"/>
      <c r="AW84" s="625"/>
      <c r="AX84" s="625"/>
      <c r="AY84" s="625"/>
      <c r="AZ84" s="625"/>
      <c r="BA84" s="625"/>
      <c r="BB84" s="625"/>
      <c r="BC84" s="625"/>
      <c r="BD84" s="625"/>
      <c r="BE84" s="625"/>
      <c r="BF84" s="625"/>
      <c r="BG84" s="625"/>
      <c r="BH84" s="625"/>
      <c r="BI84" s="625"/>
      <c r="BJ84" s="625"/>
      <c r="BK84" s="625"/>
      <c r="BL84" s="625"/>
      <c r="BM84" s="625"/>
      <c r="BN84" s="625"/>
      <c r="BO84" s="625"/>
      <c r="BP84" s="625"/>
      <c r="BQ84" s="625"/>
      <c r="BR84" s="625"/>
      <c r="BS84" s="625"/>
      <c r="BT84" s="625"/>
      <c r="BU84" s="625"/>
      <c r="BV84" s="625"/>
      <c r="BW84" s="625"/>
      <c r="BX84" s="625"/>
      <c r="BY84" s="625"/>
      <c r="BZ84" s="625"/>
      <c r="CA84" s="625"/>
      <c r="CB84" s="625"/>
      <c r="CC84" s="625"/>
      <c r="CD84" s="625"/>
      <c r="CE84" s="625"/>
      <c r="CF84" s="625"/>
      <c r="CG84" s="625"/>
      <c r="CH84" s="625"/>
      <c r="CI84" s="625"/>
      <c r="CJ84" s="1479"/>
      <c r="CK84" s="1293"/>
    </row>
    <row r="85" spans="1:89" s="1292" customFormat="1" ht="29.25" thickBot="1" x14ac:dyDescent="0.25">
      <c r="A85" s="1284"/>
      <c r="B85" s="626" t="s">
        <v>588</v>
      </c>
      <c r="C85" s="627" t="s">
        <v>245</v>
      </c>
      <c r="D85" s="627" t="s">
        <v>589</v>
      </c>
      <c r="E85" s="627" t="s">
        <v>236</v>
      </c>
      <c r="F85" s="628">
        <v>2</v>
      </c>
      <c r="G85" s="629">
        <f>SUM(G45:G47)+G43+G54+G59+G60+G53</f>
        <v>0</v>
      </c>
      <c r="H85" s="629">
        <f>SUM(H45:H47)+H43+H54+H59+H60+H53</f>
        <v>0</v>
      </c>
      <c r="I85" s="629">
        <f t="shared" ref="I85:AK85" si="40">SUM(I45:I47)+I43+I54+I59+I60+I53</f>
        <v>46.466061490799248</v>
      </c>
      <c r="J85" s="629">
        <f t="shared" si="40"/>
        <v>46.930665609919217</v>
      </c>
      <c r="K85" s="629">
        <f t="shared" si="40"/>
        <v>48.062441666593571</v>
      </c>
      <c r="L85" s="629">
        <f t="shared" si="40"/>
        <v>48.37116203274492</v>
      </c>
      <c r="M85" s="629">
        <f t="shared" si="40"/>
        <v>48.794961075465821</v>
      </c>
      <c r="N85" s="629">
        <f t="shared" si="40"/>
        <v>48.968565908665603</v>
      </c>
      <c r="O85" s="629">
        <f>SUM(O45:O47)+O43+O54+O59+O60+O53</f>
        <v>51.124464589583404</v>
      </c>
      <c r="P85" s="629">
        <f t="shared" si="40"/>
        <v>51.182038787209343</v>
      </c>
      <c r="Q85" s="629">
        <f t="shared" si="40"/>
        <v>51.206980441781148</v>
      </c>
      <c r="R85" s="629">
        <f t="shared" si="40"/>
        <v>51.272337888812153</v>
      </c>
      <c r="S85" s="629">
        <f t="shared" si="40"/>
        <v>51.371743036433692</v>
      </c>
      <c r="T85" s="629">
        <f t="shared" si="40"/>
        <v>51.472972471499787</v>
      </c>
      <c r="U85" s="629">
        <f t="shared" si="40"/>
        <v>51.573746489209228</v>
      </c>
      <c r="V85" s="629">
        <f t="shared" si="40"/>
        <v>51.688981097559903</v>
      </c>
      <c r="W85" s="629">
        <f t="shared" si="40"/>
        <v>51.799573577424319</v>
      </c>
      <c r="X85" s="629">
        <f t="shared" si="40"/>
        <v>51.914161271595262</v>
      </c>
      <c r="Y85" s="629">
        <f t="shared" si="40"/>
        <v>52.028191854940161</v>
      </c>
      <c r="Z85" s="629">
        <f t="shared" si="40"/>
        <v>52.15461140871772</v>
      </c>
      <c r="AA85" s="629">
        <f t="shared" si="40"/>
        <v>52.289147806642013</v>
      </c>
      <c r="AB85" s="629">
        <f t="shared" si="40"/>
        <v>52.392550753343471</v>
      </c>
      <c r="AC85" s="629">
        <f t="shared" si="40"/>
        <v>52.524009282628377</v>
      </c>
      <c r="AD85" s="629">
        <f t="shared" si="40"/>
        <v>52.664493193801</v>
      </c>
      <c r="AE85" s="629">
        <f t="shared" si="40"/>
        <v>52.807009443845971</v>
      </c>
      <c r="AF85" s="629">
        <f t="shared" si="40"/>
        <v>52.948502778999718</v>
      </c>
      <c r="AG85" s="629">
        <f t="shared" si="40"/>
        <v>53.083273175569119</v>
      </c>
      <c r="AH85" s="629">
        <f t="shared" si="40"/>
        <v>53.221953597191892</v>
      </c>
      <c r="AI85" s="629">
        <f t="shared" si="40"/>
        <v>53.357881525407855</v>
      </c>
      <c r="AJ85" s="629">
        <f t="shared" si="40"/>
        <v>53.494872995421247</v>
      </c>
      <c r="AK85" s="629">
        <f t="shared" si="40"/>
        <v>53.625343649448986</v>
      </c>
      <c r="AL85" s="629"/>
      <c r="AM85" s="629"/>
      <c r="AN85" s="629"/>
      <c r="AO85" s="629"/>
      <c r="AP85" s="629"/>
      <c r="AQ85" s="629"/>
      <c r="AR85" s="629"/>
      <c r="AS85" s="629"/>
      <c r="AT85" s="629"/>
      <c r="AU85" s="629"/>
      <c r="AV85" s="629"/>
      <c r="AW85" s="629"/>
      <c r="AX85" s="629"/>
      <c r="AY85" s="629"/>
      <c r="AZ85" s="629"/>
      <c r="BA85" s="629"/>
      <c r="BB85" s="629"/>
      <c r="BC85" s="629"/>
      <c r="BD85" s="629"/>
      <c r="BE85" s="629"/>
      <c r="BF85" s="629"/>
      <c r="BG85" s="629"/>
      <c r="BH85" s="629"/>
      <c r="BI85" s="629"/>
      <c r="BJ85" s="629"/>
      <c r="BK85" s="629"/>
      <c r="BL85" s="629"/>
      <c r="BM85" s="629"/>
      <c r="BN85" s="629"/>
      <c r="BO85" s="629"/>
      <c r="BP85" s="629"/>
      <c r="BQ85" s="629"/>
      <c r="BR85" s="629"/>
      <c r="BS85" s="629"/>
      <c r="BT85" s="629"/>
      <c r="BU85" s="629"/>
      <c r="BV85" s="629"/>
      <c r="BW85" s="629"/>
      <c r="BX85" s="629"/>
      <c r="BY85" s="629"/>
      <c r="BZ85" s="629"/>
      <c r="CA85" s="629"/>
      <c r="CB85" s="629"/>
      <c r="CC85" s="629"/>
      <c r="CD85" s="629"/>
      <c r="CE85" s="629"/>
      <c r="CF85" s="629"/>
      <c r="CG85" s="629"/>
      <c r="CH85" s="629"/>
      <c r="CI85" s="629"/>
      <c r="CJ85" s="1479"/>
      <c r="CK85" s="1293"/>
    </row>
    <row r="86" spans="1:89" s="1292" customFormat="1" ht="28.5" x14ac:dyDescent="0.2">
      <c r="A86" s="1585"/>
      <c r="B86" s="630" t="s">
        <v>590</v>
      </c>
      <c r="C86" s="631" t="s">
        <v>591</v>
      </c>
      <c r="D86" s="529" t="s">
        <v>86</v>
      </c>
      <c r="E86" s="631" t="s">
        <v>236</v>
      </c>
      <c r="F86" s="632">
        <v>2</v>
      </c>
      <c r="G86" s="633"/>
      <c r="H86" s="540"/>
      <c r="I86" s="540">
        <v>3.9030054225756006E-2</v>
      </c>
      <c r="J86" s="540">
        <v>0.27807492239316889</v>
      </c>
      <c r="K86" s="540">
        <v>9.0014642111507115E-2</v>
      </c>
      <c r="L86" s="540">
        <v>0.14540294108179408</v>
      </c>
      <c r="M86" s="541">
        <v>1.4518846079899284E-2</v>
      </c>
      <c r="N86" s="541">
        <v>0.15980887403417898</v>
      </c>
      <c r="O86" s="541">
        <v>8.8679861313968988E-2</v>
      </c>
      <c r="P86" s="541">
        <v>0.15713586159463788</v>
      </c>
      <c r="Q86" s="541">
        <v>0.14695112973140612</v>
      </c>
      <c r="R86" s="541">
        <v>0.14811706456215501</v>
      </c>
      <c r="S86" s="541">
        <v>0.13505291211321691</v>
      </c>
      <c r="T86" s="541">
        <v>0.15062641602361404</v>
      </c>
      <c r="U86" s="541">
        <v>0.14681566184925599</v>
      </c>
      <c r="V86" s="541">
        <v>0.15895741394092699</v>
      </c>
      <c r="W86" s="541">
        <v>0.16011583884221603</v>
      </c>
      <c r="X86" s="541">
        <v>0.17333048882956592</v>
      </c>
      <c r="Y86" s="541">
        <v>0.16991417502133299</v>
      </c>
      <c r="Z86" s="541">
        <v>0.18124130519400905</v>
      </c>
      <c r="AA86" s="541">
        <v>0.18855825458762199</v>
      </c>
      <c r="AB86" s="541">
        <v>0.19684211282051101</v>
      </c>
      <c r="AC86" s="541">
        <v>0.19747931125856999</v>
      </c>
      <c r="AD86" s="541">
        <v>0.21518345991578802</v>
      </c>
      <c r="AE86" s="541">
        <v>0.21488407232552198</v>
      </c>
      <c r="AF86" s="541">
        <v>0.22544656063808</v>
      </c>
      <c r="AG86" s="541">
        <v>0.22524046433424405</v>
      </c>
      <c r="AH86" s="541">
        <v>0.23840467010658095</v>
      </c>
      <c r="AI86" s="541">
        <v>0.23845174924669899</v>
      </c>
      <c r="AJ86" s="541">
        <v>0.24700265419162198</v>
      </c>
      <c r="AK86" s="541">
        <v>0.25551201148639902</v>
      </c>
      <c r="AL86" s="541"/>
      <c r="AM86" s="541"/>
      <c r="AN86" s="541"/>
      <c r="AO86" s="541"/>
      <c r="AP86" s="541"/>
      <c r="AQ86" s="541"/>
      <c r="AR86" s="541"/>
      <c r="AS86" s="541"/>
      <c r="AT86" s="541"/>
      <c r="AU86" s="541"/>
      <c r="AV86" s="541"/>
      <c r="AW86" s="541"/>
      <c r="AX86" s="541"/>
      <c r="AY86" s="541"/>
      <c r="AZ86" s="541"/>
      <c r="BA86" s="541"/>
      <c r="BB86" s="541"/>
      <c r="BC86" s="541"/>
      <c r="BD86" s="541"/>
      <c r="BE86" s="541"/>
      <c r="BF86" s="541"/>
      <c r="BG86" s="541"/>
      <c r="BH86" s="541"/>
      <c r="BI86" s="541"/>
      <c r="BJ86" s="541"/>
      <c r="BK86" s="541"/>
      <c r="BL86" s="541"/>
      <c r="BM86" s="541"/>
      <c r="BN86" s="541"/>
      <c r="BO86" s="541"/>
      <c r="BP86" s="541"/>
      <c r="BQ86" s="541"/>
      <c r="BR86" s="541"/>
      <c r="BS86" s="541"/>
      <c r="BT86" s="541"/>
      <c r="BU86" s="541"/>
      <c r="BV86" s="541"/>
      <c r="BW86" s="541"/>
      <c r="BX86" s="541"/>
      <c r="BY86" s="541"/>
      <c r="BZ86" s="541"/>
      <c r="CA86" s="541"/>
      <c r="CB86" s="541"/>
      <c r="CC86" s="541"/>
      <c r="CD86" s="541"/>
      <c r="CE86" s="541"/>
      <c r="CF86" s="541"/>
      <c r="CG86" s="541"/>
      <c r="CH86" s="541"/>
      <c r="CI86" s="542"/>
      <c r="CJ86" s="1479"/>
    </row>
    <row r="87" spans="1:89" s="1292" customFormat="1" x14ac:dyDescent="0.2">
      <c r="A87" s="1585"/>
      <c r="B87" s="634" t="s">
        <v>592</v>
      </c>
      <c r="C87" s="635" t="s">
        <v>593</v>
      </c>
      <c r="D87" s="537" t="s">
        <v>86</v>
      </c>
      <c r="E87" s="635" t="s">
        <v>236</v>
      </c>
      <c r="F87" s="636">
        <v>2</v>
      </c>
      <c r="G87" s="637"/>
      <c r="H87" s="540"/>
      <c r="I87" s="540">
        <v>1.9629341069666919</v>
      </c>
      <c r="J87" s="540">
        <v>1.9521523757716051</v>
      </c>
      <c r="K87" s="540">
        <v>2.0180918838889159</v>
      </c>
      <c r="L87" s="540">
        <v>1.9463899098720341</v>
      </c>
      <c r="M87" s="541">
        <v>2.0329694291320068</v>
      </c>
      <c r="N87" s="541">
        <v>1.623848968512704</v>
      </c>
      <c r="O87" s="541">
        <v>1.398875535093338</v>
      </c>
      <c r="P87" s="541">
        <v>1.230505191308767</v>
      </c>
      <c r="Q87" s="541">
        <v>1.1429560464886619</v>
      </c>
      <c r="R87" s="541">
        <v>1.0219167149510799</v>
      </c>
      <c r="S87" s="541">
        <v>0.97049551313360705</v>
      </c>
      <c r="T87" s="541">
        <v>0.92567719008509697</v>
      </c>
      <c r="U87" s="541">
        <v>0.87700401765491098</v>
      </c>
      <c r="V87" s="541">
        <v>0.84396567941266099</v>
      </c>
      <c r="W87" s="541">
        <v>0.80151613350705098</v>
      </c>
      <c r="X87" s="541">
        <v>0.76655870889299005</v>
      </c>
      <c r="Y87" s="541">
        <v>0.73790291737439095</v>
      </c>
      <c r="Z87" s="541">
        <v>0.703468639713132</v>
      </c>
      <c r="AA87" s="541">
        <v>0.67679506309152004</v>
      </c>
      <c r="AB87" s="541">
        <v>0.64877633251896605</v>
      </c>
      <c r="AC87" s="541">
        <v>0.62341271741019</v>
      </c>
      <c r="AD87" s="541">
        <v>0.58754579874908497</v>
      </c>
      <c r="AE87" s="541">
        <v>0.56800576264595204</v>
      </c>
      <c r="AF87" s="541">
        <v>0.54041732305267698</v>
      </c>
      <c r="AG87" s="541">
        <v>0.52071259085460297</v>
      </c>
      <c r="AH87" s="541">
        <v>0.49676566954303802</v>
      </c>
      <c r="AI87" s="541">
        <v>0.45374298055006101</v>
      </c>
      <c r="AJ87" s="541">
        <v>0.44911139041235199</v>
      </c>
      <c r="AK87" s="541">
        <v>0.43175970442331102</v>
      </c>
      <c r="AL87" s="541"/>
      <c r="AM87" s="541"/>
      <c r="AN87" s="541"/>
      <c r="AO87" s="541"/>
      <c r="AP87" s="541"/>
      <c r="AQ87" s="541"/>
      <c r="AR87" s="541"/>
      <c r="AS87" s="541"/>
      <c r="AT87" s="541"/>
      <c r="AU87" s="541"/>
      <c r="AV87" s="541"/>
      <c r="AW87" s="541"/>
      <c r="AX87" s="541"/>
      <c r="AY87" s="541"/>
      <c r="AZ87" s="541"/>
      <c r="BA87" s="541"/>
      <c r="BB87" s="541"/>
      <c r="BC87" s="541"/>
      <c r="BD87" s="541"/>
      <c r="BE87" s="541"/>
      <c r="BF87" s="541"/>
      <c r="BG87" s="541"/>
      <c r="BH87" s="541"/>
      <c r="BI87" s="541"/>
      <c r="BJ87" s="541"/>
      <c r="BK87" s="541"/>
      <c r="BL87" s="541"/>
      <c r="BM87" s="541"/>
      <c r="BN87" s="541"/>
      <c r="BO87" s="541"/>
      <c r="BP87" s="541"/>
      <c r="BQ87" s="541"/>
      <c r="BR87" s="541"/>
      <c r="BS87" s="541"/>
      <c r="BT87" s="541"/>
      <c r="BU87" s="541"/>
      <c r="BV87" s="541"/>
      <c r="BW87" s="541"/>
      <c r="BX87" s="541"/>
      <c r="BY87" s="541"/>
      <c r="BZ87" s="541"/>
      <c r="CA87" s="541"/>
      <c r="CB87" s="541"/>
      <c r="CC87" s="541"/>
      <c r="CD87" s="541"/>
      <c r="CE87" s="541"/>
      <c r="CF87" s="541"/>
      <c r="CG87" s="541"/>
      <c r="CH87" s="541"/>
      <c r="CI87" s="542"/>
      <c r="CJ87" s="1479"/>
    </row>
    <row r="88" spans="1:89" s="1292" customFormat="1" x14ac:dyDescent="0.2">
      <c r="A88" s="1284"/>
      <c r="B88" s="634" t="s">
        <v>594</v>
      </c>
      <c r="C88" s="635" t="s">
        <v>384</v>
      </c>
      <c r="D88" s="537" t="s">
        <v>595</v>
      </c>
      <c r="E88" s="635" t="s">
        <v>236</v>
      </c>
      <c r="F88" s="636">
        <v>2</v>
      </c>
      <c r="G88" s="638">
        <f>G86+G87</f>
        <v>0</v>
      </c>
      <c r="H88" s="638">
        <f t="shared" ref="H88:AK88" si="41">H86+H87</f>
        <v>0</v>
      </c>
      <c r="I88" s="638">
        <f t="shared" si="41"/>
        <v>2.0019641611924479</v>
      </c>
      <c r="J88" s="638">
        <f t="shared" si="41"/>
        <v>2.2302272981647739</v>
      </c>
      <c r="K88" s="638">
        <f t="shared" si="41"/>
        <v>2.108106526000423</v>
      </c>
      <c r="L88" s="638">
        <f t="shared" si="41"/>
        <v>2.0917928509538282</v>
      </c>
      <c r="M88" s="639">
        <f t="shared" si="41"/>
        <v>2.0474882752119061</v>
      </c>
      <c r="N88" s="639">
        <f t="shared" si="41"/>
        <v>1.783657842546883</v>
      </c>
      <c r="O88" s="639">
        <f t="shared" si="41"/>
        <v>1.4875553964073069</v>
      </c>
      <c r="P88" s="639">
        <f t="shared" si="41"/>
        <v>1.3876410529034049</v>
      </c>
      <c r="Q88" s="639">
        <f t="shared" si="41"/>
        <v>1.289907176220068</v>
      </c>
      <c r="R88" s="639">
        <f t="shared" si="41"/>
        <v>1.170033779513235</v>
      </c>
      <c r="S88" s="639">
        <f t="shared" si="41"/>
        <v>1.105548425246824</v>
      </c>
      <c r="T88" s="639">
        <f t="shared" si="41"/>
        <v>1.076303606108711</v>
      </c>
      <c r="U88" s="639">
        <f t="shared" si="41"/>
        <v>1.023819679504167</v>
      </c>
      <c r="V88" s="639">
        <f t="shared" si="41"/>
        <v>1.002923093353588</v>
      </c>
      <c r="W88" s="639">
        <f t="shared" si="41"/>
        <v>0.96163197234926701</v>
      </c>
      <c r="X88" s="639">
        <f t="shared" si="41"/>
        <v>0.93988919772255597</v>
      </c>
      <c r="Y88" s="639">
        <f t="shared" si="41"/>
        <v>0.90781709239572395</v>
      </c>
      <c r="Z88" s="639">
        <f t="shared" si="41"/>
        <v>0.88470994490714105</v>
      </c>
      <c r="AA88" s="639">
        <f t="shared" si="41"/>
        <v>0.86535331767914203</v>
      </c>
      <c r="AB88" s="639">
        <f t="shared" si="41"/>
        <v>0.84561844533947705</v>
      </c>
      <c r="AC88" s="639">
        <f t="shared" si="41"/>
        <v>0.82089202866875999</v>
      </c>
      <c r="AD88" s="639">
        <f t="shared" si="41"/>
        <v>0.80272925866487299</v>
      </c>
      <c r="AE88" s="639">
        <f t="shared" si="41"/>
        <v>0.78288983497147402</v>
      </c>
      <c r="AF88" s="639">
        <f t="shared" si="41"/>
        <v>0.76586388369075697</v>
      </c>
      <c r="AG88" s="639">
        <f t="shared" si="41"/>
        <v>0.74595305518884703</v>
      </c>
      <c r="AH88" s="639">
        <f t="shared" si="41"/>
        <v>0.73517033964961898</v>
      </c>
      <c r="AI88" s="639">
        <f t="shared" si="41"/>
        <v>0.69219472979676</v>
      </c>
      <c r="AJ88" s="639">
        <f t="shared" si="41"/>
        <v>0.69611404460397397</v>
      </c>
      <c r="AK88" s="639">
        <f t="shared" si="41"/>
        <v>0.68727171590971003</v>
      </c>
      <c r="AL88" s="639"/>
      <c r="AM88" s="639"/>
      <c r="AN88" s="639"/>
      <c r="AO88" s="639"/>
      <c r="AP88" s="639"/>
      <c r="AQ88" s="639"/>
      <c r="AR88" s="639"/>
      <c r="AS88" s="639"/>
      <c r="AT88" s="639"/>
      <c r="AU88" s="639"/>
      <c r="AV88" s="639"/>
      <c r="AW88" s="639"/>
      <c r="AX88" s="639"/>
      <c r="AY88" s="639"/>
      <c r="AZ88" s="639"/>
      <c r="BA88" s="639"/>
      <c r="BB88" s="639"/>
      <c r="BC88" s="639"/>
      <c r="BD88" s="639"/>
      <c r="BE88" s="639"/>
      <c r="BF88" s="639"/>
      <c r="BG88" s="639"/>
      <c r="BH88" s="639"/>
      <c r="BI88" s="639"/>
      <c r="BJ88" s="639"/>
      <c r="BK88" s="639"/>
      <c r="BL88" s="639"/>
      <c r="BM88" s="639"/>
      <c r="BN88" s="639"/>
      <c r="BO88" s="639"/>
      <c r="BP88" s="639"/>
      <c r="BQ88" s="639"/>
      <c r="BR88" s="639"/>
      <c r="BS88" s="639"/>
      <c r="BT88" s="639"/>
      <c r="BU88" s="639"/>
      <c r="BV88" s="639"/>
      <c r="BW88" s="639"/>
      <c r="BX88" s="639"/>
      <c r="BY88" s="639"/>
      <c r="BZ88" s="639"/>
      <c r="CA88" s="639"/>
      <c r="CB88" s="639"/>
      <c r="CC88" s="639"/>
      <c r="CD88" s="639"/>
      <c r="CE88" s="639"/>
      <c r="CF88" s="639"/>
      <c r="CG88" s="639"/>
      <c r="CH88" s="639"/>
      <c r="CI88" s="640"/>
      <c r="CJ88" s="1479"/>
    </row>
    <row r="89" spans="1:89" s="1292" customFormat="1" x14ac:dyDescent="0.2">
      <c r="A89" s="1284"/>
      <c r="B89" s="1055" t="s">
        <v>596</v>
      </c>
      <c r="C89" s="1056" t="s">
        <v>597</v>
      </c>
      <c r="D89" s="1057" t="s">
        <v>598</v>
      </c>
      <c r="E89" s="1056" t="s">
        <v>236</v>
      </c>
      <c r="F89" s="1058">
        <v>2</v>
      </c>
      <c r="G89" s="641">
        <f>G42-G85</f>
        <v>0</v>
      </c>
      <c r="H89" s="641">
        <f t="shared" ref="H89:AK89" si="42">H42-H85</f>
        <v>0</v>
      </c>
      <c r="I89" s="641">
        <f t="shared" si="42"/>
        <v>9.9439385092007555</v>
      </c>
      <c r="J89" s="641">
        <f t="shared" si="42"/>
        <v>9.4793343900807869</v>
      </c>
      <c r="K89" s="641">
        <f t="shared" si="42"/>
        <v>8.3475583334064325</v>
      </c>
      <c r="L89" s="641">
        <f t="shared" si="42"/>
        <v>8.038837967255084</v>
      </c>
      <c r="M89" s="642">
        <f t="shared" si="42"/>
        <v>7.6150389245341827</v>
      </c>
      <c r="N89" s="642">
        <f t="shared" si="42"/>
        <v>7.5514340913344</v>
      </c>
      <c r="O89" s="642">
        <f t="shared" si="42"/>
        <v>5.3955354104165991</v>
      </c>
      <c r="P89" s="642">
        <f t="shared" si="42"/>
        <v>5.3379612127906597</v>
      </c>
      <c r="Q89" s="642">
        <f t="shared" si="42"/>
        <v>5.3130195582188549</v>
      </c>
      <c r="R89" s="642">
        <f t="shared" si="42"/>
        <v>2.0076621111878552</v>
      </c>
      <c r="S89" s="642">
        <f t="shared" si="42"/>
        <v>1.9082569635663162</v>
      </c>
      <c r="T89" s="642">
        <f t="shared" si="42"/>
        <v>-4.297247149978034E-2</v>
      </c>
      <c r="U89" s="642">
        <f t="shared" si="42"/>
        <v>-0.14374648920922084</v>
      </c>
      <c r="V89" s="642">
        <f t="shared" si="42"/>
        <v>-0.25898109755989651</v>
      </c>
      <c r="W89" s="642">
        <f t="shared" si="42"/>
        <v>-0.36957357742431185</v>
      </c>
      <c r="X89" s="642">
        <f t="shared" si="42"/>
        <v>-0.48416127159525502</v>
      </c>
      <c r="Y89" s="642">
        <f t="shared" si="42"/>
        <v>-0.59819185494015414</v>
      </c>
      <c r="Z89" s="642">
        <f t="shared" si="42"/>
        <v>-0.72461140871771335</v>
      </c>
      <c r="AA89" s="642">
        <f t="shared" si="42"/>
        <v>-0.85914780664200663</v>
      </c>
      <c r="AB89" s="642">
        <f t="shared" si="42"/>
        <v>-15.462550753343479</v>
      </c>
      <c r="AC89" s="642">
        <f t="shared" si="42"/>
        <v>-15.594009282628384</v>
      </c>
      <c r="AD89" s="642">
        <f t="shared" si="42"/>
        <v>-15.734493193801008</v>
      </c>
      <c r="AE89" s="642">
        <f t="shared" si="42"/>
        <v>-15.877009443845978</v>
      </c>
      <c r="AF89" s="642">
        <f t="shared" si="42"/>
        <v>-16.018502778999725</v>
      </c>
      <c r="AG89" s="642">
        <f t="shared" si="42"/>
        <v>-31.463273175569121</v>
      </c>
      <c r="AH89" s="642">
        <f t="shared" si="42"/>
        <v>-31.601953597191894</v>
      </c>
      <c r="AI89" s="642">
        <f t="shared" si="42"/>
        <v>-31.737881525407857</v>
      </c>
      <c r="AJ89" s="642">
        <f t="shared" si="42"/>
        <v>-31.874872995421249</v>
      </c>
      <c r="AK89" s="642">
        <f t="shared" si="42"/>
        <v>-32.005343649448989</v>
      </c>
      <c r="AL89" s="642"/>
      <c r="AM89" s="642"/>
      <c r="AN89" s="642"/>
      <c r="AO89" s="642"/>
      <c r="AP89" s="642"/>
      <c r="AQ89" s="642"/>
      <c r="AR89" s="642"/>
      <c r="AS89" s="642"/>
      <c r="AT89" s="642"/>
      <c r="AU89" s="642"/>
      <c r="AV89" s="642"/>
      <c r="AW89" s="642"/>
      <c r="AX89" s="642"/>
      <c r="AY89" s="642"/>
      <c r="AZ89" s="642"/>
      <c r="BA89" s="642"/>
      <c r="BB89" s="642"/>
      <c r="BC89" s="642"/>
      <c r="BD89" s="642"/>
      <c r="BE89" s="642"/>
      <c r="BF89" s="642"/>
      <c r="BG89" s="642"/>
      <c r="BH89" s="642"/>
      <c r="BI89" s="642"/>
      <c r="BJ89" s="642"/>
      <c r="BK89" s="642"/>
      <c r="BL89" s="642"/>
      <c r="BM89" s="642"/>
      <c r="BN89" s="642"/>
      <c r="BO89" s="642"/>
      <c r="BP89" s="642"/>
      <c r="BQ89" s="642"/>
      <c r="BR89" s="642"/>
      <c r="BS89" s="642"/>
      <c r="BT89" s="642"/>
      <c r="BU89" s="642"/>
      <c r="BV89" s="642"/>
      <c r="BW89" s="642"/>
      <c r="BX89" s="642"/>
      <c r="BY89" s="642"/>
      <c r="BZ89" s="642"/>
      <c r="CA89" s="642"/>
      <c r="CB89" s="642"/>
      <c r="CC89" s="642"/>
      <c r="CD89" s="642"/>
      <c r="CE89" s="642"/>
      <c r="CF89" s="642"/>
      <c r="CG89" s="642"/>
      <c r="CH89" s="642"/>
      <c r="CI89" s="643"/>
      <c r="CJ89" s="1479"/>
    </row>
    <row r="90" spans="1:89" s="1292" customFormat="1" ht="15" thickBot="1" x14ac:dyDescent="0.25">
      <c r="A90" s="1284"/>
      <c r="B90" s="1055" t="s">
        <v>599</v>
      </c>
      <c r="C90" s="1056" t="s">
        <v>600</v>
      </c>
      <c r="D90" s="1057" t="s">
        <v>601</v>
      </c>
      <c r="E90" s="1056" t="s">
        <v>236</v>
      </c>
      <c r="F90" s="1492">
        <v>2</v>
      </c>
      <c r="G90" s="1493">
        <f>G25-G44</f>
        <v>0</v>
      </c>
      <c r="H90" s="1493">
        <f t="shared" ref="H90:AK90" si="43">H25-H44</f>
        <v>0</v>
      </c>
      <c r="I90" s="1493">
        <f t="shared" si="43"/>
        <v>0</v>
      </c>
      <c r="J90" s="1493">
        <f t="shared" si="43"/>
        <v>0</v>
      </c>
      <c r="K90" s="1493">
        <f t="shared" si="43"/>
        <v>0</v>
      </c>
      <c r="L90" s="1493">
        <f t="shared" si="43"/>
        <v>0</v>
      </c>
      <c r="M90" s="1493">
        <f t="shared" si="43"/>
        <v>0</v>
      </c>
      <c r="N90" s="1493">
        <f t="shared" si="43"/>
        <v>0</v>
      </c>
      <c r="O90" s="1493">
        <f t="shared" si="43"/>
        <v>0</v>
      </c>
      <c r="P90" s="1493">
        <f t="shared" si="43"/>
        <v>0</v>
      </c>
      <c r="Q90" s="1493">
        <f t="shared" si="43"/>
        <v>0</v>
      </c>
      <c r="R90" s="1493">
        <f t="shared" si="43"/>
        <v>0</v>
      </c>
      <c r="S90" s="1493">
        <f t="shared" si="43"/>
        <v>0</v>
      </c>
      <c r="T90" s="1493">
        <f t="shared" si="43"/>
        <v>0</v>
      </c>
      <c r="U90" s="1493">
        <f t="shared" si="43"/>
        <v>0</v>
      </c>
      <c r="V90" s="1493">
        <f t="shared" si="43"/>
        <v>0</v>
      </c>
      <c r="W90" s="1493">
        <f t="shared" si="43"/>
        <v>0</v>
      </c>
      <c r="X90" s="1493">
        <f t="shared" si="43"/>
        <v>0</v>
      </c>
      <c r="Y90" s="1493">
        <f t="shared" si="43"/>
        <v>0</v>
      </c>
      <c r="Z90" s="1493">
        <f t="shared" si="43"/>
        <v>0</v>
      </c>
      <c r="AA90" s="1493">
        <f t="shared" si="43"/>
        <v>0</v>
      </c>
      <c r="AB90" s="1493">
        <f t="shared" si="43"/>
        <v>0</v>
      </c>
      <c r="AC90" s="1493">
        <f t="shared" si="43"/>
        <v>0</v>
      </c>
      <c r="AD90" s="1493">
        <f t="shared" si="43"/>
        <v>0</v>
      </c>
      <c r="AE90" s="1493">
        <f t="shared" si="43"/>
        <v>0</v>
      </c>
      <c r="AF90" s="1493">
        <f t="shared" si="43"/>
        <v>0</v>
      </c>
      <c r="AG90" s="1493">
        <f t="shared" si="43"/>
        <v>0</v>
      </c>
      <c r="AH90" s="1493">
        <f t="shared" si="43"/>
        <v>0</v>
      </c>
      <c r="AI90" s="1493">
        <f t="shared" si="43"/>
        <v>0</v>
      </c>
      <c r="AJ90" s="1493">
        <f t="shared" si="43"/>
        <v>0</v>
      </c>
      <c r="AK90" s="1493">
        <f t="shared" si="43"/>
        <v>0</v>
      </c>
      <c r="AL90" s="1493"/>
      <c r="AM90" s="1493"/>
      <c r="AN90" s="1493"/>
      <c r="AO90" s="1493"/>
      <c r="AP90" s="1493"/>
      <c r="AQ90" s="1493"/>
      <c r="AR90" s="1493"/>
      <c r="AS90" s="1493"/>
      <c r="AT90" s="1493"/>
      <c r="AU90" s="1493"/>
      <c r="AV90" s="1493"/>
      <c r="AW90" s="1493"/>
      <c r="AX90" s="1493"/>
      <c r="AY90" s="1493"/>
      <c r="AZ90" s="1493"/>
      <c r="BA90" s="1493"/>
      <c r="BB90" s="1493"/>
      <c r="BC90" s="1493"/>
      <c r="BD90" s="1493"/>
      <c r="BE90" s="1493"/>
      <c r="BF90" s="1493"/>
      <c r="BG90" s="1493"/>
      <c r="BH90" s="1493"/>
      <c r="BI90" s="1493"/>
      <c r="BJ90" s="1493"/>
      <c r="BK90" s="1493"/>
      <c r="BL90" s="1493"/>
      <c r="BM90" s="1493"/>
      <c r="BN90" s="1493"/>
      <c r="BO90" s="1493"/>
      <c r="BP90" s="1493"/>
      <c r="BQ90" s="1493"/>
      <c r="BR90" s="1493"/>
      <c r="BS90" s="1493"/>
      <c r="BT90" s="1493"/>
      <c r="BU90" s="1493"/>
      <c r="BV90" s="1493"/>
      <c r="BW90" s="1493"/>
      <c r="BX90" s="1493"/>
      <c r="BY90" s="1493"/>
      <c r="BZ90" s="1493"/>
      <c r="CA90" s="1493"/>
      <c r="CB90" s="1493"/>
      <c r="CC90" s="1493"/>
      <c r="CD90" s="1493"/>
      <c r="CE90" s="1493"/>
      <c r="CF90" s="1493"/>
      <c r="CG90" s="1493"/>
      <c r="CH90" s="1493"/>
      <c r="CI90" s="1493"/>
      <c r="CJ90" s="1479"/>
    </row>
    <row r="91" spans="1:89" s="1292" customFormat="1" ht="33.6" customHeight="1" thickBot="1" x14ac:dyDescent="0.25">
      <c r="A91" s="1284"/>
      <c r="B91" s="644" t="s">
        <v>602</v>
      </c>
      <c r="C91" s="645" t="s">
        <v>393</v>
      </c>
      <c r="D91" s="646" t="s">
        <v>603</v>
      </c>
      <c r="E91" s="645" t="s">
        <v>236</v>
      </c>
      <c r="F91" s="647">
        <v>2</v>
      </c>
      <c r="G91" s="1530">
        <f>G89-G88</f>
        <v>0</v>
      </c>
      <c r="H91" s="629">
        <f t="shared" ref="H91:AK91" si="44">H89-H88</f>
        <v>0</v>
      </c>
      <c r="I91" s="629">
        <f t="shared" si="44"/>
        <v>7.9419743480083076</v>
      </c>
      <c r="J91" s="629">
        <f t="shared" si="44"/>
        <v>7.249107091916013</v>
      </c>
      <c r="K91" s="629">
        <f t="shared" si="44"/>
        <v>6.2394518074060095</v>
      </c>
      <c r="L91" s="629">
        <f t="shared" si="44"/>
        <v>5.9470451163012559</v>
      </c>
      <c r="M91" s="1531">
        <f t="shared" si="44"/>
        <v>5.5675506493222766</v>
      </c>
      <c r="N91" s="1531">
        <f t="shared" si="44"/>
        <v>5.7677762487875173</v>
      </c>
      <c r="O91" s="1531">
        <f t="shared" si="44"/>
        <v>3.9079800140092922</v>
      </c>
      <c r="P91" s="1531">
        <f t="shared" si="44"/>
        <v>3.950320159887255</v>
      </c>
      <c r="Q91" s="1531">
        <f t="shared" si="44"/>
        <v>4.0231123819987866</v>
      </c>
      <c r="R91" s="1531">
        <f t="shared" si="44"/>
        <v>0.83762833167462025</v>
      </c>
      <c r="S91" s="1531">
        <f t="shared" si="44"/>
        <v>0.80270853831949229</v>
      </c>
      <c r="T91" s="1531">
        <f t="shared" si="44"/>
        <v>-1.1192760776084913</v>
      </c>
      <c r="U91" s="1531">
        <f t="shared" si="44"/>
        <v>-1.1675661687133878</v>
      </c>
      <c r="V91" s="1531">
        <f t="shared" si="44"/>
        <v>-1.2619041909134845</v>
      </c>
      <c r="W91" s="1531">
        <f t="shared" si="44"/>
        <v>-1.3312055497735789</v>
      </c>
      <c r="X91" s="1531">
        <f t="shared" si="44"/>
        <v>-1.4240504693178111</v>
      </c>
      <c r="Y91" s="1531">
        <f t="shared" si="44"/>
        <v>-1.5060089473358782</v>
      </c>
      <c r="Z91" s="1531">
        <f t="shared" si="44"/>
        <v>-1.6093213536248543</v>
      </c>
      <c r="AA91" s="1531">
        <f t="shared" si="44"/>
        <v>-1.7245011243211485</v>
      </c>
      <c r="AB91" s="1531">
        <f t="shared" si="44"/>
        <v>-16.308169198682954</v>
      </c>
      <c r="AC91" s="1531">
        <f t="shared" si="44"/>
        <v>-16.414901311297143</v>
      </c>
      <c r="AD91" s="1531">
        <f t="shared" si="44"/>
        <v>-16.53722245246588</v>
      </c>
      <c r="AE91" s="1531">
        <f t="shared" si="44"/>
        <v>-16.659899278817452</v>
      </c>
      <c r="AF91" s="1531">
        <f t="shared" si="44"/>
        <v>-16.784366662690481</v>
      </c>
      <c r="AG91" s="1531">
        <f t="shared" si="44"/>
        <v>-32.20922623075797</v>
      </c>
      <c r="AH91" s="1531">
        <f t="shared" si="44"/>
        <v>-32.337123936841515</v>
      </c>
      <c r="AI91" s="1531">
        <f t="shared" si="44"/>
        <v>-32.430076255204618</v>
      </c>
      <c r="AJ91" s="1531">
        <f t="shared" si="44"/>
        <v>-32.570987040025223</v>
      </c>
      <c r="AK91" s="1531">
        <f t="shared" si="44"/>
        <v>-32.692615365358698</v>
      </c>
      <c r="AL91" s="1531"/>
      <c r="AM91" s="1531"/>
      <c r="AN91" s="1531"/>
      <c r="AO91" s="1531"/>
      <c r="AP91" s="1531"/>
      <c r="AQ91" s="1531"/>
      <c r="AR91" s="1531"/>
      <c r="AS91" s="1531"/>
      <c r="AT91" s="1531"/>
      <c r="AU91" s="1531"/>
      <c r="AV91" s="1531"/>
      <c r="AW91" s="1531"/>
      <c r="AX91" s="1531"/>
      <c r="AY91" s="1531"/>
      <c r="AZ91" s="1531"/>
      <c r="BA91" s="1531"/>
      <c r="BB91" s="1531"/>
      <c r="BC91" s="1531"/>
      <c r="BD91" s="1531"/>
      <c r="BE91" s="1531"/>
      <c r="BF91" s="1531"/>
      <c r="BG91" s="1531"/>
      <c r="BH91" s="1531"/>
      <c r="BI91" s="1531"/>
      <c r="BJ91" s="1531"/>
      <c r="BK91" s="1531"/>
      <c r="BL91" s="1531"/>
      <c r="BM91" s="1531"/>
      <c r="BN91" s="1531"/>
      <c r="BO91" s="1531"/>
      <c r="BP91" s="1531"/>
      <c r="BQ91" s="1531"/>
      <c r="BR91" s="1531"/>
      <c r="BS91" s="1531"/>
      <c r="BT91" s="1531"/>
      <c r="BU91" s="1531"/>
      <c r="BV91" s="1531"/>
      <c r="BW91" s="1531"/>
      <c r="BX91" s="1531"/>
      <c r="BY91" s="1531"/>
      <c r="BZ91" s="1531"/>
      <c r="CA91" s="1531"/>
      <c r="CB91" s="1531"/>
      <c r="CC91" s="1531"/>
      <c r="CD91" s="1531"/>
      <c r="CE91" s="1531"/>
      <c r="CF91" s="1531"/>
      <c r="CG91" s="1531"/>
      <c r="CH91" s="1531"/>
      <c r="CI91" s="1532"/>
      <c r="CJ91" s="1479"/>
    </row>
    <row r="92" spans="1:89" s="1292" customFormat="1" ht="15" thickBot="1" x14ac:dyDescent="0.25">
      <c r="A92" s="1284"/>
      <c r="B92" s="1425"/>
      <c r="C92" s="1426"/>
      <c r="D92" s="1427"/>
      <c r="E92" s="1426"/>
      <c r="F92" s="1434"/>
      <c r="G92" s="1421"/>
      <c r="H92" s="1422"/>
      <c r="I92" s="1422"/>
      <c r="J92" s="1422"/>
      <c r="K92" s="1422"/>
      <c r="L92" s="1422"/>
      <c r="M92" s="1422"/>
      <c r="N92" s="1422"/>
      <c r="O92" s="1422"/>
      <c r="P92" s="1422"/>
      <c r="Q92" s="1422"/>
      <c r="R92" s="1423"/>
      <c r="S92" s="1423"/>
      <c r="T92" s="1423"/>
      <c r="U92" s="1423"/>
      <c r="V92" s="1423"/>
      <c r="W92" s="1423"/>
      <c r="X92" s="1423"/>
      <c r="Y92" s="1423"/>
      <c r="Z92" s="1423"/>
      <c r="AA92" s="1423"/>
      <c r="AB92" s="1423"/>
      <c r="AC92" s="1423"/>
      <c r="AD92" s="1423"/>
      <c r="AE92" s="1423"/>
      <c r="AF92" s="1423"/>
      <c r="AG92" s="1423"/>
      <c r="AH92" s="1423"/>
      <c r="AI92" s="1423"/>
      <c r="AJ92" s="1423"/>
      <c r="AK92" s="1423"/>
      <c r="AL92" s="1422"/>
      <c r="AM92" s="1422"/>
      <c r="AN92" s="1422"/>
      <c r="AO92" s="1422"/>
      <c r="AP92" s="1422"/>
      <c r="AQ92" s="1422"/>
      <c r="AR92" s="1422"/>
      <c r="AS92" s="1422"/>
      <c r="AT92" s="1422"/>
      <c r="AU92" s="1422"/>
      <c r="AV92" s="1422"/>
      <c r="AW92" s="1422"/>
      <c r="AX92" s="1422"/>
      <c r="AY92" s="1422"/>
      <c r="AZ92" s="1422"/>
      <c r="BA92" s="1422"/>
      <c r="BB92" s="1422"/>
      <c r="BC92" s="1422"/>
      <c r="BD92" s="1422"/>
      <c r="BE92" s="1422"/>
      <c r="BF92" s="1422"/>
      <c r="BG92" s="1422"/>
      <c r="BH92" s="1422"/>
      <c r="BI92" s="1422"/>
      <c r="BJ92" s="1422"/>
      <c r="BK92" s="1422"/>
      <c r="BL92" s="1422"/>
      <c r="BM92" s="1422"/>
      <c r="BN92" s="1422"/>
      <c r="BO92" s="1422"/>
      <c r="BP92" s="1422"/>
      <c r="BQ92" s="1422"/>
      <c r="BR92" s="1422"/>
      <c r="BS92" s="1422"/>
      <c r="BT92" s="1422"/>
      <c r="BU92" s="1422"/>
      <c r="BV92" s="1422"/>
      <c r="BW92" s="1422"/>
      <c r="BX92" s="1422"/>
      <c r="BY92" s="1422"/>
      <c r="BZ92" s="1422"/>
      <c r="CA92" s="1422"/>
      <c r="CB92" s="1422"/>
      <c r="CC92" s="1422"/>
      <c r="CD92" s="1422"/>
      <c r="CE92" s="1422"/>
      <c r="CF92" s="1422"/>
      <c r="CG92" s="1422"/>
      <c r="CH92" s="1422"/>
      <c r="CI92" s="1422"/>
      <c r="CJ92" s="1478"/>
    </row>
    <row r="93" spans="1:89" ht="60.75" thickBot="1" x14ac:dyDescent="0.25">
      <c r="B93" s="655" t="s">
        <v>439</v>
      </c>
      <c r="C93" s="1307" t="s">
        <v>204</v>
      </c>
      <c r="D93" s="53"/>
      <c r="E93" s="652"/>
      <c r="F93" s="653"/>
      <c r="G93" s="654"/>
      <c r="H93" s="654"/>
      <c r="I93" s="654"/>
      <c r="J93" s="654"/>
      <c r="K93" s="654"/>
      <c r="L93" s="654"/>
      <c r="M93" s="654"/>
      <c r="N93" s="654"/>
      <c r="O93" s="654"/>
      <c r="P93" s="654"/>
      <c r="Q93" s="654"/>
      <c r="R93" s="654"/>
      <c r="S93" s="654"/>
      <c r="T93" s="654"/>
      <c r="U93" s="654"/>
      <c r="V93" s="654"/>
      <c r="W93" s="654"/>
      <c r="X93" s="654"/>
      <c r="Y93" s="654"/>
      <c r="Z93" s="654"/>
      <c r="AA93" s="654"/>
      <c r="AB93" s="654"/>
      <c r="AC93" s="654"/>
      <c r="AD93" s="654"/>
      <c r="AE93" s="654"/>
      <c r="AF93" s="654"/>
      <c r="AG93" s="654"/>
      <c r="AH93" s="654"/>
      <c r="AI93" s="654"/>
      <c r="AJ93" s="654"/>
      <c r="AK93" s="654"/>
      <c r="AL93" s="654"/>
      <c r="AM93" s="654"/>
      <c r="AN93" s="654"/>
      <c r="AO93" s="654"/>
      <c r="AP93" s="654"/>
      <c r="AQ93" s="654"/>
      <c r="AR93" s="654"/>
      <c r="AS93" s="654"/>
      <c r="AT93" s="654"/>
      <c r="AU93" s="654"/>
      <c r="AV93" s="654"/>
      <c r="AW93" s="654"/>
      <c r="AX93" s="654"/>
      <c r="AY93" s="654"/>
      <c r="AZ93" s="654"/>
      <c r="BA93" s="654"/>
      <c r="BB93" s="654"/>
      <c r="BC93" s="654"/>
      <c r="BD93" s="654"/>
      <c r="BE93" s="654"/>
      <c r="BF93" s="654"/>
      <c r="BG93" s="654"/>
      <c r="BH93" s="654"/>
      <c r="BI93" s="654"/>
      <c r="BJ93" s="654"/>
      <c r="BK93" s="654"/>
      <c r="BL93" s="654"/>
      <c r="BM93" s="654"/>
      <c r="BN93" s="654"/>
      <c r="BO93" s="654"/>
      <c r="BP93" s="654"/>
      <c r="BQ93" s="654"/>
      <c r="BR93" s="654"/>
      <c r="BS93" s="654"/>
      <c r="BT93" s="654"/>
      <c r="BU93" s="654"/>
      <c r="BV93" s="654"/>
      <c r="BW93" s="654"/>
      <c r="BX93" s="654"/>
      <c r="BY93" s="654"/>
      <c r="BZ93" s="654"/>
      <c r="CA93" s="654"/>
      <c r="CB93" s="654"/>
      <c r="CC93" s="654"/>
      <c r="CD93" s="654"/>
      <c r="CE93" s="654"/>
      <c r="CF93" s="654"/>
      <c r="CG93" s="654"/>
      <c r="CH93" s="654"/>
      <c r="CI93" s="654"/>
    </row>
    <row r="94" spans="1:89" ht="30.75" thickBot="1" x14ac:dyDescent="0.25">
      <c r="B94" s="656" t="s">
        <v>446</v>
      </c>
      <c r="C94" s="657" t="s">
        <v>604</v>
      </c>
      <c r="D94" s="657" t="s">
        <v>605</v>
      </c>
      <c r="E94" s="657" t="s">
        <v>206</v>
      </c>
      <c r="F94" s="658" t="s">
        <v>207</v>
      </c>
      <c r="G94" s="659" t="s">
        <v>208</v>
      </c>
      <c r="H94" s="659" t="s">
        <v>209</v>
      </c>
      <c r="I94" s="659" t="s">
        <v>210</v>
      </c>
      <c r="J94" s="659" t="s">
        <v>211</v>
      </c>
      <c r="K94" s="659" t="s">
        <v>212</v>
      </c>
      <c r="L94" s="659" t="s">
        <v>213</v>
      </c>
      <c r="M94" s="657" t="s">
        <v>214</v>
      </c>
      <c r="N94" s="657" t="s">
        <v>215</v>
      </c>
      <c r="O94" s="657" t="s">
        <v>216</v>
      </c>
      <c r="P94" s="657" t="s">
        <v>217</v>
      </c>
      <c r="Q94" s="657" t="s">
        <v>218</v>
      </c>
      <c r="R94" s="657" t="s">
        <v>247</v>
      </c>
      <c r="S94" s="657" t="s">
        <v>248</v>
      </c>
      <c r="T94" s="657" t="s">
        <v>249</v>
      </c>
      <c r="U94" s="657" t="s">
        <v>250</v>
      </c>
      <c r="V94" s="657" t="s">
        <v>219</v>
      </c>
      <c r="W94" s="657" t="s">
        <v>251</v>
      </c>
      <c r="X94" s="657" t="s">
        <v>252</v>
      </c>
      <c r="Y94" s="657" t="s">
        <v>253</v>
      </c>
      <c r="Z94" s="657" t="s">
        <v>254</v>
      </c>
      <c r="AA94" s="657" t="s">
        <v>220</v>
      </c>
      <c r="AB94" s="657" t="s">
        <v>255</v>
      </c>
      <c r="AC94" s="657" t="s">
        <v>256</v>
      </c>
      <c r="AD94" s="657" t="s">
        <v>257</v>
      </c>
      <c r="AE94" s="657" t="s">
        <v>258</v>
      </c>
      <c r="AF94" s="657" t="s">
        <v>221</v>
      </c>
      <c r="AG94" s="657" t="s">
        <v>259</v>
      </c>
      <c r="AH94" s="657" t="s">
        <v>260</v>
      </c>
      <c r="AI94" s="657" t="s">
        <v>261</v>
      </c>
      <c r="AJ94" s="657" t="s">
        <v>262</v>
      </c>
      <c r="AK94" s="657" t="s">
        <v>222</v>
      </c>
      <c r="AL94" s="657" t="s">
        <v>263</v>
      </c>
      <c r="AM94" s="657" t="s">
        <v>264</v>
      </c>
      <c r="AN94" s="657" t="s">
        <v>265</v>
      </c>
      <c r="AO94" s="657" t="s">
        <v>266</v>
      </c>
      <c r="AP94" s="657" t="s">
        <v>223</v>
      </c>
      <c r="AQ94" s="657" t="s">
        <v>267</v>
      </c>
      <c r="AR94" s="657" t="s">
        <v>268</v>
      </c>
      <c r="AS94" s="657" t="s">
        <v>269</v>
      </c>
      <c r="AT94" s="657" t="s">
        <v>270</v>
      </c>
      <c r="AU94" s="657" t="s">
        <v>224</v>
      </c>
      <c r="AV94" s="657" t="s">
        <v>271</v>
      </c>
      <c r="AW94" s="657" t="s">
        <v>272</v>
      </c>
      <c r="AX94" s="657" t="s">
        <v>273</v>
      </c>
      <c r="AY94" s="657" t="s">
        <v>274</v>
      </c>
      <c r="AZ94" s="657" t="s">
        <v>225</v>
      </c>
      <c r="BA94" s="657" t="s">
        <v>275</v>
      </c>
      <c r="BB94" s="657" t="s">
        <v>276</v>
      </c>
      <c r="BC94" s="657" t="s">
        <v>277</v>
      </c>
      <c r="BD94" s="657" t="s">
        <v>278</v>
      </c>
      <c r="BE94" s="657" t="s">
        <v>226</v>
      </c>
      <c r="BF94" s="657" t="s">
        <v>279</v>
      </c>
      <c r="BG94" s="657" t="s">
        <v>280</v>
      </c>
      <c r="BH94" s="657" t="s">
        <v>281</v>
      </c>
      <c r="BI94" s="657" t="s">
        <v>282</v>
      </c>
      <c r="BJ94" s="657" t="s">
        <v>227</v>
      </c>
      <c r="BK94" s="657" t="s">
        <v>283</v>
      </c>
      <c r="BL94" s="657" t="s">
        <v>284</v>
      </c>
      <c r="BM94" s="657" t="s">
        <v>285</v>
      </c>
      <c r="BN94" s="657" t="s">
        <v>286</v>
      </c>
      <c r="BO94" s="657" t="s">
        <v>228</v>
      </c>
      <c r="BP94" s="657" t="s">
        <v>287</v>
      </c>
      <c r="BQ94" s="657" t="s">
        <v>288</v>
      </c>
      <c r="BR94" s="657" t="s">
        <v>289</v>
      </c>
      <c r="BS94" s="657" t="s">
        <v>290</v>
      </c>
      <c r="BT94" s="657" t="s">
        <v>229</v>
      </c>
      <c r="BU94" s="657" t="s">
        <v>291</v>
      </c>
      <c r="BV94" s="657" t="s">
        <v>292</v>
      </c>
      <c r="BW94" s="657" t="s">
        <v>293</v>
      </c>
      <c r="BX94" s="657" t="s">
        <v>294</v>
      </c>
      <c r="BY94" s="657" t="s">
        <v>230</v>
      </c>
      <c r="BZ94" s="657" t="s">
        <v>295</v>
      </c>
      <c r="CA94" s="657" t="s">
        <v>296</v>
      </c>
      <c r="CB94" s="657" t="s">
        <v>297</v>
      </c>
      <c r="CC94" s="657" t="s">
        <v>298</v>
      </c>
      <c r="CD94" s="657" t="s">
        <v>231</v>
      </c>
      <c r="CE94" s="657" t="s">
        <v>299</v>
      </c>
      <c r="CF94" s="657" t="s">
        <v>300</v>
      </c>
      <c r="CG94" s="657" t="s">
        <v>301</v>
      </c>
      <c r="CH94" s="657" t="s">
        <v>302</v>
      </c>
      <c r="CI94" s="660" t="s">
        <v>232</v>
      </c>
      <c r="CJ94" s="657" t="s">
        <v>606</v>
      </c>
    </row>
    <row r="95" spans="1:89" ht="28.5" x14ac:dyDescent="0.2">
      <c r="B95" s="667" t="s">
        <v>607</v>
      </c>
      <c r="C95" s="668" t="s">
        <v>608</v>
      </c>
      <c r="D95" s="668" t="s">
        <v>609</v>
      </c>
      <c r="E95" s="668" t="s">
        <v>236</v>
      </c>
      <c r="F95" s="669">
        <v>2</v>
      </c>
      <c r="G95" s="670"/>
      <c r="H95" s="671"/>
      <c r="I95" s="671">
        <v>0</v>
      </c>
      <c r="J95" s="671">
        <v>0</v>
      </c>
      <c r="K95" s="671">
        <v>0</v>
      </c>
      <c r="L95" s="671">
        <v>0</v>
      </c>
      <c r="M95" s="666">
        <v>0</v>
      </c>
      <c r="N95" s="666">
        <v>0</v>
      </c>
      <c r="O95" s="666">
        <v>0</v>
      </c>
      <c r="P95" s="666">
        <v>0</v>
      </c>
      <c r="Q95" s="666">
        <v>0</v>
      </c>
      <c r="R95" s="666">
        <v>0</v>
      </c>
      <c r="S95" s="666">
        <v>0</v>
      </c>
      <c r="T95" s="666">
        <v>0</v>
      </c>
      <c r="U95" s="666">
        <v>0</v>
      </c>
      <c r="V95" s="666">
        <v>0</v>
      </c>
      <c r="W95" s="666">
        <v>0</v>
      </c>
      <c r="X95" s="666">
        <v>0</v>
      </c>
      <c r="Y95" s="666">
        <v>0</v>
      </c>
      <c r="Z95" s="666">
        <v>0</v>
      </c>
      <c r="AA95" s="666">
        <v>0</v>
      </c>
      <c r="AB95" s="666">
        <v>0</v>
      </c>
      <c r="AC95" s="666">
        <v>0</v>
      </c>
      <c r="AD95" s="666">
        <v>0</v>
      </c>
      <c r="AE95" s="666">
        <v>0</v>
      </c>
      <c r="AF95" s="666">
        <v>0</v>
      </c>
      <c r="AG95" s="666">
        <v>0</v>
      </c>
      <c r="AH95" s="666">
        <v>0</v>
      </c>
      <c r="AI95" s="666">
        <v>0</v>
      </c>
      <c r="AJ95" s="666">
        <v>0</v>
      </c>
      <c r="AK95" s="666">
        <v>0</v>
      </c>
      <c r="AL95" s="666"/>
      <c r="AM95" s="666"/>
      <c r="AN95" s="666"/>
      <c r="AO95" s="666"/>
      <c r="AP95" s="666"/>
      <c r="AQ95" s="666"/>
      <c r="AR95" s="666"/>
      <c r="AS95" s="666"/>
      <c r="AT95" s="666"/>
      <c r="AU95" s="666"/>
      <c r="AV95" s="666"/>
      <c r="AW95" s="666"/>
      <c r="AX95" s="666"/>
      <c r="AY95" s="666"/>
      <c r="AZ95" s="666"/>
      <c r="BA95" s="666"/>
      <c r="BB95" s="666"/>
      <c r="BC95" s="666"/>
      <c r="BD95" s="666"/>
      <c r="BE95" s="666"/>
      <c r="BF95" s="666"/>
      <c r="BG95" s="666"/>
      <c r="BH95" s="666"/>
      <c r="BI95" s="666"/>
      <c r="BJ95" s="666"/>
      <c r="BK95" s="666"/>
      <c r="BL95" s="666"/>
      <c r="BM95" s="666"/>
      <c r="BN95" s="666"/>
      <c r="BO95" s="666"/>
      <c r="BP95" s="666"/>
      <c r="BQ95" s="666"/>
      <c r="BR95" s="666"/>
      <c r="BS95" s="666"/>
      <c r="BT95" s="666"/>
      <c r="BU95" s="666"/>
      <c r="BV95" s="666"/>
      <c r="BW95" s="666"/>
      <c r="BX95" s="666"/>
      <c r="BY95" s="666"/>
      <c r="BZ95" s="666"/>
      <c r="CA95" s="666"/>
      <c r="CB95" s="666"/>
      <c r="CC95" s="666"/>
      <c r="CD95" s="666"/>
      <c r="CE95" s="666"/>
      <c r="CF95" s="666"/>
      <c r="CG95" s="666"/>
      <c r="CH95" s="666"/>
      <c r="CI95" s="666"/>
      <c r="CJ95" s="1438"/>
    </row>
    <row r="96" spans="1:89" x14ac:dyDescent="0.2">
      <c r="B96" s="661" t="s">
        <v>610</v>
      </c>
      <c r="C96" s="662" t="s">
        <v>611</v>
      </c>
      <c r="D96" s="662" t="s">
        <v>612</v>
      </c>
      <c r="E96" s="662" t="s">
        <v>236</v>
      </c>
      <c r="F96" s="663">
        <v>2</v>
      </c>
      <c r="G96" s="670"/>
      <c r="H96" s="671"/>
      <c r="I96" s="671">
        <v>0</v>
      </c>
      <c r="J96" s="671">
        <v>0</v>
      </c>
      <c r="K96" s="671">
        <v>0</v>
      </c>
      <c r="L96" s="671">
        <v>0</v>
      </c>
      <c r="M96" s="666">
        <v>0</v>
      </c>
      <c r="N96" s="666">
        <v>0</v>
      </c>
      <c r="O96" s="666">
        <v>0</v>
      </c>
      <c r="P96" s="666">
        <v>0</v>
      </c>
      <c r="Q96" s="666">
        <v>0</v>
      </c>
      <c r="R96" s="666">
        <v>0</v>
      </c>
      <c r="S96" s="666">
        <v>0</v>
      </c>
      <c r="T96" s="666">
        <v>0</v>
      </c>
      <c r="U96" s="666">
        <v>0</v>
      </c>
      <c r="V96" s="666">
        <v>0</v>
      </c>
      <c r="W96" s="666">
        <v>0</v>
      </c>
      <c r="X96" s="666">
        <v>0</v>
      </c>
      <c r="Y96" s="666">
        <v>0</v>
      </c>
      <c r="Z96" s="666">
        <v>0</v>
      </c>
      <c r="AA96" s="666">
        <v>0</v>
      </c>
      <c r="AB96" s="666">
        <v>0</v>
      </c>
      <c r="AC96" s="666">
        <v>0</v>
      </c>
      <c r="AD96" s="666">
        <v>0</v>
      </c>
      <c r="AE96" s="666">
        <v>0</v>
      </c>
      <c r="AF96" s="666">
        <v>0</v>
      </c>
      <c r="AG96" s="666">
        <v>0</v>
      </c>
      <c r="AH96" s="666">
        <v>0</v>
      </c>
      <c r="AI96" s="666">
        <v>0</v>
      </c>
      <c r="AJ96" s="666">
        <v>0</v>
      </c>
      <c r="AK96" s="666">
        <v>0</v>
      </c>
      <c r="AL96" s="666"/>
      <c r="AM96" s="666"/>
      <c r="AN96" s="666"/>
      <c r="AO96" s="666"/>
      <c r="AP96" s="666"/>
      <c r="AQ96" s="666"/>
      <c r="AR96" s="666"/>
      <c r="AS96" s="666"/>
      <c r="AT96" s="666"/>
      <c r="AU96" s="666"/>
      <c r="AV96" s="666"/>
      <c r="AW96" s="666"/>
      <c r="AX96" s="666"/>
      <c r="AY96" s="666"/>
      <c r="AZ96" s="666"/>
      <c r="BA96" s="666"/>
      <c r="BB96" s="666"/>
      <c r="BC96" s="666"/>
      <c r="BD96" s="666"/>
      <c r="BE96" s="666"/>
      <c r="BF96" s="666"/>
      <c r="BG96" s="666"/>
      <c r="BH96" s="666"/>
      <c r="BI96" s="666"/>
      <c r="BJ96" s="666"/>
      <c r="BK96" s="666"/>
      <c r="BL96" s="666"/>
      <c r="BM96" s="666"/>
      <c r="BN96" s="666"/>
      <c r="BO96" s="666"/>
      <c r="BP96" s="666"/>
      <c r="BQ96" s="666"/>
      <c r="BR96" s="666"/>
      <c r="BS96" s="666"/>
      <c r="BT96" s="666"/>
      <c r="BU96" s="666"/>
      <c r="BV96" s="666"/>
      <c r="BW96" s="666"/>
      <c r="BX96" s="666"/>
      <c r="BY96" s="666"/>
      <c r="BZ96" s="666"/>
      <c r="CA96" s="666"/>
      <c r="CB96" s="666"/>
      <c r="CC96" s="666"/>
      <c r="CD96" s="666"/>
      <c r="CE96" s="666"/>
      <c r="CF96" s="666"/>
      <c r="CG96" s="666"/>
      <c r="CH96" s="666"/>
      <c r="CI96" s="666"/>
      <c r="CJ96" s="1439"/>
    </row>
    <row r="97" spans="2:88" ht="28.5" x14ac:dyDescent="0.2">
      <c r="B97" s="667" t="s">
        <v>613</v>
      </c>
      <c r="C97" s="668" t="s">
        <v>614</v>
      </c>
      <c r="D97" s="668" t="s">
        <v>615</v>
      </c>
      <c r="E97" s="668" t="s">
        <v>236</v>
      </c>
      <c r="F97" s="669">
        <v>2</v>
      </c>
      <c r="G97" s="670"/>
      <c r="H97" s="671"/>
      <c r="I97" s="671">
        <v>0</v>
      </c>
      <c r="J97" s="671">
        <v>0</v>
      </c>
      <c r="K97" s="671">
        <v>0</v>
      </c>
      <c r="L97" s="671">
        <v>0</v>
      </c>
      <c r="M97" s="666">
        <v>0</v>
      </c>
      <c r="N97" s="1511">
        <v>-0.65681876277180895</v>
      </c>
      <c r="O97" s="1511">
        <v>-0.61905509567241501</v>
      </c>
      <c r="P97" s="666">
        <v>0</v>
      </c>
      <c r="Q97" s="666">
        <v>0</v>
      </c>
      <c r="R97" s="666">
        <v>0</v>
      </c>
      <c r="S97" s="666">
        <v>0</v>
      </c>
      <c r="T97" s="666">
        <v>0</v>
      </c>
      <c r="U97" s="666">
        <v>0</v>
      </c>
      <c r="V97" s="666">
        <v>0</v>
      </c>
      <c r="W97" s="666">
        <v>0</v>
      </c>
      <c r="X97" s="666">
        <v>0</v>
      </c>
      <c r="Y97" s="666">
        <v>0</v>
      </c>
      <c r="Z97" s="666">
        <v>0</v>
      </c>
      <c r="AA97" s="666">
        <v>0</v>
      </c>
      <c r="AB97" s="666">
        <v>0</v>
      </c>
      <c r="AC97" s="666">
        <v>0</v>
      </c>
      <c r="AD97" s="666">
        <v>0</v>
      </c>
      <c r="AE97" s="666">
        <v>0</v>
      </c>
      <c r="AF97" s="666">
        <v>0</v>
      </c>
      <c r="AG97" s="666">
        <v>0</v>
      </c>
      <c r="AH97" s="666">
        <v>0</v>
      </c>
      <c r="AI97" s="666">
        <v>0</v>
      </c>
      <c r="AJ97" s="666">
        <v>0</v>
      </c>
      <c r="AK97" s="666">
        <v>0</v>
      </c>
      <c r="AL97" s="666"/>
      <c r="AM97" s="666"/>
      <c r="AN97" s="666"/>
      <c r="AO97" s="666"/>
      <c r="AP97" s="666"/>
      <c r="AQ97" s="666"/>
      <c r="AR97" s="666"/>
      <c r="AS97" s="666"/>
      <c r="AT97" s="666"/>
      <c r="AU97" s="666"/>
      <c r="AV97" s="666"/>
      <c r="AW97" s="666"/>
      <c r="AX97" s="666"/>
      <c r="AY97" s="666"/>
      <c r="AZ97" s="666"/>
      <c r="BA97" s="666"/>
      <c r="BB97" s="666"/>
      <c r="BC97" s="666"/>
      <c r="BD97" s="666"/>
      <c r="BE97" s="666"/>
      <c r="BF97" s="666"/>
      <c r="BG97" s="666"/>
      <c r="BH97" s="666"/>
      <c r="BI97" s="666"/>
      <c r="BJ97" s="666"/>
      <c r="BK97" s="666"/>
      <c r="BL97" s="666"/>
      <c r="BM97" s="666"/>
      <c r="BN97" s="666"/>
      <c r="BO97" s="666"/>
      <c r="BP97" s="666"/>
      <c r="BQ97" s="666"/>
      <c r="BR97" s="666"/>
      <c r="BS97" s="666"/>
      <c r="BT97" s="666"/>
      <c r="BU97" s="666"/>
      <c r="BV97" s="666"/>
      <c r="BW97" s="666"/>
      <c r="BX97" s="666"/>
      <c r="BY97" s="666"/>
      <c r="BZ97" s="666"/>
      <c r="CA97" s="666"/>
      <c r="CB97" s="666"/>
      <c r="CC97" s="666"/>
      <c r="CD97" s="666"/>
      <c r="CE97" s="666"/>
      <c r="CF97" s="666"/>
      <c r="CG97" s="666"/>
      <c r="CH97" s="666"/>
      <c r="CI97" s="666"/>
      <c r="CJ97" s="1439"/>
    </row>
    <row r="98" spans="2:88" ht="28.5" x14ac:dyDescent="0.2">
      <c r="B98" s="667" t="s">
        <v>616</v>
      </c>
      <c r="C98" s="668" t="s">
        <v>617</v>
      </c>
      <c r="D98" s="668" t="s">
        <v>618</v>
      </c>
      <c r="E98" s="668" t="s">
        <v>236</v>
      </c>
      <c r="F98" s="669">
        <v>2</v>
      </c>
      <c r="G98" s="670"/>
      <c r="H98" s="671"/>
      <c r="I98" s="671">
        <v>0</v>
      </c>
      <c r="J98" s="671">
        <v>0</v>
      </c>
      <c r="K98" s="671">
        <v>0</v>
      </c>
      <c r="L98" s="671">
        <v>0</v>
      </c>
      <c r="M98" s="666">
        <v>0</v>
      </c>
      <c r="N98" s="666">
        <v>0</v>
      </c>
      <c r="O98" s="666">
        <v>0</v>
      </c>
      <c r="P98" s="666">
        <v>0</v>
      </c>
      <c r="Q98" s="666">
        <v>0</v>
      </c>
      <c r="R98" s="666">
        <v>0</v>
      </c>
      <c r="S98" s="666">
        <v>0</v>
      </c>
      <c r="T98" s="666">
        <v>0</v>
      </c>
      <c r="U98" s="666">
        <v>0</v>
      </c>
      <c r="V98" s="666">
        <v>0</v>
      </c>
      <c r="W98" s="666">
        <v>0</v>
      </c>
      <c r="X98" s="666">
        <v>0</v>
      </c>
      <c r="Y98" s="666">
        <v>0</v>
      </c>
      <c r="Z98" s="666">
        <v>0</v>
      </c>
      <c r="AA98" s="666">
        <v>0</v>
      </c>
      <c r="AB98" s="666">
        <v>0</v>
      </c>
      <c r="AC98" s="666">
        <v>0</v>
      </c>
      <c r="AD98" s="666">
        <v>0</v>
      </c>
      <c r="AE98" s="666">
        <v>0</v>
      </c>
      <c r="AF98" s="666">
        <v>0</v>
      </c>
      <c r="AG98" s="666">
        <v>0</v>
      </c>
      <c r="AH98" s="666">
        <v>0</v>
      </c>
      <c r="AI98" s="666">
        <v>0</v>
      </c>
      <c r="AJ98" s="666">
        <v>0</v>
      </c>
      <c r="AK98" s="666">
        <v>0</v>
      </c>
      <c r="AL98" s="666"/>
      <c r="AM98" s="666"/>
      <c r="AN98" s="666"/>
      <c r="AO98" s="666"/>
      <c r="AP98" s="666"/>
      <c r="AQ98" s="666"/>
      <c r="AR98" s="666"/>
      <c r="AS98" s="666"/>
      <c r="AT98" s="666"/>
      <c r="AU98" s="666"/>
      <c r="AV98" s="666"/>
      <c r="AW98" s="666"/>
      <c r="AX98" s="666"/>
      <c r="AY98" s="666"/>
      <c r="AZ98" s="666"/>
      <c r="BA98" s="666"/>
      <c r="BB98" s="666"/>
      <c r="BC98" s="666"/>
      <c r="BD98" s="666"/>
      <c r="BE98" s="666"/>
      <c r="BF98" s="666"/>
      <c r="BG98" s="666"/>
      <c r="BH98" s="666"/>
      <c r="BI98" s="666"/>
      <c r="BJ98" s="666"/>
      <c r="BK98" s="666"/>
      <c r="BL98" s="666"/>
      <c r="BM98" s="666"/>
      <c r="BN98" s="666"/>
      <c r="BO98" s="666"/>
      <c r="BP98" s="666"/>
      <c r="BQ98" s="666"/>
      <c r="BR98" s="666"/>
      <c r="BS98" s="666"/>
      <c r="BT98" s="666"/>
      <c r="BU98" s="666"/>
      <c r="BV98" s="666"/>
      <c r="BW98" s="666"/>
      <c r="BX98" s="666"/>
      <c r="BY98" s="666"/>
      <c r="BZ98" s="666"/>
      <c r="CA98" s="666"/>
      <c r="CB98" s="666"/>
      <c r="CC98" s="666"/>
      <c r="CD98" s="666"/>
      <c r="CE98" s="666"/>
      <c r="CF98" s="666"/>
      <c r="CG98" s="666"/>
      <c r="CH98" s="666"/>
      <c r="CI98" s="666"/>
      <c r="CJ98" s="1439"/>
    </row>
    <row r="99" spans="2:88" ht="28.5" x14ac:dyDescent="0.2">
      <c r="B99" s="667" t="s">
        <v>619</v>
      </c>
      <c r="C99" s="668" t="s">
        <v>620</v>
      </c>
      <c r="D99" s="668" t="s">
        <v>621</v>
      </c>
      <c r="E99" s="668" t="s">
        <v>236</v>
      </c>
      <c r="F99" s="669">
        <v>2</v>
      </c>
      <c r="G99" s="670"/>
      <c r="H99" s="671"/>
      <c r="I99" s="671">
        <v>0</v>
      </c>
      <c r="J99" s="671">
        <v>0</v>
      </c>
      <c r="K99" s="671">
        <v>0</v>
      </c>
      <c r="L99" s="671">
        <v>0</v>
      </c>
      <c r="M99" s="666">
        <v>0</v>
      </c>
      <c r="N99" s="666">
        <v>0</v>
      </c>
      <c r="O99" s="666">
        <v>0</v>
      </c>
      <c r="P99" s="1511">
        <v>-2.5489812132753316</v>
      </c>
      <c r="Q99" s="1511">
        <v>-2.3852634401101147</v>
      </c>
      <c r="R99" s="1511">
        <v>-4.1571803345612075</v>
      </c>
      <c r="S99" s="1511">
        <v>-3.8429179728844574</v>
      </c>
      <c r="T99" s="1511">
        <v>-9.786702849257038</v>
      </c>
      <c r="U99" s="1511">
        <v>-9.6434258232212713</v>
      </c>
      <c r="V99" s="1511">
        <v>-9.4724725732611716</v>
      </c>
      <c r="W99" s="1511">
        <v>-9.3665353421548581</v>
      </c>
      <c r="X99" s="1511">
        <v>-9.2886396756115719</v>
      </c>
      <c r="Y99" s="1511">
        <v>-9.2044119241214837</v>
      </c>
      <c r="Z99" s="1511">
        <v>-9.159126907657658</v>
      </c>
      <c r="AA99" s="1511">
        <v>-9.1059464606920706</v>
      </c>
      <c r="AB99" s="1511">
        <v>-10.604392274677823</v>
      </c>
      <c r="AC99" s="1511">
        <v>-10.544016264787796</v>
      </c>
      <c r="AD99" s="1511">
        <v>-10.474747720485428</v>
      </c>
      <c r="AE99" s="1511">
        <v>-10.44351725416808</v>
      </c>
      <c r="AF99" s="1511">
        <v>-10.434795758513886</v>
      </c>
      <c r="AG99" s="1511">
        <v>-11.89452799024615</v>
      </c>
      <c r="AH99" s="1511">
        <v>-11.89504786440056</v>
      </c>
      <c r="AI99" s="1511">
        <v>-11.893409867999861</v>
      </c>
      <c r="AJ99" s="1511">
        <v>-11.912489259860434</v>
      </c>
      <c r="AK99" s="1511">
        <v>-11.916554664885785</v>
      </c>
      <c r="AL99" s="666"/>
      <c r="AM99" s="666"/>
      <c r="AN99" s="666"/>
      <c r="AO99" s="666"/>
      <c r="AP99" s="666"/>
      <c r="AQ99" s="666"/>
      <c r="AR99" s="666"/>
      <c r="AS99" s="666"/>
      <c r="AT99" s="666"/>
      <c r="AU99" s="666"/>
      <c r="AV99" s="666"/>
      <c r="AW99" s="666"/>
      <c r="AX99" s="666"/>
      <c r="AY99" s="666"/>
      <c r="AZ99" s="666"/>
      <c r="BA99" s="666"/>
      <c r="BB99" s="666"/>
      <c r="BC99" s="666"/>
      <c r="BD99" s="666"/>
      <c r="BE99" s="666"/>
      <c r="BF99" s="666"/>
      <c r="BG99" s="666"/>
      <c r="BH99" s="666"/>
      <c r="BI99" s="666"/>
      <c r="BJ99" s="666"/>
      <c r="BK99" s="666"/>
      <c r="BL99" s="666"/>
      <c r="BM99" s="666"/>
      <c r="BN99" s="666"/>
      <c r="BO99" s="666"/>
      <c r="BP99" s="666"/>
      <c r="BQ99" s="666"/>
      <c r="BR99" s="666"/>
      <c r="BS99" s="666"/>
      <c r="BT99" s="666"/>
      <c r="BU99" s="666"/>
      <c r="BV99" s="666"/>
      <c r="BW99" s="666"/>
      <c r="BX99" s="666"/>
      <c r="BY99" s="666"/>
      <c r="BZ99" s="666"/>
      <c r="CA99" s="666"/>
      <c r="CB99" s="666"/>
      <c r="CC99" s="666"/>
      <c r="CD99" s="666"/>
      <c r="CE99" s="666"/>
      <c r="CF99" s="666"/>
      <c r="CG99" s="666"/>
      <c r="CH99" s="666"/>
      <c r="CI99" s="666"/>
      <c r="CJ99" s="1439"/>
    </row>
    <row r="100" spans="2:88" ht="28.5" x14ac:dyDescent="0.2">
      <c r="B100" s="667" t="s">
        <v>622</v>
      </c>
      <c r="C100" s="673" t="s">
        <v>623</v>
      </c>
      <c r="D100" s="673" t="s">
        <v>624</v>
      </c>
      <c r="E100" s="673" t="s">
        <v>236</v>
      </c>
      <c r="F100" s="669">
        <v>2</v>
      </c>
      <c r="G100" s="670"/>
      <c r="H100" s="671"/>
      <c r="I100" s="671">
        <v>0</v>
      </c>
      <c r="J100" s="671">
        <v>0</v>
      </c>
      <c r="K100" s="671">
        <v>0</v>
      </c>
      <c r="L100" s="671">
        <v>0</v>
      </c>
      <c r="M100" s="666">
        <v>0</v>
      </c>
      <c r="N100" s="666">
        <v>0</v>
      </c>
      <c r="O100" s="666">
        <v>0</v>
      </c>
      <c r="P100" s="666">
        <v>0</v>
      </c>
      <c r="Q100" s="666">
        <v>0</v>
      </c>
      <c r="R100" s="666">
        <v>0</v>
      </c>
      <c r="S100" s="666">
        <v>0</v>
      </c>
      <c r="T100" s="666">
        <v>0</v>
      </c>
      <c r="U100" s="666">
        <v>0</v>
      </c>
      <c r="V100" s="666">
        <v>0</v>
      </c>
      <c r="W100" s="666">
        <v>0</v>
      </c>
      <c r="X100" s="666">
        <v>0</v>
      </c>
      <c r="Y100" s="666">
        <v>0</v>
      </c>
      <c r="Z100" s="666">
        <v>0</v>
      </c>
      <c r="AA100" s="666">
        <v>0</v>
      </c>
      <c r="AB100" s="666">
        <v>0</v>
      </c>
      <c r="AC100" s="666">
        <v>0</v>
      </c>
      <c r="AD100" s="666">
        <v>0</v>
      </c>
      <c r="AE100" s="666">
        <v>0</v>
      </c>
      <c r="AF100" s="666">
        <v>0</v>
      </c>
      <c r="AG100" s="666">
        <v>0</v>
      </c>
      <c r="AH100" s="666">
        <v>0</v>
      </c>
      <c r="AI100" s="666">
        <v>0</v>
      </c>
      <c r="AJ100" s="666">
        <v>0</v>
      </c>
      <c r="AK100" s="666">
        <v>0</v>
      </c>
      <c r="AL100" s="666"/>
      <c r="AM100" s="666"/>
      <c r="AN100" s="666"/>
      <c r="AO100" s="666"/>
      <c r="AP100" s="666"/>
      <c r="AQ100" s="666"/>
      <c r="AR100" s="666"/>
      <c r="AS100" s="666"/>
      <c r="AT100" s="666"/>
      <c r="AU100" s="666"/>
      <c r="AV100" s="666"/>
      <c r="AW100" s="666"/>
      <c r="AX100" s="666"/>
      <c r="AY100" s="666"/>
      <c r="AZ100" s="666"/>
      <c r="BA100" s="666"/>
      <c r="BB100" s="666"/>
      <c r="BC100" s="666"/>
      <c r="BD100" s="666"/>
      <c r="BE100" s="666"/>
      <c r="BF100" s="666"/>
      <c r="BG100" s="666"/>
      <c r="BH100" s="666"/>
      <c r="BI100" s="666"/>
      <c r="BJ100" s="666"/>
      <c r="BK100" s="666"/>
      <c r="BL100" s="666"/>
      <c r="BM100" s="666"/>
      <c r="BN100" s="666"/>
      <c r="BO100" s="666"/>
      <c r="BP100" s="666"/>
      <c r="BQ100" s="666"/>
      <c r="BR100" s="666"/>
      <c r="BS100" s="666"/>
      <c r="BT100" s="666"/>
      <c r="BU100" s="666"/>
      <c r="BV100" s="666"/>
      <c r="BW100" s="666"/>
      <c r="BX100" s="666"/>
      <c r="BY100" s="666"/>
      <c r="BZ100" s="666"/>
      <c r="CA100" s="666"/>
      <c r="CB100" s="666"/>
      <c r="CC100" s="666"/>
      <c r="CD100" s="666"/>
      <c r="CE100" s="666"/>
      <c r="CF100" s="666"/>
      <c r="CG100" s="666"/>
      <c r="CH100" s="666"/>
      <c r="CI100" s="666"/>
      <c r="CJ100" s="1439"/>
    </row>
    <row r="101" spans="2:88" ht="34.5" customHeight="1" x14ac:dyDescent="0.2">
      <c r="B101" s="667" t="s">
        <v>625</v>
      </c>
      <c r="C101" s="668" t="s">
        <v>626</v>
      </c>
      <c r="D101" s="668" t="s">
        <v>627</v>
      </c>
      <c r="E101" s="668" t="s">
        <v>236</v>
      </c>
      <c r="F101" s="669">
        <v>2</v>
      </c>
      <c r="G101" s="670"/>
      <c r="H101" s="671"/>
      <c r="I101" s="671">
        <v>0</v>
      </c>
      <c r="J101" s="671">
        <v>0</v>
      </c>
      <c r="K101" s="671">
        <v>0</v>
      </c>
      <c r="L101" s="671">
        <v>0</v>
      </c>
      <c r="M101" s="666">
        <v>0</v>
      </c>
      <c r="N101" s="666">
        <v>0</v>
      </c>
      <c r="O101" s="666">
        <v>0</v>
      </c>
      <c r="P101" s="666">
        <v>0</v>
      </c>
      <c r="Q101" s="666">
        <v>0</v>
      </c>
      <c r="R101" s="1511">
        <v>1</v>
      </c>
      <c r="S101" s="666">
        <v>1</v>
      </c>
      <c r="T101" s="1511">
        <v>12</v>
      </c>
      <c r="U101" s="666">
        <v>12</v>
      </c>
      <c r="V101" s="666">
        <v>12</v>
      </c>
      <c r="W101" s="666">
        <v>12</v>
      </c>
      <c r="X101" s="666">
        <v>12</v>
      </c>
      <c r="Y101" s="666">
        <v>12</v>
      </c>
      <c r="Z101" s="666">
        <v>12</v>
      </c>
      <c r="AA101" s="666">
        <v>12</v>
      </c>
      <c r="AB101" s="1511">
        <v>31.9</v>
      </c>
      <c r="AC101" s="666">
        <v>31.9</v>
      </c>
      <c r="AD101" s="666">
        <v>31.9</v>
      </c>
      <c r="AE101" s="666">
        <v>31.9</v>
      </c>
      <c r="AF101" s="666">
        <v>31.9</v>
      </c>
      <c r="AG101" s="666">
        <v>31.9</v>
      </c>
      <c r="AH101" s="666">
        <v>31.9</v>
      </c>
      <c r="AI101" s="666">
        <v>31.9</v>
      </c>
      <c r="AJ101" s="666">
        <v>31.9</v>
      </c>
      <c r="AK101" s="666">
        <v>31.9</v>
      </c>
      <c r="AL101" s="1535"/>
      <c r="AM101" s="1535"/>
      <c r="AN101" s="1535"/>
      <c r="AO101" s="1535"/>
      <c r="AP101" s="1535"/>
      <c r="AQ101" s="1535"/>
      <c r="AR101" s="1535"/>
      <c r="AS101" s="1535"/>
      <c r="AT101" s="1535"/>
      <c r="AU101" s="1535"/>
      <c r="AV101" s="1535"/>
      <c r="AW101" s="1535"/>
      <c r="AX101" s="1535"/>
      <c r="AY101" s="1535"/>
      <c r="AZ101" s="1535"/>
      <c r="BA101" s="1535"/>
      <c r="BB101" s="1535"/>
      <c r="BC101" s="1535"/>
      <c r="BD101" s="1535"/>
      <c r="BE101" s="1535"/>
      <c r="BF101" s="1535"/>
      <c r="BG101" s="1535"/>
      <c r="BH101" s="1535"/>
      <c r="BI101" s="1535"/>
      <c r="BJ101" s="1535"/>
      <c r="BK101" s="1535"/>
      <c r="BL101" s="1535"/>
      <c r="BM101" s="1535"/>
      <c r="BN101" s="1535"/>
      <c r="BO101" s="1535"/>
      <c r="BP101" s="1535"/>
      <c r="BQ101" s="1535"/>
      <c r="BR101" s="1535"/>
      <c r="BS101" s="1535"/>
      <c r="BT101" s="1535"/>
      <c r="BU101" s="1535"/>
      <c r="BV101" s="1535"/>
      <c r="BW101" s="1535"/>
      <c r="BX101" s="1535"/>
      <c r="BY101" s="1535"/>
      <c r="BZ101" s="1535"/>
      <c r="CA101" s="1535"/>
      <c r="CB101" s="1535"/>
      <c r="CC101" s="1535"/>
      <c r="CD101" s="1535"/>
      <c r="CE101" s="1535"/>
      <c r="CF101" s="1535"/>
      <c r="CG101" s="1535"/>
      <c r="CH101" s="1535"/>
      <c r="CI101" s="1535"/>
      <c r="CJ101" s="1439"/>
    </row>
    <row r="102" spans="2:88" ht="38.25" customHeight="1" x14ac:dyDescent="0.2">
      <c r="B102" s="674" t="s">
        <v>628</v>
      </c>
      <c r="C102" s="675" t="s">
        <v>629</v>
      </c>
      <c r="D102" s="676" t="s">
        <v>630</v>
      </c>
      <c r="E102" s="675" t="s">
        <v>236</v>
      </c>
      <c r="F102" s="677">
        <v>2</v>
      </c>
      <c r="G102" s="670"/>
      <c r="H102" s="671"/>
      <c r="I102" s="671">
        <v>0</v>
      </c>
      <c r="J102" s="671">
        <v>0</v>
      </c>
      <c r="K102" s="671">
        <v>0</v>
      </c>
      <c r="L102" s="671">
        <v>0</v>
      </c>
      <c r="M102" s="666">
        <v>0</v>
      </c>
      <c r="N102" s="666">
        <v>0</v>
      </c>
      <c r="O102" s="666">
        <v>0</v>
      </c>
      <c r="P102" s="666">
        <v>0</v>
      </c>
      <c r="Q102" s="666">
        <v>0</v>
      </c>
      <c r="R102" s="666">
        <v>0</v>
      </c>
      <c r="S102" s="666">
        <v>0</v>
      </c>
      <c r="T102" s="666">
        <v>0</v>
      </c>
      <c r="U102" s="666">
        <v>0</v>
      </c>
      <c r="V102" s="666">
        <v>0</v>
      </c>
      <c r="W102" s="666">
        <v>0</v>
      </c>
      <c r="X102" s="666">
        <v>0</v>
      </c>
      <c r="Y102" s="666">
        <v>0</v>
      </c>
      <c r="Z102" s="666">
        <v>0</v>
      </c>
      <c r="AA102" s="666">
        <v>0</v>
      </c>
      <c r="AB102" s="666">
        <v>0</v>
      </c>
      <c r="AC102" s="666">
        <v>0</v>
      </c>
      <c r="AD102" s="666">
        <v>0</v>
      </c>
      <c r="AE102" s="666">
        <v>0</v>
      </c>
      <c r="AF102" s="666">
        <v>0</v>
      </c>
      <c r="AG102" s="666">
        <v>0</v>
      </c>
      <c r="AH102" s="666">
        <v>0</v>
      </c>
      <c r="AI102" s="666">
        <v>0</v>
      </c>
      <c r="AJ102" s="666">
        <v>0</v>
      </c>
      <c r="AK102" s="666">
        <v>0</v>
      </c>
      <c r="AL102" s="666"/>
      <c r="AM102" s="666"/>
      <c r="AN102" s="666"/>
      <c r="AO102" s="666"/>
      <c r="AP102" s="666"/>
      <c r="AQ102" s="666"/>
      <c r="AR102" s="666"/>
      <c r="AS102" s="666"/>
      <c r="AT102" s="666"/>
      <c r="AU102" s="666"/>
      <c r="AV102" s="666"/>
      <c r="AW102" s="666"/>
      <c r="AX102" s="666"/>
      <c r="AY102" s="666"/>
      <c r="AZ102" s="666"/>
      <c r="BA102" s="666"/>
      <c r="BB102" s="666"/>
      <c r="BC102" s="666"/>
      <c r="BD102" s="666"/>
      <c r="BE102" s="666"/>
      <c r="BF102" s="666"/>
      <c r="BG102" s="666"/>
      <c r="BH102" s="666"/>
      <c r="BI102" s="666"/>
      <c r="BJ102" s="666"/>
      <c r="BK102" s="666"/>
      <c r="BL102" s="666"/>
      <c r="BM102" s="666"/>
      <c r="BN102" s="666"/>
      <c r="BO102" s="666"/>
      <c r="BP102" s="666"/>
      <c r="BQ102" s="666"/>
      <c r="BR102" s="666"/>
      <c r="BS102" s="666"/>
      <c r="BT102" s="666"/>
      <c r="BU102" s="666"/>
      <c r="BV102" s="666"/>
      <c r="BW102" s="666"/>
      <c r="BX102" s="666"/>
      <c r="BY102" s="666"/>
      <c r="BZ102" s="666"/>
      <c r="CA102" s="666"/>
      <c r="CB102" s="666"/>
      <c r="CC102" s="666"/>
      <c r="CD102" s="666"/>
      <c r="CE102" s="666"/>
      <c r="CF102" s="666"/>
      <c r="CG102" s="666"/>
      <c r="CH102" s="666"/>
      <c r="CI102" s="666"/>
      <c r="CJ102" s="1439"/>
    </row>
    <row r="103" spans="2:88" ht="38.25" customHeight="1" x14ac:dyDescent="0.2">
      <c r="B103" s="674" t="s">
        <v>631</v>
      </c>
      <c r="C103" s="675" t="s">
        <v>632</v>
      </c>
      <c r="D103" s="676" t="s">
        <v>633</v>
      </c>
      <c r="E103" s="675" t="s">
        <v>236</v>
      </c>
      <c r="F103" s="677">
        <v>2</v>
      </c>
      <c r="G103" s="670"/>
      <c r="H103" s="671"/>
      <c r="I103" s="671">
        <v>3.5004794165974826</v>
      </c>
      <c r="J103" s="671">
        <v>3.3744633255132452</v>
      </c>
      <c r="K103" s="671">
        <v>3.3591867269437676</v>
      </c>
      <c r="L103" s="671">
        <v>3.3113465388984613</v>
      </c>
      <c r="M103" s="666">
        <v>3.2076174313820611</v>
      </c>
      <c r="N103" s="666">
        <v>3.0982878673412513</v>
      </c>
      <c r="O103" s="666">
        <v>2.9060452248363138</v>
      </c>
      <c r="P103" s="666">
        <v>2.7169128111381964</v>
      </c>
      <c r="Q103" s="666">
        <v>2.5889010084849353</v>
      </c>
      <c r="R103" s="666">
        <v>2.5426640037345707</v>
      </c>
      <c r="S103" s="666">
        <v>2.5266852694960997</v>
      </c>
      <c r="T103" s="666">
        <v>2.4997307998018758</v>
      </c>
      <c r="U103" s="666">
        <v>2.4665565529203413</v>
      </c>
      <c r="V103" s="666">
        <v>2.4455900570498299</v>
      </c>
      <c r="W103" s="666">
        <v>2.43003822040831</v>
      </c>
      <c r="X103" s="666">
        <v>2.4149271666858496</v>
      </c>
      <c r="Y103" s="666">
        <v>2.4000004671999156</v>
      </c>
      <c r="Z103" s="666">
        <v>2.3863347718917205</v>
      </c>
      <c r="AA103" s="666">
        <v>2.3733827739153268</v>
      </c>
      <c r="AB103" s="666">
        <v>2.3579961506711662</v>
      </c>
      <c r="AC103" s="666">
        <v>2.3452100900489183</v>
      </c>
      <c r="AD103" s="666">
        <v>2.3335793724165148</v>
      </c>
      <c r="AE103" s="666">
        <v>2.3319248771344796</v>
      </c>
      <c r="AF103" s="666">
        <v>2.3303187671984498</v>
      </c>
      <c r="AG103" s="666">
        <v>2.3285654809685266</v>
      </c>
      <c r="AH103" s="666">
        <v>2.3273719089165255</v>
      </c>
      <c r="AI103" s="666">
        <v>2.3260076961937726</v>
      </c>
      <c r="AJ103" s="666">
        <v>2.3248168921623487</v>
      </c>
      <c r="AK103" s="666">
        <v>2.3230814996449083</v>
      </c>
      <c r="AL103" s="666"/>
      <c r="AM103" s="666"/>
      <c r="AN103" s="666"/>
      <c r="AO103" s="666"/>
      <c r="AP103" s="666"/>
      <c r="AQ103" s="666"/>
      <c r="AR103" s="666"/>
      <c r="AS103" s="666"/>
      <c r="AT103" s="666"/>
      <c r="AU103" s="666"/>
      <c r="AV103" s="666"/>
      <c r="AW103" s="666"/>
      <c r="AX103" s="666"/>
      <c r="AY103" s="666"/>
      <c r="AZ103" s="666"/>
      <c r="BA103" s="666"/>
      <c r="BB103" s="666"/>
      <c r="BC103" s="666"/>
      <c r="BD103" s="666"/>
      <c r="BE103" s="666"/>
      <c r="BF103" s="666"/>
      <c r="BG103" s="666"/>
      <c r="BH103" s="666"/>
      <c r="BI103" s="666"/>
      <c r="BJ103" s="666"/>
      <c r="BK103" s="666"/>
      <c r="BL103" s="666"/>
      <c r="BM103" s="666"/>
      <c r="BN103" s="666"/>
      <c r="BO103" s="666"/>
      <c r="BP103" s="666"/>
      <c r="BQ103" s="666"/>
      <c r="BR103" s="666"/>
      <c r="BS103" s="666"/>
      <c r="BT103" s="666"/>
      <c r="BU103" s="666"/>
      <c r="BV103" s="666"/>
      <c r="BW103" s="666"/>
      <c r="BX103" s="666"/>
      <c r="BY103" s="666"/>
      <c r="BZ103" s="666"/>
      <c r="CA103" s="666"/>
      <c r="CB103" s="666"/>
      <c r="CC103" s="666"/>
      <c r="CD103" s="666"/>
      <c r="CE103" s="666"/>
      <c r="CF103" s="666"/>
      <c r="CG103" s="666"/>
      <c r="CH103" s="666"/>
      <c r="CI103" s="666"/>
      <c r="CJ103" s="1439"/>
    </row>
    <row r="104" spans="2:88" ht="42.75" x14ac:dyDescent="0.2">
      <c r="B104" s="667" t="s">
        <v>634</v>
      </c>
      <c r="C104" s="668" t="s">
        <v>635</v>
      </c>
      <c r="D104" s="668">
        <f>J100</f>
        <v>0</v>
      </c>
      <c r="E104" s="668" t="s">
        <v>236</v>
      </c>
      <c r="F104" s="669">
        <v>2</v>
      </c>
      <c r="G104" s="670"/>
      <c r="H104" s="671"/>
      <c r="I104" s="671">
        <v>0</v>
      </c>
      <c r="J104" s="671">
        <v>0</v>
      </c>
      <c r="K104" s="671">
        <v>0</v>
      </c>
      <c r="L104" s="671">
        <v>0</v>
      </c>
      <c r="M104" s="666">
        <v>0</v>
      </c>
      <c r="N104" s="666">
        <v>0</v>
      </c>
      <c r="O104" s="666">
        <v>0</v>
      </c>
      <c r="P104" s="666">
        <v>0</v>
      </c>
      <c r="Q104" s="666">
        <v>0</v>
      </c>
      <c r="R104" s="666">
        <v>0</v>
      </c>
      <c r="S104" s="666">
        <v>0</v>
      </c>
      <c r="T104" s="666">
        <v>0</v>
      </c>
      <c r="U104" s="666">
        <v>0</v>
      </c>
      <c r="V104" s="666">
        <v>0</v>
      </c>
      <c r="W104" s="666">
        <v>0</v>
      </c>
      <c r="X104" s="666">
        <v>0</v>
      </c>
      <c r="Y104" s="666">
        <v>0</v>
      </c>
      <c r="Z104" s="666">
        <v>0</v>
      </c>
      <c r="AA104" s="666">
        <v>0</v>
      </c>
      <c r="AB104" s="666">
        <v>0</v>
      </c>
      <c r="AC104" s="666">
        <v>0</v>
      </c>
      <c r="AD104" s="666">
        <v>0</v>
      </c>
      <c r="AE104" s="666">
        <v>0</v>
      </c>
      <c r="AF104" s="666">
        <v>0</v>
      </c>
      <c r="AG104" s="666">
        <v>0</v>
      </c>
      <c r="AH104" s="666">
        <v>0</v>
      </c>
      <c r="AI104" s="666">
        <v>0</v>
      </c>
      <c r="AJ104" s="666">
        <v>0</v>
      </c>
      <c r="AK104" s="666">
        <v>0</v>
      </c>
      <c r="AL104" s="666"/>
      <c r="AM104" s="666"/>
      <c r="AN104" s="666"/>
      <c r="AO104" s="666"/>
      <c r="AP104" s="666"/>
      <c r="AQ104" s="666"/>
      <c r="AR104" s="666"/>
      <c r="AS104" s="666"/>
      <c r="AT104" s="666"/>
      <c r="AU104" s="666"/>
      <c r="AV104" s="666"/>
      <c r="AW104" s="666"/>
      <c r="AX104" s="666"/>
      <c r="AY104" s="666"/>
      <c r="AZ104" s="666"/>
      <c r="BA104" s="666"/>
      <c r="BB104" s="666"/>
      <c r="BC104" s="666"/>
      <c r="BD104" s="666"/>
      <c r="BE104" s="666"/>
      <c r="BF104" s="666"/>
      <c r="BG104" s="666"/>
      <c r="BH104" s="666"/>
      <c r="BI104" s="666"/>
      <c r="BJ104" s="666"/>
      <c r="BK104" s="666"/>
      <c r="BL104" s="666"/>
      <c r="BM104" s="666"/>
      <c r="BN104" s="666"/>
      <c r="BO104" s="666"/>
      <c r="BP104" s="666"/>
      <c r="BQ104" s="666"/>
      <c r="BR104" s="666"/>
      <c r="BS104" s="666"/>
      <c r="BT104" s="666"/>
      <c r="BU104" s="666"/>
      <c r="BV104" s="666"/>
      <c r="BW104" s="666"/>
      <c r="BX104" s="666"/>
      <c r="BY104" s="666"/>
      <c r="BZ104" s="666"/>
      <c r="CA104" s="666"/>
      <c r="CB104" s="666"/>
      <c r="CC104" s="666"/>
      <c r="CD104" s="666"/>
      <c r="CE104" s="666"/>
      <c r="CF104" s="666"/>
      <c r="CG104" s="666"/>
      <c r="CH104" s="666"/>
      <c r="CI104" s="666"/>
      <c r="CJ104" s="1439"/>
    </row>
    <row r="105" spans="2:88" x14ac:dyDescent="0.2">
      <c r="B105" s="667" t="s">
        <v>637</v>
      </c>
      <c r="C105" s="668" t="s">
        <v>638</v>
      </c>
      <c r="D105" s="668" t="s">
        <v>639</v>
      </c>
      <c r="E105" s="668" t="s">
        <v>236</v>
      </c>
      <c r="F105" s="669">
        <v>2</v>
      </c>
      <c r="G105" s="670"/>
      <c r="H105" s="671"/>
      <c r="I105" s="671">
        <v>0</v>
      </c>
      <c r="J105" s="671">
        <v>0</v>
      </c>
      <c r="K105" s="671">
        <v>0</v>
      </c>
      <c r="L105" s="671">
        <v>0</v>
      </c>
      <c r="M105" s="666">
        <v>0</v>
      </c>
      <c r="N105" s="666">
        <v>0</v>
      </c>
      <c r="O105" s="666">
        <v>0</v>
      </c>
      <c r="P105" s="666">
        <v>0</v>
      </c>
      <c r="Q105" s="666">
        <v>0</v>
      </c>
      <c r="R105" s="666">
        <v>0</v>
      </c>
      <c r="S105" s="666">
        <v>0</v>
      </c>
      <c r="T105" s="666">
        <v>0</v>
      </c>
      <c r="U105" s="666">
        <v>0</v>
      </c>
      <c r="V105" s="666">
        <v>0</v>
      </c>
      <c r="W105" s="666">
        <v>0</v>
      </c>
      <c r="X105" s="666">
        <v>0</v>
      </c>
      <c r="Y105" s="666">
        <v>0</v>
      </c>
      <c r="Z105" s="666">
        <v>0</v>
      </c>
      <c r="AA105" s="666">
        <v>0</v>
      </c>
      <c r="AB105" s="666">
        <v>0</v>
      </c>
      <c r="AC105" s="666">
        <v>0</v>
      </c>
      <c r="AD105" s="666">
        <v>0</v>
      </c>
      <c r="AE105" s="666">
        <v>0</v>
      </c>
      <c r="AF105" s="666">
        <v>0</v>
      </c>
      <c r="AG105" s="666">
        <v>0</v>
      </c>
      <c r="AH105" s="666">
        <v>0</v>
      </c>
      <c r="AI105" s="666">
        <v>0</v>
      </c>
      <c r="AJ105" s="666">
        <v>0</v>
      </c>
      <c r="AK105" s="666">
        <v>0</v>
      </c>
      <c r="AL105" s="666"/>
      <c r="AM105" s="666"/>
      <c r="AN105" s="666"/>
      <c r="AO105" s="666"/>
      <c r="AP105" s="666"/>
      <c r="AQ105" s="666"/>
      <c r="AR105" s="666"/>
      <c r="AS105" s="666"/>
      <c r="AT105" s="666"/>
      <c r="AU105" s="666"/>
      <c r="AV105" s="666"/>
      <c r="AW105" s="666"/>
      <c r="AX105" s="666"/>
      <c r="AY105" s="666"/>
      <c r="AZ105" s="666"/>
      <c r="BA105" s="666"/>
      <c r="BB105" s="666"/>
      <c r="BC105" s="666"/>
      <c r="BD105" s="666"/>
      <c r="BE105" s="666"/>
      <c r="BF105" s="666"/>
      <c r="BG105" s="666"/>
      <c r="BH105" s="666"/>
      <c r="BI105" s="666"/>
      <c r="BJ105" s="666"/>
      <c r="BK105" s="666"/>
      <c r="BL105" s="666"/>
      <c r="BM105" s="666"/>
      <c r="BN105" s="666"/>
      <c r="BO105" s="666"/>
      <c r="BP105" s="666"/>
      <c r="BQ105" s="666"/>
      <c r="BR105" s="666"/>
      <c r="BS105" s="666"/>
      <c r="BT105" s="666"/>
      <c r="BU105" s="666"/>
      <c r="BV105" s="666"/>
      <c r="BW105" s="666"/>
      <c r="BX105" s="666"/>
      <c r="BY105" s="666"/>
      <c r="BZ105" s="666"/>
      <c r="CA105" s="666"/>
      <c r="CB105" s="666"/>
      <c r="CC105" s="666"/>
      <c r="CD105" s="666"/>
      <c r="CE105" s="666"/>
      <c r="CF105" s="666"/>
      <c r="CG105" s="666"/>
      <c r="CH105" s="666"/>
      <c r="CI105" s="666"/>
      <c r="CJ105" s="1439"/>
    </row>
    <row r="106" spans="2:88" ht="15" thickBot="1" x14ac:dyDescent="0.25">
      <c r="B106" s="678" t="s">
        <v>640</v>
      </c>
      <c r="C106" s="679" t="s">
        <v>641</v>
      </c>
      <c r="D106" s="679" t="s">
        <v>642</v>
      </c>
      <c r="E106" s="679" t="s">
        <v>236</v>
      </c>
      <c r="F106" s="680">
        <v>2</v>
      </c>
      <c r="G106" s="681"/>
      <c r="H106" s="682"/>
      <c r="I106" s="682">
        <v>0</v>
      </c>
      <c r="J106" s="682">
        <v>0</v>
      </c>
      <c r="K106" s="682">
        <v>0</v>
      </c>
      <c r="L106" s="682">
        <v>0</v>
      </c>
      <c r="M106" s="683">
        <v>0</v>
      </c>
      <c r="N106" s="683">
        <v>0</v>
      </c>
      <c r="O106" s="683">
        <v>0</v>
      </c>
      <c r="P106" s="683">
        <v>0</v>
      </c>
      <c r="Q106" s="1533">
        <v>-2.15</v>
      </c>
      <c r="R106" s="683">
        <v>-2.15</v>
      </c>
      <c r="S106" s="683">
        <v>-2.15</v>
      </c>
      <c r="T106" s="683">
        <v>-2.15</v>
      </c>
      <c r="U106" s="683">
        <v>-2.15</v>
      </c>
      <c r="V106" s="683">
        <v>-2.15</v>
      </c>
      <c r="W106" s="683">
        <v>-2.15</v>
      </c>
      <c r="X106" s="683">
        <v>-2.15</v>
      </c>
      <c r="Y106" s="683">
        <v>-2.15</v>
      </c>
      <c r="Z106" s="683">
        <v>-2.15</v>
      </c>
      <c r="AA106" s="683">
        <v>-2.15</v>
      </c>
      <c r="AB106" s="683">
        <v>-2.15</v>
      </c>
      <c r="AC106" s="683">
        <v>-2.15</v>
      </c>
      <c r="AD106" s="683">
        <v>-2.15</v>
      </c>
      <c r="AE106" s="683">
        <v>-2.15</v>
      </c>
      <c r="AF106" s="683">
        <v>-2.15</v>
      </c>
      <c r="AG106" s="683">
        <v>-2.15</v>
      </c>
      <c r="AH106" s="683">
        <v>-2.15</v>
      </c>
      <c r="AI106" s="683">
        <v>-2.15</v>
      </c>
      <c r="AJ106" s="683">
        <v>-2.15</v>
      </c>
      <c r="AK106" s="683">
        <v>-2.15</v>
      </c>
      <c r="AL106" s="683"/>
      <c r="AM106" s="683"/>
      <c r="AN106" s="683"/>
      <c r="AO106" s="683"/>
      <c r="AP106" s="683"/>
      <c r="AQ106" s="683"/>
      <c r="AR106" s="683"/>
      <c r="AS106" s="683"/>
      <c r="AT106" s="683"/>
      <c r="AU106" s="683"/>
      <c r="AV106" s="683"/>
      <c r="AW106" s="683"/>
      <c r="AX106" s="683"/>
      <c r="AY106" s="683"/>
      <c r="AZ106" s="683"/>
      <c r="BA106" s="683"/>
      <c r="BB106" s="683"/>
      <c r="BC106" s="683"/>
      <c r="BD106" s="683"/>
      <c r="BE106" s="683"/>
      <c r="BF106" s="683"/>
      <c r="BG106" s="683"/>
      <c r="BH106" s="683"/>
      <c r="BI106" s="683"/>
      <c r="BJ106" s="683"/>
      <c r="BK106" s="683"/>
      <c r="BL106" s="683"/>
      <c r="BM106" s="683"/>
      <c r="BN106" s="683"/>
      <c r="BO106" s="683"/>
      <c r="BP106" s="683"/>
      <c r="BQ106" s="683"/>
      <c r="BR106" s="683"/>
      <c r="BS106" s="683"/>
      <c r="BT106" s="683"/>
      <c r="BU106" s="683"/>
      <c r="BV106" s="683"/>
      <c r="BW106" s="683"/>
      <c r="BX106" s="683"/>
      <c r="BY106" s="683"/>
      <c r="BZ106" s="683"/>
      <c r="CA106" s="683"/>
      <c r="CB106" s="683"/>
      <c r="CC106" s="683"/>
      <c r="CD106" s="683"/>
      <c r="CE106" s="683"/>
      <c r="CF106" s="683"/>
      <c r="CG106" s="683"/>
      <c r="CH106" s="683"/>
      <c r="CI106" s="683"/>
      <c r="CJ106" s="1534"/>
    </row>
    <row r="107" spans="2:88" ht="57" x14ac:dyDescent="0.2">
      <c r="B107" s="684" t="s">
        <v>643</v>
      </c>
      <c r="C107" s="685" t="s">
        <v>644</v>
      </c>
      <c r="D107" s="686" t="s">
        <v>645</v>
      </c>
      <c r="E107" s="685" t="s">
        <v>236</v>
      </c>
      <c r="F107" s="687">
        <v>2</v>
      </c>
      <c r="G107" s="664"/>
      <c r="H107" s="1513"/>
      <c r="I107" s="1513">
        <v>0</v>
      </c>
      <c r="J107" s="1513">
        <v>0</v>
      </c>
      <c r="K107" s="1513">
        <v>0</v>
      </c>
      <c r="L107" s="1513">
        <v>0</v>
      </c>
      <c r="M107" s="1517">
        <v>-6.3458587205538208E-2</v>
      </c>
      <c r="N107" s="1517">
        <v>-0.12691752649793209</v>
      </c>
      <c r="O107" s="1517">
        <v>-0.19037681787718341</v>
      </c>
      <c r="P107" s="1517">
        <v>-0.25383646134329041</v>
      </c>
      <c r="Q107" s="1517">
        <v>-0.31729645689625485</v>
      </c>
      <c r="R107" s="1517">
        <v>-0.45327669999559816</v>
      </c>
      <c r="S107" s="1517">
        <v>-0.58925729518179537</v>
      </c>
      <c r="T107" s="1517">
        <v>-0.72523824245485358</v>
      </c>
      <c r="U107" s="1517">
        <v>-0.86121954181476212</v>
      </c>
      <c r="V107" s="1517">
        <v>-0.99720119326153167</v>
      </c>
      <c r="W107" s="1517">
        <v>-1.1235164882759321</v>
      </c>
      <c r="X107" s="1517">
        <v>-1.2498321353771971</v>
      </c>
      <c r="Y107" s="1517">
        <v>-1.3761481345653124</v>
      </c>
      <c r="Z107" s="1517">
        <v>-1.3761921467990206</v>
      </c>
      <c r="AA107" s="1517">
        <v>-1.3762365111195898</v>
      </c>
      <c r="AB107" s="1517">
        <v>-1.3762812275270093</v>
      </c>
      <c r="AC107" s="1517">
        <v>-1.3763262960212934</v>
      </c>
      <c r="AD107" s="1517">
        <v>-1.3763717166024314</v>
      </c>
      <c r="AE107" s="1517">
        <v>-1.3764174892704197</v>
      </c>
      <c r="AF107" s="1517">
        <v>-1.3764636140252726</v>
      </c>
      <c r="AG107" s="1517">
        <v>-1.3765100908669758</v>
      </c>
      <c r="AH107" s="1517">
        <v>-1.3765569197955401</v>
      </c>
      <c r="AI107" s="1517">
        <v>-1.3766041008109617</v>
      </c>
      <c r="AJ107" s="1517">
        <v>-1.3766516339132338</v>
      </c>
      <c r="AK107" s="1517">
        <v>-1.3766995191023668</v>
      </c>
      <c r="AL107" s="1517"/>
      <c r="AM107" s="1517"/>
      <c r="AN107" s="1517"/>
      <c r="AO107" s="1517"/>
      <c r="AP107" s="1517"/>
      <c r="AQ107" s="1517"/>
      <c r="AR107" s="1517"/>
      <c r="AS107" s="1517"/>
      <c r="AT107" s="1517"/>
      <c r="AU107" s="1517"/>
      <c r="AV107" s="1517"/>
      <c r="AW107" s="1517"/>
      <c r="AX107" s="1517"/>
      <c r="AY107" s="1517"/>
      <c r="AZ107" s="1517"/>
      <c r="BA107" s="1517"/>
      <c r="BB107" s="1517"/>
      <c r="BC107" s="1517"/>
      <c r="BD107" s="1517"/>
      <c r="BE107" s="1517"/>
      <c r="BF107" s="1517"/>
      <c r="BG107" s="1517"/>
      <c r="BH107" s="1517"/>
      <c r="BI107" s="1517"/>
      <c r="BJ107" s="1517"/>
      <c r="BK107" s="1517"/>
      <c r="BL107" s="1517"/>
      <c r="BM107" s="1517"/>
      <c r="BN107" s="1517"/>
      <c r="BO107" s="1517"/>
      <c r="BP107" s="1517"/>
      <c r="BQ107" s="1517"/>
      <c r="BR107" s="1517"/>
      <c r="BS107" s="1517"/>
      <c r="BT107" s="1517"/>
      <c r="BU107" s="1517"/>
      <c r="BV107" s="1517"/>
      <c r="BW107" s="1517"/>
      <c r="BX107" s="1517"/>
      <c r="BY107" s="1517"/>
      <c r="BZ107" s="1517"/>
      <c r="CA107" s="1517"/>
      <c r="CB107" s="1517"/>
      <c r="CC107" s="1517"/>
      <c r="CD107" s="1517"/>
      <c r="CE107" s="1517"/>
      <c r="CF107" s="1517"/>
      <c r="CG107" s="1517"/>
      <c r="CH107" s="1517"/>
      <c r="CI107" s="1517"/>
      <c r="CJ107" s="1438"/>
    </row>
    <row r="108" spans="2:88" ht="57" x14ac:dyDescent="0.2">
      <c r="B108" s="688" t="s">
        <v>646</v>
      </c>
      <c r="C108" s="689" t="s">
        <v>647</v>
      </c>
      <c r="D108" s="690" t="s">
        <v>648</v>
      </c>
      <c r="E108" s="689" t="s">
        <v>236</v>
      </c>
      <c r="F108" s="691">
        <v>2</v>
      </c>
      <c r="G108" s="670"/>
      <c r="H108" s="671"/>
      <c r="I108" s="671">
        <v>0</v>
      </c>
      <c r="J108" s="671">
        <v>0</v>
      </c>
      <c r="K108" s="671">
        <v>0</v>
      </c>
      <c r="L108" s="671">
        <v>0</v>
      </c>
      <c r="M108" s="666">
        <v>-7.6858630092373204E-6</v>
      </c>
      <c r="N108" s="666">
        <v>-1.5000768646800111E-5</v>
      </c>
      <c r="O108" s="666">
        <v>-2.1944716912688372E-5</v>
      </c>
      <c r="P108" s="666">
        <v>-2.8517707806902104E-5</v>
      </c>
      <c r="Q108" s="666">
        <v>-3.4719741329441306E-5</v>
      </c>
      <c r="R108" s="666">
        <v>-4.0550817480305978E-5</v>
      </c>
      <c r="S108" s="666">
        <v>-4.6010936259497856E-5</v>
      </c>
      <c r="T108" s="666">
        <v>-5.1100097667016939E-5</v>
      </c>
      <c r="U108" s="666">
        <v>-5.5818301702859757E-5</v>
      </c>
      <c r="V108" s="666">
        <v>-6.2020335225398959E-5</v>
      </c>
      <c r="W108" s="666">
        <v>-6.8222368747939896E-5</v>
      </c>
      <c r="X108" s="666">
        <v>-7.4424402270479098E-5</v>
      </c>
      <c r="Y108" s="666">
        <v>-8.0626435793020035E-5</v>
      </c>
      <c r="Z108" s="666">
        <v>-8.6828469315559237E-5</v>
      </c>
      <c r="AA108" s="666">
        <v>-9.3030502838098439E-5</v>
      </c>
      <c r="AB108" s="666">
        <v>-9.9232536360639376E-5</v>
      </c>
      <c r="AC108" s="666">
        <v>-1.0543456988317858E-4</v>
      </c>
      <c r="AD108" s="666">
        <v>-1.1163660340571951E-4</v>
      </c>
      <c r="AE108" s="666">
        <v>-1.1783863692825872E-4</v>
      </c>
      <c r="AF108" s="666">
        <v>-1.2404067045079792E-4</v>
      </c>
      <c r="AG108" s="666">
        <v>-1.3024270397333886E-4</v>
      </c>
      <c r="AH108" s="666">
        <v>-1.3644473749587806E-4</v>
      </c>
      <c r="AI108" s="666">
        <v>-1.4264677101841726E-4</v>
      </c>
      <c r="AJ108" s="666">
        <v>-1.488488045409582E-4</v>
      </c>
      <c r="AK108" s="666">
        <v>-1.550508380634974E-4</v>
      </c>
      <c r="AL108" s="666"/>
      <c r="AM108" s="666"/>
      <c r="AN108" s="666"/>
      <c r="AO108" s="666"/>
      <c r="AP108" s="666"/>
      <c r="AQ108" s="666"/>
      <c r="AR108" s="666"/>
      <c r="AS108" s="666"/>
      <c r="AT108" s="666"/>
      <c r="AU108" s="666"/>
      <c r="AV108" s="666"/>
      <c r="AW108" s="666"/>
      <c r="AX108" s="666"/>
      <c r="AY108" s="666"/>
      <c r="AZ108" s="666"/>
      <c r="BA108" s="666"/>
      <c r="BB108" s="666"/>
      <c r="BC108" s="666"/>
      <c r="BD108" s="666"/>
      <c r="BE108" s="666"/>
      <c r="BF108" s="666"/>
      <c r="BG108" s="666"/>
      <c r="BH108" s="666"/>
      <c r="BI108" s="666"/>
      <c r="BJ108" s="666"/>
      <c r="BK108" s="666"/>
      <c r="BL108" s="666"/>
      <c r="BM108" s="666"/>
      <c r="BN108" s="666"/>
      <c r="BO108" s="666"/>
      <c r="BP108" s="666"/>
      <c r="BQ108" s="666"/>
      <c r="BR108" s="666"/>
      <c r="BS108" s="666"/>
      <c r="BT108" s="666"/>
      <c r="BU108" s="666"/>
      <c r="BV108" s="666"/>
      <c r="BW108" s="666"/>
      <c r="BX108" s="666"/>
      <c r="BY108" s="666"/>
      <c r="BZ108" s="666"/>
      <c r="CA108" s="666"/>
      <c r="CB108" s="666"/>
      <c r="CC108" s="666"/>
      <c r="CD108" s="666"/>
      <c r="CE108" s="666"/>
      <c r="CF108" s="666"/>
      <c r="CG108" s="666"/>
      <c r="CH108" s="666"/>
      <c r="CI108" s="666"/>
      <c r="CJ108" s="1439"/>
    </row>
    <row r="109" spans="2:88" ht="57" x14ac:dyDescent="0.2">
      <c r="B109" s="688" t="s">
        <v>649</v>
      </c>
      <c r="C109" s="689" t="s">
        <v>650</v>
      </c>
      <c r="D109" s="690" t="s">
        <v>651</v>
      </c>
      <c r="E109" s="689" t="s">
        <v>236</v>
      </c>
      <c r="F109" s="691">
        <v>2</v>
      </c>
      <c r="G109" s="670"/>
      <c r="H109" s="671"/>
      <c r="I109" s="671">
        <v>0</v>
      </c>
      <c r="J109" s="671">
        <v>0</v>
      </c>
      <c r="K109" s="671">
        <v>0</v>
      </c>
      <c r="L109" s="671">
        <v>0</v>
      </c>
      <c r="M109" s="666">
        <v>-0.26677683304381006</v>
      </c>
      <c r="N109" s="666">
        <v>0.1874253070381009</v>
      </c>
      <c r="O109" s="666">
        <v>1.5618319844118105</v>
      </c>
      <c r="P109" s="666">
        <v>3.8553545848470989</v>
      </c>
      <c r="Q109" s="666">
        <v>5.4157616925438852</v>
      </c>
      <c r="R109" s="666">
        <v>5.6895059221758721</v>
      </c>
      <c r="S109" s="666">
        <v>5.3831373628253587</v>
      </c>
      <c r="T109" s="666">
        <v>4.9636435975018287</v>
      </c>
      <c r="U109" s="666">
        <v>4.4826473655889245</v>
      </c>
      <c r="V109" s="666">
        <v>4.1135302000639911</v>
      </c>
      <c r="W109" s="666">
        <v>3.8101901496662478</v>
      </c>
      <c r="X109" s="666">
        <v>3.5100127303673432</v>
      </c>
      <c r="Y109" s="666">
        <v>3.211679716932256</v>
      </c>
      <c r="Z109" s="666">
        <v>2.9157318513162771</v>
      </c>
      <c r="AA109" s="666">
        <v>2.6187854255395813</v>
      </c>
      <c r="AB109" s="666">
        <v>2.3276953877572808</v>
      </c>
      <c r="AC109" s="666">
        <v>2.0352287210884832</v>
      </c>
      <c r="AD109" s="666">
        <v>1.7494014208454161</v>
      </c>
      <c r="AE109" s="666">
        <v>1.5654652752591005</v>
      </c>
      <c r="AF109" s="666">
        <v>1.3832954723607109</v>
      </c>
      <c r="AG109" s="666">
        <v>1.2056289447202566</v>
      </c>
      <c r="AH109" s="666">
        <v>1.0317038131524399</v>
      </c>
      <c r="AI109" s="666">
        <v>0.85834596581013045</v>
      </c>
      <c r="AJ109" s="666">
        <v>0.68606187060715129</v>
      </c>
      <c r="AK109" s="666">
        <v>0.51267704562365424</v>
      </c>
      <c r="AL109" s="666"/>
      <c r="AM109" s="666"/>
      <c r="AN109" s="666"/>
      <c r="AO109" s="666"/>
      <c r="AP109" s="666"/>
      <c r="AQ109" s="666"/>
      <c r="AR109" s="666"/>
      <c r="AS109" s="666"/>
      <c r="AT109" s="666"/>
      <c r="AU109" s="666"/>
      <c r="AV109" s="666"/>
      <c r="AW109" s="666"/>
      <c r="AX109" s="666"/>
      <c r="AY109" s="666"/>
      <c r="AZ109" s="666"/>
      <c r="BA109" s="666"/>
      <c r="BB109" s="666"/>
      <c r="BC109" s="666"/>
      <c r="BD109" s="666"/>
      <c r="BE109" s="666"/>
      <c r="BF109" s="666"/>
      <c r="BG109" s="666"/>
      <c r="BH109" s="666"/>
      <c r="BI109" s="666"/>
      <c r="BJ109" s="666"/>
      <c r="BK109" s="666"/>
      <c r="BL109" s="666"/>
      <c r="BM109" s="666"/>
      <c r="BN109" s="666"/>
      <c r="BO109" s="666"/>
      <c r="BP109" s="666"/>
      <c r="BQ109" s="666"/>
      <c r="BR109" s="666"/>
      <c r="BS109" s="666"/>
      <c r="BT109" s="666"/>
      <c r="BU109" s="666"/>
      <c r="BV109" s="666"/>
      <c r="BW109" s="666"/>
      <c r="BX109" s="666"/>
      <c r="BY109" s="666"/>
      <c r="BZ109" s="666"/>
      <c r="CA109" s="666"/>
      <c r="CB109" s="666"/>
      <c r="CC109" s="666"/>
      <c r="CD109" s="666"/>
      <c r="CE109" s="666"/>
      <c r="CF109" s="666"/>
      <c r="CG109" s="666"/>
      <c r="CH109" s="666"/>
      <c r="CI109" s="666"/>
      <c r="CJ109" s="1439"/>
    </row>
    <row r="110" spans="2:88" ht="57" x14ac:dyDescent="0.2">
      <c r="B110" s="688" t="s">
        <v>652</v>
      </c>
      <c r="C110" s="689" t="s">
        <v>653</v>
      </c>
      <c r="D110" s="690" t="s">
        <v>654</v>
      </c>
      <c r="E110" s="689" t="s">
        <v>236</v>
      </c>
      <c r="F110" s="691">
        <v>2</v>
      </c>
      <c r="G110" s="670"/>
      <c r="H110" s="671"/>
      <c r="I110" s="671">
        <v>0</v>
      </c>
      <c r="J110" s="671">
        <v>0</v>
      </c>
      <c r="K110" s="671">
        <v>0</v>
      </c>
      <c r="L110" s="671">
        <v>0</v>
      </c>
      <c r="M110" s="666">
        <v>-0.18808407667851235</v>
      </c>
      <c r="N110" s="666">
        <v>-1.1718764845540477</v>
      </c>
      <c r="O110" s="666">
        <v>-3.6748560136313984</v>
      </c>
      <c r="P110" s="666">
        <v>-6.8458111605993945</v>
      </c>
      <c r="Q110" s="666">
        <v>-8.957335488268706</v>
      </c>
      <c r="R110" s="666">
        <v>-9.4917469347819647</v>
      </c>
      <c r="S110" s="666">
        <v>-9.4008416251042828</v>
      </c>
      <c r="T110" s="666">
        <v>-9.3116129859142003</v>
      </c>
      <c r="U110" s="666">
        <v>-9.2243332019804303</v>
      </c>
      <c r="V110" s="666">
        <v>-9.1384596852438928</v>
      </c>
      <c r="W110" s="666">
        <v>-9.0611158116829209</v>
      </c>
      <c r="X110" s="666">
        <v>-8.9874807655139151</v>
      </c>
      <c r="Y110" s="666">
        <v>-8.9141288588660199</v>
      </c>
      <c r="Z110" s="666">
        <v>-8.8435097669545257</v>
      </c>
      <c r="AA110" s="666">
        <v>-8.7731889267398326</v>
      </c>
      <c r="AB110" s="666">
        <v>-8.7028827748394075</v>
      </c>
      <c r="AC110" s="666">
        <v>-8.6338852034401263</v>
      </c>
      <c r="AD110" s="666">
        <v>-8.5697254535316159</v>
      </c>
      <c r="AE110" s="666">
        <v>-8.5086173720602112</v>
      </c>
      <c r="AF110" s="666">
        <v>-8.4487637074548676</v>
      </c>
      <c r="AG110" s="666">
        <v>-8.3892369718305435</v>
      </c>
      <c r="AH110" s="666">
        <v>-8.3325058423070839</v>
      </c>
      <c r="AI110" s="666">
        <v>-8.276091404916313</v>
      </c>
      <c r="AJ110" s="666">
        <v>-8.2207814354884565</v>
      </c>
      <c r="AK110" s="666">
        <v>-8.1641546360392461</v>
      </c>
      <c r="AL110" s="666"/>
      <c r="AM110" s="666"/>
      <c r="AN110" s="666"/>
      <c r="AO110" s="666"/>
      <c r="AP110" s="666"/>
      <c r="AQ110" s="666"/>
      <c r="AR110" s="666"/>
      <c r="AS110" s="666"/>
      <c r="AT110" s="666"/>
      <c r="AU110" s="666"/>
      <c r="AV110" s="666"/>
      <c r="AW110" s="666"/>
      <c r="AX110" s="666"/>
      <c r="AY110" s="666"/>
      <c r="AZ110" s="666"/>
      <c r="BA110" s="666"/>
      <c r="BB110" s="666"/>
      <c r="BC110" s="666"/>
      <c r="BD110" s="666"/>
      <c r="BE110" s="666"/>
      <c r="BF110" s="666"/>
      <c r="BG110" s="666"/>
      <c r="BH110" s="666"/>
      <c r="BI110" s="666"/>
      <c r="BJ110" s="666"/>
      <c r="BK110" s="666"/>
      <c r="BL110" s="666"/>
      <c r="BM110" s="666"/>
      <c r="BN110" s="666"/>
      <c r="BO110" s="666"/>
      <c r="BP110" s="666"/>
      <c r="BQ110" s="666"/>
      <c r="BR110" s="666"/>
      <c r="BS110" s="666"/>
      <c r="BT110" s="666"/>
      <c r="BU110" s="666"/>
      <c r="BV110" s="666"/>
      <c r="BW110" s="666"/>
      <c r="BX110" s="666"/>
      <c r="BY110" s="666"/>
      <c r="BZ110" s="666"/>
      <c r="CA110" s="666"/>
      <c r="CB110" s="666"/>
      <c r="CC110" s="666"/>
      <c r="CD110" s="666"/>
      <c r="CE110" s="666"/>
      <c r="CF110" s="666"/>
      <c r="CG110" s="666"/>
      <c r="CH110" s="666"/>
      <c r="CI110" s="666"/>
      <c r="CJ110" s="1439"/>
    </row>
    <row r="111" spans="2:88" ht="28.5" x14ac:dyDescent="0.2">
      <c r="B111" s="688" t="s">
        <v>655</v>
      </c>
      <c r="C111" s="689" t="s">
        <v>656</v>
      </c>
      <c r="D111" s="690" t="s">
        <v>657</v>
      </c>
      <c r="E111" s="689" t="s">
        <v>236</v>
      </c>
      <c r="F111" s="691">
        <v>2</v>
      </c>
      <c r="G111" s="670"/>
      <c r="H111" s="671"/>
      <c r="I111" s="671">
        <v>0</v>
      </c>
      <c r="J111" s="671">
        <v>0</v>
      </c>
      <c r="K111" s="671">
        <v>0</v>
      </c>
      <c r="L111" s="671">
        <v>0</v>
      </c>
      <c r="M111" s="666">
        <v>1.3839313769081762E-4</v>
      </c>
      <c r="N111" s="666">
        <v>3.0222656095069134E-4</v>
      </c>
      <c r="O111" s="666">
        <v>3.8509537472419808E-4</v>
      </c>
      <c r="P111" s="666">
        <v>4.9995243113443166E-4</v>
      </c>
      <c r="Q111" s="666">
        <v>5.9336168101942199E-4</v>
      </c>
      <c r="R111" s="666">
        <v>6.4156896575640054E-4</v>
      </c>
      <c r="S111" s="666">
        <v>6.5297794104490769E-4</v>
      </c>
      <c r="T111" s="666">
        <v>6.513427655068238E-4</v>
      </c>
      <c r="U111" s="666">
        <v>6.497075899687399E-4</v>
      </c>
      <c r="V111" s="666">
        <v>6.48072414430656E-4</v>
      </c>
      <c r="W111" s="666">
        <v>6.4653777336953766E-4</v>
      </c>
      <c r="X111" s="666">
        <v>6.4510366678516284E-4</v>
      </c>
      <c r="Y111" s="666">
        <v>6.4366956020078803E-4</v>
      </c>
      <c r="Z111" s="666">
        <v>6.4223545361641321E-4</v>
      </c>
      <c r="AA111" s="666">
        <v>6.4080134703226044E-4</v>
      </c>
      <c r="AB111" s="666">
        <v>6.3945343908122787E-4</v>
      </c>
      <c r="AC111" s="666">
        <v>6.3819172976353755E-4</v>
      </c>
      <c r="AD111" s="666">
        <v>6.3693002044562519E-4</v>
      </c>
      <c r="AE111" s="666">
        <v>6.3566831112815692E-4</v>
      </c>
      <c r="AF111" s="666">
        <v>6.344066018104666E-4</v>
      </c>
      <c r="AG111" s="666">
        <v>6.3314489249277628E-4</v>
      </c>
      <c r="AH111" s="666">
        <v>6.3188318317508596E-4</v>
      </c>
      <c r="AI111" s="666">
        <v>6.3062147385739564E-4</v>
      </c>
      <c r="AJ111" s="666">
        <v>6.2935976453948328E-4</v>
      </c>
      <c r="AK111" s="666">
        <v>6.2809805522201501E-4</v>
      </c>
      <c r="AL111" s="666"/>
      <c r="AM111" s="666"/>
      <c r="AN111" s="666"/>
      <c r="AO111" s="666"/>
      <c r="AP111" s="666"/>
      <c r="AQ111" s="666"/>
      <c r="AR111" s="666"/>
      <c r="AS111" s="666"/>
      <c r="AT111" s="666"/>
      <c r="AU111" s="666"/>
      <c r="AV111" s="666"/>
      <c r="AW111" s="666"/>
      <c r="AX111" s="666"/>
      <c r="AY111" s="666"/>
      <c r="AZ111" s="666"/>
      <c r="BA111" s="666"/>
      <c r="BB111" s="666"/>
      <c r="BC111" s="666"/>
      <c r="BD111" s="666"/>
      <c r="BE111" s="666"/>
      <c r="BF111" s="666"/>
      <c r="BG111" s="666"/>
      <c r="BH111" s="666"/>
      <c r="BI111" s="666"/>
      <c r="BJ111" s="666"/>
      <c r="BK111" s="666"/>
      <c r="BL111" s="666"/>
      <c r="BM111" s="666"/>
      <c r="BN111" s="666"/>
      <c r="BO111" s="666"/>
      <c r="BP111" s="666"/>
      <c r="BQ111" s="666"/>
      <c r="BR111" s="666"/>
      <c r="BS111" s="666"/>
      <c r="BT111" s="666"/>
      <c r="BU111" s="666"/>
      <c r="BV111" s="666"/>
      <c r="BW111" s="666"/>
      <c r="BX111" s="666"/>
      <c r="BY111" s="666"/>
      <c r="BZ111" s="666"/>
      <c r="CA111" s="666"/>
      <c r="CB111" s="666"/>
      <c r="CC111" s="666"/>
      <c r="CD111" s="666"/>
      <c r="CE111" s="666"/>
      <c r="CF111" s="666"/>
      <c r="CG111" s="666"/>
      <c r="CH111" s="666"/>
      <c r="CI111" s="666"/>
      <c r="CJ111" s="1439"/>
    </row>
    <row r="112" spans="2:88" ht="29.25" thickBot="1" x14ac:dyDescent="0.25">
      <c r="B112" s="692" t="s">
        <v>658</v>
      </c>
      <c r="C112" s="693" t="s">
        <v>659</v>
      </c>
      <c r="D112" s="693" t="s">
        <v>660</v>
      </c>
      <c r="E112" s="693" t="s">
        <v>236</v>
      </c>
      <c r="F112" s="694">
        <v>2</v>
      </c>
      <c r="G112" s="695"/>
      <c r="H112" s="682"/>
      <c r="I112" s="682">
        <v>0</v>
      </c>
      <c r="J112" s="682">
        <v>0</v>
      </c>
      <c r="K112" s="682">
        <v>0</v>
      </c>
      <c r="L112" s="682">
        <v>0</v>
      </c>
      <c r="M112" s="683">
        <v>0</v>
      </c>
      <c r="N112" s="683">
        <v>0</v>
      </c>
      <c r="O112" s="683">
        <v>0</v>
      </c>
      <c r="P112" s="683">
        <v>0</v>
      </c>
      <c r="Q112" s="683">
        <v>0</v>
      </c>
      <c r="R112" s="683">
        <v>0</v>
      </c>
      <c r="S112" s="683">
        <v>0</v>
      </c>
      <c r="T112" s="683">
        <v>0</v>
      </c>
      <c r="U112" s="683">
        <v>0</v>
      </c>
      <c r="V112" s="683">
        <v>0</v>
      </c>
      <c r="W112" s="683">
        <v>0</v>
      </c>
      <c r="X112" s="683">
        <v>0</v>
      </c>
      <c r="Y112" s="683">
        <v>0</v>
      </c>
      <c r="Z112" s="683">
        <v>0</v>
      </c>
      <c r="AA112" s="683">
        <v>0</v>
      </c>
      <c r="AB112" s="683">
        <v>0</v>
      </c>
      <c r="AC112" s="683">
        <v>0</v>
      </c>
      <c r="AD112" s="683">
        <v>0</v>
      </c>
      <c r="AE112" s="683">
        <v>0</v>
      </c>
      <c r="AF112" s="683">
        <v>0</v>
      </c>
      <c r="AG112" s="683">
        <v>0</v>
      </c>
      <c r="AH112" s="683">
        <v>0</v>
      </c>
      <c r="AI112" s="683">
        <v>0</v>
      </c>
      <c r="AJ112" s="683">
        <v>0</v>
      </c>
      <c r="AK112" s="683">
        <v>0</v>
      </c>
      <c r="AL112" s="683"/>
      <c r="AM112" s="683"/>
      <c r="AN112" s="683"/>
      <c r="AO112" s="683"/>
      <c r="AP112" s="683"/>
      <c r="AQ112" s="683"/>
      <c r="AR112" s="683"/>
      <c r="AS112" s="683"/>
      <c r="AT112" s="683"/>
      <c r="AU112" s="683"/>
      <c r="AV112" s="683"/>
      <c r="AW112" s="683"/>
      <c r="AX112" s="683"/>
      <c r="AY112" s="683"/>
      <c r="AZ112" s="683"/>
      <c r="BA112" s="683"/>
      <c r="BB112" s="683"/>
      <c r="BC112" s="683"/>
      <c r="BD112" s="683"/>
      <c r="BE112" s="683"/>
      <c r="BF112" s="683"/>
      <c r="BG112" s="683"/>
      <c r="BH112" s="683"/>
      <c r="BI112" s="683"/>
      <c r="BJ112" s="683"/>
      <c r="BK112" s="683"/>
      <c r="BL112" s="683"/>
      <c r="BM112" s="683"/>
      <c r="BN112" s="683"/>
      <c r="BO112" s="683"/>
      <c r="BP112" s="683"/>
      <c r="BQ112" s="683"/>
      <c r="BR112" s="683"/>
      <c r="BS112" s="683"/>
      <c r="BT112" s="683"/>
      <c r="BU112" s="683"/>
      <c r="BV112" s="683"/>
      <c r="BW112" s="683"/>
      <c r="BX112" s="683"/>
      <c r="BY112" s="683"/>
      <c r="BZ112" s="683"/>
      <c r="CA112" s="683"/>
      <c r="CB112" s="683"/>
      <c r="CC112" s="683"/>
      <c r="CD112" s="683"/>
      <c r="CE112" s="683"/>
      <c r="CF112" s="683"/>
      <c r="CG112" s="683"/>
      <c r="CH112" s="683"/>
      <c r="CI112" s="683"/>
      <c r="CJ112" s="1439"/>
    </row>
    <row r="113" spans="2:89" ht="28.5" x14ac:dyDescent="0.2">
      <c r="B113" s="697" t="s">
        <v>661</v>
      </c>
      <c r="C113" s="698" t="s">
        <v>662</v>
      </c>
      <c r="D113" s="699" t="s">
        <v>663</v>
      </c>
      <c r="E113" s="698" t="s">
        <v>236</v>
      </c>
      <c r="F113" s="700">
        <v>2</v>
      </c>
      <c r="G113" s="664"/>
      <c r="H113" s="671"/>
      <c r="I113" s="671">
        <v>0</v>
      </c>
      <c r="J113" s="671">
        <v>0</v>
      </c>
      <c r="K113" s="671">
        <v>0</v>
      </c>
      <c r="L113" s="671">
        <v>0</v>
      </c>
      <c r="M113" s="666">
        <v>-3.9793605526002029E-4</v>
      </c>
      <c r="N113" s="666">
        <v>-7.9942498698146874E-4</v>
      </c>
      <c r="O113" s="666">
        <v>-1.2044667951643245E-3</v>
      </c>
      <c r="P113" s="666">
        <v>-1.6130614798086015E-3</v>
      </c>
      <c r="Q113" s="666">
        <v>-2.0252090409143136E-3</v>
      </c>
      <c r="R113" s="666">
        <v>-2.4409094784814123E-3</v>
      </c>
      <c r="S113" s="666">
        <v>-2.860162792509939E-3</v>
      </c>
      <c r="T113" s="666">
        <v>-3.2829689829998801E-3</v>
      </c>
      <c r="U113" s="666">
        <v>-3.7093280499512354E-3</v>
      </c>
      <c r="V113" s="666">
        <v>-4.1392399933640189E-3</v>
      </c>
      <c r="W113" s="666">
        <v>-4.5727048132381959E-3</v>
      </c>
      <c r="X113" s="666">
        <v>-5.0097225095738079E-3</v>
      </c>
      <c r="Y113" s="666">
        <v>-5.4502930823708481E-3</v>
      </c>
      <c r="Z113" s="666">
        <v>-5.8944165316292749E-3</v>
      </c>
      <c r="AA113" s="666">
        <v>-6.3420928573491367E-3</v>
      </c>
      <c r="AB113" s="666">
        <v>-6.7933220595304128E-3</v>
      </c>
      <c r="AC113" s="666">
        <v>-7.2481041381731032E-3</v>
      </c>
      <c r="AD113" s="666">
        <v>-7.7064390932772217E-3</v>
      </c>
      <c r="AE113" s="666">
        <v>-8.1683269248427406E-3</v>
      </c>
      <c r="AF113" s="666">
        <v>-8.6337676328696739E-3</v>
      </c>
      <c r="AG113" s="666">
        <v>-9.1027612173580422E-3</v>
      </c>
      <c r="AH113" s="666">
        <v>-9.5753076783078109E-3</v>
      </c>
      <c r="AI113" s="666">
        <v>-1.0051407015719008E-2</v>
      </c>
      <c r="AJ113" s="666">
        <v>-1.0531059229591612E-2</v>
      </c>
      <c r="AK113" s="666">
        <v>-1.1014264319925637E-2</v>
      </c>
      <c r="AL113" s="666"/>
      <c r="AM113" s="666"/>
      <c r="AN113" s="666"/>
      <c r="AO113" s="666"/>
      <c r="AP113" s="666"/>
      <c r="AQ113" s="666"/>
      <c r="AR113" s="666"/>
      <c r="AS113" s="666"/>
      <c r="AT113" s="666"/>
      <c r="AU113" s="666"/>
      <c r="AV113" s="666"/>
      <c r="AW113" s="666"/>
      <c r="AX113" s="666"/>
      <c r="AY113" s="666"/>
      <c r="AZ113" s="666"/>
      <c r="BA113" s="666"/>
      <c r="BB113" s="666"/>
      <c r="BC113" s="666"/>
      <c r="BD113" s="666"/>
      <c r="BE113" s="666"/>
      <c r="BF113" s="666"/>
      <c r="BG113" s="666"/>
      <c r="BH113" s="666"/>
      <c r="BI113" s="666"/>
      <c r="BJ113" s="666"/>
      <c r="BK113" s="666"/>
      <c r="BL113" s="666"/>
      <c r="BM113" s="666"/>
      <c r="BN113" s="666"/>
      <c r="BO113" s="666"/>
      <c r="BP113" s="666"/>
      <c r="BQ113" s="666"/>
      <c r="BR113" s="666"/>
      <c r="BS113" s="666"/>
      <c r="BT113" s="666"/>
      <c r="BU113" s="666"/>
      <c r="BV113" s="666"/>
      <c r="BW113" s="666"/>
      <c r="BX113" s="666"/>
      <c r="BY113" s="666"/>
      <c r="BZ113" s="666"/>
      <c r="CA113" s="666"/>
      <c r="CB113" s="666"/>
      <c r="CC113" s="666"/>
      <c r="CD113" s="666"/>
      <c r="CE113" s="666"/>
      <c r="CF113" s="666"/>
      <c r="CG113" s="666"/>
      <c r="CH113" s="666"/>
      <c r="CI113" s="666"/>
      <c r="CJ113" s="1439"/>
    </row>
    <row r="114" spans="2:89" ht="28.5" x14ac:dyDescent="0.2">
      <c r="B114" s="674" t="s">
        <v>664</v>
      </c>
      <c r="C114" s="675" t="s">
        <v>665</v>
      </c>
      <c r="D114" s="676" t="s">
        <v>666</v>
      </c>
      <c r="E114" s="675" t="s">
        <v>236</v>
      </c>
      <c r="F114" s="677">
        <v>2</v>
      </c>
      <c r="G114" s="670"/>
      <c r="H114" s="671"/>
      <c r="I114" s="671">
        <v>0</v>
      </c>
      <c r="J114" s="671">
        <v>0</v>
      </c>
      <c r="K114" s="671">
        <v>0</v>
      </c>
      <c r="L114" s="671">
        <v>0</v>
      </c>
      <c r="M114" s="666">
        <v>-7.6858630092368867E-6</v>
      </c>
      <c r="N114" s="666">
        <v>-1.5000768646799352E-5</v>
      </c>
      <c r="O114" s="666">
        <v>-2.1944716912687613E-5</v>
      </c>
      <c r="P114" s="666">
        <v>-2.8517707806901779E-5</v>
      </c>
      <c r="Q114" s="666">
        <v>-3.471974132944174E-5</v>
      </c>
      <c r="R114" s="666">
        <v>-4.0550817480307279E-5</v>
      </c>
      <c r="S114" s="666">
        <v>-4.6010936259498723E-5</v>
      </c>
      <c r="T114" s="666">
        <v>-5.1100097667015963E-5</v>
      </c>
      <c r="U114" s="666">
        <v>-5.5818301702859107E-5</v>
      </c>
      <c r="V114" s="666">
        <v>-6.2020335225398959E-5</v>
      </c>
      <c r="W114" s="666">
        <v>-6.8222368747938812E-5</v>
      </c>
      <c r="X114" s="666">
        <v>-7.4424402270478664E-5</v>
      </c>
      <c r="Y114" s="666">
        <v>-8.0626435793018625E-5</v>
      </c>
      <c r="Z114" s="666">
        <v>-8.682846931555837E-5</v>
      </c>
      <c r="AA114" s="666">
        <v>-9.3030502838098222E-5</v>
      </c>
      <c r="AB114" s="666">
        <v>-9.9232536360638075E-5</v>
      </c>
      <c r="AC114" s="666">
        <v>-1.0543456988317814E-4</v>
      </c>
      <c r="AD114" s="666">
        <v>-1.116366034057181E-4</v>
      </c>
      <c r="AE114" s="666">
        <v>-1.1783863692825796E-4</v>
      </c>
      <c r="AF114" s="666">
        <v>-1.2404067045079754E-4</v>
      </c>
      <c r="AG114" s="666">
        <v>-1.3024270397333766E-4</v>
      </c>
      <c r="AH114" s="666">
        <v>-1.3644473749587752E-4</v>
      </c>
      <c r="AI114" s="666">
        <v>-1.4264677101841737E-4</v>
      </c>
      <c r="AJ114" s="666">
        <v>-1.4884880454095727E-4</v>
      </c>
      <c r="AK114" s="666">
        <v>-1.5505083806349724E-4</v>
      </c>
      <c r="AL114" s="666"/>
      <c r="AM114" s="666"/>
      <c r="AN114" s="666"/>
      <c r="AO114" s="666"/>
      <c r="AP114" s="666"/>
      <c r="AQ114" s="666"/>
      <c r="AR114" s="666"/>
      <c r="AS114" s="666"/>
      <c r="AT114" s="666"/>
      <c r="AU114" s="666"/>
      <c r="AV114" s="666"/>
      <c r="AW114" s="666"/>
      <c r="AX114" s="666"/>
      <c r="AY114" s="666"/>
      <c r="AZ114" s="666"/>
      <c r="BA114" s="666"/>
      <c r="BB114" s="666"/>
      <c r="BC114" s="666"/>
      <c r="BD114" s="666"/>
      <c r="BE114" s="666"/>
      <c r="BF114" s="666"/>
      <c r="BG114" s="666"/>
      <c r="BH114" s="666"/>
      <c r="BI114" s="666"/>
      <c r="BJ114" s="666"/>
      <c r="BK114" s="666"/>
      <c r="BL114" s="666"/>
      <c r="BM114" s="666"/>
      <c r="BN114" s="666"/>
      <c r="BO114" s="666"/>
      <c r="BP114" s="666"/>
      <c r="BQ114" s="666"/>
      <c r="BR114" s="666"/>
      <c r="BS114" s="666"/>
      <c r="BT114" s="666"/>
      <c r="BU114" s="666"/>
      <c r="BV114" s="666"/>
      <c r="BW114" s="666"/>
      <c r="BX114" s="666"/>
      <c r="BY114" s="666"/>
      <c r="BZ114" s="666"/>
      <c r="CA114" s="666"/>
      <c r="CB114" s="666"/>
      <c r="CC114" s="666"/>
      <c r="CD114" s="666"/>
      <c r="CE114" s="666"/>
      <c r="CF114" s="666"/>
      <c r="CG114" s="666"/>
      <c r="CH114" s="666"/>
      <c r="CI114" s="666"/>
      <c r="CJ114" s="1439"/>
    </row>
    <row r="115" spans="2:89" ht="28.5" x14ac:dyDescent="0.2">
      <c r="B115" s="674" t="s">
        <v>667</v>
      </c>
      <c r="C115" s="675" t="s">
        <v>668</v>
      </c>
      <c r="D115" s="676" t="s">
        <v>669</v>
      </c>
      <c r="E115" s="675" t="s">
        <v>236</v>
      </c>
      <c r="F115" s="677">
        <v>2</v>
      </c>
      <c r="G115" s="670"/>
      <c r="H115" s="671"/>
      <c r="I115" s="671">
        <v>0</v>
      </c>
      <c r="J115" s="671">
        <v>0</v>
      </c>
      <c r="K115" s="671">
        <v>0</v>
      </c>
      <c r="L115" s="671">
        <v>0</v>
      </c>
      <c r="M115" s="666">
        <v>-1.0979377382623112E-2</v>
      </c>
      <c r="N115" s="666">
        <v>-1.3785293310483282E-2</v>
      </c>
      <c r="O115" s="666">
        <v>6.813725276700211E-3</v>
      </c>
      <c r="P115" s="666">
        <v>3.5758328478298407E-2</v>
      </c>
      <c r="Q115" s="666">
        <v>5.2468825085282944E-2</v>
      </c>
      <c r="R115" s="666">
        <v>5.1509387548858587E-2</v>
      </c>
      <c r="S115" s="666">
        <v>4.4604389700808822E-2</v>
      </c>
      <c r="T115" s="666">
        <v>3.7622729463642868E-2</v>
      </c>
      <c r="U115" s="666">
        <v>3.0575769172927814E-2</v>
      </c>
      <c r="V115" s="666">
        <v>2.3464370157767145E-2</v>
      </c>
      <c r="W115" s="666">
        <v>1.6315695487860937E-2</v>
      </c>
      <c r="X115" s="666">
        <v>9.1303423460851185E-3</v>
      </c>
      <c r="Y115" s="666">
        <v>1.8824585780284897E-3</v>
      </c>
      <c r="Z115" s="666">
        <v>-5.4264299726534126E-3</v>
      </c>
      <c r="AA115" s="666">
        <v>-1.2784845334246286E-2</v>
      </c>
      <c r="AB115" s="666">
        <v>-2.0200538313765337E-2</v>
      </c>
      <c r="AC115" s="666">
        <v>-2.7672884900319494E-2</v>
      </c>
      <c r="AD115" s="666">
        <v>-3.5200895464817084E-2</v>
      </c>
      <c r="AE115" s="666">
        <v>-4.2783825939277431E-2</v>
      </c>
      <c r="AF115" s="666">
        <v>-5.0420225292563181E-2</v>
      </c>
      <c r="AG115" s="666">
        <v>-5.8109011186652904E-2</v>
      </c>
      <c r="AH115" s="666">
        <v>-6.5849215217700152E-2</v>
      </c>
      <c r="AI115" s="666">
        <v>-7.3639567471563416E-2</v>
      </c>
      <c r="AJ115" s="666">
        <v>-8.1478122176153356E-2</v>
      </c>
      <c r="AK115" s="666">
        <v>-8.9363935865612087E-2</v>
      </c>
      <c r="AL115" s="666"/>
      <c r="AM115" s="666"/>
      <c r="AN115" s="666"/>
      <c r="AO115" s="666"/>
      <c r="AP115" s="666"/>
      <c r="AQ115" s="666"/>
      <c r="AR115" s="666"/>
      <c r="AS115" s="666"/>
      <c r="AT115" s="666"/>
      <c r="AU115" s="666"/>
      <c r="AV115" s="666"/>
      <c r="AW115" s="666"/>
      <c r="AX115" s="666"/>
      <c r="AY115" s="666"/>
      <c r="AZ115" s="666"/>
      <c r="BA115" s="666"/>
      <c r="BB115" s="666"/>
      <c r="BC115" s="666"/>
      <c r="BD115" s="666"/>
      <c r="BE115" s="666"/>
      <c r="BF115" s="666"/>
      <c r="BG115" s="666"/>
      <c r="BH115" s="666"/>
      <c r="BI115" s="666"/>
      <c r="BJ115" s="666"/>
      <c r="BK115" s="666"/>
      <c r="BL115" s="666"/>
      <c r="BM115" s="666"/>
      <c r="BN115" s="666"/>
      <c r="BO115" s="666"/>
      <c r="BP115" s="666"/>
      <c r="BQ115" s="666"/>
      <c r="BR115" s="666"/>
      <c r="BS115" s="666"/>
      <c r="BT115" s="666"/>
      <c r="BU115" s="666"/>
      <c r="BV115" s="666"/>
      <c r="BW115" s="666"/>
      <c r="BX115" s="666"/>
      <c r="BY115" s="666"/>
      <c r="BZ115" s="666"/>
      <c r="CA115" s="666"/>
      <c r="CB115" s="666"/>
      <c r="CC115" s="666"/>
      <c r="CD115" s="666"/>
      <c r="CE115" s="666"/>
      <c r="CF115" s="666"/>
      <c r="CG115" s="666"/>
      <c r="CH115" s="666"/>
      <c r="CI115" s="666"/>
      <c r="CJ115" s="1439"/>
    </row>
    <row r="116" spans="2:89" ht="28.5" x14ac:dyDescent="0.2">
      <c r="B116" s="674" t="s">
        <v>670</v>
      </c>
      <c r="C116" s="675" t="s">
        <v>671</v>
      </c>
      <c r="D116" s="676" t="s">
        <v>672</v>
      </c>
      <c r="E116" s="675" t="s">
        <v>236</v>
      </c>
      <c r="F116" s="677">
        <v>2</v>
      </c>
      <c r="G116" s="670"/>
      <c r="H116" s="671"/>
      <c r="I116" s="671">
        <v>0</v>
      </c>
      <c r="J116" s="671">
        <v>0</v>
      </c>
      <c r="K116" s="671">
        <v>0</v>
      </c>
      <c r="L116" s="671">
        <v>0</v>
      </c>
      <c r="M116" s="666">
        <v>3.8468033783271016E-3</v>
      </c>
      <c r="N116" s="666">
        <v>-1.3314201416515736E-2</v>
      </c>
      <c r="O116" s="666">
        <v>-7.9937550981079714E-2</v>
      </c>
      <c r="P116" s="666">
        <v>-0.16649059969103958</v>
      </c>
      <c r="Q116" s="666">
        <v>-0.22413273082794832</v>
      </c>
      <c r="R116" s="666">
        <v>-0.23880092094147742</v>
      </c>
      <c r="S116" s="666">
        <v>-0.23832998161239119</v>
      </c>
      <c r="T116" s="666">
        <v>-0.23784953238179127</v>
      </c>
      <c r="U116" s="666">
        <v>-0.23736869629026566</v>
      </c>
      <c r="V116" s="666">
        <v>-0.23688786211922891</v>
      </c>
      <c r="W116" s="666">
        <v>-0.23646979741750865</v>
      </c>
      <c r="X116" s="666">
        <v>-0.23611119754308435</v>
      </c>
      <c r="Y116" s="666">
        <v>-0.23574897096261568</v>
      </c>
      <c r="Z116" s="666">
        <v>-0.23538311767610343</v>
      </c>
      <c r="AA116" s="666">
        <v>-0.23501558159061792</v>
      </c>
      <c r="AB116" s="666">
        <v>-0.23464463836870983</v>
      </c>
      <c r="AC116" s="666">
        <v>-0.23426808834359317</v>
      </c>
      <c r="AD116" s="666">
        <v>-0.23388791376674778</v>
      </c>
      <c r="AE116" s="666">
        <v>-0.23350411463817389</v>
      </c>
      <c r="AF116" s="666">
        <v>-0.23311669095787121</v>
      </c>
      <c r="AG116" s="666">
        <v>-0.23272564272583998</v>
      </c>
      <c r="AH116" s="666">
        <v>-0.23233096994208047</v>
      </c>
      <c r="AI116" s="666">
        <v>-0.23193267260659206</v>
      </c>
      <c r="AJ116" s="666">
        <v>-0.23153075071937546</v>
      </c>
      <c r="AK116" s="666">
        <v>-0.23112520428043024</v>
      </c>
      <c r="AL116" s="666"/>
      <c r="AM116" s="666"/>
      <c r="AN116" s="666"/>
      <c r="AO116" s="666"/>
      <c r="AP116" s="666"/>
      <c r="AQ116" s="666"/>
      <c r="AR116" s="666"/>
      <c r="AS116" s="666"/>
      <c r="AT116" s="666"/>
      <c r="AU116" s="666"/>
      <c r="AV116" s="666"/>
      <c r="AW116" s="666"/>
      <c r="AX116" s="666"/>
      <c r="AY116" s="666"/>
      <c r="AZ116" s="666"/>
      <c r="BA116" s="666"/>
      <c r="BB116" s="666"/>
      <c r="BC116" s="666"/>
      <c r="BD116" s="666"/>
      <c r="BE116" s="666"/>
      <c r="BF116" s="666"/>
      <c r="BG116" s="666"/>
      <c r="BH116" s="666"/>
      <c r="BI116" s="666"/>
      <c r="BJ116" s="666"/>
      <c r="BK116" s="666"/>
      <c r="BL116" s="666"/>
      <c r="BM116" s="666"/>
      <c r="BN116" s="666"/>
      <c r="BO116" s="666"/>
      <c r="BP116" s="666"/>
      <c r="BQ116" s="666"/>
      <c r="BR116" s="666"/>
      <c r="BS116" s="666"/>
      <c r="BT116" s="666"/>
      <c r="BU116" s="666"/>
      <c r="BV116" s="666"/>
      <c r="BW116" s="666"/>
      <c r="BX116" s="666"/>
      <c r="BY116" s="666"/>
      <c r="BZ116" s="666"/>
      <c r="CA116" s="666"/>
      <c r="CB116" s="666"/>
      <c r="CC116" s="666"/>
      <c r="CD116" s="666"/>
      <c r="CE116" s="666"/>
      <c r="CF116" s="666"/>
      <c r="CG116" s="666"/>
      <c r="CH116" s="666"/>
      <c r="CI116" s="666"/>
      <c r="CJ116" s="1439"/>
    </row>
    <row r="117" spans="2:89" ht="28.5" x14ac:dyDescent="0.2">
      <c r="B117" s="674" t="s">
        <v>673</v>
      </c>
      <c r="C117" s="675" t="s">
        <v>674</v>
      </c>
      <c r="D117" s="676" t="s">
        <v>675</v>
      </c>
      <c r="E117" s="675" t="s">
        <v>236</v>
      </c>
      <c r="F117" s="677">
        <v>2</v>
      </c>
      <c r="G117" s="670"/>
      <c r="H117" s="671"/>
      <c r="I117" s="671">
        <v>0</v>
      </c>
      <c r="J117" s="671">
        <v>0</v>
      </c>
      <c r="K117" s="671">
        <v>0</v>
      </c>
      <c r="L117" s="671">
        <v>0</v>
      </c>
      <c r="M117" s="666">
        <v>-1.3839313769092171E-4</v>
      </c>
      <c r="N117" s="666">
        <v>-3.0222656095059419E-4</v>
      </c>
      <c r="O117" s="666">
        <v>-3.8509537472427441E-4</v>
      </c>
      <c r="P117" s="666">
        <v>-4.9995243113425125E-4</v>
      </c>
      <c r="Q117" s="666">
        <v>-5.9336168101922077E-4</v>
      </c>
      <c r="R117" s="666">
        <v>-6.4156896575657402E-4</v>
      </c>
      <c r="S117" s="666">
        <v>-6.5297794104488688E-4</v>
      </c>
      <c r="T117" s="666">
        <v>-6.5134276550680298E-4</v>
      </c>
      <c r="U117" s="666">
        <v>-6.4970758996874683E-4</v>
      </c>
      <c r="V117" s="666">
        <v>-6.4807241443069763E-4</v>
      </c>
      <c r="W117" s="666">
        <v>-6.4653777336948909E-4</v>
      </c>
      <c r="X117" s="666">
        <v>-6.4510366678513509E-4</v>
      </c>
      <c r="Y117" s="666">
        <v>-6.436695602008019E-4</v>
      </c>
      <c r="Z117" s="666">
        <v>-6.4223545361642709E-4</v>
      </c>
      <c r="AA117" s="666">
        <v>-6.408013470320939E-4</v>
      </c>
      <c r="AB117" s="666">
        <v>-6.3945343908108909E-4</v>
      </c>
      <c r="AC117" s="666">
        <v>-6.3819172976339877E-4</v>
      </c>
      <c r="AD117" s="666">
        <v>-6.3693002044573621E-4</v>
      </c>
      <c r="AE117" s="666">
        <v>-6.3566831112804589E-4</v>
      </c>
      <c r="AF117" s="666">
        <v>-6.344066018103417E-4</v>
      </c>
      <c r="AG117" s="666">
        <v>-6.3314489249267913E-4</v>
      </c>
      <c r="AH117" s="666">
        <v>-6.3188318317500269E-4</v>
      </c>
      <c r="AI117" s="666">
        <v>-6.3062147385731238E-4</v>
      </c>
      <c r="AJ117" s="666">
        <v>-6.2935976453962206E-4</v>
      </c>
      <c r="AK117" s="666">
        <v>-6.2809805522193174E-4</v>
      </c>
      <c r="AL117" s="666"/>
      <c r="AM117" s="666"/>
      <c r="AN117" s="666"/>
      <c r="AO117" s="666"/>
      <c r="AP117" s="666"/>
      <c r="AQ117" s="666"/>
      <c r="AR117" s="666"/>
      <c r="AS117" s="666"/>
      <c r="AT117" s="666"/>
      <c r="AU117" s="666"/>
      <c r="AV117" s="666"/>
      <c r="AW117" s="666"/>
      <c r="AX117" s="666"/>
      <c r="AY117" s="666"/>
      <c r="AZ117" s="666"/>
      <c r="BA117" s="666"/>
      <c r="BB117" s="666"/>
      <c r="BC117" s="666"/>
      <c r="BD117" s="666"/>
      <c r="BE117" s="666"/>
      <c r="BF117" s="666"/>
      <c r="BG117" s="666"/>
      <c r="BH117" s="666"/>
      <c r="BI117" s="666"/>
      <c r="BJ117" s="666"/>
      <c r="BK117" s="666"/>
      <c r="BL117" s="666"/>
      <c r="BM117" s="666"/>
      <c r="BN117" s="666"/>
      <c r="BO117" s="666"/>
      <c r="BP117" s="666"/>
      <c r="BQ117" s="666"/>
      <c r="BR117" s="666"/>
      <c r="BS117" s="666"/>
      <c r="BT117" s="666"/>
      <c r="BU117" s="666"/>
      <c r="BV117" s="666"/>
      <c r="BW117" s="666"/>
      <c r="BX117" s="666"/>
      <c r="BY117" s="666"/>
      <c r="BZ117" s="666"/>
      <c r="CA117" s="666"/>
      <c r="CB117" s="666"/>
      <c r="CC117" s="666"/>
      <c r="CD117" s="666"/>
      <c r="CE117" s="666"/>
      <c r="CF117" s="666"/>
      <c r="CG117" s="666"/>
      <c r="CH117" s="666"/>
      <c r="CI117" s="666"/>
      <c r="CJ117" s="1439"/>
    </row>
    <row r="118" spans="2:89" ht="15" thickBot="1" x14ac:dyDescent="0.25">
      <c r="B118" s="701" t="s">
        <v>676</v>
      </c>
      <c r="C118" s="702" t="s">
        <v>677</v>
      </c>
      <c r="D118" s="702" t="s">
        <v>678</v>
      </c>
      <c r="E118" s="702" t="s">
        <v>236</v>
      </c>
      <c r="F118" s="703">
        <v>2</v>
      </c>
      <c r="G118" s="695"/>
      <c r="H118" s="682"/>
      <c r="I118" s="682">
        <v>0</v>
      </c>
      <c r="J118" s="682">
        <v>0</v>
      </c>
      <c r="K118" s="682">
        <v>0</v>
      </c>
      <c r="L118" s="682">
        <v>0</v>
      </c>
      <c r="M118" s="683">
        <v>-2.0497010939743765E-2</v>
      </c>
      <c r="N118" s="683">
        <v>-2.8131052956422264E-2</v>
      </c>
      <c r="O118" s="683">
        <v>-9.7854674088195814E-3</v>
      </c>
      <c r="P118" s="683">
        <v>2.0179402831490112E-2</v>
      </c>
      <c r="Q118" s="683">
        <v>3.3449196205928011E-2</v>
      </c>
      <c r="R118" s="683">
        <v>2.1372962654336192E-2</v>
      </c>
      <c r="S118" s="683">
        <v>6.954358139554806E-5</v>
      </c>
      <c r="T118" s="683">
        <v>-2.1176585235679113E-2</v>
      </c>
      <c r="U118" s="683">
        <v>-4.2354618941040423E-2</v>
      </c>
      <c r="V118" s="683">
        <v>-6.3463175295519481E-2</v>
      </c>
      <c r="W118" s="683">
        <v>-8.4468033114998065E-2</v>
      </c>
      <c r="X118" s="683">
        <v>-0.10537309422437291</v>
      </c>
      <c r="Y118" s="683">
        <v>-0.12621569853705017</v>
      </c>
      <c r="Z118" s="683">
        <v>-0.14699737189668394</v>
      </c>
      <c r="AA118" s="683">
        <v>-0.16772764836791842</v>
      </c>
      <c r="AB118" s="683">
        <v>-0.18840041528255469</v>
      </c>
      <c r="AC118" s="683">
        <v>-0.20901849631826996</v>
      </c>
      <c r="AD118" s="683">
        <v>-0.22958098505130908</v>
      </c>
      <c r="AE118" s="683">
        <v>-0.25008862554965239</v>
      </c>
      <c r="AF118" s="683">
        <v>-0.27054286884443735</v>
      </c>
      <c r="AG118" s="683">
        <v>-0.29094479727368583</v>
      </c>
      <c r="AH118" s="683">
        <v>-0.31129537924124362</v>
      </c>
      <c r="AI118" s="683">
        <v>-0.33159588466125323</v>
      </c>
      <c r="AJ118" s="683">
        <v>-0.35184825930580232</v>
      </c>
      <c r="AK118" s="683">
        <v>-0.3720534466407468</v>
      </c>
      <c r="AL118" s="683"/>
      <c r="AM118" s="683"/>
      <c r="AN118" s="683"/>
      <c r="AO118" s="683"/>
      <c r="AP118" s="683"/>
      <c r="AQ118" s="683"/>
      <c r="AR118" s="683"/>
      <c r="AS118" s="683"/>
      <c r="AT118" s="683"/>
      <c r="AU118" s="683"/>
      <c r="AV118" s="683"/>
      <c r="AW118" s="683"/>
      <c r="AX118" s="683"/>
      <c r="AY118" s="683"/>
      <c r="AZ118" s="683"/>
      <c r="BA118" s="683"/>
      <c r="BB118" s="683"/>
      <c r="BC118" s="683"/>
      <c r="BD118" s="683"/>
      <c r="BE118" s="683"/>
      <c r="BF118" s="683"/>
      <c r="BG118" s="683"/>
      <c r="BH118" s="683"/>
      <c r="BI118" s="683"/>
      <c r="BJ118" s="683"/>
      <c r="BK118" s="683"/>
      <c r="BL118" s="683"/>
      <c r="BM118" s="683"/>
      <c r="BN118" s="683"/>
      <c r="BO118" s="683"/>
      <c r="BP118" s="683"/>
      <c r="BQ118" s="683"/>
      <c r="BR118" s="683"/>
      <c r="BS118" s="683"/>
      <c r="BT118" s="683"/>
      <c r="BU118" s="683"/>
      <c r="BV118" s="683"/>
      <c r="BW118" s="683"/>
      <c r="BX118" s="683"/>
      <c r="BY118" s="683"/>
      <c r="BZ118" s="683"/>
      <c r="CA118" s="683"/>
      <c r="CB118" s="683"/>
      <c r="CC118" s="683"/>
      <c r="CD118" s="683"/>
      <c r="CE118" s="683"/>
      <c r="CF118" s="683"/>
      <c r="CG118" s="683"/>
      <c r="CH118" s="683"/>
      <c r="CI118" s="683"/>
      <c r="CJ118" s="1440"/>
    </row>
    <row r="119" spans="2:89" ht="15" thickBot="1" x14ac:dyDescent="0.25">
      <c r="B119" s="1425"/>
      <c r="C119" s="1426"/>
      <c r="D119" s="1427"/>
      <c r="E119" s="1426"/>
      <c r="F119" s="1428"/>
      <c r="G119" s="1429"/>
      <c r="H119" s="1430"/>
      <c r="I119" s="1430"/>
      <c r="J119" s="1430"/>
      <c r="K119" s="1430"/>
      <c r="L119" s="1430"/>
      <c r="M119" s="1431"/>
      <c r="N119" s="1431"/>
      <c r="O119" s="1431"/>
      <c r="P119" s="1431"/>
      <c r="Q119" s="1431"/>
      <c r="R119" s="1431"/>
      <c r="S119" s="1431"/>
      <c r="T119" s="1431"/>
      <c r="U119" s="1431"/>
      <c r="V119" s="1431"/>
      <c r="W119" s="1431"/>
      <c r="X119" s="1431"/>
      <c r="Y119" s="1431"/>
      <c r="Z119" s="1431"/>
      <c r="AA119" s="1431"/>
      <c r="AB119" s="1431"/>
      <c r="AC119" s="1431"/>
      <c r="AD119" s="1431"/>
      <c r="AE119" s="1431"/>
      <c r="AF119" s="1431"/>
      <c r="AG119" s="1431"/>
      <c r="AH119" s="1431"/>
      <c r="AI119" s="1431"/>
      <c r="AJ119" s="1431"/>
      <c r="AK119" s="1431"/>
      <c r="AL119" s="1431"/>
      <c r="AM119" s="1431"/>
      <c r="AN119" s="1431"/>
      <c r="AO119" s="1431"/>
      <c r="AP119" s="1431"/>
      <c r="AQ119" s="1431"/>
      <c r="AR119" s="1431"/>
      <c r="AS119" s="1431"/>
      <c r="AT119" s="1431"/>
      <c r="AU119" s="1431"/>
      <c r="AV119" s="1431"/>
      <c r="AW119" s="1431"/>
      <c r="AX119" s="1431"/>
      <c r="AY119" s="1431"/>
      <c r="AZ119" s="1431"/>
      <c r="BA119" s="1431"/>
      <c r="BB119" s="1431"/>
      <c r="BC119" s="1431"/>
      <c r="BD119" s="1431"/>
      <c r="BE119" s="1431"/>
      <c r="BF119" s="1431"/>
      <c r="BG119" s="1431"/>
      <c r="BH119" s="1431"/>
      <c r="BI119" s="1431"/>
      <c r="BJ119" s="1431"/>
      <c r="BK119" s="1431"/>
      <c r="BL119" s="1431"/>
      <c r="BM119" s="1431"/>
      <c r="BN119" s="1431"/>
      <c r="BO119" s="1431"/>
      <c r="BP119" s="1431"/>
      <c r="BQ119" s="1431"/>
      <c r="BR119" s="1431"/>
      <c r="BS119" s="1431"/>
      <c r="BT119" s="1431"/>
      <c r="BU119" s="1431"/>
      <c r="BV119" s="1431"/>
      <c r="BW119" s="1431"/>
      <c r="BX119" s="1431"/>
      <c r="BY119" s="1431"/>
      <c r="BZ119" s="1431"/>
      <c r="CA119" s="1431"/>
      <c r="CB119" s="1431"/>
      <c r="CC119" s="1431"/>
      <c r="CD119" s="1431"/>
      <c r="CE119" s="1431"/>
      <c r="CF119" s="1431"/>
      <c r="CG119" s="1431"/>
      <c r="CH119" s="1431"/>
      <c r="CI119" s="1432"/>
      <c r="CJ119" s="1435"/>
    </row>
    <row r="120" spans="2:89" ht="45.75" thickBot="1" x14ac:dyDescent="0.25">
      <c r="B120" s="655" t="s">
        <v>440</v>
      </c>
      <c r="C120" s="1306" t="s">
        <v>204</v>
      </c>
      <c r="D120" s="523"/>
      <c r="E120" s="523"/>
      <c r="F120" s="523"/>
      <c r="G120" s="523"/>
      <c r="H120" s="523"/>
      <c r="I120" s="523"/>
      <c r="J120" s="523"/>
      <c r="K120" s="523"/>
      <c r="L120" s="523"/>
      <c r="M120" s="523"/>
      <c r="N120" s="523"/>
      <c r="O120" s="523"/>
      <c r="P120" s="523"/>
      <c r="Q120" s="523"/>
      <c r="R120" s="523"/>
      <c r="S120" s="523"/>
      <c r="T120" s="523"/>
      <c r="U120" s="523"/>
      <c r="V120" s="523"/>
      <c r="W120" s="523"/>
      <c r="X120" s="523"/>
      <c r="Y120" s="523"/>
      <c r="Z120" s="523"/>
      <c r="AA120" s="523"/>
      <c r="AB120" s="523"/>
      <c r="AC120" s="523"/>
      <c r="AD120" s="523"/>
      <c r="AE120" s="523"/>
      <c r="AF120" s="523"/>
      <c r="AG120" s="523"/>
      <c r="AH120" s="523"/>
      <c r="AI120" s="523"/>
      <c r="AJ120" s="523"/>
      <c r="AK120" s="523"/>
      <c r="AL120" s="523"/>
      <c r="AM120" s="523"/>
      <c r="AN120" s="523"/>
      <c r="AO120" s="523"/>
      <c r="AP120" s="523"/>
      <c r="AQ120" s="523"/>
      <c r="AR120" s="523"/>
      <c r="AS120" s="523"/>
      <c r="AT120" s="523"/>
      <c r="AU120" s="523"/>
      <c r="AV120" s="523"/>
      <c r="AW120" s="523"/>
      <c r="AX120" s="523"/>
      <c r="AY120" s="523"/>
      <c r="AZ120" s="523"/>
      <c r="BA120" s="523"/>
      <c r="BB120" s="523"/>
      <c r="BC120" s="523"/>
      <c r="BD120" s="523"/>
      <c r="BE120" s="523"/>
      <c r="BF120" s="523"/>
      <c r="BG120" s="523"/>
      <c r="BH120" s="523"/>
      <c r="BI120" s="523"/>
      <c r="BJ120" s="523"/>
      <c r="BK120" s="523"/>
      <c r="BL120" s="523"/>
      <c r="BM120" s="523"/>
      <c r="BN120" s="523"/>
      <c r="BO120" s="523"/>
      <c r="BP120" s="523"/>
      <c r="BQ120" s="523"/>
      <c r="BR120" s="523"/>
      <c r="BS120" s="523"/>
      <c r="BT120" s="523"/>
      <c r="BU120" s="523"/>
      <c r="BV120" s="523"/>
      <c r="BW120" s="523"/>
      <c r="BX120" s="523"/>
      <c r="BY120" s="523"/>
      <c r="BZ120" s="523"/>
      <c r="CA120" s="523"/>
      <c r="CB120" s="523"/>
      <c r="CC120" s="523"/>
      <c r="CD120" s="523"/>
      <c r="CE120" s="523"/>
      <c r="CF120" s="523"/>
      <c r="CG120" s="523"/>
      <c r="CH120" s="523"/>
      <c r="CI120" s="523"/>
    </row>
    <row r="121" spans="2:89" ht="30.75" thickBot="1" x14ac:dyDescent="0.25">
      <c r="B121" s="705" t="s">
        <v>446</v>
      </c>
      <c r="C121" s="706" t="s">
        <v>205</v>
      </c>
      <c r="D121" s="706" t="s">
        <v>71</v>
      </c>
      <c r="E121" s="706" t="s">
        <v>206</v>
      </c>
      <c r="F121" s="707" t="s">
        <v>207</v>
      </c>
      <c r="G121" s="705" t="s">
        <v>208</v>
      </c>
      <c r="H121" s="705" t="s">
        <v>209</v>
      </c>
      <c r="I121" s="705" t="s">
        <v>210</v>
      </c>
      <c r="J121" s="705" t="s">
        <v>211</v>
      </c>
      <c r="K121" s="705" t="s">
        <v>212</v>
      </c>
      <c r="L121" s="705" t="s">
        <v>213</v>
      </c>
      <c r="M121" s="706" t="s">
        <v>214</v>
      </c>
      <c r="N121" s="706" t="s">
        <v>215</v>
      </c>
      <c r="O121" s="706" t="s">
        <v>216</v>
      </c>
      <c r="P121" s="706" t="s">
        <v>217</v>
      </c>
      <c r="Q121" s="706" t="s">
        <v>218</v>
      </c>
      <c r="R121" s="706" t="s">
        <v>247</v>
      </c>
      <c r="S121" s="706" t="s">
        <v>248</v>
      </c>
      <c r="T121" s="706" t="s">
        <v>249</v>
      </c>
      <c r="U121" s="706" t="s">
        <v>250</v>
      </c>
      <c r="V121" s="706" t="s">
        <v>219</v>
      </c>
      <c r="W121" s="706" t="s">
        <v>251</v>
      </c>
      <c r="X121" s="706" t="s">
        <v>252</v>
      </c>
      <c r="Y121" s="706" t="s">
        <v>253</v>
      </c>
      <c r="Z121" s="706" t="s">
        <v>254</v>
      </c>
      <c r="AA121" s="706" t="s">
        <v>220</v>
      </c>
      <c r="AB121" s="706" t="s">
        <v>255</v>
      </c>
      <c r="AC121" s="706" t="s">
        <v>256</v>
      </c>
      <c r="AD121" s="706" t="s">
        <v>257</v>
      </c>
      <c r="AE121" s="706" t="s">
        <v>258</v>
      </c>
      <c r="AF121" s="706" t="s">
        <v>221</v>
      </c>
      <c r="AG121" s="706" t="s">
        <v>259</v>
      </c>
      <c r="AH121" s="706" t="s">
        <v>260</v>
      </c>
      <c r="AI121" s="706" t="s">
        <v>261</v>
      </c>
      <c r="AJ121" s="706" t="s">
        <v>262</v>
      </c>
      <c r="AK121" s="706" t="s">
        <v>222</v>
      </c>
      <c r="AL121" s="706" t="s">
        <v>263</v>
      </c>
      <c r="AM121" s="706" t="s">
        <v>264</v>
      </c>
      <c r="AN121" s="706" t="s">
        <v>265</v>
      </c>
      <c r="AO121" s="706" t="s">
        <v>266</v>
      </c>
      <c r="AP121" s="706" t="s">
        <v>223</v>
      </c>
      <c r="AQ121" s="706" t="s">
        <v>267</v>
      </c>
      <c r="AR121" s="706" t="s">
        <v>268</v>
      </c>
      <c r="AS121" s="706" t="s">
        <v>269</v>
      </c>
      <c r="AT121" s="706" t="s">
        <v>270</v>
      </c>
      <c r="AU121" s="706" t="s">
        <v>224</v>
      </c>
      <c r="AV121" s="706" t="s">
        <v>271</v>
      </c>
      <c r="AW121" s="706" t="s">
        <v>272</v>
      </c>
      <c r="AX121" s="706" t="s">
        <v>273</v>
      </c>
      <c r="AY121" s="706" t="s">
        <v>274</v>
      </c>
      <c r="AZ121" s="706" t="s">
        <v>225</v>
      </c>
      <c r="BA121" s="706" t="s">
        <v>275</v>
      </c>
      <c r="BB121" s="706" t="s">
        <v>276</v>
      </c>
      <c r="BC121" s="706" t="s">
        <v>277</v>
      </c>
      <c r="BD121" s="706" t="s">
        <v>278</v>
      </c>
      <c r="BE121" s="706" t="s">
        <v>226</v>
      </c>
      <c r="BF121" s="706" t="s">
        <v>279</v>
      </c>
      <c r="BG121" s="706" t="s">
        <v>280</v>
      </c>
      <c r="BH121" s="706" t="s">
        <v>281</v>
      </c>
      <c r="BI121" s="706" t="s">
        <v>282</v>
      </c>
      <c r="BJ121" s="706" t="s">
        <v>227</v>
      </c>
      <c r="BK121" s="706" t="s">
        <v>283</v>
      </c>
      <c r="BL121" s="706" t="s">
        <v>284</v>
      </c>
      <c r="BM121" s="706" t="s">
        <v>285</v>
      </c>
      <c r="BN121" s="706" t="s">
        <v>286</v>
      </c>
      <c r="BO121" s="706" t="s">
        <v>228</v>
      </c>
      <c r="BP121" s="706" t="s">
        <v>287</v>
      </c>
      <c r="BQ121" s="706" t="s">
        <v>288</v>
      </c>
      <c r="BR121" s="706" t="s">
        <v>289</v>
      </c>
      <c r="BS121" s="706" t="s">
        <v>290</v>
      </c>
      <c r="BT121" s="706" t="s">
        <v>229</v>
      </c>
      <c r="BU121" s="706" t="s">
        <v>291</v>
      </c>
      <c r="BV121" s="706" t="s">
        <v>292</v>
      </c>
      <c r="BW121" s="706" t="s">
        <v>293</v>
      </c>
      <c r="BX121" s="706" t="s">
        <v>294</v>
      </c>
      <c r="BY121" s="706" t="s">
        <v>230</v>
      </c>
      <c r="BZ121" s="706" t="s">
        <v>295</v>
      </c>
      <c r="CA121" s="706" t="s">
        <v>296</v>
      </c>
      <c r="CB121" s="706" t="s">
        <v>297</v>
      </c>
      <c r="CC121" s="706" t="s">
        <v>298</v>
      </c>
      <c r="CD121" s="706" t="s">
        <v>231</v>
      </c>
      <c r="CE121" s="706" t="s">
        <v>299</v>
      </c>
      <c r="CF121" s="706" t="s">
        <v>300</v>
      </c>
      <c r="CG121" s="706" t="s">
        <v>301</v>
      </c>
      <c r="CH121" s="706" t="s">
        <v>302</v>
      </c>
      <c r="CI121" s="707" t="s">
        <v>232</v>
      </c>
      <c r="CJ121" s="706" t="s">
        <v>606</v>
      </c>
      <c r="CK121" s="1296"/>
    </row>
    <row r="122" spans="2:89" x14ac:dyDescent="0.2">
      <c r="B122" s="1049" t="s">
        <v>679</v>
      </c>
      <c r="C122" s="1050" t="s">
        <v>448</v>
      </c>
      <c r="D122" s="1051" t="s">
        <v>86</v>
      </c>
      <c r="E122" s="1052" t="s">
        <v>236</v>
      </c>
      <c r="F122" s="1053">
        <v>2</v>
      </c>
      <c r="G122" s="532"/>
      <c r="H122" s="593"/>
      <c r="I122" s="593">
        <v>56.65699532151379</v>
      </c>
      <c r="J122" s="593">
        <v>56.774049427584799</v>
      </c>
      <c r="K122" s="593">
        <v>56.921381378782414</v>
      </c>
      <c r="L122" s="593">
        <v>57.751866313767465</v>
      </c>
      <c r="M122" s="594">
        <v>56.860800605542025</v>
      </c>
      <c r="N122" s="594">
        <v>56.711847167693691</v>
      </c>
      <c r="O122" s="594">
        <v>56.470462169918804</v>
      </c>
      <c r="P122" s="594">
        <v>56.071142315317999</v>
      </c>
      <c r="Q122" s="594">
        <v>55.665264967278247</v>
      </c>
      <c r="R122" s="594">
        <v>54.928597256358586</v>
      </c>
      <c r="S122" s="594">
        <v>54.583384394904627</v>
      </c>
      <c r="T122" s="594">
        <v>56.850310068501869</v>
      </c>
      <c r="U122" s="594">
        <v>56.440316599087872</v>
      </c>
      <c r="V122" s="594">
        <v>56.051432469182792</v>
      </c>
      <c r="W122" s="594">
        <v>55.722080620849589</v>
      </c>
      <c r="X122" s="594">
        <v>55.411932304297686</v>
      </c>
      <c r="Y122" s="594">
        <v>55.301808842099334</v>
      </c>
      <c r="Z122" s="594">
        <v>55.204902855061704</v>
      </c>
      <c r="AA122" s="594">
        <v>54.964898108138385</v>
      </c>
      <c r="AB122" s="594">
        <v>52.776628254732941</v>
      </c>
      <c r="AC122" s="594">
        <v>52.711296937803851</v>
      </c>
      <c r="AD122" s="594">
        <v>52.656719608980154</v>
      </c>
      <c r="AE122" s="594">
        <v>52.697485511748802</v>
      </c>
      <c r="AF122" s="594">
        <v>52.740642740231479</v>
      </c>
      <c r="AG122" s="594">
        <v>50.680372675477656</v>
      </c>
      <c r="AH122" s="594">
        <v>50.725813163023361</v>
      </c>
      <c r="AI122" s="594">
        <v>50.770960208103652</v>
      </c>
      <c r="AJ122" s="594">
        <v>50.824277015964512</v>
      </c>
      <c r="AK122" s="594">
        <v>50.876675391650608</v>
      </c>
      <c r="AL122" s="594"/>
      <c r="AM122" s="594"/>
      <c r="AN122" s="594"/>
      <c r="AO122" s="594"/>
      <c r="AP122" s="594"/>
      <c r="AQ122" s="594"/>
      <c r="AR122" s="594"/>
      <c r="AS122" s="594"/>
      <c r="AT122" s="594"/>
      <c r="AU122" s="594"/>
      <c r="AV122" s="594"/>
      <c r="AW122" s="594"/>
      <c r="AX122" s="594"/>
      <c r="AY122" s="594"/>
      <c r="AZ122" s="594"/>
      <c r="BA122" s="594"/>
      <c r="BB122" s="594"/>
      <c r="BC122" s="594"/>
      <c r="BD122" s="594"/>
      <c r="BE122" s="594"/>
      <c r="BF122" s="594"/>
      <c r="BG122" s="594"/>
      <c r="BH122" s="594"/>
      <c r="BI122" s="594"/>
      <c r="BJ122" s="594"/>
      <c r="BK122" s="594"/>
      <c r="BL122" s="594"/>
      <c r="BM122" s="594"/>
      <c r="BN122" s="594"/>
      <c r="BO122" s="594"/>
      <c r="BP122" s="594"/>
      <c r="BQ122" s="594"/>
      <c r="BR122" s="594"/>
      <c r="BS122" s="594"/>
      <c r="BT122" s="594"/>
      <c r="BU122" s="594"/>
      <c r="BV122" s="594"/>
      <c r="BW122" s="594"/>
      <c r="BX122" s="594"/>
      <c r="BY122" s="594"/>
      <c r="BZ122" s="594"/>
      <c r="CA122" s="594"/>
      <c r="CB122" s="594"/>
      <c r="CC122" s="594"/>
      <c r="CD122" s="594"/>
      <c r="CE122" s="594"/>
      <c r="CF122" s="594"/>
      <c r="CG122" s="594"/>
      <c r="CH122" s="594"/>
      <c r="CI122" s="595"/>
      <c r="CJ122" s="1543"/>
      <c r="CK122" s="1296"/>
    </row>
    <row r="123" spans="2:89" x14ac:dyDescent="0.2">
      <c r="B123" s="1048" t="s">
        <v>680</v>
      </c>
      <c r="C123" s="1039" t="s">
        <v>681</v>
      </c>
      <c r="D123" s="1040" t="s">
        <v>682</v>
      </c>
      <c r="E123" s="1041" t="s">
        <v>236</v>
      </c>
      <c r="F123" s="1042">
        <v>2</v>
      </c>
      <c r="G123" s="798">
        <f t="shared" ref="G123:AK123" si="45">G25+G95</f>
        <v>0</v>
      </c>
      <c r="H123" s="798">
        <f t="shared" si="45"/>
        <v>0</v>
      </c>
      <c r="I123" s="798">
        <f t="shared" si="45"/>
        <v>0</v>
      </c>
      <c r="J123" s="798">
        <f t="shared" si="45"/>
        <v>0</v>
      </c>
      <c r="K123" s="798">
        <f t="shared" si="45"/>
        <v>0</v>
      </c>
      <c r="L123" s="798">
        <f t="shared" si="45"/>
        <v>0</v>
      </c>
      <c r="M123" s="798">
        <f t="shared" si="45"/>
        <v>0</v>
      </c>
      <c r="N123" s="798">
        <f t="shared" si="45"/>
        <v>0</v>
      </c>
      <c r="O123" s="798">
        <f t="shared" si="45"/>
        <v>0</v>
      </c>
      <c r="P123" s="798">
        <f t="shared" si="45"/>
        <v>0</v>
      </c>
      <c r="Q123" s="798">
        <f t="shared" si="45"/>
        <v>0</v>
      </c>
      <c r="R123" s="798">
        <f t="shared" si="45"/>
        <v>0</v>
      </c>
      <c r="S123" s="798">
        <f t="shared" si="45"/>
        <v>0</v>
      </c>
      <c r="T123" s="798">
        <f t="shared" si="45"/>
        <v>0</v>
      </c>
      <c r="U123" s="798">
        <f t="shared" si="45"/>
        <v>0</v>
      </c>
      <c r="V123" s="798">
        <f t="shared" si="45"/>
        <v>0</v>
      </c>
      <c r="W123" s="798">
        <f t="shared" si="45"/>
        <v>0</v>
      </c>
      <c r="X123" s="798">
        <f t="shared" si="45"/>
        <v>0</v>
      </c>
      <c r="Y123" s="798">
        <f t="shared" si="45"/>
        <v>0</v>
      </c>
      <c r="Z123" s="798">
        <f t="shared" si="45"/>
        <v>0</v>
      </c>
      <c r="AA123" s="798">
        <f t="shared" si="45"/>
        <v>0</v>
      </c>
      <c r="AB123" s="798">
        <f t="shared" si="45"/>
        <v>0</v>
      </c>
      <c r="AC123" s="798">
        <f t="shared" si="45"/>
        <v>0</v>
      </c>
      <c r="AD123" s="798">
        <f t="shared" si="45"/>
        <v>0</v>
      </c>
      <c r="AE123" s="798">
        <f t="shared" si="45"/>
        <v>0</v>
      </c>
      <c r="AF123" s="798">
        <f t="shared" si="45"/>
        <v>0</v>
      </c>
      <c r="AG123" s="798">
        <f t="shared" si="45"/>
        <v>0</v>
      </c>
      <c r="AH123" s="798">
        <f t="shared" si="45"/>
        <v>0</v>
      </c>
      <c r="AI123" s="798">
        <f t="shared" si="45"/>
        <v>0</v>
      </c>
      <c r="AJ123" s="798">
        <f t="shared" si="45"/>
        <v>0</v>
      </c>
      <c r="AK123" s="798">
        <f t="shared" si="45"/>
        <v>0</v>
      </c>
      <c r="AL123" s="798"/>
      <c r="AM123" s="798"/>
      <c r="AN123" s="798"/>
      <c r="AO123" s="798"/>
      <c r="AP123" s="798"/>
      <c r="AQ123" s="798"/>
      <c r="AR123" s="798"/>
      <c r="AS123" s="798"/>
      <c r="AT123" s="798"/>
      <c r="AU123" s="798"/>
      <c r="AV123" s="798"/>
      <c r="AW123" s="798"/>
      <c r="AX123" s="798"/>
      <c r="AY123" s="798"/>
      <c r="AZ123" s="798"/>
      <c r="BA123" s="798"/>
      <c r="BB123" s="798"/>
      <c r="BC123" s="798"/>
      <c r="BD123" s="798"/>
      <c r="BE123" s="798"/>
      <c r="BF123" s="798"/>
      <c r="BG123" s="798"/>
      <c r="BH123" s="798"/>
      <c r="BI123" s="798"/>
      <c r="BJ123" s="798"/>
      <c r="BK123" s="798"/>
      <c r="BL123" s="798"/>
      <c r="BM123" s="798"/>
      <c r="BN123" s="798"/>
      <c r="BO123" s="798"/>
      <c r="BP123" s="798"/>
      <c r="BQ123" s="798"/>
      <c r="BR123" s="798"/>
      <c r="BS123" s="798"/>
      <c r="BT123" s="798"/>
      <c r="BU123" s="798"/>
      <c r="BV123" s="798"/>
      <c r="BW123" s="798"/>
      <c r="BX123" s="798"/>
      <c r="BY123" s="798"/>
      <c r="BZ123" s="798"/>
      <c r="CA123" s="798"/>
      <c r="CB123" s="798"/>
      <c r="CC123" s="798"/>
      <c r="CD123" s="798"/>
      <c r="CE123" s="798"/>
      <c r="CF123" s="798"/>
      <c r="CG123" s="798"/>
      <c r="CH123" s="798"/>
      <c r="CI123" s="719"/>
      <c r="CJ123" s="1543"/>
      <c r="CK123" s="1296"/>
    </row>
    <row r="124" spans="2:89" x14ac:dyDescent="0.2">
      <c r="B124" s="1038" t="s">
        <v>683</v>
      </c>
      <c r="C124" s="1039" t="s">
        <v>452</v>
      </c>
      <c r="D124" s="1040" t="s">
        <v>684</v>
      </c>
      <c r="E124" s="1041" t="s">
        <v>236</v>
      </c>
      <c r="F124" s="1042">
        <v>2</v>
      </c>
      <c r="G124" s="569">
        <f t="shared" ref="G124:AK124" si="46">G26+G96</f>
        <v>0</v>
      </c>
      <c r="H124" s="569">
        <f t="shared" si="46"/>
        <v>0</v>
      </c>
      <c r="I124" s="569">
        <f t="shared" si="46"/>
        <v>0</v>
      </c>
      <c r="J124" s="569">
        <f t="shared" si="46"/>
        <v>0</v>
      </c>
      <c r="K124" s="569">
        <f t="shared" si="46"/>
        <v>0</v>
      </c>
      <c r="L124" s="569">
        <f t="shared" si="46"/>
        <v>0</v>
      </c>
      <c r="M124" s="718">
        <f t="shared" si="46"/>
        <v>0</v>
      </c>
      <c r="N124" s="718">
        <f t="shared" si="46"/>
        <v>0</v>
      </c>
      <c r="O124" s="718">
        <f t="shared" si="46"/>
        <v>0</v>
      </c>
      <c r="P124" s="718">
        <f t="shared" si="46"/>
        <v>0</v>
      </c>
      <c r="Q124" s="718">
        <f t="shared" si="46"/>
        <v>0</v>
      </c>
      <c r="R124" s="718">
        <f t="shared" si="46"/>
        <v>0</v>
      </c>
      <c r="S124" s="718">
        <f t="shared" si="46"/>
        <v>0</v>
      </c>
      <c r="T124" s="718">
        <f t="shared" si="46"/>
        <v>0</v>
      </c>
      <c r="U124" s="718">
        <f t="shared" si="46"/>
        <v>0</v>
      </c>
      <c r="V124" s="718">
        <f t="shared" si="46"/>
        <v>0</v>
      </c>
      <c r="W124" s="718">
        <f t="shared" si="46"/>
        <v>0</v>
      </c>
      <c r="X124" s="718">
        <f t="shared" si="46"/>
        <v>0</v>
      </c>
      <c r="Y124" s="718">
        <f t="shared" si="46"/>
        <v>0</v>
      </c>
      <c r="Z124" s="718">
        <f t="shared" si="46"/>
        <v>0</v>
      </c>
      <c r="AA124" s="718">
        <f t="shared" si="46"/>
        <v>0</v>
      </c>
      <c r="AB124" s="718">
        <f t="shared" si="46"/>
        <v>0</v>
      </c>
      <c r="AC124" s="718">
        <f t="shared" si="46"/>
        <v>0</v>
      </c>
      <c r="AD124" s="718">
        <f t="shared" si="46"/>
        <v>0</v>
      </c>
      <c r="AE124" s="718">
        <f t="shared" si="46"/>
        <v>0</v>
      </c>
      <c r="AF124" s="718">
        <f t="shared" si="46"/>
        <v>0</v>
      </c>
      <c r="AG124" s="718">
        <f t="shared" si="46"/>
        <v>0</v>
      </c>
      <c r="AH124" s="718">
        <f t="shared" si="46"/>
        <v>0</v>
      </c>
      <c r="AI124" s="718">
        <f t="shared" si="46"/>
        <v>0</v>
      </c>
      <c r="AJ124" s="718">
        <f t="shared" si="46"/>
        <v>0</v>
      </c>
      <c r="AK124" s="718">
        <f t="shared" si="46"/>
        <v>0</v>
      </c>
      <c r="AL124" s="718"/>
      <c r="AM124" s="718"/>
      <c r="AN124" s="718"/>
      <c r="AO124" s="718"/>
      <c r="AP124" s="718"/>
      <c r="AQ124" s="718"/>
      <c r="AR124" s="718"/>
      <c r="AS124" s="718"/>
      <c r="AT124" s="718"/>
      <c r="AU124" s="718"/>
      <c r="AV124" s="718"/>
      <c r="AW124" s="718"/>
      <c r="AX124" s="718"/>
      <c r="AY124" s="718"/>
      <c r="AZ124" s="718"/>
      <c r="BA124" s="718"/>
      <c r="BB124" s="718"/>
      <c r="BC124" s="718"/>
      <c r="BD124" s="718"/>
      <c r="BE124" s="718"/>
      <c r="BF124" s="718"/>
      <c r="BG124" s="718"/>
      <c r="BH124" s="718"/>
      <c r="BI124" s="718"/>
      <c r="BJ124" s="718"/>
      <c r="BK124" s="718"/>
      <c r="BL124" s="718"/>
      <c r="BM124" s="718"/>
      <c r="BN124" s="718"/>
      <c r="BO124" s="718"/>
      <c r="BP124" s="718"/>
      <c r="BQ124" s="718"/>
      <c r="BR124" s="718"/>
      <c r="BS124" s="718"/>
      <c r="BT124" s="718"/>
      <c r="BU124" s="718"/>
      <c r="BV124" s="718"/>
      <c r="BW124" s="718"/>
      <c r="BX124" s="718"/>
      <c r="BY124" s="718"/>
      <c r="BZ124" s="718"/>
      <c r="CA124" s="718"/>
      <c r="CB124" s="718"/>
      <c r="CC124" s="718"/>
      <c r="CD124" s="718"/>
      <c r="CE124" s="718"/>
      <c r="CF124" s="718"/>
      <c r="CG124" s="718"/>
      <c r="CH124" s="718"/>
      <c r="CI124" s="719"/>
      <c r="CJ124" s="1543"/>
      <c r="CK124" s="1296"/>
    </row>
    <row r="125" spans="2:89" x14ac:dyDescent="0.2">
      <c r="B125" s="713" t="s">
        <v>685</v>
      </c>
      <c r="C125" s="714" t="s">
        <v>454</v>
      </c>
      <c r="D125" s="715" t="s">
        <v>686</v>
      </c>
      <c r="E125" s="716" t="s">
        <v>236</v>
      </c>
      <c r="F125" s="717">
        <v>2</v>
      </c>
      <c r="G125" s="569">
        <f t="shared" ref="G125:AK125" si="47">G27+G97</f>
        <v>0</v>
      </c>
      <c r="H125" s="569">
        <f t="shared" si="47"/>
        <v>0</v>
      </c>
      <c r="I125" s="569">
        <f t="shared" si="47"/>
        <v>1.35</v>
      </c>
      <c r="J125" s="569">
        <f t="shared" si="47"/>
        <v>1.35</v>
      </c>
      <c r="K125" s="569">
        <f t="shared" si="47"/>
        <v>1.35</v>
      </c>
      <c r="L125" s="569">
        <f t="shared" si="47"/>
        <v>1.35</v>
      </c>
      <c r="M125" s="718">
        <f t="shared" si="47"/>
        <v>1.35</v>
      </c>
      <c r="N125" s="718">
        <f t="shared" si="47"/>
        <v>0.69318123722819114</v>
      </c>
      <c r="O125" s="718">
        <f t="shared" si="47"/>
        <v>0.73094490432758508</v>
      </c>
      <c r="P125" s="718">
        <f t="shared" si="47"/>
        <v>1.35</v>
      </c>
      <c r="Q125" s="718">
        <f t="shared" si="47"/>
        <v>1.35</v>
      </c>
      <c r="R125" s="718">
        <f t="shared" si="47"/>
        <v>1.35</v>
      </c>
      <c r="S125" s="718">
        <f t="shared" si="47"/>
        <v>1.35</v>
      </c>
      <c r="T125" s="718">
        <f t="shared" si="47"/>
        <v>1.35</v>
      </c>
      <c r="U125" s="718">
        <f t="shared" si="47"/>
        <v>1.35</v>
      </c>
      <c r="V125" s="718">
        <f t="shared" si="47"/>
        <v>1.35</v>
      </c>
      <c r="W125" s="718">
        <f t="shared" si="47"/>
        <v>1.35</v>
      </c>
      <c r="X125" s="718">
        <f t="shared" si="47"/>
        <v>1.35</v>
      </c>
      <c r="Y125" s="718">
        <f t="shared" si="47"/>
        <v>1.35</v>
      </c>
      <c r="Z125" s="718">
        <f t="shared" si="47"/>
        <v>1.35</v>
      </c>
      <c r="AA125" s="718">
        <f t="shared" si="47"/>
        <v>1.35</v>
      </c>
      <c r="AB125" s="718">
        <f t="shared" si="47"/>
        <v>1.35</v>
      </c>
      <c r="AC125" s="718">
        <f t="shared" si="47"/>
        <v>1.35</v>
      </c>
      <c r="AD125" s="718">
        <f t="shared" si="47"/>
        <v>1.35</v>
      </c>
      <c r="AE125" s="718">
        <f t="shared" si="47"/>
        <v>1.35</v>
      </c>
      <c r="AF125" s="718">
        <f t="shared" si="47"/>
        <v>1.35</v>
      </c>
      <c r="AG125" s="718">
        <f t="shared" si="47"/>
        <v>1.35</v>
      </c>
      <c r="AH125" s="718">
        <f t="shared" si="47"/>
        <v>1.35</v>
      </c>
      <c r="AI125" s="718">
        <f t="shared" si="47"/>
        <v>1.35</v>
      </c>
      <c r="AJ125" s="718">
        <f t="shared" si="47"/>
        <v>1.35</v>
      </c>
      <c r="AK125" s="718">
        <f t="shared" si="47"/>
        <v>1.35</v>
      </c>
      <c r="AL125" s="718"/>
      <c r="AM125" s="718"/>
      <c r="AN125" s="718"/>
      <c r="AO125" s="718"/>
      <c r="AP125" s="718"/>
      <c r="AQ125" s="718"/>
      <c r="AR125" s="718"/>
      <c r="AS125" s="718"/>
      <c r="AT125" s="718"/>
      <c r="AU125" s="718"/>
      <c r="AV125" s="718"/>
      <c r="AW125" s="718"/>
      <c r="AX125" s="718"/>
      <c r="AY125" s="718"/>
      <c r="AZ125" s="718"/>
      <c r="BA125" s="718"/>
      <c r="BB125" s="718"/>
      <c r="BC125" s="718"/>
      <c r="BD125" s="718"/>
      <c r="BE125" s="718"/>
      <c r="BF125" s="718"/>
      <c r="BG125" s="718"/>
      <c r="BH125" s="718"/>
      <c r="BI125" s="718"/>
      <c r="BJ125" s="718"/>
      <c r="BK125" s="718"/>
      <c r="BL125" s="718"/>
      <c r="BM125" s="718"/>
      <c r="BN125" s="718"/>
      <c r="BO125" s="718"/>
      <c r="BP125" s="718"/>
      <c r="BQ125" s="718"/>
      <c r="BR125" s="718"/>
      <c r="BS125" s="718"/>
      <c r="BT125" s="718"/>
      <c r="BU125" s="718"/>
      <c r="BV125" s="718"/>
      <c r="BW125" s="718"/>
      <c r="BX125" s="718"/>
      <c r="BY125" s="718"/>
      <c r="BZ125" s="718"/>
      <c r="CA125" s="718"/>
      <c r="CB125" s="718"/>
      <c r="CC125" s="718"/>
      <c r="CD125" s="718"/>
      <c r="CE125" s="718"/>
      <c r="CF125" s="718"/>
      <c r="CG125" s="718"/>
      <c r="CH125" s="718"/>
      <c r="CI125" s="719"/>
      <c r="CJ125" s="1543"/>
      <c r="CK125" s="1296"/>
    </row>
    <row r="126" spans="2:89" x14ac:dyDescent="0.2">
      <c r="B126" s="720" t="s">
        <v>687</v>
      </c>
      <c r="C126" s="714" t="s">
        <v>456</v>
      </c>
      <c r="D126" s="715" t="s">
        <v>688</v>
      </c>
      <c r="E126" s="716" t="s">
        <v>236</v>
      </c>
      <c r="F126" s="717">
        <v>2</v>
      </c>
      <c r="G126" s="569">
        <f t="shared" ref="G126:AK126" si="48">G28+G98</f>
        <v>0</v>
      </c>
      <c r="H126" s="569">
        <f t="shared" si="48"/>
        <v>0</v>
      </c>
      <c r="I126" s="569">
        <f t="shared" si="48"/>
        <v>-3.38</v>
      </c>
      <c r="J126" s="569">
        <f t="shared" si="48"/>
        <v>-3.38</v>
      </c>
      <c r="K126" s="569">
        <f t="shared" si="48"/>
        <v>-3.38</v>
      </c>
      <c r="L126" s="569">
        <f t="shared" si="48"/>
        <v>-3.38</v>
      </c>
      <c r="M126" s="569">
        <f t="shared" si="48"/>
        <v>-3.38</v>
      </c>
      <c r="N126" s="569">
        <f t="shared" si="48"/>
        <v>-3.38</v>
      </c>
      <c r="O126" s="569">
        <f t="shared" si="48"/>
        <v>-3.38</v>
      </c>
      <c r="P126" s="569">
        <f t="shared" si="48"/>
        <v>-3.38</v>
      </c>
      <c r="Q126" s="569">
        <f t="shared" si="48"/>
        <v>-3.38</v>
      </c>
      <c r="R126" s="569">
        <f t="shared" si="48"/>
        <v>-2.83</v>
      </c>
      <c r="S126" s="569">
        <f t="shared" si="48"/>
        <v>-2.83</v>
      </c>
      <c r="T126" s="569">
        <f t="shared" si="48"/>
        <v>-2.83</v>
      </c>
      <c r="U126" s="569">
        <f t="shared" si="48"/>
        <v>-2.83</v>
      </c>
      <c r="V126" s="569">
        <f t="shared" si="48"/>
        <v>-2.83</v>
      </c>
      <c r="W126" s="569">
        <f t="shared" si="48"/>
        <v>-2.83</v>
      </c>
      <c r="X126" s="569">
        <f t="shared" si="48"/>
        <v>-2.83</v>
      </c>
      <c r="Y126" s="569">
        <f t="shared" si="48"/>
        <v>-2.83</v>
      </c>
      <c r="Z126" s="569">
        <f t="shared" si="48"/>
        <v>-2.83</v>
      </c>
      <c r="AA126" s="569">
        <f t="shared" si="48"/>
        <v>-2.83</v>
      </c>
      <c r="AB126" s="569">
        <f t="shared" si="48"/>
        <v>-2.0300000000000002</v>
      </c>
      <c r="AC126" s="569">
        <f t="shared" si="48"/>
        <v>-2.0300000000000002</v>
      </c>
      <c r="AD126" s="569">
        <f t="shared" si="48"/>
        <v>-2.0300000000000002</v>
      </c>
      <c r="AE126" s="569">
        <f t="shared" si="48"/>
        <v>-2.0300000000000002</v>
      </c>
      <c r="AF126" s="569">
        <f t="shared" si="48"/>
        <v>-2.0300000000000002</v>
      </c>
      <c r="AG126" s="569">
        <f t="shared" si="48"/>
        <v>-2.0300000000000002</v>
      </c>
      <c r="AH126" s="569">
        <f t="shared" si="48"/>
        <v>-2.0300000000000002</v>
      </c>
      <c r="AI126" s="569">
        <f t="shared" si="48"/>
        <v>-2.0300000000000002</v>
      </c>
      <c r="AJ126" s="569">
        <f t="shared" si="48"/>
        <v>-2.0300000000000002</v>
      </c>
      <c r="AK126" s="569">
        <f t="shared" si="48"/>
        <v>-2.0300000000000002</v>
      </c>
      <c r="AL126" s="569"/>
      <c r="AM126" s="569"/>
      <c r="AN126" s="569"/>
      <c r="AO126" s="569"/>
      <c r="AP126" s="569"/>
      <c r="AQ126" s="569"/>
      <c r="AR126" s="569"/>
      <c r="AS126" s="569"/>
      <c r="AT126" s="569"/>
      <c r="AU126" s="569"/>
      <c r="AV126" s="569"/>
      <c r="AW126" s="569"/>
      <c r="AX126" s="569"/>
      <c r="AY126" s="569"/>
      <c r="AZ126" s="569"/>
      <c r="BA126" s="569"/>
      <c r="BB126" s="569"/>
      <c r="BC126" s="569"/>
      <c r="BD126" s="569"/>
      <c r="BE126" s="569"/>
      <c r="BF126" s="569"/>
      <c r="BG126" s="569"/>
      <c r="BH126" s="569"/>
      <c r="BI126" s="569"/>
      <c r="BJ126" s="569"/>
      <c r="BK126" s="569"/>
      <c r="BL126" s="569"/>
      <c r="BM126" s="569"/>
      <c r="BN126" s="569"/>
      <c r="BO126" s="569"/>
      <c r="BP126" s="569"/>
      <c r="BQ126" s="569"/>
      <c r="BR126" s="569"/>
      <c r="BS126" s="569"/>
      <c r="BT126" s="569"/>
      <c r="BU126" s="569"/>
      <c r="BV126" s="569"/>
      <c r="BW126" s="569"/>
      <c r="BX126" s="569"/>
      <c r="BY126" s="569"/>
      <c r="BZ126" s="569"/>
      <c r="CA126" s="569"/>
      <c r="CB126" s="569"/>
      <c r="CC126" s="569"/>
      <c r="CD126" s="569"/>
      <c r="CE126" s="569"/>
      <c r="CF126" s="569"/>
      <c r="CG126" s="569"/>
      <c r="CH126" s="569"/>
      <c r="CI126" s="719"/>
      <c r="CJ126" s="1543"/>
      <c r="CK126" s="1296"/>
    </row>
    <row r="127" spans="2:89" x14ac:dyDescent="0.2">
      <c r="B127" s="720" t="s">
        <v>689</v>
      </c>
      <c r="C127" s="714" t="s">
        <v>458</v>
      </c>
      <c r="D127" s="715" t="s">
        <v>690</v>
      </c>
      <c r="E127" s="716" t="s">
        <v>236</v>
      </c>
      <c r="F127" s="717">
        <v>2</v>
      </c>
      <c r="G127" s="569">
        <f t="shared" ref="G127:AK127" si="49">G29+G99</f>
        <v>0</v>
      </c>
      <c r="H127" s="569">
        <f>H29+H99</f>
        <v>0</v>
      </c>
      <c r="I127" s="569">
        <f t="shared" si="49"/>
        <v>-0.43</v>
      </c>
      <c r="J127" s="569">
        <f t="shared" si="49"/>
        <v>-0.43</v>
      </c>
      <c r="K127" s="569">
        <f t="shared" si="49"/>
        <v>-0.43</v>
      </c>
      <c r="L127" s="569">
        <f t="shared" si="49"/>
        <v>-0.43</v>
      </c>
      <c r="M127" s="718">
        <f t="shared" si="49"/>
        <v>-0.43</v>
      </c>
      <c r="N127" s="718">
        <f t="shared" si="49"/>
        <v>-0.43</v>
      </c>
      <c r="O127" s="718">
        <f t="shared" si="49"/>
        <v>-0.43</v>
      </c>
      <c r="P127" s="718">
        <f t="shared" si="49"/>
        <v>-2.9789812132753317</v>
      </c>
      <c r="Q127" s="718">
        <f t="shared" si="49"/>
        <v>-2.8152634401101149</v>
      </c>
      <c r="R127" s="718">
        <f>R29+R99</f>
        <v>-4.5871803345612072</v>
      </c>
      <c r="S127" s="718">
        <f t="shared" si="49"/>
        <v>-4.2729179728844571</v>
      </c>
      <c r="T127" s="718">
        <f t="shared" si="49"/>
        <v>-10.216702849257038</v>
      </c>
      <c r="U127" s="718">
        <f t="shared" si="49"/>
        <v>-10.073425823221271</v>
      </c>
      <c r="V127" s="718">
        <f t="shared" si="49"/>
        <v>-9.9024725732611714</v>
      </c>
      <c r="W127" s="718">
        <f t="shared" si="49"/>
        <v>-9.7965353421548578</v>
      </c>
      <c r="X127" s="718">
        <f t="shared" si="49"/>
        <v>-9.7186396756115716</v>
      </c>
      <c r="Y127" s="718">
        <f t="shared" si="49"/>
        <v>-9.6344119241214834</v>
      </c>
      <c r="Z127" s="718">
        <f t="shared" si="49"/>
        <v>-9.5891269076576577</v>
      </c>
      <c r="AA127" s="718">
        <f t="shared" si="49"/>
        <v>-9.5359464606920703</v>
      </c>
      <c r="AB127" s="718">
        <f t="shared" si="49"/>
        <v>-11.034392274677822</v>
      </c>
      <c r="AC127" s="718">
        <f t="shared" si="49"/>
        <v>-10.974016264787796</v>
      </c>
      <c r="AD127" s="718">
        <f t="shared" si="49"/>
        <v>-10.904747720485428</v>
      </c>
      <c r="AE127" s="718">
        <f t="shared" si="49"/>
        <v>-10.87351725416808</v>
      </c>
      <c r="AF127" s="718">
        <f t="shared" si="49"/>
        <v>-10.864795758513885</v>
      </c>
      <c r="AG127" s="718">
        <f t="shared" si="49"/>
        <v>-12.32452799024615</v>
      </c>
      <c r="AH127" s="718">
        <f t="shared" si="49"/>
        <v>-12.32504786440056</v>
      </c>
      <c r="AI127" s="718">
        <f t="shared" si="49"/>
        <v>-12.32340986799986</v>
      </c>
      <c r="AJ127" s="718">
        <f t="shared" si="49"/>
        <v>-12.342489259860434</v>
      </c>
      <c r="AK127" s="718">
        <f t="shared" si="49"/>
        <v>-12.346554664885785</v>
      </c>
      <c r="AL127" s="718"/>
      <c r="AM127" s="718"/>
      <c r="AN127" s="718"/>
      <c r="AO127" s="718"/>
      <c r="AP127" s="718"/>
      <c r="AQ127" s="718"/>
      <c r="AR127" s="718"/>
      <c r="AS127" s="718"/>
      <c r="AT127" s="718"/>
      <c r="AU127" s="718"/>
      <c r="AV127" s="718"/>
      <c r="AW127" s="718"/>
      <c r="AX127" s="718"/>
      <c r="AY127" s="718"/>
      <c r="AZ127" s="718"/>
      <c r="BA127" s="718"/>
      <c r="BB127" s="718"/>
      <c r="BC127" s="718"/>
      <c r="BD127" s="718"/>
      <c r="BE127" s="718"/>
      <c r="BF127" s="718"/>
      <c r="BG127" s="718"/>
      <c r="BH127" s="718"/>
      <c r="BI127" s="718"/>
      <c r="BJ127" s="718"/>
      <c r="BK127" s="718"/>
      <c r="BL127" s="718"/>
      <c r="BM127" s="718"/>
      <c r="BN127" s="718"/>
      <c r="BO127" s="718"/>
      <c r="BP127" s="718"/>
      <c r="BQ127" s="718"/>
      <c r="BR127" s="718"/>
      <c r="BS127" s="718"/>
      <c r="BT127" s="718"/>
      <c r="BU127" s="718"/>
      <c r="BV127" s="718"/>
      <c r="BW127" s="718"/>
      <c r="BX127" s="718"/>
      <c r="BY127" s="718"/>
      <c r="BZ127" s="718"/>
      <c r="CA127" s="718"/>
      <c r="CB127" s="718"/>
      <c r="CC127" s="718"/>
      <c r="CD127" s="718"/>
      <c r="CE127" s="718"/>
      <c r="CF127" s="718"/>
      <c r="CG127" s="718"/>
      <c r="CH127" s="718"/>
      <c r="CI127" s="719"/>
      <c r="CJ127" s="1543"/>
      <c r="CK127" s="1296"/>
    </row>
    <row r="128" spans="2:89" x14ac:dyDescent="0.2">
      <c r="B128" s="720" t="s">
        <v>691</v>
      </c>
      <c r="C128" s="721" t="s">
        <v>462</v>
      </c>
      <c r="D128" s="715" t="s">
        <v>692</v>
      </c>
      <c r="E128" s="716" t="s">
        <v>236</v>
      </c>
      <c r="F128" s="717">
        <v>2</v>
      </c>
      <c r="G128" s="569">
        <f t="shared" ref="G128:AK128" si="50">G31+G100+G101+G102+G103</f>
        <v>0</v>
      </c>
      <c r="H128" s="569">
        <f t="shared" si="50"/>
        <v>0</v>
      </c>
      <c r="I128" s="569">
        <f t="shared" si="50"/>
        <v>79.950479416597489</v>
      </c>
      <c r="J128" s="569">
        <f t="shared" si="50"/>
        <v>79.82446332551325</v>
      </c>
      <c r="K128" s="569">
        <f t="shared" si="50"/>
        <v>79.809186726943764</v>
      </c>
      <c r="L128" s="569">
        <f>L31+L100+L101+L102+L103</f>
        <v>79.761346538898465</v>
      </c>
      <c r="M128" s="569">
        <f t="shared" si="50"/>
        <v>79.657617431382064</v>
      </c>
      <c r="N128" s="569">
        <f t="shared" si="50"/>
        <v>79.528287867341263</v>
      </c>
      <c r="O128" s="569">
        <f t="shared" si="50"/>
        <v>79.336045224836326</v>
      </c>
      <c r="P128" s="569">
        <f t="shared" si="50"/>
        <v>79.146912811138208</v>
      </c>
      <c r="Q128" s="569">
        <f t="shared" si="50"/>
        <v>79.018901008484946</v>
      </c>
      <c r="R128" s="569">
        <f t="shared" si="50"/>
        <v>75.942664003734578</v>
      </c>
      <c r="S128" s="569">
        <f t="shared" si="50"/>
        <v>75.926685269496105</v>
      </c>
      <c r="T128" s="569">
        <f t="shared" si="50"/>
        <v>84.899730799801887</v>
      </c>
      <c r="U128" s="569">
        <f t="shared" si="50"/>
        <v>84.866556552920343</v>
      </c>
      <c r="V128" s="569">
        <f t="shared" si="50"/>
        <v>84.845590057049833</v>
      </c>
      <c r="W128" s="569">
        <f t="shared" si="50"/>
        <v>84.830038220408312</v>
      </c>
      <c r="X128" s="569">
        <f t="shared" si="50"/>
        <v>84.814927166685862</v>
      </c>
      <c r="Y128" s="569">
        <f t="shared" si="50"/>
        <v>84.800000467199922</v>
      </c>
      <c r="Z128" s="569">
        <f t="shared" si="50"/>
        <v>84.786334771891731</v>
      </c>
      <c r="AA128" s="569">
        <f t="shared" si="50"/>
        <v>84.77338277391533</v>
      </c>
      <c r="AB128" s="569">
        <f t="shared" si="50"/>
        <v>86.987996150671165</v>
      </c>
      <c r="AC128" s="569">
        <f t="shared" si="50"/>
        <v>86.975210090048918</v>
      </c>
      <c r="AD128" s="569">
        <f t="shared" si="50"/>
        <v>86.963579372416504</v>
      </c>
      <c r="AE128" s="569">
        <f t="shared" si="50"/>
        <v>86.961924877134479</v>
      </c>
      <c r="AF128" s="569">
        <f t="shared" si="50"/>
        <v>86.960318767198444</v>
      </c>
      <c r="AG128" s="569">
        <f t="shared" si="50"/>
        <v>69.27856548096851</v>
      </c>
      <c r="AH128" s="569">
        <f t="shared" si="50"/>
        <v>69.277371908916507</v>
      </c>
      <c r="AI128" s="569">
        <f t="shared" si="50"/>
        <v>69.276007696193759</v>
      </c>
      <c r="AJ128" s="569">
        <f t="shared" si="50"/>
        <v>69.274816892162335</v>
      </c>
      <c r="AK128" s="569">
        <f t="shared" si="50"/>
        <v>69.273081499644903</v>
      </c>
      <c r="AL128" s="569"/>
      <c r="AM128" s="569"/>
      <c r="AN128" s="569"/>
      <c r="AO128" s="569"/>
      <c r="AP128" s="569"/>
      <c r="AQ128" s="569"/>
      <c r="AR128" s="569"/>
      <c r="AS128" s="569"/>
      <c r="AT128" s="569"/>
      <c r="AU128" s="569"/>
      <c r="AV128" s="569"/>
      <c r="AW128" s="569"/>
      <c r="AX128" s="569"/>
      <c r="AY128" s="569"/>
      <c r="AZ128" s="569"/>
      <c r="BA128" s="569"/>
      <c r="BB128" s="569"/>
      <c r="BC128" s="569"/>
      <c r="BD128" s="569"/>
      <c r="BE128" s="569"/>
      <c r="BF128" s="569"/>
      <c r="BG128" s="569"/>
      <c r="BH128" s="569"/>
      <c r="BI128" s="569"/>
      <c r="BJ128" s="569"/>
      <c r="BK128" s="569"/>
      <c r="BL128" s="569"/>
      <c r="BM128" s="569"/>
      <c r="BN128" s="569"/>
      <c r="BO128" s="569"/>
      <c r="BP128" s="569"/>
      <c r="BQ128" s="569"/>
      <c r="BR128" s="569"/>
      <c r="BS128" s="569"/>
      <c r="BT128" s="569"/>
      <c r="BU128" s="569"/>
      <c r="BV128" s="569"/>
      <c r="BW128" s="569"/>
      <c r="BX128" s="569"/>
      <c r="BY128" s="569"/>
      <c r="BZ128" s="569"/>
      <c r="CA128" s="569"/>
      <c r="CB128" s="569"/>
      <c r="CC128" s="569"/>
      <c r="CD128" s="569"/>
      <c r="CE128" s="569"/>
      <c r="CF128" s="569"/>
      <c r="CG128" s="569"/>
      <c r="CH128" s="569"/>
      <c r="CI128" s="719"/>
      <c r="CJ128" s="1543"/>
      <c r="CK128" s="1296"/>
    </row>
    <row r="129" spans="2:89" ht="28.5" x14ac:dyDescent="0.2">
      <c r="B129" s="720" t="s">
        <v>693</v>
      </c>
      <c r="C129" s="721" t="s">
        <v>694</v>
      </c>
      <c r="D129" s="715" t="s">
        <v>695</v>
      </c>
      <c r="E129" s="716" t="s">
        <v>236</v>
      </c>
      <c r="F129" s="717">
        <v>2</v>
      </c>
      <c r="G129" s="569">
        <f t="shared" ref="G129:AK129" si="51">G39+G104+G105</f>
        <v>0</v>
      </c>
      <c r="H129" s="569">
        <f>H39+H104+H105</f>
        <v>0</v>
      </c>
      <c r="I129" s="569">
        <f>I39+I104+I105</f>
        <v>8.75</v>
      </c>
      <c r="J129" s="569">
        <f>J39+J104+J105</f>
        <v>8.75</v>
      </c>
      <c r="K129" s="569">
        <f t="shared" si="51"/>
        <v>8.75</v>
      </c>
      <c r="L129" s="569">
        <f t="shared" si="51"/>
        <v>8.75</v>
      </c>
      <c r="M129" s="718">
        <f>M39+M104+M105</f>
        <v>8.75</v>
      </c>
      <c r="N129" s="718">
        <f t="shared" si="51"/>
        <v>8.6199999999999992</v>
      </c>
      <c r="O129" s="718">
        <f t="shared" si="51"/>
        <v>8.6199999999999992</v>
      </c>
      <c r="P129" s="718">
        <f t="shared" si="51"/>
        <v>8.6199999999999992</v>
      </c>
      <c r="Q129" s="718">
        <f t="shared" si="51"/>
        <v>8.6199999999999992</v>
      </c>
      <c r="R129" s="718">
        <f>R39+R104+R105</f>
        <v>8.3800000000000008</v>
      </c>
      <c r="S129" s="718">
        <f t="shared" si="51"/>
        <v>8.3800000000000008</v>
      </c>
      <c r="T129" s="718">
        <f t="shared" si="51"/>
        <v>8.23</v>
      </c>
      <c r="U129" s="718">
        <f t="shared" si="51"/>
        <v>8.23</v>
      </c>
      <c r="V129" s="718">
        <f t="shared" si="51"/>
        <v>8.23</v>
      </c>
      <c r="W129" s="718">
        <f t="shared" si="51"/>
        <v>8.23</v>
      </c>
      <c r="X129" s="718">
        <f t="shared" si="51"/>
        <v>8.23</v>
      </c>
      <c r="Y129" s="718">
        <f t="shared" si="51"/>
        <v>8.23</v>
      </c>
      <c r="Z129" s="718">
        <f t="shared" si="51"/>
        <v>8.23</v>
      </c>
      <c r="AA129" s="718">
        <f t="shared" si="51"/>
        <v>8.23</v>
      </c>
      <c r="AB129" s="718">
        <f t="shared" si="51"/>
        <v>5.86</v>
      </c>
      <c r="AC129" s="718">
        <f t="shared" si="51"/>
        <v>5.86</v>
      </c>
      <c r="AD129" s="718">
        <f t="shared" si="51"/>
        <v>5.86</v>
      </c>
      <c r="AE129" s="718">
        <f t="shared" si="51"/>
        <v>5.86</v>
      </c>
      <c r="AF129" s="718">
        <f t="shared" si="51"/>
        <v>5.86</v>
      </c>
      <c r="AG129" s="718">
        <f t="shared" si="51"/>
        <v>3.49</v>
      </c>
      <c r="AH129" s="718">
        <f t="shared" si="51"/>
        <v>3.49</v>
      </c>
      <c r="AI129" s="718">
        <f t="shared" si="51"/>
        <v>3.49</v>
      </c>
      <c r="AJ129" s="718">
        <f t="shared" si="51"/>
        <v>3.49</v>
      </c>
      <c r="AK129" s="718">
        <f t="shared" si="51"/>
        <v>3.49</v>
      </c>
      <c r="AL129" s="718"/>
      <c r="AM129" s="718"/>
      <c r="AN129" s="718"/>
      <c r="AO129" s="718"/>
      <c r="AP129" s="718"/>
      <c r="AQ129" s="718"/>
      <c r="AR129" s="718"/>
      <c r="AS129" s="718"/>
      <c r="AT129" s="718"/>
      <c r="AU129" s="718"/>
      <c r="AV129" s="718"/>
      <c r="AW129" s="718"/>
      <c r="AX129" s="718"/>
      <c r="AY129" s="718"/>
      <c r="AZ129" s="718"/>
      <c r="BA129" s="718"/>
      <c r="BB129" s="718"/>
      <c r="BC129" s="718"/>
      <c r="BD129" s="718"/>
      <c r="BE129" s="718"/>
      <c r="BF129" s="718"/>
      <c r="BG129" s="718"/>
      <c r="BH129" s="718"/>
      <c r="BI129" s="718"/>
      <c r="BJ129" s="718"/>
      <c r="BK129" s="718"/>
      <c r="BL129" s="718"/>
      <c r="BM129" s="718"/>
      <c r="BN129" s="718"/>
      <c r="BO129" s="718"/>
      <c r="BP129" s="718"/>
      <c r="BQ129" s="718"/>
      <c r="BR129" s="718"/>
      <c r="BS129" s="718"/>
      <c r="BT129" s="718"/>
      <c r="BU129" s="718"/>
      <c r="BV129" s="718"/>
      <c r="BW129" s="718"/>
      <c r="BX129" s="718"/>
      <c r="BY129" s="718"/>
      <c r="BZ129" s="718"/>
      <c r="CA129" s="718"/>
      <c r="CB129" s="718"/>
      <c r="CC129" s="718"/>
      <c r="CD129" s="718"/>
      <c r="CE129" s="718"/>
      <c r="CF129" s="718"/>
      <c r="CG129" s="718"/>
      <c r="CH129" s="718"/>
      <c r="CI129" s="719"/>
      <c r="CJ129" s="1543"/>
      <c r="CK129" s="1296"/>
    </row>
    <row r="130" spans="2:89" x14ac:dyDescent="0.2">
      <c r="B130" s="720" t="s">
        <v>696</v>
      </c>
      <c r="C130" s="721" t="s">
        <v>483</v>
      </c>
      <c r="D130" s="715" t="s">
        <v>697</v>
      </c>
      <c r="E130" s="716" t="s">
        <v>236</v>
      </c>
      <c r="F130" s="717">
        <v>2</v>
      </c>
      <c r="G130" s="569">
        <f t="shared" ref="G130:AK130" si="52">G40+G106</f>
        <v>0</v>
      </c>
      <c r="H130" s="569">
        <f t="shared" si="52"/>
        <v>0</v>
      </c>
      <c r="I130" s="569">
        <f t="shared" si="52"/>
        <v>8.83</v>
      </c>
      <c r="J130" s="569">
        <f t="shared" si="52"/>
        <v>8.83</v>
      </c>
      <c r="K130" s="569">
        <f t="shared" si="52"/>
        <v>8.83</v>
      </c>
      <c r="L130" s="569">
        <f t="shared" si="52"/>
        <v>8.83</v>
      </c>
      <c r="M130" s="718">
        <f t="shared" si="52"/>
        <v>8.83</v>
      </c>
      <c r="N130" s="718">
        <f t="shared" si="52"/>
        <v>8.83</v>
      </c>
      <c r="O130" s="718">
        <f t="shared" si="52"/>
        <v>8.83</v>
      </c>
      <c r="P130" s="718">
        <f t="shared" si="52"/>
        <v>8.83</v>
      </c>
      <c r="Q130" s="718">
        <f t="shared" si="52"/>
        <v>6.68</v>
      </c>
      <c r="R130" s="718">
        <f t="shared" si="52"/>
        <v>6.68</v>
      </c>
      <c r="S130" s="718">
        <f t="shared" si="52"/>
        <v>6.68</v>
      </c>
      <c r="T130" s="718">
        <f t="shared" si="52"/>
        <v>6.68</v>
      </c>
      <c r="U130" s="718">
        <f t="shared" si="52"/>
        <v>6.68</v>
      </c>
      <c r="V130" s="718">
        <f t="shared" si="52"/>
        <v>6.68</v>
      </c>
      <c r="W130" s="718">
        <f t="shared" si="52"/>
        <v>6.68</v>
      </c>
      <c r="X130" s="718">
        <f t="shared" si="52"/>
        <v>6.68</v>
      </c>
      <c r="Y130" s="718">
        <f t="shared" si="52"/>
        <v>6.68</v>
      </c>
      <c r="Z130" s="718">
        <f t="shared" si="52"/>
        <v>6.68</v>
      </c>
      <c r="AA130" s="718">
        <f t="shared" si="52"/>
        <v>6.68</v>
      </c>
      <c r="AB130" s="718">
        <f t="shared" si="52"/>
        <v>6.68</v>
      </c>
      <c r="AC130" s="718">
        <f t="shared" si="52"/>
        <v>6.68</v>
      </c>
      <c r="AD130" s="718">
        <f t="shared" si="52"/>
        <v>6.68</v>
      </c>
      <c r="AE130" s="718">
        <f t="shared" si="52"/>
        <v>6.68</v>
      </c>
      <c r="AF130" s="718">
        <f t="shared" si="52"/>
        <v>6.68</v>
      </c>
      <c r="AG130" s="718">
        <f t="shared" si="52"/>
        <v>6.68</v>
      </c>
      <c r="AH130" s="718">
        <f t="shared" si="52"/>
        <v>6.68</v>
      </c>
      <c r="AI130" s="718">
        <f t="shared" si="52"/>
        <v>6.68</v>
      </c>
      <c r="AJ130" s="718">
        <f t="shared" si="52"/>
        <v>6.68</v>
      </c>
      <c r="AK130" s="718">
        <f t="shared" si="52"/>
        <v>6.68</v>
      </c>
      <c r="AL130" s="718"/>
      <c r="AM130" s="718"/>
      <c r="AN130" s="718"/>
      <c r="AO130" s="718"/>
      <c r="AP130" s="718"/>
      <c r="AQ130" s="718"/>
      <c r="AR130" s="718"/>
      <c r="AS130" s="718"/>
      <c r="AT130" s="718"/>
      <c r="AU130" s="718"/>
      <c r="AV130" s="718"/>
      <c r="AW130" s="718"/>
      <c r="AX130" s="718"/>
      <c r="AY130" s="718"/>
      <c r="AZ130" s="718"/>
      <c r="BA130" s="718"/>
      <c r="BB130" s="718"/>
      <c r="BC130" s="718"/>
      <c r="BD130" s="718"/>
      <c r="BE130" s="718"/>
      <c r="BF130" s="718"/>
      <c r="BG130" s="718"/>
      <c r="BH130" s="718"/>
      <c r="BI130" s="718"/>
      <c r="BJ130" s="718"/>
      <c r="BK130" s="718"/>
      <c r="BL130" s="718"/>
      <c r="BM130" s="718"/>
      <c r="BN130" s="718"/>
      <c r="BO130" s="718"/>
      <c r="BP130" s="718"/>
      <c r="BQ130" s="718"/>
      <c r="BR130" s="718"/>
      <c r="BS130" s="718"/>
      <c r="BT130" s="718"/>
      <c r="BU130" s="718"/>
      <c r="BV130" s="718"/>
      <c r="BW130" s="718"/>
      <c r="BX130" s="718"/>
      <c r="BY130" s="718"/>
      <c r="BZ130" s="718"/>
      <c r="CA130" s="718"/>
      <c r="CB130" s="718"/>
      <c r="CC130" s="718"/>
      <c r="CD130" s="718"/>
      <c r="CE130" s="718"/>
      <c r="CF130" s="718"/>
      <c r="CG130" s="718"/>
      <c r="CH130" s="718"/>
      <c r="CI130" s="719"/>
      <c r="CJ130" s="1543"/>
      <c r="CK130" s="1296"/>
    </row>
    <row r="131" spans="2:89" x14ac:dyDescent="0.2">
      <c r="B131" s="722" t="s">
        <v>698</v>
      </c>
      <c r="C131" s="723" t="s">
        <v>387</v>
      </c>
      <c r="D131" s="723" t="s">
        <v>699</v>
      </c>
      <c r="E131" s="724" t="s">
        <v>236</v>
      </c>
      <c r="F131" s="717">
        <v>2</v>
      </c>
      <c r="G131" s="569">
        <f>(G128)-(G129+G130)</f>
        <v>0</v>
      </c>
      <c r="H131" s="569">
        <f t="shared" ref="H131:AK131" si="53">(H128)-(H129+H130)</f>
        <v>0</v>
      </c>
      <c r="I131" s="569">
        <f t="shared" si="53"/>
        <v>62.37047941659749</v>
      </c>
      <c r="J131" s="569">
        <f t="shared" si="53"/>
        <v>62.244463325513252</v>
      </c>
      <c r="K131" s="569">
        <f t="shared" si="53"/>
        <v>62.229186726943766</v>
      </c>
      <c r="L131" s="569">
        <f>(L128)-(L129+L130)</f>
        <v>62.181346538898467</v>
      </c>
      <c r="M131" s="569">
        <f t="shared" si="53"/>
        <v>62.077617431382066</v>
      </c>
      <c r="N131" s="569">
        <f t="shared" si="53"/>
        <v>62.07828786734126</v>
      </c>
      <c r="O131" s="569">
        <f t="shared" si="53"/>
        <v>61.886045224836323</v>
      </c>
      <c r="P131" s="569">
        <f t="shared" si="53"/>
        <v>61.696912811138205</v>
      </c>
      <c r="Q131" s="569">
        <f t="shared" si="53"/>
        <v>63.718901008484949</v>
      </c>
      <c r="R131" s="569">
        <f t="shared" si="53"/>
        <v>60.882664003734575</v>
      </c>
      <c r="S131" s="569">
        <f t="shared" si="53"/>
        <v>60.866685269496102</v>
      </c>
      <c r="T131" s="569">
        <f t="shared" si="53"/>
        <v>69.98973079980189</v>
      </c>
      <c r="U131" s="569">
        <f t="shared" si="53"/>
        <v>69.956556552920347</v>
      </c>
      <c r="V131" s="569">
        <f t="shared" si="53"/>
        <v>69.935590057049836</v>
      </c>
      <c r="W131" s="569">
        <f t="shared" si="53"/>
        <v>69.920038220408316</v>
      </c>
      <c r="X131" s="569">
        <f t="shared" si="53"/>
        <v>69.904927166685866</v>
      </c>
      <c r="Y131" s="569">
        <f t="shared" si="53"/>
        <v>69.890000467199926</v>
      </c>
      <c r="Z131" s="569">
        <f t="shared" si="53"/>
        <v>69.876334771891734</v>
      </c>
      <c r="AA131" s="569">
        <f t="shared" si="53"/>
        <v>69.863382773915333</v>
      </c>
      <c r="AB131" s="569">
        <f t="shared" si="53"/>
        <v>74.447996150671173</v>
      </c>
      <c r="AC131" s="569">
        <f t="shared" si="53"/>
        <v>74.435210090048912</v>
      </c>
      <c r="AD131" s="569">
        <f t="shared" si="53"/>
        <v>74.423579372416498</v>
      </c>
      <c r="AE131" s="569">
        <f t="shared" si="53"/>
        <v>74.421924877134472</v>
      </c>
      <c r="AF131" s="569">
        <f t="shared" si="53"/>
        <v>74.420318767198438</v>
      </c>
      <c r="AG131" s="569">
        <f t="shared" si="53"/>
        <v>59.108565480968508</v>
      </c>
      <c r="AH131" s="569">
        <f t="shared" si="53"/>
        <v>59.107371908916505</v>
      </c>
      <c r="AI131" s="569">
        <f t="shared" si="53"/>
        <v>59.106007696193757</v>
      </c>
      <c r="AJ131" s="569">
        <f t="shared" si="53"/>
        <v>59.104816892162333</v>
      </c>
      <c r="AK131" s="569">
        <f t="shared" si="53"/>
        <v>59.103081499644901</v>
      </c>
      <c r="AL131" s="569"/>
      <c r="AM131" s="569"/>
      <c r="AN131" s="569"/>
      <c r="AO131" s="569"/>
      <c r="AP131" s="569"/>
      <c r="AQ131" s="569"/>
      <c r="AR131" s="569"/>
      <c r="AS131" s="569"/>
      <c r="AT131" s="569"/>
      <c r="AU131" s="569"/>
      <c r="AV131" s="569"/>
      <c r="AW131" s="569"/>
      <c r="AX131" s="569"/>
      <c r="AY131" s="569"/>
      <c r="AZ131" s="569"/>
      <c r="BA131" s="569"/>
      <c r="BB131" s="569"/>
      <c r="BC131" s="569"/>
      <c r="BD131" s="569"/>
      <c r="BE131" s="569"/>
      <c r="BF131" s="569"/>
      <c r="BG131" s="569"/>
      <c r="BH131" s="569"/>
      <c r="BI131" s="569"/>
      <c r="BJ131" s="569"/>
      <c r="BK131" s="569"/>
      <c r="BL131" s="569"/>
      <c r="BM131" s="569"/>
      <c r="BN131" s="569"/>
      <c r="BO131" s="569"/>
      <c r="BP131" s="569"/>
      <c r="BQ131" s="569"/>
      <c r="BR131" s="569"/>
      <c r="BS131" s="569"/>
      <c r="BT131" s="569"/>
      <c r="BU131" s="569"/>
      <c r="BV131" s="569"/>
      <c r="BW131" s="569"/>
      <c r="BX131" s="569"/>
      <c r="BY131" s="569"/>
      <c r="BZ131" s="569"/>
      <c r="CA131" s="569"/>
      <c r="CB131" s="569"/>
      <c r="CC131" s="569"/>
      <c r="CD131" s="569"/>
      <c r="CE131" s="569"/>
      <c r="CF131" s="569"/>
      <c r="CG131" s="569"/>
      <c r="CH131" s="569"/>
      <c r="CI131" s="569"/>
      <c r="CJ131" s="1543"/>
      <c r="CK131" s="1296"/>
    </row>
    <row r="132" spans="2:89" ht="33.75" customHeight="1" thickBot="1" x14ac:dyDescent="0.25">
      <c r="B132" s="725" t="s">
        <v>700</v>
      </c>
      <c r="C132" s="726" t="s">
        <v>390</v>
      </c>
      <c r="D132" s="726" t="s">
        <v>701</v>
      </c>
      <c r="E132" s="727" t="s">
        <v>236</v>
      </c>
      <c r="F132" s="728">
        <v>2</v>
      </c>
      <c r="G132" s="729">
        <f t="shared" ref="G132:AK132" si="54">G131+SUM(G124:G127)</f>
        <v>0</v>
      </c>
      <c r="H132" s="729">
        <f t="shared" si="54"/>
        <v>0</v>
      </c>
      <c r="I132" s="729">
        <f t="shared" si="54"/>
        <v>59.910479416597489</v>
      </c>
      <c r="J132" s="729">
        <f t="shared" si="54"/>
        <v>59.784463325513251</v>
      </c>
      <c r="K132" s="729">
        <f t="shared" si="54"/>
        <v>59.769186726943765</v>
      </c>
      <c r="L132" s="729">
        <f t="shared" si="54"/>
        <v>59.721346538898466</v>
      </c>
      <c r="M132" s="729">
        <f t="shared" si="54"/>
        <v>59.617617431382065</v>
      </c>
      <c r="N132" s="729">
        <f t="shared" si="54"/>
        <v>58.961469104569453</v>
      </c>
      <c r="O132" s="729">
        <f t="shared" si="54"/>
        <v>58.806990129163907</v>
      </c>
      <c r="P132" s="729">
        <f t="shared" si="54"/>
        <v>56.687931597862871</v>
      </c>
      <c r="Q132" s="729">
        <f t="shared" si="54"/>
        <v>58.873637568374832</v>
      </c>
      <c r="R132" s="729">
        <f>R131+SUM(R124:R127)</f>
        <v>54.815483669173368</v>
      </c>
      <c r="S132" s="729">
        <f t="shared" si="54"/>
        <v>55.113767296611641</v>
      </c>
      <c r="T132" s="729">
        <f t="shared" si="54"/>
        <v>58.293027950544854</v>
      </c>
      <c r="U132" s="729">
        <f t="shared" si="54"/>
        <v>58.403130729699072</v>
      </c>
      <c r="V132" s="729">
        <f t="shared" si="54"/>
        <v>58.553117483788668</v>
      </c>
      <c r="W132" s="729">
        <f t="shared" si="54"/>
        <v>58.643502878253457</v>
      </c>
      <c r="X132" s="729">
        <f t="shared" si="54"/>
        <v>58.706287491074292</v>
      </c>
      <c r="Y132" s="729">
        <f t="shared" si="54"/>
        <v>58.775588543078442</v>
      </c>
      <c r="Z132" s="729">
        <f t="shared" si="54"/>
        <v>58.807207864234073</v>
      </c>
      <c r="AA132" s="729">
        <f t="shared" si="54"/>
        <v>58.847436313223263</v>
      </c>
      <c r="AB132" s="729">
        <f t="shared" si="54"/>
        <v>62.733603875993353</v>
      </c>
      <c r="AC132" s="729">
        <f t="shared" si="54"/>
        <v>62.781193825261113</v>
      </c>
      <c r="AD132" s="729">
        <f t="shared" si="54"/>
        <v>62.838831651931073</v>
      </c>
      <c r="AE132" s="729">
        <f t="shared" si="54"/>
        <v>62.868407622966394</v>
      </c>
      <c r="AF132" s="729">
        <f t="shared" si="54"/>
        <v>62.875523008684553</v>
      </c>
      <c r="AG132" s="729">
        <f t="shared" si="54"/>
        <v>46.104037490722362</v>
      </c>
      <c r="AH132" s="729">
        <f t="shared" si="54"/>
        <v>46.102324044515946</v>
      </c>
      <c r="AI132" s="729">
        <f t="shared" si="54"/>
        <v>46.102597828193893</v>
      </c>
      <c r="AJ132" s="729">
        <f t="shared" si="54"/>
        <v>46.082327632301897</v>
      </c>
      <c r="AK132" s="729">
        <f t="shared" si="54"/>
        <v>46.076526834759115</v>
      </c>
      <c r="AL132" s="729"/>
      <c r="AM132" s="729"/>
      <c r="AN132" s="729"/>
      <c r="AO132" s="729"/>
      <c r="AP132" s="729"/>
      <c r="AQ132" s="729"/>
      <c r="AR132" s="729"/>
      <c r="AS132" s="729"/>
      <c r="AT132" s="729"/>
      <c r="AU132" s="729"/>
      <c r="AV132" s="729"/>
      <c r="AW132" s="729"/>
      <c r="AX132" s="729"/>
      <c r="AY132" s="729"/>
      <c r="AZ132" s="729"/>
      <c r="BA132" s="729"/>
      <c r="BB132" s="729"/>
      <c r="BC132" s="729"/>
      <c r="BD132" s="729"/>
      <c r="BE132" s="729"/>
      <c r="BF132" s="729"/>
      <c r="BG132" s="729"/>
      <c r="BH132" s="729"/>
      <c r="BI132" s="729"/>
      <c r="BJ132" s="729"/>
      <c r="BK132" s="729"/>
      <c r="BL132" s="729"/>
      <c r="BM132" s="729"/>
      <c r="BN132" s="729"/>
      <c r="BO132" s="729"/>
      <c r="BP132" s="729"/>
      <c r="BQ132" s="729"/>
      <c r="BR132" s="729"/>
      <c r="BS132" s="729"/>
      <c r="BT132" s="729"/>
      <c r="BU132" s="729"/>
      <c r="BV132" s="729"/>
      <c r="BW132" s="729"/>
      <c r="BX132" s="729"/>
      <c r="BY132" s="729"/>
      <c r="BZ132" s="729"/>
      <c r="CA132" s="729"/>
      <c r="CB132" s="729"/>
      <c r="CC132" s="729"/>
      <c r="CD132" s="729"/>
      <c r="CE132" s="729"/>
      <c r="CF132" s="729"/>
      <c r="CG132" s="729"/>
      <c r="CH132" s="729"/>
      <c r="CI132" s="729"/>
      <c r="CJ132" s="1543"/>
      <c r="CK132" s="1296"/>
    </row>
    <row r="133" spans="2:89" x14ac:dyDescent="0.2">
      <c r="B133" s="730" t="s">
        <v>702</v>
      </c>
      <c r="C133" s="732" t="s">
        <v>489</v>
      </c>
      <c r="D133" s="732" t="s">
        <v>703</v>
      </c>
      <c r="E133" s="733" t="s">
        <v>236</v>
      </c>
      <c r="F133" s="734">
        <v>2</v>
      </c>
      <c r="G133" s="735">
        <f t="shared" ref="G133:AK133" si="55">G43+G107</f>
        <v>0</v>
      </c>
      <c r="H133" s="735">
        <f t="shared" si="55"/>
        <v>0</v>
      </c>
      <c r="I133" s="735">
        <f>I43+I107</f>
        <v>10.656479066524145</v>
      </c>
      <c r="J133" s="735">
        <f t="shared" si="55"/>
        <v>11.878841553703264</v>
      </c>
      <c r="K133" s="735">
        <f t="shared" si="55"/>
        <v>13.247905575158232</v>
      </c>
      <c r="L133" s="735">
        <f t="shared" si="55"/>
        <v>13.997149992446891</v>
      </c>
      <c r="M133" s="736">
        <f t="shared" si="55"/>
        <v>14.605886001793341</v>
      </c>
      <c r="N133" s="736">
        <f t="shared" si="55"/>
        <v>14.755092602175132</v>
      </c>
      <c r="O133" s="736">
        <f t="shared" si="55"/>
        <v>16.825485281194553</v>
      </c>
      <c r="P133" s="736">
        <f t="shared" si="55"/>
        <v>16.811954102642641</v>
      </c>
      <c r="Q133" s="736">
        <f t="shared" si="55"/>
        <v>16.793972541386069</v>
      </c>
      <c r="R133" s="736">
        <f t="shared" si="55"/>
        <v>16.714378622802748</v>
      </c>
      <c r="S133" s="736">
        <f t="shared" si="55"/>
        <v>16.630010868590738</v>
      </c>
      <c r="T133" s="736">
        <f t="shared" si="55"/>
        <v>16.545365322870431</v>
      </c>
      <c r="U133" s="736">
        <f t="shared" si="55"/>
        <v>16.46032581342498</v>
      </c>
      <c r="V133" s="736">
        <f t="shared" si="55"/>
        <v>16.374761441127546</v>
      </c>
      <c r="W133" s="736">
        <f t="shared" si="55"/>
        <v>16.295972449923497</v>
      </c>
      <c r="X133" s="736">
        <f t="shared" si="55"/>
        <v>16.215506873268776</v>
      </c>
      <c r="Y133" s="736">
        <f t="shared" si="55"/>
        <v>16.134324496719287</v>
      </c>
      <c r="Z133" s="736">
        <f t="shared" si="55"/>
        <v>16.178726442458906</v>
      </c>
      <c r="AA133" s="736">
        <f t="shared" si="55"/>
        <v>16.222777234760656</v>
      </c>
      <c r="AB133" s="736">
        <f t="shared" si="55"/>
        <v>16.266687743805768</v>
      </c>
      <c r="AC133" s="736">
        <f t="shared" si="55"/>
        <v>16.309463741608482</v>
      </c>
      <c r="AD133" s="736">
        <f t="shared" si="55"/>
        <v>16.351431453457902</v>
      </c>
      <c r="AE133" s="736">
        <f t="shared" si="55"/>
        <v>16.392547553859586</v>
      </c>
      <c r="AF133" s="736">
        <f t="shared" si="55"/>
        <v>16.432784590396395</v>
      </c>
      <c r="AG133" s="736">
        <f t="shared" si="55"/>
        <v>16.472123702851935</v>
      </c>
      <c r="AH133" s="736">
        <f t="shared" si="55"/>
        <v>16.510721928142203</v>
      </c>
      <c r="AI133" s="736">
        <f t="shared" si="55"/>
        <v>16.548673979614328</v>
      </c>
      <c r="AJ133" s="736">
        <f t="shared" si="55"/>
        <v>16.585993068191115</v>
      </c>
      <c r="AK133" s="736">
        <f t="shared" si="55"/>
        <v>16.622671034942979</v>
      </c>
      <c r="AL133" s="736"/>
      <c r="AM133" s="736"/>
      <c r="AN133" s="736"/>
      <c r="AO133" s="736"/>
      <c r="AP133" s="736"/>
      <c r="AQ133" s="736"/>
      <c r="AR133" s="736"/>
      <c r="AS133" s="736"/>
      <c r="AT133" s="736"/>
      <c r="AU133" s="736"/>
      <c r="AV133" s="736"/>
      <c r="AW133" s="736"/>
      <c r="AX133" s="736"/>
      <c r="AY133" s="736"/>
      <c r="AZ133" s="736"/>
      <c r="BA133" s="736"/>
      <c r="BB133" s="736"/>
      <c r="BC133" s="736"/>
      <c r="BD133" s="736"/>
      <c r="BE133" s="736"/>
      <c r="BF133" s="736"/>
      <c r="BG133" s="736"/>
      <c r="BH133" s="736"/>
      <c r="BI133" s="736"/>
      <c r="BJ133" s="736"/>
      <c r="BK133" s="736"/>
      <c r="BL133" s="736"/>
      <c r="BM133" s="736"/>
      <c r="BN133" s="736"/>
      <c r="BO133" s="736"/>
      <c r="BP133" s="736"/>
      <c r="BQ133" s="736"/>
      <c r="BR133" s="736"/>
      <c r="BS133" s="736"/>
      <c r="BT133" s="736"/>
      <c r="BU133" s="736"/>
      <c r="BV133" s="736"/>
      <c r="BW133" s="736"/>
      <c r="BX133" s="736"/>
      <c r="BY133" s="736"/>
      <c r="BZ133" s="736"/>
      <c r="CA133" s="736"/>
      <c r="CB133" s="736"/>
      <c r="CC133" s="736"/>
      <c r="CD133" s="736"/>
      <c r="CE133" s="736"/>
      <c r="CF133" s="736"/>
      <c r="CG133" s="736"/>
      <c r="CH133" s="736"/>
      <c r="CI133" s="737"/>
      <c r="CJ133" s="1543"/>
      <c r="CK133" s="1296"/>
    </row>
    <row r="134" spans="2:89" x14ac:dyDescent="0.2">
      <c r="B134" s="1043" t="s">
        <v>704</v>
      </c>
      <c r="C134" s="1044" t="s">
        <v>705</v>
      </c>
      <c r="D134" s="1045" t="s">
        <v>86</v>
      </c>
      <c r="E134" s="1046" t="s">
        <v>236</v>
      </c>
      <c r="F134" s="1047">
        <v>2</v>
      </c>
      <c r="G134" s="540"/>
      <c r="H134" s="1008"/>
      <c r="I134" s="1008">
        <v>0</v>
      </c>
      <c r="J134" s="1008">
        <v>0</v>
      </c>
      <c r="K134" s="1008">
        <v>0</v>
      </c>
      <c r="L134" s="1008">
        <v>0</v>
      </c>
      <c r="M134" s="1344">
        <v>0</v>
      </c>
      <c r="N134" s="1344">
        <v>0</v>
      </c>
      <c r="O134" s="1344">
        <v>0</v>
      </c>
      <c r="P134" s="1344">
        <v>0</v>
      </c>
      <c r="Q134" s="1344">
        <v>0</v>
      </c>
      <c r="R134" s="1344">
        <v>0</v>
      </c>
      <c r="S134" s="1344">
        <v>0</v>
      </c>
      <c r="T134" s="1344">
        <v>0</v>
      </c>
      <c r="U134" s="1344">
        <v>0</v>
      </c>
      <c r="V134" s="1344">
        <v>0</v>
      </c>
      <c r="W134" s="1344">
        <v>0</v>
      </c>
      <c r="X134" s="1344">
        <v>0</v>
      </c>
      <c r="Y134" s="1344">
        <v>0</v>
      </c>
      <c r="Z134" s="1344">
        <v>0</v>
      </c>
      <c r="AA134" s="1344">
        <v>0</v>
      </c>
      <c r="AB134" s="1344">
        <v>0</v>
      </c>
      <c r="AC134" s="1344">
        <v>0</v>
      </c>
      <c r="AD134" s="1344">
        <v>0</v>
      </c>
      <c r="AE134" s="1344">
        <v>0</v>
      </c>
      <c r="AF134" s="1344">
        <v>0</v>
      </c>
      <c r="AG134" s="1344">
        <v>0</v>
      </c>
      <c r="AH134" s="1344">
        <v>0</v>
      </c>
      <c r="AI134" s="1344">
        <v>0</v>
      </c>
      <c r="AJ134" s="1344">
        <v>0</v>
      </c>
      <c r="AK134" s="1344">
        <v>0</v>
      </c>
      <c r="AL134" s="1344"/>
      <c r="AM134" s="1344"/>
      <c r="AN134" s="1344"/>
      <c r="AO134" s="1344"/>
      <c r="AP134" s="1344"/>
      <c r="AQ134" s="1344"/>
      <c r="AR134" s="1344"/>
      <c r="AS134" s="1344"/>
      <c r="AT134" s="1344"/>
      <c r="AU134" s="1344"/>
      <c r="AV134" s="1344"/>
      <c r="AW134" s="1344"/>
      <c r="AX134" s="1344"/>
      <c r="AY134" s="1344"/>
      <c r="AZ134" s="1344"/>
      <c r="BA134" s="1344"/>
      <c r="BB134" s="1344"/>
      <c r="BC134" s="1344"/>
      <c r="BD134" s="1344"/>
      <c r="BE134" s="1344"/>
      <c r="BF134" s="1344"/>
      <c r="BG134" s="1344"/>
      <c r="BH134" s="1344"/>
      <c r="BI134" s="1344"/>
      <c r="BJ134" s="1344"/>
      <c r="BK134" s="1344"/>
      <c r="BL134" s="1344"/>
      <c r="BM134" s="1344"/>
      <c r="BN134" s="1344"/>
      <c r="BO134" s="1344"/>
      <c r="BP134" s="1344"/>
      <c r="BQ134" s="1344"/>
      <c r="BR134" s="1344"/>
      <c r="BS134" s="1344"/>
      <c r="BT134" s="1344"/>
      <c r="BU134" s="1344"/>
      <c r="BV134" s="1344"/>
      <c r="BW134" s="1344"/>
      <c r="BX134" s="1344"/>
      <c r="BY134" s="1344"/>
      <c r="BZ134" s="1344"/>
      <c r="CA134" s="1344"/>
      <c r="CB134" s="1344"/>
      <c r="CC134" s="1344"/>
      <c r="CD134" s="1344"/>
      <c r="CE134" s="1344"/>
      <c r="CF134" s="1344"/>
      <c r="CG134" s="1344"/>
      <c r="CH134" s="1344"/>
      <c r="CI134" s="1344"/>
      <c r="CJ134" s="1543"/>
      <c r="CK134" s="1296"/>
    </row>
    <row r="135" spans="2:89" x14ac:dyDescent="0.2">
      <c r="B135" s="1043" t="s">
        <v>706</v>
      </c>
      <c r="C135" s="1044" t="s">
        <v>493</v>
      </c>
      <c r="D135" s="1045" t="s">
        <v>707</v>
      </c>
      <c r="E135" s="1046" t="s">
        <v>236</v>
      </c>
      <c r="F135" s="1047">
        <v>2</v>
      </c>
      <c r="G135" s="569">
        <f t="shared" ref="G135:AK135" si="56">G45+G108</f>
        <v>0</v>
      </c>
      <c r="H135" s="569">
        <f t="shared" si="56"/>
        <v>0</v>
      </c>
      <c r="I135" s="569">
        <f t="shared" si="56"/>
        <v>5.8633642871295341E-2</v>
      </c>
      <c r="J135" s="569">
        <f t="shared" si="56"/>
        <v>6.049951934306496E-2</v>
      </c>
      <c r="K135" s="569">
        <f t="shared" si="56"/>
        <v>5.9692865991587525E-2</v>
      </c>
      <c r="L135" s="569">
        <f t="shared" si="56"/>
        <v>3.5939893013429834E-2</v>
      </c>
      <c r="M135" s="718">
        <f t="shared" si="56"/>
        <v>1.6836612571998786E-2</v>
      </c>
      <c r="N135" s="718">
        <f t="shared" si="56"/>
        <v>1.6422803518102446E-2</v>
      </c>
      <c r="O135" s="718">
        <f t="shared" si="56"/>
        <v>1.6009365421577777E-2</v>
      </c>
      <c r="P135" s="718">
        <f t="shared" si="56"/>
        <v>1.5596298282424783E-2</v>
      </c>
      <c r="Q135" s="718">
        <f t="shared" si="56"/>
        <v>1.5183602100643463E-2</v>
      </c>
      <c r="R135" s="718">
        <f t="shared" si="56"/>
        <v>1.4771276876233818E-2</v>
      </c>
      <c r="S135" s="718">
        <f t="shared" si="56"/>
        <v>1.4359322609195846E-2</v>
      </c>
      <c r="T135" s="718">
        <f t="shared" si="56"/>
        <v>1.3947739299529549E-2</v>
      </c>
      <c r="U135" s="718">
        <f t="shared" si="56"/>
        <v>1.3536526947234923E-2</v>
      </c>
      <c r="V135" s="718">
        <f t="shared" si="56"/>
        <v>1.3530324913712383E-2</v>
      </c>
      <c r="W135" s="718">
        <f t="shared" si="56"/>
        <v>1.3524122880189842E-2</v>
      </c>
      <c r="X135" s="718">
        <f t="shared" si="56"/>
        <v>1.3517920846667303E-2</v>
      </c>
      <c r="Y135" s="718">
        <f t="shared" si="56"/>
        <v>1.3511718813144762E-2</v>
      </c>
      <c r="Z135" s="718">
        <f t="shared" si="56"/>
        <v>1.3505516779622223E-2</v>
      </c>
      <c r="AA135" s="718">
        <f t="shared" si="56"/>
        <v>1.3499314746099684E-2</v>
      </c>
      <c r="AB135" s="718">
        <f t="shared" si="56"/>
        <v>1.3493112712577143E-2</v>
      </c>
      <c r="AC135" s="718">
        <f t="shared" si="56"/>
        <v>1.3486910679054604E-2</v>
      </c>
      <c r="AD135" s="718">
        <f t="shared" si="56"/>
        <v>1.3480708645532063E-2</v>
      </c>
      <c r="AE135" s="718">
        <f t="shared" si="56"/>
        <v>1.3474506612009524E-2</v>
      </c>
      <c r="AF135" s="718">
        <f t="shared" si="56"/>
        <v>1.3468304578486984E-2</v>
      </c>
      <c r="AG135" s="718">
        <f t="shared" si="56"/>
        <v>1.3462102544964443E-2</v>
      </c>
      <c r="AH135" s="718">
        <f t="shared" si="56"/>
        <v>1.3455900511441904E-2</v>
      </c>
      <c r="AI135" s="718">
        <f t="shared" si="56"/>
        <v>1.3449698477919365E-2</v>
      </c>
      <c r="AJ135" s="718">
        <f t="shared" si="56"/>
        <v>1.3443496444396824E-2</v>
      </c>
      <c r="AK135" s="718">
        <f t="shared" si="56"/>
        <v>1.3437294410874285E-2</v>
      </c>
      <c r="AL135" s="718"/>
      <c r="AM135" s="718"/>
      <c r="AN135" s="718"/>
      <c r="AO135" s="718"/>
      <c r="AP135" s="718"/>
      <c r="AQ135" s="718"/>
      <c r="AR135" s="718"/>
      <c r="AS135" s="718"/>
      <c r="AT135" s="718"/>
      <c r="AU135" s="718"/>
      <c r="AV135" s="718"/>
      <c r="AW135" s="718"/>
      <c r="AX135" s="718"/>
      <c r="AY135" s="718"/>
      <c r="AZ135" s="718"/>
      <c r="BA135" s="718"/>
      <c r="BB135" s="718"/>
      <c r="BC135" s="718"/>
      <c r="BD135" s="718"/>
      <c r="BE135" s="718"/>
      <c r="BF135" s="718"/>
      <c r="BG135" s="718"/>
      <c r="BH135" s="718"/>
      <c r="BI135" s="718"/>
      <c r="BJ135" s="718"/>
      <c r="BK135" s="718"/>
      <c r="BL135" s="718"/>
      <c r="BM135" s="718"/>
      <c r="BN135" s="718"/>
      <c r="BO135" s="718"/>
      <c r="BP135" s="718"/>
      <c r="BQ135" s="718"/>
      <c r="BR135" s="718"/>
      <c r="BS135" s="718"/>
      <c r="BT135" s="718"/>
      <c r="BU135" s="718"/>
      <c r="BV135" s="718"/>
      <c r="BW135" s="718"/>
      <c r="BX135" s="718"/>
      <c r="BY135" s="718"/>
      <c r="BZ135" s="718"/>
      <c r="CA135" s="718"/>
      <c r="CB135" s="718"/>
      <c r="CC135" s="718"/>
      <c r="CD135" s="718"/>
      <c r="CE135" s="718"/>
      <c r="CF135" s="718"/>
      <c r="CG135" s="718"/>
      <c r="CH135" s="718"/>
      <c r="CI135" s="719"/>
      <c r="CJ135" s="1543"/>
      <c r="CK135" s="1296"/>
    </row>
    <row r="136" spans="2:89" x14ac:dyDescent="0.2">
      <c r="B136" s="738" t="s">
        <v>708</v>
      </c>
      <c r="C136" s="739" t="s">
        <v>495</v>
      </c>
      <c r="D136" s="740" t="s">
        <v>709</v>
      </c>
      <c r="E136" s="741" t="s">
        <v>236</v>
      </c>
      <c r="F136" s="742">
        <v>2</v>
      </c>
      <c r="G136" s="569">
        <f t="shared" ref="G136:AK136" si="57">G46+G109</f>
        <v>0</v>
      </c>
      <c r="H136" s="569">
        <f t="shared" si="57"/>
        <v>0</v>
      </c>
      <c r="I136" s="569">
        <f t="shared" si="57"/>
        <v>17.798118212161938</v>
      </c>
      <c r="J136" s="569">
        <f t="shared" si="57"/>
        <v>17.580882897895151</v>
      </c>
      <c r="K136" s="569">
        <f t="shared" si="57"/>
        <v>17.563287695161762</v>
      </c>
      <c r="L136" s="569">
        <f t="shared" si="57"/>
        <v>17.825373093549807</v>
      </c>
      <c r="M136" s="718">
        <f t="shared" si="57"/>
        <v>18.316313603686456</v>
      </c>
      <c r="N136" s="718">
        <f t="shared" si="57"/>
        <v>19.500751854535146</v>
      </c>
      <c r="O136" s="718">
        <f t="shared" si="57"/>
        <v>21.19475376365363</v>
      </c>
      <c r="P136" s="718">
        <f t="shared" si="57"/>
        <v>23.791018917639661</v>
      </c>
      <c r="Q136" s="718">
        <f t="shared" si="57"/>
        <v>25.624423409507173</v>
      </c>
      <c r="R136" s="718">
        <f t="shared" si="57"/>
        <v>26.107972150627873</v>
      </c>
      <c r="S136" s="718">
        <f t="shared" si="57"/>
        <v>25.955066593060067</v>
      </c>
      <c r="T136" s="718">
        <f t="shared" si="57"/>
        <v>25.689221067965729</v>
      </c>
      <c r="U136" s="718">
        <f t="shared" si="57"/>
        <v>25.36084584052638</v>
      </c>
      <c r="V136" s="718">
        <f t="shared" si="57"/>
        <v>25.157287892174594</v>
      </c>
      <c r="W136" s="718">
        <f t="shared" si="57"/>
        <v>25.009432698956402</v>
      </c>
      <c r="X136" s="718">
        <f t="shared" si="57"/>
        <v>24.8688064733924</v>
      </c>
      <c r="Y136" s="718">
        <f t="shared" si="57"/>
        <v>24.729520688332766</v>
      </c>
      <c r="Z136" s="718">
        <f t="shared" si="57"/>
        <v>24.602472482577415</v>
      </c>
      <c r="AA136" s="718">
        <f t="shared" si="57"/>
        <v>24.482162571590905</v>
      </c>
      <c r="AB136" s="718">
        <f t="shared" si="57"/>
        <v>24.336267352494914</v>
      </c>
      <c r="AC136" s="718">
        <f t="shared" si="57"/>
        <v>24.216474945615627</v>
      </c>
      <c r="AD136" s="718">
        <f t="shared" si="57"/>
        <v>24.107782664326287</v>
      </c>
      <c r="AE136" s="718">
        <f t="shared" si="57"/>
        <v>24.099136626402601</v>
      </c>
      <c r="AF136" s="718">
        <f t="shared" si="57"/>
        <v>24.090573530316334</v>
      </c>
      <c r="AG136" s="718">
        <f t="shared" si="57"/>
        <v>24.080040484772375</v>
      </c>
      <c r="AH136" s="718">
        <f t="shared" si="57"/>
        <v>24.074766357935911</v>
      </c>
      <c r="AI136" s="718">
        <f t="shared" si="57"/>
        <v>24.067408413690089</v>
      </c>
      <c r="AJ136" s="718">
        <f t="shared" si="57"/>
        <v>24.061456081960515</v>
      </c>
      <c r="AK136" s="718">
        <f t="shared" si="57"/>
        <v>24.049681959335761</v>
      </c>
      <c r="AL136" s="718"/>
      <c r="AM136" s="718"/>
      <c r="AN136" s="718"/>
      <c r="AO136" s="718"/>
      <c r="AP136" s="718"/>
      <c r="AQ136" s="718"/>
      <c r="AR136" s="718"/>
      <c r="AS136" s="718"/>
      <c r="AT136" s="718"/>
      <c r="AU136" s="718"/>
      <c r="AV136" s="718"/>
      <c r="AW136" s="718"/>
      <c r="AX136" s="718"/>
      <c r="AY136" s="718"/>
      <c r="AZ136" s="718"/>
      <c r="BA136" s="718"/>
      <c r="BB136" s="718"/>
      <c r="BC136" s="718"/>
      <c r="BD136" s="718"/>
      <c r="BE136" s="718"/>
      <c r="BF136" s="718"/>
      <c r="BG136" s="718"/>
      <c r="BH136" s="718"/>
      <c r="BI136" s="718"/>
      <c r="BJ136" s="718"/>
      <c r="BK136" s="718"/>
      <c r="BL136" s="718"/>
      <c r="BM136" s="718"/>
      <c r="BN136" s="718"/>
      <c r="BO136" s="718"/>
      <c r="BP136" s="718"/>
      <c r="BQ136" s="718"/>
      <c r="BR136" s="718"/>
      <c r="BS136" s="718"/>
      <c r="BT136" s="718"/>
      <c r="BU136" s="718"/>
      <c r="BV136" s="718"/>
      <c r="BW136" s="718"/>
      <c r="BX136" s="718"/>
      <c r="BY136" s="718"/>
      <c r="BZ136" s="718"/>
      <c r="CA136" s="718"/>
      <c r="CB136" s="718"/>
      <c r="CC136" s="718"/>
      <c r="CD136" s="718"/>
      <c r="CE136" s="718"/>
      <c r="CF136" s="718"/>
      <c r="CG136" s="718"/>
      <c r="CH136" s="718"/>
      <c r="CI136" s="719"/>
      <c r="CJ136" s="1543"/>
      <c r="CK136" s="1296"/>
    </row>
    <row r="137" spans="2:89" x14ac:dyDescent="0.2">
      <c r="B137" s="738" t="s">
        <v>710</v>
      </c>
      <c r="C137" s="739" t="s">
        <v>497</v>
      </c>
      <c r="D137" s="740" t="s">
        <v>711</v>
      </c>
      <c r="E137" s="741" t="s">
        <v>236</v>
      </c>
      <c r="F137" s="742">
        <v>2</v>
      </c>
      <c r="G137" s="569">
        <f t="shared" ref="G137:AK137" si="58">G47+G110</f>
        <v>0</v>
      </c>
      <c r="H137" s="569">
        <f t="shared" si="58"/>
        <v>0</v>
      </c>
      <c r="I137" s="569">
        <f t="shared" si="58"/>
        <v>14.197639194604529</v>
      </c>
      <c r="J137" s="569">
        <f t="shared" si="58"/>
        <v>13.494926863620993</v>
      </c>
      <c r="K137" s="569">
        <f t="shared" si="58"/>
        <v>13.364621256422447</v>
      </c>
      <c r="L137" s="569">
        <f t="shared" si="58"/>
        <v>12.770150220171963</v>
      </c>
      <c r="M137" s="718">
        <f t="shared" si="58"/>
        <v>11.587195712386217</v>
      </c>
      <c r="N137" s="718">
        <f t="shared" si="58"/>
        <v>9.8279111932623628</v>
      </c>
      <c r="O137" s="718">
        <f t="shared" si="58"/>
        <v>7.0294251483609855</v>
      </c>
      <c r="P137" s="718">
        <f t="shared" si="58"/>
        <v>3.5648908899311085</v>
      </c>
      <c r="Q137" s="718">
        <f t="shared" si="58"/>
        <v>1.1608344279377523</v>
      </c>
      <c r="R137" s="718">
        <f t="shared" si="58"/>
        <v>0.4280089133069449</v>
      </c>
      <c r="S137" s="718">
        <f t="shared" si="58"/>
        <v>0.41720612149411096</v>
      </c>
      <c r="T137" s="718">
        <f t="shared" si="58"/>
        <v>0.40661635918937655</v>
      </c>
      <c r="U137" s="718">
        <f t="shared" si="58"/>
        <v>0.39501867308091754</v>
      </c>
      <c r="V137" s="718">
        <f t="shared" si="58"/>
        <v>0.38365340433291983</v>
      </c>
      <c r="W137" s="718">
        <f t="shared" si="58"/>
        <v>0.37206112084781928</v>
      </c>
      <c r="X137" s="718">
        <f t="shared" si="58"/>
        <v>0.35832640396735727</v>
      </c>
      <c r="Y137" s="718">
        <f t="shared" si="58"/>
        <v>0.34493580150006586</v>
      </c>
      <c r="Z137" s="718">
        <f t="shared" si="58"/>
        <v>0.33199673698045196</v>
      </c>
      <c r="AA137" s="718">
        <f t="shared" si="58"/>
        <v>0.3193919798550251</v>
      </c>
      <c r="AB137" s="718">
        <f t="shared" si="58"/>
        <v>0.30718031183870487</v>
      </c>
      <c r="AC137" s="718">
        <f t="shared" si="58"/>
        <v>0.29532007236698377</v>
      </c>
      <c r="AD137" s="718">
        <f t="shared" si="58"/>
        <v>0.2839577468454042</v>
      </c>
      <c r="AE137" s="718">
        <f t="shared" si="58"/>
        <v>0.27423704228475465</v>
      </c>
      <c r="AF137" s="718">
        <f t="shared" si="58"/>
        <v>0.26476348478530554</v>
      </c>
      <c r="AG137" s="718">
        <f t="shared" si="58"/>
        <v>0.25557312800573229</v>
      </c>
      <c r="AH137" s="718">
        <f t="shared" si="58"/>
        <v>0.24668297464758382</v>
      </c>
      <c r="AI137" s="718">
        <f t="shared" si="58"/>
        <v>0.2379823455616723</v>
      </c>
      <c r="AJ137" s="718">
        <f t="shared" si="58"/>
        <v>0.22949945424341145</v>
      </c>
      <c r="AK137" s="718">
        <f t="shared" si="58"/>
        <v>0.22113335050317318</v>
      </c>
      <c r="AL137" s="718"/>
      <c r="AM137" s="718"/>
      <c r="AN137" s="718"/>
      <c r="AO137" s="718"/>
      <c r="AP137" s="718"/>
      <c r="AQ137" s="718"/>
      <c r="AR137" s="718"/>
      <c r="AS137" s="718"/>
      <c r="AT137" s="718"/>
      <c r="AU137" s="718"/>
      <c r="AV137" s="718"/>
      <c r="AW137" s="718"/>
      <c r="AX137" s="718"/>
      <c r="AY137" s="718"/>
      <c r="AZ137" s="718"/>
      <c r="BA137" s="718"/>
      <c r="BB137" s="718"/>
      <c r="BC137" s="718"/>
      <c r="BD137" s="718"/>
      <c r="BE137" s="718"/>
      <c r="BF137" s="718"/>
      <c r="BG137" s="718"/>
      <c r="BH137" s="718"/>
      <c r="BI137" s="718"/>
      <c r="BJ137" s="718"/>
      <c r="BK137" s="718"/>
      <c r="BL137" s="718"/>
      <c r="BM137" s="718"/>
      <c r="BN137" s="718"/>
      <c r="BO137" s="718"/>
      <c r="BP137" s="718"/>
      <c r="BQ137" s="718"/>
      <c r="BR137" s="718"/>
      <c r="BS137" s="718"/>
      <c r="BT137" s="718"/>
      <c r="BU137" s="718"/>
      <c r="BV137" s="718"/>
      <c r="BW137" s="718"/>
      <c r="BX137" s="718"/>
      <c r="BY137" s="718"/>
      <c r="BZ137" s="718"/>
      <c r="CA137" s="718"/>
      <c r="CB137" s="718"/>
      <c r="CC137" s="718"/>
      <c r="CD137" s="718"/>
      <c r="CE137" s="718"/>
      <c r="CF137" s="718"/>
      <c r="CG137" s="718"/>
      <c r="CH137" s="718"/>
      <c r="CI137" s="719"/>
      <c r="CJ137" s="1543"/>
      <c r="CK137" s="1296"/>
    </row>
    <row r="138" spans="2:89" ht="28.5" x14ac:dyDescent="0.2">
      <c r="B138" s="738" t="s">
        <v>712</v>
      </c>
      <c r="C138" s="739" t="s">
        <v>499</v>
      </c>
      <c r="D138" s="740" t="s">
        <v>498</v>
      </c>
      <c r="E138" s="741" t="s">
        <v>375</v>
      </c>
      <c r="F138" s="742">
        <v>1</v>
      </c>
      <c r="G138" s="743">
        <f t="shared" ref="G138:AK138" si="59">G48</f>
        <v>0</v>
      </c>
      <c r="H138" s="743">
        <f t="shared" si="59"/>
        <v>0</v>
      </c>
      <c r="I138" s="743">
        <f t="shared" si="59"/>
        <v>0</v>
      </c>
      <c r="J138" s="743">
        <f t="shared" si="59"/>
        <v>7.8663419703343864E-3</v>
      </c>
      <c r="K138" s="743">
        <f t="shared" si="59"/>
        <v>1.9557388117322589E-3</v>
      </c>
      <c r="L138" s="743">
        <f t="shared" si="59"/>
        <v>1.8716622625815497E-3</v>
      </c>
      <c r="M138" s="744">
        <f t="shared" si="59"/>
        <v>1.5663124330849633E-3</v>
      </c>
      <c r="N138" s="744">
        <f t="shared" si="59"/>
        <v>2.4556847170704478E-3</v>
      </c>
      <c r="O138" s="744">
        <f t="shared" si="59"/>
        <v>2.450670722064484E-3</v>
      </c>
      <c r="P138" s="744">
        <f t="shared" si="59"/>
        <v>2.6142276115076308E-3</v>
      </c>
      <c r="Q138" s="744">
        <f t="shared" si="59"/>
        <v>2.7762788700831649E-3</v>
      </c>
      <c r="R138" s="744">
        <f t="shared" si="59"/>
        <v>2.8769774704891747E-3</v>
      </c>
      <c r="S138" s="744">
        <f t="shared" si="59"/>
        <v>3.037692944650706E-3</v>
      </c>
      <c r="T138" s="744">
        <f t="shared" si="59"/>
        <v>3.1965475915500465E-3</v>
      </c>
      <c r="U138" s="744">
        <f t="shared" si="59"/>
        <v>3.3535077823445749E-3</v>
      </c>
      <c r="V138" s="744">
        <f t="shared" si="59"/>
        <v>3.4509047091200464E-3</v>
      </c>
      <c r="W138" s="744">
        <f t="shared" si="59"/>
        <v>3.6054597588464649E-3</v>
      </c>
      <c r="X138" s="744">
        <f t="shared" si="59"/>
        <v>3.758757590621485E-3</v>
      </c>
      <c r="Y138" s="744">
        <f t="shared" si="59"/>
        <v>3.852975333124042E-3</v>
      </c>
      <c r="Z138" s="744">
        <f t="shared" si="59"/>
        <v>4.0043561287034088E-3</v>
      </c>
      <c r="AA138" s="744">
        <f t="shared" si="59"/>
        <v>4.1549126588518934E-3</v>
      </c>
      <c r="AB138" s="744">
        <f t="shared" si="59"/>
        <v>4.2453730785990962E-3</v>
      </c>
      <c r="AC138" s="744">
        <f t="shared" si="59"/>
        <v>4.3978201422087693E-3</v>
      </c>
      <c r="AD138" s="744">
        <f t="shared" si="59"/>
        <v>4.5280476151259592E-3</v>
      </c>
      <c r="AE138" s="744">
        <f t="shared" si="59"/>
        <v>4.6574940971079466E-3</v>
      </c>
      <c r="AF138" s="744">
        <f t="shared" si="59"/>
        <v>4.7859897813887203E-3</v>
      </c>
      <c r="AG138" s="744">
        <f t="shared" si="59"/>
        <v>4.9130903752869293E-3</v>
      </c>
      <c r="AH138" s="744">
        <f t="shared" si="59"/>
        <v>5.0396613787663984E-3</v>
      </c>
      <c r="AI138" s="744">
        <f t="shared" si="59"/>
        <v>5.1652087531929057E-3</v>
      </c>
      <c r="AJ138" s="744">
        <f t="shared" si="59"/>
        <v>5.290125706451378E-3</v>
      </c>
      <c r="AK138" s="744">
        <f t="shared" si="59"/>
        <v>5.4137314836726728E-3</v>
      </c>
      <c r="AL138" s="744"/>
      <c r="AM138" s="744"/>
      <c r="AN138" s="744"/>
      <c r="AO138" s="744"/>
      <c r="AP138" s="744"/>
      <c r="AQ138" s="744"/>
      <c r="AR138" s="744"/>
      <c r="AS138" s="744"/>
      <c r="AT138" s="744"/>
      <c r="AU138" s="744"/>
      <c r="AV138" s="744"/>
      <c r="AW138" s="744"/>
      <c r="AX138" s="744"/>
      <c r="AY138" s="744"/>
      <c r="AZ138" s="744"/>
      <c r="BA138" s="744"/>
      <c r="BB138" s="744"/>
      <c r="BC138" s="744"/>
      <c r="BD138" s="744"/>
      <c r="BE138" s="744"/>
      <c r="BF138" s="744"/>
      <c r="BG138" s="744"/>
      <c r="BH138" s="744"/>
      <c r="BI138" s="744"/>
      <c r="BJ138" s="744"/>
      <c r="BK138" s="744"/>
      <c r="BL138" s="744"/>
      <c r="BM138" s="744"/>
      <c r="BN138" s="744"/>
      <c r="BO138" s="744"/>
      <c r="BP138" s="744"/>
      <c r="BQ138" s="744"/>
      <c r="BR138" s="744"/>
      <c r="BS138" s="744"/>
      <c r="BT138" s="744"/>
      <c r="BU138" s="744"/>
      <c r="BV138" s="744"/>
      <c r="BW138" s="744"/>
      <c r="BX138" s="744"/>
      <c r="BY138" s="744"/>
      <c r="BZ138" s="744"/>
      <c r="CA138" s="744"/>
      <c r="CB138" s="744"/>
      <c r="CC138" s="744"/>
      <c r="CD138" s="744"/>
      <c r="CE138" s="744"/>
      <c r="CF138" s="744"/>
      <c r="CG138" s="744"/>
      <c r="CH138" s="744"/>
      <c r="CI138" s="745"/>
      <c r="CJ138" s="1543"/>
      <c r="CK138" s="1296"/>
    </row>
    <row r="139" spans="2:89" ht="28.5" x14ac:dyDescent="0.2">
      <c r="B139" s="738" t="s">
        <v>713</v>
      </c>
      <c r="C139" s="739" t="s">
        <v>501</v>
      </c>
      <c r="D139" s="740" t="s">
        <v>714</v>
      </c>
      <c r="E139" s="741" t="s">
        <v>236</v>
      </c>
      <c r="F139" s="742">
        <v>2</v>
      </c>
      <c r="G139" s="569">
        <f>G138*(G133+SUM(G135:G137)-SUM(G145:G148))</f>
        <v>0</v>
      </c>
      <c r="H139" s="569">
        <f t="shared" ref="H139" si="60">H138*(SUM(H133:H137)-SUM(H145:H148))</f>
        <v>0</v>
      </c>
      <c r="I139" s="569">
        <f t="shared" ref="I139" si="61">I138*(SUM(I133:I137)-SUM(I145:I148))</f>
        <v>0</v>
      </c>
      <c r="J139" s="569">
        <f t="shared" ref="J139:AK139" si="62">J138*(SUM(J133:J137)-SUM(J145:J148))</f>
        <v>0.33130170487274913</v>
      </c>
      <c r="K139" s="569">
        <f t="shared" si="62"/>
        <v>8.4813467096120768E-2</v>
      </c>
      <c r="L139" s="569">
        <f t="shared" si="62"/>
        <v>8.1965826100679151E-2</v>
      </c>
      <c r="M139" s="569">
        <f t="shared" si="62"/>
        <v>6.8455965614852426E-2</v>
      </c>
      <c r="N139" s="569">
        <f t="shared" si="62"/>
        <v>0.10634715328189909</v>
      </c>
      <c r="O139" s="569">
        <f t="shared" si="62"/>
        <v>0.10860692363334605</v>
      </c>
      <c r="P139" s="569">
        <f t="shared" si="62"/>
        <v>0.11369875970318388</v>
      </c>
      <c r="Q139" s="569">
        <f t="shared" si="62"/>
        <v>0.1192254556177705</v>
      </c>
      <c r="R139" s="569">
        <f t="shared" si="62"/>
        <v>0.12264388860842251</v>
      </c>
      <c r="S139" s="569">
        <f t="shared" si="62"/>
        <v>0.12875133442492701</v>
      </c>
      <c r="T139" s="569">
        <f t="shared" si="62"/>
        <v>0.13434074347182817</v>
      </c>
      <c r="U139" s="569">
        <f t="shared" si="62"/>
        <v>0.13952345903514374</v>
      </c>
      <c r="V139" s="569">
        <f t="shared" si="62"/>
        <v>0.14255216234962423</v>
      </c>
      <c r="W139" s="569">
        <f t="shared" si="62"/>
        <v>0.14809214620369152</v>
      </c>
      <c r="X139" s="569">
        <f t="shared" si="62"/>
        <v>0.15352171123451591</v>
      </c>
      <c r="Y139" s="569">
        <f t="shared" si="62"/>
        <v>0.15648522655360314</v>
      </c>
      <c r="Z139" s="569">
        <f t="shared" si="62"/>
        <v>0.1622680647045881</v>
      </c>
      <c r="AA139" s="569">
        <f t="shared" si="62"/>
        <v>0.16801847677382317</v>
      </c>
      <c r="AB139" s="569">
        <f t="shared" si="62"/>
        <v>0.17121121209778123</v>
      </c>
      <c r="AC139" s="569">
        <f t="shared" si="62"/>
        <v>0.1769889732062507</v>
      </c>
      <c r="AD139" s="569">
        <f t="shared" si="62"/>
        <v>0.18189797700591975</v>
      </c>
      <c r="AE139" s="569">
        <f t="shared" si="62"/>
        <v>0.18722662111649674</v>
      </c>
      <c r="AF139" s="569">
        <f t="shared" si="62"/>
        <v>0.1925219607744118</v>
      </c>
      <c r="AG139" s="569">
        <f t="shared" si="62"/>
        <v>0.1977558503926807</v>
      </c>
      <c r="AH139" s="569">
        <f t="shared" si="62"/>
        <v>0.20299939179968696</v>
      </c>
      <c r="AI139" s="569">
        <f t="shared" si="62"/>
        <v>0.20819647209174871</v>
      </c>
      <c r="AJ139" s="569">
        <f t="shared" si="62"/>
        <v>0.21338062950640271</v>
      </c>
      <c r="AK139" s="569">
        <f t="shared" si="62"/>
        <v>0.21848500765396117</v>
      </c>
      <c r="AL139" s="569"/>
      <c r="AM139" s="569"/>
      <c r="AN139" s="569"/>
      <c r="AO139" s="569"/>
      <c r="AP139" s="569"/>
      <c r="AQ139" s="569"/>
      <c r="AR139" s="569"/>
      <c r="AS139" s="569"/>
      <c r="AT139" s="569"/>
      <c r="AU139" s="569"/>
      <c r="AV139" s="569"/>
      <c r="AW139" s="569"/>
      <c r="AX139" s="569"/>
      <c r="AY139" s="569"/>
      <c r="AZ139" s="569"/>
      <c r="BA139" s="569"/>
      <c r="BB139" s="569"/>
      <c r="BC139" s="569"/>
      <c r="BD139" s="569"/>
      <c r="BE139" s="569"/>
      <c r="BF139" s="569"/>
      <c r="BG139" s="569"/>
      <c r="BH139" s="569"/>
      <c r="BI139" s="569"/>
      <c r="BJ139" s="569"/>
      <c r="BK139" s="569"/>
      <c r="BL139" s="569"/>
      <c r="BM139" s="569"/>
      <c r="BN139" s="569"/>
      <c r="BO139" s="569"/>
      <c r="BP139" s="569"/>
      <c r="BQ139" s="569"/>
      <c r="BR139" s="569"/>
      <c r="BS139" s="569"/>
      <c r="BT139" s="569"/>
      <c r="BU139" s="569"/>
      <c r="BV139" s="569"/>
      <c r="BW139" s="569"/>
      <c r="BX139" s="569"/>
      <c r="BY139" s="569"/>
      <c r="BZ139" s="569"/>
      <c r="CA139" s="569"/>
      <c r="CB139" s="569"/>
      <c r="CC139" s="569"/>
      <c r="CD139" s="569"/>
      <c r="CE139" s="569"/>
      <c r="CF139" s="569"/>
      <c r="CG139" s="569"/>
      <c r="CH139" s="569"/>
      <c r="CI139" s="569"/>
      <c r="CJ139" s="1543"/>
      <c r="CK139" s="1296"/>
    </row>
    <row r="140" spans="2:89" x14ac:dyDescent="0.2">
      <c r="B140" s="738" t="s">
        <v>715</v>
      </c>
      <c r="C140" s="746" t="s">
        <v>305</v>
      </c>
      <c r="D140" s="747" t="s">
        <v>716</v>
      </c>
      <c r="E140" s="748" t="s">
        <v>239</v>
      </c>
      <c r="F140" s="749">
        <v>1</v>
      </c>
      <c r="G140" s="750" t="e">
        <f>(((G136-G147))*1000000)/((G169)*1000)</f>
        <v>#DIV/0!</v>
      </c>
      <c r="H140" s="750" t="e">
        <f t="shared" ref="H140:AK141" si="63">(((H136-H147))*1000000)/((H169)*1000)</f>
        <v>#DIV/0!</v>
      </c>
      <c r="I140" s="750">
        <f t="shared" si="63"/>
        <v>132.91356220642322</v>
      </c>
      <c r="J140" s="750">
        <f t="shared" si="63"/>
        <v>128.94403756204545</v>
      </c>
      <c r="K140" s="750">
        <f t="shared" si="63"/>
        <v>125.79694277072677</v>
      </c>
      <c r="L140" s="750">
        <f t="shared" si="63"/>
        <v>123.88589633692149</v>
      </c>
      <c r="M140" s="751">
        <f t="shared" si="63"/>
        <v>120.80648282734562</v>
      </c>
      <c r="N140" s="751">
        <f t="shared" si="63"/>
        <v>118.88230359171716</v>
      </c>
      <c r="O140" s="751">
        <f t="shared" si="63"/>
        <v>115.18272507549696</v>
      </c>
      <c r="P140" s="751">
        <f t="shared" si="63"/>
        <v>113.56213324406684</v>
      </c>
      <c r="Q140" s="751">
        <f t="shared" si="63"/>
        <v>112.39271260828386</v>
      </c>
      <c r="R140" s="751">
        <f t="shared" si="63"/>
        <v>111.46366698395761</v>
      </c>
      <c r="S140" s="751">
        <f t="shared" si="63"/>
        <v>110.47305578004946</v>
      </c>
      <c r="T140" s="751">
        <f t="shared" si="63"/>
        <v>109.00733627574226</v>
      </c>
      <c r="U140" s="751">
        <f t="shared" si="63"/>
        <v>107.27109194971914</v>
      </c>
      <c r="V140" s="751">
        <f t="shared" si="63"/>
        <v>106.04016748997614</v>
      </c>
      <c r="W140" s="751">
        <f t="shared" si="63"/>
        <v>105.06111044666518</v>
      </c>
      <c r="X140" s="751">
        <f t="shared" si="63"/>
        <v>104.1209493988806</v>
      </c>
      <c r="Y140" s="751">
        <f t="shared" si="63"/>
        <v>103.19563936366283</v>
      </c>
      <c r="Z140" s="751">
        <f t="shared" si="63"/>
        <v>102.30248122109657</v>
      </c>
      <c r="AA140" s="751">
        <f t="shared" si="63"/>
        <v>101.39618296881541</v>
      </c>
      <c r="AB140" s="751">
        <f t="shared" si="63"/>
        <v>100.38258549876353</v>
      </c>
      <c r="AC140" s="751">
        <f t="shared" si="63"/>
        <v>99.492576646068557</v>
      </c>
      <c r="AD140" s="751">
        <f t="shared" si="63"/>
        <v>98.656895300591273</v>
      </c>
      <c r="AE140" s="751">
        <f t="shared" si="63"/>
        <v>98.242981267611555</v>
      </c>
      <c r="AF140" s="751">
        <f t="shared" si="63"/>
        <v>97.836651587837949</v>
      </c>
      <c r="AG140" s="751">
        <f t="shared" si="63"/>
        <v>97.440763694746039</v>
      </c>
      <c r="AH140" s="751">
        <f t="shared" si="63"/>
        <v>97.081148948422879</v>
      </c>
      <c r="AI140" s="751">
        <f t="shared" si="63"/>
        <v>96.711377339978242</v>
      </c>
      <c r="AJ140" s="751">
        <f t="shared" si="63"/>
        <v>96.343880399546407</v>
      </c>
      <c r="AK140" s="751">
        <f t="shared" si="63"/>
        <v>95.959187819993332</v>
      </c>
      <c r="AL140" s="751"/>
      <c r="AM140" s="751"/>
      <c r="AN140" s="751"/>
      <c r="AO140" s="751"/>
      <c r="AP140" s="751"/>
      <c r="AQ140" s="751"/>
      <c r="AR140" s="751"/>
      <c r="AS140" s="751"/>
      <c r="AT140" s="751"/>
      <c r="AU140" s="751"/>
      <c r="AV140" s="751"/>
      <c r="AW140" s="751"/>
      <c r="AX140" s="751"/>
      <c r="AY140" s="751"/>
      <c r="AZ140" s="751"/>
      <c r="BA140" s="751"/>
      <c r="BB140" s="751"/>
      <c r="BC140" s="751"/>
      <c r="BD140" s="751"/>
      <c r="BE140" s="751"/>
      <c r="BF140" s="751"/>
      <c r="BG140" s="751"/>
      <c r="BH140" s="751"/>
      <c r="BI140" s="751"/>
      <c r="BJ140" s="751"/>
      <c r="BK140" s="751"/>
      <c r="BL140" s="751"/>
      <c r="BM140" s="751"/>
      <c r="BN140" s="751"/>
      <c r="BO140" s="751"/>
      <c r="BP140" s="751"/>
      <c r="BQ140" s="751"/>
      <c r="BR140" s="751"/>
      <c r="BS140" s="751"/>
      <c r="BT140" s="751"/>
      <c r="BU140" s="751"/>
      <c r="BV140" s="751"/>
      <c r="BW140" s="751"/>
      <c r="BX140" s="751"/>
      <c r="BY140" s="751"/>
      <c r="BZ140" s="751"/>
      <c r="CA140" s="751"/>
      <c r="CB140" s="751"/>
      <c r="CC140" s="751"/>
      <c r="CD140" s="751"/>
      <c r="CE140" s="751"/>
      <c r="CF140" s="751"/>
      <c r="CG140" s="751"/>
      <c r="CH140" s="751"/>
      <c r="CI140" s="752"/>
      <c r="CJ140" s="1543"/>
      <c r="CK140" s="1296"/>
    </row>
    <row r="141" spans="2:89" x14ac:dyDescent="0.2">
      <c r="B141" s="738" t="s">
        <v>717</v>
      </c>
      <c r="C141" s="746" t="s">
        <v>324</v>
      </c>
      <c r="D141" s="747" t="s">
        <v>718</v>
      </c>
      <c r="E141" s="748" t="s">
        <v>239</v>
      </c>
      <c r="F141" s="749">
        <v>1</v>
      </c>
      <c r="G141" s="750" t="e">
        <f>(((G137-G148))*1000000)/((G170)*1000)</f>
        <v>#DIV/0!</v>
      </c>
      <c r="H141" s="750" t="e">
        <f t="shared" si="63"/>
        <v>#DIV/0!</v>
      </c>
      <c r="I141" s="750">
        <f t="shared" si="63"/>
        <v>153.01222380103448</v>
      </c>
      <c r="J141" s="750">
        <f t="shared" si="63"/>
        <v>146.59616769423974</v>
      </c>
      <c r="K141" s="750">
        <f t="shared" si="63"/>
        <v>147.48440940677801</v>
      </c>
      <c r="L141" s="750">
        <f t="shared" si="63"/>
        <v>145.19589200160385</v>
      </c>
      <c r="M141" s="751">
        <f t="shared" si="63"/>
        <v>141.27270308428325</v>
      </c>
      <c r="N141" s="751">
        <f t="shared" si="63"/>
        <v>138.53664622758484</v>
      </c>
      <c r="O141" s="751">
        <f t="shared" si="63"/>
        <v>135.47756418409571</v>
      </c>
      <c r="P141" s="751">
        <f t="shared" si="63"/>
        <v>131.87641029576662</v>
      </c>
      <c r="Q141" s="751">
        <f t="shared" si="63"/>
        <v>128.84777718705166</v>
      </c>
      <c r="R141" s="751">
        <f t="shared" si="63"/>
        <v>126.85023042676568</v>
      </c>
      <c r="S141" s="751">
        <f t="shared" si="63"/>
        <v>125.04322363539821</v>
      </c>
      <c r="T141" s="751">
        <f t="shared" si="63"/>
        <v>123.24027017319806</v>
      </c>
      <c r="U141" s="751">
        <f t="shared" si="63"/>
        <v>121.05838770419291</v>
      </c>
      <c r="V141" s="751">
        <f t="shared" si="63"/>
        <v>118.87710814014821</v>
      </c>
      <c r="W141" s="751">
        <f t="shared" si="63"/>
        <v>117.34240818565735</v>
      </c>
      <c r="X141" s="751">
        <f t="shared" si="63"/>
        <v>115.80839944799079</v>
      </c>
      <c r="Y141" s="751">
        <f t="shared" si="63"/>
        <v>114.26284507719643</v>
      </c>
      <c r="Z141" s="751">
        <f t="shared" si="63"/>
        <v>112.74548368370586</v>
      </c>
      <c r="AA141" s="751">
        <f t="shared" si="63"/>
        <v>111.21559372328716</v>
      </c>
      <c r="AB141" s="751">
        <f t="shared" si="63"/>
        <v>109.6961270712558</v>
      </c>
      <c r="AC141" s="751">
        <f t="shared" si="63"/>
        <v>108.17970258553078</v>
      </c>
      <c r="AD141" s="751">
        <f t="shared" si="63"/>
        <v>106.72676996902945</v>
      </c>
      <c r="AE141" s="751">
        <f t="shared" si="63"/>
        <v>105.79832543478639</v>
      </c>
      <c r="AF141" s="751">
        <f t="shared" si="63"/>
        <v>104.87292869603537</v>
      </c>
      <c r="AG141" s="751">
        <f t="shared" si="63"/>
        <v>103.96841780151509</v>
      </c>
      <c r="AH141" s="751">
        <f t="shared" si="63"/>
        <v>103.0964841779934</v>
      </c>
      <c r="AI141" s="751">
        <f t="shared" si="63"/>
        <v>102.2136451431671</v>
      </c>
      <c r="AJ141" s="751">
        <f t="shared" si="63"/>
        <v>101.33407929352653</v>
      </c>
      <c r="AK141" s="751">
        <f t="shared" si="63"/>
        <v>100.41334067657959</v>
      </c>
      <c r="AL141" s="751"/>
      <c r="AM141" s="751"/>
      <c r="AN141" s="751"/>
      <c r="AO141" s="751"/>
      <c r="AP141" s="751"/>
      <c r="AQ141" s="751"/>
      <c r="AR141" s="751"/>
      <c r="AS141" s="751"/>
      <c r="AT141" s="751"/>
      <c r="AU141" s="751"/>
      <c r="AV141" s="751"/>
      <c r="AW141" s="751"/>
      <c r="AX141" s="751"/>
      <c r="AY141" s="751"/>
      <c r="AZ141" s="751"/>
      <c r="BA141" s="751"/>
      <c r="BB141" s="751"/>
      <c r="BC141" s="751"/>
      <c r="BD141" s="751"/>
      <c r="BE141" s="751"/>
      <c r="BF141" s="751"/>
      <c r="BG141" s="751"/>
      <c r="BH141" s="751"/>
      <c r="BI141" s="751"/>
      <c r="BJ141" s="751"/>
      <c r="BK141" s="751"/>
      <c r="BL141" s="751"/>
      <c r="BM141" s="751"/>
      <c r="BN141" s="751"/>
      <c r="BO141" s="751"/>
      <c r="BP141" s="751"/>
      <c r="BQ141" s="751"/>
      <c r="BR141" s="751"/>
      <c r="BS141" s="751"/>
      <c r="BT141" s="751"/>
      <c r="BU141" s="751"/>
      <c r="BV141" s="751"/>
      <c r="BW141" s="751"/>
      <c r="BX141" s="751"/>
      <c r="BY141" s="751"/>
      <c r="BZ141" s="751"/>
      <c r="CA141" s="751"/>
      <c r="CB141" s="751"/>
      <c r="CC141" s="751"/>
      <c r="CD141" s="751"/>
      <c r="CE141" s="751"/>
      <c r="CF141" s="751"/>
      <c r="CG141" s="751"/>
      <c r="CH141" s="751"/>
      <c r="CI141" s="752"/>
      <c r="CJ141" s="1543"/>
      <c r="CK141" s="1296"/>
    </row>
    <row r="142" spans="2:89" ht="28.5" x14ac:dyDescent="0.2">
      <c r="B142" s="738" t="s">
        <v>719</v>
      </c>
      <c r="C142" s="746" t="s">
        <v>238</v>
      </c>
      <c r="D142" s="747" t="s">
        <v>720</v>
      </c>
      <c r="E142" s="748" t="s">
        <v>239</v>
      </c>
      <c r="F142" s="749">
        <v>1</v>
      </c>
      <c r="G142" s="750" t="e">
        <f>(((G136-G147)+(G137-G148))*1000000)/((G169+G170)*1000)</f>
        <v>#DIV/0!</v>
      </c>
      <c r="H142" s="750" t="e">
        <f t="shared" ref="H142:AK142" si="64">(((H136-H147)+(H137-H148))*1000000)/((H169+H170)*1000)</f>
        <v>#DIV/0!</v>
      </c>
      <c r="I142" s="750">
        <f t="shared" si="64"/>
        <v>141.13405562357715</v>
      </c>
      <c r="J142" s="750">
        <f t="shared" si="64"/>
        <v>136.04960965470798</v>
      </c>
      <c r="K142" s="750">
        <f t="shared" si="64"/>
        <v>134.3259370135178</v>
      </c>
      <c r="L142" s="750">
        <f t="shared" si="64"/>
        <v>131.96493043532092</v>
      </c>
      <c r="M142" s="751">
        <f t="shared" si="64"/>
        <v>127.98639549081433</v>
      </c>
      <c r="N142" s="751">
        <f t="shared" si="64"/>
        <v>124.80903226769915</v>
      </c>
      <c r="O142" s="751">
        <f t="shared" si="64"/>
        <v>119.63831888561027</v>
      </c>
      <c r="P142" s="751">
        <f t="shared" si="64"/>
        <v>115.64943693210418</v>
      </c>
      <c r="Q142" s="751">
        <f t="shared" si="64"/>
        <v>113.01698431890426</v>
      </c>
      <c r="R142" s="751">
        <f t="shared" si="64"/>
        <v>111.68210379201828</v>
      </c>
      <c r="S142" s="751">
        <f t="shared" si="64"/>
        <v>110.6769908052346</v>
      </c>
      <c r="T142" s="751">
        <f t="shared" si="64"/>
        <v>109.20375944561923</v>
      </c>
      <c r="U142" s="751">
        <f t="shared" si="64"/>
        <v>107.45868596032976</v>
      </c>
      <c r="V142" s="751">
        <f t="shared" si="64"/>
        <v>106.21230632524842</v>
      </c>
      <c r="W142" s="751">
        <f t="shared" si="64"/>
        <v>105.22237573973219</v>
      </c>
      <c r="X142" s="751">
        <f t="shared" si="64"/>
        <v>104.27023050604855</v>
      </c>
      <c r="Y142" s="751">
        <f t="shared" si="64"/>
        <v>103.33311868795838</v>
      </c>
      <c r="Z142" s="751">
        <f t="shared" si="64"/>
        <v>102.42858830748126</v>
      </c>
      <c r="AA142" s="751">
        <f t="shared" si="64"/>
        <v>101.51137358676836</v>
      </c>
      <c r="AB142" s="751">
        <f t="shared" si="64"/>
        <v>100.48869612636591</v>
      </c>
      <c r="AC142" s="751">
        <f t="shared" si="64"/>
        <v>99.588688320858964</v>
      </c>
      <c r="AD142" s="751">
        <f t="shared" si="64"/>
        <v>98.743576201892523</v>
      </c>
      <c r="AE142" s="751">
        <f t="shared" si="64"/>
        <v>98.321749315103332</v>
      </c>
      <c r="AF142" s="751">
        <f t="shared" si="64"/>
        <v>97.907835365414428</v>
      </c>
      <c r="AG142" s="751">
        <f t="shared" si="64"/>
        <v>97.504838072244524</v>
      </c>
      <c r="AH142" s="751">
        <f t="shared" si="64"/>
        <v>97.138428348346949</v>
      </c>
      <c r="AI142" s="751">
        <f t="shared" si="64"/>
        <v>96.762185719417502</v>
      </c>
      <c r="AJ142" s="751">
        <f t="shared" si="64"/>
        <v>96.388548108380562</v>
      </c>
      <c r="AK142" s="751">
        <f t="shared" si="64"/>
        <v>95.997823384059529</v>
      </c>
      <c r="AL142" s="751"/>
      <c r="AM142" s="751"/>
      <c r="AN142" s="751"/>
      <c r="AO142" s="751"/>
      <c r="AP142" s="751"/>
      <c r="AQ142" s="751"/>
      <c r="AR142" s="751"/>
      <c r="AS142" s="751"/>
      <c r="AT142" s="751"/>
      <c r="AU142" s="751"/>
      <c r="AV142" s="751"/>
      <c r="AW142" s="751"/>
      <c r="AX142" s="751"/>
      <c r="AY142" s="751"/>
      <c r="AZ142" s="751"/>
      <c r="BA142" s="751"/>
      <c r="BB142" s="751"/>
      <c r="BC142" s="751"/>
      <c r="BD142" s="751"/>
      <c r="BE142" s="751"/>
      <c r="BF142" s="751"/>
      <c r="BG142" s="751"/>
      <c r="BH142" s="751"/>
      <c r="BI142" s="751"/>
      <c r="BJ142" s="751"/>
      <c r="BK142" s="751"/>
      <c r="BL142" s="751"/>
      <c r="BM142" s="751"/>
      <c r="BN142" s="751"/>
      <c r="BO142" s="751"/>
      <c r="BP142" s="751"/>
      <c r="BQ142" s="751"/>
      <c r="BR142" s="751"/>
      <c r="BS142" s="751"/>
      <c r="BT142" s="751"/>
      <c r="BU142" s="751"/>
      <c r="BV142" s="751"/>
      <c r="BW142" s="751"/>
      <c r="BX142" s="751"/>
      <c r="BY142" s="751"/>
      <c r="BZ142" s="751"/>
      <c r="CA142" s="751"/>
      <c r="CB142" s="751"/>
      <c r="CC142" s="751"/>
      <c r="CD142" s="751"/>
      <c r="CE142" s="751"/>
      <c r="CF142" s="751"/>
      <c r="CG142" s="751"/>
      <c r="CH142" s="751"/>
      <c r="CI142" s="752"/>
      <c r="CJ142" s="1543"/>
      <c r="CK142" s="1296"/>
    </row>
    <row r="143" spans="2:89" x14ac:dyDescent="0.2">
      <c r="B143" s="738" t="s">
        <v>721</v>
      </c>
      <c r="C143" s="746" t="s">
        <v>510</v>
      </c>
      <c r="D143" s="747" t="s">
        <v>722</v>
      </c>
      <c r="E143" s="748" t="s">
        <v>236</v>
      </c>
      <c r="F143" s="749">
        <v>2</v>
      </c>
      <c r="G143" s="569">
        <f t="shared" ref="G143:AK143" si="65">G53+G111</f>
        <v>0</v>
      </c>
      <c r="H143" s="569">
        <f t="shared" si="65"/>
        <v>0</v>
      </c>
      <c r="I143" s="569">
        <f t="shared" si="65"/>
        <v>1.0979360068731416</v>
      </c>
      <c r="J143" s="569">
        <f t="shared" si="65"/>
        <v>1.0895863339821239</v>
      </c>
      <c r="K143" s="569">
        <f t="shared" si="65"/>
        <v>1.0890163901033498</v>
      </c>
      <c r="L143" s="569">
        <f t="shared" si="65"/>
        <v>1.0888825549864094</v>
      </c>
      <c r="M143" s="718">
        <f t="shared" si="65"/>
        <v>1.0899162297254705</v>
      </c>
      <c r="N143" s="718">
        <f t="shared" si="65"/>
        <v>1.089665782989155</v>
      </c>
      <c r="O143" s="718">
        <f t="shared" si="65"/>
        <v>1.0893379865310824</v>
      </c>
      <c r="P143" s="718">
        <f t="shared" si="65"/>
        <v>1.0890805420132281</v>
      </c>
      <c r="Q143" s="718">
        <f t="shared" si="65"/>
        <v>1.0888405640858561</v>
      </c>
      <c r="R143" s="718">
        <f t="shared" si="65"/>
        <v>1.0885564915400114</v>
      </c>
      <c r="S143" s="718">
        <f t="shared" si="65"/>
        <v>1.088226900331001</v>
      </c>
      <c r="T143" s="718">
        <f t="shared" si="65"/>
        <v>1.0878867953682212</v>
      </c>
      <c r="U143" s="718">
        <f t="shared" si="65"/>
        <v>1.087549110051244</v>
      </c>
      <c r="V143" s="718">
        <f t="shared" si="65"/>
        <v>1.0872114019816861</v>
      </c>
      <c r="W143" s="718">
        <f t="shared" si="65"/>
        <v>1.0868759115883297</v>
      </c>
      <c r="X143" s="718">
        <f t="shared" si="65"/>
        <v>1.086543492903151</v>
      </c>
      <c r="Y143" s="718">
        <f t="shared" si="65"/>
        <v>1.0862137959685272</v>
      </c>
      <c r="Z143" s="718">
        <f t="shared" si="65"/>
        <v>1.0858870717622091</v>
      </c>
      <c r="AA143" s="718">
        <f t="shared" si="65"/>
        <v>1.0855661708255522</v>
      </c>
      <c r="AB143" s="718">
        <f t="shared" si="65"/>
        <v>1.0852484238006088</v>
      </c>
      <c r="AC143" s="718">
        <f t="shared" si="65"/>
        <v>1.0849339902769397</v>
      </c>
      <c r="AD143" s="718">
        <f t="shared" si="65"/>
        <v>1.0846223195833922</v>
      </c>
      <c r="AE143" s="718">
        <f t="shared" si="65"/>
        <v>1.0843133541445247</v>
      </c>
      <c r="AF143" s="718">
        <f t="shared" si="65"/>
        <v>1.0840072499365985</v>
      </c>
      <c r="AG143" s="718">
        <f t="shared" si="65"/>
        <v>1.0837040161523186</v>
      </c>
      <c r="AH143" s="718">
        <f t="shared" si="65"/>
        <v>1.0834035902167516</v>
      </c>
      <c r="AI143" s="718">
        <f t="shared" si="65"/>
        <v>1.0831060257404501</v>
      </c>
      <c r="AJ143" s="718">
        <f t="shared" si="65"/>
        <v>1.0828116304322912</v>
      </c>
      <c r="AK143" s="718">
        <f t="shared" si="65"/>
        <v>1.0825203440685931</v>
      </c>
      <c r="AL143" s="718"/>
      <c r="AM143" s="718"/>
      <c r="AN143" s="718"/>
      <c r="AO143" s="718"/>
      <c r="AP143" s="718"/>
      <c r="AQ143" s="718"/>
      <c r="AR143" s="718"/>
      <c r="AS143" s="718"/>
      <c r="AT143" s="718"/>
      <c r="AU143" s="718"/>
      <c r="AV143" s="718"/>
      <c r="AW143" s="718"/>
      <c r="AX143" s="718"/>
      <c r="AY143" s="718"/>
      <c r="AZ143" s="718"/>
      <c r="BA143" s="718"/>
      <c r="BB143" s="718"/>
      <c r="BC143" s="718"/>
      <c r="BD143" s="718"/>
      <c r="BE143" s="718"/>
      <c r="BF143" s="718"/>
      <c r="BG143" s="718"/>
      <c r="BH143" s="718"/>
      <c r="BI143" s="718"/>
      <c r="BJ143" s="718"/>
      <c r="BK143" s="718"/>
      <c r="BL143" s="718"/>
      <c r="BM143" s="718"/>
      <c r="BN143" s="718"/>
      <c r="BO143" s="718"/>
      <c r="BP143" s="718"/>
      <c r="BQ143" s="718"/>
      <c r="BR143" s="718"/>
      <c r="BS143" s="718"/>
      <c r="BT143" s="718"/>
      <c r="BU143" s="718"/>
      <c r="BV143" s="718"/>
      <c r="BW143" s="718"/>
      <c r="BX143" s="718"/>
      <c r="BY143" s="718"/>
      <c r="BZ143" s="718"/>
      <c r="CA143" s="718"/>
      <c r="CB143" s="718"/>
      <c r="CC143" s="718"/>
      <c r="CD143" s="718"/>
      <c r="CE143" s="718"/>
      <c r="CF143" s="718"/>
      <c r="CG143" s="718"/>
      <c r="CH143" s="718"/>
      <c r="CI143" s="719"/>
      <c r="CJ143" s="1543"/>
      <c r="CK143" s="1296"/>
    </row>
    <row r="144" spans="2:89" ht="15" thickBot="1" x14ac:dyDescent="0.25">
      <c r="B144" s="753" t="s">
        <v>723</v>
      </c>
      <c r="C144" s="754" t="s">
        <v>512</v>
      </c>
      <c r="D144" s="755" t="s">
        <v>724</v>
      </c>
      <c r="E144" s="756" t="s">
        <v>236</v>
      </c>
      <c r="F144" s="757">
        <v>2</v>
      </c>
      <c r="G144" s="729">
        <f t="shared" ref="G144:AK144" si="66">G54+G112</f>
        <v>0</v>
      </c>
      <c r="H144" s="729">
        <f t="shared" si="66"/>
        <v>0</v>
      </c>
      <c r="I144" s="729">
        <f t="shared" si="66"/>
        <v>0.71365102411868819</v>
      </c>
      <c r="J144" s="729">
        <f t="shared" si="66"/>
        <v>0.71365102411868819</v>
      </c>
      <c r="K144" s="729">
        <f t="shared" si="66"/>
        <v>0.71365102411868819</v>
      </c>
      <c r="L144" s="729">
        <f t="shared" si="66"/>
        <v>0.71365102411868819</v>
      </c>
      <c r="M144" s="758">
        <f t="shared" si="66"/>
        <v>0.71365102411868819</v>
      </c>
      <c r="N144" s="758">
        <f t="shared" si="66"/>
        <v>0.71365102411868819</v>
      </c>
      <c r="O144" s="758">
        <f t="shared" si="66"/>
        <v>0.71365102411868819</v>
      </c>
      <c r="P144" s="758">
        <f t="shared" si="66"/>
        <v>0.71365102411868819</v>
      </c>
      <c r="Q144" s="758">
        <f t="shared" si="66"/>
        <v>0.71365102411868819</v>
      </c>
      <c r="R144" s="758">
        <f t="shared" si="66"/>
        <v>0.71365102411868819</v>
      </c>
      <c r="S144" s="758">
        <f t="shared" si="66"/>
        <v>0.71365102411868819</v>
      </c>
      <c r="T144" s="758">
        <f t="shared" si="66"/>
        <v>0.71365102411868819</v>
      </c>
      <c r="U144" s="758">
        <f t="shared" si="66"/>
        <v>0.71365102411868819</v>
      </c>
      <c r="V144" s="758">
        <f t="shared" si="66"/>
        <v>0.71365102411868819</v>
      </c>
      <c r="W144" s="758">
        <f t="shared" si="66"/>
        <v>0.71365102411868819</v>
      </c>
      <c r="X144" s="758">
        <f t="shared" si="66"/>
        <v>0.71365102411868819</v>
      </c>
      <c r="Y144" s="758">
        <f t="shared" si="66"/>
        <v>0.71365102411868819</v>
      </c>
      <c r="Z144" s="758">
        <f t="shared" si="66"/>
        <v>0.71365102411868819</v>
      </c>
      <c r="AA144" s="758">
        <f t="shared" si="66"/>
        <v>0.71365102411868819</v>
      </c>
      <c r="AB144" s="758">
        <f t="shared" si="66"/>
        <v>0.71365102411868819</v>
      </c>
      <c r="AC144" s="758">
        <f t="shared" si="66"/>
        <v>0.71365102411868819</v>
      </c>
      <c r="AD144" s="758">
        <f t="shared" si="66"/>
        <v>0.71365102411868819</v>
      </c>
      <c r="AE144" s="758">
        <f t="shared" si="66"/>
        <v>0.71365102411868819</v>
      </c>
      <c r="AF144" s="758">
        <f t="shared" si="66"/>
        <v>0.71365102411868819</v>
      </c>
      <c r="AG144" s="758">
        <f t="shared" si="66"/>
        <v>0.71365102411868819</v>
      </c>
      <c r="AH144" s="758">
        <f t="shared" si="66"/>
        <v>0.71365102411868819</v>
      </c>
      <c r="AI144" s="758">
        <f t="shared" si="66"/>
        <v>0.71365102411868819</v>
      </c>
      <c r="AJ144" s="758">
        <f t="shared" si="66"/>
        <v>0.71365102411868819</v>
      </c>
      <c r="AK144" s="758">
        <f t="shared" si="66"/>
        <v>0.71365102411868819</v>
      </c>
      <c r="AL144" s="758"/>
      <c r="AM144" s="758"/>
      <c r="AN144" s="758"/>
      <c r="AO144" s="758"/>
      <c r="AP144" s="758"/>
      <c r="AQ144" s="758"/>
      <c r="AR144" s="758"/>
      <c r="AS144" s="758"/>
      <c r="AT144" s="758"/>
      <c r="AU144" s="758"/>
      <c r="AV144" s="758"/>
      <c r="AW144" s="758"/>
      <c r="AX144" s="758"/>
      <c r="AY144" s="758"/>
      <c r="AZ144" s="758"/>
      <c r="BA144" s="758"/>
      <c r="BB144" s="758"/>
      <c r="BC144" s="758"/>
      <c r="BD144" s="758"/>
      <c r="BE144" s="758"/>
      <c r="BF144" s="758"/>
      <c r="BG144" s="758"/>
      <c r="BH144" s="758"/>
      <c r="BI144" s="758"/>
      <c r="BJ144" s="758"/>
      <c r="BK144" s="758"/>
      <c r="BL144" s="758"/>
      <c r="BM144" s="758"/>
      <c r="BN144" s="758"/>
      <c r="BO144" s="758"/>
      <c r="BP144" s="758"/>
      <c r="BQ144" s="758"/>
      <c r="BR144" s="758"/>
      <c r="BS144" s="758"/>
      <c r="BT144" s="758"/>
      <c r="BU144" s="758"/>
      <c r="BV144" s="758"/>
      <c r="BW144" s="758"/>
      <c r="BX144" s="758"/>
      <c r="BY144" s="758"/>
      <c r="BZ144" s="758"/>
      <c r="CA144" s="758"/>
      <c r="CB144" s="758"/>
      <c r="CC144" s="758"/>
      <c r="CD144" s="758"/>
      <c r="CE144" s="758"/>
      <c r="CF144" s="758"/>
      <c r="CG144" s="758"/>
      <c r="CH144" s="758"/>
      <c r="CI144" s="759"/>
      <c r="CJ144" s="1543"/>
      <c r="CK144" s="1296"/>
    </row>
    <row r="145" spans="2:89" x14ac:dyDescent="0.2">
      <c r="B145" s="708" t="s">
        <v>725</v>
      </c>
      <c r="C145" s="710" t="s">
        <v>514</v>
      </c>
      <c r="D145" s="710" t="s">
        <v>726</v>
      </c>
      <c r="E145" s="711" t="s">
        <v>236</v>
      </c>
      <c r="F145" s="712">
        <v>2</v>
      </c>
      <c r="G145" s="735">
        <f t="shared" ref="G145:AK145" si="67">G55+G113</f>
        <v>0</v>
      </c>
      <c r="H145" s="735">
        <f>H55+H113</f>
        <v>0</v>
      </c>
      <c r="I145" s="735">
        <f t="shared" si="67"/>
        <v>3.1940738474326512E-2</v>
      </c>
      <c r="J145" s="735">
        <f t="shared" si="67"/>
        <v>4.0251839304238653E-2</v>
      </c>
      <c r="K145" s="735">
        <f t="shared" si="67"/>
        <v>3.8869775634189051E-2</v>
      </c>
      <c r="L145" s="735">
        <f t="shared" si="67"/>
        <v>3.8091231352925789E-2</v>
      </c>
      <c r="M145" s="736">
        <f t="shared" si="67"/>
        <v>3.8805324773378946E-2</v>
      </c>
      <c r="N145" s="736">
        <f t="shared" si="67"/>
        <v>3.8578844289331123E-2</v>
      </c>
      <c r="O145" s="736">
        <f t="shared" si="67"/>
        <v>3.8348810928821878E-2</v>
      </c>
      <c r="P145" s="736">
        <f t="shared" si="67"/>
        <v>3.8115224691851225E-2</v>
      </c>
      <c r="Q145" s="736">
        <f t="shared" si="67"/>
        <v>3.7878085578419138E-2</v>
      </c>
      <c r="R145" s="736">
        <f t="shared" si="67"/>
        <v>3.7637393588525657E-2</v>
      </c>
      <c r="S145" s="736">
        <f t="shared" si="67"/>
        <v>3.7393148722170755E-2</v>
      </c>
      <c r="T145" s="736">
        <f t="shared" si="67"/>
        <v>3.7145350979354431E-2</v>
      </c>
      <c r="U145" s="736">
        <f t="shared" si="67"/>
        <v>3.6894000360076701E-2</v>
      </c>
      <c r="V145" s="736">
        <f t="shared" si="67"/>
        <v>3.6639096864337542E-2</v>
      </c>
      <c r="W145" s="736">
        <f t="shared" si="67"/>
        <v>3.6380640492136976E-2</v>
      </c>
      <c r="X145" s="736">
        <f t="shared" si="67"/>
        <v>3.6118631243474981E-2</v>
      </c>
      <c r="Y145" s="736">
        <f t="shared" si="67"/>
        <v>3.5853069118351573E-2</v>
      </c>
      <c r="Z145" s="736">
        <f t="shared" si="67"/>
        <v>3.5583954116766764E-2</v>
      </c>
      <c r="AA145" s="736">
        <f t="shared" si="67"/>
        <v>3.531128623872052E-2</v>
      </c>
      <c r="AB145" s="736">
        <f t="shared" si="67"/>
        <v>3.5035065484212861E-2</v>
      </c>
      <c r="AC145" s="736">
        <f t="shared" si="67"/>
        <v>3.4755291853243796E-2</v>
      </c>
      <c r="AD145" s="736">
        <f t="shared" si="67"/>
        <v>3.4471965345813309E-2</v>
      </c>
      <c r="AE145" s="736">
        <f t="shared" si="67"/>
        <v>3.4185085961921394E-2</v>
      </c>
      <c r="AF145" s="736">
        <f t="shared" si="67"/>
        <v>3.3894653701568085E-2</v>
      </c>
      <c r="AG145" s="736">
        <f t="shared" si="67"/>
        <v>3.3600668564753342E-2</v>
      </c>
      <c r="AH145" s="736">
        <f t="shared" si="67"/>
        <v>3.3303130551477197E-2</v>
      </c>
      <c r="AI145" s="736">
        <f t="shared" si="67"/>
        <v>3.3002039661739618E-2</v>
      </c>
      <c r="AJ145" s="736">
        <f t="shared" si="67"/>
        <v>3.2697395895540632E-2</v>
      </c>
      <c r="AK145" s="736">
        <f t="shared" si="67"/>
        <v>3.2389199252880231E-2</v>
      </c>
      <c r="AL145" s="736"/>
      <c r="AM145" s="736"/>
      <c r="AN145" s="736"/>
      <c r="AO145" s="736"/>
      <c r="AP145" s="736"/>
      <c r="AQ145" s="736"/>
      <c r="AR145" s="736"/>
      <c r="AS145" s="736"/>
      <c r="AT145" s="736"/>
      <c r="AU145" s="736"/>
      <c r="AV145" s="736"/>
      <c r="AW145" s="736"/>
      <c r="AX145" s="736"/>
      <c r="AY145" s="736"/>
      <c r="AZ145" s="736"/>
      <c r="BA145" s="736"/>
      <c r="BB145" s="736"/>
      <c r="BC145" s="736"/>
      <c r="BD145" s="736"/>
      <c r="BE145" s="736"/>
      <c r="BF145" s="736"/>
      <c r="BG145" s="736"/>
      <c r="BH145" s="736"/>
      <c r="BI145" s="736"/>
      <c r="BJ145" s="736"/>
      <c r="BK145" s="736"/>
      <c r="BL145" s="736"/>
      <c r="BM145" s="736"/>
      <c r="BN145" s="736"/>
      <c r="BO145" s="736"/>
      <c r="BP145" s="736"/>
      <c r="BQ145" s="736"/>
      <c r="BR145" s="736"/>
      <c r="BS145" s="736"/>
      <c r="BT145" s="736"/>
      <c r="BU145" s="736"/>
      <c r="BV145" s="736"/>
      <c r="BW145" s="736"/>
      <c r="BX145" s="736"/>
      <c r="BY145" s="736"/>
      <c r="BZ145" s="736"/>
      <c r="CA145" s="736"/>
      <c r="CB145" s="736"/>
      <c r="CC145" s="736"/>
      <c r="CD145" s="736"/>
      <c r="CE145" s="736"/>
      <c r="CF145" s="736"/>
      <c r="CG145" s="736"/>
      <c r="CH145" s="736"/>
      <c r="CI145" s="737"/>
      <c r="CJ145" s="1543"/>
      <c r="CK145" s="1296"/>
    </row>
    <row r="146" spans="2:89" x14ac:dyDescent="0.2">
      <c r="B146" s="720" t="s">
        <v>727</v>
      </c>
      <c r="C146" s="721" t="s">
        <v>516</v>
      </c>
      <c r="D146" s="715" t="s">
        <v>728</v>
      </c>
      <c r="E146" s="716" t="s">
        <v>236</v>
      </c>
      <c r="F146" s="717">
        <v>2</v>
      </c>
      <c r="G146" s="569">
        <f t="shared" ref="G146:AK146" si="68">G56+G114</f>
        <v>0</v>
      </c>
      <c r="H146" s="569">
        <f t="shared" si="68"/>
        <v>0</v>
      </c>
      <c r="I146" s="569">
        <f t="shared" si="68"/>
        <v>2.9136428712953424E-3</v>
      </c>
      <c r="J146" s="569">
        <f t="shared" si="68"/>
        <v>2.9391133179009492E-3</v>
      </c>
      <c r="K146" s="569">
        <f t="shared" si="68"/>
        <v>2.7918244958601225E-3</v>
      </c>
      <c r="L146" s="569">
        <f t="shared" si="68"/>
        <v>1.6155685626926231E-3</v>
      </c>
      <c r="M146" s="718">
        <f t="shared" si="68"/>
        <v>7.4949833345018665E-4</v>
      </c>
      <c r="N146" s="718">
        <f t="shared" si="68"/>
        <v>7.2391071991669367E-4</v>
      </c>
      <c r="O146" s="718">
        <f t="shared" si="68"/>
        <v>6.9869406375487478E-4</v>
      </c>
      <c r="P146" s="718">
        <f t="shared" si="68"/>
        <v>6.7384836496472999E-4</v>
      </c>
      <c r="Q146" s="718">
        <f t="shared" si="68"/>
        <v>6.4937362354625951E-4</v>
      </c>
      <c r="R146" s="718">
        <f t="shared" si="68"/>
        <v>6.2526983949946335E-4</v>
      </c>
      <c r="S146" s="718">
        <f t="shared" si="68"/>
        <v>6.0153701282434139E-4</v>
      </c>
      <c r="T146" s="718">
        <f t="shared" si="68"/>
        <v>5.7817514352089363E-4</v>
      </c>
      <c r="U146" s="718">
        <f t="shared" si="68"/>
        <v>5.5518423158911975E-4</v>
      </c>
      <c r="V146" s="718">
        <f t="shared" si="68"/>
        <v>5.489821980665799E-4</v>
      </c>
      <c r="W146" s="718">
        <f t="shared" si="68"/>
        <v>5.4278016454404005E-4</v>
      </c>
      <c r="X146" s="718">
        <f t="shared" si="68"/>
        <v>5.3657813102150019E-4</v>
      </c>
      <c r="Y146" s="718">
        <f t="shared" si="68"/>
        <v>5.3037609749896023E-4</v>
      </c>
      <c r="Z146" s="718">
        <f t="shared" si="68"/>
        <v>5.2417406397642049E-4</v>
      </c>
      <c r="AA146" s="718">
        <f t="shared" si="68"/>
        <v>5.1797203045388064E-4</v>
      </c>
      <c r="AB146" s="718">
        <f t="shared" si="68"/>
        <v>5.1176999693134078E-4</v>
      </c>
      <c r="AC146" s="718">
        <f t="shared" si="68"/>
        <v>5.0556796340880071E-4</v>
      </c>
      <c r="AD146" s="718">
        <f t="shared" si="68"/>
        <v>4.9936592988626075E-4</v>
      </c>
      <c r="AE146" s="718">
        <f t="shared" si="68"/>
        <v>4.931638963637209E-4</v>
      </c>
      <c r="AF146" s="718">
        <f t="shared" si="68"/>
        <v>4.8696186284118132E-4</v>
      </c>
      <c r="AG146" s="718">
        <f t="shared" si="68"/>
        <v>4.8075982931864119E-4</v>
      </c>
      <c r="AH146" s="718">
        <f t="shared" si="68"/>
        <v>4.7455779579610134E-4</v>
      </c>
      <c r="AI146" s="718">
        <f t="shared" si="68"/>
        <v>4.6835576227356149E-4</v>
      </c>
      <c r="AJ146" s="718">
        <f t="shared" si="68"/>
        <v>4.6215372875102158E-4</v>
      </c>
      <c r="AK146" s="718">
        <f t="shared" si="68"/>
        <v>4.5595169522848162E-4</v>
      </c>
      <c r="AL146" s="718"/>
      <c r="AM146" s="718"/>
      <c r="AN146" s="718"/>
      <c r="AO146" s="718"/>
      <c r="AP146" s="718"/>
      <c r="AQ146" s="718"/>
      <c r="AR146" s="718"/>
      <c r="AS146" s="718"/>
      <c r="AT146" s="718"/>
      <c r="AU146" s="718"/>
      <c r="AV146" s="718"/>
      <c r="AW146" s="718"/>
      <c r="AX146" s="718"/>
      <c r="AY146" s="718"/>
      <c r="AZ146" s="718"/>
      <c r="BA146" s="718"/>
      <c r="BB146" s="718"/>
      <c r="BC146" s="718"/>
      <c r="BD146" s="718"/>
      <c r="BE146" s="718"/>
      <c r="BF146" s="718"/>
      <c r="BG146" s="718"/>
      <c r="BH146" s="718"/>
      <c r="BI146" s="718"/>
      <c r="BJ146" s="718"/>
      <c r="BK146" s="718"/>
      <c r="BL146" s="718"/>
      <c r="BM146" s="718"/>
      <c r="BN146" s="718"/>
      <c r="BO146" s="718"/>
      <c r="BP146" s="718"/>
      <c r="BQ146" s="718"/>
      <c r="BR146" s="718"/>
      <c r="BS146" s="718"/>
      <c r="BT146" s="718"/>
      <c r="BU146" s="718"/>
      <c r="BV146" s="718"/>
      <c r="BW146" s="718"/>
      <c r="BX146" s="718"/>
      <c r="BY146" s="718"/>
      <c r="BZ146" s="718"/>
      <c r="CA146" s="718"/>
      <c r="CB146" s="718"/>
      <c r="CC146" s="718"/>
      <c r="CD146" s="718"/>
      <c r="CE146" s="718"/>
      <c r="CF146" s="718"/>
      <c r="CG146" s="718"/>
      <c r="CH146" s="718"/>
      <c r="CI146" s="719"/>
      <c r="CJ146" s="1543"/>
      <c r="CK146" s="1296"/>
    </row>
    <row r="147" spans="2:89" x14ac:dyDescent="0.2">
      <c r="B147" s="720" t="s">
        <v>729</v>
      </c>
      <c r="C147" s="721" t="s">
        <v>518</v>
      </c>
      <c r="D147" s="715" t="s">
        <v>730</v>
      </c>
      <c r="E147" s="716" t="s">
        <v>236</v>
      </c>
      <c r="F147" s="717">
        <v>2</v>
      </c>
      <c r="G147" s="569">
        <f t="shared" ref="G147:AK147" si="69">G57+G115</f>
        <v>0</v>
      </c>
      <c r="H147" s="569">
        <f t="shared" si="69"/>
        <v>0</v>
      </c>
      <c r="I147" s="569">
        <f t="shared" si="69"/>
        <v>0.39965056297299739</v>
      </c>
      <c r="J147" s="569">
        <f t="shared" si="69"/>
        <v>0.46831854841479637</v>
      </c>
      <c r="K147" s="569">
        <f t="shared" si="69"/>
        <v>0.45994932996175353</v>
      </c>
      <c r="L147" s="569">
        <f t="shared" si="69"/>
        <v>0.45604570269946643</v>
      </c>
      <c r="M147" s="718">
        <f t="shared" si="69"/>
        <v>0.47139960129888203</v>
      </c>
      <c r="N147" s="718">
        <f t="shared" si="69"/>
        <v>0.49069545753174137</v>
      </c>
      <c r="O147" s="718">
        <f t="shared" si="69"/>
        <v>0.5204012885717062</v>
      </c>
      <c r="P147" s="718">
        <f t="shared" si="69"/>
        <v>0.5579540047732352</v>
      </c>
      <c r="Q147" s="718">
        <f t="shared" si="69"/>
        <v>0.58278308184538408</v>
      </c>
      <c r="R147" s="718">
        <f t="shared" si="69"/>
        <v>0.58768802934800823</v>
      </c>
      <c r="S147" s="718">
        <f t="shared" si="69"/>
        <v>0.58450937491626354</v>
      </c>
      <c r="T147" s="718">
        <f t="shared" si="69"/>
        <v>0.58121703294271587</v>
      </c>
      <c r="U147" s="718">
        <f t="shared" si="69"/>
        <v>0.57782454485080881</v>
      </c>
      <c r="V147" s="718">
        <f t="shared" si="69"/>
        <v>0.57433484544723556</v>
      </c>
      <c r="W147" s="718">
        <f t="shared" si="69"/>
        <v>0.57077664199686762</v>
      </c>
      <c r="X147" s="718">
        <f t="shared" si="69"/>
        <v>0.56714601412994625</v>
      </c>
      <c r="Y147" s="718">
        <f t="shared" si="69"/>
        <v>0.56341952898025116</v>
      </c>
      <c r="Z147" s="718">
        <f t="shared" si="69"/>
        <v>0.55959516084752514</v>
      </c>
      <c r="AA147" s="718">
        <f t="shared" si="69"/>
        <v>0.55561609057043726</v>
      </c>
      <c r="AB147" s="718">
        <f t="shared" si="69"/>
        <v>0.55154241176104857</v>
      </c>
      <c r="AC147" s="718">
        <f t="shared" si="69"/>
        <v>0.54737777066525761</v>
      </c>
      <c r="AD147" s="718">
        <f t="shared" si="69"/>
        <v>0.5431234072726161</v>
      </c>
      <c r="AE147" s="718">
        <f t="shared" si="69"/>
        <v>0.53878160909839523</v>
      </c>
      <c r="AF147" s="718">
        <f t="shared" si="69"/>
        <v>0.53435156946625517</v>
      </c>
      <c r="AG147" s="718">
        <f t="shared" si="69"/>
        <v>0.52983428529215271</v>
      </c>
      <c r="AH147" s="718">
        <f t="shared" si="69"/>
        <v>0.52523116285517191</v>
      </c>
      <c r="AI147" s="718">
        <f t="shared" si="69"/>
        <v>0.52054254010022971</v>
      </c>
      <c r="AJ147" s="718">
        <f t="shared" si="69"/>
        <v>0.51576679756425847</v>
      </c>
      <c r="AK147" s="718">
        <f t="shared" si="69"/>
        <v>0.51090584767748937</v>
      </c>
      <c r="AL147" s="718"/>
      <c r="AM147" s="718"/>
      <c r="AN147" s="718"/>
      <c r="AO147" s="718"/>
      <c r="AP147" s="718"/>
      <c r="AQ147" s="718"/>
      <c r="AR147" s="718"/>
      <c r="AS147" s="718"/>
      <c r="AT147" s="718"/>
      <c r="AU147" s="718"/>
      <c r="AV147" s="718"/>
      <c r="AW147" s="718"/>
      <c r="AX147" s="718"/>
      <c r="AY147" s="718"/>
      <c r="AZ147" s="718"/>
      <c r="BA147" s="718"/>
      <c r="BB147" s="718"/>
      <c r="BC147" s="718"/>
      <c r="BD147" s="718"/>
      <c r="BE147" s="718"/>
      <c r="BF147" s="718"/>
      <c r="BG147" s="718"/>
      <c r="BH147" s="718"/>
      <c r="BI147" s="718"/>
      <c r="BJ147" s="718"/>
      <c r="BK147" s="718"/>
      <c r="BL147" s="718"/>
      <c r="BM147" s="718"/>
      <c r="BN147" s="718"/>
      <c r="BO147" s="718"/>
      <c r="BP147" s="718"/>
      <c r="BQ147" s="718"/>
      <c r="BR147" s="718"/>
      <c r="BS147" s="718"/>
      <c r="BT147" s="718"/>
      <c r="BU147" s="718"/>
      <c r="BV147" s="718"/>
      <c r="BW147" s="718"/>
      <c r="BX147" s="718"/>
      <c r="BY147" s="718"/>
      <c r="BZ147" s="718"/>
      <c r="CA147" s="718"/>
      <c r="CB147" s="718"/>
      <c r="CC147" s="718"/>
      <c r="CD147" s="718"/>
      <c r="CE147" s="718"/>
      <c r="CF147" s="718"/>
      <c r="CG147" s="718"/>
      <c r="CH147" s="718"/>
      <c r="CI147" s="719"/>
      <c r="CJ147" s="1543"/>
      <c r="CK147" s="1296"/>
    </row>
    <row r="148" spans="2:89" x14ac:dyDescent="0.2">
      <c r="B148" s="720" t="s">
        <v>731</v>
      </c>
      <c r="C148" s="721" t="s">
        <v>520</v>
      </c>
      <c r="D148" s="715" t="s">
        <v>732</v>
      </c>
      <c r="E148" s="716" t="s">
        <v>236</v>
      </c>
      <c r="F148" s="717">
        <v>2</v>
      </c>
      <c r="G148" s="569">
        <f t="shared" ref="G148:AK148" si="70">G58+G116</f>
        <v>0</v>
      </c>
      <c r="H148" s="569">
        <f t="shared" si="70"/>
        <v>0</v>
      </c>
      <c r="I148" s="569">
        <f t="shared" si="70"/>
        <v>0.33594718026353254</v>
      </c>
      <c r="J148" s="569">
        <f t="shared" si="70"/>
        <v>0.38727948170714011</v>
      </c>
      <c r="K148" s="569">
        <f t="shared" si="70"/>
        <v>0.36743741027069388</v>
      </c>
      <c r="L148" s="569">
        <f t="shared" si="70"/>
        <v>0.33979624292718547</v>
      </c>
      <c r="M148" s="718">
        <f t="shared" si="70"/>
        <v>0.31009827814125374</v>
      </c>
      <c r="N148" s="718">
        <f t="shared" si="70"/>
        <v>0.26366269713093837</v>
      </c>
      <c r="O148" s="718">
        <f t="shared" si="70"/>
        <v>0.18900064535533342</v>
      </c>
      <c r="P148" s="718">
        <f t="shared" si="70"/>
        <v>9.442166156025994E-2</v>
      </c>
      <c r="Q148" s="718">
        <f t="shared" si="70"/>
        <v>2.876636246416453E-2</v>
      </c>
      <c r="R148" s="718">
        <f t="shared" si="70"/>
        <v>9.7575984491450329E-3</v>
      </c>
      <c r="S148" s="718">
        <f t="shared" si="70"/>
        <v>9.560557934436914E-3</v>
      </c>
      <c r="T148" s="718">
        <f t="shared" si="70"/>
        <v>9.3857944471695265E-3</v>
      </c>
      <c r="U148" s="718">
        <f t="shared" si="70"/>
        <v>9.2241849467551429E-3</v>
      </c>
      <c r="V148" s="718">
        <f t="shared" si="70"/>
        <v>9.0753406517795343E-3</v>
      </c>
      <c r="W148" s="718">
        <f t="shared" si="70"/>
        <v>8.8764940134146708E-3</v>
      </c>
      <c r="X148" s="718">
        <f t="shared" si="70"/>
        <v>8.6181825477538443E-3</v>
      </c>
      <c r="Y148" s="718">
        <f t="shared" si="70"/>
        <v>8.3634977881369144E-3</v>
      </c>
      <c r="Z148" s="718">
        <f t="shared" si="70"/>
        <v>8.1124397345639088E-3</v>
      </c>
      <c r="AA148" s="718">
        <f t="shared" si="70"/>
        <v>7.8758316058911426E-3</v>
      </c>
      <c r="AB148" s="718">
        <f t="shared" si="70"/>
        <v>7.6426306136413158E-3</v>
      </c>
      <c r="AC148" s="718">
        <f t="shared" si="70"/>
        <v>7.4022808165733478E-3</v>
      </c>
      <c r="AD148" s="718">
        <f t="shared" si="70"/>
        <v>7.1655555712339947E-3</v>
      </c>
      <c r="AE148" s="718">
        <f t="shared" si="70"/>
        <v>6.9324548776232287E-3</v>
      </c>
      <c r="AF148" s="718">
        <f t="shared" si="70"/>
        <v>6.702978735741022E-3</v>
      </c>
      <c r="AG148" s="718">
        <f t="shared" si="70"/>
        <v>6.4771271455874024E-3</v>
      </c>
      <c r="AH148" s="718">
        <f t="shared" si="70"/>
        <v>6.2549001071623977E-3</v>
      </c>
      <c r="AI148" s="718">
        <f t="shared" si="70"/>
        <v>6.0362976204659247E-3</v>
      </c>
      <c r="AJ148" s="718">
        <f t="shared" si="70"/>
        <v>5.8213196854980664E-3</v>
      </c>
      <c r="AK148" s="718">
        <f t="shared" si="70"/>
        <v>5.6099663022587953E-3</v>
      </c>
      <c r="AL148" s="718"/>
      <c r="AM148" s="718"/>
      <c r="AN148" s="718"/>
      <c r="AO148" s="718"/>
      <c r="AP148" s="718"/>
      <c r="AQ148" s="718"/>
      <c r="AR148" s="718"/>
      <c r="AS148" s="718"/>
      <c r="AT148" s="718"/>
      <c r="AU148" s="718"/>
      <c r="AV148" s="718"/>
      <c r="AW148" s="718"/>
      <c r="AX148" s="718"/>
      <c r="AY148" s="718"/>
      <c r="AZ148" s="718"/>
      <c r="BA148" s="718"/>
      <c r="BB148" s="718"/>
      <c r="BC148" s="718"/>
      <c r="BD148" s="718"/>
      <c r="BE148" s="718"/>
      <c r="BF148" s="718"/>
      <c r="BG148" s="718"/>
      <c r="BH148" s="718"/>
      <c r="BI148" s="718"/>
      <c r="BJ148" s="718"/>
      <c r="BK148" s="718"/>
      <c r="BL148" s="718"/>
      <c r="BM148" s="718"/>
      <c r="BN148" s="718"/>
      <c r="BO148" s="718"/>
      <c r="BP148" s="718"/>
      <c r="BQ148" s="718"/>
      <c r="BR148" s="718"/>
      <c r="BS148" s="718"/>
      <c r="BT148" s="718"/>
      <c r="BU148" s="718"/>
      <c r="BV148" s="718"/>
      <c r="BW148" s="718"/>
      <c r="BX148" s="718"/>
      <c r="BY148" s="718"/>
      <c r="BZ148" s="718"/>
      <c r="CA148" s="718"/>
      <c r="CB148" s="718"/>
      <c r="CC148" s="718"/>
      <c r="CD148" s="718"/>
      <c r="CE148" s="718"/>
      <c r="CF148" s="718"/>
      <c r="CG148" s="718"/>
      <c r="CH148" s="718"/>
      <c r="CI148" s="719"/>
      <c r="CJ148" s="1543"/>
      <c r="CK148" s="1296"/>
    </row>
    <row r="149" spans="2:89" x14ac:dyDescent="0.2">
      <c r="B149" s="720" t="s">
        <v>733</v>
      </c>
      <c r="C149" s="721" t="s">
        <v>522</v>
      </c>
      <c r="D149" s="715" t="s">
        <v>734</v>
      </c>
      <c r="E149" s="716" t="s">
        <v>236</v>
      </c>
      <c r="F149" s="717">
        <v>2</v>
      </c>
      <c r="G149" s="569">
        <f t="shared" ref="G149:AK149" si="71">G59+G117</f>
        <v>0</v>
      </c>
      <c r="H149" s="569">
        <f t="shared" si="71"/>
        <v>0</v>
      </c>
      <c r="I149" s="569">
        <f t="shared" si="71"/>
        <v>5.1229979988093338E-2</v>
      </c>
      <c r="J149" s="569">
        <f t="shared" si="71"/>
        <v>5.9579652879111059E-2</v>
      </c>
      <c r="K149" s="569">
        <f t="shared" si="71"/>
        <v>6.0149596757885018E-2</v>
      </c>
      <c r="L149" s="569">
        <f t="shared" si="71"/>
        <v>6.028343187482562E-2</v>
      </c>
      <c r="M149" s="718">
        <f t="shared" si="71"/>
        <v>5.9249757135764379E-2</v>
      </c>
      <c r="N149" s="718">
        <f t="shared" si="71"/>
        <v>5.9500203872080062E-2</v>
      </c>
      <c r="O149" s="718">
        <f t="shared" si="71"/>
        <v>5.9828000330152571E-2</v>
      </c>
      <c r="P149" s="718">
        <f t="shared" si="71"/>
        <v>6.0085444848006903E-2</v>
      </c>
      <c r="Q149" s="718">
        <f t="shared" si="71"/>
        <v>6.0325422775378994E-2</v>
      </c>
      <c r="R149" s="718">
        <f t="shared" si="71"/>
        <v>6.0609495321223401E-2</v>
      </c>
      <c r="S149" s="718">
        <f t="shared" si="71"/>
        <v>6.0939086530233978E-2</v>
      </c>
      <c r="T149" s="718">
        <f t="shared" si="71"/>
        <v>6.1279191493013821E-2</v>
      </c>
      <c r="U149" s="718">
        <f t="shared" si="71"/>
        <v>6.1616876809991047E-2</v>
      </c>
      <c r="V149" s="718">
        <f t="shared" si="71"/>
        <v>6.1954584879548816E-2</v>
      </c>
      <c r="W149" s="718">
        <f t="shared" si="71"/>
        <v>6.2290075272905261E-2</v>
      </c>
      <c r="X149" s="718">
        <f t="shared" si="71"/>
        <v>6.2622493958084044E-2</v>
      </c>
      <c r="Y149" s="718">
        <f t="shared" si="71"/>
        <v>6.2952190892707774E-2</v>
      </c>
      <c r="Z149" s="718">
        <f t="shared" si="71"/>
        <v>6.3278915099025834E-2</v>
      </c>
      <c r="AA149" s="718">
        <f t="shared" si="71"/>
        <v>6.3599816035682821E-2</v>
      </c>
      <c r="AB149" s="718">
        <f t="shared" si="71"/>
        <v>6.3917563060626195E-2</v>
      </c>
      <c r="AC149" s="718">
        <f t="shared" si="71"/>
        <v>6.4231996584295334E-2</v>
      </c>
      <c r="AD149" s="718">
        <f t="shared" si="71"/>
        <v>6.454366727784272E-2</v>
      </c>
      <c r="AE149" s="718">
        <f t="shared" si="71"/>
        <v>6.4852632716710351E-2</v>
      </c>
      <c r="AF149" s="718">
        <f t="shared" si="71"/>
        <v>6.5158736924636487E-2</v>
      </c>
      <c r="AG149" s="718">
        <f t="shared" si="71"/>
        <v>6.5461970708916351E-2</v>
      </c>
      <c r="AH149" s="718">
        <f t="shared" si="71"/>
        <v>6.5762396644483426E-2</v>
      </c>
      <c r="AI149" s="718">
        <f t="shared" si="71"/>
        <v>6.6059961120784896E-2</v>
      </c>
      <c r="AJ149" s="718">
        <f t="shared" si="71"/>
        <v>6.6354356428943606E-2</v>
      </c>
      <c r="AK149" s="718">
        <f t="shared" si="71"/>
        <v>6.664564279264186E-2</v>
      </c>
      <c r="AL149" s="718"/>
      <c r="AM149" s="718"/>
      <c r="AN149" s="718"/>
      <c r="AO149" s="718"/>
      <c r="AP149" s="718"/>
      <c r="AQ149" s="718"/>
      <c r="AR149" s="718"/>
      <c r="AS149" s="718"/>
      <c r="AT149" s="718"/>
      <c r="AU149" s="718"/>
      <c r="AV149" s="718"/>
      <c r="AW149" s="718"/>
      <c r="AX149" s="718"/>
      <c r="AY149" s="718"/>
      <c r="AZ149" s="718"/>
      <c r="BA149" s="718"/>
      <c r="BB149" s="718"/>
      <c r="BC149" s="718"/>
      <c r="BD149" s="718"/>
      <c r="BE149" s="718"/>
      <c r="BF149" s="718"/>
      <c r="BG149" s="718"/>
      <c r="BH149" s="718"/>
      <c r="BI149" s="718"/>
      <c r="BJ149" s="718"/>
      <c r="BK149" s="718"/>
      <c r="BL149" s="718"/>
      <c r="BM149" s="718"/>
      <c r="BN149" s="718"/>
      <c r="BO149" s="718"/>
      <c r="BP149" s="718"/>
      <c r="BQ149" s="718"/>
      <c r="BR149" s="718"/>
      <c r="BS149" s="718"/>
      <c r="BT149" s="718"/>
      <c r="BU149" s="718"/>
      <c r="BV149" s="718"/>
      <c r="BW149" s="718"/>
      <c r="BX149" s="718"/>
      <c r="BY149" s="718"/>
      <c r="BZ149" s="718"/>
      <c r="CA149" s="718"/>
      <c r="CB149" s="718"/>
      <c r="CC149" s="718"/>
      <c r="CD149" s="718"/>
      <c r="CE149" s="718"/>
      <c r="CF149" s="718"/>
      <c r="CG149" s="718"/>
      <c r="CH149" s="718"/>
      <c r="CI149" s="719"/>
      <c r="CJ149" s="1543"/>
      <c r="CK149" s="1296"/>
    </row>
    <row r="150" spans="2:89" x14ac:dyDescent="0.2">
      <c r="B150" s="720" t="s">
        <v>735</v>
      </c>
      <c r="C150" s="714" t="s">
        <v>524</v>
      </c>
      <c r="D150" s="715" t="s">
        <v>736</v>
      </c>
      <c r="E150" s="716" t="s">
        <v>236</v>
      </c>
      <c r="F150" s="717">
        <v>2</v>
      </c>
      <c r="G150" s="569">
        <f t="shared" ref="G150:AK150" si="72">G60+G118</f>
        <v>0</v>
      </c>
      <c r="H150" s="569">
        <f t="shared" si="72"/>
        <v>0</v>
      </c>
      <c r="I150" s="569">
        <f t="shared" si="72"/>
        <v>1.89237436365741</v>
      </c>
      <c r="J150" s="569">
        <f t="shared" si="72"/>
        <v>2.0526977643768127</v>
      </c>
      <c r="K150" s="569">
        <f t="shared" si="72"/>
        <v>1.964117262879618</v>
      </c>
      <c r="L150" s="569">
        <f t="shared" si="72"/>
        <v>1.8797318225829041</v>
      </c>
      <c r="M150" s="718">
        <f t="shared" si="72"/>
        <v>1.8670879403172709</v>
      </c>
      <c r="N150" s="718">
        <f t="shared" si="72"/>
        <v>1.8660556864559923</v>
      </c>
      <c r="O150" s="718">
        <f t="shared" si="72"/>
        <v>1.8827657607502308</v>
      </c>
      <c r="P150" s="718">
        <f t="shared" si="72"/>
        <v>1.9116194157616815</v>
      </c>
      <c r="Q150" s="718">
        <f t="shared" si="72"/>
        <v>1.9242936737131067</v>
      </c>
      <c r="R150" s="718">
        <f t="shared" si="72"/>
        <v>1.9102046134535975</v>
      </c>
      <c r="S150" s="718">
        <f t="shared" si="72"/>
        <v>1.8853450948840695</v>
      </c>
      <c r="T150" s="718">
        <f t="shared" si="72"/>
        <v>1.8605696549942246</v>
      </c>
      <c r="U150" s="718">
        <f t="shared" si="72"/>
        <v>1.8358868088007783</v>
      </c>
      <c r="V150" s="718">
        <f t="shared" si="72"/>
        <v>1.8112751499590307</v>
      </c>
      <c r="W150" s="718">
        <f t="shared" si="72"/>
        <v>1.7867877680601301</v>
      </c>
      <c r="X150" s="718">
        <f t="shared" si="72"/>
        <v>1.7624388999897178</v>
      </c>
      <c r="Y150" s="718">
        <f t="shared" si="72"/>
        <v>1.7381885371230519</v>
      </c>
      <c r="Z150" s="718">
        <f t="shared" si="72"/>
        <v>1.7140389561381402</v>
      </c>
      <c r="AA150" s="718">
        <f t="shared" si="72"/>
        <v>1.6900390035188126</v>
      </c>
      <c r="AB150" s="718">
        <f t="shared" si="72"/>
        <v>1.6661369590835378</v>
      </c>
      <c r="AC150" s="718">
        <f t="shared" si="72"/>
        <v>1.642339892117219</v>
      </c>
      <c r="AD150" s="718">
        <f t="shared" si="72"/>
        <v>1.6186352386026053</v>
      </c>
      <c r="AE150" s="718">
        <f t="shared" si="72"/>
        <v>1.5950206534489837</v>
      </c>
      <c r="AF150" s="718">
        <f t="shared" si="72"/>
        <v>1.5714970993089556</v>
      </c>
      <c r="AG150" s="718">
        <f t="shared" si="72"/>
        <v>1.5480635884592688</v>
      </c>
      <c r="AH150" s="718">
        <f t="shared" si="72"/>
        <v>1.5247186520459062</v>
      </c>
      <c r="AI150" s="718">
        <f t="shared" si="72"/>
        <v>1.5014620057345032</v>
      </c>
      <c r="AJ150" s="718">
        <f t="shared" si="72"/>
        <v>1.4782955766970052</v>
      </c>
      <c r="AK150" s="718">
        <f t="shared" si="72"/>
        <v>1.4552173922795013</v>
      </c>
      <c r="AL150" s="718"/>
      <c r="AM150" s="718"/>
      <c r="AN150" s="718"/>
      <c r="AO150" s="718"/>
      <c r="AP150" s="718"/>
      <c r="AQ150" s="718"/>
      <c r="AR150" s="718"/>
      <c r="AS150" s="718"/>
      <c r="AT150" s="718"/>
      <c r="AU150" s="718"/>
      <c r="AV150" s="718"/>
      <c r="AW150" s="718"/>
      <c r="AX150" s="718"/>
      <c r="AY150" s="718"/>
      <c r="AZ150" s="718"/>
      <c r="BA150" s="718"/>
      <c r="BB150" s="718"/>
      <c r="BC150" s="718"/>
      <c r="BD150" s="718"/>
      <c r="BE150" s="718"/>
      <c r="BF150" s="718"/>
      <c r="BG150" s="718"/>
      <c r="BH150" s="718"/>
      <c r="BI150" s="718"/>
      <c r="BJ150" s="718"/>
      <c r="BK150" s="718"/>
      <c r="BL150" s="718"/>
      <c r="BM150" s="718"/>
      <c r="BN150" s="718"/>
      <c r="BO150" s="718"/>
      <c r="BP150" s="718"/>
      <c r="BQ150" s="718"/>
      <c r="BR150" s="718"/>
      <c r="BS150" s="718"/>
      <c r="BT150" s="718"/>
      <c r="BU150" s="718"/>
      <c r="BV150" s="718"/>
      <c r="BW150" s="718"/>
      <c r="BX150" s="718"/>
      <c r="BY150" s="718"/>
      <c r="BZ150" s="718"/>
      <c r="CA150" s="718"/>
      <c r="CB150" s="718"/>
      <c r="CC150" s="718"/>
      <c r="CD150" s="718"/>
      <c r="CE150" s="718"/>
      <c r="CF150" s="718"/>
      <c r="CG150" s="718"/>
      <c r="CH150" s="718"/>
      <c r="CI150" s="719"/>
      <c r="CJ150" s="1543"/>
      <c r="CK150" s="1296"/>
    </row>
    <row r="151" spans="2:89" x14ac:dyDescent="0.2">
      <c r="B151" s="720" t="s">
        <v>737</v>
      </c>
      <c r="C151" s="714" t="s">
        <v>243</v>
      </c>
      <c r="D151" s="715" t="s">
        <v>738</v>
      </c>
      <c r="E151" s="716" t="s">
        <v>236</v>
      </c>
      <c r="F151" s="717">
        <v>2</v>
      </c>
      <c r="G151" s="569">
        <f>SUM(G145:G150)</f>
        <v>0</v>
      </c>
      <c r="H151" s="569">
        <f t="shared" ref="H151:AK151" si="73">SUM(H145:H150)</f>
        <v>0</v>
      </c>
      <c r="I151" s="569">
        <f t="shared" si="73"/>
        <v>2.7140564682276551</v>
      </c>
      <c r="J151" s="569">
        <f t="shared" si="73"/>
        <v>3.0110663999999998</v>
      </c>
      <c r="K151" s="569">
        <f t="shared" si="73"/>
        <v>2.8933151999999995</v>
      </c>
      <c r="L151" s="569">
        <f t="shared" si="73"/>
        <v>2.7755640000000001</v>
      </c>
      <c r="M151" s="718">
        <f t="shared" si="73"/>
        <v>2.7473904000000005</v>
      </c>
      <c r="N151" s="718">
        <f t="shared" si="73"/>
        <v>2.7192167999999999</v>
      </c>
      <c r="O151" s="718">
        <f t="shared" si="73"/>
        <v>2.6910431999999997</v>
      </c>
      <c r="P151" s="718">
        <f t="shared" si="73"/>
        <v>2.6628695999999996</v>
      </c>
      <c r="Q151" s="718">
        <f t="shared" si="73"/>
        <v>2.6346959999999999</v>
      </c>
      <c r="R151" s="718">
        <f t="shared" si="73"/>
        <v>2.6065223999999994</v>
      </c>
      <c r="S151" s="718">
        <f t="shared" si="73"/>
        <v>2.5783487999999988</v>
      </c>
      <c r="T151" s="718">
        <f t="shared" si="73"/>
        <v>2.5501751999999991</v>
      </c>
      <c r="U151" s="718">
        <f t="shared" si="73"/>
        <v>2.522001599999999</v>
      </c>
      <c r="V151" s="718">
        <f t="shared" si="73"/>
        <v>2.4938279999999988</v>
      </c>
      <c r="W151" s="718">
        <f t="shared" si="73"/>
        <v>2.4656543999999987</v>
      </c>
      <c r="X151" s="718">
        <f t="shared" si="73"/>
        <v>2.4374807999999986</v>
      </c>
      <c r="Y151" s="718">
        <f t="shared" si="73"/>
        <v>2.4093071999999984</v>
      </c>
      <c r="Z151" s="718">
        <f t="shared" si="73"/>
        <v>2.3811335999999983</v>
      </c>
      <c r="AA151" s="718">
        <f t="shared" si="73"/>
        <v>2.3529599999999982</v>
      </c>
      <c r="AB151" s="718">
        <f t="shared" si="73"/>
        <v>2.324786399999998</v>
      </c>
      <c r="AC151" s="718">
        <f t="shared" si="73"/>
        <v>2.2966127999999979</v>
      </c>
      <c r="AD151" s="718">
        <f t="shared" si="73"/>
        <v>2.2684391999999978</v>
      </c>
      <c r="AE151" s="718">
        <f t="shared" si="73"/>
        <v>2.2402655999999976</v>
      </c>
      <c r="AF151" s="718">
        <f t="shared" si="73"/>
        <v>2.2120919999999975</v>
      </c>
      <c r="AG151" s="718">
        <f t="shared" si="73"/>
        <v>2.1839183999999974</v>
      </c>
      <c r="AH151" s="718">
        <f t="shared" si="73"/>
        <v>2.1557447999999972</v>
      </c>
      <c r="AI151" s="718">
        <f t="shared" si="73"/>
        <v>2.1275711999999971</v>
      </c>
      <c r="AJ151" s="718">
        <f t="shared" si="73"/>
        <v>2.099397599999997</v>
      </c>
      <c r="AK151" s="718">
        <f t="shared" si="73"/>
        <v>2.071224</v>
      </c>
      <c r="AL151" s="718"/>
      <c r="AM151" s="718"/>
      <c r="AN151" s="718"/>
      <c r="AO151" s="718"/>
      <c r="AP151" s="718"/>
      <c r="AQ151" s="718"/>
      <c r="AR151" s="718"/>
      <c r="AS151" s="718"/>
      <c r="AT151" s="718"/>
      <c r="AU151" s="718"/>
      <c r="AV151" s="718"/>
      <c r="AW151" s="718"/>
      <c r="AX151" s="718"/>
      <c r="AY151" s="718"/>
      <c r="AZ151" s="718"/>
      <c r="BA151" s="718"/>
      <c r="BB151" s="718"/>
      <c r="BC151" s="718"/>
      <c r="BD151" s="718"/>
      <c r="BE151" s="718"/>
      <c r="BF151" s="718"/>
      <c r="BG151" s="718"/>
      <c r="BH151" s="718"/>
      <c r="BI151" s="718"/>
      <c r="BJ151" s="718"/>
      <c r="BK151" s="718"/>
      <c r="BL151" s="718"/>
      <c r="BM151" s="718"/>
      <c r="BN151" s="718"/>
      <c r="BO151" s="718"/>
      <c r="BP151" s="718"/>
      <c r="BQ151" s="718"/>
      <c r="BR151" s="718"/>
      <c r="BS151" s="718"/>
      <c r="BT151" s="718"/>
      <c r="BU151" s="718"/>
      <c r="BV151" s="718"/>
      <c r="BW151" s="718"/>
      <c r="BX151" s="718"/>
      <c r="BY151" s="718"/>
      <c r="BZ151" s="718"/>
      <c r="CA151" s="718"/>
      <c r="CB151" s="718"/>
      <c r="CC151" s="718"/>
      <c r="CD151" s="718"/>
      <c r="CE151" s="718"/>
      <c r="CF151" s="718"/>
      <c r="CG151" s="718"/>
      <c r="CH151" s="718"/>
      <c r="CI151" s="719"/>
      <c r="CJ151" s="1543"/>
      <c r="CK151" s="1296"/>
    </row>
    <row r="152" spans="2:89" ht="15" thickBot="1" x14ac:dyDescent="0.25">
      <c r="B152" s="760" t="s">
        <v>739</v>
      </c>
      <c r="C152" s="761" t="s">
        <v>528</v>
      </c>
      <c r="D152" s="762" t="s">
        <v>740</v>
      </c>
      <c r="E152" s="763" t="s">
        <v>530</v>
      </c>
      <c r="F152" s="728">
        <v>2</v>
      </c>
      <c r="G152" s="729" t="e">
        <f>(G151*1000000)/(G166*1000)</f>
        <v>#DIV/0!</v>
      </c>
      <c r="H152" s="729" t="e">
        <f t="shared" ref="H152:AK152" si="74">(H151*1000000)/(H166*1000)</f>
        <v>#DIV/0!</v>
      </c>
      <c r="I152" s="729">
        <f t="shared" si="74"/>
        <v>26.172445908134648</v>
      </c>
      <c r="J152" s="729">
        <f t="shared" si="74"/>
        <v>28.902501631768818</v>
      </c>
      <c r="K152" s="729">
        <f t="shared" si="74"/>
        <v>27.446526167727498</v>
      </c>
      <c r="L152" s="729">
        <f t="shared" si="74"/>
        <v>26.050955438380992</v>
      </c>
      <c r="M152" s="758">
        <f t="shared" si="74"/>
        <v>25.510018981799224</v>
      </c>
      <c r="N152" s="758">
        <f t="shared" si="74"/>
        <v>25.007374569020147</v>
      </c>
      <c r="O152" s="758">
        <f t="shared" si="74"/>
        <v>24.547782192246661</v>
      </c>
      <c r="P152" s="758">
        <f t="shared" si="74"/>
        <v>24.115726965986255</v>
      </c>
      <c r="Q152" s="758">
        <f t="shared" si="74"/>
        <v>23.708971077497289</v>
      </c>
      <c r="R152" s="758">
        <f t="shared" si="74"/>
        <v>23.313088641140844</v>
      </c>
      <c r="S152" s="758">
        <f t="shared" si="74"/>
        <v>22.923147703550349</v>
      </c>
      <c r="T152" s="758">
        <f t="shared" si="74"/>
        <v>22.539033578188313</v>
      </c>
      <c r="U152" s="758">
        <f t="shared" si="74"/>
        <v>22.160504085811681</v>
      </c>
      <c r="V152" s="758">
        <f t="shared" si="74"/>
        <v>21.787039958282566</v>
      </c>
      <c r="W152" s="758">
        <f t="shared" si="74"/>
        <v>21.418751294484039</v>
      </c>
      <c r="X152" s="758">
        <f t="shared" si="74"/>
        <v>21.055840125639783</v>
      </c>
      <c r="Y152" s="758">
        <f t="shared" si="74"/>
        <v>20.698072354178795</v>
      </c>
      <c r="Z152" s="758">
        <f t="shared" si="74"/>
        <v>20.345420786183627</v>
      </c>
      <c r="AA152" s="758">
        <f t="shared" si="74"/>
        <v>19.998808998170741</v>
      </c>
      <c r="AB152" s="758">
        <f t="shared" si="74"/>
        <v>19.656995705326402</v>
      </c>
      <c r="AC152" s="758">
        <f t="shared" si="74"/>
        <v>19.319915499844697</v>
      </c>
      <c r="AD152" s="758">
        <f t="shared" si="74"/>
        <v>18.987267421517988</v>
      </c>
      <c r="AE152" s="758">
        <f t="shared" si="74"/>
        <v>18.658887811451081</v>
      </c>
      <c r="AF152" s="758">
        <f t="shared" si="74"/>
        <v>18.334727573714083</v>
      </c>
      <c r="AG152" s="758">
        <f t="shared" si="74"/>
        <v>18.014675281643246</v>
      </c>
      <c r="AH152" s="758">
        <f t="shared" si="74"/>
        <v>17.698608275928152</v>
      </c>
      <c r="AI152" s="758">
        <f t="shared" si="74"/>
        <v>17.386444818278367</v>
      </c>
      <c r="AJ152" s="758">
        <f t="shared" si="74"/>
        <v>17.078173206678802</v>
      </c>
      <c r="AK152" s="758">
        <f t="shared" si="74"/>
        <v>16.773661307358861</v>
      </c>
      <c r="AL152" s="758"/>
      <c r="AM152" s="758"/>
      <c r="AN152" s="758"/>
      <c r="AO152" s="758"/>
      <c r="AP152" s="758"/>
      <c r="AQ152" s="758"/>
      <c r="AR152" s="758"/>
      <c r="AS152" s="758"/>
      <c r="AT152" s="758"/>
      <c r="AU152" s="758"/>
      <c r="AV152" s="758"/>
      <c r="AW152" s="758"/>
      <c r="AX152" s="758"/>
      <c r="AY152" s="758"/>
      <c r="AZ152" s="758"/>
      <c r="BA152" s="758"/>
      <c r="BB152" s="758"/>
      <c r="BC152" s="758"/>
      <c r="BD152" s="758"/>
      <c r="BE152" s="758"/>
      <c r="BF152" s="758"/>
      <c r="BG152" s="758"/>
      <c r="BH152" s="758"/>
      <c r="BI152" s="758"/>
      <c r="BJ152" s="758"/>
      <c r="BK152" s="758"/>
      <c r="BL152" s="758"/>
      <c r="BM152" s="758"/>
      <c r="BN152" s="758"/>
      <c r="BO152" s="758"/>
      <c r="BP152" s="758"/>
      <c r="BQ152" s="758"/>
      <c r="BR152" s="758"/>
      <c r="BS152" s="758"/>
      <c r="BT152" s="758"/>
      <c r="BU152" s="758"/>
      <c r="BV152" s="758"/>
      <c r="BW152" s="758"/>
      <c r="BX152" s="758"/>
      <c r="BY152" s="758"/>
      <c r="BZ152" s="758"/>
      <c r="CA152" s="758"/>
      <c r="CB152" s="758"/>
      <c r="CC152" s="758"/>
      <c r="CD152" s="758"/>
      <c r="CE152" s="758"/>
      <c r="CF152" s="758"/>
      <c r="CG152" s="758"/>
      <c r="CH152" s="758"/>
      <c r="CI152" s="759"/>
      <c r="CJ152" s="1543"/>
      <c r="CK152" s="1296"/>
    </row>
    <row r="153" spans="2:89" x14ac:dyDescent="0.2">
      <c r="B153" s="730" t="s">
        <v>741</v>
      </c>
      <c r="C153" s="731" t="s">
        <v>532</v>
      </c>
      <c r="D153" s="686" t="s">
        <v>86</v>
      </c>
      <c r="E153" s="764" t="s">
        <v>344</v>
      </c>
      <c r="F153" s="765">
        <v>2</v>
      </c>
      <c r="G153" s="593"/>
      <c r="H153" s="593"/>
      <c r="I153" s="593">
        <v>5.9089999999999998</v>
      </c>
      <c r="J153" s="593">
        <v>6.0497184242398276</v>
      </c>
      <c r="K153" s="593">
        <v>6.0797545880510917</v>
      </c>
      <c r="L153" s="593">
        <v>6.2107425934316316</v>
      </c>
      <c r="M153" s="594">
        <v>6.3920580454308684</v>
      </c>
      <c r="N153" s="594">
        <v>6.4205930226834074</v>
      </c>
      <c r="O153" s="594">
        <v>6.4491279999359445</v>
      </c>
      <c r="P153" s="594">
        <v>6.4776629771884835</v>
      </c>
      <c r="Q153" s="594">
        <v>6.5061979544410207</v>
      </c>
      <c r="R153" s="594">
        <v>6.5347329316935596</v>
      </c>
      <c r="S153" s="594">
        <v>6.5632679089460977</v>
      </c>
      <c r="T153" s="594">
        <v>6.5918028861986357</v>
      </c>
      <c r="U153" s="594">
        <v>6.6203378634511747</v>
      </c>
      <c r="V153" s="594">
        <v>6.6488728407037128</v>
      </c>
      <c r="W153" s="594">
        <v>6.6774078179562508</v>
      </c>
      <c r="X153" s="594">
        <v>6.705942795208788</v>
      </c>
      <c r="Y153" s="594">
        <v>6.7344777724613269</v>
      </c>
      <c r="Z153" s="594">
        <v>6.7630127497138659</v>
      </c>
      <c r="AA153" s="594">
        <v>6.7915477269664031</v>
      </c>
      <c r="AB153" s="594">
        <v>6.8200827042189411</v>
      </c>
      <c r="AC153" s="594">
        <v>6.8486176814714801</v>
      </c>
      <c r="AD153" s="594">
        <v>6.877152658724019</v>
      </c>
      <c r="AE153" s="594">
        <v>6.9056876359765553</v>
      </c>
      <c r="AF153" s="594">
        <v>6.9342226132290943</v>
      </c>
      <c r="AG153" s="594">
        <v>6.9627575904816323</v>
      </c>
      <c r="AH153" s="594">
        <v>6.9912925677341713</v>
      </c>
      <c r="AI153" s="594">
        <v>7.0198275449867085</v>
      </c>
      <c r="AJ153" s="594">
        <v>7.0483625222392465</v>
      </c>
      <c r="AK153" s="594">
        <v>7.0768974994917864</v>
      </c>
      <c r="AL153" s="594"/>
      <c r="AM153" s="594"/>
      <c r="AN153" s="594"/>
      <c r="AO153" s="594"/>
      <c r="AP153" s="594"/>
      <c r="AQ153" s="594"/>
      <c r="AR153" s="594"/>
      <c r="AS153" s="594"/>
      <c r="AT153" s="594"/>
      <c r="AU153" s="594"/>
      <c r="AV153" s="594"/>
      <c r="AW153" s="594"/>
      <c r="AX153" s="594"/>
      <c r="AY153" s="594"/>
      <c r="AZ153" s="594"/>
      <c r="BA153" s="594"/>
      <c r="BB153" s="594"/>
      <c r="BC153" s="594"/>
      <c r="BD153" s="594"/>
      <c r="BE153" s="594"/>
      <c r="BF153" s="594"/>
      <c r="BG153" s="594"/>
      <c r="BH153" s="594"/>
      <c r="BI153" s="594"/>
      <c r="BJ153" s="594"/>
      <c r="BK153" s="594"/>
      <c r="BL153" s="594"/>
      <c r="BM153" s="594"/>
      <c r="BN153" s="594"/>
      <c r="BO153" s="594"/>
      <c r="BP153" s="594"/>
      <c r="BQ153" s="594"/>
      <c r="BR153" s="594"/>
      <c r="BS153" s="594"/>
      <c r="BT153" s="594"/>
      <c r="BU153" s="594"/>
      <c r="BV153" s="594"/>
      <c r="BW153" s="594"/>
      <c r="BX153" s="594"/>
      <c r="BY153" s="594"/>
      <c r="BZ153" s="594"/>
      <c r="CA153" s="594"/>
      <c r="CB153" s="594"/>
      <c r="CC153" s="594"/>
      <c r="CD153" s="594"/>
      <c r="CE153" s="594"/>
      <c r="CF153" s="594"/>
      <c r="CG153" s="594"/>
      <c r="CH153" s="594"/>
      <c r="CI153" s="595"/>
      <c r="CJ153" s="1543"/>
      <c r="CK153" s="1296"/>
    </row>
    <row r="154" spans="2:89" x14ac:dyDescent="0.2">
      <c r="B154" s="738" t="s">
        <v>742</v>
      </c>
      <c r="C154" s="739" t="s">
        <v>534</v>
      </c>
      <c r="D154" s="690" t="s">
        <v>86</v>
      </c>
      <c r="E154" s="748" t="s">
        <v>344</v>
      </c>
      <c r="F154" s="749">
        <v>2</v>
      </c>
      <c r="G154" s="597"/>
      <c r="H154" s="597"/>
      <c r="I154" s="597">
        <v>0.19900000000000001</v>
      </c>
      <c r="J154" s="597">
        <v>0.20557287866130006</v>
      </c>
      <c r="K154" s="597">
        <v>0.20321800534188358</v>
      </c>
      <c r="L154" s="597">
        <v>0.12258687303834717</v>
      </c>
      <c r="M154" s="598">
        <v>5.7453979423387862E-2</v>
      </c>
      <c r="N154" s="598">
        <v>5.6067474279234829E-2</v>
      </c>
      <c r="O154" s="598">
        <v>5.4680969135081796E-2</v>
      </c>
      <c r="P154" s="598">
        <v>5.3294463990928763E-2</v>
      </c>
      <c r="Q154" s="598">
        <v>5.190795884677573E-2</v>
      </c>
      <c r="R154" s="598">
        <v>5.052145370262269E-2</v>
      </c>
      <c r="S154" s="598">
        <v>4.9134948558469657E-2</v>
      </c>
      <c r="T154" s="598">
        <v>4.7748443414316631E-2</v>
      </c>
      <c r="U154" s="598">
        <v>4.6361938270163584E-2</v>
      </c>
      <c r="V154" s="598">
        <v>4.6361938270163584E-2</v>
      </c>
      <c r="W154" s="598">
        <v>4.6361938270163584E-2</v>
      </c>
      <c r="X154" s="598">
        <v>4.6361938270163584E-2</v>
      </c>
      <c r="Y154" s="598">
        <v>4.6361938270163584E-2</v>
      </c>
      <c r="Z154" s="598">
        <v>4.6361938270163584E-2</v>
      </c>
      <c r="AA154" s="598">
        <v>4.6361938270163584E-2</v>
      </c>
      <c r="AB154" s="598">
        <v>4.6361938270163584E-2</v>
      </c>
      <c r="AC154" s="598">
        <v>4.6361938270163584E-2</v>
      </c>
      <c r="AD154" s="598">
        <v>4.6361938270163584E-2</v>
      </c>
      <c r="AE154" s="598">
        <v>4.6361938270163584E-2</v>
      </c>
      <c r="AF154" s="598">
        <v>4.6361938270163584E-2</v>
      </c>
      <c r="AG154" s="598">
        <v>4.6361938270163584E-2</v>
      </c>
      <c r="AH154" s="598">
        <v>4.6361938270163584E-2</v>
      </c>
      <c r="AI154" s="598">
        <v>4.6361938270163584E-2</v>
      </c>
      <c r="AJ154" s="598">
        <v>4.6361938270163584E-2</v>
      </c>
      <c r="AK154" s="598">
        <v>4.6361938270163584E-2</v>
      </c>
      <c r="AL154" s="598"/>
      <c r="AM154" s="598"/>
      <c r="AN154" s="598"/>
      <c r="AO154" s="598"/>
      <c r="AP154" s="598"/>
      <c r="AQ154" s="598"/>
      <c r="AR154" s="598"/>
      <c r="AS154" s="598"/>
      <c r="AT154" s="598"/>
      <c r="AU154" s="598"/>
      <c r="AV154" s="598"/>
      <c r="AW154" s="598"/>
      <c r="AX154" s="598"/>
      <c r="AY154" s="598"/>
      <c r="AZ154" s="598"/>
      <c r="BA154" s="598"/>
      <c r="BB154" s="598"/>
      <c r="BC154" s="598"/>
      <c r="BD154" s="598"/>
      <c r="BE154" s="598"/>
      <c r="BF154" s="598"/>
      <c r="BG154" s="598"/>
      <c r="BH154" s="598"/>
      <c r="BI154" s="598"/>
      <c r="BJ154" s="598"/>
      <c r="BK154" s="598"/>
      <c r="BL154" s="598"/>
      <c r="BM154" s="598"/>
      <c r="BN154" s="598"/>
      <c r="BO154" s="598"/>
      <c r="BP154" s="598"/>
      <c r="BQ154" s="598"/>
      <c r="BR154" s="598"/>
      <c r="BS154" s="598"/>
      <c r="BT154" s="598"/>
      <c r="BU154" s="598"/>
      <c r="BV154" s="598"/>
      <c r="BW154" s="598"/>
      <c r="BX154" s="598"/>
      <c r="BY154" s="598"/>
      <c r="BZ154" s="598"/>
      <c r="CA154" s="598"/>
      <c r="CB154" s="598"/>
      <c r="CC154" s="598"/>
      <c r="CD154" s="598"/>
      <c r="CE154" s="598"/>
      <c r="CF154" s="598"/>
      <c r="CG154" s="598"/>
      <c r="CH154" s="598"/>
      <c r="CI154" s="599"/>
      <c r="CJ154" s="1543"/>
      <c r="CK154" s="1296"/>
    </row>
    <row r="155" spans="2:89" x14ac:dyDescent="0.2">
      <c r="B155" s="766" t="s">
        <v>743</v>
      </c>
      <c r="C155" s="767" t="s">
        <v>536</v>
      </c>
      <c r="D155" s="690" t="s">
        <v>86</v>
      </c>
      <c r="E155" s="748" t="s">
        <v>344</v>
      </c>
      <c r="F155" s="749">
        <v>2</v>
      </c>
      <c r="G155" s="597"/>
      <c r="H155" s="597"/>
      <c r="I155" s="597">
        <v>1.1990000000000001</v>
      </c>
      <c r="J155" s="597">
        <v>1.0715058907424664</v>
      </c>
      <c r="K155" s="597">
        <v>1.0751217938942144</v>
      </c>
      <c r="L155" s="597">
        <v>1.0560621144608044</v>
      </c>
      <c r="M155" s="598">
        <v>0.97117674972012147</v>
      </c>
      <c r="N155" s="598">
        <v>0.97532547125533076</v>
      </c>
      <c r="O155" s="598">
        <v>0.97947419279053993</v>
      </c>
      <c r="P155" s="598">
        <v>0.98362291432574944</v>
      </c>
      <c r="Q155" s="598">
        <v>0.98777163586095873</v>
      </c>
      <c r="R155" s="598">
        <v>0.99192035739616824</v>
      </c>
      <c r="S155" s="598">
        <v>0.99606907893137753</v>
      </c>
      <c r="T155" s="598">
        <v>1.0002178004665871</v>
      </c>
      <c r="U155" s="598">
        <v>1.0043665220017965</v>
      </c>
      <c r="V155" s="598">
        <v>1.0086692996641338</v>
      </c>
      <c r="W155" s="598">
        <v>1.0129720773264712</v>
      </c>
      <c r="X155" s="598">
        <v>1.0172748549888087</v>
      </c>
      <c r="Y155" s="598">
        <v>1.0215776326511461</v>
      </c>
      <c r="Z155" s="598">
        <v>1.0258804103134835</v>
      </c>
      <c r="AA155" s="598">
        <v>1.030183187975821</v>
      </c>
      <c r="AB155" s="598">
        <v>1.0344859656381586</v>
      </c>
      <c r="AC155" s="598">
        <v>1.0387887433004961</v>
      </c>
      <c r="AD155" s="598">
        <v>1.0430915209628335</v>
      </c>
      <c r="AE155" s="598">
        <v>1.047394298625171</v>
      </c>
      <c r="AF155" s="598">
        <v>1.0516970762875084</v>
      </c>
      <c r="AG155" s="598">
        <v>1.0559998539498459</v>
      </c>
      <c r="AH155" s="598">
        <v>1.0603026316121831</v>
      </c>
      <c r="AI155" s="598">
        <v>1.0646054092745207</v>
      </c>
      <c r="AJ155" s="598">
        <v>1.0689081869368582</v>
      </c>
      <c r="AK155" s="598">
        <v>1.0732109645991956</v>
      </c>
      <c r="AL155" s="598"/>
      <c r="AM155" s="598"/>
      <c r="AN155" s="598"/>
      <c r="AO155" s="598"/>
      <c r="AP155" s="598"/>
      <c r="AQ155" s="598"/>
      <c r="AR155" s="598"/>
      <c r="AS155" s="598"/>
      <c r="AT155" s="598"/>
      <c r="AU155" s="598"/>
      <c r="AV155" s="598"/>
      <c r="AW155" s="598"/>
      <c r="AX155" s="598"/>
      <c r="AY155" s="598"/>
      <c r="AZ155" s="598"/>
      <c r="BA155" s="598"/>
      <c r="BB155" s="598"/>
      <c r="BC155" s="598"/>
      <c r="BD155" s="598"/>
      <c r="BE155" s="598"/>
      <c r="BF155" s="598"/>
      <c r="BG155" s="598"/>
      <c r="BH155" s="598"/>
      <c r="BI155" s="598"/>
      <c r="BJ155" s="598"/>
      <c r="BK155" s="598"/>
      <c r="BL155" s="598"/>
      <c r="BM155" s="598"/>
      <c r="BN155" s="598"/>
      <c r="BO155" s="598"/>
      <c r="BP155" s="598"/>
      <c r="BQ155" s="598"/>
      <c r="BR155" s="598"/>
      <c r="BS155" s="598"/>
      <c r="BT155" s="598"/>
      <c r="BU155" s="598"/>
      <c r="BV155" s="598"/>
      <c r="BW155" s="598"/>
      <c r="BX155" s="598"/>
      <c r="BY155" s="598"/>
      <c r="BZ155" s="598"/>
      <c r="CA155" s="598"/>
      <c r="CB155" s="598"/>
      <c r="CC155" s="598"/>
      <c r="CD155" s="598"/>
      <c r="CE155" s="598"/>
      <c r="CF155" s="598"/>
      <c r="CG155" s="598"/>
      <c r="CH155" s="598"/>
      <c r="CI155" s="599"/>
      <c r="CJ155" s="1543"/>
      <c r="CK155" s="1296"/>
    </row>
    <row r="156" spans="2:89" ht="28.5" x14ac:dyDescent="0.2">
      <c r="B156" s="766" t="s">
        <v>744</v>
      </c>
      <c r="C156" s="767" t="s">
        <v>538</v>
      </c>
      <c r="D156" s="602" t="s">
        <v>539</v>
      </c>
      <c r="E156" s="603" t="s">
        <v>344</v>
      </c>
      <c r="F156" s="604">
        <v>2</v>
      </c>
      <c r="G156" s="597"/>
      <c r="H156" s="597"/>
      <c r="I156" s="597">
        <v>66.096000000000004</v>
      </c>
      <c r="J156" s="552">
        <f t="shared" ref="J156:L156" si="75">I156+SUM(J157:J162)</f>
        <v>66.826625834473973</v>
      </c>
      <c r="K156" s="552">
        <f t="shared" si="75"/>
        <v>68.338795487888873</v>
      </c>
      <c r="L156" s="552">
        <f t="shared" si="75"/>
        <v>70.369334615768921</v>
      </c>
      <c r="M156" s="552">
        <f t="shared" ref="M156" si="76">L156+SUM(M157:M162)</f>
        <v>73.489706620747327</v>
      </c>
      <c r="N156" s="552">
        <f t="shared" ref="N156" si="77">M156+SUM(N157:N162)</f>
        <v>77.833994871501574</v>
      </c>
      <c r="O156" s="552">
        <f t="shared" ref="O156" si="78">N156+SUM(O157:O162)</f>
        <v>84.302265919158316</v>
      </c>
      <c r="P156" s="552">
        <f t="shared" ref="P156" si="79">O156+SUM(P157:P162)</f>
        <v>92.377274870919621</v>
      </c>
      <c r="Q156" s="552">
        <f t="shared" ref="Q156" si="80">P156+SUM(Q157:Q162)</f>
        <v>98.208388288105311</v>
      </c>
      <c r="R156" s="552">
        <f t="shared" ref="R156" si="81">Q156+SUM(R157:R162)</f>
        <v>100.35172648952771</v>
      </c>
      <c r="S156" s="552">
        <f t="shared" ref="S156" si="82">R156+SUM(S157:S162)</f>
        <v>100.98272028567479</v>
      </c>
      <c r="T156" s="552">
        <f t="shared" ref="T156" si="83">S156+SUM(T157:T162)</f>
        <v>101.60536152648784</v>
      </c>
      <c r="U156" s="552">
        <f t="shared" ref="U156" si="84">T156+SUM(U157:U162)</f>
        <v>102.22163372020132</v>
      </c>
      <c r="V156" s="552">
        <f t="shared" ref="V156" si="85">U156+SUM(V157:V162)</f>
        <v>102.83191551804036</v>
      </c>
      <c r="W156" s="552">
        <f t="shared" ref="W156" si="86">V156+SUM(W157:W162)</f>
        <v>103.44182393702854</v>
      </c>
      <c r="X156" s="552">
        <f t="shared" ref="X156" si="87">W156+SUM(X157:X162)</f>
        <v>104.05053690687255</v>
      </c>
      <c r="Y156" s="552">
        <f t="shared" ref="Y156" si="88">X156+SUM(Y157:Y162)</f>
        <v>104.65316168792364</v>
      </c>
      <c r="Z156" s="552">
        <f t="shared" ref="Z156" si="89">Y156+SUM(Z157:Z162)</f>
        <v>105.24905553510501</v>
      </c>
      <c r="AA156" s="552">
        <f t="shared" ref="AA156" si="90">Z156+SUM(AA157:AA162)</f>
        <v>105.83115542161235</v>
      </c>
      <c r="AB156" s="552">
        <f t="shared" ref="AB156" si="91">AA156+SUM(AB157:AB162)</f>
        <v>106.40644435910971</v>
      </c>
      <c r="AC156" s="552">
        <f t="shared" ref="AC156" si="92">AB156+SUM(AC157:AC162)</f>
        <v>106.97547435492113</v>
      </c>
      <c r="AD156" s="552">
        <f t="shared" ref="AD156" si="93">AC156+SUM(AD157:AD162)</f>
        <v>107.53828858544006</v>
      </c>
      <c r="AE156" s="552">
        <f t="shared" ref="AE156" si="94">AD156+SUM(AE157:AE162)</f>
        <v>108.09516718688187</v>
      </c>
      <c r="AF156" s="552">
        <f t="shared" ref="AF156" si="95">AE156+SUM(AF157:AF162)</f>
        <v>108.64570109179563</v>
      </c>
      <c r="AG156" s="552">
        <f t="shared" ref="AG156" si="96">AF156+SUM(AG157:AG162)</f>
        <v>109.18987602066179</v>
      </c>
      <c r="AH156" s="552">
        <f t="shared" ref="AH156" si="97">AG156+SUM(AH157:AH162)</f>
        <v>109.72777288500799</v>
      </c>
      <c r="AI156" s="552">
        <f t="shared" ref="AI156" si="98">AH156+SUM(AI157:AI162)</f>
        <v>110.25922379374693</v>
      </c>
      <c r="AJ156" s="552">
        <f t="shared" ref="AJ156" si="99">AI156+SUM(AJ157:AJ162)</f>
        <v>110.78358122982759</v>
      </c>
      <c r="AK156" s="552">
        <f t="shared" ref="AK156" si="100">AJ156+SUM(AK157:AK162)</f>
        <v>111.30102178042362</v>
      </c>
      <c r="AL156" s="552"/>
      <c r="AM156" s="552"/>
      <c r="AN156" s="552"/>
      <c r="AO156" s="552"/>
      <c r="AP156" s="552"/>
      <c r="AQ156" s="552"/>
      <c r="AR156" s="552"/>
      <c r="AS156" s="552"/>
      <c r="AT156" s="552"/>
      <c r="AU156" s="552"/>
      <c r="AV156" s="552"/>
      <c r="AW156" s="552"/>
      <c r="AX156" s="552"/>
      <c r="AY156" s="552"/>
      <c r="AZ156" s="552"/>
      <c r="BA156" s="552"/>
      <c r="BB156" s="552"/>
      <c r="BC156" s="552"/>
      <c r="BD156" s="552"/>
      <c r="BE156" s="552"/>
      <c r="BF156" s="552"/>
      <c r="BG156" s="552"/>
      <c r="BH156" s="552"/>
      <c r="BI156" s="552"/>
      <c r="BJ156" s="552"/>
      <c r="BK156" s="552"/>
      <c r="BL156" s="552"/>
      <c r="BM156" s="552"/>
      <c r="BN156" s="552"/>
      <c r="BO156" s="552"/>
      <c r="BP156" s="552"/>
      <c r="BQ156" s="552"/>
      <c r="BR156" s="552"/>
      <c r="BS156" s="552"/>
      <c r="BT156" s="552"/>
      <c r="BU156" s="552"/>
      <c r="BV156" s="552"/>
      <c r="BW156" s="552"/>
      <c r="BX156" s="552"/>
      <c r="BY156" s="552"/>
      <c r="BZ156" s="552"/>
      <c r="CA156" s="552"/>
      <c r="CB156" s="552"/>
      <c r="CC156" s="552"/>
      <c r="CD156" s="552"/>
      <c r="CE156" s="552"/>
      <c r="CF156" s="552"/>
      <c r="CG156" s="552"/>
      <c r="CH156" s="552"/>
      <c r="CI156" s="548"/>
      <c r="CJ156" s="1543"/>
      <c r="CK156" s="1296"/>
    </row>
    <row r="157" spans="2:89" x14ac:dyDescent="0.2">
      <c r="B157" s="766" t="s">
        <v>745</v>
      </c>
      <c r="C157" s="767" t="s">
        <v>541</v>
      </c>
      <c r="D157" s="602" t="s">
        <v>542</v>
      </c>
      <c r="E157" s="603" t="s">
        <v>344</v>
      </c>
      <c r="F157" s="604">
        <v>2</v>
      </c>
      <c r="G157" s="597"/>
      <c r="H157" s="597"/>
      <c r="I157" s="597">
        <v>0.42699999999999999</v>
      </c>
      <c r="J157" s="597">
        <v>0.48688780049825436</v>
      </c>
      <c r="K157" s="597">
        <v>1.2295706409975247</v>
      </c>
      <c r="L157" s="597">
        <v>1.1194672742417315</v>
      </c>
      <c r="M157" s="598">
        <v>1.1503983206225092</v>
      </c>
      <c r="N157" s="598">
        <v>1.0326793054495065</v>
      </c>
      <c r="O157" s="598">
        <v>0.88166889654174152</v>
      </c>
      <c r="P157" s="598">
        <v>0.78832755269874177</v>
      </c>
      <c r="Q157" s="598">
        <v>0.69919436293649784</v>
      </c>
      <c r="R157" s="598">
        <v>0.67067344885074998</v>
      </c>
      <c r="S157" s="598">
        <v>0.66395618639375609</v>
      </c>
      <c r="T157" s="598">
        <v>0.6569858013547637</v>
      </c>
      <c r="U157" s="598">
        <v>0.65042263415247725</v>
      </c>
      <c r="V157" s="598">
        <v>0.64424846366225397</v>
      </c>
      <c r="W157" s="598">
        <v>0.63836643459500919</v>
      </c>
      <c r="X157" s="598">
        <v>0.6316360990207468</v>
      </c>
      <c r="Y157" s="598">
        <v>0.62536470498675767</v>
      </c>
      <c r="Z157" s="598">
        <v>0.61843367217523337</v>
      </c>
      <c r="AA157" s="598">
        <v>0.61191929456674554</v>
      </c>
      <c r="AB157" s="598">
        <v>0.60489963992676343</v>
      </c>
      <c r="AC157" s="598">
        <v>0.59845337435124379</v>
      </c>
      <c r="AD157" s="598">
        <v>0.59205163868849919</v>
      </c>
      <c r="AE157" s="598">
        <v>0.58593391473325029</v>
      </c>
      <c r="AF157" s="598">
        <v>0.57939662432348993</v>
      </c>
      <c r="AG157" s="598">
        <v>0.57284443561901566</v>
      </c>
      <c r="AH157" s="598">
        <v>0.56637737045774705</v>
      </c>
      <c r="AI157" s="598">
        <v>0.55973880560000544</v>
      </c>
      <c r="AJ157" s="598">
        <v>0.55243201133050024</v>
      </c>
      <c r="AK157" s="598">
        <v>0.54530585798399989</v>
      </c>
      <c r="AL157" s="598"/>
      <c r="AM157" s="598"/>
      <c r="AN157" s="598"/>
      <c r="AO157" s="598"/>
      <c r="AP157" s="598"/>
      <c r="AQ157" s="598"/>
      <c r="AR157" s="598"/>
      <c r="AS157" s="598"/>
      <c r="AT157" s="598"/>
      <c r="AU157" s="598"/>
      <c r="AV157" s="598"/>
      <c r="AW157" s="598"/>
      <c r="AX157" s="598"/>
      <c r="AY157" s="598"/>
      <c r="AZ157" s="598"/>
      <c r="BA157" s="598"/>
      <c r="BB157" s="598"/>
      <c r="BC157" s="598"/>
      <c r="BD157" s="598"/>
      <c r="BE157" s="598"/>
      <c r="BF157" s="598"/>
      <c r="BG157" s="598"/>
      <c r="BH157" s="598"/>
      <c r="BI157" s="598"/>
      <c r="BJ157" s="598"/>
      <c r="BK157" s="598"/>
      <c r="BL157" s="598"/>
      <c r="BM157" s="598"/>
      <c r="BN157" s="598"/>
      <c r="BO157" s="598"/>
      <c r="BP157" s="598"/>
      <c r="BQ157" s="598"/>
      <c r="BR157" s="598"/>
      <c r="BS157" s="598"/>
      <c r="BT157" s="598"/>
      <c r="BU157" s="598"/>
      <c r="BV157" s="598"/>
      <c r="BW157" s="598"/>
      <c r="BX157" s="598"/>
      <c r="BY157" s="598"/>
      <c r="BZ157" s="598"/>
      <c r="CA157" s="598"/>
      <c r="CB157" s="598"/>
      <c r="CC157" s="598"/>
      <c r="CD157" s="598"/>
      <c r="CE157" s="598"/>
      <c r="CF157" s="598"/>
      <c r="CG157" s="598"/>
      <c r="CH157" s="598"/>
      <c r="CI157" s="599"/>
      <c r="CJ157" s="1543"/>
      <c r="CK157" s="1296"/>
    </row>
    <row r="158" spans="2:89" x14ac:dyDescent="0.2">
      <c r="B158" s="766" t="s">
        <v>746</v>
      </c>
      <c r="C158" s="767" t="s">
        <v>544</v>
      </c>
      <c r="D158" s="602" t="s">
        <v>545</v>
      </c>
      <c r="E158" s="603" t="s">
        <v>344</v>
      </c>
      <c r="F158" s="604">
        <v>2</v>
      </c>
      <c r="G158" s="597"/>
      <c r="H158" s="597"/>
      <c r="I158" s="597">
        <v>0</v>
      </c>
      <c r="J158" s="597">
        <v>0.27817138937187569</v>
      </c>
      <c r="K158" s="597">
        <v>0.33800000000000002</v>
      </c>
      <c r="L158" s="597">
        <v>0.98350000000000004</v>
      </c>
      <c r="M158" s="598">
        <v>1.0478099999999999</v>
      </c>
      <c r="N158" s="598">
        <v>0.42731000000000002</v>
      </c>
      <c r="O158" s="598">
        <v>0.05</v>
      </c>
      <c r="P158" s="598">
        <v>0.05</v>
      </c>
      <c r="Q158" s="598">
        <v>0.05</v>
      </c>
      <c r="R158" s="598">
        <v>2.5000000000000001E-2</v>
      </c>
      <c r="S158" s="598">
        <v>0</v>
      </c>
      <c r="T158" s="598">
        <v>0</v>
      </c>
      <c r="U158" s="598">
        <v>0</v>
      </c>
      <c r="V158" s="598">
        <v>0</v>
      </c>
      <c r="W158" s="598">
        <v>0</v>
      </c>
      <c r="X158" s="598">
        <v>0</v>
      </c>
      <c r="Y158" s="598">
        <v>0</v>
      </c>
      <c r="Z158" s="598">
        <v>0</v>
      </c>
      <c r="AA158" s="598">
        <v>0</v>
      </c>
      <c r="AB158" s="598">
        <v>0</v>
      </c>
      <c r="AC158" s="598">
        <v>0</v>
      </c>
      <c r="AD158" s="598">
        <v>0</v>
      </c>
      <c r="AE158" s="598">
        <v>0</v>
      </c>
      <c r="AF158" s="598">
        <v>0</v>
      </c>
      <c r="AG158" s="598">
        <v>0</v>
      </c>
      <c r="AH158" s="598">
        <v>0</v>
      </c>
      <c r="AI158" s="598">
        <v>0</v>
      </c>
      <c r="AJ158" s="598">
        <v>0</v>
      </c>
      <c r="AK158" s="598">
        <v>0</v>
      </c>
      <c r="AL158" s="598"/>
      <c r="AM158" s="598"/>
      <c r="AN158" s="598"/>
      <c r="AO158" s="598"/>
      <c r="AP158" s="598"/>
      <c r="AQ158" s="598"/>
      <c r="AR158" s="598"/>
      <c r="AS158" s="598"/>
      <c r="AT158" s="598"/>
      <c r="AU158" s="598"/>
      <c r="AV158" s="598"/>
      <c r="AW158" s="598"/>
      <c r="AX158" s="598"/>
      <c r="AY158" s="598"/>
      <c r="AZ158" s="598"/>
      <c r="BA158" s="598"/>
      <c r="BB158" s="598"/>
      <c r="BC158" s="598"/>
      <c r="BD158" s="598"/>
      <c r="BE158" s="598"/>
      <c r="BF158" s="598"/>
      <c r="BG158" s="598"/>
      <c r="BH158" s="598"/>
      <c r="BI158" s="598"/>
      <c r="BJ158" s="598"/>
      <c r="BK158" s="598"/>
      <c r="BL158" s="598"/>
      <c r="BM158" s="598"/>
      <c r="BN158" s="598"/>
      <c r="BO158" s="598"/>
      <c r="BP158" s="598"/>
      <c r="BQ158" s="598"/>
      <c r="BR158" s="598"/>
      <c r="BS158" s="598"/>
      <c r="BT158" s="598"/>
      <c r="BU158" s="598"/>
      <c r="BV158" s="598"/>
      <c r="BW158" s="598"/>
      <c r="BX158" s="598"/>
      <c r="BY158" s="598"/>
      <c r="BZ158" s="598"/>
      <c r="CA158" s="598"/>
      <c r="CB158" s="598"/>
      <c r="CC158" s="598"/>
      <c r="CD158" s="598"/>
      <c r="CE158" s="598"/>
      <c r="CF158" s="598"/>
      <c r="CG158" s="598"/>
      <c r="CH158" s="598"/>
      <c r="CI158" s="599"/>
      <c r="CJ158" s="1543"/>
      <c r="CK158" s="1296"/>
    </row>
    <row r="159" spans="2:89" x14ac:dyDescent="0.2">
      <c r="B159" s="766" t="s">
        <v>747</v>
      </c>
      <c r="C159" s="767" t="s">
        <v>547</v>
      </c>
      <c r="D159" s="602" t="s">
        <v>548</v>
      </c>
      <c r="E159" s="603" t="s">
        <v>344</v>
      </c>
      <c r="F159" s="604">
        <v>2</v>
      </c>
      <c r="G159" s="597"/>
      <c r="H159" s="597"/>
      <c r="I159" s="597">
        <v>0</v>
      </c>
      <c r="J159" s="597">
        <v>0</v>
      </c>
      <c r="K159" s="597">
        <v>0</v>
      </c>
      <c r="L159" s="597">
        <v>0</v>
      </c>
      <c r="M159" s="598">
        <v>0</v>
      </c>
      <c r="N159" s="598">
        <v>3.0311899999999996</v>
      </c>
      <c r="O159" s="598">
        <v>5.75</v>
      </c>
      <c r="P159" s="598">
        <v>7.5</v>
      </c>
      <c r="Q159" s="598">
        <v>5.2750000000000004</v>
      </c>
      <c r="R159" s="598">
        <v>1.5249999999999999</v>
      </c>
      <c r="S159" s="598">
        <v>0</v>
      </c>
      <c r="T159" s="598">
        <v>0</v>
      </c>
      <c r="U159" s="598">
        <v>0</v>
      </c>
      <c r="V159" s="598">
        <v>0</v>
      </c>
      <c r="W159" s="598">
        <v>5.4999999999999997E-3</v>
      </c>
      <c r="X159" s="598">
        <v>1.0999999999999999E-2</v>
      </c>
      <c r="Y159" s="598">
        <v>1.0999999999999999E-2</v>
      </c>
      <c r="Z159" s="598">
        <v>1.0999999999999999E-2</v>
      </c>
      <c r="AA159" s="598">
        <v>1.0999999999999999E-2</v>
      </c>
      <c r="AB159" s="598">
        <v>1.0999999999999999E-2</v>
      </c>
      <c r="AC159" s="598">
        <v>1.0999999999999999E-2</v>
      </c>
      <c r="AD159" s="598">
        <v>1.0999999999999999E-2</v>
      </c>
      <c r="AE159" s="598">
        <v>1.0999999999999999E-2</v>
      </c>
      <c r="AF159" s="598">
        <v>1.0999999999999999E-2</v>
      </c>
      <c r="AG159" s="598">
        <v>1.0999999999999999E-2</v>
      </c>
      <c r="AH159" s="598">
        <v>1.0999999999999999E-2</v>
      </c>
      <c r="AI159" s="598">
        <v>1.0999999999999999E-2</v>
      </c>
      <c r="AJ159" s="598">
        <v>1.0999999999999999E-2</v>
      </c>
      <c r="AK159" s="598">
        <v>1.0999999999999999E-2</v>
      </c>
      <c r="AL159" s="598"/>
      <c r="AM159" s="598"/>
      <c r="AN159" s="598"/>
      <c r="AO159" s="598"/>
      <c r="AP159" s="598"/>
      <c r="AQ159" s="598"/>
      <c r="AR159" s="598"/>
      <c r="AS159" s="598"/>
      <c r="AT159" s="598"/>
      <c r="AU159" s="598"/>
      <c r="AV159" s="598"/>
      <c r="AW159" s="598"/>
      <c r="AX159" s="598"/>
      <c r="AY159" s="598"/>
      <c r="AZ159" s="598"/>
      <c r="BA159" s="598"/>
      <c r="BB159" s="598"/>
      <c r="BC159" s="598"/>
      <c r="BD159" s="598"/>
      <c r="BE159" s="598"/>
      <c r="BF159" s="598"/>
      <c r="BG159" s="598"/>
      <c r="BH159" s="598"/>
      <c r="BI159" s="598"/>
      <c r="BJ159" s="598"/>
      <c r="BK159" s="598"/>
      <c r="BL159" s="598"/>
      <c r="BM159" s="598"/>
      <c r="BN159" s="598"/>
      <c r="BO159" s="598"/>
      <c r="BP159" s="598"/>
      <c r="BQ159" s="598"/>
      <c r="BR159" s="598"/>
      <c r="BS159" s="598"/>
      <c r="BT159" s="598"/>
      <c r="BU159" s="598"/>
      <c r="BV159" s="598"/>
      <c r="BW159" s="598"/>
      <c r="BX159" s="598"/>
      <c r="BY159" s="598"/>
      <c r="BZ159" s="598"/>
      <c r="CA159" s="598"/>
      <c r="CB159" s="598"/>
      <c r="CC159" s="598"/>
      <c r="CD159" s="598"/>
      <c r="CE159" s="598"/>
      <c r="CF159" s="598"/>
      <c r="CG159" s="598"/>
      <c r="CH159" s="598"/>
      <c r="CI159" s="599"/>
      <c r="CJ159" s="1543"/>
      <c r="CK159" s="1296"/>
    </row>
    <row r="160" spans="2:89" ht="28.5" x14ac:dyDescent="0.2">
      <c r="B160" s="766" t="s">
        <v>748</v>
      </c>
      <c r="C160" s="767" t="s">
        <v>550</v>
      </c>
      <c r="D160" s="602" t="s">
        <v>551</v>
      </c>
      <c r="E160" s="603" t="s">
        <v>344</v>
      </c>
      <c r="F160" s="604">
        <v>2</v>
      </c>
      <c r="G160" s="597"/>
      <c r="H160" s="597"/>
      <c r="I160" s="597">
        <v>0</v>
      </c>
      <c r="J160" s="597">
        <v>0</v>
      </c>
      <c r="K160" s="597">
        <v>0</v>
      </c>
      <c r="L160" s="597">
        <v>0</v>
      </c>
      <c r="M160" s="598">
        <v>0</v>
      </c>
      <c r="N160" s="598">
        <v>0</v>
      </c>
      <c r="O160" s="598">
        <v>0</v>
      </c>
      <c r="P160" s="598">
        <v>0</v>
      </c>
      <c r="Q160" s="598">
        <v>0</v>
      </c>
      <c r="R160" s="598">
        <v>0</v>
      </c>
      <c r="S160" s="598">
        <v>0</v>
      </c>
      <c r="T160" s="598">
        <v>0</v>
      </c>
      <c r="U160" s="598">
        <v>0</v>
      </c>
      <c r="V160" s="598">
        <v>0</v>
      </c>
      <c r="W160" s="598">
        <v>0</v>
      </c>
      <c r="X160" s="598">
        <v>0</v>
      </c>
      <c r="Y160" s="598">
        <v>0</v>
      </c>
      <c r="Z160" s="598">
        <v>0</v>
      </c>
      <c r="AA160" s="598">
        <v>0</v>
      </c>
      <c r="AB160" s="598">
        <v>0</v>
      </c>
      <c r="AC160" s="598">
        <v>0</v>
      </c>
      <c r="AD160" s="598">
        <v>0</v>
      </c>
      <c r="AE160" s="598">
        <v>0</v>
      </c>
      <c r="AF160" s="598">
        <v>0</v>
      </c>
      <c r="AG160" s="598">
        <v>0</v>
      </c>
      <c r="AH160" s="598">
        <v>0</v>
      </c>
      <c r="AI160" s="598">
        <v>0</v>
      </c>
      <c r="AJ160" s="598">
        <v>0</v>
      </c>
      <c r="AK160" s="598">
        <v>0</v>
      </c>
      <c r="AL160" s="598"/>
      <c r="AM160" s="598"/>
      <c r="AN160" s="598"/>
      <c r="AO160" s="598"/>
      <c r="AP160" s="598"/>
      <c r="AQ160" s="598"/>
      <c r="AR160" s="598"/>
      <c r="AS160" s="598"/>
      <c r="AT160" s="598"/>
      <c r="AU160" s="598"/>
      <c r="AV160" s="598"/>
      <c r="AW160" s="598"/>
      <c r="AX160" s="598"/>
      <c r="AY160" s="598"/>
      <c r="AZ160" s="598"/>
      <c r="BA160" s="598"/>
      <c r="BB160" s="598"/>
      <c r="BC160" s="598"/>
      <c r="BD160" s="598"/>
      <c r="BE160" s="598"/>
      <c r="BF160" s="598"/>
      <c r="BG160" s="598"/>
      <c r="BH160" s="598"/>
      <c r="BI160" s="598"/>
      <c r="BJ160" s="598"/>
      <c r="BK160" s="598"/>
      <c r="BL160" s="598"/>
      <c r="BM160" s="598"/>
      <c r="BN160" s="598"/>
      <c r="BO160" s="598"/>
      <c r="BP160" s="598"/>
      <c r="BQ160" s="598"/>
      <c r="BR160" s="598"/>
      <c r="BS160" s="598"/>
      <c r="BT160" s="598"/>
      <c r="BU160" s="598"/>
      <c r="BV160" s="598"/>
      <c r="BW160" s="598"/>
      <c r="BX160" s="598"/>
      <c r="BY160" s="598"/>
      <c r="BZ160" s="598"/>
      <c r="CA160" s="598"/>
      <c r="CB160" s="598"/>
      <c r="CC160" s="598"/>
      <c r="CD160" s="598"/>
      <c r="CE160" s="598"/>
      <c r="CF160" s="598"/>
      <c r="CG160" s="598"/>
      <c r="CH160" s="598"/>
      <c r="CI160" s="599"/>
      <c r="CJ160" s="1543"/>
      <c r="CK160" s="1296"/>
    </row>
    <row r="161" spans="2:89" x14ac:dyDescent="0.2">
      <c r="B161" s="766" t="s">
        <v>749</v>
      </c>
      <c r="C161" s="767" t="s">
        <v>553</v>
      </c>
      <c r="D161" s="602" t="s">
        <v>554</v>
      </c>
      <c r="E161" s="603" t="s">
        <v>344</v>
      </c>
      <c r="F161" s="604">
        <v>2</v>
      </c>
      <c r="G161" s="597"/>
      <c r="H161" s="597"/>
      <c r="I161" s="597">
        <v>0</v>
      </c>
      <c r="J161" s="597">
        <v>1.155E-3</v>
      </c>
      <c r="K161" s="597">
        <v>2.31E-3</v>
      </c>
      <c r="L161" s="597">
        <v>1.1549999999999976E-3</v>
      </c>
      <c r="M161" s="598">
        <v>1.0311899999999998</v>
      </c>
      <c r="N161" s="598">
        <v>3.0311899999999996</v>
      </c>
      <c r="O161" s="598">
        <v>5.75</v>
      </c>
      <c r="P161" s="598">
        <v>7.5</v>
      </c>
      <c r="Q161" s="598">
        <v>5.2750000000000004</v>
      </c>
      <c r="R161" s="598">
        <v>1.5249999999999999</v>
      </c>
      <c r="S161" s="598">
        <v>0</v>
      </c>
      <c r="T161" s="598">
        <v>0</v>
      </c>
      <c r="U161" s="598">
        <v>0</v>
      </c>
      <c r="V161" s="598">
        <v>0</v>
      </c>
      <c r="W161" s="598">
        <v>5.4999999999999997E-3</v>
      </c>
      <c r="X161" s="598">
        <v>1.0999999999999999E-2</v>
      </c>
      <c r="Y161" s="598">
        <v>1.0999999999999999E-2</v>
      </c>
      <c r="Z161" s="598">
        <v>1.0999999999999999E-2</v>
      </c>
      <c r="AA161" s="598">
        <v>1.0999999999999999E-2</v>
      </c>
      <c r="AB161" s="598">
        <v>1.0999999999999999E-2</v>
      </c>
      <c r="AC161" s="598">
        <v>1.0999999999999999E-2</v>
      </c>
      <c r="AD161" s="598">
        <v>1.0999999999999999E-2</v>
      </c>
      <c r="AE161" s="598">
        <v>1.0999999999999999E-2</v>
      </c>
      <c r="AF161" s="598">
        <v>1.0999999999999999E-2</v>
      </c>
      <c r="AG161" s="598">
        <v>1.0999999999999999E-2</v>
      </c>
      <c r="AH161" s="598">
        <v>1.0999999999999999E-2</v>
      </c>
      <c r="AI161" s="598">
        <v>1.0999999999999999E-2</v>
      </c>
      <c r="AJ161" s="598">
        <v>1.0999999999999999E-2</v>
      </c>
      <c r="AK161" s="598">
        <v>1.0999999999999999E-2</v>
      </c>
      <c r="AL161" s="598"/>
      <c r="AM161" s="598"/>
      <c r="AN161" s="598"/>
      <c r="AO161" s="598"/>
      <c r="AP161" s="598"/>
      <c r="AQ161" s="598"/>
      <c r="AR161" s="598"/>
      <c r="AS161" s="598"/>
      <c r="AT161" s="598"/>
      <c r="AU161" s="598"/>
      <c r="AV161" s="598"/>
      <c r="AW161" s="598"/>
      <c r="AX161" s="598"/>
      <c r="AY161" s="598"/>
      <c r="AZ161" s="598"/>
      <c r="BA161" s="598"/>
      <c r="BB161" s="598"/>
      <c r="BC161" s="598"/>
      <c r="BD161" s="598"/>
      <c r="BE161" s="598"/>
      <c r="BF161" s="598"/>
      <c r="BG161" s="598"/>
      <c r="BH161" s="598"/>
      <c r="BI161" s="598"/>
      <c r="BJ161" s="598"/>
      <c r="BK161" s="598"/>
      <c r="BL161" s="598"/>
      <c r="BM161" s="598"/>
      <c r="BN161" s="598"/>
      <c r="BO161" s="598"/>
      <c r="BP161" s="598"/>
      <c r="BQ161" s="598"/>
      <c r="BR161" s="598"/>
      <c r="BS161" s="598"/>
      <c r="BT161" s="598"/>
      <c r="BU161" s="598"/>
      <c r="BV161" s="598"/>
      <c r="BW161" s="598"/>
      <c r="BX161" s="598"/>
      <c r="BY161" s="598"/>
      <c r="BZ161" s="598"/>
      <c r="CA161" s="598"/>
      <c r="CB161" s="598"/>
      <c r="CC161" s="598"/>
      <c r="CD161" s="598"/>
      <c r="CE161" s="598"/>
      <c r="CF161" s="598"/>
      <c r="CG161" s="598"/>
      <c r="CH161" s="598"/>
      <c r="CI161" s="599"/>
      <c r="CJ161" s="1543"/>
      <c r="CK161" s="1296"/>
    </row>
    <row r="162" spans="2:89" ht="28.5" x14ac:dyDescent="0.2">
      <c r="B162" s="766" t="s">
        <v>750</v>
      </c>
      <c r="C162" s="767" t="s">
        <v>556</v>
      </c>
      <c r="D162" s="602" t="s">
        <v>557</v>
      </c>
      <c r="E162" s="603" t="s">
        <v>344</v>
      </c>
      <c r="F162" s="604">
        <v>2</v>
      </c>
      <c r="G162" s="597"/>
      <c r="H162" s="597"/>
      <c r="I162" s="597">
        <v>0</v>
      </c>
      <c r="J162" s="597">
        <v>-3.5588355396157567E-2</v>
      </c>
      <c r="K162" s="597">
        <v>-5.7710987582623829E-2</v>
      </c>
      <c r="L162" s="597">
        <v>-7.3583146361684726E-2</v>
      </c>
      <c r="M162" s="598">
        <v>-0.10902631564410115</v>
      </c>
      <c r="N162" s="598">
        <v>-3.1780810546952551</v>
      </c>
      <c r="O162" s="598">
        <v>-5.9633978488849948</v>
      </c>
      <c r="P162" s="598">
        <v>-7.7633186009374384</v>
      </c>
      <c r="Q162" s="598">
        <v>-5.4680809457508133</v>
      </c>
      <c r="R162" s="598">
        <v>-1.602335247428357</v>
      </c>
      <c r="S162" s="598">
        <v>-3.2962390246680684E-2</v>
      </c>
      <c r="T162" s="598">
        <v>-3.4344560541711644E-2</v>
      </c>
      <c r="U162" s="598">
        <v>-3.4150440438992291E-2</v>
      </c>
      <c r="V162" s="598">
        <v>-3.3966665823214726E-2</v>
      </c>
      <c r="W162" s="598">
        <v>-3.9458015606825825E-2</v>
      </c>
      <c r="X162" s="598">
        <v>-4.4923129176737575E-2</v>
      </c>
      <c r="Y162" s="598">
        <v>-4.4739923935665615E-2</v>
      </c>
      <c r="Z162" s="598">
        <v>-4.4539824993861998E-2</v>
      </c>
      <c r="AA162" s="598">
        <v>-5.181940805941565E-2</v>
      </c>
      <c r="AB162" s="598">
        <v>-5.1610702429400135E-2</v>
      </c>
      <c r="AC162" s="598">
        <v>-5.1423378539823261E-2</v>
      </c>
      <c r="AD162" s="598">
        <v>-5.1237408169569676E-2</v>
      </c>
      <c r="AE162" s="598">
        <v>-5.1055313291442417E-2</v>
      </c>
      <c r="AF162" s="598">
        <v>-5.0862719409721535E-2</v>
      </c>
      <c r="AG162" s="598">
        <v>-5.0669506752853977E-2</v>
      </c>
      <c r="AH162" s="598">
        <v>-5.0480506111540535E-2</v>
      </c>
      <c r="AI162" s="598">
        <v>-5.0287896861078707E-2</v>
      </c>
      <c r="AJ162" s="598">
        <v>-5.0074575249837494E-2</v>
      </c>
      <c r="AK162" s="598">
        <v>-4.9865307387960911E-2</v>
      </c>
      <c r="AL162" s="598"/>
      <c r="AM162" s="598"/>
      <c r="AN162" s="598"/>
      <c r="AO162" s="598"/>
      <c r="AP162" s="598"/>
      <c r="AQ162" s="598"/>
      <c r="AR162" s="598"/>
      <c r="AS162" s="598"/>
      <c r="AT162" s="598"/>
      <c r="AU162" s="598"/>
      <c r="AV162" s="598"/>
      <c r="AW162" s="598"/>
      <c r="AX162" s="598"/>
      <c r="AY162" s="598"/>
      <c r="AZ162" s="598"/>
      <c r="BA162" s="598"/>
      <c r="BB162" s="598"/>
      <c r="BC162" s="598"/>
      <c r="BD162" s="598"/>
      <c r="BE162" s="598"/>
      <c r="BF162" s="598"/>
      <c r="BG162" s="598"/>
      <c r="BH162" s="598"/>
      <c r="BI162" s="598"/>
      <c r="BJ162" s="598"/>
      <c r="BK162" s="598"/>
      <c r="BL162" s="598"/>
      <c r="BM162" s="598"/>
      <c r="BN162" s="598"/>
      <c r="BO162" s="598"/>
      <c r="BP162" s="598"/>
      <c r="BQ162" s="598"/>
      <c r="BR162" s="598"/>
      <c r="BS162" s="598"/>
      <c r="BT162" s="598"/>
      <c r="BU162" s="598"/>
      <c r="BV162" s="598"/>
      <c r="BW162" s="598"/>
      <c r="BX162" s="598"/>
      <c r="BY162" s="598"/>
      <c r="BZ162" s="598"/>
      <c r="CA162" s="598"/>
      <c r="CB162" s="598"/>
      <c r="CC162" s="598"/>
      <c r="CD162" s="598"/>
      <c r="CE162" s="598"/>
      <c r="CF162" s="598"/>
      <c r="CG162" s="598"/>
      <c r="CH162" s="598"/>
      <c r="CI162" s="599"/>
      <c r="CJ162" s="1543"/>
      <c r="CK162" s="1296"/>
    </row>
    <row r="163" spans="2:89" x14ac:dyDescent="0.2">
      <c r="B163" s="766" t="s">
        <v>751</v>
      </c>
      <c r="C163" s="767" t="s">
        <v>559</v>
      </c>
      <c r="D163" s="690" t="s">
        <v>86</v>
      </c>
      <c r="E163" s="748" t="s">
        <v>344</v>
      </c>
      <c r="F163" s="749">
        <v>2</v>
      </c>
      <c r="G163" s="597"/>
      <c r="H163" s="597"/>
      <c r="I163" s="597">
        <v>2.0139999999999998</v>
      </c>
      <c r="J163" s="597">
        <v>2.0380341458615643</v>
      </c>
      <c r="K163" s="597">
        <v>2.0841909239095804</v>
      </c>
      <c r="L163" s="597">
        <v>2.1462198607366396</v>
      </c>
      <c r="M163" s="598">
        <v>2.2413811249392146</v>
      </c>
      <c r="N163" s="598">
        <v>2.3744071281929355</v>
      </c>
      <c r="O163" s="598">
        <v>2.5739399256364206</v>
      </c>
      <c r="P163" s="598">
        <v>2.8233934751323244</v>
      </c>
      <c r="Q163" s="598">
        <v>3.0010688081703085</v>
      </c>
      <c r="R163" s="598">
        <v>3.0629984428858621</v>
      </c>
      <c r="S163" s="598">
        <v>3.0805552204197117</v>
      </c>
      <c r="T163" s="598">
        <v>3.099494168248619</v>
      </c>
      <c r="U163" s="598">
        <v>3.1182389959747763</v>
      </c>
      <c r="V163" s="598">
        <v>3.1368000490852053</v>
      </c>
      <c r="W163" s="598">
        <v>3.1553524519792409</v>
      </c>
      <c r="X163" s="598">
        <v>3.173869968443161</v>
      </c>
      <c r="Y163" s="598">
        <v>3.1922042796660133</v>
      </c>
      <c r="Z163" s="598">
        <v>3.2103384919470801</v>
      </c>
      <c r="AA163" s="598">
        <v>3.2280494809372509</v>
      </c>
      <c r="AB163" s="598">
        <v>3.2455517642974319</v>
      </c>
      <c r="AC163" s="598">
        <v>3.262866723768068</v>
      </c>
      <c r="AD163" s="598">
        <v>3.279995712868442</v>
      </c>
      <c r="AE163" s="598">
        <v>3.296942607090636</v>
      </c>
      <c r="AF163" s="598">
        <v>3.3136969074311424</v>
      </c>
      <c r="AG163" s="598">
        <v>3.330257995114775</v>
      </c>
      <c r="AH163" s="598">
        <v>3.3466300821571306</v>
      </c>
      <c r="AI163" s="598">
        <v>3.3628095599489463</v>
      </c>
      <c r="AJ163" s="598">
        <v>3.3787757161296015</v>
      </c>
      <c r="AK163" s="598">
        <v>3.394532604448333</v>
      </c>
      <c r="AL163" s="598"/>
      <c r="AM163" s="598"/>
      <c r="AN163" s="598"/>
      <c r="AO163" s="598"/>
      <c r="AP163" s="598"/>
      <c r="AQ163" s="598"/>
      <c r="AR163" s="598"/>
      <c r="AS163" s="598"/>
      <c r="AT163" s="598"/>
      <c r="AU163" s="598"/>
      <c r="AV163" s="598"/>
      <c r="AW163" s="598"/>
      <c r="AX163" s="598"/>
      <c r="AY163" s="598"/>
      <c r="AZ163" s="598"/>
      <c r="BA163" s="598"/>
      <c r="BB163" s="598"/>
      <c r="BC163" s="598"/>
      <c r="BD163" s="598"/>
      <c r="BE163" s="598"/>
      <c r="BF163" s="598"/>
      <c r="BG163" s="598"/>
      <c r="BH163" s="598"/>
      <c r="BI163" s="598"/>
      <c r="BJ163" s="598"/>
      <c r="BK163" s="598"/>
      <c r="BL163" s="598"/>
      <c r="BM163" s="598"/>
      <c r="BN163" s="598"/>
      <c r="BO163" s="598"/>
      <c r="BP163" s="598"/>
      <c r="BQ163" s="598"/>
      <c r="BR163" s="598"/>
      <c r="BS163" s="598"/>
      <c r="BT163" s="598"/>
      <c r="BU163" s="598"/>
      <c r="BV163" s="598"/>
      <c r="BW163" s="598"/>
      <c r="BX163" s="598"/>
      <c r="BY163" s="598"/>
      <c r="BZ163" s="598"/>
      <c r="CA163" s="598"/>
      <c r="CB163" s="598"/>
      <c r="CC163" s="598"/>
      <c r="CD163" s="598"/>
      <c r="CE163" s="598"/>
      <c r="CF163" s="598"/>
      <c r="CG163" s="598"/>
      <c r="CH163" s="598"/>
      <c r="CI163" s="599"/>
      <c r="CJ163" s="1543"/>
      <c r="CK163" s="1296"/>
    </row>
    <row r="164" spans="2:89" ht="28.5" x14ac:dyDescent="0.2">
      <c r="B164" s="766" t="s">
        <v>752</v>
      </c>
      <c r="C164" s="767" t="s">
        <v>561</v>
      </c>
      <c r="D164" s="690" t="s">
        <v>86</v>
      </c>
      <c r="E164" s="748" t="s">
        <v>344</v>
      </c>
      <c r="F164" s="749">
        <v>2</v>
      </c>
      <c r="G164" s="597"/>
      <c r="H164" s="597"/>
      <c r="I164" s="597">
        <v>27.367000000000001</v>
      </c>
      <c r="J164" s="597">
        <v>27.087815027782518</v>
      </c>
      <c r="K164" s="597">
        <v>26.74591390466075</v>
      </c>
      <c r="L164" s="597">
        <v>25.783219513257777</v>
      </c>
      <c r="M164" s="598">
        <v>23.771073658751124</v>
      </c>
      <c r="N164" s="598">
        <v>20.420890426216868</v>
      </c>
      <c r="O164" s="598">
        <v>14.791507458422172</v>
      </c>
      <c r="P164" s="598">
        <v>7.4677807406274903</v>
      </c>
      <c r="Q164" s="598">
        <v>2.2994515096052637</v>
      </c>
      <c r="R164" s="598">
        <v>0.78840850326619238</v>
      </c>
      <c r="S164" s="598">
        <v>0.78092870809930226</v>
      </c>
      <c r="T164" s="598">
        <v>0.77512338619393906</v>
      </c>
      <c r="U164" s="598">
        <v>0.77028681428857571</v>
      </c>
      <c r="V164" s="598">
        <v>0.76641899238321243</v>
      </c>
      <c r="W164" s="598">
        <v>0.7581917954778491</v>
      </c>
      <c r="X164" s="598">
        <v>0.74463647357248575</v>
      </c>
      <c r="Y164" s="598">
        <v>0.73108115166712251</v>
      </c>
      <c r="Z164" s="598">
        <v>0.71752582976175916</v>
      </c>
      <c r="AA164" s="598">
        <v>0.70493925785639588</v>
      </c>
      <c r="AB164" s="598">
        <v>0.69235627499835095</v>
      </c>
      <c r="AC164" s="598">
        <v>0.67880900514831977</v>
      </c>
      <c r="AD164" s="598">
        <v>0.66526173529828847</v>
      </c>
      <c r="AE164" s="598">
        <v>0.65171446544825717</v>
      </c>
      <c r="AF164" s="598">
        <v>0.63816719559822599</v>
      </c>
      <c r="AG164" s="598">
        <v>0.62461992574819492</v>
      </c>
      <c r="AH164" s="598">
        <v>0.61107265589816373</v>
      </c>
      <c r="AI164" s="598">
        <v>0.59752538604813243</v>
      </c>
      <c r="AJ164" s="598">
        <v>0.58397811619810114</v>
      </c>
      <c r="AK164" s="598">
        <v>0.57043084634806995</v>
      </c>
      <c r="AL164" s="598"/>
      <c r="AM164" s="598"/>
      <c r="AN164" s="598"/>
      <c r="AO164" s="598"/>
      <c r="AP164" s="598"/>
      <c r="AQ164" s="598"/>
      <c r="AR164" s="598"/>
      <c r="AS164" s="598"/>
      <c r="AT164" s="598"/>
      <c r="AU164" s="598"/>
      <c r="AV164" s="598"/>
      <c r="AW164" s="598"/>
      <c r="AX164" s="598"/>
      <c r="AY164" s="598"/>
      <c r="AZ164" s="598"/>
      <c r="BA164" s="598"/>
      <c r="BB164" s="598"/>
      <c r="BC164" s="598"/>
      <c r="BD164" s="598"/>
      <c r="BE164" s="598"/>
      <c r="BF164" s="598"/>
      <c r="BG164" s="598"/>
      <c r="BH164" s="598"/>
      <c r="BI164" s="598"/>
      <c r="BJ164" s="598"/>
      <c r="BK164" s="598"/>
      <c r="BL164" s="598"/>
      <c r="BM164" s="598"/>
      <c r="BN164" s="598"/>
      <c r="BO164" s="598"/>
      <c r="BP164" s="598"/>
      <c r="BQ164" s="598"/>
      <c r="BR164" s="598"/>
      <c r="BS164" s="598"/>
      <c r="BT164" s="598"/>
      <c r="BU164" s="598"/>
      <c r="BV164" s="598"/>
      <c r="BW164" s="598"/>
      <c r="BX164" s="598"/>
      <c r="BY164" s="598"/>
      <c r="BZ164" s="598"/>
      <c r="CA164" s="598"/>
      <c r="CB164" s="598"/>
      <c r="CC164" s="598"/>
      <c r="CD164" s="598"/>
      <c r="CE164" s="598"/>
      <c r="CF164" s="598"/>
      <c r="CG164" s="598"/>
      <c r="CH164" s="598"/>
      <c r="CI164" s="599"/>
      <c r="CJ164" s="1543"/>
      <c r="CK164" s="1296"/>
    </row>
    <row r="165" spans="2:89" x14ac:dyDescent="0.2">
      <c r="B165" s="766" t="s">
        <v>753</v>
      </c>
      <c r="C165" s="767" t="s">
        <v>563</v>
      </c>
      <c r="D165" s="690" t="s">
        <v>86</v>
      </c>
      <c r="E165" s="748" t="s">
        <v>344</v>
      </c>
      <c r="F165" s="749">
        <v>2</v>
      </c>
      <c r="G165" s="597"/>
      <c r="H165" s="597"/>
      <c r="I165" s="597">
        <v>0.91500000000000004</v>
      </c>
      <c r="J165" s="597">
        <v>0.90085858284560449</v>
      </c>
      <c r="K165" s="597">
        <v>0.88944970596737105</v>
      </c>
      <c r="L165" s="597">
        <v>0.85548909737034196</v>
      </c>
      <c r="M165" s="598">
        <v>0.77563495187699871</v>
      </c>
      <c r="N165" s="598">
        <v>0.65531818441125134</v>
      </c>
      <c r="O165" s="598">
        <v>0.47370115220595055</v>
      </c>
      <c r="P165" s="598">
        <v>0.23742787000065022</v>
      </c>
      <c r="Q165" s="598">
        <v>7.1757101022862119E-2</v>
      </c>
      <c r="R165" s="598">
        <v>2.4800107361933391E-2</v>
      </c>
      <c r="S165" s="598">
        <v>2.5279902528823523E-2</v>
      </c>
      <c r="T165" s="598">
        <v>2.5085224434186832E-2</v>
      </c>
      <c r="U165" s="598">
        <v>2.4921796339550131E-2</v>
      </c>
      <c r="V165" s="598">
        <v>2.4789618244913433E-2</v>
      </c>
      <c r="W165" s="598">
        <v>2.4516815150276736E-2</v>
      </c>
      <c r="X165" s="598">
        <v>2.4072137055640042E-2</v>
      </c>
      <c r="Y165" s="598">
        <v>2.3627458961003343E-2</v>
      </c>
      <c r="Z165" s="598">
        <v>2.3182780866366645E-2</v>
      </c>
      <c r="AA165" s="598">
        <v>2.276935277172995E-2</v>
      </c>
      <c r="AB165" s="598">
        <v>2.2352335629774903E-2</v>
      </c>
      <c r="AC165" s="598">
        <v>2.1899605479806121E-2</v>
      </c>
      <c r="AD165" s="598">
        <v>2.1446875329837332E-2</v>
      </c>
      <c r="AE165" s="598">
        <v>2.0994145179868553E-2</v>
      </c>
      <c r="AF165" s="598">
        <v>2.0541415029899771E-2</v>
      </c>
      <c r="AG165" s="598">
        <v>2.0088684879930988E-2</v>
      </c>
      <c r="AH165" s="598">
        <v>1.9635954729962202E-2</v>
      </c>
      <c r="AI165" s="598">
        <v>1.9183224579993417E-2</v>
      </c>
      <c r="AJ165" s="598">
        <v>1.8730494430024634E-2</v>
      </c>
      <c r="AK165" s="598">
        <v>1.8277764280055852E-2</v>
      </c>
      <c r="AL165" s="598"/>
      <c r="AM165" s="598"/>
      <c r="AN165" s="598"/>
      <c r="AO165" s="598"/>
      <c r="AP165" s="598"/>
      <c r="AQ165" s="598"/>
      <c r="AR165" s="598"/>
      <c r="AS165" s="598"/>
      <c r="AT165" s="598"/>
      <c r="AU165" s="598"/>
      <c r="AV165" s="598"/>
      <c r="AW165" s="598"/>
      <c r="AX165" s="598"/>
      <c r="AY165" s="598"/>
      <c r="AZ165" s="598"/>
      <c r="BA165" s="598"/>
      <c r="BB165" s="598"/>
      <c r="BC165" s="598"/>
      <c r="BD165" s="598"/>
      <c r="BE165" s="598"/>
      <c r="BF165" s="598"/>
      <c r="BG165" s="598"/>
      <c r="BH165" s="598"/>
      <c r="BI165" s="598"/>
      <c r="BJ165" s="598"/>
      <c r="BK165" s="598"/>
      <c r="BL165" s="598"/>
      <c r="BM165" s="598"/>
      <c r="BN165" s="598"/>
      <c r="BO165" s="598"/>
      <c r="BP165" s="598"/>
      <c r="BQ165" s="598"/>
      <c r="BR165" s="598"/>
      <c r="BS165" s="598"/>
      <c r="BT165" s="598"/>
      <c r="BU165" s="598"/>
      <c r="BV165" s="598"/>
      <c r="BW165" s="598"/>
      <c r="BX165" s="598"/>
      <c r="BY165" s="598"/>
      <c r="BZ165" s="598"/>
      <c r="CA165" s="598"/>
      <c r="CB165" s="598"/>
      <c r="CC165" s="598"/>
      <c r="CD165" s="598"/>
      <c r="CE165" s="598"/>
      <c r="CF165" s="598"/>
      <c r="CG165" s="598"/>
      <c r="CH165" s="598"/>
      <c r="CI165" s="599"/>
      <c r="CJ165" s="1543"/>
      <c r="CK165" s="1296"/>
    </row>
    <row r="166" spans="2:89" ht="29.25" thickBot="1" x14ac:dyDescent="0.25">
      <c r="B166" s="768" t="s">
        <v>754</v>
      </c>
      <c r="C166" s="769" t="s">
        <v>565</v>
      </c>
      <c r="D166" s="770" t="s">
        <v>755</v>
      </c>
      <c r="E166" s="771" t="s">
        <v>344</v>
      </c>
      <c r="F166" s="772">
        <v>2</v>
      </c>
      <c r="G166" s="729">
        <f>SUM(G153:G156)+G163+G164+G165</f>
        <v>0</v>
      </c>
      <c r="H166" s="729">
        <f t="shared" ref="H166:AK166" si="101">SUM(H153:H156)+H163+H164+H165</f>
        <v>0</v>
      </c>
      <c r="I166" s="729">
        <f t="shared" si="101"/>
        <v>103.69900000000001</v>
      </c>
      <c r="J166" s="729">
        <f t="shared" si="101"/>
        <v>104.18013078460724</v>
      </c>
      <c r="K166" s="729">
        <f t="shared" si="101"/>
        <v>105.41644440971376</v>
      </c>
      <c r="L166" s="729">
        <f t="shared" si="101"/>
        <v>106.54365466806445</v>
      </c>
      <c r="M166" s="729">
        <f t="shared" si="101"/>
        <v>107.69848513088903</v>
      </c>
      <c r="N166" s="729">
        <f t="shared" si="101"/>
        <v>108.73659657854061</v>
      </c>
      <c r="O166" s="729">
        <f t="shared" si="101"/>
        <v>109.62469761728443</v>
      </c>
      <c r="P166" s="729">
        <f t="shared" si="101"/>
        <v>110.42045731218523</v>
      </c>
      <c r="Q166" s="729">
        <f t="shared" si="101"/>
        <v>111.1265432560525</v>
      </c>
      <c r="R166" s="729">
        <f t="shared" si="101"/>
        <v>111.80510828583404</v>
      </c>
      <c r="S166" s="729">
        <f t="shared" si="101"/>
        <v>112.47795605315856</v>
      </c>
      <c r="T166" s="729">
        <f t="shared" si="101"/>
        <v>113.14483343544414</v>
      </c>
      <c r="U166" s="729">
        <f t="shared" si="101"/>
        <v>113.80614765052738</v>
      </c>
      <c r="V166" s="729">
        <f t="shared" si="101"/>
        <v>114.46382825639169</v>
      </c>
      <c r="W166" s="729">
        <f t="shared" si="101"/>
        <v>115.1166268331888</v>
      </c>
      <c r="X166" s="729">
        <f t="shared" si="101"/>
        <v>115.7626950744116</v>
      </c>
      <c r="Y166" s="729">
        <f t="shared" si="101"/>
        <v>116.40249192160043</v>
      </c>
      <c r="Z166" s="729">
        <f t="shared" si="101"/>
        <v>117.03535773597773</v>
      </c>
      <c r="AA166" s="729">
        <f t="shared" si="101"/>
        <v>117.65500636639011</v>
      </c>
      <c r="AB166" s="729">
        <f t="shared" si="101"/>
        <v>118.26763534216254</v>
      </c>
      <c r="AC166" s="729">
        <f t="shared" si="101"/>
        <v>118.87281805235946</v>
      </c>
      <c r="AD166" s="729">
        <f t="shared" si="101"/>
        <v>119.47159902689364</v>
      </c>
      <c r="AE166" s="729">
        <f t="shared" si="101"/>
        <v>120.06426227747252</v>
      </c>
      <c r="AF166" s="729">
        <f t="shared" si="101"/>
        <v>120.65038823764165</v>
      </c>
      <c r="AG166" s="729">
        <f t="shared" si="101"/>
        <v>121.22996200910633</v>
      </c>
      <c r="AH166" s="729">
        <f t="shared" si="101"/>
        <v>121.80306871540978</v>
      </c>
      <c r="AI166" s="729">
        <f t="shared" si="101"/>
        <v>122.36953685685539</v>
      </c>
      <c r="AJ166" s="729">
        <f t="shared" si="101"/>
        <v>122.92869820403158</v>
      </c>
      <c r="AK166" s="729">
        <f t="shared" si="101"/>
        <v>123.48073339786123</v>
      </c>
      <c r="AL166" s="729"/>
      <c r="AM166" s="729"/>
      <c r="AN166" s="729"/>
      <c r="AO166" s="729"/>
      <c r="AP166" s="729"/>
      <c r="AQ166" s="729"/>
      <c r="AR166" s="729"/>
      <c r="AS166" s="729"/>
      <c r="AT166" s="729"/>
      <c r="AU166" s="729"/>
      <c r="AV166" s="729"/>
      <c r="AW166" s="729"/>
      <c r="AX166" s="729"/>
      <c r="AY166" s="729"/>
      <c r="AZ166" s="729"/>
      <c r="BA166" s="729"/>
      <c r="BB166" s="729"/>
      <c r="BC166" s="729"/>
      <c r="BD166" s="729"/>
      <c r="BE166" s="729"/>
      <c r="BF166" s="729"/>
      <c r="BG166" s="729"/>
      <c r="BH166" s="729"/>
      <c r="BI166" s="729"/>
      <c r="BJ166" s="729"/>
      <c r="BK166" s="729"/>
      <c r="BL166" s="729"/>
      <c r="BM166" s="729"/>
      <c r="BN166" s="729"/>
      <c r="BO166" s="729"/>
      <c r="BP166" s="729"/>
      <c r="BQ166" s="729"/>
      <c r="BR166" s="729"/>
      <c r="BS166" s="729"/>
      <c r="BT166" s="729"/>
      <c r="BU166" s="729"/>
      <c r="BV166" s="729"/>
      <c r="BW166" s="729"/>
      <c r="BX166" s="729"/>
      <c r="BY166" s="729"/>
      <c r="BZ166" s="729"/>
      <c r="CA166" s="729"/>
      <c r="CB166" s="729"/>
      <c r="CC166" s="729"/>
      <c r="CD166" s="729"/>
      <c r="CE166" s="729"/>
      <c r="CF166" s="729"/>
      <c r="CG166" s="729"/>
      <c r="CH166" s="729"/>
      <c r="CI166" s="729"/>
      <c r="CJ166" s="1543"/>
      <c r="CK166" s="1296"/>
    </row>
    <row r="167" spans="2:89" x14ac:dyDescent="0.2">
      <c r="B167" s="708" t="s">
        <v>756</v>
      </c>
      <c r="C167" s="709" t="s">
        <v>568</v>
      </c>
      <c r="D167" s="710" t="s">
        <v>86</v>
      </c>
      <c r="E167" s="773" t="s">
        <v>344</v>
      </c>
      <c r="F167" s="774">
        <v>2</v>
      </c>
      <c r="G167" s="593"/>
      <c r="H167" s="593"/>
      <c r="I167" s="593">
        <v>2.9167739999999998</v>
      </c>
      <c r="J167" s="593">
        <v>2.9607540564970298</v>
      </c>
      <c r="K167" s="593">
        <v>3.0026749529208496</v>
      </c>
      <c r="L167" s="593">
        <v>3.0372866624532482</v>
      </c>
      <c r="M167" s="594">
        <v>3.0666877924701303</v>
      </c>
      <c r="N167" s="594">
        <v>3.1079853610336823</v>
      </c>
      <c r="O167" s="594">
        <v>3.1564715319065106</v>
      </c>
      <c r="P167" s="594">
        <v>3.2043633352628569</v>
      </c>
      <c r="Q167" s="594">
        <v>3.2483729598452369</v>
      </c>
      <c r="R167" s="594">
        <v>3.2887589079177917</v>
      </c>
      <c r="S167" s="594">
        <v>3.3509241751971741</v>
      </c>
      <c r="T167" s="594">
        <v>3.4127679629028016</v>
      </c>
      <c r="U167" s="594">
        <v>3.4591154277864993</v>
      </c>
      <c r="V167" s="594">
        <v>3.4921526597447143</v>
      </c>
      <c r="W167" s="594">
        <v>3.5218294394713872</v>
      </c>
      <c r="X167" s="594">
        <v>3.5495504037312746</v>
      </c>
      <c r="Y167" s="594">
        <v>3.5809001657754296</v>
      </c>
      <c r="Z167" s="594">
        <v>3.6152625692640465</v>
      </c>
      <c r="AA167" s="594">
        <v>3.6489080374131935</v>
      </c>
      <c r="AB167" s="594">
        <v>3.6848952170890139</v>
      </c>
      <c r="AC167" s="594">
        <v>3.7264568657626098</v>
      </c>
      <c r="AD167" s="594">
        <v>3.7731272584415172</v>
      </c>
      <c r="AE167" s="594">
        <v>3.8247430171140131</v>
      </c>
      <c r="AF167" s="594">
        <v>3.8755585535749102</v>
      </c>
      <c r="AG167" s="594">
        <v>3.9314320136829588</v>
      </c>
      <c r="AH167" s="594">
        <v>3.9891051972515856</v>
      </c>
      <c r="AI167" s="594">
        <v>4.0470606775999451</v>
      </c>
      <c r="AJ167" s="594">
        <v>4.1065688667987903</v>
      </c>
      <c r="AK167" s="594">
        <v>4.16301749357247</v>
      </c>
      <c r="AL167" s="594"/>
      <c r="AM167" s="594"/>
      <c r="AN167" s="594"/>
      <c r="AO167" s="594"/>
      <c r="AP167" s="594"/>
      <c r="AQ167" s="594"/>
      <c r="AR167" s="594"/>
      <c r="AS167" s="594"/>
      <c r="AT167" s="594"/>
      <c r="AU167" s="594"/>
      <c r="AV167" s="594"/>
      <c r="AW167" s="594"/>
      <c r="AX167" s="594"/>
      <c r="AY167" s="594"/>
      <c r="AZ167" s="594"/>
      <c r="BA167" s="594"/>
      <c r="BB167" s="594"/>
      <c r="BC167" s="594"/>
      <c r="BD167" s="594"/>
      <c r="BE167" s="594"/>
      <c r="BF167" s="594"/>
      <c r="BG167" s="594"/>
      <c r="BH167" s="594"/>
      <c r="BI167" s="594"/>
      <c r="BJ167" s="594"/>
      <c r="BK167" s="594"/>
      <c r="BL167" s="594"/>
      <c r="BM167" s="594"/>
      <c r="BN167" s="594"/>
      <c r="BO167" s="594"/>
      <c r="BP167" s="594"/>
      <c r="BQ167" s="594"/>
      <c r="BR167" s="594"/>
      <c r="BS167" s="594"/>
      <c r="BT167" s="594"/>
      <c r="BU167" s="594"/>
      <c r="BV167" s="594"/>
      <c r="BW167" s="594"/>
      <c r="BX167" s="594"/>
      <c r="BY167" s="594"/>
      <c r="BZ167" s="594"/>
      <c r="CA167" s="594"/>
      <c r="CB167" s="594"/>
      <c r="CC167" s="594"/>
      <c r="CD167" s="594"/>
      <c r="CE167" s="594"/>
      <c r="CF167" s="594"/>
      <c r="CG167" s="594"/>
      <c r="CH167" s="594"/>
      <c r="CI167" s="595"/>
      <c r="CJ167" s="1543"/>
      <c r="CK167" s="1296"/>
    </row>
    <row r="168" spans="2:89" x14ac:dyDescent="0.2">
      <c r="B168" s="720" t="s">
        <v>757</v>
      </c>
      <c r="C168" s="721" t="s">
        <v>570</v>
      </c>
      <c r="D168" s="715" t="s">
        <v>86</v>
      </c>
      <c r="E168" s="775" t="s">
        <v>344</v>
      </c>
      <c r="F168" s="776">
        <v>2</v>
      </c>
      <c r="G168" s="597"/>
      <c r="H168" s="597"/>
      <c r="I168" s="597">
        <v>0</v>
      </c>
      <c r="J168" s="597">
        <v>0</v>
      </c>
      <c r="K168" s="597">
        <v>0</v>
      </c>
      <c r="L168" s="597">
        <v>0</v>
      </c>
      <c r="M168" s="598">
        <v>0</v>
      </c>
      <c r="N168" s="598">
        <v>0</v>
      </c>
      <c r="O168" s="598">
        <v>0</v>
      </c>
      <c r="P168" s="598">
        <v>0</v>
      </c>
      <c r="Q168" s="598">
        <v>0</v>
      </c>
      <c r="R168" s="598">
        <v>0</v>
      </c>
      <c r="S168" s="598">
        <v>0</v>
      </c>
      <c r="T168" s="598">
        <v>0</v>
      </c>
      <c r="U168" s="598">
        <v>0</v>
      </c>
      <c r="V168" s="598">
        <v>0</v>
      </c>
      <c r="W168" s="598">
        <v>0</v>
      </c>
      <c r="X168" s="598">
        <v>0</v>
      </c>
      <c r="Y168" s="598">
        <v>0</v>
      </c>
      <c r="Z168" s="598">
        <v>0</v>
      </c>
      <c r="AA168" s="598">
        <v>0</v>
      </c>
      <c r="AB168" s="598">
        <v>0</v>
      </c>
      <c r="AC168" s="598">
        <v>0</v>
      </c>
      <c r="AD168" s="598">
        <v>0</v>
      </c>
      <c r="AE168" s="598">
        <v>0</v>
      </c>
      <c r="AF168" s="598">
        <v>0</v>
      </c>
      <c r="AG168" s="598">
        <v>0</v>
      </c>
      <c r="AH168" s="598">
        <v>0</v>
      </c>
      <c r="AI168" s="598">
        <v>0</v>
      </c>
      <c r="AJ168" s="598">
        <v>0</v>
      </c>
      <c r="AK168" s="598">
        <v>0</v>
      </c>
      <c r="AL168" s="598"/>
      <c r="AM168" s="598"/>
      <c r="AN168" s="598"/>
      <c r="AO168" s="598"/>
      <c r="AP168" s="598"/>
      <c r="AQ168" s="598"/>
      <c r="AR168" s="598"/>
      <c r="AS168" s="598"/>
      <c r="AT168" s="598"/>
      <c r="AU168" s="598"/>
      <c r="AV168" s="598"/>
      <c r="AW168" s="598"/>
      <c r="AX168" s="598"/>
      <c r="AY168" s="598"/>
      <c r="AZ168" s="598"/>
      <c r="BA168" s="598"/>
      <c r="BB168" s="598"/>
      <c r="BC168" s="598"/>
      <c r="BD168" s="598"/>
      <c r="BE168" s="598"/>
      <c r="BF168" s="598"/>
      <c r="BG168" s="598"/>
      <c r="BH168" s="598"/>
      <c r="BI168" s="598"/>
      <c r="BJ168" s="598"/>
      <c r="BK168" s="598"/>
      <c r="BL168" s="598"/>
      <c r="BM168" s="598"/>
      <c r="BN168" s="598"/>
      <c r="BO168" s="598"/>
      <c r="BP168" s="598"/>
      <c r="BQ168" s="598"/>
      <c r="BR168" s="598"/>
      <c r="BS168" s="598"/>
      <c r="BT168" s="598"/>
      <c r="BU168" s="598"/>
      <c r="BV168" s="598"/>
      <c r="BW168" s="598"/>
      <c r="BX168" s="598"/>
      <c r="BY168" s="598"/>
      <c r="BZ168" s="598"/>
      <c r="CA168" s="598"/>
      <c r="CB168" s="598"/>
      <c r="CC168" s="598"/>
      <c r="CD168" s="598"/>
      <c r="CE168" s="598"/>
      <c r="CF168" s="598"/>
      <c r="CG168" s="598"/>
      <c r="CH168" s="598"/>
      <c r="CI168" s="599"/>
      <c r="CJ168" s="1543"/>
      <c r="CK168" s="1296"/>
    </row>
    <row r="169" spans="2:89" x14ac:dyDescent="0.2">
      <c r="B169" s="713" t="s">
        <v>758</v>
      </c>
      <c r="C169" s="777" t="s">
        <v>572</v>
      </c>
      <c r="D169" s="715" t="s">
        <v>86</v>
      </c>
      <c r="E169" s="775" t="s">
        <v>344</v>
      </c>
      <c r="F169" s="776">
        <v>2</v>
      </c>
      <c r="G169" s="597"/>
      <c r="H169" s="597"/>
      <c r="I169" s="597">
        <v>130.90061962351149</v>
      </c>
      <c r="J169" s="597">
        <v>132.71311084272594</v>
      </c>
      <c r="K169" s="597">
        <v>135.95988891695063</v>
      </c>
      <c r="L169" s="597">
        <v>140.20423554601018</v>
      </c>
      <c r="M169" s="598">
        <v>147.71487079787923</v>
      </c>
      <c r="N169" s="598">
        <v>159.9065279075555</v>
      </c>
      <c r="O169" s="598">
        <v>179.49178109417744</v>
      </c>
      <c r="P169" s="598">
        <v>204.58461151776802</v>
      </c>
      <c r="Q169" s="598">
        <v>222.80483980254166</v>
      </c>
      <c r="R169" s="598">
        <v>228.95607879967622</v>
      </c>
      <c r="S169" s="598">
        <v>229.65380145414173</v>
      </c>
      <c r="T169" s="598">
        <v>230.33315823359285</v>
      </c>
      <c r="U169" s="598">
        <v>231.03168659168719</v>
      </c>
      <c r="V169" s="598">
        <v>231.82680326350069</v>
      </c>
      <c r="W169" s="598">
        <v>232.6137231279879</v>
      </c>
      <c r="X169" s="598">
        <v>233.39837563490099</v>
      </c>
      <c r="Y169" s="598">
        <v>234.17754188421515</v>
      </c>
      <c r="Z169" s="598">
        <v>235.01753852644416</v>
      </c>
      <c r="AA169" s="598">
        <v>235.9708795781703</v>
      </c>
      <c r="AB169" s="598">
        <v>236.94074846305722</v>
      </c>
      <c r="AC169" s="598">
        <v>237.89812238102945</v>
      </c>
      <c r="AD169" s="598">
        <v>238.8546607437427</v>
      </c>
      <c r="AE169" s="598">
        <v>239.8171830018712</v>
      </c>
      <c r="AF169" s="598">
        <v>240.77093378140864</v>
      </c>
      <c r="AG169" s="598">
        <v>241.68741404014713</v>
      </c>
      <c r="AH169" s="598">
        <v>242.57577758574016</v>
      </c>
      <c r="AI169" s="598">
        <v>243.47565427398922</v>
      </c>
      <c r="AJ169" s="598">
        <v>244.39216260285806</v>
      </c>
      <c r="AK169" s="598">
        <v>245.29986806280479</v>
      </c>
      <c r="AL169" s="598"/>
      <c r="AM169" s="598"/>
      <c r="AN169" s="598"/>
      <c r="AO169" s="598"/>
      <c r="AP169" s="598"/>
      <c r="AQ169" s="598"/>
      <c r="AR169" s="598"/>
      <c r="AS169" s="598"/>
      <c r="AT169" s="598"/>
      <c r="AU169" s="598"/>
      <c r="AV169" s="598"/>
      <c r="AW169" s="598"/>
      <c r="AX169" s="598"/>
      <c r="AY169" s="598"/>
      <c r="AZ169" s="598"/>
      <c r="BA169" s="598"/>
      <c r="BB169" s="598"/>
      <c r="BC169" s="598"/>
      <c r="BD169" s="598"/>
      <c r="BE169" s="598"/>
      <c r="BF169" s="598"/>
      <c r="BG169" s="598"/>
      <c r="BH169" s="598"/>
      <c r="BI169" s="598"/>
      <c r="BJ169" s="598"/>
      <c r="BK169" s="598"/>
      <c r="BL169" s="598"/>
      <c r="BM169" s="598"/>
      <c r="BN169" s="598"/>
      <c r="BO169" s="598"/>
      <c r="BP169" s="598"/>
      <c r="BQ169" s="598"/>
      <c r="BR169" s="598"/>
      <c r="BS169" s="598"/>
      <c r="BT169" s="598"/>
      <c r="BU169" s="598"/>
      <c r="BV169" s="598"/>
      <c r="BW169" s="598"/>
      <c r="BX169" s="598"/>
      <c r="BY169" s="598"/>
      <c r="BZ169" s="598"/>
      <c r="CA169" s="598"/>
      <c r="CB169" s="598"/>
      <c r="CC169" s="598"/>
      <c r="CD169" s="598"/>
      <c r="CE169" s="598"/>
      <c r="CF169" s="598"/>
      <c r="CG169" s="598"/>
      <c r="CH169" s="598"/>
      <c r="CI169" s="599"/>
      <c r="CJ169" s="1543"/>
      <c r="CK169" s="1296"/>
    </row>
    <row r="170" spans="2:89" x14ac:dyDescent="0.2">
      <c r="B170" s="713" t="s">
        <v>759</v>
      </c>
      <c r="C170" s="777" t="s">
        <v>574</v>
      </c>
      <c r="D170" s="715" t="s">
        <v>86</v>
      </c>
      <c r="E170" s="775" t="s">
        <v>344</v>
      </c>
      <c r="F170" s="776">
        <v>2</v>
      </c>
      <c r="G170" s="597"/>
      <c r="H170" s="597"/>
      <c r="I170" s="597">
        <v>90.592056438351563</v>
      </c>
      <c r="J170" s="597">
        <v>89.413301780527377</v>
      </c>
      <c r="K170" s="597">
        <v>88.125815456900995</v>
      </c>
      <c r="L170" s="597">
        <v>85.610920570035631</v>
      </c>
      <c r="M170" s="598">
        <v>79.82502768080434</v>
      </c>
      <c r="N170" s="598">
        <v>69.037678885480574</v>
      </c>
      <c r="O170" s="598">
        <v>50.491197890969154</v>
      </c>
      <c r="P170" s="598">
        <v>26.316072909381084</v>
      </c>
      <c r="Q170" s="598">
        <v>8.7860892146407394</v>
      </c>
      <c r="R170" s="598">
        <v>3.2972057949809441</v>
      </c>
      <c r="S170" s="598">
        <v>3.2600372231948329</v>
      </c>
      <c r="T170" s="598">
        <v>3.2232204958975785</v>
      </c>
      <c r="U170" s="598">
        <v>3.1868464089977317</v>
      </c>
      <c r="V170" s="598">
        <v>3.1509688411963861</v>
      </c>
      <c r="W170" s="598">
        <v>3.0950841426381799</v>
      </c>
      <c r="X170" s="598">
        <v>3.0197137952558992</v>
      </c>
      <c r="Y170" s="598">
        <v>2.945597087876985</v>
      </c>
      <c r="Z170" s="598">
        <v>2.8727030712334987</v>
      </c>
      <c r="AA170" s="598">
        <v>2.8010114213318844</v>
      </c>
      <c r="AB170" s="598">
        <v>2.7306130965817186</v>
      </c>
      <c r="AC170" s="598">
        <v>2.6614770115749971</v>
      </c>
      <c r="AD170" s="598">
        <v>2.5934654572090134</v>
      </c>
      <c r="AE170" s="598">
        <v>2.5265483769107178</v>
      </c>
      <c r="AF170" s="598">
        <v>2.4606970479248216</v>
      </c>
      <c r="AG170" s="598">
        <v>2.3958814236809025</v>
      </c>
      <c r="AH170" s="598">
        <v>2.3320686098793493</v>
      </c>
      <c r="AI170" s="598">
        <v>2.269227827814257</v>
      </c>
      <c r="AJ170" s="598">
        <v>2.2073337629091427</v>
      </c>
      <c r="AK170" s="598">
        <v>2.1463620545709325</v>
      </c>
      <c r="AL170" s="598"/>
      <c r="AM170" s="598"/>
      <c r="AN170" s="598"/>
      <c r="AO170" s="598"/>
      <c r="AP170" s="598"/>
      <c r="AQ170" s="598"/>
      <c r="AR170" s="598"/>
      <c r="AS170" s="598"/>
      <c r="AT170" s="598"/>
      <c r="AU170" s="598"/>
      <c r="AV170" s="598"/>
      <c r="AW170" s="598"/>
      <c r="AX170" s="598"/>
      <c r="AY170" s="598"/>
      <c r="AZ170" s="598"/>
      <c r="BA170" s="598"/>
      <c r="BB170" s="598"/>
      <c r="BC170" s="598"/>
      <c r="BD170" s="598"/>
      <c r="BE170" s="598"/>
      <c r="BF170" s="598"/>
      <c r="BG170" s="598"/>
      <c r="BH170" s="598"/>
      <c r="BI170" s="598"/>
      <c r="BJ170" s="598"/>
      <c r="BK170" s="598"/>
      <c r="BL170" s="598"/>
      <c r="BM170" s="598"/>
      <c r="BN170" s="598"/>
      <c r="BO170" s="598"/>
      <c r="BP170" s="598"/>
      <c r="BQ170" s="598"/>
      <c r="BR170" s="598"/>
      <c r="BS170" s="598"/>
      <c r="BT170" s="598"/>
      <c r="BU170" s="598"/>
      <c r="BV170" s="598"/>
      <c r="BW170" s="598"/>
      <c r="BX170" s="598"/>
      <c r="BY170" s="598"/>
      <c r="BZ170" s="598"/>
      <c r="CA170" s="598"/>
      <c r="CB170" s="598"/>
      <c r="CC170" s="598"/>
      <c r="CD170" s="598"/>
      <c r="CE170" s="598"/>
      <c r="CF170" s="598"/>
      <c r="CG170" s="598"/>
      <c r="CH170" s="598"/>
      <c r="CI170" s="599"/>
      <c r="CJ170" s="1543"/>
      <c r="CK170" s="1296"/>
    </row>
    <row r="171" spans="2:89" x14ac:dyDescent="0.2">
      <c r="B171" s="778" t="s">
        <v>760</v>
      </c>
      <c r="C171" s="777" t="s">
        <v>576</v>
      </c>
      <c r="D171" s="779" t="s">
        <v>761</v>
      </c>
      <c r="E171" s="775" t="s">
        <v>344</v>
      </c>
      <c r="F171" s="776">
        <v>2</v>
      </c>
      <c r="G171" s="569">
        <f>SUM(G167:G170)</f>
        <v>0</v>
      </c>
      <c r="H171" s="569">
        <f t="shared" ref="H171:AK171" si="102">SUM(H167:H170)</f>
        <v>0</v>
      </c>
      <c r="I171" s="569">
        <f t="shared" si="102"/>
        <v>224.40945006186305</v>
      </c>
      <c r="J171" s="569">
        <f t="shared" si="102"/>
        <v>225.08716667975034</v>
      </c>
      <c r="K171" s="569">
        <f t="shared" si="102"/>
        <v>227.08837932677247</v>
      </c>
      <c r="L171" s="569">
        <f t="shared" si="102"/>
        <v>228.85244277849907</v>
      </c>
      <c r="M171" s="718">
        <f t="shared" si="102"/>
        <v>230.6065862711537</v>
      </c>
      <c r="N171" s="718">
        <f t="shared" si="102"/>
        <v>232.05219215406976</v>
      </c>
      <c r="O171" s="718">
        <f t="shared" si="102"/>
        <v>233.13945051705309</v>
      </c>
      <c r="P171" s="718">
        <f t="shared" si="102"/>
        <v>234.10504776241197</v>
      </c>
      <c r="Q171" s="718">
        <f t="shared" si="102"/>
        <v>234.83930197702762</v>
      </c>
      <c r="R171" s="718">
        <f t="shared" si="102"/>
        <v>235.54204350257496</v>
      </c>
      <c r="S171" s="718">
        <f t="shared" si="102"/>
        <v>236.26476285253375</v>
      </c>
      <c r="T171" s="718">
        <f t="shared" si="102"/>
        <v>236.96914669239322</v>
      </c>
      <c r="U171" s="718">
        <f t="shared" si="102"/>
        <v>237.6776484284714</v>
      </c>
      <c r="V171" s="718">
        <f t="shared" si="102"/>
        <v>238.46992476444177</v>
      </c>
      <c r="W171" s="718">
        <f t="shared" si="102"/>
        <v>239.23063671009746</v>
      </c>
      <c r="X171" s="718">
        <f t="shared" si="102"/>
        <v>239.96763983388817</v>
      </c>
      <c r="Y171" s="718">
        <f t="shared" si="102"/>
        <v>240.70403913786757</v>
      </c>
      <c r="Z171" s="718">
        <f t="shared" si="102"/>
        <v>241.50550416694171</v>
      </c>
      <c r="AA171" s="718">
        <f t="shared" si="102"/>
        <v>242.42079903691538</v>
      </c>
      <c r="AB171" s="718">
        <f t="shared" si="102"/>
        <v>243.35625677672795</v>
      </c>
      <c r="AC171" s="718">
        <f t="shared" si="102"/>
        <v>244.28605625836704</v>
      </c>
      <c r="AD171" s="718">
        <f t="shared" si="102"/>
        <v>245.22125345939324</v>
      </c>
      <c r="AE171" s="718">
        <f t="shared" si="102"/>
        <v>246.16847439589591</v>
      </c>
      <c r="AF171" s="718">
        <f t="shared" si="102"/>
        <v>247.10718938290836</v>
      </c>
      <c r="AG171" s="718">
        <f t="shared" si="102"/>
        <v>248.01472747751097</v>
      </c>
      <c r="AH171" s="718">
        <f t="shared" si="102"/>
        <v>248.89695139287107</v>
      </c>
      <c r="AI171" s="718">
        <f t="shared" si="102"/>
        <v>249.79194277940343</v>
      </c>
      <c r="AJ171" s="718">
        <f t="shared" si="102"/>
        <v>250.706065232566</v>
      </c>
      <c r="AK171" s="718">
        <f t="shared" si="102"/>
        <v>251.60924761094822</v>
      </c>
      <c r="AL171" s="718"/>
      <c r="AM171" s="718"/>
      <c r="AN171" s="718"/>
      <c r="AO171" s="718"/>
      <c r="AP171" s="718"/>
      <c r="AQ171" s="718"/>
      <c r="AR171" s="718"/>
      <c r="AS171" s="718"/>
      <c r="AT171" s="718"/>
      <c r="AU171" s="718"/>
      <c r="AV171" s="718"/>
      <c r="AW171" s="718"/>
      <c r="AX171" s="718"/>
      <c r="AY171" s="718"/>
      <c r="AZ171" s="718"/>
      <c r="BA171" s="718"/>
      <c r="BB171" s="718"/>
      <c r="BC171" s="718"/>
      <c r="BD171" s="718"/>
      <c r="BE171" s="718"/>
      <c r="BF171" s="718"/>
      <c r="BG171" s="718"/>
      <c r="BH171" s="718"/>
      <c r="BI171" s="718"/>
      <c r="BJ171" s="718"/>
      <c r="BK171" s="718"/>
      <c r="BL171" s="718"/>
      <c r="BM171" s="718"/>
      <c r="BN171" s="718"/>
      <c r="BO171" s="718"/>
      <c r="BP171" s="718"/>
      <c r="BQ171" s="718"/>
      <c r="BR171" s="718"/>
      <c r="BS171" s="718"/>
      <c r="BT171" s="718"/>
      <c r="BU171" s="718"/>
      <c r="BV171" s="718"/>
      <c r="BW171" s="718"/>
      <c r="BX171" s="718"/>
      <c r="BY171" s="718"/>
      <c r="BZ171" s="718"/>
      <c r="CA171" s="718"/>
      <c r="CB171" s="718"/>
      <c r="CC171" s="718"/>
      <c r="CD171" s="718"/>
      <c r="CE171" s="718"/>
      <c r="CF171" s="718"/>
      <c r="CG171" s="718"/>
      <c r="CH171" s="718"/>
      <c r="CI171" s="719"/>
      <c r="CJ171" s="1543"/>
      <c r="CK171" s="1296"/>
    </row>
    <row r="172" spans="2:89" ht="28.5" x14ac:dyDescent="0.2">
      <c r="B172" s="778" t="s">
        <v>762</v>
      </c>
      <c r="C172" s="777" t="s">
        <v>579</v>
      </c>
      <c r="D172" s="779" t="s">
        <v>763</v>
      </c>
      <c r="E172" s="775" t="s">
        <v>581</v>
      </c>
      <c r="F172" s="776">
        <v>1</v>
      </c>
      <c r="G172" s="750" t="e">
        <f>(G170+G169)/(G156+G164)</f>
        <v>#DIV/0!</v>
      </c>
      <c r="H172" s="750" t="e">
        <f t="shared" ref="H172:AK172" si="103">(H170+H169)/(H156+H164)</f>
        <v>#DIV/0!</v>
      </c>
      <c r="I172" s="750">
        <f t="shared" si="103"/>
        <v>2.3698434253326242</v>
      </c>
      <c r="J172" s="750">
        <f t="shared" si="103"/>
        <v>2.3651997561167852</v>
      </c>
      <c r="K172" s="750">
        <f t="shared" si="103"/>
        <v>2.3566954750708833</v>
      </c>
      <c r="L172" s="750">
        <f t="shared" si="103"/>
        <v>2.3485091806612379</v>
      </c>
      <c r="M172" s="750">
        <f t="shared" si="103"/>
        <v>2.3394825522147964</v>
      </c>
      <c r="N172" s="750">
        <f t="shared" si="103"/>
        <v>2.3301050741581024</v>
      </c>
      <c r="O172" s="750">
        <f t="shared" si="103"/>
        <v>2.3208620597061569</v>
      </c>
      <c r="P172" s="750">
        <f t="shared" si="103"/>
        <v>2.3125900728172399</v>
      </c>
      <c r="Q172" s="750">
        <f t="shared" si="103"/>
        <v>2.3042076069219997</v>
      </c>
      <c r="R172" s="750">
        <f t="shared" si="103"/>
        <v>2.2963513407531533</v>
      </c>
      <c r="S172" s="750">
        <f t="shared" si="103"/>
        <v>2.2887724740647446</v>
      </c>
      <c r="T172" s="750">
        <f t="shared" si="103"/>
        <v>2.2812587665382313</v>
      </c>
      <c r="U172" s="750">
        <f t="shared" si="103"/>
        <v>2.2741447269375841</v>
      </c>
      <c r="V172" s="750">
        <f t="shared" si="103"/>
        <v>2.2681616766826953</v>
      </c>
      <c r="W172" s="750">
        <f t="shared" si="103"/>
        <v>2.2620803424417715</v>
      </c>
      <c r="X172" s="750">
        <f t="shared" si="103"/>
        <v>2.2560017012603457</v>
      </c>
      <c r="Y172" s="750">
        <f t="shared" si="103"/>
        <v>2.2500815357474835</v>
      </c>
      <c r="Z172" s="750">
        <f t="shared" si="103"/>
        <v>2.2449553296295184</v>
      </c>
      <c r="AA172" s="750">
        <f t="shared" si="103"/>
        <v>2.2412299955042134</v>
      </c>
      <c r="AB172" s="750">
        <f t="shared" si="103"/>
        <v>2.2378528997579652</v>
      </c>
      <c r="AC172" s="750">
        <f t="shared" si="103"/>
        <v>2.2345566928164748</v>
      </c>
      <c r="AD172" s="750">
        <f t="shared" si="103"/>
        <v>2.2314251749156853</v>
      </c>
      <c r="AE172" s="750">
        <f t="shared" si="103"/>
        <v>2.2285120060138222</v>
      </c>
      <c r="AF172" s="750">
        <f t="shared" si="103"/>
        <v>2.2256865047061183</v>
      </c>
      <c r="AG172" s="750">
        <f t="shared" si="103"/>
        <v>2.2226873907698113</v>
      </c>
      <c r="AH172" s="750">
        <f t="shared" si="103"/>
        <v>2.2195976856113133</v>
      </c>
      <c r="AI172" s="750">
        <f t="shared" si="103"/>
        <v>2.2167787159556487</v>
      </c>
      <c r="AJ172" s="750">
        <f t="shared" si="103"/>
        <v>2.2142848223832199</v>
      </c>
      <c r="AK172" s="750">
        <f t="shared" si="103"/>
        <v>2.2118800132408394</v>
      </c>
      <c r="AL172" s="750"/>
      <c r="AM172" s="750"/>
      <c r="AN172" s="750"/>
      <c r="AO172" s="750"/>
      <c r="AP172" s="750"/>
      <c r="AQ172" s="750"/>
      <c r="AR172" s="750"/>
      <c r="AS172" s="750"/>
      <c r="AT172" s="750"/>
      <c r="AU172" s="750"/>
      <c r="AV172" s="750"/>
      <c r="AW172" s="750"/>
      <c r="AX172" s="750"/>
      <c r="AY172" s="750"/>
      <c r="AZ172" s="750"/>
      <c r="BA172" s="750"/>
      <c r="BB172" s="750"/>
      <c r="BC172" s="750"/>
      <c r="BD172" s="750"/>
      <c r="BE172" s="750"/>
      <c r="BF172" s="750"/>
      <c r="BG172" s="750"/>
      <c r="BH172" s="750"/>
      <c r="BI172" s="750"/>
      <c r="BJ172" s="750"/>
      <c r="BK172" s="750"/>
      <c r="BL172" s="750"/>
      <c r="BM172" s="750"/>
      <c r="BN172" s="750"/>
      <c r="BO172" s="750"/>
      <c r="BP172" s="750"/>
      <c r="BQ172" s="750"/>
      <c r="BR172" s="750"/>
      <c r="BS172" s="750"/>
      <c r="BT172" s="750"/>
      <c r="BU172" s="750"/>
      <c r="BV172" s="750"/>
      <c r="BW172" s="750"/>
      <c r="BX172" s="750"/>
      <c r="BY172" s="750"/>
      <c r="BZ172" s="750"/>
      <c r="CA172" s="750"/>
      <c r="CB172" s="750"/>
      <c r="CC172" s="750"/>
      <c r="CD172" s="750"/>
      <c r="CE172" s="750"/>
      <c r="CF172" s="750"/>
      <c r="CG172" s="750"/>
      <c r="CH172" s="750"/>
      <c r="CI172" s="750"/>
      <c r="CJ172" s="1543"/>
      <c r="CK172" s="1296"/>
    </row>
    <row r="173" spans="2:89" ht="28.5" x14ac:dyDescent="0.2">
      <c r="B173" s="778" t="s">
        <v>764</v>
      </c>
      <c r="C173" s="777" t="s">
        <v>583</v>
      </c>
      <c r="D173" s="779" t="s">
        <v>765</v>
      </c>
      <c r="E173" s="775" t="s">
        <v>375</v>
      </c>
      <c r="F173" s="776">
        <v>1</v>
      </c>
      <c r="G173" s="743" t="e">
        <f>G156/(G156+G164)</f>
        <v>#DIV/0!</v>
      </c>
      <c r="H173" s="743" t="e">
        <f t="shared" ref="H173:AK173" si="104">H156/(H156+H164)</f>
        <v>#DIV/0!</v>
      </c>
      <c r="I173" s="743">
        <f t="shared" si="104"/>
        <v>0.70718894107828767</v>
      </c>
      <c r="J173" s="743">
        <f t="shared" si="104"/>
        <v>0.7115692242952073</v>
      </c>
      <c r="K173" s="743">
        <f t="shared" si="104"/>
        <v>0.71871487986315041</v>
      </c>
      <c r="L173" s="743">
        <f t="shared" si="104"/>
        <v>0.73185091392726409</v>
      </c>
      <c r="M173" s="744">
        <f t="shared" si="104"/>
        <v>0.75559445862515029</v>
      </c>
      <c r="N173" s="744">
        <f t="shared" si="104"/>
        <v>0.79216412126134694</v>
      </c>
      <c r="O173" s="744">
        <f t="shared" si="104"/>
        <v>0.8507322210643693</v>
      </c>
      <c r="P173" s="744">
        <f t="shared" si="104"/>
        <v>0.92520630395879278</v>
      </c>
      <c r="Q173" s="744">
        <f t="shared" si="104"/>
        <v>0.97712167016788631</v>
      </c>
      <c r="R173" s="744">
        <f t="shared" si="104"/>
        <v>0.9922047908743411</v>
      </c>
      <c r="S173" s="744">
        <f t="shared" si="104"/>
        <v>0.99232605438365251</v>
      </c>
      <c r="T173" s="744">
        <f t="shared" si="104"/>
        <v>0.99242899282167862</v>
      </c>
      <c r="U173" s="744">
        <f t="shared" si="104"/>
        <v>0.99252090056879139</v>
      </c>
      <c r="V173" s="744">
        <f t="shared" si="104"/>
        <v>0.99260201434699613</v>
      </c>
      <c r="W173" s="744">
        <f t="shared" si="104"/>
        <v>0.99272368828211865</v>
      </c>
      <c r="X173" s="744">
        <f t="shared" si="104"/>
        <v>0.99289436288378297</v>
      </c>
      <c r="Y173" s="744">
        <f t="shared" si="104"/>
        <v>0.99306270907331062</v>
      </c>
      <c r="Z173" s="744">
        <f t="shared" si="104"/>
        <v>0.99322875362666319</v>
      </c>
      <c r="AA173" s="744">
        <f t="shared" si="104"/>
        <v>0.99338309462180574</v>
      </c>
      <c r="AB173" s="744">
        <f t="shared" si="104"/>
        <v>0.99353534987414371</v>
      </c>
      <c r="AC173" s="744">
        <f t="shared" si="104"/>
        <v>0.99369454717488648</v>
      </c>
      <c r="AD173" s="744">
        <f t="shared" si="104"/>
        <v>0.99385175686632921</v>
      </c>
      <c r="AE173" s="744">
        <f t="shared" si="104"/>
        <v>0.9940070514616518</v>
      </c>
      <c r="AF173" s="744">
        <f t="shared" si="104"/>
        <v>0.99416046297043603</v>
      </c>
      <c r="AG173" s="744">
        <f t="shared" si="104"/>
        <v>0.99431204486834768</v>
      </c>
      <c r="AH173" s="744">
        <f t="shared" si="104"/>
        <v>0.99446185382036079</v>
      </c>
      <c r="AI173" s="744">
        <f t="shared" si="104"/>
        <v>0.99460993227323469</v>
      </c>
      <c r="AJ173" s="744">
        <f t="shared" si="104"/>
        <v>0.99475629959363987</v>
      </c>
      <c r="AK173" s="744">
        <f t="shared" si="104"/>
        <v>0.99490101511195028</v>
      </c>
      <c r="AL173" s="744"/>
      <c r="AM173" s="744"/>
      <c r="AN173" s="744"/>
      <c r="AO173" s="744"/>
      <c r="AP173" s="744"/>
      <c r="AQ173" s="744"/>
      <c r="AR173" s="744"/>
      <c r="AS173" s="744"/>
      <c r="AT173" s="744"/>
      <c r="AU173" s="744"/>
      <c r="AV173" s="744"/>
      <c r="AW173" s="744"/>
      <c r="AX173" s="744"/>
      <c r="AY173" s="744"/>
      <c r="AZ173" s="744"/>
      <c r="BA173" s="744"/>
      <c r="BB173" s="744"/>
      <c r="BC173" s="744"/>
      <c r="BD173" s="744"/>
      <c r="BE173" s="744"/>
      <c r="BF173" s="744"/>
      <c r="BG173" s="744"/>
      <c r="BH173" s="744"/>
      <c r="BI173" s="744"/>
      <c r="BJ173" s="744"/>
      <c r="BK173" s="744"/>
      <c r="BL173" s="744"/>
      <c r="BM173" s="744"/>
      <c r="BN173" s="744"/>
      <c r="BO173" s="744"/>
      <c r="BP173" s="744"/>
      <c r="BQ173" s="744"/>
      <c r="BR173" s="744"/>
      <c r="BS173" s="744"/>
      <c r="BT173" s="744"/>
      <c r="BU173" s="744"/>
      <c r="BV173" s="744"/>
      <c r="BW173" s="744"/>
      <c r="BX173" s="744"/>
      <c r="BY173" s="744"/>
      <c r="BZ173" s="744"/>
      <c r="CA173" s="744"/>
      <c r="CB173" s="744"/>
      <c r="CC173" s="744"/>
      <c r="CD173" s="744"/>
      <c r="CE173" s="744"/>
      <c r="CF173" s="744"/>
      <c r="CG173" s="744"/>
      <c r="CH173" s="744"/>
      <c r="CI173" s="745"/>
      <c r="CJ173" s="1543"/>
      <c r="CK173" s="1296"/>
    </row>
    <row r="174" spans="2:89" ht="29.25" thickBot="1" x14ac:dyDescent="0.25">
      <c r="B174" s="780" t="s">
        <v>766</v>
      </c>
      <c r="C174" s="781" t="s">
        <v>586</v>
      </c>
      <c r="D174" s="782" t="s">
        <v>767</v>
      </c>
      <c r="E174" s="783" t="s">
        <v>375</v>
      </c>
      <c r="F174" s="784">
        <v>1</v>
      </c>
      <c r="G174" s="785" t="e">
        <f>(G156)/(G156+G165+G164+G163)</f>
        <v>#DIV/0!</v>
      </c>
      <c r="H174" s="785" t="e">
        <f t="shared" ref="H174:AK174" si="105">(H156)/(H156+H165+H164+H163)</f>
        <v>#DIV/0!</v>
      </c>
      <c r="I174" s="785">
        <f t="shared" si="105"/>
        <v>0.68570005809610757</v>
      </c>
      <c r="J174" s="785">
        <f t="shared" si="105"/>
        <v>0.68997755014504591</v>
      </c>
      <c r="K174" s="785">
        <f t="shared" si="105"/>
        <v>0.69691969599997716</v>
      </c>
      <c r="L174" s="785">
        <f t="shared" si="105"/>
        <v>0.70969550299547435</v>
      </c>
      <c r="M174" s="785">
        <f t="shared" si="105"/>
        <v>0.73286120448457148</v>
      </c>
      <c r="N174" s="785">
        <f t="shared" si="105"/>
        <v>0.7684681256361463</v>
      </c>
      <c r="O174" s="785">
        <f t="shared" si="105"/>
        <v>0.82534852653670654</v>
      </c>
      <c r="P174" s="785">
        <f t="shared" si="105"/>
        <v>0.89768706708371337</v>
      </c>
      <c r="Q174" s="785">
        <f t="shared" si="105"/>
        <v>0.9481343609626911</v>
      </c>
      <c r="R174" s="785">
        <f t="shared" si="105"/>
        <v>0.96281028586340267</v>
      </c>
      <c r="S174" s="785">
        <f t="shared" si="105"/>
        <v>0.96293713215255494</v>
      </c>
      <c r="T174" s="785">
        <f t="shared" si="105"/>
        <v>0.96303776691145559</v>
      </c>
      <c r="U174" s="785">
        <f t="shared" si="105"/>
        <v>0.96312767128756527</v>
      </c>
      <c r="V174" s="785">
        <f t="shared" si="105"/>
        <v>0.96320708646089659</v>
      </c>
      <c r="W174" s="785">
        <f t="shared" si="105"/>
        <v>0.96332589606870289</v>
      </c>
      <c r="X174" s="785">
        <f t="shared" si="105"/>
        <v>0.96349231558576121</v>
      </c>
      <c r="Y174" s="785">
        <f t="shared" si="105"/>
        <v>0.96365644401605421</v>
      </c>
      <c r="Z174" s="785">
        <f t="shared" si="105"/>
        <v>0.96381828398381131</v>
      </c>
      <c r="AA174" s="785">
        <f t="shared" si="105"/>
        <v>0.96396876490119598</v>
      </c>
      <c r="AB174" s="785">
        <f t="shared" si="105"/>
        <v>0.96411725452464037</v>
      </c>
      <c r="AC174" s="785">
        <f t="shared" si="105"/>
        <v>0.96427249606431542</v>
      </c>
      <c r="AD174" s="785">
        <f t="shared" si="105"/>
        <v>0.96442576946544378</v>
      </c>
      <c r="AE174" s="785">
        <f t="shared" si="105"/>
        <v>0.9645771860050969</v>
      </c>
      <c r="AF174" s="785">
        <f t="shared" si="105"/>
        <v>0.96472675986445999</v>
      </c>
      <c r="AG174" s="785">
        <f t="shared" si="105"/>
        <v>0.96487454483663615</v>
      </c>
      <c r="AH174" s="785">
        <f t="shared" si="105"/>
        <v>0.9650205814180649</v>
      </c>
      <c r="AI174" s="785">
        <f t="shared" si="105"/>
        <v>0.9651648985086001</v>
      </c>
      <c r="AJ174" s="785">
        <f t="shared" si="105"/>
        <v>0.96530752361401617</v>
      </c>
      <c r="AK174" s="785">
        <f t="shared" si="105"/>
        <v>0.96544852600365816</v>
      </c>
      <c r="AL174" s="785"/>
      <c r="AM174" s="785"/>
      <c r="AN174" s="785"/>
      <c r="AO174" s="785"/>
      <c r="AP174" s="785"/>
      <c r="AQ174" s="785"/>
      <c r="AR174" s="785"/>
      <c r="AS174" s="785"/>
      <c r="AT174" s="785"/>
      <c r="AU174" s="785"/>
      <c r="AV174" s="785"/>
      <c r="AW174" s="785"/>
      <c r="AX174" s="785"/>
      <c r="AY174" s="785"/>
      <c r="AZ174" s="785"/>
      <c r="BA174" s="785"/>
      <c r="BB174" s="785"/>
      <c r="BC174" s="785"/>
      <c r="BD174" s="785"/>
      <c r="BE174" s="785"/>
      <c r="BF174" s="785"/>
      <c r="BG174" s="785"/>
      <c r="BH174" s="785"/>
      <c r="BI174" s="785"/>
      <c r="BJ174" s="785"/>
      <c r="BK174" s="785"/>
      <c r="BL174" s="785"/>
      <c r="BM174" s="785"/>
      <c r="BN174" s="785"/>
      <c r="BO174" s="785"/>
      <c r="BP174" s="785"/>
      <c r="BQ174" s="785"/>
      <c r="BR174" s="785"/>
      <c r="BS174" s="785"/>
      <c r="BT174" s="785"/>
      <c r="BU174" s="785"/>
      <c r="BV174" s="785"/>
      <c r="BW174" s="785"/>
      <c r="BX174" s="785"/>
      <c r="BY174" s="785"/>
      <c r="BZ174" s="785"/>
      <c r="CA174" s="785"/>
      <c r="CB174" s="785"/>
      <c r="CC174" s="785"/>
      <c r="CD174" s="785"/>
      <c r="CE174" s="785"/>
      <c r="CF174" s="785"/>
      <c r="CG174" s="785"/>
      <c r="CH174" s="785"/>
      <c r="CI174" s="785"/>
      <c r="CJ174" s="1543"/>
      <c r="CK174" s="1296"/>
    </row>
    <row r="175" spans="2:89" ht="29.25" thickBot="1" x14ac:dyDescent="0.25">
      <c r="B175" s="786" t="s">
        <v>768</v>
      </c>
      <c r="C175" s="787" t="s">
        <v>245</v>
      </c>
      <c r="D175" s="787" t="s">
        <v>769</v>
      </c>
      <c r="E175" s="787" t="s">
        <v>236</v>
      </c>
      <c r="F175" s="788">
        <v>2</v>
      </c>
      <c r="G175" s="629">
        <f>SUM(G135:G137)+G133+G144+G149+G150+G143</f>
        <v>0</v>
      </c>
      <c r="H175" s="629">
        <f t="shared" ref="H175:AK175" si="106">SUM(H135:H137)+H133+H144+H149+H150+H143</f>
        <v>0</v>
      </c>
      <c r="I175" s="629">
        <f t="shared" si="106"/>
        <v>46.466061490799248</v>
      </c>
      <c r="J175" s="629">
        <f t="shared" si="106"/>
        <v>46.930665609919217</v>
      </c>
      <c r="K175" s="629">
        <f t="shared" si="106"/>
        <v>48.062441666593571</v>
      </c>
      <c r="L175" s="629">
        <f t="shared" si="106"/>
        <v>48.37116203274492</v>
      </c>
      <c r="M175" s="629">
        <f t="shared" si="106"/>
        <v>48.256136881735209</v>
      </c>
      <c r="N175" s="629">
        <f t="shared" si="106"/>
        <v>47.829051150926666</v>
      </c>
      <c r="O175" s="629">
        <f t="shared" si="106"/>
        <v>48.811256330360905</v>
      </c>
      <c r="P175" s="629">
        <f t="shared" si="106"/>
        <v>47.957896635237439</v>
      </c>
      <c r="Q175" s="629">
        <f t="shared" si="106"/>
        <v>47.381524665624667</v>
      </c>
      <c r="R175" s="629">
        <f t="shared" si="106"/>
        <v>47.038152588047318</v>
      </c>
      <c r="S175" s="629">
        <f t="shared" si="106"/>
        <v>46.764805011618101</v>
      </c>
      <c r="T175" s="629">
        <f t="shared" si="106"/>
        <v>46.378537155299213</v>
      </c>
      <c r="U175" s="629">
        <f t="shared" si="106"/>
        <v>45.928430673760218</v>
      </c>
      <c r="V175" s="629">
        <f t="shared" si="106"/>
        <v>45.60332522348773</v>
      </c>
      <c r="W175" s="629">
        <f t="shared" si="106"/>
        <v>45.340595171647962</v>
      </c>
      <c r="X175" s="629">
        <f t="shared" si="106"/>
        <v>45.081413582444839</v>
      </c>
      <c r="Y175" s="629">
        <f t="shared" si="106"/>
        <v>44.823298253468238</v>
      </c>
      <c r="Z175" s="629">
        <f t="shared" si="106"/>
        <v>44.703557145914459</v>
      </c>
      <c r="AA175" s="629">
        <f t="shared" si="106"/>
        <v>44.590687115451423</v>
      </c>
      <c r="AB175" s="629">
        <f t="shared" si="106"/>
        <v>44.452582490915425</v>
      </c>
      <c r="AC175" s="629">
        <f t="shared" si="106"/>
        <v>44.339902573367297</v>
      </c>
      <c r="AD175" s="629">
        <f t="shared" si="106"/>
        <v>44.23810482285765</v>
      </c>
      <c r="AE175" s="629">
        <f t="shared" si="106"/>
        <v>44.237233393587857</v>
      </c>
      <c r="AF175" s="629">
        <f t="shared" si="106"/>
        <v>44.235904020365403</v>
      </c>
      <c r="AG175" s="629">
        <f t="shared" si="106"/>
        <v>44.232080017614201</v>
      </c>
      <c r="AH175" s="629">
        <f t="shared" si="106"/>
        <v>44.233162824262969</v>
      </c>
      <c r="AI175" s="629">
        <f t="shared" si="106"/>
        <v>44.23179345405844</v>
      </c>
      <c r="AJ175" s="629">
        <f t="shared" si="106"/>
        <v>44.231504688516367</v>
      </c>
      <c r="AK175" s="629">
        <f t="shared" si="106"/>
        <v>44.224958042452208</v>
      </c>
      <c r="AL175" s="629"/>
      <c r="AM175" s="629"/>
      <c r="AN175" s="629"/>
      <c r="AO175" s="629"/>
      <c r="AP175" s="629"/>
      <c r="AQ175" s="629"/>
      <c r="AR175" s="629"/>
      <c r="AS175" s="629"/>
      <c r="AT175" s="629"/>
      <c r="AU175" s="629"/>
      <c r="AV175" s="629"/>
      <c r="AW175" s="629"/>
      <c r="AX175" s="629"/>
      <c r="AY175" s="629"/>
      <c r="AZ175" s="629"/>
      <c r="BA175" s="629"/>
      <c r="BB175" s="629"/>
      <c r="BC175" s="629"/>
      <c r="BD175" s="629"/>
      <c r="BE175" s="629"/>
      <c r="BF175" s="629"/>
      <c r="BG175" s="629"/>
      <c r="BH175" s="629"/>
      <c r="BI175" s="629"/>
      <c r="BJ175" s="629"/>
      <c r="BK175" s="629"/>
      <c r="BL175" s="629"/>
      <c r="BM175" s="629"/>
      <c r="BN175" s="629"/>
      <c r="BO175" s="629"/>
      <c r="BP175" s="629"/>
      <c r="BQ175" s="629"/>
      <c r="BR175" s="629"/>
      <c r="BS175" s="629"/>
      <c r="BT175" s="629"/>
      <c r="BU175" s="629"/>
      <c r="BV175" s="629"/>
      <c r="BW175" s="629"/>
      <c r="BX175" s="629"/>
      <c r="BY175" s="629"/>
      <c r="BZ175" s="629"/>
      <c r="CA175" s="629"/>
      <c r="CB175" s="629"/>
      <c r="CC175" s="629"/>
      <c r="CD175" s="629"/>
      <c r="CE175" s="629"/>
      <c r="CF175" s="629"/>
      <c r="CG175" s="629"/>
      <c r="CH175" s="629"/>
      <c r="CI175" s="629"/>
      <c r="CJ175" s="1543"/>
      <c r="CK175" s="1296"/>
    </row>
    <row r="176" spans="2:89" ht="28.5" x14ac:dyDescent="0.2">
      <c r="B176" s="789" t="s">
        <v>770</v>
      </c>
      <c r="C176" s="790" t="s">
        <v>591</v>
      </c>
      <c r="D176" s="710" t="s">
        <v>86</v>
      </c>
      <c r="E176" s="790" t="s">
        <v>236</v>
      </c>
      <c r="F176" s="791">
        <v>2</v>
      </c>
      <c r="G176" s="633"/>
      <c r="H176" s="1507"/>
      <c r="I176" s="593">
        <v>0</v>
      </c>
      <c r="J176" s="593">
        <v>0.24723017321243712</v>
      </c>
      <c r="K176" s="593">
        <v>0.10543583185608285</v>
      </c>
      <c r="L176" s="593">
        <v>4.8198293581004803E-2</v>
      </c>
      <c r="M176" s="594">
        <v>5.4191291347320814E-2</v>
      </c>
      <c r="N176" s="594">
        <v>1.9023485157301012E-2</v>
      </c>
      <c r="O176" s="594">
        <v>0.11364720584295096</v>
      </c>
      <c r="P176" s="594">
        <v>0.11886347220826399</v>
      </c>
      <c r="Q176" s="594">
        <v>0.13974857557526588</v>
      </c>
      <c r="R176" s="594">
        <v>0.13039156523762907</v>
      </c>
      <c r="S176" s="594">
        <v>0.13080862311277097</v>
      </c>
      <c r="T176" s="594">
        <v>0.12670701436935006</v>
      </c>
      <c r="U176" s="594">
        <v>0.14883743787611192</v>
      </c>
      <c r="V176" s="594">
        <v>0.158373073596766</v>
      </c>
      <c r="W176" s="594">
        <v>0.15788170070139806</v>
      </c>
      <c r="X176" s="594">
        <v>0.17091317432403397</v>
      </c>
      <c r="Y176" s="594">
        <v>0.17639221296595098</v>
      </c>
      <c r="Z176" s="594">
        <v>0.18307329138278505</v>
      </c>
      <c r="AA176" s="594">
        <v>0.19348040752164508</v>
      </c>
      <c r="AB176" s="594">
        <v>0.19027926545490892</v>
      </c>
      <c r="AC176" s="594">
        <v>0.20209157713336801</v>
      </c>
      <c r="AD176" s="594">
        <v>0.21277636827127699</v>
      </c>
      <c r="AE176" s="594">
        <v>0.22481701419544209</v>
      </c>
      <c r="AF176" s="594">
        <v>0.22651899939412701</v>
      </c>
      <c r="AG176" s="594">
        <v>0.22286614345690703</v>
      </c>
      <c r="AH176" s="594">
        <v>0.22894234414337</v>
      </c>
      <c r="AI176" s="594">
        <v>0.24010000983545798</v>
      </c>
      <c r="AJ176" s="594">
        <v>0.24545056670739795</v>
      </c>
      <c r="AK176" s="594">
        <v>0.25868453631501503</v>
      </c>
      <c r="AL176" s="594"/>
      <c r="AM176" s="594"/>
      <c r="AN176" s="594"/>
      <c r="AO176" s="594"/>
      <c r="AP176" s="594"/>
      <c r="AQ176" s="594"/>
      <c r="AR176" s="594"/>
      <c r="AS176" s="594"/>
      <c r="AT176" s="594"/>
      <c r="AU176" s="594"/>
      <c r="AV176" s="594"/>
      <c r="AW176" s="594"/>
      <c r="AX176" s="594"/>
      <c r="AY176" s="594"/>
      <c r="AZ176" s="594"/>
      <c r="BA176" s="594"/>
      <c r="BB176" s="594"/>
      <c r="BC176" s="594"/>
      <c r="BD176" s="594"/>
      <c r="BE176" s="594"/>
      <c r="BF176" s="594"/>
      <c r="BG176" s="594"/>
      <c r="BH176" s="594"/>
      <c r="BI176" s="594"/>
      <c r="BJ176" s="594"/>
      <c r="BK176" s="594"/>
      <c r="BL176" s="594"/>
      <c r="BM176" s="594"/>
      <c r="BN176" s="594"/>
      <c r="BO176" s="594"/>
      <c r="BP176" s="594"/>
      <c r="BQ176" s="594"/>
      <c r="BR176" s="594"/>
      <c r="BS176" s="594"/>
      <c r="BT176" s="594"/>
      <c r="BU176" s="594"/>
      <c r="BV176" s="594"/>
      <c r="BW176" s="594"/>
      <c r="BX176" s="594"/>
      <c r="BY176" s="594"/>
      <c r="BZ176" s="594"/>
      <c r="CA176" s="594"/>
      <c r="CB176" s="594"/>
      <c r="CC176" s="594"/>
      <c r="CD176" s="594"/>
      <c r="CE176" s="594"/>
      <c r="CF176" s="594"/>
      <c r="CG176" s="594"/>
      <c r="CH176" s="594"/>
      <c r="CI176" s="595"/>
      <c r="CJ176" s="1543"/>
    </row>
    <row r="177" spans="2:88" x14ac:dyDescent="0.2">
      <c r="B177" s="792" t="s">
        <v>771</v>
      </c>
      <c r="C177" s="793" t="s">
        <v>593</v>
      </c>
      <c r="D177" s="715" t="s">
        <v>86</v>
      </c>
      <c r="E177" s="793" t="s">
        <v>236</v>
      </c>
      <c r="F177" s="794">
        <v>2</v>
      </c>
      <c r="G177" s="637"/>
      <c r="H177" s="1504"/>
      <c r="I177" s="1504">
        <v>1.9964893439532241</v>
      </c>
      <c r="J177" s="1504">
        <v>1.97592622699827</v>
      </c>
      <c r="K177" s="1504">
        <v>1.9856943838212711</v>
      </c>
      <c r="L177" s="1504">
        <v>1.977360359272996</v>
      </c>
      <c r="M177" s="1505">
        <v>2.0010760853918681</v>
      </c>
      <c r="N177" s="1505">
        <v>1.7213950713248249</v>
      </c>
      <c r="O177" s="1505">
        <v>1.428835672123445</v>
      </c>
      <c r="P177" s="1505">
        <v>1.260764352162538</v>
      </c>
      <c r="Q177" s="1505">
        <v>1.1520991454230161</v>
      </c>
      <c r="R177" s="1505">
        <v>1.0390543114280959</v>
      </c>
      <c r="S177" s="1505">
        <v>0.97744750717288498</v>
      </c>
      <c r="T177" s="1505">
        <v>0.93698407074415901</v>
      </c>
      <c r="U177" s="1505">
        <v>0.88167149758804797</v>
      </c>
      <c r="V177" s="1505">
        <v>0.83942631592948602</v>
      </c>
      <c r="W177" s="1505">
        <v>0.81167930900512597</v>
      </c>
      <c r="X177" s="1505">
        <v>0.76667379211090803</v>
      </c>
      <c r="Y177" s="1505">
        <v>0.73736347953653303</v>
      </c>
      <c r="Z177" s="1505">
        <v>0.70144641074353797</v>
      </c>
      <c r="AA177" s="1505">
        <v>0.67038594510413496</v>
      </c>
      <c r="AB177" s="1505">
        <v>0.64670626379241103</v>
      </c>
      <c r="AC177" s="1505">
        <v>0.61982887986942703</v>
      </c>
      <c r="AD177" s="1505">
        <v>0.59301145361505103</v>
      </c>
      <c r="AE177" s="1505">
        <v>0.56523962534982997</v>
      </c>
      <c r="AF177" s="1505">
        <v>0.54090470893173104</v>
      </c>
      <c r="AG177" s="1505">
        <v>0.58145508938325097</v>
      </c>
      <c r="AH177" s="1505">
        <v>0.55877760782833297</v>
      </c>
      <c r="AI177" s="1505">
        <v>0.50577765681109799</v>
      </c>
      <c r="AJ177" s="1505">
        <v>0.50369926480110605</v>
      </c>
      <c r="AK177" s="1505">
        <v>0.48174205716157498</v>
      </c>
      <c r="AL177" s="1505"/>
      <c r="AM177" s="1505"/>
      <c r="AN177" s="1505"/>
      <c r="AO177" s="1505"/>
      <c r="AP177" s="1505"/>
      <c r="AQ177" s="1505"/>
      <c r="AR177" s="1505"/>
      <c r="AS177" s="1505"/>
      <c r="AT177" s="1505"/>
      <c r="AU177" s="1505"/>
      <c r="AV177" s="1505"/>
      <c r="AW177" s="1505"/>
      <c r="AX177" s="1505"/>
      <c r="AY177" s="1505"/>
      <c r="AZ177" s="1505"/>
      <c r="BA177" s="1505"/>
      <c r="BB177" s="1505"/>
      <c r="BC177" s="1505"/>
      <c r="BD177" s="1505"/>
      <c r="BE177" s="1505"/>
      <c r="BF177" s="1505"/>
      <c r="BG177" s="1505"/>
      <c r="BH177" s="1505"/>
      <c r="BI177" s="1505"/>
      <c r="BJ177" s="1505"/>
      <c r="BK177" s="1505"/>
      <c r="BL177" s="1505"/>
      <c r="BM177" s="1505"/>
      <c r="BN177" s="1505"/>
      <c r="BO177" s="1505"/>
      <c r="BP177" s="1505"/>
      <c r="BQ177" s="1505"/>
      <c r="BR177" s="1505"/>
      <c r="BS177" s="1505"/>
      <c r="BT177" s="1505"/>
      <c r="BU177" s="1505"/>
      <c r="BV177" s="1505"/>
      <c r="BW177" s="1505"/>
      <c r="BX177" s="1505"/>
      <c r="BY177" s="1505"/>
      <c r="BZ177" s="1505"/>
      <c r="CA177" s="1505"/>
      <c r="CB177" s="1505"/>
      <c r="CC177" s="1505"/>
      <c r="CD177" s="1505"/>
      <c r="CE177" s="1505"/>
      <c r="CF177" s="1505"/>
      <c r="CG177" s="1505"/>
      <c r="CH177" s="1505"/>
      <c r="CI177" s="1506"/>
      <c r="CJ177" s="1543">
        <v>0</v>
      </c>
    </row>
    <row r="178" spans="2:88" x14ac:dyDescent="0.2">
      <c r="B178" s="792" t="s">
        <v>772</v>
      </c>
      <c r="C178" s="793" t="s">
        <v>384</v>
      </c>
      <c r="D178" s="715" t="s">
        <v>773</v>
      </c>
      <c r="E178" s="793" t="s">
        <v>236</v>
      </c>
      <c r="F178" s="794">
        <v>2</v>
      </c>
      <c r="G178" s="795">
        <f t="shared" ref="G178:AK178" si="107">G176+G177</f>
        <v>0</v>
      </c>
      <c r="H178" s="795">
        <f t="shared" si="107"/>
        <v>0</v>
      </c>
      <c r="I178" s="795">
        <f t="shared" si="107"/>
        <v>1.9964893439532241</v>
      </c>
      <c r="J178" s="795">
        <f t="shared" si="107"/>
        <v>2.2231564002107072</v>
      </c>
      <c r="K178" s="795">
        <f t="shared" si="107"/>
        <v>2.0911302156773539</v>
      </c>
      <c r="L178" s="795">
        <f t="shared" si="107"/>
        <v>2.0255586528540008</v>
      </c>
      <c r="M178" s="796">
        <f t="shared" si="107"/>
        <v>2.0552673767391889</v>
      </c>
      <c r="N178" s="796">
        <f t="shared" si="107"/>
        <v>1.740418556482126</v>
      </c>
      <c r="O178" s="796">
        <f t="shared" si="107"/>
        <v>1.5424828779663959</v>
      </c>
      <c r="P178" s="796">
        <f t="shared" si="107"/>
        <v>1.379627824370802</v>
      </c>
      <c r="Q178" s="796">
        <f t="shared" si="107"/>
        <v>1.2918477209982819</v>
      </c>
      <c r="R178" s="796">
        <f t="shared" si="107"/>
        <v>1.169445876665725</v>
      </c>
      <c r="S178" s="796">
        <f t="shared" si="107"/>
        <v>1.1082561302856559</v>
      </c>
      <c r="T178" s="796">
        <f t="shared" si="107"/>
        <v>1.0636910851135091</v>
      </c>
      <c r="U178" s="796">
        <f t="shared" si="107"/>
        <v>1.0305089354641599</v>
      </c>
      <c r="V178" s="796">
        <f t="shared" si="107"/>
        <v>0.99779938952625202</v>
      </c>
      <c r="W178" s="796">
        <f t="shared" si="107"/>
        <v>0.96956100970652404</v>
      </c>
      <c r="X178" s="796">
        <f t="shared" si="107"/>
        <v>0.93758696643494199</v>
      </c>
      <c r="Y178" s="796">
        <f t="shared" si="107"/>
        <v>0.91375569250248401</v>
      </c>
      <c r="Z178" s="796">
        <f t="shared" si="107"/>
        <v>0.88451970212632303</v>
      </c>
      <c r="AA178" s="796">
        <f t="shared" si="107"/>
        <v>0.86386635262578004</v>
      </c>
      <c r="AB178" s="796">
        <f t="shared" si="107"/>
        <v>0.83698552924731995</v>
      </c>
      <c r="AC178" s="796">
        <f t="shared" si="107"/>
        <v>0.82192045700279504</v>
      </c>
      <c r="AD178" s="796">
        <f t="shared" si="107"/>
        <v>0.80578782188632803</v>
      </c>
      <c r="AE178" s="796">
        <f t="shared" si="107"/>
        <v>0.79005663954527205</v>
      </c>
      <c r="AF178" s="796">
        <f t="shared" si="107"/>
        <v>0.76742370832585804</v>
      </c>
      <c r="AG178" s="796">
        <f t="shared" si="107"/>
        <v>0.804321232840158</v>
      </c>
      <c r="AH178" s="796">
        <f t="shared" si="107"/>
        <v>0.78771995197170297</v>
      </c>
      <c r="AI178" s="796">
        <f t="shared" si="107"/>
        <v>0.74587766664655597</v>
      </c>
      <c r="AJ178" s="796">
        <f t="shared" si="107"/>
        <v>0.749149831508504</v>
      </c>
      <c r="AK178" s="796">
        <f t="shared" si="107"/>
        <v>0.74042659347659001</v>
      </c>
      <c r="AL178" s="796"/>
      <c r="AM178" s="796"/>
      <c r="AN178" s="796"/>
      <c r="AO178" s="796"/>
      <c r="AP178" s="796"/>
      <c r="AQ178" s="796"/>
      <c r="AR178" s="796"/>
      <c r="AS178" s="796"/>
      <c r="AT178" s="796"/>
      <c r="AU178" s="796"/>
      <c r="AV178" s="796"/>
      <c r="AW178" s="796"/>
      <c r="AX178" s="796"/>
      <c r="AY178" s="796"/>
      <c r="AZ178" s="796"/>
      <c r="BA178" s="796"/>
      <c r="BB178" s="796"/>
      <c r="BC178" s="796"/>
      <c r="BD178" s="796"/>
      <c r="BE178" s="796"/>
      <c r="BF178" s="796"/>
      <c r="BG178" s="796"/>
      <c r="BH178" s="796"/>
      <c r="BI178" s="796"/>
      <c r="BJ178" s="796"/>
      <c r="BK178" s="796"/>
      <c r="BL178" s="796"/>
      <c r="BM178" s="796"/>
      <c r="BN178" s="796"/>
      <c r="BO178" s="796"/>
      <c r="BP178" s="796"/>
      <c r="BQ178" s="796"/>
      <c r="BR178" s="796"/>
      <c r="BS178" s="796"/>
      <c r="BT178" s="796"/>
      <c r="BU178" s="796"/>
      <c r="BV178" s="796"/>
      <c r="BW178" s="796"/>
      <c r="BX178" s="796"/>
      <c r="BY178" s="796"/>
      <c r="BZ178" s="796"/>
      <c r="CA178" s="796"/>
      <c r="CB178" s="796"/>
      <c r="CC178" s="796"/>
      <c r="CD178" s="796"/>
      <c r="CE178" s="796"/>
      <c r="CF178" s="796"/>
      <c r="CG178" s="796"/>
      <c r="CH178" s="796"/>
      <c r="CI178" s="797"/>
      <c r="CJ178" s="1543"/>
    </row>
    <row r="179" spans="2:88" x14ac:dyDescent="0.2">
      <c r="B179" s="1059" t="s">
        <v>774</v>
      </c>
      <c r="C179" s="1060" t="s">
        <v>597</v>
      </c>
      <c r="D179" s="1061" t="s">
        <v>775</v>
      </c>
      <c r="E179" s="1060" t="s">
        <v>236</v>
      </c>
      <c r="F179" s="1062">
        <v>2</v>
      </c>
      <c r="G179" s="798">
        <f>G132-G175</f>
        <v>0</v>
      </c>
      <c r="H179" s="798">
        <f t="shared" ref="H179:AK179" si="108">H132-H175</f>
        <v>0</v>
      </c>
      <c r="I179" s="798">
        <f t="shared" si="108"/>
        <v>13.444417925798241</v>
      </c>
      <c r="J179" s="798">
        <f t="shared" si="108"/>
        <v>12.853797715594034</v>
      </c>
      <c r="K179" s="798">
        <f t="shared" si="108"/>
        <v>11.706745060350194</v>
      </c>
      <c r="L179" s="798">
        <f>L132-L175</f>
        <v>11.350184506153546</v>
      </c>
      <c r="M179" s="799">
        <f t="shared" si="108"/>
        <v>11.361480549646856</v>
      </c>
      <c r="N179" s="799">
        <f t="shared" si="108"/>
        <v>11.132417953642786</v>
      </c>
      <c r="O179" s="799">
        <f t="shared" si="108"/>
        <v>9.9957337988030019</v>
      </c>
      <c r="P179" s="799">
        <f t="shared" si="108"/>
        <v>8.7300349626254317</v>
      </c>
      <c r="Q179" s="799">
        <f t="shared" si="108"/>
        <v>11.492112902750165</v>
      </c>
      <c r="R179" s="799">
        <f>R132-R175</f>
        <v>7.7773310811260501</v>
      </c>
      <c r="S179" s="799">
        <f t="shared" si="108"/>
        <v>8.3489622849935401</v>
      </c>
      <c r="T179" s="799">
        <f t="shared" si="108"/>
        <v>11.914490795245641</v>
      </c>
      <c r="U179" s="799">
        <f t="shared" si="108"/>
        <v>12.474700055938854</v>
      </c>
      <c r="V179" s="799">
        <f t="shared" si="108"/>
        <v>12.949792260300939</v>
      </c>
      <c r="W179" s="799">
        <f t="shared" si="108"/>
        <v>13.302907706605495</v>
      </c>
      <c r="X179" s="799">
        <f t="shared" si="108"/>
        <v>13.624873908629453</v>
      </c>
      <c r="Y179" s="799">
        <f t="shared" si="108"/>
        <v>13.952290289610204</v>
      </c>
      <c r="Z179" s="799">
        <f t="shared" si="108"/>
        <v>14.103650718319614</v>
      </c>
      <c r="AA179" s="799">
        <f t="shared" si="108"/>
        <v>14.256749197771839</v>
      </c>
      <c r="AB179" s="799">
        <f t="shared" si="108"/>
        <v>18.281021385077928</v>
      </c>
      <c r="AC179" s="799">
        <f t="shared" si="108"/>
        <v>18.441291251893816</v>
      </c>
      <c r="AD179" s="799">
        <f t="shared" si="108"/>
        <v>18.600726829073423</v>
      </c>
      <c r="AE179" s="799">
        <f t="shared" si="108"/>
        <v>18.631174229378537</v>
      </c>
      <c r="AF179" s="799">
        <f t="shared" si="108"/>
        <v>18.63961898831915</v>
      </c>
      <c r="AG179" s="799">
        <f t="shared" si="108"/>
        <v>1.8719574731081607</v>
      </c>
      <c r="AH179" s="799">
        <f t="shared" si="108"/>
        <v>1.8691612202529768</v>
      </c>
      <c r="AI179" s="799">
        <f t="shared" si="108"/>
        <v>1.870804374135453</v>
      </c>
      <c r="AJ179" s="799">
        <f t="shared" si="108"/>
        <v>1.8508229437855306</v>
      </c>
      <c r="AK179" s="799">
        <f t="shared" si="108"/>
        <v>1.8515687923069066</v>
      </c>
      <c r="AL179" s="799"/>
      <c r="AM179" s="799"/>
      <c r="AN179" s="799"/>
      <c r="AO179" s="799"/>
      <c r="AP179" s="799"/>
      <c r="AQ179" s="799"/>
      <c r="AR179" s="799"/>
      <c r="AS179" s="799"/>
      <c r="AT179" s="799"/>
      <c r="AU179" s="799"/>
      <c r="AV179" s="799"/>
      <c r="AW179" s="799"/>
      <c r="AX179" s="799"/>
      <c r="AY179" s="799"/>
      <c r="AZ179" s="799"/>
      <c r="BA179" s="799"/>
      <c r="BB179" s="799"/>
      <c r="BC179" s="799"/>
      <c r="BD179" s="799"/>
      <c r="BE179" s="799"/>
      <c r="BF179" s="799"/>
      <c r="BG179" s="799"/>
      <c r="BH179" s="799"/>
      <c r="BI179" s="799"/>
      <c r="BJ179" s="799"/>
      <c r="BK179" s="799"/>
      <c r="BL179" s="799"/>
      <c r="BM179" s="799"/>
      <c r="BN179" s="799"/>
      <c r="BO179" s="799"/>
      <c r="BP179" s="799"/>
      <c r="BQ179" s="799"/>
      <c r="BR179" s="799"/>
      <c r="BS179" s="799"/>
      <c r="BT179" s="799"/>
      <c r="BU179" s="799"/>
      <c r="BV179" s="799"/>
      <c r="BW179" s="799"/>
      <c r="BX179" s="799"/>
      <c r="BY179" s="799"/>
      <c r="BZ179" s="799"/>
      <c r="CA179" s="799"/>
      <c r="CB179" s="799"/>
      <c r="CC179" s="799"/>
      <c r="CD179" s="799"/>
      <c r="CE179" s="799"/>
      <c r="CF179" s="799"/>
      <c r="CG179" s="799"/>
      <c r="CH179" s="799"/>
      <c r="CI179" s="800"/>
      <c r="CJ179" s="1543"/>
    </row>
    <row r="180" spans="2:88" ht="15" thickBot="1" x14ac:dyDescent="0.25">
      <c r="B180" s="1059" t="s">
        <v>776</v>
      </c>
      <c r="C180" s="1060" t="s">
        <v>600</v>
      </c>
      <c r="D180" s="1061" t="s">
        <v>777</v>
      </c>
      <c r="E180" s="1060" t="s">
        <v>236</v>
      </c>
      <c r="F180" s="1062">
        <v>2</v>
      </c>
      <c r="G180" s="798">
        <f t="shared" ref="G180:AK180" si="109">G123-G134</f>
        <v>0</v>
      </c>
      <c r="H180" s="798">
        <f t="shared" si="109"/>
        <v>0</v>
      </c>
      <c r="I180" s="798">
        <f t="shared" si="109"/>
        <v>0</v>
      </c>
      <c r="J180" s="798">
        <f t="shared" si="109"/>
        <v>0</v>
      </c>
      <c r="K180" s="798">
        <f t="shared" si="109"/>
        <v>0</v>
      </c>
      <c r="L180" s="798">
        <f t="shared" si="109"/>
        <v>0</v>
      </c>
      <c r="M180" s="798">
        <f t="shared" si="109"/>
        <v>0</v>
      </c>
      <c r="N180" s="798">
        <f t="shared" si="109"/>
        <v>0</v>
      </c>
      <c r="O180" s="798">
        <f t="shared" si="109"/>
        <v>0</v>
      </c>
      <c r="P180" s="798">
        <f t="shared" si="109"/>
        <v>0</v>
      </c>
      <c r="Q180" s="798">
        <f t="shared" si="109"/>
        <v>0</v>
      </c>
      <c r="R180" s="798">
        <f t="shared" si="109"/>
        <v>0</v>
      </c>
      <c r="S180" s="798">
        <f t="shared" si="109"/>
        <v>0</v>
      </c>
      <c r="T180" s="798">
        <f t="shared" si="109"/>
        <v>0</v>
      </c>
      <c r="U180" s="798">
        <f t="shared" si="109"/>
        <v>0</v>
      </c>
      <c r="V180" s="798">
        <f t="shared" si="109"/>
        <v>0</v>
      </c>
      <c r="W180" s="798">
        <f t="shared" si="109"/>
        <v>0</v>
      </c>
      <c r="X180" s="798">
        <f t="shared" si="109"/>
        <v>0</v>
      </c>
      <c r="Y180" s="798">
        <f t="shared" si="109"/>
        <v>0</v>
      </c>
      <c r="Z180" s="798">
        <f t="shared" si="109"/>
        <v>0</v>
      </c>
      <c r="AA180" s="798">
        <f t="shared" si="109"/>
        <v>0</v>
      </c>
      <c r="AB180" s="798">
        <f t="shared" si="109"/>
        <v>0</v>
      </c>
      <c r="AC180" s="798">
        <f t="shared" si="109"/>
        <v>0</v>
      </c>
      <c r="AD180" s="798">
        <f t="shared" si="109"/>
        <v>0</v>
      </c>
      <c r="AE180" s="798">
        <f t="shared" si="109"/>
        <v>0</v>
      </c>
      <c r="AF180" s="798">
        <f t="shared" si="109"/>
        <v>0</v>
      </c>
      <c r="AG180" s="798">
        <f t="shared" si="109"/>
        <v>0</v>
      </c>
      <c r="AH180" s="798">
        <f t="shared" si="109"/>
        <v>0</v>
      </c>
      <c r="AI180" s="798">
        <f t="shared" si="109"/>
        <v>0</v>
      </c>
      <c r="AJ180" s="798">
        <f t="shared" si="109"/>
        <v>0</v>
      </c>
      <c r="AK180" s="798">
        <f t="shared" si="109"/>
        <v>0</v>
      </c>
      <c r="AL180" s="798"/>
      <c r="AM180" s="798"/>
      <c r="AN180" s="798"/>
      <c r="AO180" s="798"/>
      <c r="AP180" s="798"/>
      <c r="AQ180" s="798"/>
      <c r="AR180" s="798"/>
      <c r="AS180" s="798"/>
      <c r="AT180" s="798"/>
      <c r="AU180" s="798"/>
      <c r="AV180" s="798"/>
      <c r="AW180" s="798"/>
      <c r="AX180" s="798"/>
      <c r="AY180" s="798"/>
      <c r="AZ180" s="798"/>
      <c r="BA180" s="798"/>
      <c r="BB180" s="798"/>
      <c r="BC180" s="798"/>
      <c r="BD180" s="798"/>
      <c r="BE180" s="798"/>
      <c r="BF180" s="798"/>
      <c r="BG180" s="798"/>
      <c r="BH180" s="798"/>
      <c r="BI180" s="798"/>
      <c r="BJ180" s="798"/>
      <c r="BK180" s="798"/>
      <c r="BL180" s="798"/>
      <c r="BM180" s="798"/>
      <c r="BN180" s="798"/>
      <c r="BO180" s="798"/>
      <c r="BP180" s="798"/>
      <c r="BQ180" s="798"/>
      <c r="BR180" s="798"/>
      <c r="BS180" s="798"/>
      <c r="BT180" s="798"/>
      <c r="BU180" s="798"/>
      <c r="BV180" s="798"/>
      <c r="BW180" s="798"/>
      <c r="BX180" s="798"/>
      <c r="BY180" s="798"/>
      <c r="BZ180" s="798"/>
      <c r="CA180" s="798"/>
      <c r="CB180" s="798"/>
      <c r="CC180" s="798"/>
      <c r="CD180" s="798"/>
      <c r="CE180" s="798"/>
      <c r="CF180" s="798"/>
      <c r="CG180" s="798"/>
      <c r="CH180" s="798"/>
      <c r="CI180" s="798"/>
      <c r="CJ180" s="1543"/>
    </row>
    <row r="181" spans="2:88" x14ac:dyDescent="0.2">
      <c r="B181" s="801" t="s">
        <v>778</v>
      </c>
      <c r="C181" s="802" t="s">
        <v>393</v>
      </c>
      <c r="D181" s="803" t="s">
        <v>779</v>
      </c>
      <c r="E181" s="802" t="s">
        <v>236</v>
      </c>
      <c r="F181" s="804">
        <v>2</v>
      </c>
      <c r="G181" s="805">
        <f>G179-G178</f>
        <v>0</v>
      </c>
      <c r="H181" s="805">
        <f t="shared" ref="H181:AK181" si="110">H179-H178</f>
        <v>0</v>
      </c>
      <c r="I181" s="805">
        <f t="shared" si="110"/>
        <v>11.447928581845018</v>
      </c>
      <c r="J181" s="805">
        <f t="shared" si="110"/>
        <v>10.630641315383327</v>
      </c>
      <c r="K181" s="805">
        <f t="shared" si="110"/>
        <v>9.6156148446728409</v>
      </c>
      <c r="L181" s="805">
        <f t="shared" si="110"/>
        <v>9.3246258532995459</v>
      </c>
      <c r="M181" s="806">
        <f t="shared" si="110"/>
        <v>9.3062131729076683</v>
      </c>
      <c r="N181" s="806">
        <f t="shared" si="110"/>
        <v>9.3919993971606601</v>
      </c>
      <c r="O181" s="806">
        <f t="shared" si="110"/>
        <v>8.4532509208366058</v>
      </c>
      <c r="P181" s="806">
        <f t="shared" si="110"/>
        <v>7.3504071382546297</v>
      </c>
      <c r="Q181" s="806">
        <f t="shared" si="110"/>
        <v>10.200265181751883</v>
      </c>
      <c r="R181" s="806">
        <f>R179-R178</f>
        <v>6.6078852044603256</v>
      </c>
      <c r="S181" s="806">
        <f t="shared" si="110"/>
        <v>7.2407061547078841</v>
      </c>
      <c r="T181" s="806">
        <f t="shared" si="110"/>
        <v>10.850799710132131</v>
      </c>
      <c r="U181" s="806">
        <f t="shared" si="110"/>
        <v>11.444191120474693</v>
      </c>
      <c r="V181" s="806">
        <f t="shared" si="110"/>
        <v>11.951992870774687</v>
      </c>
      <c r="W181" s="806">
        <f t="shared" si="110"/>
        <v>12.333346696898971</v>
      </c>
      <c r="X181" s="806">
        <f t="shared" si="110"/>
        <v>12.687286942194511</v>
      </c>
      <c r="Y181" s="806">
        <f t="shared" si="110"/>
        <v>13.03853459710772</v>
      </c>
      <c r="Z181" s="806">
        <f t="shared" si="110"/>
        <v>13.219131016193291</v>
      </c>
      <c r="AA181" s="806">
        <f t="shared" si="110"/>
        <v>13.392882845146058</v>
      </c>
      <c r="AB181" s="806">
        <f t="shared" si="110"/>
        <v>17.444035855830609</v>
      </c>
      <c r="AC181" s="806">
        <f t="shared" si="110"/>
        <v>17.619370794891022</v>
      </c>
      <c r="AD181" s="806">
        <f t="shared" si="110"/>
        <v>17.794939007187097</v>
      </c>
      <c r="AE181" s="806">
        <f t="shared" si="110"/>
        <v>17.841117589833264</v>
      </c>
      <c r="AF181" s="806">
        <f t="shared" si="110"/>
        <v>17.872195279993292</v>
      </c>
      <c r="AG181" s="806">
        <f t="shared" si="110"/>
        <v>1.0676362402680026</v>
      </c>
      <c r="AH181" s="806">
        <f t="shared" si="110"/>
        <v>1.081441268281274</v>
      </c>
      <c r="AI181" s="806">
        <f t="shared" si="110"/>
        <v>1.1249267074888971</v>
      </c>
      <c r="AJ181" s="806">
        <f t="shared" si="110"/>
        <v>1.1016731122770267</v>
      </c>
      <c r="AK181" s="806">
        <f t="shared" si="110"/>
        <v>1.1111421988303167</v>
      </c>
      <c r="AL181" s="806"/>
      <c r="AM181" s="806"/>
      <c r="AN181" s="806"/>
      <c r="AO181" s="806"/>
      <c r="AP181" s="806"/>
      <c r="AQ181" s="806"/>
      <c r="AR181" s="806"/>
      <c r="AS181" s="806"/>
      <c r="AT181" s="806"/>
      <c r="AU181" s="806"/>
      <c r="AV181" s="806"/>
      <c r="AW181" s="806"/>
      <c r="AX181" s="806"/>
      <c r="AY181" s="806"/>
      <c r="AZ181" s="806"/>
      <c r="BA181" s="806"/>
      <c r="BB181" s="806"/>
      <c r="BC181" s="806"/>
      <c r="BD181" s="806"/>
      <c r="BE181" s="806"/>
      <c r="BF181" s="806"/>
      <c r="BG181" s="806"/>
      <c r="BH181" s="806"/>
      <c r="BI181" s="806"/>
      <c r="BJ181" s="806"/>
      <c r="BK181" s="806"/>
      <c r="BL181" s="806"/>
      <c r="BM181" s="806"/>
      <c r="BN181" s="806"/>
      <c r="BO181" s="806"/>
      <c r="BP181" s="806"/>
      <c r="BQ181" s="806"/>
      <c r="BR181" s="806"/>
      <c r="BS181" s="806"/>
      <c r="BT181" s="806"/>
      <c r="BU181" s="806"/>
      <c r="BV181" s="806"/>
      <c r="BW181" s="806"/>
      <c r="BX181" s="806"/>
      <c r="BY181" s="806"/>
      <c r="BZ181" s="806"/>
      <c r="CA181" s="806"/>
      <c r="CB181" s="806"/>
      <c r="CC181" s="806"/>
      <c r="CD181" s="806"/>
      <c r="CE181" s="806"/>
      <c r="CF181" s="806"/>
      <c r="CG181" s="806"/>
      <c r="CH181" s="806"/>
      <c r="CI181" s="807"/>
      <c r="CJ181" s="1543"/>
    </row>
    <row r="182" spans="2:88" x14ac:dyDescent="0.2">
      <c r="B182" s="652"/>
      <c r="C182" s="652"/>
      <c r="D182" s="53"/>
      <c r="E182" s="652"/>
      <c r="F182" s="808"/>
      <c r="G182" s="809"/>
      <c r="H182" s="809"/>
      <c r="I182" s="809"/>
      <c r="J182" s="809"/>
      <c r="K182" s="809"/>
      <c r="L182" s="809"/>
      <c r="M182" s="809"/>
      <c r="N182" s="809"/>
      <c r="O182" s="809"/>
      <c r="P182" s="809"/>
      <c r="Q182" s="809"/>
      <c r="R182" s="809"/>
      <c r="S182" s="809"/>
      <c r="T182" s="809"/>
      <c r="U182" s="809"/>
      <c r="V182" s="809"/>
      <c r="W182" s="809"/>
      <c r="X182" s="809"/>
      <c r="Y182" s="809"/>
      <c r="Z182" s="809"/>
      <c r="AA182" s="809"/>
      <c r="AB182" s="809"/>
      <c r="AC182" s="809"/>
      <c r="AD182" s="809"/>
      <c r="AE182" s="809"/>
      <c r="AF182" s="809"/>
      <c r="AG182" s="809"/>
      <c r="AH182" s="809"/>
      <c r="AI182" s="809"/>
      <c r="AJ182" s="809"/>
      <c r="AK182" s="809"/>
      <c r="AL182" s="809"/>
      <c r="AM182" s="809"/>
      <c r="AN182" s="809"/>
      <c r="AO182" s="809"/>
      <c r="AP182" s="809"/>
      <c r="AQ182" s="809"/>
      <c r="AR182" s="809"/>
      <c r="AS182" s="809"/>
      <c r="AT182" s="809"/>
      <c r="AU182" s="809"/>
      <c r="AV182" s="809"/>
      <c r="AW182" s="809"/>
      <c r="AX182" s="809"/>
      <c r="AY182" s="809"/>
      <c r="AZ182" s="809"/>
      <c r="BA182" s="809"/>
      <c r="BB182" s="809"/>
      <c r="BC182" s="809"/>
      <c r="BD182" s="809"/>
      <c r="BE182" s="809"/>
      <c r="BF182" s="809"/>
      <c r="BG182" s="809"/>
      <c r="BH182" s="809"/>
      <c r="BI182" s="809"/>
      <c r="BJ182" s="809"/>
      <c r="BK182" s="809"/>
      <c r="BL182" s="809"/>
      <c r="BM182" s="809"/>
      <c r="BN182" s="809"/>
      <c r="BO182" s="809"/>
      <c r="BP182" s="809"/>
      <c r="BQ182" s="809"/>
      <c r="BR182" s="809"/>
      <c r="BS182" s="809"/>
      <c r="BT182" s="809"/>
      <c r="BU182" s="809"/>
      <c r="BV182" s="809"/>
      <c r="BW182" s="809"/>
      <c r="BX182" s="809"/>
      <c r="BY182" s="809"/>
      <c r="BZ182" s="809"/>
      <c r="CA182" s="809"/>
      <c r="CB182" s="809"/>
      <c r="CC182" s="809"/>
      <c r="CD182" s="809"/>
      <c r="CE182" s="809"/>
      <c r="CF182" s="809"/>
      <c r="CG182" s="809"/>
      <c r="CH182" s="809"/>
      <c r="CI182" s="809"/>
    </row>
    <row r="183" spans="2:88" ht="44.1" customHeight="1" thickBot="1" x14ac:dyDescent="0.25">
      <c r="P183" s="1292"/>
    </row>
    <row r="184" spans="2:88" ht="28.5" x14ac:dyDescent="0.2">
      <c r="B184" s="1287" t="s">
        <v>64</v>
      </c>
      <c r="C184" s="1284" t="s">
        <v>444</v>
      </c>
      <c r="D184" s="1287" t="s">
        <v>2</v>
      </c>
      <c r="E184" s="1468">
        <f>E13</f>
        <v>16</v>
      </c>
    </row>
    <row r="185" spans="2:88" ht="15" thickBot="1" x14ac:dyDescent="0.25">
      <c r="B185" s="1289" t="s">
        <v>445</v>
      </c>
      <c r="C185" s="1284" t="s">
        <v>105</v>
      </c>
      <c r="D185" s="1291" t="s">
        <v>200</v>
      </c>
      <c r="E185" s="1290" t="s">
        <v>780</v>
      </c>
    </row>
    <row r="186" spans="2:88" x14ac:dyDescent="0.2">
      <c r="B186" s="1296"/>
    </row>
    <row r="187" spans="2:88" x14ac:dyDescent="0.2">
      <c r="B187" s="1296"/>
    </row>
    <row r="188" spans="2:88" x14ac:dyDescent="0.2">
      <c r="B188" s="1296"/>
    </row>
    <row r="189" spans="2:88" x14ac:dyDescent="0.2">
      <c r="B189" s="1296"/>
    </row>
    <row r="190" spans="2:88" x14ac:dyDescent="0.2">
      <c r="B190" s="1296"/>
    </row>
    <row r="191" spans="2:88" x14ac:dyDescent="0.2">
      <c r="B191" s="1296"/>
    </row>
    <row r="192" spans="2:88" x14ac:dyDescent="0.2">
      <c r="B192" s="1296"/>
    </row>
    <row r="193" spans="1:89" x14ac:dyDescent="0.2">
      <c r="B193" s="1296"/>
    </row>
    <row r="194" spans="1:89" x14ac:dyDescent="0.2">
      <c r="B194" s="1296"/>
    </row>
    <row r="195" spans="1:89" x14ac:dyDescent="0.2">
      <c r="B195" s="1296"/>
    </row>
    <row r="196" spans="1:89" x14ac:dyDescent="0.2">
      <c r="B196" s="1296"/>
    </row>
    <row r="197" spans="1:89" x14ac:dyDescent="0.2">
      <c r="B197" s="1296"/>
    </row>
    <row r="198" spans="1:89" x14ac:dyDescent="0.2">
      <c r="B198" s="1296"/>
    </row>
    <row r="199" spans="1:89" x14ac:dyDescent="0.2">
      <c r="B199" s="1296"/>
    </row>
    <row r="200" spans="1:89" x14ac:dyDescent="0.2">
      <c r="B200" s="1296"/>
    </row>
    <row r="201" spans="1:89" x14ac:dyDescent="0.2">
      <c r="B201" s="1296"/>
    </row>
    <row r="202" spans="1:89" ht="15.75" thickBot="1" x14ac:dyDescent="0.25">
      <c r="CJ202" s="523"/>
    </row>
    <row r="203" spans="1:89" ht="45.75" thickBot="1" x14ac:dyDescent="0.25">
      <c r="B203" s="810" t="s">
        <v>441</v>
      </c>
      <c r="C203" s="1306" t="s">
        <v>204</v>
      </c>
      <c r="D203" s="523"/>
      <c r="E203" s="523"/>
      <c r="F203" s="523"/>
      <c r="G203" s="523"/>
      <c r="H203" s="523"/>
      <c r="I203" s="523"/>
      <c r="J203" s="523"/>
      <c r="K203" s="523"/>
      <c r="L203" s="523"/>
      <c r="M203" s="523"/>
      <c r="N203" s="523"/>
      <c r="O203" s="523"/>
      <c r="P203" s="523"/>
      <c r="Q203" s="523"/>
      <c r="R203" s="523"/>
      <c r="S203" s="523"/>
      <c r="T203" s="523"/>
      <c r="U203" s="523"/>
      <c r="V203" s="523"/>
      <c r="W203" s="523"/>
      <c r="X203" s="523"/>
      <c r="Y203" s="523"/>
      <c r="Z203" s="523"/>
      <c r="AA203" s="523"/>
      <c r="AB203" s="523"/>
      <c r="AC203" s="523"/>
      <c r="AD203" s="523"/>
      <c r="AE203" s="523"/>
      <c r="AF203" s="523"/>
      <c r="AG203" s="523"/>
      <c r="AH203" s="523"/>
      <c r="AI203" s="523"/>
      <c r="AJ203" s="523"/>
      <c r="AK203" s="523"/>
      <c r="AL203" s="523"/>
      <c r="AM203" s="523"/>
      <c r="AN203" s="523"/>
      <c r="AO203" s="523"/>
      <c r="AP203" s="523"/>
      <c r="AQ203" s="523"/>
      <c r="AR203" s="523"/>
      <c r="AS203" s="523"/>
      <c r="AT203" s="523"/>
      <c r="AU203" s="523"/>
      <c r="AV203" s="523"/>
      <c r="AW203" s="523"/>
      <c r="AX203" s="523"/>
      <c r="AY203" s="523"/>
      <c r="AZ203" s="523"/>
      <c r="BA203" s="523"/>
      <c r="BB203" s="523"/>
      <c r="BC203" s="523"/>
      <c r="BD203" s="523"/>
      <c r="BE203" s="523"/>
      <c r="BF203" s="523"/>
      <c r="BG203" s="523"/>
      <c r="BH203" s="523"/>
      <c r="BI203" s="523"/>
      <c r="BJ203" s="523"/>
      <c r="BK203" s="523"/>
      <c r="BL203" s="523"/>
      <c r="BM203" s="523"/>
      <c r="BN203" s="523"/>
      <c r="BO203" s="523"/>
      <c r="BP203" s="523"/>
      <c r="BQ203" s="523"/>
      <c r="BR203" s="523"/>
      <c r="BS203" s="523"/>
      <c r="BT203" s="523"/>
      <c r="BU203" s="523"/>
      <c r="BV203" s="523"/>
      <c r="BW203" s="523"/>
      <c r="BX203" s="523"/>
      <c r="BY203" s="523"/>
      <c r="BZ203" s="523"/>
      <c r="CA203" s="523"/>
      <c r="CB203" s="523"/>
      <c r="CC203" s="523"/>
      <c r="CD203" s="523"/>
      <c r="CE203" s="523"/>
      <c r="CF203" s="523"/>
      <c r="CG203" s="523"/>
      <c r="CH203" s="523"/>
      <c r="CI203" s="523"/>
    </row>
    <row r="204" spans="1:89" s="1292" customFormat="1" ht="30.75" thickBot="1" x14ac:dyDescent="0.25">
      <c r="A204" s="1284"/>
      <c r="B204" s="811" t="s">
        <v>446</v>
      </c>
      <c r="C204" s="812" t="s">
        <v>205</v>
      </c>
      <c r="D204" s="812" t="s">
        <v>71</v>
      </c>
      <c r="E204" s="812" t="s">
        <v>206</v>
      </c>
      <c r="F204" s="813" t="s">
        <v>207</v>
      </c>
      <c r="G204" s="811" t="s">
        <v>208</v>
      </c>
      <c r="H204" s="811" t="s">
        <v>209</v>
      </c>
      <c r="I204" s="811" t="s">
        <v>210</v>
      </c>
      <c r="J204" s="811" t="s">
        <v>211</v>
      </c>
      <c r="K204" s="811" t="s">
        <v>212</v>
      </c>
      <c r="L204" s="811" t="s">
        <v>213</v>
      </c>
      <c r="M204" s="812" t="s">
        <v>214</v>
      </c>
      <c r="N204" s="812" t="s">
        <v>215</v>
      </c>
      <c r="O204" s="812" t="s">
        <v>216</v>
      </c>
      <c r="P204" s="812" t="s">
        <v>217</v>
      </c>
      <c r="Q204" s="812" t="s">
        <v>218</v>
      </c>
      <c r="R204" s="812" t="s">
        <v>247</v>
      </c>
      <c r="S204" s="812" t="s">
        <v>248</v>
      </c>
      <c r="T204" s="812" t="s">
        <v>249</v>
      </c>
      <c r="U204" s="812" t="s">
        <v>250</v>
      </c>
      <c r="V204" s="812" t="s">
        <v>219</v>
      </c>
      <c r="W204" s="812" t="s">
        <v>251</v>
      </c>
      <c r="X204" s="812" t="s">
        <v>252</v>
      </c>
      <c r="Y204" s="812" t="s">
        <v>253</v>
      </c>
      <c r="Z204" s="812" t="s">
        <v>254</v>
      </c>
      <c r="AA204" s="812" t="s">
        <v>220</v>
      </c>
      <c r="AB204" s="812" t="s">
        <v>255</v>
      </c>
      <c r="AC204" s="812" t="s">
        <v>256</v>
      </c>
      <c r="AD204" s="812" t="s">
        <v>257</v>
      </c>
      <c r="AE204" s="812" t="s">
        <v>258</v>
      </c>
      <c r="AF204" s="812" t="s">
        <v>221</v>
      </c>
      <c r="AG204" s="812" t="s">
        <v>259</v>
      </c>
      <c r="AH204" s="812" t="s">
        <v>260</v>
      </c>
      <c r="AI204" s="812" t="s">
        <v>261</v>
      </c>
      <c r="AJ204" s="812" t="s">
        <v>262</v>
      </c>
      <c r="AK204" s="812" t="s">
        <v>222</v>
      </c>
      <c r="AL204" s="812" t="s">
        <v>263</v>
      </c>
      <c r="AM204" s="812" t="s">
        <v>264</v>
      </c>
      <c r="AN204" s="812" t="s">
        <v>265</v>
      </c>
      <c r="AO204" s="812" t="s">
        <v>266</v>
      </c>
      <c r="AP204" s="812" t="s">
        <v>223</v>
      </c>
      <c r="AQ204" s="812" t="s">
        <v>267</v>
      </c>
      <c r="AR204" s="812" t="s">
        <v>268</v>
      </c>
      <c r="AS204" s="812" t="s">
        <v>269</v>
      </c>
      <c r="AT204" s="812" t="s">
        <v>270</v>
      </c>
      <c r="AU204" s="812" t="s">
        <v>224</v>
      </c>
      <c r="AV204" s="812" t="s">
        <v>271</v>
      </c>
      <c r="AW204" s="812" t="s">
        <v>272</v>
      </c>
      <c r="AX204" s="812" t="s">
        <v>273</v>
      </c>
      <c r="AY204" s="812" t="s">
        <v>274</v>
      </c>
      <c r="AZ204" s="812" t="s">
        <v>225</v>
      </c>
      <c r="BA204" s="812" t="s">
        <v>275</v>
      </c>
      <c r="BB204" s="812" t="s">
        <v>276</v>
      </c>
      <c r="BC204" s="812" t="s">
        <v>277</v>
      </c>
      <c r="BD204" s="812" t="s">
        <v>278</v>
      </c>
      <c r="BE204" s="812" t="s">
        <v>226</v>
      </c>
      <c r="BF204" s="812" t="s">
        <v>279</v>
      </c>
      <c r="BG204" s="812" t="s">
        <v>280</v>
      </c>
      <c r="BH204" s="812" t="s">
        <v>281</v>
      </c>
      <c r="BI204" s="812" t="s">
        <v>282</v>
      </c>
      <c r="BJ204" s="812" t="s">
        <v>227</v>
      </c>
      <c r="BK204" s="812" t="s">
        <v>283</v>
      </c>
      <c r="BL204" s="812" t="s">
        <v>284</v>
      </c>
      <c r="BM204" s="812" t="s">
        <v>285</v>
      </c>
      <c r="BN204" s="812" t="s">
        <v>286</v>
      </c>
      <c r="BO204" s="812" t="s">
        <v>228</v>
      </c>
      <c r="BP204" s="812" t="s">
        <v>287</v>
      </c>
      <c r="BQ204" s="812" t="s">
        <v>288</v>
      </c>
      <c r="BR204" s="812" t="s">
        <v>289</v>
      </c>
      <c r="BS204" s="812" t="s">
        <v>290</v>
      </c>
      <c r="BT204" s="812" t="s">
        <v>229</v>
      </c>
      <c r="BU204" s="812" t="s">
        <v>291</v>
      </c>
      <c r="BV204" s="812" t="s">
        <v>292</v>
      </c>
      <c r="BW204" s="812" t="s">
        <v>293</v>
      </c>
      <c r="BX204" s="812" t="s">
        <v>294</v>
      </c>
      <c r="BY204" s="812" t="s">
        <v>230</v>
      </c>
      <c r="BZ204" s="812" t="s">
        <v>295</v>
      </c>
      <c r="CA204" s="812" t="s">
        <v>296</v>
      </c>
      <c r="CB204" s="812" t="s">
        <v>297</v>
      </c>
      <c r="CC204" s="812" t="s">
        <v>298</v>
      </c>
      <c r="CD204" s="812" t="s">
        <v>231</v>
      </c>
      <c r="CE204" s="812" t="s">
        <v>299</v>
      </c>
      <c r="CF204" s="812" t="s">
        <v>300</v>
      </c>
      <c r="CG204" s="812" t="s">
        <v>301</v>
      </c>
      <c r="CH204" s="812" t="s">
        <v>302</v>
      </c>
      <c r="CI204" s="813" t="s">
        <v>232</v>
      </c>
      <c r="CJ204" s="812" t="s">
        <v>606</v>
      </c>
      <c r="CK204" s="1293"/>
    </row>
    <row r="205" spans="1:89" s="1292" customFormat="1" x14ac:dyDescent="0.2">
      <c r="A205" s="1284"/>
      <c r="B205" s="814" t="s">
        <v>447</v>
      </c>
      <c r="C205" s="815" t="s">
        <v>448</v>
      </c>
      <c r="D205" s="816" t="s">
        <v>86</v>
      </c>
      <c r="E205" s="817" t="s">
        <v>236</v>
      </c>
      <c r="F205" s="818">
        <v>2</v>
      </c>
      <c r="G205" s="532"/>
      <c r="H205" s="540"/>
      <c r="I205" s="540">
        <v>61.60635768576546</v>
      </c>
      <c r="J205" s="540">
        <v>62.063579223666764</v>
      </c>
      <c r="K205" s="540">
        <v>62.112762017573289</v>
      </c>
      <c r="L205" s="540">
        <v>62.828018926690895</v>
      </c>
      <c r="M205" s="541">
        <v>63.855338054386969</v>
      </c>
      <c r="N205" s="541">
        <v>63.949314716430337</v>
      </c>
      <c r="O205" s="541">
        <v>66.033038855694741</v>
      </c>
      <c r="P205" s="541">
        <v>65.837914431273106</v>
      </c>
      <c r="Q205" s="541">
        <v>65.630661362079351</v>
      </c>
      <c r="R205" s="541">
        <v>65.514063906618986</v>
      </c>
      <c r="S205" s="541">
        <v>65.442320030725014</v>
      </c>
      <c r="T205" s="541">
        <v>65.373514817105871</v>
      </c>
      <c r="U205" s="541">
        <v>65.219950084086364</v>
      </c>
      <c r="V205" s="541">
        <v>65.085016220957939</v>
      </c>
      <c r="W205" s="541">
        <v>64.940862570831115</v>
      </c>
      <c r="X205" s="541">
        <v>64.793322449438818</v>
      </c>
      <c r="Y205" s="541">
        <v>64.654443652749961</v>
      </c>
      <c r="Z205" s="541">
        <v>64.530912954683672</v>
      </c>
      <c r="AA205" s="541">
        <v>64.417511304599003</v>
      </c>
      <c r="AB205" s="541">
        <v>64.306025435733687</v>
      </c>
      <c r="AC205" s="541">
        <v>64.220961132694697</v>
      </c>
      <c r="AD205" s="541">
        <v>64.148739130349753</v>
      </c>
      <c r="AE205" s="541">
        <v>64.186178637226732</v>
      </c>
      <c r="AF205" s="541">
        <v>64.226709392202508</v>
      </c>
      <c r="AG205" s="541">
        <v>64.26320915565276</v>
      </c>
      <c r="AH205" s="541">
        <v>64.306457203081777</v>
      </c>
      <c r="AI205" s="541">
        <v>64.349697375709241</v>
      </c>
      <c r="AJ205" s="541">
        <v>64.402778953048767</v>
      </c>
      <c r="AK205" s="541">
        <v>64.454850444149258</v>
      </c>
      <c r="AL205" s="541"/>
      <c r="AM205" s="541"/>
      <c r="AN205" s="541"/>
      <c r="AO205" s="541"/>
      <c r="AP205" s="541"/>
      <c r="AQ205" s="541"/>
      <c r="AR205" s="541"/>
      <c r="AS205" s="541"/>
      <c r="AT205" s="541"/>
      <c r="AU205" s="541"/>
      <c r="AV205" s="541"/>
      <c r="AW205" s="541"/>
      <c r="AX205" s="541"/>
      <c r="AY205" s="541"/>
      <c r="AZ205" s="541"/>
      <c r="BA205" s="541"/>
      <c r="BB205" s="541"/>
      <c r="BC205" s="541"/>
      <c r="BD205" s="541"/>
      <c r="BE205" s="541"/>
      <c r="BF205" s="541"/>
      <c r="BG205" s="541"/>
      <c r="BH205" s="541"/>
      <c r="BI205" s="541"/>
      <c r="BJ205" s="541"/>
      <c r="BK205" s="541"/>
      <c r="BL205" s="541"/>
      <c r="BM205" s="541"/>
      <c r="BN205" s="541"/>
      <c r="BO205" s="541"/>
      <c r="BP205" s="541"/>
      <c r="BQ205" s="541"/>
      <c r="BR205" s="541"/>
      <c r="BS205" s="541"/>
      <c r="BT205" s="541"/>
      <c r="BU205" s="541"/>
      <c r="BV205" s="541"/>
      <c r="BW205" s="541"/>
      <c r="BX205" s="541"/>
      <c r="BY205" s="541"/>
      <c r="BZ205" s="541"/>
      <c r="CA205" s="541"/>
      <c r="CB205" s="541"/>
      <c r="CC205" s="541"/>
      <c r="CD205" s="541"/>
      <c r="CE205" s="541"/>
      <c r="CF205" s="541"/>
      <c r="CG205" s="541"/>
      <c r="CH205" s="541"/>
      <c r="CI205" s="542"/>
      <c r="CJ205" s="1479"/>
      <c r="CK205" s="1293"/>
    </row>
    <row r="206" spans="1:89" s="1292" customFormat="1" x14ac:dyDescent="0.2">
      <c r="A206" s="1284"/>
      <c r="B206" s="819" t="s">
        <v>449</v>
      </c>
      <c r="C206" s="820" t="s">
        <v>681</v>
      </c>
      <c r="D206" s="821" t="s">
        <v>86</v>
      </c>
      <c r="E206" s="822" t="s">
        <v>236</v>
      </c>
      <c r="F206" s="823">
        <v>2</v>
      </c>
      <c r="G206" s="1008"/>
      <c r="H206" s="540"/>
      <c r="I206" s="540">
        <v>0</v>
      </c>
      <c r="J206" s="540">
        <v>0</v>
      </c>
      <c r="K206" s="540">
        <v>0</v>
      </c>
      <c r="L206" s="540">
        <v>0</v>
      </c>
      <c r="M206" s="541">
        <v>0</v>
      </c>
      <c r="N206" s="541">
        <v>0</v>
      </c>
      <c r="O206" s="541">
        <v>0</v>
      </c>
      <c r="P206" s="541">
        <v>0</v>
      </c>
      <c r="Q206" s="541">
        <v>0</v>
      </c>
      <c r="R206" s="541">
        <v>0</v>
      </c>
      <c r="S206" s="541">
        <v>0</v>
      </c>
      <c r="T206" s="541">
        <v>0</v>
      </c>
      <c r="U206" s="541">
        <v>0</v>
      </c>
      <c r="V206" s="541">
        <v>0</v>
      </c>
      <c r="W206" s="541">
        <v>0</v>
      </c>
      <c r="X206" s="541">
        <v>0</v>
      </c>
      <c r="Y206" s="541">
        <v>0</v>
      </c>
      <c r="Z206" s="541">
        <v>0</v>
      </c>
      <c r="AA206" s="541">
        <v>0</v>
      </c>
      <c r="AB206" s="541">
        <v>0</v>
      </c>
      <c r="AC206" s="541">
        <v>0</v>
      </c>
      <c r="AD206" s="541">
        <v>0</v>
      </c>
      <c r="AE206" s="541">
        <v>0</v>
      </c>
      <c r="AF206" s="541">
        <v>0</v>
      </c>
      <c r="AG206" s="541">
        <v>0</v>
      </c>
      <c r="AH206" s="541">
        <v>0</v>
      </c>
      <c r="AI206" s="541">
        <v>0</v>
      </c>
      <c r="AJ206" s="541">
        <v>0</v>
      </c>
      <c r="AK206" s="541">
        <v>0</v>
      </c>
      <c r="AL206" s="541"/>
      <c r="AM206" s="541"/>
      <c r="AN206" s="541"/>
      <c r="AO206" s="541"/>
      <c r="AP206" s="541"/>
      <c r="AQ206" s="541"/>
      <c r="AR206" s="541"/>
      <c r="AS206" s="541"/>
      <c r="AT206" s="541"/>
      <c r="AU206" s="541"/>
      <c r="AV206" s="541"/>
      <c r="AW206" s="541"/>
      <c r="AX206" s="541"/>
      <c r="AY206" s="541"/>
      <c r="AZ206" s="541"/>
      <c r="BA206" s="541"/>
      <c r="BB206" s="541"/>
      <c r="BC206" s="541"/>
      <c r="BD206" s="541"/>
      <c r="BE206" s="541"/>
      <c r="BF206" s="541"/>
      <c r="BG206" s="541"/>
      <c r="BH206" s="541"/>
      <c r="BI206" s="541"/>
      <c r="BJ206" s="541"/>
      <c r="BK206" s="541"/>
      <c r="BL206" s="541"/>
      <c r="BM206" s="541"/>
      <c r="BN206" s="541"/>
      <c r="BO206" s="541"/>
      <c r="BP206" s="541"/>
      <c r="BQ206" s="541"/>
      <c r="BR206" s="541"/>
      <c r="BS206" s="541"/>
      <c r="BT206" s="541"/>
      <c r="BU206" s="541"/>
      <c r="BV206" s="541"/>
      <c r="BW206" s="541"/>
      <c r="BX206" s="541"/>
      <c r="BY206" s="541"/>
      <c r="BZ206" s="541"/>
      <c r="CA206" s="541"/>
      <c r="CB206" s="541"/>
      <c r="CC206" s="541"/>
      <c r="CD206" s="541"/>
      <c r="CE206" s="541"/>
      <c r="CF206" s="541"/>
      <c r="CG206" s="541"/>
      <c r="CH206" s="541"/>
      <c r="CI206" s="542"/>
      <c r="CJ206" s="1479"/>
      <c r="CK206" s="1293"/>
    </row>
    <row r="207" spans="1:89" s="1292" customFormat="1" x14ac:dyDescent="0.2">
      <c r="A207" s="1284"/>
      <c r="B207" s="819" t="s">
        <v>451</v>
      </c>
      <c r="C207" s="820" t="s">
        <v>452</v>
      </c>
      <c r="D207" s="821" t="s">
        <v>86</v>
      </c>
      <c r="E207" s="822" t="s">
        <v>236</v>
      </c>
      <c r="F207" s="823">
        <v>2</v>
      </c>
      <c r="G207" s="540"/>
      <c r="H207" s="540"/>
      <c r="I207" s="540">
        <v>0</v>
      </c>
      <c r="J207" s="540">
        <v>0</v>
      </c>
      <c r="K207" s="540">
        <v>0</v>
      </c>
      <c r="L207" s="540">
        <v>0</v>
      </c>
      <c r="M207" s="541">
        <v>0</v>
      </c>
      <c r="N207" s="541">
        <v>0</v>
      </c>
      <c r="O207" s="541">
        <v>0</v>
      </c>
      <c r="P207" s="541">
        <v>0</v>
      </c>
      <c r="Q207" s="541">
        <v>0</v>
      </c>
      <c r="R207" s="541">
        <v>0</v>
      </c>
      <c r="S207" s="541">
        <v>0</v>
      </c>
      <c r="T207" s="541">
        <v>0</v>
      </c>
      <c r="U207" s="541">
        <v>0</v>
      </c>
      <c r="V207" s="541">
        <v>0</v>
      </c>
      <c r="W207" s="541">
        <v>0</v>
      </c>
      <c r="X207" s="541">
        <v>0</v>
      </c>
      <c r="Y207" s="541">
        <v>0</v>
      </c>
      <c r="Z207" s="541">
        <v>0</v>
      </c>
      <c r="AA207" s="541">
        <v>0</v>
      </c>
      <c r="AB207" s="541">
        <v>0</v>
      </c>
      <c r="AC207" s="541">
        <v>0</v>
      </c>
      <c r="AD207" s="541">
        <v>0</v>
      </c>
      <c r="AE207" s="541">
        <v>0</v>
      </c>
      <c r="AF207" s="541">
        <v>0</v>
      </c>
      <c r="AG207" s="541">
        <v>0</v>
      </c>
      <c r="AH207" s="541">
        <v>0</v>
      </c>
      <c r="AI207" s="541">
        <v>0</v>
      </c>
      <c r="AJ207" s="541">
        <v>0</v>
      </c>
      <c r="AK207" s="541">
        <v>0</v>
      </c>
      <c r="AL207" s="541"/>
      <c r="AM207" s="541"/>
      <c r="AN207" s="541"/>
      <c r="AO207" s="541"/>
      <c r="AP207" s="541"/>
      <c r="AQ207" s="541"/>
      <c r="AR207" s="541"/>
      <c r="AS207" s="541"/>
      <c r="AT207" s="541"/>
      <c r="AU207" s="541"/>
      <c r="AV207" s="541"/>
      <c r="AW207" s="541"/>
      <c r="AX207" s="541"/>
      <c r="AY207" s="541"/>
      <c r="AZ207" s="541"/>
      <c r="BA207" s="541"/>
      <c r="BB207" s="541"/>
      <c r="BC207" s="541"/>
      <c r="BD207" s="541"/>
      <c r="BE207" s="541"/>
      <c r="BF207" s="541"/>
      <c r="BG207" s="541"/>
      <c r="BH207" s="541"/>
      <c r="BI207" s="541"/>
      <c r="BJ207" s="541"/>
      <c r="BK207" s="541"/>
      <c r="BL207" s="541"/>
      <c r="BM207" s="541"/>
      <c r="BN207" s="541"/>
      <c r="BO207" s="541"/>
      <c r="BP207" s="541"/>
      <c r="BQ207" s="541"/>
      <c r="BR207" s="541"/>
      <c r="BS207" s="541"/>
      <c r="BT207" s="541"/>
      <c r="BU207" s="541"/>
      <c r="BV207" s="541"/>
      <c r="BW207" s="541"/>
      <c r="BX207" s="541"/>
      <c r="BY207" s="541"/>
      <c r="BZ207" s="541"/>
      <c r="CA207" s="541"/>
      <c r="CB207" s="541"/>
      <c r="CC207" s="541"/>
      <c r="CD207" s="541"/>
      <c r="CE207" s="541"/>
      <c r="CF207" s="541"/>
      <c r="CG207" s="541"/>
      <c r="CH207" s="541"/>
      <c r="CI207" s="542"/>
      <c r="CJ207" s="1479"/>
      <c r="CK207" s="1293"/>
    </row>
    <row r="208" spans="1:89" s="1292" customFormat="1" x14ac:dyDescent="0.2">
      <c r="A208" s="1284"/>
      <c r="B208" s="819" t="s">
        <v>453</v>
      </c>
      <c r="C208" s="820" t="s">
        <v>454</v>
      </c>
      <c r="D208" s="821" t="s">
        <v>86</v>
      </c>
      <c r="E208" s="822" t="s">
        <v>236</v>
      </c>
      <c r="F208" s="823">
        <v>2</v>
      </c>
      <c r="G208" s="540"/>
      <c r="H208" s="540"/>
      <c r="I208" s="540">
        <v>1.35</v>
      </c>
      <c r="J208" s="540">
        <v>1.35</v>
      </c>
      <c r="K208" s="540">
        <v>1.35</v>
      </c>
      <c r="L208" s="540">
        <v>1.35</v>
      </c>
      <c r="M208" s="541">
        <v>1.35</v>
      </c>
      <c r="N208" s="541">
        <v>1.35</v>
      </c>
      <c r="O208" s="541">
        <v>1.35</v>
      </c>
      <c r="P208" s="541">
        <v>1.35</v>
      </c>
      <c r="Q208" s="541">
        <v>1.35</v>
      </c>
      <c r="R208" s="541">
        <v>1.35</v>
      </c>
      <c r="S208" s="541">
        <v>1.35</v>
      </c>
      <c r="T208" s="541">
        <v>1.35</v>
      </c>
      <c r="U208" s="541">
        <v>1.35</v>
      </c>
      <c r="V208" s="541">
        <v>1.35</v>
      </c>
      <c r="W208" s="541">
        <v>1.35</v>
      </c>
      <c r="X208" s="541">
        <v>1.35</v>
      </c>
      <c r="Y208" s="541">
        <v>1.35</v>
      </c>
      <c r="Z208" s="541">
        <v>1.35</v>
      </c>
      <c r="AA208" s="541">
        <v>1.35</v>
      </c>
      <c r="AB208" s="541">
        <v>1.35</v>
      </c>
      <c r="AC208" s="541">
        <v>1.35</v>
      </c>
      <c r="AD208" s="541">
        <v>1.35</v>
      </c>
      <c r="AE208" s="541">
        <v>1.35</v>
      </c>
      <c r="AF208" s="541">
        <v>1.35</v>
      </c>
      <c r="AG208" s="541">
        <v>1.35</v>
      </c>
      <c r="AH208" s="541">
        <v>1.35</v>
      </c>
      <c r="AI208" s="541">
        <v>1.35</v>
      </c>
      <c r="AJ208" s="541">
        <v>1.35</v>
      </c>
      <c r="AK208" s="541">
        <v>1.35</v>
      </c>
      <c r="AL208" s="541"/>
      <c r="AM208" s="541"/>
      <c r="AN208" s="541"/>
      <c r="AO208" s="541"/>
      <c r="AP208" s="541"/>
      <c r="AQ208" s="541"/>
      <c r="AR208" s="541"/>
      <c r="AS208" s="541"/>
      <c r="AT208" s="541"/>
      <c r="AU208" s="541"/>
      <c r="AV208" s="541"/>
      <c r="AW208" s="541"/>
      <c r="AX208" s="541"/>
      <c r="AY208" s="541"/>
      <c r="AZ208" s="541"/>
      <c r="BA208" s="541"/>
      <c r="BB208" s="541"/>
      <c r="BC208" s="541"/>
      <c r="BD208" s="541"/>
      <c r="BE208" s="541"/>
      <c r="BF208" s="541"/>
      <c r="BG208" s="541"/>
      <c r="BH208" s="541"/>
      <c r="BI208" s="541"/>
      <c r="BJ208" s="541"/>
      <c r="BK208" s="541"/>
      <c r="BL208" s="541"/>
      <c r="BM208" s="541"/>
      <c r="BN208" s="541"/>
      <c r="BO208" s="541"/>
      <c r="BP208" s="541"/>
      <c r="BQ208" s="541"/>
      <c r="BR208" s="541"/>
      <c r="BS208" s="541"/>
      <c r="BT208" s="541"/>
      <c r="BU208" s="541"/>
      <c r="BV208" s="541"/>
      <c r="BW208" s="541"/>
      <c r="BX208" s="541"/>
      <c r="BY208" s="541"/>
      <c r="BZ208" s="541"/>
      <c r="CA208" s="541"/>
      <c r="CB208" s="541"/>
      <c r="CC208" s="541"/>
      <c r="CD208" s="541"/>
      <c r="CE208" s="541"/>
      <c r="CF208" s="541"/>
      <c r="CG208" s="541"/>
      <c r="CH208" s="541"/>
      <c r="CI208" s="542"/>
      <c r="CJ208" s="1479"/>
      <c r="CK208" s="1293"/>
    </row>
    <row r="209" spans="1:89" s="1292" customFormat="1" x14ac:dyDescent="0.2">
      <c r="A209" s="1284"/>
      <c r="B209" s="824" t="s">
        <v>455</v>
      </c>
      <c r="C209" s="820" t="s">
        <v>456</v>
      </c>
      <c r="D209" s="821" t="s">
        <v>86</v>
      </c>
      <c r="E209" s="822" t="s">
        <v>236</v>
      </c>
      <c r="F209" s="823">
        <v>2</v>
      </c>
      <c r="G209" s="540"/>
      <c r="H209" s="540"/>
      <c r="I209" s="540">
        <v>-3.38</v>
      </c>
      <c r="J209" s="540">
        <v>-3.38</v>
      </c>
      <c r="K209" s="540">
        <v>-3.38</v>
      </c>
      <c r="L209" s="540">
        <v>-3.38</v>
      </c>
      <c r="M209" s="541">
        <v>-3.38</v>
      </c>
      <c r="N209" s="541">
        <v>-3.38</v>
      </c>
      <c r="O209" s="541">
        <v>-3.38</v>
      </c>
      <c r="P209" s="541">
        <v>-3.38</v>
      </c>
      <c r="Q209" s="541">
        <v>-3.38</v>
      </c>
      <c r="R209" s="541">
        <v>-3.38</v>
      </c>
      <c r="S209" s="541">
        <v>-3.38</v>
      </c>
      <c r="T209" s="541">
        <v>-3.38</v>
      </c>
      <c r="U209" s="541">
        <v>-3.38</v>
      </c>
      <c r="V209" s="541">
        <v>-3.38</v>
      </c>
      <c r="W209" s="541">
        <v>-3.38</v>
      </c>
      <c r="X209" s="541">
        <v>-3.38</v>
      </c>
      <c r="Y209" s="541">
        <v>-3.38</v>
      </c>
      <c r="Z209" s="541">
        <v>-3.38</v>
      </c>
      <c r="AA209" s="541">
        <v>-3.38</v>
      </c>
      <c r="AB209" s="541">
        <v>-3.38</v>
      </c>
      <c r="AC209" s="541">
        <v>-3.38</v>
      </c>
      <c r="AD209" s="541">
        <v>-3.38</v>
      </c>
      <c r="AE209" s="541">
        <v>-3.38</v>
      </c>
      <c r="AF209" s="541">
        <v>-3.38</v>
      </c>
      <c r="AG209" s="541">
        <v>-3.38</v>
      </c>
      <c r="AH209" s="541">
        <v>-3.38</v>
      </c>
      <c r="AI209" s="541">
        <v>-3.38</v>
      </c>
      <c r="AJ209" s="541">
        <v>-3.38</v>
      </c>
      <c r="AK209" s="541">
        <v>-3.38</v>
      </c>
      <c r="AL209" s="1402"/>
      <c r="AM209" s="1402"/>
      <c r="AN209" s="1402"/>
      <c r="AO209" s="1402"/>
      <c r="AP209" s="1402"/>
      <c r="AQ209" s="1402"/>
      <c r="AR209" s="1402"/>
      <c r="AS209" s="1402"/>
      <c r="AT209" s="1402"/>
      <c r="AU209" s="1402"/>
      <c r="AV209" s="1402"/>
      <c r="AW209" s="1402"/>
      <c r="AX209" s="1402"/>
      <c r="AY209" s="1402"/>
      <c r="AZ209" s="1402"/>
      <c r="BA209" s="1402"/>
      <c r="BB209" s="1402"/>
      <c r="BC209" s="1402"/>
      <c r="BD209" s="1402"/>
      <c r="BE209" s="1402"/>
      <c r="BF209" s="1402"/>
      <c r="BG209" s="1402"/>
      <c r="BH209" s="1402"/>
      <c r="BI209" s="1402"/>
      <c r="BJ209" s="1402"/>
      <c r="BK209" s="1402"/>
      <c r="BL209" s="1402"/>
      <c r="BM209" s="1402"/>
      <c r="BN209" s="1402"/>
      <c r="BO209" s="1402"/>
      <c r="BP209" s="1402"/>
      <c r="BQ209" s="1402"/>
      <c r="BR209" s="1402"/>
      <c r="BS209" s="1402"/>
      <c r="BT209" s="1402"/>
      <c r="BU209" s="1402"/>
      <c r="BV209" s="1402"/>
      <c r="BW209" s="1402"/>
      <c r="BX209" s="1402"/>
      <c r="BY209" s="1402"/>
      <c r="BZ209" s="1402"/>
      <c r="CA209" s="1402"/>
      <c r="CB209" s="1402"/>
      <c r="CC209" s="1402"/>
      <c r="CD209" s="1402"/>
      <c r="CE209" s="1402"/>
      <c r="CF209" s="1402"/>
      <c r="CG209" s="1402"/>
      <c r="CH209" s="1402"/>
      <c r="CI209" s="1402"/>
      <c r="CJ209" s="1479"/>
      <c r="CK209" s="1293"/>
    </row>
    <row r="210" spans="1:89" s="1292" customFormat="1" x14ac:dyDescent="0.2">
      <c r="A210" s="1284"/>
      <c r="B210" s="824" t="s">
        <v>457</v>
      </c>
      <c r="C210" s="820" t="s">
        <v>458</v>
      </c>
      <c r="D210" s="821" t="s">
        <v>86</v>
      </c>
      <c r="E210" s="822" t="s">
        <v>236</v>
      </c>
      <c r="F210" s="823">
        <v>2</v>
      </c>
      <c r="G210" s="540"/>
      <c r="H210" s="540"/>
      <c r="I210" s="540">
        <v>-0.37</v>
      </c>
      <c r="J210" s="540">
        <v>-0.37</v>
      </c>
      <c r="K210" s="540">
        <v>-0.37</v>
      </c>
      <c r="L210" s="540">
        <v>-0.37</v>
      </c>
      <c r="M210" s="541">
        <v>-0.37</v>
      </c>
      <c r="N210" s="541">
        <v>-0.37</v>
      </c>
      <c r="O210" s="541">
        <v>-0.37</v>
      </c>
      <c r="P210" s="541">
        <v>-0.37</v>
      </c>
      <c r="Q210" s="541">
        <v>-0.37</v>
      </c>
      <c r="R210" s="541">
        <v>-0.37</v>
      </c>
      <c r="S210" s="541">
        <v>-0.37</v>
      </c>
      <c r="T210" s="541">
        <v>-0.37</v>
      </c>
      <c r="U210" s="541">
        <v>-0.37</v>
      </c>
      <c r="V210" s="541">
        <v>-0.37</v>
      </c>
      <c r="W210" s="541">
        <v>-0.37</v>
      </c>
      <c r="X210" s="541">
        <v>-0.37</v>
      </c>
      <c r="Y210" s="541">
        <v>-0.37</v>
      </c>
      <c r="Z210" s="541">
        <v>-0.37</v>
      </c>
      <c r="AA210" s="541">
        <v>-0.37</v>
      </c>
      <c r="AB210" s="541">
        <v>-0.37</v>
      </c>
      <c r="AC210" s="541">
        <v>-0.37</v>
      </c>
      <c r="AD210" s="541">
        <v>-0.37</v>
      </c>
      <c r="AE210" s="541">
        <v>-0.37</v>
      </c>
      <c r="AF210" s="541">
        <v>-0.37</v>
      </c>
      <c r="AG210" s="541">
        <v>-0.37</v>
      </c>
      <c r="AH210" s="541">
        <v>-0.37</v>
      </c>
      <c r="AI210" s="541">
        <v>-0.37</v>
      </c>
      <c r="AJ210" s="541">
        <v>-0.37</v>
      </c>
      <c r="AK210" s="541">
        <v>-0.37</v>
      </c>
      <c r="AL210" s="541"/>
      <c r="AM210" s="541"/>
      <c r="AN210" s="541"/>
      <c r="AO210" s="541"/>
      <c r="AP210" s="541"/>
      <c r="AQ210" s="541"/>
      <c r="AR210" s="541"/>
      <c r="AS210" s="541"/>
      <c r="AT210" s="541"/>
      <c r="AU210" s="541"/>
      <c r="AV210" s="541"/>
      <c r="AW210" s="541"/>
      <c r="AX210" s="541"/>
      <c r="AY210" s="541"/>
      <c r="AZ210" s="541"/>
      <c r="BA210" s="541"/>
      <c r="BB210" s="541"/>
      <c r="BC210" s="541"/>
      <c r="BD210" s="541"/>
      <c r="BE210" s="541"/>
      <c r="BF210" s="541"/>
      <c r="BG210" s="541"/>
      <c r="BH210" s="541"/>
      <c r="BI210" s="541"/>
      <c r="BJ210" s="541"/>
      <c r="BK210" s="541"/>
      <c r="BL210" s="541"/>
      <c r="BM210" s="541"/>
      <c r="BN210" s="541"/>
      <c r="BO210" s="541"/>
      <c r="BP210" s="541"/>
      <c r="BQ210" s="541"/>
      <c r="BR210" s="541"/>
      <c r="BS210" s="541"/>
      <c r="BT210" s="541"/>
      <c r="BU210" s="541"/>
      <c r="BV210" s="541"/>
      <c r="BW210" s="541"/>
      <c r="BX210" s="541"/>
      <c r="BY210" s="541"/>
      <c r="BZ210" s="541"/>
      <c r="CA210" s="541"/>
      <c r="CB210" s="541"/>
      <c r="CC210" s="541"/>
      <c r="CD210" s="541"/>
      <c r="CE210" s="541"/>
      <c r="CF210" s="541"/>
      <c r="CG210" s="541"/>
      <c r="CH210" s="541"/>
      <c r="CI210" s="542"/>
      <c r="CJ210" s="1479"/>
      <c r="CK210" s="1293"/>
    </row>
    <row r="211" spans="1:89" s="1292" customFormat="1" x14ac:dyDescent="0.2">
      <c r="A211" s="1284"/>
      <c r="B211" s="824" t="s">
        <v>459</v>
      </c>
      <c r="C211" s="820" t="s">
        <v>460</v>
      </c>
      <c r="D211" s="821" t="s">
        <v>86</v>
      </c>
      <c r="E211" s="822" t="s">
        <v>236</v>
      </c>
      <c r="F211" s="823">
        <v>2</v>
      </c>
      <c r="G211" s="540"/>
      <c r="H211" s="540"/>
      <c r="I211" s="540">
        <v>97.37</v>
      </c>
      <c r="J211" s="540">
        <v>97.37</v>
      </c>
      <c r="K211" s="540">
        <v>97.37</v>
      </c>
      <c r="L211" s="540">
        <v>97.37</v>
      </c>
      <c r="M211" s="541">
        <v>97.37</v>
      </c>
      <c r="N211" s="541">
        <v>97.37</v>
      </c>
      <c r="O211" s="541">
        <v>97.37</v>
      </c>
      <c r="P211" s="541">
        <v>97.37</v>
      </c>
      <c r="Q211" s="541">
        <v>97.37</v>
      </c>
      <c r="R211" s="541">
        <v>97.37</v>
      </c>
      <c r="S211" s="541">
        <v>97.37</v>
      </c>
      <c r="T211" s="541">
        <v>97.37</v>
      </c>
      <c r="U211" s="541">
        <v>97.37</v>
      </c>
      <c r="V211" s="541">
        <v>97.37</v>
      </c>
      <c r="W211" s="541">
        <v>97.37</v>
      </c>
      <c r="X211" s="541">
        <v>97.37</v>
      </c>
      <c r="Y211" s="541">
        <v>97.37</v>
      </c>
      <c r="Z211" s="541">
        <v>97.37</v>
      </c>
      <c r="AA211" s="541">
        <v>97.37</v>
      </c>
      <c r="AB211" s="541">
        <v>97.37</v>
      </c>
      <c r="AC211" s="541">
        <v>97.37</v>
      </c>
      <c r="AD211" s="541">
        <v>97.37</v>
      </c>
      <c r="AE211" s="541">
        <v>97.37</v>
      </c>
      <c r="AF211" s="541">
        <v>97.37</v>
      </c>
      <c r="AG211" s="541">
        <v>97.37</v>
      </c>
      <c r="AH211" s="541">
        <v>97.37</v>
      </c>
      <c r="AI211" s="541">
        <v>97.37</v>
      </c>
      <c r="AJ211" s="541">
        <v>97.37</v>
      </c>
      <c r="AK211" s="541">
        <v>97.37</v>
      </c>
      <c r="AL211" s="541"/>
      <c r="AM211" s="541"/>
      <c r="AN211" s="541"/>
      <c r="AO211" s="541"/>
      <c r="AP211" s="541"/>
      <c r="AQ211" s="541"/>
      <c r="AR211" s="541"/>
      <c r="AS211" s="541"/>
      <c r="AT211" s="541"/>
      <c r="AU211" s="541"/>
      <c r="AV211" s="541"/>
      <c r="AW211" s="541"/>
      <c r="AX211" s="541"/>
      <c r="AY211" s="541"/>
      <c r="AZ211" s="541"/>
      <c r="BA211" s="541"/>
      <c r="BB211" s="541"/>
      <c r="BC211" s="541"/>
      <c r="BD211" s="541"/>
      <c r="BE211" s="541"/>
      <c r="BF211" s="541"/>
      <c r="BG211" s="541"/>
      <c r="BH211" s="541"/>
      <c r="BI211" s="541"/>
      <c r="BJ211" s="541"/>
      <c r="BK211" s="541"/>
      <c r="BL211" s="541"/>
      <c r="BM211" s="541"/>
      <c r="BN211" s="541"/>
      <c r="BO211" s="541"/>
      <c r="BP211" s="541"/>
      <c r="BQ211" s="541"/>
      <c r="BR211" s="541"/>
      <c r="BS211" s="541"/>
      <c r="BT211" s="541"/>
      <c r="BU211" s="541"/>
      <c r="BV211" s="541"/>
      <c r="BW211" s="541"/>
      <c r="BX211" s="541"/>
      <c r="BY211" s="541"/>
      <c r="BZ211" s="541"/>
      <c r="CA211" s="541"/>
      <c r="CB211" s="541"/>
      <c r="CC211" s="541"/>
      <c r="CD211" s="541"/>
      <c r="CE211" s="541"/>
      <c r="CF211" s="541"/>
      <c r="CG211" s="541"/>
      <c r="CH211" s="541"/>
      <c r="CI211" s="542"/>
      <c r="CJ211" s="1479"/>
      <c r="CK211" s="1293"/>
    </row>
    <row r="212" spans="1:89" s="1292" customFormat="1" x14ac:dyDescent="0.2">
      <c r="A212" s="1284"/>
      <c r="B212" s="824" t="s">
        <v>461</v>
      </c>
      <c r="C212" s="825" t="s">
        <v>462</v>
      </c>
      <c r="D212" s="821" t="s">
        <v>463</v>
      </c>
      <c r="E212" s="822" t="s">
        <v>236</v>
      </c>
      <c r="F212" s="823">
        <v>2</v>
      </c>
      <c r="G212" s="547">
        <f>G211+G213</f>
        <v>0</v>
      </c>
      <c r="H212" s="547">
        <f t="shared" ref="H212:AK212" si="111">H211+H213</f>
        <v>0</v>
      </c>
      <c r="I212" s="547">
        <f t="shared" si="111"/>
        <v>97.37</v>
      </c>
      <c r="J212" s="547">
        <f t="shared" si="111"/>
        <v>97.37</v>
      </c>
      <c r="K212" s="547">
        <f t="shared" si="111"/>
        <v>97.37</v>
      </c>
      <c r="L212" s="547">
        <f t="shared" si="111"/>
        <v>97.37</v>
      </c>
      <c r="M212" s="552">
        <f t="shared" si="111"/>
        <v>97.37</v>
      </c>
      <c r="N212" s="552">
        <f t="shared" si="111"/>
        <v>97.37</v>
      </c>
      <c r="O212" s="552">
        <f t="shared" si="111"/>
        <v>97.37</v>
      </c>
      <c r="P212" s="552">
        <f t="shared" si="111"/>
        <v>97.37</v>
      </c>
      <c r="Q212" s="552">
        <f t="shared" si="111"/>
        <v>97.37</v>
      </c>
      <c r="R212" s="552">
        <f t="shared" si="111"/>
        <v>94.87</v>
      </c>
      <c r="S212" s="552">
        <f t="shared" si="111"/>
        <v>94.87</v>
      </c>
      <c r="T212" s="552">
        <f t="shared" si="111"/>
        <v>92.87</v>
      </c>
      <c r="U212" s="552">
        <f t="shared" si="111"/>
        <v>92.87</v>
      </c>
      <c r="V212" s="552">
        <f t="shared" si="111"/>
        <v>92.87</v>
      </c>
      <c r="W212" s="552">
        <f t="shared" si="111"/>
        <v>92.87</v>
      </c>
      <c r="X212" s="552">
        <f t="shared" si="111"/>
        <v>92.87</v>
      </c>
      <c r="Y212" s="552">
        <f t="shared" si="111"/>
        <v>92.87</v>
      </c>
      <c r="Z212" s="552">
        <f t="shared" si="111"/>
        <v>92.87</v>
      </c>
      <c r="AA212" s="552">
        <f t="shared" si="111"/>
        <v>92.87</v>
      </c>
      <c r="AB212" s="552">
        <f t="shared" si="111"/>
        <v>92.87</v>
      </c>
      <c r="AC212" s="552">
        <f t="shared" si="111"/>
        <v>92.87</v>
      </c>
      <c r="AD212" s="552">
        <f t="shared" si="111"/>
        <v>92.87</v>
      </c>
      <c r="AE212" s="552">
        <f t="shared" si="111"/>
        <v>92.87</v>
      </c>
      <c r="AF212" s="552">
        <f t="shared" si="111"/>
        <v>92.87</v>
      </c>
      <c r="AG212" s="552">
        <f t="shared" si="111"/>
        <v>92.87</v>
      </c>
      <c r="AH212" s="552">
        <f t="shared" si="111"/>
        <v>92.87</v>
      </c>
      <c r="AI212" s="552">
        <f t="shared" si="111"/>
        <v>92.87</v>
      </c>
      <c r="AJ212" s="552">
        <f t="shared" si="111"/>
        <v>92.87</v>
      </c>
      <c r="AK212" s="552">
        <f t="shared" si="111"/>
        <v>92.87</v>
      </c>
      <c r="AL212" s="552"/>
      <c r="AM212" s="552"/>
      <c r="AN212" s="552"/>
      <c r="AO212" s="552"/>
      <c r="AP212" s="552"/>
      <c r="AQ212" s="552"/>
      <c r="AR212" s="552"/>
      <c r="AS212" s="552"/>
      <c r="AT212" s="552"/>
      <c r="AU212" s="552"/>
      <c r="AV212" s="552"/>
      <c r="AW212" s="552"/>
      <c r="AX212" s="552"/>
      <c r="AY212" s="552"/>
      <c r="AZ212" s="552"/>
      <c r="BA212" s="552"/>
      <c r="BB212" s="552"/>
      <c r="BC212" s="552"/>
      <c r="BD212" s="552"/>
      <c r="BE212" s="552"/>
      <c r="BF212" s="552"/>
      <c r="BG212" s="552"/>
      <c r="BH212" s="552"/>
      <c r="BI212" s="552"/>
      <c r="BJ212" s="552"/>
      <c r="BK212" s="552"/>
      <c r="BL212" s="552"/>
      <c r="BM212" s="552"/>
      <c r="BN212" s="552"/>
      <c r="BO212" s="552"/>
      <c r="BP212" s="552"/>
      <c r="BQ212" s="552"/>
      <c r="BR212" s="552"/>
      <c r="BS212" s="552"/>
      <c r="BT212" s="552"/>
      <c r="BU212" s="552"/>
      <c r="BV212" s="552"/>
      <c r="BW212" s="552"/>
      <c r="BX212" s="552"/>
      <c r="BY212" s="552"/>
      <c r="BZ212" s="552"/>
      <c r="CA212" s="552"/>
      <c r="CB212" s="552"/>
      <c r="CC212" s="552"/>
      <c r="CD212" s="552"/>
      <c r="CE212" s="552"/>
      <c r="CF212" s="552"/>
      <c r="CG212" s="552"/>
      <c r="CH212" s="552"/>
      <c r="CI212" s="548"/>
      <c r="CJ212" s="1479"/>
      <c r="CK212" s="1293"/>
    </row>
    <row r="213" spans="1:89" s="1292" customFormat="1" ht="28.5" x14ac:dyDescent="0.2">
      <c r="A213" s="1284"/>
      <c r="B213" s="826" t="s">
        <v>464</v>
      </c>
      <c r="C213" s="827" t="s">
        <v>465</v>
      </c>
      <c r="D213" s="827" t="s">
        <v>466</v>
      </c>
      <c r="E213" s="828" t="s">
        <v>236</v>
      </c>
      <c r="F213" s="823">
        <v>2</v>
      </c>
      <c r="G213" s="547">
        <f>SUM(G214:G219)</f>
        <v>0</v>
      </c>
      <c r="H213" s="547">
        <f t="shared" ref="H213:AK213" si="112">SUM(H214:H219)</f>
        <v>0</v>
      </c>
      <c r="I213" s="547">
        <f t="shared" si="112"/>
        <v>0</v>
      </c>
      <c r="J213" s="547">
        <f t="shared" si="112"/>
        <v>0</v>
      </c>
      <c r="K213" s="547">
        <f t="shared" si="112"/>
        <v>0</v>
      </c>
      <c r="L213" s="547">
        <f t="shared" si="112"/>
        <v>0</v>
      </c>
      <c r="M213" s="552">
        <f t="shared" si="112"/>
        <v>0</v>
      </c>
      <c r="N213" s="552">
        <f t="shared" si="112"/>
        <v>0</v>
      </c>
      <c r="O213" s="552">
        <f t="shared" si="112"/>
        <v>0</v>
      </c>
      <c r="P213" s="552">
        <f t="shared" si="112"/>
        <v>0</v>
      </c>
      <c r="Q213" s="552">
        <f t="shared" si="112"/>
        <v>0</v>
      </c>
      <c r="R213" s="552">
        <f t="shared" si="112"/>
        <v>-2.5</v>
      </c>
      <c r="S213" s="552">
        <f t="shared" si="112"/>
        <v>-2.5</v>
      </c>
      <c r="T213" s="552">
        <f t="shared" si="112"/>
        <v>-4.5</v>
      </c>
      <c r="U213" s="552">
        <f t="shared" si="112"/>
        <v>-4.5</v>
      </c>
      <c r="V213" s="552">
        <f t="shared" si="112"/>
        <v>-4.5</v>
      </c>
      <c r="W213" s="552">
        <f t="shared" si="112"/>
        <v>-4.5</v>
      </c>
      <c r="X213" s="552">
        <f t="shared" si="112"/>
        <v>-4.5</v>
      </c>
      <c r="Y213" s="552">
        <f t="shared" si="112"/>
        <v>-4.5</v>
      </c>
      <c r="Z213" s="552">
        <f t="shared" si="112"/>
        <v>-4.5</v>
      </c>
      <c r="AA213" s="552">
        <f t="shared" si="112"/>
        <v>-4.5</v>
      </c>
      <c r="AB213" s="552">
        <f t="shared" si="112"/>
        <v>-4.5</v>
      </c>
      <c r="AC213" s="552">
        <f t="shared" si="112"/>
        <v>-4.5</v>
      </c>
      <c r="AD213" s="552">
        <f t="shared" si="112"/>
        <v>-4.5</v>
      </c>
      <c r="AE213" s="552">
        <f t="shared" si="112"/>
        <v>-4.5</v>
      </c>
      <c r="AF213" s="552">
        <f t="shared" si="112"/>
        <v>-4.5</v>
      </c>
      <c r="AG213" s="552">
        <f t="shared" si="112"/>
        <v>-4.5</v>
      </c>
      <c r="AH213" s="552">
        <f t="shared" si="112"/>
        <v>-4.5</v>
      </c>
      <c r="AI213" s="552">
        <f t="shared" si="112"/>
        <v>-4.5</v>
      </c>
      <c r="AJ213" s="552">
        <f t="shared" si="112"/>
        <v>-4.5</v>
      </c>
      <c r="AK213" s="552">
        <f t="shared" si="112"/>
        <v>-4.5</v>
      </c>
      <c r="AL213" s="552"/>
      <c r="AM213" s="552"/>
      <c r="AN213" s="552"/>
      <c r="AO213" s="552"/>
      <c r="AP213" s="552"/>
      <c r="AQ213" s="552"/>
      <c r="AR213" s="552"/>
      <c r="AS213" s="552"/>
      <c r="AT213" s="552"/>
      <c r="AU213" s="552"/>
      <c r="AV213" s="552"/>
      <c r="AW213" s="552"/>
      <c r="AX213" s="552"/>
      <c r="AY213" s="552"/>
      <c r="AZ213" s="552"/>
      <c r="BA213" s="552"/>
      <c r="BB213" s="552"/>
      <c r="BC213" s="552"/>
      <c r="BD213" s="552"/>
      <c r="BE213" s="552"/>
      <c r="BF213" s="552"/>
      <c r="BG213" s="552"/>
      <c r="BH213" s="552"/>
      <c r="BI213" s="552"/>
      <c r="BJ213" s="552"/>
      <c r="BK213" s="552"/>
      <c r="BL213" s="552"/>
      <c r="BM213" s="552"/>
      <c r="BN213" s="552"/>
      <c r="BO213" s="552"/>
      <c r="BP213" s="552"/>
      <c r="BQ213" s="552"/>
      <c r="BR213" s="552"/>
      <c r="BS213" s="552"/>
      <c r="BT213" s="552"/>
      <c r="BU213" s="552"/>
      <c r="BV213" s="552"/>
      <c r="BW213" s="552"/>
      <c r="BX213" s="552"/>
      <c r="BY213" s="552"/>
      <c r="BZ213" s="552"/>
      <c r="CA213" s="552"/>
      <c r="CB213" s="552"/>
      <c r="CC213" s="552"/>
      <c r="CD213" s="552"/>
      <c r="CE213" s="552"/>
      <c r="CF213" s="552"/>
      <c r="CG213" s="552"/>
      <c r="CH213" s="552"/>
      <c r="CI213" s="548"/>
      <c r="CJ213" s="1479"/>
      <c r="CK213" s="1293"/>
    </row>
    <row r="214" spans="1:89" s="1292" customFormat="1" x14ac:dyDescent="0.2">
      <c r="A214" s="1284"/>
      <c r="B214" s="824" t="s">
        <v>467</v>
      </c>
      <c r="C214" s="825" t="s">
        <v>468</v>
      </c>
      <c r="D214" s="821" t="s">
        <v>86</v>
      </c>
      <c r="E214" s="822" t="s">
        <v>236</v>
      </c>
      <c r="F214" s="823">
        <v>2</v>
      </c>
      <c r="G214" s="540"/>
      <c r="H214" s="540"/>
      <c r="I214" s="540">
        <v>0</v>
      </c>
      <c r="J214" s="540">
        <v>0</v>
      </c>
      <c r="K214" s="540">
        <v>0</v>
      </c>
      <c r="L214" s="540">
        <v>0</v>
      </c>
      <c r="M214" s="541">
        <v>0</v>
      </c>
      <c r="N214" s="541">
        <v>0</v>
      </c>
      <c r="O214" s="541">
        <v>0</v>
      </c>
      <c r="P214" s="541">
        <v>0</v>
      </c>
      <c r="Q214" s="541">
        <v>0</v>
      </c>
      <c r="R214" s="541">
        <v>0</v>
      </c>
      <c r="S214" s="541">
        <v>0</v>
      </c>
      <c r="T214" s="541">
        <v>0</v>
      </c>
      <c r="U214" s="541">
        <v>0</v>
      </c>
      <c r="V214" s="541">
        <v>0</v>
      </c>
      <c r="W214" s="541">
        <v>0</v>
      </c>
      <c r="X214" s="541">
        <v>0</v>
      </c>
      <c r="Y214" s="541">
        <v>0</v>
      </c>
      <c r="Z214" s="541">
        <v>0</v>
      </c>
      <c r="AA214" s="541">
        <v>0</v>
      </c>
      <c r="AB214" s="541">
        <v>0</v>
      </c>
      <c r="AC214" s="541">
        <v>0</v>
      </c>
      <c r="AD214" s="541">
        <v>0</v>
      </c>
      <c r="AE214" s="541">
        <v>0</v>
      </c>
      <c r="AF214" s="541">
        <v>0</v>
      </c>
      <c r="AG214" s="541">
        <v>0</v>
      </c>
      <c r="AH214" s="541">
        <v>0</v>
      </c>
      <c r="AI214" s="541">
        <v>0</v>
      </c>
      <c r="AJ214" s="541">
        <v>0</v>
      </c>
      <c r="AK214" s="541">
        <v>0</v>
      </c>
      <c r="AL214" s="541"/>
      <c r="AM214" s="541"/>
      <c r="AN214" s="541"/>
      <c r="AO214" s="541"/>
      <c r="AP214" s="541"/>
      <c r="AQ214" s="541"/>
      <c r="AR214" s="541"/>
      <c r="AS214" s="541"/>
      <c r="AT214" s="541"/>
      <c r="AU214" s="541"/>
      <c r="AV214" s="541"/>
      <c r="AW214" s="541"/>
      <c r="AX214" s="541"/>
      <c r="AY214" s="541"/>
      <c r="AZ214" s="541"/>
      <c r="BA214" s="541"/>
      <c r="BB214" s="541"/>
      <c r="BC214" s="541"/>
      <c r="BD214" s="541"/>
      <c r="BE214" s="541"/>
      <c r="BF214" s="541"/>
      <c r="BG214" s="541"/>
      <c r="BH214" s="541"/>
      <c r="BI214" s="541"/>
      <c r="BJ214" s="541"/>
      <c r="BK214" s="541"/>
      <c r="BL214" s="541"/>
      <c r="BM214" s="541"/>
      <c r="BN214" s="541"/>
      <c r="BO214" s="541"/>
      <c r="BP214" s="541"/>
      <c r="BQ214" s="541"/>
      <c r="BR214" s="541"/>
      <c r="BS214" s="541"/>
      <c r="BT214" s="541"/>
      <c r="BU214" s="541"/>
      <c r="BV214" s="541"/>
      <c r="BW214" s="541"/>
      <c r="BX214" s="541"/>
      <c r="BY214" s="541"/>
      <c r="BZ214" s="541"/>
      <c r="CA214" s="541"/>
      <c r="CB214" s="541"/>
      <c r="CC214" s="541"/>
      <c r="CD214" s="541"/>
      <c r="CE214" s="541"/>
      <c r="CF214" s="541"/>
      <c r="CG214" s="541"/>
      <c r="CH214" s="541"/>
      <c r="CI214" s="542"/>
      <c r="CJ214" s="1479"/>
      <c r="CK214" s="1293"/>
    </row>
    <row r="215" spans="1:89" s="1292" customFormat="1" ht="28.5" x14ac:dyDescent="0.2">
      <c r="A215" s="1284"/>
      <c r="B215" s="824" t="s">
        <v>469</v>
      </c>
      <c r="C215" s="825" t="s">
        <v>470</v>
      </c>
      <c r="D215" s="821" t="s">
        <v>86</v>
      </c>
      <c r="E215" s="822" t="s">
        <v>236</v>
      </c>
      <c r="F215" s="823">
        <v>2</v>
      </c>
      <c r="G215" s="540"/>
      <c r="H215" s="540"/>
      <c r="I215" s="540">
        <v>0</v>
      </c>
      <c r="J215" s="540">
        <v>0</v>
      </c>
      <c r="K215" s="540">
        <v>0</v>
      </c>
      <c r="L215" s="540">
        <v>0</v>
      </c>
      <c r="M215" s="541">
        <v>0</v>
      </c>
      <c r="N215" s="541">
        <v>0</v>
      </c>
      <c r="O215" s="541">
        <v>0</v>
      </c>
      <c r="P215" s="541">
        <v>0</v>
      </c>
      <c r="Q215" s="541">
        <v>0</v>
      </c>
      <c r="R215" s="1342">
        <v>-2.5</v>
      </c>
      <c r="S215" s="1583">
        <v>-2.5</v>
      </c>
      <c r="T215" s="1342">
        <v>-4.5</v>
      </c>
      <c r="U215" s="1583">
        <v>-4.5</v>
      </c>
      <c r="V215" s="541">
        <v>-4.5</v>
      </c>
      <c r="W215" s="541">
        <v>-4.5</v>
      </c>
      <c r="X215" s="541">
        <v>-4.5</v>
      </c>
      <c r="Y215" s="541">
        <v>-4.5</v>
      </c>
      <c r="Z215" s="541">
        <v>-4.5</v>
      </c>
      <c r="AA215" s="541">
        <v>-4.5</v>
      </c>
      <c r="AB215" s="541">
        <v>-4.5</v>
      </c>
      <c r="AC215" s="541">
        <v>-4.5</v>
      </c>
      <c r="AD215" s="541">
        <v>-4.5</v>
      </c>
      <c r="AE215" s="541">
        <v>-4.5</v>
      </c>
      <c r="AF215" s="541">
        <v>-4.5</v>
      </c>
      <c r="AG215" s="541">
        <v>-4.5</v>
      </c>
      <c r="AH215" s="541">
        <v>-4.5</v>
      </c>
      <c r="AI215" s="541">
        <v>-4.5</v>
      </c>
      <c r="AJ215" s="541">
        <v>-4.5</v>
      </c>
      <c r="AK215" s="541">
        <v>-4.5</v>
      </c>
      <c r="AL215" s="541"/>
      <c r="AM215" s="541"/>
      <c r="AN215" s="541"/>
      <c r="AO215" s="541"/>
      <c r="AP215" s="541"/>
      <c r="AQ215" s="541"/>
      <c r="AR215" s="541"/>
      <c r="AS215" s="541"/>
      <c r="AT215" s="541"/>
      <c r="AU215" s="541"/>
      <c r="AV215" s="541"/>
      <c r="AW215" s="541"/>
      <c r="AX215" s="541"/>
      <c r="AY215" s="541"/>
      <c r="AZ215" s="541"/>
      <c r="BA215" s="541"/>
      <c r="BB215" s="541"/>
      <c r="BC215" s="541"/>
      <c r="BD215" s="541"/>
      <c r="BE215" s="541"/>
      <c r="BF215" s="541"/>
      <c r="BG215" s="541"/>
      <c r="BH215" s="541"/>
      <c r="BI215" s="541"/>
      <c r="BJ215" s="541"/>
      <c r="BK215" s="541"/>
      <c r="BL215" s="541"/>
      <c r="BM215" s="541"/>
      <c r="BN215" s="541"/>
      <c r="BO215" s="541"/>
      <c r="BP215" s="541"/>
      <c r="BQ215" s="541"/>
      <c r="BR215" s="541"/>
      <c r="BS215" s="541"/>
      <c r="BT215" s="541"/>
      <c r="BU215" s="541"/>
      <c r="BV215" s="541"/>
      <c r="BW215" s="541"/>
      <c r="BX215" s="541"/>
      <c r="BY215" s="541"/>
      <c r="BZ215" s="541"/>
      <c r="CA215" s="541"/>
      <c r="CB215" s="541"/>
      <c r="CC215" s="541"/>
      <c r="CD215" s="541"/>
      <c r="CE215" s="541"/>
      <c r="CF215" s="541"/>
      <c r="CG215" s="541"/>
      <c r="CH215" s="541"/>
      <c r="CI215" s="542"/>
      <c r="CJ215" s="1479"/>
      <c r="CK215" s="1293"/>
    </row>
    <row r="216" spans="1:89" s="1292" customFormat="1" ht="57" x14ac:dyDescent="0.2">
      <c r="A216" s="1284"/>
      <c r="B216" s="824" t="s">
        <v>471</v>
      </c>
      <c r="C216" s="825" t="s">
        <v>781</v>
      </c>
      <c r="D216" s="821" t="s">
        <v>86</v>
      </c>
      <c r="E216" s="822" t="s">
        <v>236</v>
      </c>
      <c r="F216" s="823">
        <v>2</v>
      </c>
      <c r="G216" s="540"/>
      <c r="H216" s="540"/>
      <c r="I216" s="540">
        <v>0</v>
      </c>
      <c r="J216" s="540">
        <v>0</v>
      </c>
      <c r="K216" s="540">
        <v>0</v>
      </c>
      <c r="L216" s="540">
        <v>0</v>
      </c>
      <c r="M216" s="541">
        <v>0</v>
      </c>
      <c r="N216" s="541">
        <v>0</v>
      </c>
      <c r="O216" s="541">
        <v>0</v>
      </c>
      <c r="P216" s="541">
        <v>0</v>
      </c>
      <c r="Q216" s="541">
        <v>0</v>
      </c>
      <c r="R216" s="541">
        <v>0</v>
      </c>
      <c r="S216" s="541">
        <v>0</v>
      </c>
      <c r="T216" s="541">
        <v>0</v>
      </c>
      <c r="U216" s="541">
        <v>0</v>
      </c>
      <c r="V216" s="541">
        <v>0</v>
      </c>
      <c r="W216" s="541">
        <v>0</v>
      </c>
      <c r="X216" s="541">
        <v>0</v>
      </c>
      <c r="Y216" s="541">
        <v>0</v>
      </c>
      <c r="Z216" s="541">
        <v>0</v>
      </c>
      <c r="AA216" s="541">
        <v>0</v>
      </c>
      <c r="AB216" s="541">
        <v>0</v>
      </c>
      <c r="AC216" s="541">
        <v>0</v>
      </c>
      <c r="AD216" s="541">
        <v>0</v>
      </c>
      <c r="AE216" s="541">
        <v>0</v>
      </c>
      <c r="AF216" s="541">
        <v>0</v>
      </c>
      <c r="AG216" s="541">
        <v>0</v>
      </c>
      <c r="AH216" s="541">
        <v>0</v>
      </c>
      <c r="AI216" s="541">
        <v>0</v>
      </c>
      <c r="AJ216" s="541">
        <v>0</v>
      </c>
      <c r="AK216" s="541">
        <v>0</v>
      </c>
      <c r="AL216" s="541"/>
      <c r="AM216" s="541"/>
      <c r="AN216" s="541"/>
      <c r="AO216" s="541"/>
      <c r="AP216" s="541"/>
      <c r="AQ216" s="541"/>
      <c r="AR216" s="541"/>
      <c r="AS216" s="541"/>
      <c r="AT216" s="541"/>
      <c r="AU216" s="541"/>
      <c r="AV216" s="541"/>
      <c r="AW216" s="541"/>
      <c r="AX216" s="541"/>
      <c r="AY216" s="541"/>
      <c r="AZ216" s="541"/>
      <c r="BA216" s="541"/>
      <c r="BB216" s="541"/>
      <c r="BC216" s="541"/>
      <c r="BD216" s="541"/>
      <c r="BE216" s="541"/>
      <c r="BF216" s="541"/>
      <c r="BG216" s="541"/>
      <c r="BH216" s="541"/>
      <c r="BI216" s="541"/>
      <c r="BJ216" s="541"/>
      <c r="BK216" s="541"/>
      <c r="BL216" s="541"/>
      <c r="BM216" s="541"/>
      <c r="BN216" s="541"/>
      <c r="BO216" s="541"/>
      <c r="BP216" s="541"/>
      <c r="BQ216" s="541"/>
      <c r="BR216" s="541"/>
      <c r="BS216" s="541"/>
      <c r="BT216" s="541"/>
      <c r="BU216" s="541"/>
      <c r="BV216" s="541"/>
      <c r="BW216" s="541"/>
      <c r="BX216" s="541"/>
      <c r="BY216" s="541"/>
      <c r="BZ216" s="541"/>
      <c r="CA216" s="541"/>
      <c r="CB216" s="541"/>
      <c r="CC216" s="541"/>
      <c r="CD216" s="541"/>
      <c r="CE216" s="541"/>
      <c r="CF216" s="541"/>
      <c r="CG216" s="541"/>
      <c r="CH216" s="541"/>
      <c r="CI216" s="542"/>
      <c r="CJ216" s="1479"/>
      <c r="CK216" s="1293"/>
    </row>
    <row r="217" spans="1:89" s="1292" customFormat="1" ht="28.5" x14ac:dyDescent="0.2">
      <c r="A217" s="1284"/>
      <c r="B217" s="824" t="s">
        <v>473</v>
      </c>
      <c r="C217" s="825" t="s">
        <v>474</v>
      </c>
      <c r="D217" s="821" t="s">
        <v>86</v>
      </c>
      <c r="E217" s="822" t="s">
        <v>236</v>
      </c>
      <c r="F217" s="823">
        <v>2</v>
      </c>
      <c r="G217" s="540"/>
      <c r="H217" s="540"/>
      <c r="I217" s="540">
        <v>0</v>
      </c>
      <c r="J217" s="540">
        <v>0</v>
      </c>
      <c r="K217" s="540">
        <v>0</v>
      </c>
      <c r="L217" s="540">
        <v>0</v>
      </c>
      <c r="M217" s="541">
        <v>0</v>
      </c>
      <c r="N217" s="541">
        <v>0</v>
      </c>
      <c r="O217" s="541">
        <v>0</v>
      </c>
      <c r="P217" s="541">
        <v>0</v>
      </c>
      <c r="Q217" s="541">
        <v>0</v>
      </c>
      <c r="R217" s="541">
        <v>0</v>
      </c>
      <c r="S217" s="541">
        <v>0</v>
      </c>
      <c r="T217" s="541">
        <v>0</v>
      </c>
      <c r="U217" s="541">
        <v>0</v>
      </c>
      <c r="V217" s="541">
        <v>0</v>
      </c>
      <c r="W217" s="541">
        <v>0</v>
      </c>
      <c r="X217" s="541">
        <v>0</v>
      </c>
      <c r="Y217" s="541">
        <v>0</v>
      </c>
      <c r="Z217" s="541">
        <v>0</v>
      </c>
      <c r="AA217" s="541">
        <v>0</v>
      </c>
      <c r="AB217" s="541">
        <v>0</v>
      </c>
      <c r="AC217" s="541">
        <v>0</v>
      </c>
      <c r="AD217" s="541">
        <v>0</v>
      </c>
      <c r="AE217" s="541">
        <v>0</v>
      </c>
      <c r="AF217" s="541">
        <v>0</v>
      </c>
      <c r="AG217" s="541">
        <v>0</v>
      </c>
      <c r="AH217" s="541">
        <v>0</v>
      </c>
      <c r="AI217" s="541">
        <v>0</v>
      </c>
      <c r="AJ217" s="541">
        <v>0</v>
      </c>
      <c r="AK217" s="541">
        <v>0</v>
      </c>
      <c r="AL217" s="541"/>
      <c r="AM217" s="541"/>
      <c r="AN217" s="541"/>
      <c r="AO217" s="541"/>
      <c r="AP217" s="541"/>
      <c r="AQ217" s="541"/>
      <c r="AR217" s="541"/>
      <c r="AS217" s="541"/>
      <c r="AT217" s="541"/>
      <c r="AU217" s="541"/>
      <c r="AV217" s="541"/>
      <c r="AW217" s="541"/>
      <c r="AX217" s="541"/>
      <c r="AY217" s="541"/>
      <c r="AZ217" s="541"/>
      <c r="BA217" s="541"/>
      <c r="BB217" s="541"/>
      <c r="BC217" s="541"/>
      <c r="BD217" s="541"/>
      <c r="BE217" s="541"/>
      <c r="BF217" s="541"/>
      <c r="BG217" s="541"/>
      <c r="BH217" s="541"/>
      <c r="BI217" s="541"/>
      <c r="BJ217" s="541"/>
      <c r="BK217" s="541"/>
      <c r="BL217" s="541"/>
      <c r="BM217" s="541"/>
      <c r="BN217" s="541"/>
      <c r="BO217" s="541"/>
      <c r="BP217" s="541"/>
      <c r="BQ217" s="541"/>
      <c r="BR217" s="541"/>
      <c r="BS217" s="541"/>
      <c r="BT217" s="541"/>
      <c r="BU217" s="541"/>
      <c r="BV217" s="541"/>
      <c r="BW217" s="541"/>
      <c r="BX217" s="541"/>
      <c r="BY217" s="541"/>
      <c r="BZ217" s="541"/>
      <c r="CA217" s="541"/>
      <c r="CB217" s="541"/>
      <c r="CC217" s="541"/>
      <c r="CD217" s="541"/>
      <c r="CE217" s="541"/>
      <c r="CF217" s="541"/>
      <c r="CG217" s="541"/>
      <c r="CH217" s="541"/>
      <c r="CI217" s="542"/>
      <c r="CJ217" s="1479"/>
      <c r="CK217" s="1293"/>
    </row>
    <row r="218" spans="1:89" s="1292" customFormat="1" x14ac:dyDescent="0.2">
      <c r="A218" s="1284"/>
      <c r="B218" s="824" t="s">
        <v>475</v>
      </c>
      <c r="C218" s="825" t="s">
        <v>476</v>
      </c>
      <c r="D218" s="821" t="s">
        <v>477</v>
      </c>
      <c r="E218" s="822" t="s">
        <v>236</v>
      </c>
      <c r="F218" s="823">
        <v>2</v>
      </c>
      <c r="G218" s="540"/>
      <c r="H218" s="540"/>
      <c r="I218" s="540">
        <v>0</v>
      </c>
      <c r="J218" s="540">
        <v>0</v>
      </c>
      <c r="K218" s="540">
        <v>0</v>
      </c>
      <c r="L218" s="540">
        <v>0</v>
      </c>
      <c r="M218" s="541">
        <v>0</v>
      </c>
      <c r="N218" s="541">
        <v>0</v>
      </c>
      <c r="O218" s="541">
        <v>0</v>
      </c>
      <c r="P218" s="541">
        <v>0</v>
      </c>
      <c r="Q218" s="541">
        <v>0</v>
      </c>
      <c r="R218" s="541">
        <v>0</v>
      </c>
      <c r="S218" s="541">
        <v>0</v>
      </c>
      <c r="T218" s="541">
        <v>0</v>
      </c>
      <c r="U218" s="541">
        <v>0</v>
      </c>
      <c r="V218" s="541">
        <v>0</v>
      </c>
      <c r="W218" s="541">
        <v>0</v>
      </c>
      <c r="X218" s="541">
        <v>0</v>
      </c>
      <c r="Y218" s="541">
        <v>0</v>
      </c>
      <c r="Z218" s="541">
        <v>0</v>
      </c>
      <c r="AA218" s="541">
        <v>0</v>
      </c>
      <c r="AB218" s="541">
        <v>0</v>
      </c>
      <c r="AC218" s="541">
        <v>0</v>
      </c>
      <c r="AD218" s="541">
        <v>0</v>
      </c>
      <c r="AE218" s="541">
        <v>0</v>
      </c>
      <c r="AF218" s="541">
        <v>0</v>
      </c>
      <c r="AG218" s="541">
        <v>0</v>
      </c>
      <c r="AH218" s="541">
        <v>0</v>
      </c>
      <c r="AI218" s="541">
        <v>0</v>
      </c>
      <c r="AJ218" s="541">
        <v>0</v>
      </c>
      <c r="AK218" s="541">
        <v>0</v>
      </c>
      <c r="AL218" s="541"/>
      <c r="AM218" s="541"/>
      <c r="AN218" s="541"/>
      <c r="AO218" s="541"/>
      <c r="AP218" s="541"/>
      <c r="AQ218" s="541"/>
      <c r="AR218" s="541"/>
      <c r="AS218" s="541"/>
      <c r="AT218" s="541"/>
      <c r="AU218" s="541"/>
      <c r="AV218" s="541"/>
      <c r="AW218" s="541"/>
      <c r="AX218" s="541"/>
      <c r="AY218" s="541"/>
      <c r="AZ218" s="541"/>
      <c r="BA218" s="541"/>
      <c r="BB218" s="541"/>
      <c r="BC218" s="541"/>
      <c r="BD218" s="541"/>
      <c r="BE218" s="541"/>
      <c r="BF218" s="541"/>
      <c r="BG218" s="541"/>
      <c r="BH218" s="541"/>
      <c r="BI218" s="541"/>
      <c r="BJ218" s="541"/>
      <c r="BK218" s="541"/>
      <c r="BL218" s="541"/>
      <c r="BM218" s="541"/>
      <c r="BN218" s="541"/>
      <c r="BO218" s="541"/>
      <c r="BP218" s="541"/>
      <c r="BQ218" s="541"/>
      <c r="BR218" s="541"/>
      <c r="BS218" s="541"/>
      <c r="BT218" s="541"/>
      <c r="BU218" s="541"/>
      <c r="BV218" s="541"/>
      <c r="BW218" s="541"/>
      <c r="BX218" s="541"/>
      <c r="BY218" s="541"/>
      <c r="BZ218" s="541"/>
      <c r="CA218" s="541"/>
      <c r="CB218" s="541"/>
      <c r="CC218" s="541"/>
      <c r="CD218" s="541"/>
      <c r="CE218" s="541"/>
      <c r="CF218" s="541"/>
      <c r="CG218" s="541"/>
      <c r="CH218" s="541"/>
      <c r="CI218" s="542"/>
      <c r="CJ218" s="1479"/>
      <c r="CK218" s="1293"/>
    </row>
    <row r="219" spans="1:89" s="1292" customFormat="1" ht="28.5" x14ac:dyDescent="0.2">
      <c r="A219" s="1284"/>
      <c r="B219" s="824" t="s">
        <v>478</v>
      </c>
      <c r="C219" s="825" t="s">
        <v>782</v>
      </c>
      <c r="D219" s="821" t="s">
        <v>86</v>
      </c>
      <c r="E219" s="822" t="s">
        <v>236</v>
      </c>
      <c r="F219" s="823">
        <v>2</v>
      </c>
      <c r="G219" s="540"/>
      <c r="H219" s="540"/>
      <c r="I219" s="540">
        <v>0</v>
      </c>
      <c r="J219" s="540">
        <v>0</v>
      </c>
      <c r="K219" s="540">
        <v>0</v>
      </c>
      <c r="L219" s="540">
        <v>0</v>
      </c>
      <c r="M219" s="541">
        <v>0</v>
      </c>
      <c r="N219" s="541">
        <v>0</v>
      </c>
      <c r="O219" s="541">
        <v>0</v>
      </c>
      <c r="P219" s="541">
        <v>0</v>
      </c>
      <c r="Q219" s="541">
        <v>0</v>
      </c>
      <c r="R219" s="541">
        <v>0</v>
      </c>
      <c r="S219" s="541">
        <v>0</v>
      </c>
      <c r="T219" s="541">
        <v>0</v>
      </c>
      <c r="U219" s="541">
        <v>0</v>
      </c>
      <c r="V219" s="541">
        <v>0</v>
      </c>
      <c r="W219" s="541">
        <v>0</v>
      </c>
      <c r="X219" s="541">
        <v>0</v>
      </c>
      <c r="Y219" s="541">
        <v>0</v>
      </c>
      <c r="Z219" s="541">
        <v>0</v>
      </c>
      <c r="AA219" s="541">
        <v>0</v>
      </c>
      <c r="AB219" s="541">
        <v>0</v>
      </c>
      <c r="AC219" s="541">
        <v>0</v>
      </c>
      <c r="AD219" s="541">
        <v>0</v>
      </c>
      <c r="AE219" s="541">
        <v>0</v>
      </c>
      <c r="AF219" s="541">
        <v>0</v>
      </c>
      <c r="AG219" s="541">
        <v>0</v>
      </c>
      <c r="AH219" s="541">
        <v>0</v>
      </c>
      <c r="AI219" s="541">
        <v>0</v>
      </c>
      <c r="AJ219" s="541">
        <v>0</v>
      </c>
      <c r="AK219" s="541">
        <v>0</v>
      </c>
      <c r="AL219" s="541"/>
      <c r="AM219" s="541"/>
      <c r="AN219" s="541"/>
      <c r="AO219" s="541"/>
      <c r="AP219" s="541"/>
      <c r="AQ219" s="541"/>
      <c r="AR219" s="541"/>
      <c r="AS219" s="541"/>
      <c r="AT219" s="541"/>
      <c r="AU219" s="541"/>
      <c r="AV219" s="541"/>
      <c r="AW219" s="541"/>
      <c r="AX219" s="541"/>
      <c r="AY219" s="541"/>
      <c r="AZ219" s="541"/>
      <c r="BA219" s="541"/>
      <c r="BB219" s="541"/>
      <c r="BC219" s="541"/>
      <c r="BD219" s="541"/>
      <c r="BE219" s="541"/>
      <c r="BF219" s="541"/>
      <c r="BG219" s="541"/>
      <c r="BH219" s="541"/>
      <c r="BI219" s="541"/>
      <c r="BJ219" s="541"/>
      <c r="BK219" s="541"/>
      <c r="BL219" s="541"/>
      <c r="BM219" s="541"/>
      <c r="BN219" s="541"/>
      <c r="BO219" s="541"/>
      <c r="BP219" s="541"/>
      <c r="BQ219" s="541"/>
      <c r="BR219" s="541"/>
      <c r="BS219" s="541"/>
      <c r="BT219" s="541"/>
      <c r="BU219" s="541"/>
      <c r="BV219" s="541"/>
      <c r="BW219" s="541"/>
      <c r="BX219" s="541"/>
      <c r="BY219" s="541"/>
      <c r="BZ219" s="541"/>
      <c r="CA219" s="541"/>
      <c r="CB219" s="541"/>
      <c r="CC219" s="541"/>
      <c r="CD219" s="541"/>
      <c r="CE219" s="541"/>
      <c r="CF219" s="541"/>
      <c r="CG219" s="541"/>
      <c r="CH219" s="541"/>
      <c r="CI219" s="542"/>
      <c r="CJ219" s="1479"/>
      <c r="CK219" s="1293"/>
    </row>
    <row r="220" spans="1:89" s="1292" customFormat="1" ht="28.5" x14ac:dyDescent="0.2">
      <c r="A220" s="1284"/>
      <c r="B220" s="824" t="s">
        <v>480</v>
      </c>
      <c r="C220" s="825" t="s">
        <v>694</v>
      </c>
      <c r="D220" s="821" t="s">
        <v>86</v>
      </c>
      <c r="E220" s="822" t="s">
        <v>236</v>
      </c>
      <c r="F220" s="823">
        <v>2</v>
      </c>
      <c r="G220" s="540"/>
      <c r="H220" s="540"/>
      <c r="I220" s="540">
        <v>12.13</v>
      </c>
      <c r="J220" s="540">
        <v>12.13</v>
      </c>
      <c r="K220" s="540">
        <v>12.13</v>
      </c>
      <c r="L220" s="540">
        <v>12.13</v>
      </c>
      <c r="M220" s="541">
        <v>12.13</v>
      </c>
      <c r="N220" s="541">
        <v>12.13</v>
      </c>
      <c r="O220" s="541">
        <v>12.13</v>
      </c>
      <c r="P220" s="541">
        <v>12.13</v>
      </c>
      <c r="Q220" s="541">
        <v>12.13</v>
      </c>
      <c r="R220" s="541">
        <v>12.13</v>
      </c>
      <c r="S220" s="541">
        <v>12.13</v>
      </c>
      <c r="T220" s="541">
        <v>12.13</v>
      </c>
      <c r="U220" s="541">
        <v>12.13</v>
      </c>
      <c r="V220" s="541">
        <v>12.13</v>
      </c>
      <c r="W220" s="541">
        <v>12.13</v>
      </c>
      <c r="X220" s="541">
        <v>12.13</v>
      </c>
      <c r="Y220" s="541">
        <v>12.13</v>
      </c>
      <c r="Z220" s="541">
        <v>12.13</v>
      </c>
      <c r="AA220" s="541">
        <v>12.13</v>
      </c>
      <c r="AB220" s="541">
        <v>12.13</v>
      </c>
      <c r="AC220" s="541">
        <v>12.13</v>
      </c>
      <c r="AD220" s="541">
        <v>12.13</v>
      </c>
      <c r="AE220" s="541">
        <v>12.13</v>
      </c>
      <c r="AF220" s="541">
        <v>12.13</v>
      </c>
      <c r="AG220" s="541">
        <v>12.13</v>
      </c>
      <c r="AH220" s="541">
        <v>12.13</v>
      </c>
      <c r="AI220" s="541">
        <v>12.13</v>
      </c>
      <c r="AJ220" s="541">
        <v>12.13</v>
      </c>
      <c r="AK220" s="541">
        <v>12.13</v>
      </c>
      <c r="AL220" s="541"/>
      <c r="AM220" s="541"/>
      <c r="AN220" s="541"/>
      <c r="AO220" s="541"/>
      <c r="AP220" s="541"/>
      <c r="AQ220" s="541"/>
      <c r="AR220" s="541"/>
      <c r="AS220" s="541"/>
      <c r="AT220" s="541"/>
      <c r="AU220" s="541"/>
      <c r="AV220" s="541"/>
      <c r="AW220" s="541"/>
      <c r="AX220" s="541"/>
      <c r="AY220" s="541"/>
      <c r="AZ220" s="541"/>
      <c r="BA220" s="541"/>
      <c r="BB220" s="541"/>
      <c r="BC220" s="541"/>
      <c r="BD220" s="541"/>
      <c r="BE220" s="541"/>
      <c r="BF220" s="541"/>
      <c r="BG220" s="541"/>
      <c r="BH220" s="541"/>
      <c r="BI220" s="541"/>
      <c r="BJ220" s="541"/>
      <c r="BK220" s="541"/>
      <c r="BL220" s="541"/>
      <c r="BM220" s="541"/>
      <c r="BN220" s="541"/>
      <c r="BO220" s="541"/>
      <c r="BP220" s="541"/>
      <c r="BQ220" s="541"/>
      <c r="BR220" s="541"/>
      <c r="BS220" s="541"/>
      <c r="BT220" s="541"/>
      <c r="BU220" s="541"/>
      <c r="BV220" s="541"/>
      <c r="BW220" s="541"/>
      <c r="BX220" s="541"/>
      <c r="BY220" s="541"/>
      <c r="BZ220" s="541"/>
      <c r="CA220" s="541"/>
      <c r="CB220" s="541"/>
      <c r="CC220" s="541"/>
      <c r="CD220" s="541"/>
      <c r="CE220" s="541"/>
      <c r="CF220" s="541"/>
      <c r="CG220" s="541"/>
      <c r="CH220" s="541"/>
      <c r="CI220" s="542"/>
      <c r="CJ220" s="1479"/>
      <c r="CK220" s="1293"/>
    </row>
    <row r="221" spans="1:89" s="1292" customFormat="1" x14ac:dyDescent="0.2">
      <c r="A221" s="1284"/>
      <c r="B221" s="824" t="s">
        <v>482</v>
      </c>
      <c r="C221" s="825" t="s">
        <v>483</v>
      </c>
      <c r="D221" s="821" t="s">
        <v>86</v>
      </c>
      <c r="E221" s="822" t="s">
        <v>236</v>
      </c>
      <c r="F221" s="823">
        <v>2</v>
      </c>
      <c r="G221" s="540"/>
      <c r="H221" s="1419"/>
      <c r="I221" s="1419">
        <v>7.51</v>
      </c>
      <c r="J221" s="1419">
        <v>7.51</v>
      </c>
      <c r="K221" s="1419">
        <v>7.51</v>
      </c>
      <c r="L221" s="1419">
        <v>7.51</v>
      </c>
      <c r="M221" s="541">
        <v>7.51</v>
      </c>
      <c r="N221" s="541">
        <v>7.51</v>
      </c>
      <c r="O221" s="541">
        <v>7.51</v>
      </c>
      <c r="P221" s="541">
        <v>7.51</v>
      </c>
      <c r="Q221" s="541">
        <v>7.51</v>
      </c>
      <c r="R221" s="541">
        <v>7.51</v>
      </c>
      <c r="S221" s="541">
        <v>7.51</v>
      </c>
      <c r="T221" s="541">
        <v>7.51</v>
      </c>
      <c r="U221" s="541">
        <v>7.51</v>
      </c>
      <c r="V221" s="541">
        <v>7.51</v>
      </c>
      <c r="W221" s="541">
        <v>7.51</v>
      </c>
      <c r="X221" s="541">
        <v>7.51</v>
      </c>
      <c r="Y221" s="541">
        <v>7.51</v>
      </c>
      <c r="Z221" s="541">
        <v>7.51</v>
      </c>
      <c r="AA221" s="541">
        <v>7.51</v>
      </c>
      <c r="AB221" s="541">
        <v>7.51</v>
      </c>
      <c r="AC221" s="541">
        <v>7.51</v>
      </c>
      <c r="AD221" s="541">
        <v>7.51</v>
      </c>
      <c r="AE221" s="541">
        <v>7.51</v>
      </c>
      <c r="AF221" s="541">
        <v>7.51</v>
      </c>
      <c r="AG221" s="541">
        <v>7.51</v>
      </c>
      <c r="AH221" s="541">
        <v>7.51</v>
      </c>
      <c r="AI221" s="541">
        <v>7.51</v>
      </c>
      <c r="AJ221" s="541">
        <v>7.51</v>
      </c>
      <c r="AK221" s="541">
        <v>7.51</v>
      </c>
      <c r="AL221" s="541"/>
      <c r="AM221" s="541"/>
      <c r="AN221" s="541"/>
      <c r="AO221" s="541"/>
      <c r="AP221" s="541"/>
      <c r="AQ221" s="541"/>
      <c r="AR221" s="541"/>
      <c r="AS221" s="541"/>
      <c r="AT221" s="541"/>
      <c r="AU221" s="541"/>
      <c r="AV221" s="541"/>
      <c r="AW221" s="541"/>
      <c r="AX221" s="541"/>
      <c r="AY221" s="541"/>
      <c r="AZ221" s="541"/>
      <c r="BA221" s="541"/>
      <c r="BB221" s="541"/>
      <c r="BC221" s="541"/>
      <c r="BD221" s="541"/>
      <c r="BE221" s="541"/>
      <c r="BF221" s="541"/>
      <c r="BG221" s="541"/>
      <c r="BH221" s="541"/>
      <c r="BI221" s="541"/>
      <c r="BJ221" s="541"/>
      <c r="BK221" s="541"/>
      <c r="BL221" s="541"/>
      <c r="BM221" s="541"/>
      <c r="BN221" s="541"/>
      <c r="BO221" s="541"/>
      <c r="BP221" s="541"/>
      <c r="BQ221" s="541"/>
      <c r="BR221" s="541"/>
      <c r="BS221" s="541"/>
      <c r="BT221" s="541"/>
      <c r="BU221" s="541"/>
      <c r="BV221" s="541"/>
      <c r="BW221" s="541"/>
      <c r="BX221" s="541"/>
      <c r="BY221" s="541"/>
      <c r="BZ221" s="541"/>
      <c r="CA221" s="541"/>
      <c r="CB221" s="541"/>
      <c r="CC221" s="541"/>
      <c r="CD221" s="541"/>
      <c r="CE221" s="541"/>
      <c r="CF221" s="541"/>
      <c r="CG221" s="541"/>
      <c r="CH221" s="541"/>
      <c r="CI221" s="542"/>
      <c r="CJ221" s="1479"/>
      <c r="CK221" s="1293"/>
    </row>
    <row r="222" spans="1:89" s="1292" customFormat="1" x14ac:dyDescent="0.2">
      <c r="A222" s="1284"/>
      <c r="B222" s="826" t="s">
        <v>484</v>
      </c>
      <c r="C222" s="827" t="s">
        <v>387</v>
      </c>
      <c r="D222" s="827" t="s">
        <v>485</v>
      </c>
      <c r="E222" s="828" t="s">
        <v>236</v>
      </c>
      <c r="F222" s="823">
        <v>2</v>
      </c>
      <c r="G222" s="547">
        <f>(G211+G213)-(G220+G221)</f>
        <v>0</v>
      </c>
      <c r="H222" s="547">
        <f t="shared" ref="H222:AK222" si="113">(H211+H213)-(H220+H221)</f>
        <v>0</v>
      </c>
      <c r="I222" s="547">
        <f t="shared" si="113"/>
        <v>77.73</v>
      </c>
      <c r="J222" s="547">
        <f t="shared" si="113"/>
        <v>77.73</v>
      </c>
      <c r="K222" s="547">
        <f t="shared" si="113"/>
        <v>77.73</v>
      </c>
      <c r="L222" s="547">
        <f t="shared" si="113"/>
        <v>77.73</v>
      </c>
      <c r="M222" s="552">
        <f t="shared" si="113"/>
        <v>77.73</v>
      </c>
      <c r="N222" s="552">
        <f t="shared" si="113"/>
        <v>77.73</v>
      </c>
      <c r="O222" s="552">
        <f t="shared" si="113"/>
        <v>77.73</v>
      </c>
      <c r="P222" s="552">
        <f t="shared" si="113"/>
        <v>77.73</v>
      </c>
      <c r="Q222" s="552">
        <f t="shared" si="113"/>
        <v>77.73</v>
      </c>
      <c r="R222" s="552">
        <f t="shared" si="113"/>
        <v>75.23</v>
      </c>
      <c r="S222" s="552">
        <f t="shared" si="113"/>
        <v>75.23</v>
      </c>
      <c r="T222" s="552">
        <f t="shared" si="113"/>
        <v>73.23</v>
      </c>
      <c r="U222" s="552">
        <f t="shared" si="113"/>
        <v>73.23</v>
      </c>
      <c r="V222" s="552">
        <f t="shared" si="113"/>
        <v>73.23</v>
      </c>
      <c r="W222" s="552">
        <f t="shared" si="113"/>
        <v>73.23</v>
      </c>
      <c r="X222" s="552">
        <f t="shared" si="113"/>
        <v>73.23</v>
      </c>
      <c r="Y222" s="552">
        <f t="shared" si="113"/>
        <v>73.23</v>
      </c>
      <c r="Z222" s="552">
        <f t="shared" si="113"/>
        <v>73.23</v>
      </c>
      <c r="AA222" s="552">
        <f t="shared" si="113"/>
        <v>73.23</v>
      </c>
      <c r="AB222" s="552">
        <f t="shared" si="113"/>
        <v>73.23</v>
      </c>
      <c r="AC222" s="552">
        <f t="shared" si="113"/>
        <v>73.23</v>
      </c>
      <c r="AD222" s="552">
        <f t="shared" si="113"/>
        <v>73.23</v>
      </c>
      <c r="AE222" s="552">
        <f t="shared" si="113"/>
        <v>73.23</v>
      </c>
      <c r="AF222" s="552">
        <f t="shared" si="113"/>
        <v>73.23</v>
      </c>
      <c r="AG222" s="552">
        <f t="shared" si="113"/>
        <v>73.23</v>
      </c>
      <c r="AH222" s="552">
        <f t="shared" si="113"/>
        <v>73.23</v>
      </c>
      <c r="AI222" s="552">
        <f t="shared" si="113"/>
        <v>73.23</v>
      </c>
      <c r="AJ222" s="552">
        <f t="shared" si="113"/>
        <v>73.23</v>
      </c>
      <c r="AK222" s="552">
        <f t="shared" si="113"/>
        <v>73.23</v>
      </c>
      <c r="AL222" s="552"/>
      <c r="AM222" s="552"/>
      <c r="AN222" s="552"/>
      <c r="AO222" s="552"/>
      <c r="AP222" s="552"/>
      <c r="AQ222" s="552"/>
      <c r="AR222" s="552"/>
      <c r="AS222" s="552"/>
      <c r="AT222" s="552"/>
      <c r="AU222" s="552"/>
      <c r="AV222" s="552"/>
      <c r="AW222" s="552"/>
      <c r="AX222" s="552"/>
      <c r="AY222" s="552"/>
      <c r="AZ222" s="552"/>
      <c r="BA222" s="552"/>
      <c r="BB222" s="552"/>
      <c r="BC222" s="552"/>
      <c r="BD222" s="552"/>
      <c r="BE222" s="552"/>
      <c r="BF222" s="552"/>
      <c r="BG222" s="552"/>
      <c r="BH222" s="552"/>
      <c r="BI222" s="552"/>
      <c r="BJ222" s="552"/>
      <c r="BK222" s="552"/>
      <c r="BL222" s="552"/>
      <c r="BM222" s="552"/>
      <c r="BN222" s="552"/>
      <c r="BO222" s="552"/>
      <c r="BP222" s="552"/>
      <c r="BQ222" s="552"/>
      <c r="BR222" s="552"/>
      <c r="BS222" s="552"/>
      <c r="BT222" s="552"/>
      <c r="BU222" s="552"/>
      <c r="BV222" s="552"/>
      <c r="BW222" s="552"/>
      <c r="BX222" s="552"/>
      <c r="BY222" s="552"/>
      <c r="BZ222" s="552"/>
      <c r="CA222" s="552"/>
      <c r="CB222" s="552"/>
      <c r="CC222" s="552"/>
      <c r="CD222" s="552"/>
      <c r="CE222" s="552"/>
      <c r="CF222" s="552"/>
      <c r="CG222" s="552"/>
      <c r="CH222" s="552"/>
      <c r="CI222" s="548"/>
      <c r="CJ222" s="1479"/>
      <c r="CK222" s="1293"/>
    </row>
    <row r="223" spans="1:89" s="1292" customFormat="1" ht="33.75" customHeight="1" thickBot="1" x14ac:dyDescent="0.25">
      <c r="A223" s="1284"/>
      <c r="B223" s="829" t="s">
        <v>486</v>
      </c>
      <c r="C223" s="830" t="s">
        <v>390</v>
      </c>
      <c r="D223" s="830" t="s">
        <v>487</v>
      </c>
      <c r="E223" s="831" t="s">
        <v>236</v>
      </c>
      <c r="F223" s="832">
        <v>2</v>
      </c>
      <c r="G223" s="559">
        <f>G222+SUM(G207:G210)</f>
        <v>0</v>
      </c>
      <c r="H223" s="559">
        <f t="shared" ref="H223:AK223" si="114">H222+SUM(H207:H210)</f>
        <v>0</v>
      </c>
      <c r="I223" s="559">
        <f t="shared" si="114"/>
        <v>75.33</v>
      </c>
      <c r="J223" s="559">
        <f t="shared" si="114"/>
        <v>75.33</v>
      </c>
      <c r="K223" s="559">
        <f t="shared" si="114"/>
        <v>75.33</v>
      </c>
      <c r="L223" s="559">
        <f t="shared" si="114"/>
        <v>75.33</v>
      </c>
      <c r="M223" s="559">
        <f t="shared" si="114"/>
        <v>75.33</v>
      </c>
      <c r="N223" s="559">
        <f t="shared" si="114"/>
        <v>75.33</v>
      </c>
      <c r="O223" s="559">
        <f t="shared" si="114"/>
        <v>75.33</v>
      </c>
      <c r="P223" s="559">
        <f t="shared" si="114"/>
        <v>75.33</v>
      </c>
      <c r="Q223" s="559">
        <f t="shared" si="114"/>
        <v>75.33</v>
      </c>
      <c r="R223" s="559">
        <f t="shared" si="114"/>
        <v>72.83</v>
      </c>
      <c r="S223" s="559">
        <f t="shared" si="114"/>
        <v>72.83</v>
      </c>
      <c r="T223" s="559">
        <f t="shared" si="114"/>
        <v>70.83</v>
      </c>
      <c r="U223" s="559">
        <f t="shared" si="114"/>
        <v>70.83</v>
      </c>
      <c r="V223" s="559">
        <f t="shared" si="114"/>
        <v>70.83</v>
      </c>
      <c r="W223" s="559">
        <f t="shared" si="114"/>
        <v>70.83</v>
      </c>
      <c r="X223" s="559">
        <f t="shared" si="114"/>
        <v>70.83</v>
      </c>
      <c r="Y223" s="559">
        <f t="shared" si="114"/>
        <v>70.83</v>
      </c>
      <c r="Z223" s="559">
        <f t="shared" si="114"/>
        <v>70.83</v>
      </c>
      <c r="AA223" s="559">
        <f t="shared" si="114"/>
        <v>70.83</v>
      </c>
      <c r="AB223" s="559">
        <f t="shared" si="114"/>
        <v>70.83</v>
      </c>
      <c r="AC223" s="559">
        <f t="shared" si="114"/>
        <v>70.83</v>
      </c>
      <c r="AD223" s="559">
        <f t="shared" si="114"/>
        <v>70.83</v>
      </c>
      <c r="AE223" s="559">
        <f t="shared" si="114"/>
        <v>70.83</v>
      </c>
      <c r="AF223" s="559">
        <f t="shared" si="114"/>
        <v>70.83</v>
      </c>
      <c r="AG223" s="559">
        <f t="shared" si="114"/>
        <v>70.83</v>
      </c>
      <c r="AH223" s="559">
        <f t="shared" si="114"/>
        <v>70.83</v>
      </c>
      <c r="AI223" s="559">
        <f t="shared" si="114"/>
        <v>70.83</v>
      </c>
      <c r="AJ223" s="559">
        <f t="shared" si="114"/>
        <v>70.83</v>
      </c>
      <c r="AK223" s="559">
        <f t="shared" si="114"/>
        <v>70.83</v>
      </c>
      <c r="AL223" s="559"/>
      <c r="AM223" s="559"/>
      <c r="AN223" s="559"/>
      <c r="AO223" s="559"/>
      <c r="AP223" s="559"/>
      <c r="AQ223" s="559"/>
      <c r="AR223" s="559"/>
      <c r="AS223" s="559"/>
      <c r="AT223" s="559"/>
      <c r="AU223" s="559"/>
      <c r="AV223" s="559"/>
      <c r="AW223" s="559"/>
      <c r="AX223" s="559"/>
      <c r="AY223" s="559"/>
      <c r="AZ223" s="559"/>
      <c r="BA223" s="559"/>
      <c r="BB223" s="559"/>
      <c r="BC223" s="559"/>
      <c r="BD223" s="559"/>
      <c r="BE223" s="559"/>
      <c r="BF223" s="559"/>
      <c r="BG223" s="559"/>
      <c r="BH223" s="559"/>
      <c r="BI223" s="559"/>
      <c r="BJ223" s="559"/>
      <c r="BK223" s="559"/>
      <c r="BL223" s="559"/>
      <c r="BM223" s="559"/>
      <c r="BN223" s="559"/>
      <c r="BO223" s="559"/>
      <c r="BP223" s="559"/>
      <c r="BQ223" s="559"/>
      <c r="BR223" s="559"/>
      <c r="BS223" s="559"/>
      <c r="BT223" s="559"/>
      <c r="BU223" s="559"/>
      <c r="BV223" s="559"/>
      <c r="BW223" s="559"/>
      <c r="BX223" s="559"/>
      <c r="BY223" s="559"/>
      <c r="BZ223" s="559"/>
      <c r="CA223" s="559"/>
      <c r="CB223" s="559"/>
      <c r="CC223" s="559"/>
      <c r="CD223" s="559"/>
      <c r="CE223" s="559"/>
      <c r="CF223" s="559"/>
      <c r="CG223" s="559"/>
      <c r="CH223" s="559"/>
      <c r="CI223" s="559"/>
      <c r="CJ223" s="1479"/>
      <c r="CK223" s="1293"/>
    </row>
    <row r="224" spans="1:89" s="1292" customFormat="1" x14ac:dyDescent="0.2">
      <c r="A224" s="1284"/>
      <c r="B224" s="833" t="s">
        <v>488</v>
      </c>
      <c r="C224" s="834" t="s">
        <v>489</v>
      </c>
      <c r="D224" s="839" t="s">
        <v>783</v>
      </c>
      <c r="E224" s="835" t="s">
        <v>236</v>
      </c>
      <c r="F224" s="836">
        <v>2</v>
      </c>
      <c r="G224" s="532"/>
      <c r="H224" s="532"/>
      <c r="I224" s="532">
        <v>11.594410041915742</v>
      </c>
      <c r="J224" s="532">
        <v>14.65029273603303</v>
      </c>
      <c r="K224" s="532">
        <v>16.017974693817948</v>
      </c>
      <c r="L224" s="532">
        <v>16.766440566825349</v>
      </c>
      <c r="M224" s="533">
        <v>17.439747192853044</v>
      </c>
      <c r="N224" s="533">
        <v>17.652587740974909</v>
      </c>
      <c r="O224" s="533">
        <v>19.786614719821252</v>
      </c>
      <c r="P224" s="533">
        <v>19.83671819318312</v>
      </c>
      <c r="Q224" s="533">
        <v>19.882371635927182</v>
      </c>
      <c r="R224" s="533">
        <v>19.938932968890882</v>
      </c>
      <c r="S224" s="533">
        <v>19.990720818312745</v>
      </c>
      <c r="T224" s="533">
        <v>20.04223122831317</v>
      </c>
      <c r="U224" s="533">
        <v>20.093348026675297</v>
      </c>
      <c r="V224" s="533">
        <v>20.143940314272307</v>
      </c>
      <c r="W224" s="533">
        <v>20.191641626530334</v>
      </c>
      <c r="X224" s="533">
        <v>20.237666705424548</v>
      </c>
      <c r="Y224" s="533">
        <v>20.282975336510848</v>
      </c>
      <c r="Z224" s="533">
        <v>20.327596302931852</v>
      </c>
      <c r="AA224" s="533">
        <v>20.371866468001844</v>
      </c>
      <c r="AB224" s="533">
        <v>20.415996701902049</v>
      </c>
      <c r="AC224" s="533">
        <v>20.458992776646721</v>
      </c>
      <c r="AD224" s="533">
        <v>20.501180917524955</v>
      </c>
      <c r="AE224" s="533">
        <v>20.542517799042301</v>
      </c>
      <c r="AF224" s="533">
        <v>20.582975968781636</v>
      </c>
      <c r="AG224" s="533">
        <v>20.622536566526552</v>
      </c>
      <c r="AH224" s="533">
        <v>20.661356629193058</v>
      </c>
      <c r="AI224" s="533">
        <v>20.699530870128275</v>
      </c>
      <c r="AJ224" s="533">
        <v>20.737072500255007</v>
      </c>
      <c r="AK224" s="533">
        <v>20.77397336064368</v>
      </c>
      <c r="AL224" s="533"/>
      <c r="AM224" s="533"/>
      <c r="AN224" s="533"/>
      <c r="AO224" s="533"/>
      <c r="AP224" s="533"/>
      <c r="AQ224" s="533"/>
      <c r="AR224" s="533"/>
      <c r="AS224" s="533"/>
      <c r="AT224" s="533"/>
      <c r="AU224" s="533"/>
      <c r="AV224" s="533"/>
      <c r="AW224" s="533"/>
      <c r="AX224" s="533"/>
      <c r="AY224" s="533"/>
      <c r="AZ224" s="533"/>
      <c r="BA224" s="533"/>
      <c r="BB224" s="533"/>
      <c r="BC224" s="533"/>
      <c r="BD224" s="533"/>
      <c r="BE224" s="533"/>
      <c r="BF224" s="533"/>
      <c r="BG224" s="533"/>
      <c r="BH224" s="533"/>
      <c r="BI224" s="533"/>
      <c r="BJ224" s="533"/>
      <c r="BK224" s="533"/>
      <c r="BL224" s="533"/>
      <c r="BM224" s="533"/>
      <c r="BN224" s="533"/>
      <c r="BO224" s="533"/>
      <c r="BP224" s="533"/>
      <c r="BQ224" s="533"/>
      <c r="BR224" s="533"/>
      <c r="BS224" s="533"/>
      <c r="BT224" s="533"/>
      <c r="BU224" s="533"/>
      <c r="BV224" s="533"/>
      <c r="BW224" s="533"/>
      <c r="BX224" s="533"/>
      <c r="BY224" s="533"/>
      <c r="BZ224" s="533"/>
      <c r="CA224" s="533"/>
      <c r="CB224" s="533"/>
      <c r="CC224" s="533"/>
      <c r="CD224" s="533"/>
      <c r="CE224" s="533"/>
      <c r="CF224" s="533"/>
      <c r="CG224" s="533"/>
      <c r="CH224" s="533"/>
      <c r="CI224" s="534"/>
      <c r="CJ224" s="1479"/>
      <c r="CK224" s="1293"/>
    </row>
    <row r="225" spans="1:89" s="1292" customFormat="1" x14ac:dyDescent="0.2">
      <c r="A225" s="1284"/>
      <c r="B225" s="837" t="s">
        <v>490</v>
      </c>
      <c r="C225" s="838" t="s">
        <v>705</v>
      </c>
      <c r="D225" s="839" t="s">
        <v>86</v>
      </c>
      <c r="E225" s="840" t="s">
        <v>236</v>
      </c>
      <c r="F225" s="841">
        <v>2</v>
      </c>
      <c r="G225" s="1008"/>
      <c r="H225" s="1008"/>
      <c r="I225" s="1008"/>
      <c r="J225" s="1008"/>
      <c r="K225" s="1008"/>
      <c r="L225" s="1008"/>
      <c r="M225" s="1009"/>
      <c r="N225" s="1009"/>
      <c r="O225" s="1009"/>
      <c r="P225" s="1009"/>
      <c r="Q225" s="1009"/>
      <c r="R225" s="1009"/>
      <c r="S225" s="1009"/>
      <c r="T225" s="1009"/>
      <c r="U225" s="1009"/>
      <c r="V225" s="1009"/>
      <c r="W225" s="1009"/>
      <c r="X225" s="1009"/>
      <c r="Y225" s="1009"/>
      <c r="Z225" s="1009"/>
      <c r="AA225" s="1009"/>
      <c r="AB225" s="1009"/>
      <c r="AC225" s="1009"/>
      <c r="AD225" s="1009"/>
      <c r="AE225" s="1009"/>
      <c r="AF225" s="1009"/>
      <c r="AG225" s="1009"/>
      <c r="AH225" s="1009"/>
      <c r="AI225" s="1009"/>
      <c r="AJ225" s="1009"/>
      <c r="AK225" s="1009"/>
      <c r="AL225" s="1009"/>
      <c r="AM225" s="1009"/>
      <c r="AN225" s="1009"/>
      <c r="AO225" s="1009"/>
      <c r="AP225" s="1009"/>
      <c r="AQ225" s="1009"/>
      <c r="AR225" s="1009"/>
      <c r="AS225" s="1009"/>
      <c r="AT225" s="1009"/>
      <c r="AU225" s="1009"/>
      <c r="AV225" s="1009"/>
      <c r="AW225" s="1009"/>
      <c r="AX225" s="1009"/>
      <c r="AY225" s="1009"/>
      <c r="AZ225" s="1009"/>
      <c r="BA225" s="1009"/>
      <c r="BB225" s="1009"/>
      <c r="BC225" s="1009"/>
      <c r="BD225" s="1009"/>
      <c r="BE225" s="1009"/>
      <c r="BF225" s="1009"/>
      <c r="BG225" s="1009"/>
      <c r="BH225" s="1009"/>
      <c r="BI225" s="1009"/>
      <c r="BJ225" s="1009"/>
      <c r="BK225" s="1009"/>
      <c r="BL225" s="1009"/>
      <c r="BM225" s="1009"/>
      <c r="BN225" s="1009"/>
      <c r="BO225" s="1009"/>
      <c r="BP225" s="1009"/>
      <c r="BQ225" s="1009"/>
      <c r="BR225" s="1009"/>
      <c r="BS225" s="1009"/>
      <c r="BT225" s="1009"/>
      <c r="BU225" s="1009"/>
      <c r="BV225" s="1009"/>
      <c r="BW225" s="1009"/>
      <c r="BX225" s="1009"/>
      <c r="BY225" s="1009"/>
      <c r="BZ225" s="1009"/>
      <c r="CA225" s="1009"/>
      <c r="CB225" s="1009"/>
      <c r="CC225" s="1009"/>
      <c r="CD225" s="1009"/>
      <c r="CE225" s="1009"/>
      <c r="CF225" s="1009"/>
      <c r="CG225" s="1009"/>
      <c r="CH225" s="1009"/>
      <c r="CI225" s="1010"/>
      <c r="CJ225" s="1479"/>
      <c r="CK225" s="1293"/>
    </row>
    <row r="226" spans="1:89" s="1292" customFormat="1" x14ac:dyDescent="0.2">
      <c r="A226" s="1284"/>
      <c r="B226" s="837" t="s">
        <v>492</v>
      </c>
      <c r="C226" s="838" t="s">
        <v>493</v>
      </c>
      <c r="D226" s="839" t="s">
        <v>783</v>
      </c>
      <c r="E226" s="840" t="s">
        <v>236</v>
      </c>
      <c r="F226" s="841">
        <v>2</v>
      </c>
      <c r="G226" s="540"/>
      <c r="H226" s="540"/>
      <c r="I226" s="540">
        <v>5.8633642871295341E-2</v>
      </c>
      <c r="J226" s="540">
        <v>6.049951934306496E-2</v>
      </c>
      <c r="K226" s="540">
        <v>5.9692865991587525E-2</v>
      </c>
      <c r="L226" s="540">
        <v>3.5939893013429834E-2</v>
      </c>
      <c r="M226" s="544">
        <v>1.6844298435008023E-2</v>
      </c>
      <c r="N226" s="544">
        <v>1.6437804286749246E-2</v>
      </c>
      <c r="O226" s="544">
        <v>1.6031310138490466E-2</v>
      </c>
      <c r="P226" s="544">
        <v>1.5624815990231685E-2</v>
      </c>
      <c r="Q226" s="544">
        <v>1.5218321841972905E-2</v>
      </c>
      <c r="R226" s="544">
        <v>1.4811827693714124E-2</v>
      </c>
      <c r="S226" s="544">
        <v>1.4405333545455343E-2</v>
      </c>
      <c r="T226" s="544">
        <v>1.3998839397196566E-2</v>
      </c>
      <c r="U226" s="544">
        <v>1.3592345248937782E-2</v>
      </c>
      <c r="V226" s="544">
        <v>1.3592345248937782E-2</v>
      </c>
      <c r="W226" s="544">
        <v>1.3592345248937782E-2</v>
      </c>
      <c r="X226" s="544">
        <v>1.3592345248937782E-2</v>
      </c>
      <c r="Y226" s="544">
        <v>1.3592345248937782E-2</v>
      </c>
      <c r="Z226" s="544">
        <v>1.3592345248937782E-2</v>
      </c>
      <c r="AA226" s="544">
        <v>1.3592345248937782E-2</v>
      </c>
      <c r="AB226" s="544">
        <v>1.3592345248937782E-2</v>
      </c>
      <c r="AC226" s="544">
        <v>1.3592345248937782E-2</v>
      </c>
      <c r="AD226" s="544">
        <v>1.3592345248937782E-2</v>
      </c>
      <c r="AE226" s="544">
        <v>1.3592345248937782E-2</v>
      </c>
      <c r="AF226" s="544">
        <v>1.3592345248937782E-2</v>
      </c>
      <c r="AG226" s="544">
        <v>1.3592345248937782E-2</v>
      </c>
      <c r="AH226" s="544">
        <v>1.3592345248937782E-2</v>
      </c>
      <c r="AI226" s="544">
        <v>1.3592345248937782E-2</v>
      </c>
      <c r="AJ226" s="544">
        <v>1.3592345248937782E-2</v>
      </c>
      <c r="AK226" s="544">
        <v>1.3592345248937782E-2</v>
      </c>
      <c r="AL226" s="544"/>
      <c r="AM226" s="544"/>
      <c r="AN226" s="544"/>
      <c r="AO226" s="544"/>
      <c r="AP226" s="544"/>
      <c r="AQ226" s="544"/>
      <c r="AR226" s="544"/>
      <c r="AS226" s="544"/>
      <c r="AT226" s="544"/>
      <c r="AU226" s="544"/>
      <c r="AV226" s="544"/>
      <c r="AW226" s="544"/>
      <c r="AX226" s="544"/>
      <c r="AY226" s="544"/>
      <c r="AZ226" s="544"/>
      <c r="BA226" s="544"/>
      <c r="BB226" s="544"/>
      <c r="BC226" s="544"/>
      <c r="BD226" s="544"/>
      <c r="BE226" s="544"/>
      <c r="BF226" s="544"/>
      <c r="BG226" s="544"/>
      <c r="BH226" s="544"/>
      <c r="BI226" s="544"/>
      <c r="BJ226" s="544"/>
      <c r="BK226" s="544"/>
      <c r="BL226" s="544"/>
      <c r="BM226" s="544"/>
      <c r="BN226" s="544"/>
      <c r="BO226" s="544"/>
      <c r="BP226" s="544"/>
      <c r="BQ226" s="544"/>
      <c r="BR226" s="544"/>
      <c r="BS226" s="544"/>
      <c r="BT226" s="544"/>
      <c r="BU226" s="544"/>
      <c r="BV226" s="544"/>
      <c r="BW226" s="544"/>
      <c r="BX226" s="544"/>
      <c r="BY226" s="544"/>
      <c r="BZ226" s="544"/>
      <c r="CA226" s="544"/>
      <c r="CB226" s="544"/>
      <c r="CC226" s="544"/>
      <c r="CD226" s="544"/>
      <c r="CE226" s="544"/>
      <c r="CF226" s="544"/>
      <c r="CG226" s="544"/>
      <c r="CH226" s="544"/>
      <c r="CI226" s="545"/>
      <c r="CJ226" s="1479"/>
      <c r="CK226" s="1293"/>
    </row>
    <row r="227" spans="1:89" s="1292" customFormat="1" x14ac:dyDescent="0.2">
      <c r="A227" s="1284"/>
      <c r="B227" s="837" t="s">
        <v>494</v>
      </c>
      <c r="C227" s="838" t="s">
        <v>495</v>
      </c>
      <c r="D227" s="839" t="s">
        <v>783</v>
      </c>
      <c r="E227" s="840" t="s">
        <v>236</v>
      </c>
      <c r="F227" s="841">
        <v>2</v>
      </c>
      <c r="G227" s="540"/>
      <c r="H227" s="540"/>
      <c r="I227" s="540">
        <v>17.915748365959843</v>
      </c>
      <c r="J227" s="540">
        <v>17.73234434579669</v>
      </c>
      <c r="K227" s="540">
        <v>17.714874732222597</v>
      </c>
      <c r="L227" s="540">
        <v>17.979707776624547</v>
      </c>
      <c r="M227" s="544">
        <v>18.74387588190589</v>
      </c>
      <c r="N227" s="544">
        <v>19.480380610011014</v>
      </c>
      <c r="O227" s="544">
        <v>19.802696203917129</v>
      </c>
      <c r="P227" s="544">
        <v>20.108020395348817</v>
      </c>
      <c r="Q227" s="544">
        <v>20.383336257113147</v>
      </c>
      <c r="R227" s="544">
        <v>20.594921068121444</v>
      </c>
      <c r="S227" s="544">
        <v>20.749686564747424</v>
      </c>
      <c r="T227" s="544">
        <v>20.904640789231568</v>
      </c>
      <c r="U227" s="544">
        <v>21.058559536674682</v>
      </c>
      <c r="V227" s="544">
        <v>21.225542110025192</v>
      </c>
      <c r="W227" s="544">
        <v>21.382355139029023</v>
      </c>
      <c r="X227" s="544">
        <v>21.543275159061849</v>
      </c>
      <c r="Y227" s="544">
        <v>21.703687920071683</v>
      </c>
      <c r="Z227" s="544">
        <v>21.874049314875521</v>
      </c>
      <c r="AA227" s="544">
        <v>22.05222477528358</v>
      </c>
      <c r="AB227" s="544">
        <v>22.198658688074271</v>
      </c>
      <c r="AC227" s="544">
        <v>22.372837195693648</v>
      </c>
      <c r="AD227" s="544">
        <v>22.551520819965482</v>
      </c>
      <c r="AE227" s="544">
        <v>22.728343338583887</v>
      </c>
      <c r="AF227" s="544">
        <v>22.903467914318011</v>
      </c>
      <c r="AG227" s="544">
        <v>23.072058784984318</v>
      </c>
      <c r="AH227" s="544">
        <v>23.242183321015432</v>
      </c>
      <c r="AI227" s="544">
        <v>23.409632956858065</v>
      </c>
      <c r="AJ227" s="544">
        <v>23.577419429225049</v>
      </c>
      <c r="AK227" s="544">
        <v>23.740441306650919</v>
      </c>
      <c r="AL227" s="544"/>
      <c r="AM227" s="544"/>
      <c r="AN227" s="544"/>
      <c r="AO227" s="544"/>
      <c r="AP227" s="544"/>
      <c r="AQ227" s="544"/>
      <c r="AR227" s="544"/>
      <c r="AS227" s="544"/>
      <c r="AT227" s="544"/>
      <c r="AU227" s="544"/>
      <c r="AV227" s="544"/>
      <c r="AW227" s="544"/>
      <c r="AX227" s="544"/>
      <c r="AY227" s="544"/>
      <c r="AZ227" s="544"/>
      <c r="BA227" s="544"/>
      <c r="BB227" s="544"/>
      <c r="BC227" s="544"/>
      <c r="BD227" s="544"/>
      <c r="BE227" s="544"/>
      <c r="BF227" s="544"/>
      <c r="BG227" s="544"/>
      <c r="BH227" s="544"/>
      <c r="BI227" s="544"/>
      <c r="BJ227" s="544"/>
      <c r="BK227" s="544"/>
      <c r="BL227" s="544"/>
      <c r="BM227" s="544"/>
      <c r="BN227" s="544"/>
      <c r="BO227" s="544"/>
      <c r="BP227" s="544"/>
      <c r="BQ227" s="544"/>
      <c r="BR227" s="544"/>
      <c r="BS227" s="544"/>
      <c r="BT227" s="544"/>
      <c r="BU227" s="544"/>
      <c r="BV227" s="544"/>
      <c r="BW227" s="544"/>
      <c r="BX227" s="544"/>
      <c r="BY227" s="544"/>
      <c r="BZ227" s="544"/>
      <c r="CA227" s="544"/>
      <c r="CB227" s="544"/>
      <c r="CC227" s="544"/>
      <c r="CD227" s="544"/>
      <c r="CE227" s="544"/>
      <c r="CF227" s="544"/>
      <c r="CG227" s="544"/>
      <c r="CH227" s="544"/>
      <c r="CI227" s="545"/>
      <c r="CJ227" s="1479"/>
      <c r="CK227" s="1293"/>
    </row>
    <row r="228" spans="1:89" s="1294" customFormat="1" x14ac:dyDescent="0.2">
      <c r="A228" s="1284"/>
      <c r="B228" s="837" t="s">
        <v>496</v>
      </c>
      <c r="C228" s="838" t="s">
        <v>497</v>
      </c>
      <c r="D228" s="839" t="s">
        <v>783</v>
      </c>
      <c r="E228" s="840" t="s">
        <v>236</v>
      </c>
      <c r="F228" s="841">
        <v>2</v>
      </c>
      <c r="G228" s="540"/>
      <c r="H228" s="540"/>
      <c r="I228" s="540">
        <v>18.839832521818003</v>
      </c>
      <c r="J228" s="540">
        <v>17.884595393901094</v>
      </c>
      <c r="K228" s="540">
        <v>17.717296244493941</v>
      </c>
      <c r="L228" s="540">
        <v>16.93299745616363</v>
      </c>
      <c r="M228" s="544">
        <v>15.616185116869721</v>
      </c>
      <c r="N228" s="544">
        <v>14.590789454294816</v>
      </c>
      <c r="O228" s="544">
        <v>14.19901177873342</v>
      </c>
      <c r="P228" s="544">
        <v>13.809802707482405</v>
      </c>
      <c r="Q228" s="544">
        <v>13.421986963786704</v>
      </c>
      <c r="R228" s="544">
        <v>13.158578905115428</v>
      </c>
      <c r="S228" s="544">
        <v>13.023033103436218</v>
      </c>
      <c r="T228" s="544">
        <v>12.890005574746155</v>
      </c>
      <c r="U228" s="544">
        <v>12.758229813894268</v>
      </c>
      <c r="V228" s="544">
        <v>12.628637247104715</v>
      </c>
      <c r="W228" s="544">
        <v>12.510123531081236</v>
      </c>
      <c r="X228" s="544">
        <v>12.393700784535568</v>
      </c>
      <c r="Y228" s="544">
        <v>12.278115355315085</v>
      </c>
      <c r="Z228" s="544">
        <v>12.166780698431221</v>
      </c>
      <c r="AA228" s="544">
        <v>12.056286165062764</v>
      </c>
      <c r="AB228" s="544">
        <v>11.946335971207782</v>
      </c>
      <c r="AC228" s="544">
        <v>11.838605984742706</v>
      </c>
      <c r="AD228" s="544">
        <v>11.737998637902678</v>
      </c>
      <c r="AE228" s="544">
        <v>11.643656333512448</v>
      </c>
      <c r="AF228" s="544">
        <v>11.5513184573489</v>
      </c>
      <c r="AG228" s="544">
        <v>11.459795039479271</v>
      </c>
      <c r="AH228" s="544">
        <v>11.37240419823741</v>
      </c>
      <c r="AI228" s="544">
        <v>11.285689102085326</v>
      </c>
      <c r="AJ228" s="544">
        <v>11.200739010033105</v>
      </c>
      <c r="AK228" s="544">
        <v>11.114186988883525</v>
      </c>
      <c r="AL228" s="544"/>
      <c r="AM228" s="544"/>
      <c r="AN228" s="544"/>
      <c r="AO228" s="544"/>
      <c r="AP228" s="544"/>
      <c r="AQ228" s="544"/>
      <c r="AR228" s="544"/>
      <c r="AS228" s="544"/>
      <c r="AT228" s="544"/>
      <c r="AU228" s="544"/>
      <c r="AV228" s="544"/>
      <c r="AW228" s="544"/>
      <c r="AX228" s="544"/>
      <c r="AY228" s="544"/>
      <c r="AZ228" s="544"/>
      <c r="BA228" s="544"/>
      <c r="BB228" s="544"/>
      <c r="BC228" s="544"/>
      <c r="BD228" s="544"/>
      <c r="BE228" s="544"/>
      <c r="BF228" s="544"/>
      <c r="BG228" s="544"/>
      <c r="BH228" s="544"/>
      <c r="BI228" s="544"/>
      <c r="BJ228" s="544"/>
      <c r="BK228" s="544"/>
      <c r="BL228" s="544"/>
      <c r="BM228" s="544"/>
      <c r="BN228" s="544"/>
      <c r="BO228" s="544"/>
      <c r="BP228" s="544"/>
      <c r="BQ228" s="544"/>
      <c r="BR228" s="544"/>
      <c r="BS228" s="544"/>
      <c r="BT228" s="544"/>
      <c r="BU228" s="544"/>
      <c r="BV228" s="544"/>
      <c r="BW228" s="544"/>
      <c r="BX228" s="544"/>
      <c r="BY228" s="544"/>
      <c r="BZ228" s="544"/>
      <c r="CA228" s="544"/>
      <c r="CB228" s="544"/>
      <c r="CC228" s="544"/>
      <c r="CD228" s="544"/>
      <c r="CE228" s="544"/>
      <c r="CF228" s="544"/>
      <c r="CG228" s="544"/>
      <c r="CH228" s="544"/>
      <c r="CI228" s="545"/>
      <c r="CJ228" s="1479"/>
      <c r="CK228" s="1295"/>
    </row>
    <row r="229" spans="1:89" s="1292" customFormat="1" ht="28.5" x14ac:dyDescent="0.2">
      <c r="A229" s="1284"/>
      <c r="B229" s="837" t="s">
        <v>498</v>
      </c>
      <c r="C229" s="838" t="s">
        <v>499</v>
      </c>
      <c r="D229" s="839" t="s">
        <v>86</v>
      </c>
      <c r="E229" s="840" t="s">
        <v>375</v>
      </c>
      <c r="F229" s="841">
        <v>1</v>
      </c>
      <c r="G229" s="568"/>
      <c r="H229" s="1326"/>
      <c r="I229" s="1326">
        <v>0</v>
      </c>
      <c r="J229" s="1326">
        <v>1.1887090544867814E-2</v>
      </c>
      <c r="K229" s="1326">
        <v>5.3025504729228914E-3</v>
      </c>
      <c r="L229" s="1326">
        <v>5.5781112000584734E-3</v>
      </c>
      <c r="M229" s="1327">
        <v>5.5148556763712168E-3</v>
      </c>
      <c r="N229" s="1327">
        <v>6.546265347213749E-3</v>
      </c>
      <c r="O229" s="1327">
        <v>6.7595497251526577E-3</v>
      </c>
      <c r="P229" s="1327">
        <v>7.1604069616121695E-3</v>
      </c>
      <c r="Q229" s="1327">
        <v>7.5574627052695867E-3</v>
      </c>
      <c r="R229" s="1327">
        <v>7.9574627683015684E-3</v>
      </c>
      <c r="S229" s="1327">
        <v>8.421852439455705E-3</v>
      </c>
      <c r="T229" s="1327">
        <v>8.8226415414812062E-3</v>
      </c>
      <c r="U229" s="1327">
        <v>9.2213724205196038E-3</v>
      </c>
      <c r="V229" s="1327">
        <v>9.6847958512482971E-3</v>
      </c>
      <c r="W229" s="1327">
        <v>1.0082252987179251E-2</v>
      </c>
      <c r="X229" s="1327">
        <v>1.0479014887152197E-2</v>
      </c>
      <c r="Y229" s="1327">
        <v>1.0939993284072351E-2</v>
      </c>
      <c r="Z229" s="1327">
        <v>1.1336052545345907E-2</v>
      </c>
      <c r="AA229" s="1327">
        <v>1.173207413096968E-2</v>
      </c>
      <c r="AB229" s="1327">
        <v>1.2188558737160675E-2</v>
      </c>
      <c r="AC229" s="1327">
        <v>1.2572952381072186E-2</v>
      </c>
      <c r="AD229" s="1327">
        <v>1.2987853315168222E-2</v>
      </c>
      <c r="AE229" s="1327">
        <v>1.3402754853684687E-2</v>
      </c>
      <c r="AF229" s="1327">
        <v>1.3817067223209138E-2</v>
      </c>
      <c r="AG229" s="1327">
        <v>1.4229736143528038E-2</v>
      </c>
      <c r="AH229" s="1327">
        <v>1.4642804708461903E-2</v>
      </c>
      <c r="AI229" s="1327">
        <v>1.5054936815870775E-2</v>
      </c>
      <c r="AJ229" s="1327">
        <v>1.5466980902552236E-2</v>
      </c>
      <c r="AK229" s="1327">
        <v>1.5877264426079504E-2</v>
      </c>
      <c r="AL229" s="1327"/>
      <c r="AM229" s="1327"/>
      <c r="AN229" s="1327"/>
      <c r="AO229" s="1327"/>
      <c r="AP229" s="1327"/>
      <c r="AQ229" s="1327"/>
      <c r="AR229" s="1327"/>
      <c r="AS229" s="1327"/>
      <c r="AT229" s="1327"/>
      <c r="AU229" s="1327"/>
      <c r="AV229" s="1327"/>
      <c r="AW229" s="1327"/>
      <c r="AX229" s="1327"/>
      <c r="AY229" s="1327"/>
      <c r="AZ229" s="1327"/>
      <c r="BA229" s="1327"/>
      <c r="BB229" s="1327"/>
      <c r="BC229" s="1327"/>
      <c r="BD229" s="1327"/>
      <c r="BE229" s="1327"/>
      <c r="BF229" s="1327"/>
      <c r="BG229" s="1327"/>
      <c r="BH229" s="1327"/>
      <c r="BI229" s="1327"/>
      <c r="BJ229" s="1327"/>
      <c r="BK229" s="1327"/>
      <c r="BL229" s="1327"/>
      <c r="BM229" s="1327"/>
      <c r="BN229" s="1327"/>
      <c r="BO229" s="1327"/>
      <c r="BP229" s="1327"/>
      <c r="BQ229" s="1327"/>
      <c r="BR229" s="1327"/>
      <c r="BS229" s="1327"/>
      <c r="BT229" s="1327"/>
      <c r="BU229" s="1327"/>
      <c r="BV229" s="1327"/>
      <c r="BW229" s="1327"/>
      <c r="BX229" s="1327"/>
      <c r="BY229" s="1327"/>
      <c r="BZ229" s="1327"/>
      <c r="CA229" s="1327"/>
      <c r="CB229" s="1327"/>
      <c r="CC229" s="1327"/>
      <c r="CD229" s="1327"/>
      <c r="CE229" s="1327"/>
      <c r="CF229" s="1327"/>
      <c r="CG229" s="1327"/>
      <c r="CH229" s="1327"/>
      <c r="CI229" s="1328"/>
      <c r="CJ229" s="1479"/>
      <c r="CK229" s="1293"/>
    </row>
    <row r="230" spans="1:89" s="1292" customFormat="1" ht="28.5" x14ac:dyDescent="0.2">
      <c r="A230" s="1284"/>
      <c r="B230" s="837" t="s">
        <v>500</v>
      </c>
      <c r="C230" s="838" t="s">
        <v>501</v>
      </c>
      <c r="D230" s="839" t="s">
        <v>502</v>
      </c>
      <c r="E230" s="840" t="s">
        <v>236</v>
      </c>
      <c r="F230" s="841">
        <v>2</v>
      </c>
      <c r="G230" s="569">
        <f>G229*(G224+SUM(G226:G228)-SUM(G236:G239))</f>
        <v>0</v>
      </c>
      <c r="H230" s="569">
        <f t="shared" ref="H230:AK230" si="115">H229*(SUM(H224:H228)-SUM(H236:H239))</f>
        <v>0</v>
      </c>
      <c r="I230" s="569">
        <f t="shared" si="115"/>
        <v>0</v>
      </c>
      <c r="J230" s="569">
        <f t="shared" si="115"/>
        <v>0.58756632112467555</v>
      </c>
      <c r="K230" s="569">
        <f t="shared" si="115"/>
        <v>0.26852534600385614</v>
      </c>
      <c r="L230" s="569">
        <f t="shared" si="115"/>
        <v>0.28381171489832202</v>
      </c>
      <c r="M230" s="569">
        <f t="shared" si="115"/>
        <v>0.28119180089556817</v>
      </c>
      <c r="N230" s="569">
        <f t="shared" si="115"/>
        <v>0.33332680273618881</v>
      </c>
      <c r="O230" s="569">
        <f t="shared" si="115"/>
        <v>0.35813145105327487</v>
      </c>
      <c r="P230" s="569">
        <f t="shared" si="115"/>
        <v>0.37911940030394697</v>
      </c>
      <c r="Q230" s="569">
        <f t="shared" si="115"/>
        <v>0.39963192015783777</v>
      </c>
      <c r="R230" s="569">
        <f t="shared" si="115"/>
        <v>0.42080466405328248</v>
      </c>
      <c r="S230" s="569">
        <f t="shared" si="115"/>
        <v>0.44592992334312992</v>
      </c>
      <c r="T230" s="569">
        <f t="shared" si="115"/>
        <v>0.46776753665775661</v>
      </c>
      <c r="U230" s="569">
        <f t="shared" si="115"/>
        <v>0.48955043181852637</v>
      </c>
      <c r="V230" s="569">
        <f t="shared" si="115"/>
        <v>0.51497438565584608</v>
      </c>
      <c r="W230" s="569">
        <f t="shared" si="115"/>
        <v>0.53694390369921152</v>
      </c>
      <c r="X230" s="569">
        <f t="shared" si="115"/>
        <v>0.55898995652837902</v>
      </c>
      <c r="Y230" s="569">
        <f t="shared" si="115"/>
        <v>0.58453267032522527</v>
      </c>
      <c r="Z230" s="569">
        <f t="shared" si="115"/>
        <v>0.60683490084645797</v>
      </c>
      <c r="AA230" s="569">
        <f t="shared" si="115"/>
        <v>0.62931330200010205</v>
      </c>
      <c r="AB230" s="569">
        <f t="shared" si="115"/>
        <v>0.65474638892442572</v>
      </c>
      <c r="AC230" s="569">
        <f t="shared" si="115"/>
        <v>0.67673530049452768</v>
      </c>
      <c r="AD230" s="569">
        <f t="shared" si="115"/>
        <v>0.70059241404261541</v>
      </c>
      <c r="AE230" s="569">
        <f t="shared" si="115"/>
        <v>0.72459505756173948</v>
      </c>
      <c r="AF230" s="569">
        <f t="shared" si="115"/>
        <v>0.74865877240543677</v>
      </c>
      <c r="AG230" s="569">
        <f t="shared" si="115"/>
        <v>0.77263941468801622</v>
      </c>
      <c r="AH230" s="569">
        <f t="shared" si="115"/>
        <v>0.79680843706612259</v>
      </c>
      <c r="AI230" s="569">
        <f t="shared" si="115"/>
        <v>0.82098529524904229</v>
      </c>
      <c r="AJ230" s="569">
        <f t="shared" si="115"/>
        <v>0.84527648952432755</v>
      </c>
      <c r="AK230" s="569">
        <f t="shared" si="115"/>
        <v>0.86945764910833934</v>
      </c>
      <c r="AL230" s="569"/>
      <c r="AM230" s="569"/>
      <c r="AN230" s="569"/>
      <c r="AO230" s="569"/>
      <c r="AP230" s="569"/>
      <c r="AQ230" s="569"/>
      <c r="AR230" s="569"/>
      <c r="AS230" s="569"/>
      <c r="AT230" s="569"/>
      <c r="AU230" s="569"/>
      <c r="AV230" s="569"/>
      <c r="AW230" s="569"/>
      <c r="AX230" s="569"/>
      <c r="AY230" s="569"/>
      <c r="AZ230" s="569"/>
      <c r="BA230" s="569"/>
      <c r="BB230" s="569"/>
      <c r="BC230" s="569"/>
      <c r="BD230" s="569"/>
      <c r="BE230" s="569"/>
      <c r="BF230" s="569"/>
      <c r="BG230" s="569"/>
      <c r="BH230" s="569"/>
      <c r="BI230" s="569"/>
      <c r="BJ230" s="569"/>
      <c r="BK230" s="569"/>
      <c r="BL230" s="569"/>
      <c r="BM230" s="569"/>
      <c r="BN230" s="569"/>
      <c r="BO230" s="569"/>
      <c r="BP230" s="569"/>
      <c r="BQ230" s="569"/>
      <c r="BR230" s="569"/>
      <c r="BS230" s="569"/>
      <c r="BT230" s="569"/>
      <c r="BU230" s="569"/>
      <c r="BV230" s="569"/>
      <c r="BW230" s="569"/>
      <c r="BX230" s="569"/>
      <c r="BY230" s="569"/>
      <c r="BZ230" s="569"/>
      <c r="CA230" s="569"/>
      <c r="CB230" s="569"/>
      <c r="CC230" s="569"/>
      <c r="CD230" s="569"/>
      <c r="CE230" s="569"/>
      <c r="CF230" s="569"/>
      <c r="CG230" s="569"/>
      <c r="CH230" s="569"/>
      <c r="CI230" s="569"/>
      <c r="CJ230" s="1479"/>
      <c r="CK230" s="1293"/>
    </row>
    <row r="231" spans="1:89" s="1292" customFormat="1" x14ac:dyDescent="0.2">
      <c r="A231" s="1284"/>
      <c r="B231" s="837" t="s">
        <v>503</v>
      </c>
      <c r="C231" s="842" t="s">
        <v>305</v>
      </c>
      <c r="D231" s="843" t="s">
        <v>504</v>
      </c>
      <c r="E231" s="844" t="s">
        <v>239</v>
      </c>
      <c r="F231" s="845">
        <v>1</v>
      </c>
      <c r="G231" s="575" t="e">
        <f>(((G227-G238))*1000000)/((G260)*1000)</f>
        <v>#DIV/0!</v>
      </c>
      <c r="H231" s="575" t="e">
        <f t="shared" ref="H231:AK232" si="116">(((H227-H238))*1000000)/((H260)*1000)</f>
        <v>#DIV/0!</v>
      </c>
      <c r="I231" s="575">
        <f t="shared" si="116"/>
        <v>133.81218403217338</v>
      </c>
      <c r="J231" s="575">
        <f t="shared" si="116"/>
        <v>130.08530722967484</v>
      </c>
      <c r="K231" s="575">
        <f t="shared" si="116"/>
        <v>126.91188217137183</v>
      </c>
      <c r="L231" s="575">
        <f t="shared" si="116"/>
        <v>124.98668107765135</v>
      </c>
      <c r="M231" s="576">
        <f t="shared" si="116"/>
        <v>123.74021436082063</v>
      </c>
      <c r="N231" s="576">
        <f t="shared" si="116"/>
        <v>123.21222137947554</v>
      </c>
      <c r="O231" s="576">
        <f t="shared" si="116"/>
        <v>122.94551169418529</v>
      </c>
      <c r="P231" s="576">
        <f t="shared" si="116"/>
        <v>122.6816612476094</v>
      </c>
      <c r="Q231" s="576">
        <f t="shared" si="116"/>
        <v>122.42045418512745</v>
      </c>
      <c r="R231" s="576">
        <f t="shared" si="116"/>
        <v>122.22924856743853</v>
      </c>
      <c r="S231" s="576">
        <f t="shared" si="116"/>
        <v>122.12811397721003</v>
      </c>
      <c r="T231" s="576">
        <f t="shared" si="116"/>
        <v>122.05145069019041</v>
      </c>
      <c r="U231" s="576">
        <f t="shared" si="116"/>
        <v>121.9639086003355</v>
      </c>
      <c r="V231" s="576">
        <f t="shared" si="116"/>
        <v>121.89320121627176</v>
      </c>
      <c r="W231" s="576">
        <f t="shared" si="116"/>
        <v>121.79263529659607</v>
      </c>
      <c r="X231" s="576">
        <f t="shared" si="116"/>
        <v>121.74097792155375</v>
      </c>
      <c r="Y231" s="576">
        <f t="shared" si="116"/>
        <v>121.69801012233128</v>
      </c>
      <c r="Z231" s="576">
        <f t="shared" si="116"/>
        <v>121.67706619905209</v>
      </c>
      <c r="AA231" s="576">
        <f t="shared" si="116"/>
        <v>121.62985694305979</v>
      </c>
      <c r="AB231" s="576">
        <f t="shared" si="116"/>
        <v>121.40100626626706</v>
      </c>
      <c r="AC231" s="576">
        <f t="shared" si="116"/>
        <v>121.34575073547948</v>
      </c>
      <c r="AD231" s="576">
        <f t="shared" si="116"/>
        <v>121.32354818488234</v>
      </c>
      <c r="AE231" s="576">
        <f t="shared" si="116"/>
        <v>121.29407741580403</v>
      </c>
      <c r="AF231" s="576">
        <f t="shared" si="116"/>
        <v>121.26804329261964</v>
      </c>
      <c r="AG231" s="576">
        <f t="shared" si="116"/>
        <v>121.23779086668154</v>
      </c>
      <c r="AH231" s="576">
        <f t="shared" si="116"/>
        <v>121.24043925127337</v>
      </c>
      <c r="AI231" s="576">
        <f t="shared" si="116"/>
        <v>121.22721255980147</v>
      </c>
      <c r="AJ231" s="576">
        <f t="shared" si="116"/>
        <v>121.21103246563982</v>
      </c>
      <c r="AK231" s="576">
        <f t="shared" si="116"/>
        <v>121.1813464798564</v>
      </c>
      <c r="AL231" s="576"/>
      <c r="AM231" s="576"/>
      <c r="AN231" s="576"/>
      <c r="AO231" s="576"/>
      <c r="AP231" s="576"/>
      <c r="AQ231" s="576"/>
      <c r="AR231" s="576"/>
      <c r="AS231" s="576"/>
      <c r="AT231" s="576"/>
      <c r="AU231" s="576"/>
      <c r="AV231" s="576"/>
      <c r="AW231" s="576"/>
      <c r="AX231" s="576"/>
      <c r="AY231" s="576"/>
      <c r="AZ231" s="576"/>
      <c r="BA231" s="576"/>
      <c r="BB231" s="576"/>
      <c r="BC231" s="576"/>
      <c r="BD231" s="576"/>
      <c r="BE231" s="576"/>
      <c r="BF231" s="576"/>
      <c r="BG231" s="576"/>
      <c r="BH231" s="576"/>
      <c r="BI231" s="576"/>
      <c r="BJ231" s="576"/>
      <c r="BK231" s="576"/>
      <c r="BL231" s="576"/>
      <c r="BM231" s="576"/>
      <c r="BN231" s="576"/>
      <c r="BO231" s="576"/>
      <c r="BP231" s="576"/>
      <c r="BQ231" s="576"/>
      <c r="BR231" s="576"/>
      <c r="BS231" s="576"/>
      <c r="BT231" s="576"/>
      <c r="BU231" s="576"/>
      <c r="BV231" s="576"/>
      <c r="BW231" s="576"/>
      <c r="BX231" s="576"/>
      <c r="BY231" s="576"/>
      <c r="BZ231" s="576"/>
      <c r="CA231" s="576"/>
      <c r="CB231" s="576"/>
      <c r="CC231" s="576"/>
      <c r="CD231" s="576"/>
      <c r="CE231" s="576"/>
      <c r="CF231" s="576"/>
      <c r="CG231" s="576"/>
      <c r="CH231" s="576"/>
      <c r="CI231" s="570"/>
      <c r="CJ231" s="1479"/>
      <c r="CK231" s="1293"/>
    </row>
    <row r="232" spans="1:89" s="1292" customFormat="1" x14ac:dyDescent="0.2">
      <c r="A232" s="1284"/>
      <c r="B232" s="837" t="s">
        <v>505</v>
      </c>
      <c r="C232" s="842" t="s">
        <v>324</v>
      </c>
      <c r="D232" s="843" t="s">
        <v>506</v>
      </c>
      <c r="E232" s="844" t="s">
        <v>239</v>
      </c>
      <c r="F232" s="845">
        <v>1</v>
      </c>
      <c r="G232" s="575" t="e">
        <f>(((G228-G239))*1000000)/((G261)*1000)</f>
        <v>#DIV/0!</v>
      </c>
      <c r="H232" s="575" t="e">
        <f t="shared" si="116"/>
        <v>#DIV/0!</v>
      </c>
      <c r="I232" s="575">
        <f t="shared" si="116"/>
        <v>204.25505357797542</v>
      </c>
      <c r="J232" s="575">
        <f t="shared" si="116"/>
        <v>195.6903007020434</v>
      </c>
      <c r="K232" s="575">
        <f t="shared" si="116"/>
        <v>196.87600896820533</v>
      </c>
      <c r="L232" s="575">
        <f t="shared" si="116"/>
        <v>193.82108150165331</v>
      </c>
      <c r="M232" s="576">
        <f t="shared" si="116"/>
        <v>191.46852436775924</v>
      </c>
      <c r="N232" s="576">
        <f t="shared" si="116"/>
        <v>191.01810658672491</v>
      </c>
      <c r="O232" s="576">
        <f t="shared" si="116"/>
        <v>190.58415919151537</v>
      </c>
      <c r="P232" s="576">
        <f t="shared" si="116"/>
        <v>190.15145881232851</v>
      </c>
      <c r="Q232" s="576">
        <f t="shared" si="116"/>
        <v>189.70126562663404</v>
      </c>
      <c r="R232" s="576">
        <f t="shared" si="116"/>
        <v>189.44722389698362</v>
      </c>
      <c r="S232" s="576">
        <f t="shared" si="116"/>
        <v>189.44755069894853</v>
      </c>
      <c r="T232" s="576">
        <f t="shared" si="116"/>
        <v>189.45330619198677</v>
      </c>
      <c r="U232" s="576">
        <f t="shared" si="116"/>
        <v>189.44601589731425</v>
      </c>
      <c r="V232" s="576">
        <f t="shared" si="116"/>
        <v>189.43956807504162</v>
      </c>
      <c r="W232" s="576">
        <f t="shared" si="116"/>
        <v>189.5705479930742</v>
      </c>
      <c r="X232" s="576">
        <f t="shared" si="116"/>
        <v>189.70381299041591</v>
      </c>
      <c r="Y232" s="576">
        <f t="shared" si="116"/>
        <v>189.8203787597599</v>
      </c>
      <c r="Z232" s="576">
        <f t="shared" si="116"/>
        <v>189.97461681525752</v>
      </c>
      <c r="AA232" s="576">
        <f t="shared" si="116"/>
        <v>190.11216822405785</v>
      </c>
      <c r="AB232" s="576">
        <f t="shared" si="116"/>
        <v>190.22650077765175</v>
      </c>
      <c r="AC232" s="576">
        <f t="shared" si="116"/>
        <v>190.34493195824922</v>
      </c>
      <c r="AD232" s="576">
        <f t="shared" si="116"/>
        <v>190.54948057252031</v>
      </c>
      <c r="AE232" s="576">
        <f t="shared" si="116"/>
        <v>190.8288472919491</v>
      </c>
      <c r="AF232" s="576">
        <f t="shared" si="116"/>
        <v>191.1136201030466</v>
      </c>
      <c r="AG232" s="576">
        <f t="shared" si="116"/>
        <v>191.38422138457807</v>
      </c>
      <c r="AH232" s="576">
        <f t="shared" si="116"/>
        <v>191.69832258951814</v>
      </c>
      <c r="AI232" s="576">
        <f t="shared" si="116"/>
        <v>191.9978789591998</v>
      </c>
      <c r="AJ232" s="576">
        <f t="shared" si="116"/>
        <v>192.30181741275314</v>
      </c>
      <c r="AK232" s="576">
        <f t="shared" si="116"/>
        <v>192.55080732820622</v>
      </c>
      <c r="AL232" s="576"/>
      <c r="AM232" s="576"/>
      <c r="AN232" s="576"/>
      <c r="AO232" s="576"/>
      <c r="AP232" s="576"/>
      <c r="AQ232" s="576"/>
      <c r="AR232" s="576"/>
      <c r="AS232" s="576"/>
      <c r="AT232" s="576"/>
      <c r="AU232" s="576"/>
      <c r="AV232" s="576"/>
      <c r="AW232" s="576"/>
      <c r="AX232" s="576"/>
      <c r="AY232" s="576"/>
      <c r="AZ232" s="576"/>
      <c r="BA232" s="576"/>
      <c r="BB232" s="576"/>
      <c r="BC232" s="576"/>
      <c r="BD232" s="576"/>
      <c r="BE232" s="576"/>
      <c r="BF232" s="576"/>
      <c r="BG232" s="576"/>
      <c r="BH232" s="576"/>
      <c r="BI232" s="576"/>
      <c r="BJ232" s="576"/>
      <c r="BK232" s="576"/>
      <c r="BL232" s="576"/>
      <c r="BM232" s="576"/>
      <c r="BN232" s="576"/>
      <c r="BO232" s="576"/>
      <c r="BP232" s="576"/>
      <c r="BQ232" s="576"/>
      <c r="BR232" s="576"/>
      <c r="BS232" s="576"/>
      <c r="BT232" s="576"/>
      <c r="BU232" s="576"/>
      <c r="BV232" s="576"/>
      <c r="BW232" s="576"/>
      <c r="BX232" s="576"/>
      <c r="BY232" s="576"/>
      <c r="BZ232" s="576"/>
      <c r="CA232" s="576"/>
      <c r="CB232" s="576"/>
      <c r="CC232" s="576"/>
      <c r="CD232" s="576"/>
      <c r="CE232" s="576"/>
      <c r="CF232" s="576"/>
      <c r="CG232" s="576"/>
      <c r="CH232" s="576"/>
      <c r="CI232" s="570"/>
      <c r="CJ232" s="1479"/>
      <c r="CK232" s="1293"/>
    </row>
    <row r="233" spans="1:89" s="1292" customFormat="1" ht="28.5" x14ac:dyDescent="0.2">
      <c r="A233" s="1284"/>
      <c r="B233" s="837" t="s">
        <v>507</v>
      </c>
      <c r="C233" s="842" t="s">
        <v>238</v>
      </c>
      <c r="D233" s="843" t="s">
        <v>508</v>
      </c>
      <c r="E233" s="844" t="s">
        <v>239</v>
      </c>
      <c r="F233" s="845">
        <v>1</v>
      </c>
      <c r="G233" s="575" t="e">
        <f>(((G227-G238)+(G228-G239))*1000000)/((G260+G261)*1000)</f>
        <v>#DIV/0!</v>
      </c>
      <c r="H233" s="575" t="e">
        <f t="shared" ref="H233:AK233" si="117">(((H227-H238)+(H228-H239))*1000000)/((H260+H261)*1000)</f>
        <v>#DIV/0!</v>
      </c>
      <c r="I233" s="575">
        <f t="shared" si="117"/>
        <v>162.62381124728887</v>
      </c>
      <c r="J233" s="575">
        <f t="shared" si="117"/>
        <v>156.49350880453042</v>
      </c>
      <c r="K233" s="575">
        <f t="shared" si="117"/>
        <v>154.42655895063916</v>
      </c>
      <c r="L233" s="575">
        <f t="shared" si="117"/>
        <v>151.08314195540072</v>
      </c>
      <c r="M233" s="576">
        <f t="shared" si="117"/>
        <v>147.54085226277891</v>
      </c>
      <c r="N233" s="576">
        <f t="shared" si="117"/>
        <v>145.40534954444081</v>
      </c>
      <c r="O233" s="576">
        <f t="shared" si="117"/>
        <v>144.44191639575459</v>
      </c>
      <c r="P233" s="576">
        <f t="shared" si="117"/>
        <v>143.50202229798603</v>
      </c>
      <c r="Q233" s="576">
        <f t="shared" si="117"/>
        <v>142.58809708560574</v>
      </c>
      <c r="R233" s="576">
        <f t="shared" si="117"/>
        <v>141.95176128331721</v>
      </c>
      <c r="S233" s="576">
        <f t="shared" si="117"/>
        <v>141.61856732401588</v>
      </c>
      <c r="T233" s="576">
        <f t="shared" si="117"/>
        <v>141.30984952415005</v>
      </c>
      <c r="U233" s="576">
        <f t="shared" si="117"/>
        <v>140.99203538926392</v>
      </c>
      <c r="V233" s="576">
        <f t="shared" si="117"/>
        <v>140.68286282134102</v>
      </c>
      <c r="W233" s="576">
        <f t="shared" si="117"/>
        <v>140.39641460734811</v>
      </c>
      <c r="X233" s="576">
        <f t="shared" si="117"/>
        <v>140.15099678534244</v>
      </c>
      <c r="Y233" s="576">
        <f t="shared" si="117"/>
        <v>139.91107691998971</v>
      </c>
      <c r="Z233" s="576">
        <f t="shared" si="117"/>
        <v>139.6959902259409</v>
      </c>
      <c r="AA233" s="576">
        <f t="shared" si="117"/>
        <v>139.45200354975862</v>
      </c>
      <c r="AB233" s="576">
        <f t="shared" si="117"/>
        <v>139.06945003077033</v>
      </c>
      <c r="AC233" s="576">
        <f t="shared" si="117"/>
        <v>138.82099172109477</v>
      </c>
      <c r="AD233" s="576">
        <f t="shared" si="117"/>
        <v>138.62249507762309</v>
      </c>
      <c r="AE233" s="576">
        <f t="shared" si="117"/>
        <v>138.43971732491156</v>
      </c>
      <c r="AF233" s="576">
        <f t="shared" si="117"/>
        <v>138.26406866799135</v>
      </c>
      <c r="AG233" s="576">
        <f t="shared" si="117"/>
        <v>138.08690879097145</v>
      </c>
      <c r="AH233" s="576">
        <f t="shared" si="117"/>
        <v>137.9495258969576</v>
      </c>
      <c r="AI233" s="576">
        <f t="shared" si="117"/>
        <v>137.7980720962328</v>
      </c>
      <c r="AJ233" s="576">
        <f t="shared" si="117"/>
        <v>137.64651570401543</v>
      </c>
      <c r="AK233" s="576">
        <f t="shared" si="117"/>
        <v>137.47480947789117</v>
      </c>
      <c r="AL233" s="576"/>
      <c r="AM233" s="576"/>
      <c r="AN233" s="576"/>
      <c r="AO233" s="576"/>
      <c r="AP233" s="576"/>
      <c r="AQ233" s="576"/>
      <c r="AR233" s="576"/>
      <c r="AS233" s="576"/>
      <c r="AT233" s="576"/>
      <c r="AU233" s="576"/>
      <c r="AV233" s="576"/>
      <c r="AW233" s="576"/>
      <c r="AX233" s="576"/>
      <c r="AY233" s="576"/>
      <c r="AZ233" s="576"/>
      <c r="BA233" s="576"/>
      <c r="BB233" s="576"/>
      <c r="BC233" s="576"/>
      <c r="BD233" s="576"/>
      <c r="BE233" s="576"/>
      <c r="BF233" s="576"/>
      <c r="BG233" s="576"/>
      <c r="BH233" s="576"/>
      <c r="BI233" s="576"/>
      <c r="BJ233" s="576"/>
      <c r="BK233" s="576"/>
      <c r="BL233" s="576"/>
      <c r="BM233" s="576"/>
      <c r="BN233" s="576"/>
      <c r="BO233" s="576"/>
      <c r="BP233" s="576"/>
      <c r="BQ233" s="576"/>
      <c r="BR233" s="576"/>
      <c r="BS233" s="576"/>
      <c r="BT233" s="576"/>
      <c r="BU233" s="576"/>
      <c r="BV233" s="576"/>
      <c r="BW233" s="576"/>
      <c r="BX233" s="576"/>
      <c r="BY233" s="576"/>
      <c r="BZ233" s="576"/>
      <c r="CA233" s="576"/>
      <c r="CB233" s="576"/>
      <c r="CC233" s="576"/>
      <c r="CD233" s="576"/>
      <c r="CE233" s="576"/>
      <c r="CF233" s="576"/>
      <c r="CG233" s="576"/>
      <c r="CH233" s="576"/>
      <c r="CI233" s="570"/>
      <c r="CJ233" s="1479"/>
      <c r="CK233" s="1293"/>
    </row>
    <row r="234" spans="1:89" s="1292" customFormat="1" x14ac:dyDescent="0.2">
      <c r="A234" s="1284"/>
      <c r="B234" s="837" t="s">
        <v>509</v>
      </c>
      <c r="C234" s="842" t="s">
        <v>510</v>
      </c>
      <c r="D234" s="843" t="s">
        <v>86</v>
      </c>
      <c r="E234" s="844" t="s">
        <v>236</v>
      </c>
      <c r="F234" s="845">
        <v>2</v>
      </c>
      <c r="G234" s="540"/>
      <c r="H234" s="540"/>
      <c r="I234" s="540">
        <v>1.0979360068731416</v>
      </c>
      <c r="J234" s="540">
        <v>1.0895863339821239</v>
      </c>
      <c r="K234" s="540">
        <v>1.0890163901033498</v>
      </c>
      <c r="L234" s="540">
        <v>1.0888825549864094</v>
      </c>
      <c r="M234" s="541">
        <v>1.0897778365877797</v>
      </c>
      <c r="N234" s="541">
        <v>1.0893635564282043</v>
      </c>
      <c r="O234" s="541">
        <v>1.0889528911563582</v>
      </c>
      <c r="P234" s="541">
        <v>1.0885805895820937</v>
      </c>
      <c r="Q234" s="541">
        <v>1.0882472024048366</v>
      </c>
      <c r="R234" s="541">
        <v>1.087914922574255</v>
      </c>
      <c r="S234" s="541">
        <v>1.0875739223899561</v>
      </c>
      <c r="T234" s="541">
        <v>1.0872354526027144</v>
      </c>
      <c r="U234" s="541">
        <v>1.0868994024612753</v>
      </c>
      <c r="V234" s="541">
        <v>1.0865633295672554</v>
      </c>
      <c r="W234" s="541">
        <v>1.0862293738149602</v>
      </c>
      <c r="X234" s="541">
        <v>1.0858983892363658</v>
      </c>
      <c r="Y234" s="541">
        <v>1.0855701264083264</v>
      </c>
      <c r="Z234" s="541">
        <v>1.0852448363085927</v>
      </c>
      <c r="AA234" s="541">
        <v>1.0849253694785199</v>
      </c>
      <c r="AB234" s="541">
        <v>1.0846089703615276</v>
      </c>
      <c r="AC234" s="541">
        <v>1.0842957985471762</v>
      </c>
      <c r="AD234" s="541">
        <v>1.0839853895629465</v>
      </c>
      <c r="AE234" s="541">
        <v>1.0836776858333965</v>
      </c>
      <c r="AF234" s="541">
        <v>1.083372843334788</v>
      </c>
      <c r="AG234" s="541">
        <v>1.0830708712598258</v>
      </c>
      <c r="AH234" s="541">
        <v>1.0827717070335765</v>
      </c>
      <c r="AI234" s="541">
        <v>1.0824754042665927</v>
      </c>
      <c r="AJ234" s="541">
        <v>1.0821822706677517</v>
      </c>
      <c r="AK234" s="541">
        <v>1.0818922460133711</v>
      </c>
      <c r="AL234" s="541"/>
      <c r="AM234" s="541"/>
      <c r="AN234" s="541"/>
      <c r="AO234" s="541"/>
      <c r="AP234" s="541"/>
      <c r="AQ234" s="541"/>
      <c r="AR234" s="541"/>
      <c r="AS234" s="541"/>
      <c r="AT234" s="541"/>
      <c r="AU234" s="541"/>
      <c r="AV234" s="541"/>
      <c r="AW234" s="541"/>
      <c r="AX234" s="541"/>
      <c r="AY234" s="541"/>
      <c r="AZ234" s="541"/>
      <c r="BA234" s="541"/>
      <c r="BB234" s="541"/>
      <c r="BC234" s="541"/>
      <c r="BD234" s="541"/>
      <c r="BE234" s="541"/>
      <c r="BF234" s="541"/>
      <c r="BG234" s="541"/>
      <c r="BH234" s="541"/>
      <c r="BI234" s="541"/>
      <c r="BJ234" s="541"/>
      <c r="BK234" s="541"/>
      <c r="BL234" s="541"/>
      <c r="BM234" s="541"/>
      <c r="BN234" s="541"/>
      <c r="BO234" s="541"/>
      <c r="BP234" s="541"/>
      <c r="BQ234" s="541"/>
      <c r="BR234" s="541"/>
      <c r="BS234" s="541"/>
      <c r="BT234" s="541"/>
      <c r="BU234" s="541"/>
      <c r="BV234" s="541"/>
      <c r="BW234" s="541"/>
      <c r="BX234" s="541"/>
      <c r="BY234" s="541"/>
      <c r="BZ234" s="541"/>
      <c r="CA234" s="541"/>
      <c r="CB234" s="541"/>
      <c r="CC234" s="541"/>
      <c r="CD234" s="541"/>
      <c r="CE234" s="541"/>
      <c r="CF234" s="541"/>
      <c r="CG234" s="541"/>
      <c r="CH234" s="541"/>
      <c r="CI234" s="542"/>
      <c r="CJ234" s="1479"/>
      <c r="CK234" s="1293"/>
    </row>
    <row r="235" spans="1:89" s="1292" customFormat="1" ht="15" thickBot="1" x14ac:dyDescent="0.25">
      <c r="A235" s="1284"/>
      <c r="B235" s="846" t="s">
        <v>511</v>
      </c>
      <c r="C235" s="847" t="s">
        <v>512</v>
      </c>
      <c r="D235" s="848" t="s">
        <v>86</v>
      </c>
      <c r="E235" s="849" t="s">
        <v>236</v>
      </c>
      <c r="F235" s="850">
        <v>2</v>
      </c>
      <c r="G235" s="582"/>
      <c r="H235" s="582"/>
      <c r="I235" s="582">
        <v>0.71365102411868819</v>
      </c>
      <c r="J235" s="582">
        <v>0.71365102411868819</v>
      </c>
      <c r="K235" s="582">
        <v>0.71365102411868819</v>
      </c>
      <c r="L235" s="582">
        <v>0.71365102411868819</v>
      </c>
      <c r="M235" s="583">
        <v>0.71365102411868819</v>
      </c>
      <c r="N235" s="583">
        <v>0.71365102411868819</v>
      </c>
      <c r="O235" s="583">
        <v>0.71365102411868819</v>
      </c>
      <c r="P235" s="583">
        <v>0.71365102411868819</v>
      </c>
      <c r="Q235" s="583">
        <v>0.71365102411868819</v>
      </c>
      <c r="R235" s="583">
        <v>0.71365102411868819</v>
      </c>
      <c r="S235" s="583">
        <v>0.71365102411868819</v>
      </c>
      <c r="T235" s="583">
        <v>0.71365102411868819</v>
      </c>
      <c r="U235" s="583">
        <v>0.71365102411868819</v>
      </c>
      <c r="V235" s="583">
        <v>0.71365102411868819</v>
      </c>
      <c r="W235" s="583">
        <v>0.71365102411868819</v>
      </c>
      <c r="X235" s="583">
        <v>0.71365102411868819</v>
      </c>
      <c r="Y235" s="583">
        <v>0.71365102411868819</v>
      </c>
      <c r="Z235" s="583">
        <v>0.71365102411868819</v>
      </c>
      <c r="AA235" s="583">
        <v>0.71365102411868819</v>
      </c>
      <c r="AB235" s="583">
        <v>0.71365102411868819</v>
      </c>
      <c r="AC235" s="583">
        <v>0.71365102411868819</v>
      </c>
      <c r="AD235" s="583">
        <v>0.71365102411868819</v>
      </c>
      <c r="AE235" s="583">
        <v>0.71365102411868819</v>
      </c>
      <c r="AF235" s="583">
        <v>0.71365102411868819</v>
      </c>
      <c r="AG235" s="583">
        <v>0.71365102411868819</v>
      </c>
      <c r="AH235" s="583">
        <v>0.71365102411868819</v>
      </c>
      <c r="AI235" s="583">
        <v>0.71365102411868819</v>
      </c>
      <c r="AJ235" s="583">
        <v>0.71365102411868819</v>
      </c>
      <c r="AK235" s="583">
        <v>0.71365102411868819</v>
      </c>
      <c r="AL235" s="583"/>
      <c r="AM235" s="583"/>
      <c r="AN235" s="583"/>
      <c r="AO235" s="583"/>
      <c r="AP235" s="583"/>
      <c r="AQ235" s="583"/>
      <c r="AR235" s="583"/>
      <c r="AS235" s="583"/>
      <c r="AT235" s="583"/>
      <c r="AU235" s="583"/>
      <c r="AV235" s="583"/>
      <c r="AW235" s="583"/>
      <c r="AX235" s="583"/>
      <c r="AY235" s="583"/>
      <c r="AZ235" s="583"/>
      <c r="BA235" s="583"/>
      <c r="BB235" s="583"/>
      <c r="BC235" s="583"/>
      <c r="BD235" s="583"/>
      <c r="BE235" s="583"/>
      <c r="BF235" s="583"/>
      <c r="BG235" s="583"/>
      <c r="BH235" s="583"/>
      <c r="BI235" s="583"/>
      <c r="BJ235" s="583"/>
      <c r="BK235" s="583"/>
      <c r="BL235" s="583"/>
      <c r="BM235" s="583"/>
      <c r="BN235" s="583"/>
      <c r="BO235" s="583"/>
      <c r="BP235" s="583"/>
      <c r="BQ235" s="583"/>
      <c r="BR235" s="583"/>
      <c r="BS235" s="583"/>
      <c r="BT235" s="583"/>
      <c r="BU235" s="583"/>
      <c r="BV235" s="583"/>
      <c r="BW235" s="583"/>
      <c r="BX235" s="583"/>
      <c r="BY235" s="583"/>
      <c r="BZ235" s="583"/>
      <c r="CA235" s="583"/>
      <c r="CB235" s="583"/>
      <c r="CC235" s="583"/>
      <c r="CD235" s="583"/>
      <c r="CE235" s="583"/>
      <c r="CF235" s="583"/>
      <c r="CG235" s="583"/>
      <c r="CH235" s="583"/>
      <c r="CI235" s="584"/>
      <c r="CJ235" s="1479"/>
      <c r="CK235" s="1293"/>
    </row>
    <row r="236" spans="1:89" s="1292" customFormat="1" x14ac:dyDescent="0.2">
      <c r="A236" s="1284"/>
      <c r="B236" s="814" t="s">
        <v>513</v>
      </c>
      <c r="C236" s="815" t="s">
        <v>514</v>
      </c>
      <c r="D236" s="816" t="s">
        <v>86</v>
      </c>
      <c r="E236" s="817" t="s">
        <v>236</v>
      </c>
      <c r="F236" s="818">
        <v>2</v>
      </c>
      <c r="G236" s="532"/>
      <c r="H236" s="532"/>
      <c r="I236" s="532">
        <v>3.1940738474326512E-2</v>
      </c>
      <c r="J236" s="532">
        <v>4.0251839304238653E-2</v>
      </c>
      <c r="K236" s="532">
        <v>3.8869775634189051E-2</v>
      </c>
      <c r="L236" s="532">
        <v>3.8091231352925789E-2</v>
      </c>
      <c r="M236" s="533">
        <v>3.9203260828638967E-2</v>
      </c>
      <c r="N236" s="533">
        <v>3.9378269276312591E-2</v>
      </c>
      <c r="O236" s="533">
        <v>3.9553277723986202E-2</v>
      </c>
      <c r="P236" s="533">
        <v>3.9728286171659827E-2</v>
      </c>
      <c r="Q236" s="533">
        <v>3.9903294619333451E-2</v>
      </c>
      <c r="R236" s="533">
        <v>4.0078303067007069E-2</v>
      </c>
      <c r="S236" s="533">
        <v>4.0253311514680694E-2</v>
      </c>
      <c r="T236" s="533">
        <v>4.0428319962354312E-2</v>
      </c>
      <c r="U236" s="533">
        <v>4.0603328410027936E-2</v>
      </c>
      <c r="V236" s="533">
        <v>4.0778336857701561E-2</v>
      </c>
      <c r="W236" s="533">
        <v>4.0953345305375172E-2</v>
      </c>
      <c r="X236" s="533">
        <v>4.1128353753048789E-2</v>
      </c>
      <c r="Y236" s="533">
        <v>4.1303362200722421E-2</v>
      </c>
      <c r="Z236" s="533">
        <v>4.1478370648396039E-2</v>
      </c>
      <c r="AA236" s="533">
        <v>4.1653379096069656E-2</v>
      </c>
      <c r="AB236" s="533">
        <v>4.1828387543743274E-2</v>
      </c>
      <c r="AC236" s="533">
        <v>4.2003395991416899E-2</v>
      </c>
      <c r="AD236" s="533">
        <v>4.217840443909053E-2</v>
      </c>
      <c r="AE236" s="533">
        <v>4.2353412886764134E-2</v>
      </c>
      <c r="AF236" s="533">
        <v>4.2528421334437759E-2</v>
      </c>
      <c r="AG236" s="533">
        <v>4.2703429782111384E-2</v>
      </c>
      <c r="AH236" s="533">
        <v>4.2878438229785008E-2</v>
      </c>
      <c r="AI236" s="533">
        <v>4.3053446677458626E-2</v>
      </c>
      <c r="AJ236" s="533">
        <v>4.3228455125132244E-2</v>
      </c>
      <c r="AK236" s="533">
        <v>4.3403463572805868E-2</v>
      </c>
      <c r="AL236" s="533"/>
      <c r="AM236" s="533"/>
      <c r="AN236" s="533"/>
      <c r="AO236" s="533"/>
      <c r="AP236" s="533"/>
      <c r="AQ236" s="533"/>
      <c r="AR236" s="533"/>
      <c r="AS236" s="533"/>
      <c r="AT236" s="533"/>
      <c r="AU236" s="533"/>
      <c r="AV236" s="533"/>
      <c r="AW236" s="533"/>
      <c r="AX236" s="533"/>
      <c r="AY236" s="533"/>
      <c r="AZ236" s="533"/>
      <c r="BA236" s="533"/>
      <c r="BB236" s="533"/>
      <c r="BC236" s="533"/>
      <c r="BD236" s="533"/>
      <c r="BE236" s="533"/>
      <c r="BF236" s="533"/>
      <c r="BG236" s="533"/>
      <c r="BH236" s="533"/>
      <c r="BI236" s="533"/>
      <c r="BJ236" s="533"/>
      <c r="BK236" s="533"/>
      <c r="BL236" s="533"/>
      <c r="BM236" s="533"/>
      <c r="BN236" s="533"/>
      <c r="BO236" s="533"/>
      <c r="BP236" s="533"/>
      <c r="BQ236" s="533"/>
      <c r="BR236" s="533"/>
      <c r="BS236" s="533"/>
      <c r="BT236" s="533"/>
      <c r="BU236" s="533"/>
      <c r="BV236" s="533"/>
      <c r="BW236" s="533"/>
      <c r="BX236" s="533"/>
      <c r="BY236" s="533"/>
      <c r="BZ236" s="533"/>
      <c r="CA236" s="533"/>
      <c r="CB236" s="533"/>
      <c r="CC236" s="533"/>
      <c r="CD236" s="533"/>
      <c r="CE236" s="533"/>
      <c r="CF236" s="533"/>
      <c r="CG236" s="533"/>
      <c r="CH236" s="533"/>
      <c r="CI236" s="534"/>
      <c r="CJ236" s="1479"/>
      <c r="CK236" s="1293"/>
    </row>
    <row r="237" spans="1:89" s="1292" customFormat="1" x14ac:dyDescent="0.2">
      <c r="A237" s="1284"/>
      <c r="B237" s="824" t="s">
        <v>515</v>
      </c>
      <c r="C237" s="825" t="s">
        <v>516</v>
      </c>
      <c r="D237" s="821" t="s">
        <v>86</v>
      </c>
      <c r="E237" s="822" t="s">
        <v>236</v>
      </c>
      <c r="F237" s="823">
        <v>2</v>
      </c>
      <c r="G237" s="540"/>
      <c r="H237" s="540"/>
      <c r="I237" s="540">
        <v>2.9136428712953424E-3</v>
      </c>
      <c r="J237" s="540">
        <v>2.9391133179009492E-3</v>
      </c>
      <c r="K237" s="540">
        <v>2.7918244958601225E-3</v>
      </c>
      <c r="L237" s="540">
        <v>1.6155685626926231E-3</v>
      </c>
      <c r="M237" s="544">
        <v>7.5718419645942354E-4</v>
      </c>
      <c r="N237" s="544">
        <v>7.3891148856349302E-4</v>
      </c>
      <c r="O237" s="544">
        <v>7.2063878066756239E-4</v>
      </c>
      <c r="P237" s="544">
        <v>7.0236607277163177E-4</v>
      </c>
      <c r="Q237" s="544">
        <v>6.8409336487570125E-4</v>
      </c>
      <c r="R237" s="544">
        <v>6.6582065697977063E-4</v>
      </c>
      <c r="S237" s="544">
        <v>6.4754794908384011E-4</v>
      </c>
      <c r="T237" s="544">
        <v>6.2927524118790959E-4</v>
      </c>
      <c r="U237" s="544">
        <v>6.1100253329197886E-4</v>
      </c>
      <c r="V237" s="544">
        <v>6.1100253329197886E-4</v>
      </c>
      <c r="W237" s="544">
        <v>6.1100253329197886E-4</v>
      </c>
      <c r="X237" s="544">
        <v>6.1100253329197886E-4</v>
      </c>
      <c r="Y237" s="544">
        <v>6.1100253329197886E-4</v>
      </c>
      <c r="Z237" s="544">
        <v>6.1100253329197886E-4</v>
      </c>
      <c r="AA237" s="544">
        <v>6.1100253329197886E-4</v>
      </c>
      <c r="AB237" s="544">
        <v>6.1100253329197886E-4</v>
      </c>
      <c r="AC237" s="544">
        <v>6.1100253329197886E-4</v>
      </c>
      <c r="AD237" s="544">
        <v>6.1100253329197886E-4</v>
      </c>
      <c r="AE237" s="544">
        <v>6.1100253329197886E-4</v>
      </c>
      <c r="AF237" s="544">
        <v>6.1100253329197886E-4</v>
      </c>
      <c r="AG237" s="544">
        <v>6.1100253329197886E-4</v>
      </c>
      <c r="AH237" s="544">
        <v>6.1100253329197886E-4</v>
      </c>
      <c r="AI237" s="544">
        <v>6.1100253329197886E-4</v>
      </c>
      <c r="AJ237" s="544">
        <v>6.1100253329197886E-4</v>
      </c>
      <c r="AK237" s="544">
        <v>6.1100253329197886E-4</v>
      </c>
      <c r="AL237" s="544"/>
      <c r="AM237" s="544"/>
      <c r="AN237" s="544"/>
      <c r="AO237" s="544"/>
      <c r="AP237" s="544"/>
      <c r="AQ237" s="544"/>
      <c r="AR237" s="544"/>
      <c r="AS237" s="544"/>
      <c r="AT237" s="544"/>
      <c r="AU237" s="544"/>
      <c r="AV237" s="544"/>
      <c r="AW237" s="544"/>
      <c r="AX237" s="544"/>
      <c r="AY237" s="544"/>
      <c r="AZ237" s="544"/>
      <c r="BA237" s="544"/>
      <c r="BB237" s="544"/>
      <c r="BC237" s="544"/>
      <c r="BD237" s="544"/>
      <c r="BE237" s="544"/>
      <c r="BF237" s="544"/>
      <c r="BG237" s="544"/>
      <c r="BH237" s="544"/>
      <c r="BI237" s="544"/>
      <c r="BJ237" s="544"/>
      <c r="BK237" s="544"/>
      <c r="BL237" s="544"/>
      <c r="BM237" s="544"/>
      <c r="BN237" s="544"/>
      <c r="BO237" s="544"/>
      <c r="BP237" s="544"/>
      <c r="BQ237" s="544"/>
      <c r="BR237" s="544"/>
      <c r="BS237" s="544"/>
      <c r="BT237" s="544"/>
      <c r="BU237" s="544"/>
      <c r="BV237" s="544"/>
      <c r="BW237" s="544"/>
      <c r="BX237" s="544"/>
      <c r="BY237" s="544"/>
      <c r="BZ237" s="544"/>
      <c r="CA237" s="544"/>
      <c r="CB237" s="544"/>
      <c r="CC237" s="544"/>
      <c r="CD237" s="544"/>
      <c r="CE237" s="544"/>
      <c r="CF237" s="544"/>
      <c r="CG237" s="544"/>
      <c r="CH237" s="544"/>
      <c r="CI237" s="545"/>
      <c r="CJ237" s="1479"/>
      <c r="CK237" s="1293"/>
    </row>
    <row r="238" spans="1:89" s="1292" customFormat="1" x14ac:dyDescent="0.2">
      <c r="A238" s="1284"/>
      <c r="B238" s="824" t="s">
        <v>517</v>
      </c>
      <c r="C238" s="825" t="s">
        <v>518</v>
      </c>
      <c r="D238" s="821" t="s">
        <v>86</v>
      </c>
      <c r="E238" s="822" t="s">
        <v>236</v>
      </c>
      <c r="F238" s="823">
        <v>2</v>
      </c>
      <c r="G238" s="540"/>
      <c r="H238" s="540"/>
      <c r="I238" s="540">
        <v>0.39965056297299739</v>
      </c>
      <c r="J238" s="540">
        <v>0.46831854841479637</v>
      </c>
      <c r="K238" s="540">
        <v>0.45994932996175353</v>
      </c>
      <c r="L238" s="540">
        <v>0.45604570269946643</v>
      </c>
      <c r="M238" s="544">
        <v>0.48237897868150514</v>
      </c>
      <c r="N238" s="544">
        <v>0.50448075084222466</v>
      </c>
      <c r="O238" s="544">
        <v>0.51358756329500599</v>
      </c>
      <c r="P238" s="544">
        <v>0.52219567629493679</v>
      </c>
      <c r="Q238" s="544">
        <v>0.53031425676010113</v>
      </c>
      <c r="R238" s="544">
        <v>0.53617864179914965</v>
      </c>
      <c r="S238" s="544">
        <v>0.53990498521545471</v>
      </c>
      <c r="T238" s="544">
        <v>0.543594303479073</v>
      </c>
      <c r="U238" s="544">
        <v>0.54724877567788099</v>
      </c>
      <c r="V238" s="544">
        <v>0.55087047528946842</v>
      </c>
      <c r="W238" s="544">
        <v>0.55446094650900668</v>
      </c>
      <c r="X238" s="544">
        <v>0.55801567178386113</v>
      </c>
      <c r="Y238" s="544">
        <v>0.56153707040222267</v>
      </c>
      <c r="Z238" s="544">
        <v>0.56502159082017855</v>
      </c>
      <c r="AA238" s="544">
        <v>0.56840093590468355</v>
      </c>
      <c r="AB238" s="544">
        <v>0.5717429500748139</v>
      </c>
      <c r="AC238" s="544">
        <v>0.57505065556557711</v>
      </c>
      <c r="AD238" s="544">
        <v>0.57832430273743318</v>
      </c>
      <c r="AE238" s="544">
        <v>0.58156543503767266</v>
      </c>
      <c r="AF238" s="544">
        <v>0.58477179475881835</v>
      </c>
      <c r="AG238" s="544">
        <v>0.58794329647880561</v>
      </c>
      <c r="AH238" s="544">
        <v>0.59108037807287206</v>
      </c>
      <c r="AI238" s="544">
        <v>0.59418210757179313</v>
      </c>
      <c r="AJ238" s="544">
        <v>0.59724491974041183</v>
      </c>
      <c r="AK238" s="544">
        <v>0.60026978354310145</v>
      </c>
      <c r="AL238" s="544"/>
      <c r="AM238" s="544"/>
      <c r="AN238" s="544"/>
      <c r="AO238" s="544"/>
      <c r="AP238" s="544"/>
      <c r="AQ238" s="544"/>
      <c r="AR238" s="544"/>
      <c r="AS238" s="544"/>
      <c r="AT238" s="544"/>
      <c r="AU238" s="544"/>
      <c r="AV238" s="544"/>
      <c r="AW238" s="544"/>
      <c r="AX238" s="544"/>
      <c r="AY238" s="544"/>
      <c r="AZ238" s="544"/>
      <c r="BA238" s="544"/>
      <c r="BB238" s="544"/>
      <c r="BC238" s="544"/>
      <c r="BD238" s="544"/>
      <c r="BE238" s="544"/>
      <c r="BF238" s="544"/>
      <c r="BG238" s="544"/>
      <c r="BH238" s="544"/>
      <c r="BI238" s="544"/>
      <c r="BJ238" s="544"/>
      <c r="BK238" s="544"/>
      <c r="BL238" s="544"/>
      <c r="BM238" s="544"/>
      <c r="BN238" s="544"/>
      <c r="BO238" s="544"/>
      <c r="BP238" s="544"/>
      <c r="BQ238" s="544"/>
      <c r="BR238" s="544"/>
      <c r="BS238" s="544"/>
      <c r="BT238" s="544"/>
      <c r="BU238" s="544"/>
      <c r="BV238" s="544"/>
      <c r="BW238" s="544"/>
      <c r="BX238" s="544"/>
      <c r="BY238" s="544"/>
      <c r="BZ238" s="544"/>
      <c r="CA238" s="544"/>
      <c r="CB238" s="544"/>
      <c r="CC238" s="544"/>
      <c r="CD238" s="544"/>
      <c r="CE238" s="544"/>
      <c r="CF238" s="544"/>
      <c r="CG238" s="544"/>
      <c r="CH238" s="544"/>
      <c r="CI238" s="545"/>
      <c r="CJ238" s="1479"/>
      <c r="CK238" s="1293"/>
    </row>
    <row r="239" spans="1:89" s="1292" customFormat="1" x14ac:dyDescent="0.2">
      <c r="A239" s="1284"/>
      <c r="B239" s="824" t="s">
        <v>519</v>
      </c>
      <c r="C239" s="825" t="s">
        <v>520</v>
      </c>
      <c r="D239" s="821" t="s">
        <v>86</v>
      </c>
      <c r="E239" s="822" t="s">
        <v>236</v>
      </c>
      <c r="F239" s="823">
        <v>2</v>
      </c>
      <c r="G239" s="540"/>
      <c r="H239" s="540"/>
      <c r="I239" s="540">
        <v>0.33594718026353254</v>
      </c>
      <c r="J239" s="540">
        <v>0.38727948170714011</v>
      </c>
      <c r="K239" s="540">
        <v>0.36743741027069388</v>
      </c>
      <c r="L239" s="540">
        <v>0.33979624292718547</v>
      </c>
      <c r="M239" s="544">
        <v>0.30625147476292663</v>
      </c>
      <c r="N239" s="544">
        <v>0.27697689854745411</v>
      </c>
      <c r="O239" s="544">
        <v>0.26893819633641314</v>
      </c>
      <c r="P239" s="544">
        <v>0.26091226125129952</v>
      </c>
      <c r="Q239" s="544">
        <v>0.25289909329211285</v>
      </c>
      <c r="R239" s="544">
        <v>0.24855851939062246</v>
      </c>
      <c r="S239" s="544">
        <v>0.2478905395468281</v>
      </c>
      <c r="T239" s="544">
        <v>0.24723532682896079</v>
      </c>
      <c r="U239" s="544">
        <v>0.24659288123702081</v>
      </c>
      <c r="V239" s="544">
        <v>0.24596320277100844</v>
      </c>
      <c r="W239" s="544">
        <v>0.24534629143092332</v>
      </c>
      <c r="X239" s="544">
        <v>0.24472938009083819</v>
      </c>
      <c r="Y239" s="544">
        <v>0.2441124687507526</v>
      </c>
      <c r="Z239" s="544">
        <v>0.24349555741066733</v>
      </c>
      <c r="AA239" s="544">
        <v>0.24289141319650906</v>
      </c>
      <c r="AB239" s="544">
        <v>0.24228726898235114</v>
      </c>
      <c r="AC239" s="544">
        <v>0.24167036916016651</v>
      </c>
      <c r="AD239" s="544">
        <v>0.24105346933798177</v>
      </c>
      <c r="AE239" s="544">
        <v>0.24043656951579712</v>
      </c>
      <c r="AF239" s="544">
        <v>0.23981966969361224</v>
      </c>
      <c r="AG239" s="544">
        <v>0.23920276987142738</v>
      </c>
      <c r="AH239" s="544">
        <v>0.23858587004924287</v>
      </c>
      <c r="AI239" s="544">
        <v>0.23796897022705799</v>
      </c>
      <c r="AJ239" s="544">
        <v>0.23735207040487352</v>
      </c>
      <c r="AK239" s="544">
        <v>0.23673517058268903</v>
      </c>
      <c r="AL239" s="544"/>
      <c r="AM239" s="544"/>
      <c r="AN239" s="544"/>
      <c r="AO239" s="544"/>
      <c r="AP239" s="544"/>
      <c r="AQ239" s="544"/>
      <c r="AR239" s="544"/>
      <c r="AS239" s="544"/>
      <c r="AT239" s="544"/>
      <c r="AU239" s="544"/>
      <c r="AV239" s="544"/>
      <c r="AW239" s="544"/>
      <c r="AX239" s="544"/>
      <c r="AY239" s="544"/>
      <c r="AZ239" s="544"/>
      <c r="BA239" s="544"/>
      <c r="BB239" s="544"/>
      <c r="BC239" s="544"/>
      <c r="BD239" s="544"/>
      <c r="BE239" s="544"/>
      <c r="BF239" s="544"/>
      <c r="BG239" s="544"/>
      <c r="BH239" s="544"/>
      <c r="BI239" s="544"/>
      <c r="BJ239" s="544"/>
      <c r="BK239" s="544"/>
      <c r="BL239" s="544"/>
      <c r="BM239" s="544"/>
      <c r="BN239" s="544"/>
      <c r="BO239" s="544"/>
      <c r="BP239" s="544"/>
      <c r="BQ239" s="544"/>
      <c r="BR239" s="544"/>
      <c r="BS239" s="544"/>
      <c r="BT239" s="544"/>
      <c r="BU239" s="544"/>
      <c r="BV239" s="544"/>
      <c r="BW239" s="544"/>
      <c r="BX239" s="544"/>
      <c r="BY239" s="544"/>
      <c r="BZ239" s="544"/>
      <c r="CA239" s="544"/>
      <c r="CB239" s="544"/>
      <c r="CC239" s="544"/>
      <c r="CD239" s="544"/>
      <c r="CE239" s="544"/>
      <c r="CF239" s="544"/>
      <c r="CG239" s="544"/>
      <c r="CH239" s="544"/>
      <c r="CI239" s="545"/>
      <c r="CJ239" s="1479"/>
      <c r="CK239" s="1293"/>
    </row>
    <row r="240" spans="1:89" s="1292" customFormat="1" x14ac:dyDescent="0.2">
      <c r="A240" s="1284"/>
      <c r="B240" s="824" t="s">
        <v>521</v>
      </c>
      <c r="C240" s="825" t="s">
        <v>522</v>
      </c>
      <c r="D240" s="821" t="s">
        <v>86</v>
      </c>
      <c r="E240" s="822" t="s">
        <v>236</v>
      </c>
      <c r="F240" s="823">
        <v>2</v>
      </c>
      <c r="G240" s="540"/>
      <c r="H240" s="540"/>
      <c r="I240" s="540">
        <v>5.1229979988093338E-2</v>
      </c>
      <c r="J240" s="540">
        <v>5.9579652879111059E-2</v>
      </c>
      <c r="K240" s="540">
        <v>6.0149596757885018E-2</v>
      </c>
      <c r="L240" s="540">
        <v>6.028343187482562E-2</v>
      </c>
      <c r="M240" s="544">
        <v>5.9388150273455301E-2</v>
      </c>
      <c r="N240" s="544">
        <v>5.9802430433030657E-2</v>
      </c>
      <c r="O240" s="544">
        <v>6.0213095704876846E-2</v>
      </c>
      <c r="P240" s="544">
        <v>6.0585397279141154E-2</v>
      </c>
      <c r="Q240" s="544">
        <v>6.0918784456398214E-2</v>
      </c>
      <c r="R240" s="544">
        <v>6.1251064286979975E-2</v>
      </c>
      <c r="S240" s="544">
        <v>6.1592064471278865E-2</v>
      </c>
      <c r="T240" s="544">
        <v>6.1930534258520624E-2</v>
      </c>
      <c r="U240" s="544">
        <v>6.2266584399959794E-2</v>
      </c>
      <c r="V240" s="544">
        <v>6.2602657293979513E-2</v>
      </c>
      <c r="W240" s="544">
        <v>6.293661304627475E-2</v>
      </c>
      <c r="X240" s="544">
        <v>6.3267597624869179E-2</v>
      </c>
      <c r="Y240" s="544">
        <v>6.3595860452908576E-2</v>
      </c>
      <c r="Z240" s="544">
        <v>6.3921150552642261E-2</v>
      </c>
      <c r="AA240" s="544">
        <v>6.4240617382714915E-2</v>
      </c>
      <c r="AB240" s="544">
        <v>6.4557016499707284E-2</v>
      </c>
      <c r="AC240" s="544">
        <v>6.4870188314058733E-2</v>
      </c>
      <c r="AD240" s="544">
        <v>6.5180597298288456E-2</v>
      </c>
      <c r="AE240" s="544">
        <v>6.5488301027838397E-2</v>
      </c>
      <c r="AF240" s="544">
        <v>6.5793143526446829E-2</v>
      </c>
      <c r="AG240" s="544">
        <v>6.609511560140903E-2</v>
      </c>
      <c r="AH240" s="544">
        <v>6.6394279827658428E-2</v>
      </c>
      <c r="AI240" s="544">
        <v>6.6690582594642209E-2</v>
      </c>
      <c r="AJ240" s="544">
        <v>6.6983716193483228E-2</v>
      </c>
      <c r="AK240" s="544">
        <v>6.7273740847863792E-2</v>
      </c>
      <c r="AL240" s="544"/>
      <c r="AM240" s="544"/>
      <c r="AN240" s="544"/>
      <c r="AO240" s="544"/>
      <c r="AP240" s="544"/>
      <c r="AQ240" s="544"/>
      <c r="AR240" s="544"/>
      <c r="AS240" s="544"/>
      <c r="AT240" s="544"/>
      <c r="AU240" s="544"/>
      <c r="AV240" s="544"/>
      <c r="AW240" s="544"/>
      <c r="AX240" s="544"/>
      <c r="AY240" s="544"/>
      <c r="AZ240" s="544"/>
      <c r="BA240" s="544"/>
      <c r="BB240" s="544"/>
      <c r="BC240" s="544"/>
      <c r="BD240" s="544"/>
      <c r="BE240" s="544"/>
      <c r="BF240" s="544"/>
      <c r="BG240" s="544"/>
      <c r="BH240" s="544"/>
      <c r="BI240" s="544"/>
      <c r="BJ240" s="544"/>
      <c r="BK240" s="544"/>
      <c r="BL240" s="544"/>
      <c r="BM240" s="544"/>
      <c r="BN240" s="544"/>
      <c r="BO240" s="544"/>
      <c r="BP240" s="544"/>
      <c r="BQ240" s="544"/>
      <c r="BR240" s="544"/>
      <c r="BS240" s="544"/>
      <c r="BT240" s="544"/>
      <c r="BU240" s="544"/>
      <c r="BV240" s="544"/>
      <c r="BW240" s="544"/>
      <c r="BX240" s="544"/>
      <c r="BY240" s="544"/>
      <c r="BZ240" s="544"/>
      <c r="CA240" s="544"/>
      <c r="CB240" s="544"/>
      <c r="CC240" s="544"/>
      <c r="CD240" s="544"/>
      <c r="CE240" s="544"/>
      <c r="CF240" s="544"/>
      <c r="CG240" s="544"/>
      <c r="CH240" s="544"/>
      <c r="CI240" s="545"/>
      <c r="CJ240" s="1479"/>
      <c r="CK240" s="1293"/>
    </row>
    <row r="241" spans="1:89" s="1292" customFormat="1" x14ac:dyDescent="0.2">
      <c r="A241" s="1284"/>
      <c r="B241" s="824" t="s">
        <v>523</v>
      </c>
      <c r="C241" s="820" t="s">
        <v>524</v>
      </c>
      <c r="D241" s="821" t="s">
        <v>86</v>
      </c>
      <c r="E241" s="822" t="s">
        <v>236</v>
      </c>
      <c r="F241" s="823">
        <v>2</v>
      </c>
      <c r="G241" s="540"/>
      <c r="H241" s="540"/>
      <c r="I241" s="540">
        <v>1.89237436365741</v>
      </c>
      <c r="J241" s="540">
        <v>2.0526977643768127</v>
      </c>
      <c r="K241" s="540">
        <v>1.964117262879618</v>
      </c>
      <c r="L241" s="540">
        <v>1.8797318225829041</v>
      </c>
      <c r="M241" s="544">
        <v>1.8875849512570146</v>
      </c>
      <c r="N241" s="544">
        <v>1.8941867394124146</v>
      </c>
      <c r="O241" s="544">
        <v>1.8925512281590504</v>
      </c>
      <c r="P241" s="544">
        <v>1.8914400129301914</v>
      </c>
      <c r="Q241" s="544">
        <v>1.8908444775071787</v>
      </c>
      <c r="R241" s="544">
        <v>1.8888316507992613</v>
      </c>
      <c r="S241" s="544">
        <v>1.885275551302674</v>
      </c>
      <c r="T241" s="544">
        <v>1.8817462402299037</v>
      </c>
      <c r="U241" s="544">
        <v>1.8782414277418187</v>
      </c>
      <c r="V241" s="544">
        <v>1.8747383252545502</v>
      </c>
      <c r="W241" s="544">
        <v>1.8712558011751281</v>
      </c>
      <c r="X241" s="544">
        <v>1.8678119942140907</v>
      </c>
      <c r="Y241" s="544">
        <v>1.864404235660102</v>
      </c>
      <c r="Z241" s="544">
        <v>1.8610363280348241</v>
      </c>
      <c r="AA241" s="544">
        <v>1.8577666518867311</v>
      </c>
      <c r="AB241" s="544">
        <v>1.8545373743660925</v>
      </c>
      <c r="AC241" s="544">
        <v>1.8513583884354889</v>
      </c>
      <c r="AD241" s="544">
        <v>1.8482162236539144</v>
      </c>
      <c r="AE241" s="544">
        <v>1.8451092789986361</v>
      </c>
      <c r="AF241" s="544">
        <v>1.842039968153393</v>
      </c>
      <c r="AG241" s="544">
        <v>1.8390083857329547</v>
      </c>
      <c r="AH241" s="544">
        <v>1.8360140312871498</v>
      </c>
      <c r="AI241" s="544">
        <v>1.8330578903957564</v>
      </c>
      <c r="AJ241" s="544">
        <v>1.8301438360028075</v>
      </c>
      <c r="AK241" s="544">
        <v>1.8272708389202481</v>
      </c>
      <c r="AL241" s="544"/>
      <c r="AM241" s="544"/>
      <c r="AN241" s="544"/>
      <c r="AO241" s="544"/>
      <c r="AP241" s="544"/>
      <c r="AQ241" s="544"/>
      <c r="AR241" s="544"/>
      <c r="AS241" s="544"/>
      <c r="AT241" s="544"/>
      <c r="AU241" s="544"/>
      <c r="AV241" s="544"/>
      <c r="AW241" s="544"/>
      <c r="AX241" s="544"/>
      <c r="AY241" s="544"/>
      <c r="AZ241" s="544"/>
      <c r="BA241" s="544"/>
      <c r="BB241" s="544"/>
      <c r="BC241" s="544"/>
      <c r="BD241" s="544"/>
      <c r="BE241" s="544"/>
      <c r="BF241" s="544"/>
      <c r="BG241" s="544"/>
      <c r="BH241" s="544"/>
      <c r="BI241" s="544"/>
      <c r="BJ241" s="544"/>
      <c r="BK241" s="544"/>
      <c r="BL241" s="544"/>
      <c r="BM241" s="544"/>
      <c r="BN241" s="544"/>
      <c r="BO241" s="544"/>
      <c r="BP241" s="544"/>
      <c r="BQ241" s="544"/>
      <c r="BR241" s="544"/>
      <c r="BS241" s="544"/>
      <c r="BT241" s="544"/>
      <c r="BU241" s="544"/>
      <c r="BV241" s="544"/>
      <c r="BW241" s="544"/>
      <c r="BX241" s="544"/>
      <c r="BY241" s="544"/>
      <c r="BZ241" s="544"/>
      <c r="CA241" s="544"/>
      <c r="CB241" s="544"/>
      <c r="CC241" s="544"/>
      <c r="CD241" s="544"/>
      <c r="CE241" s="544"/>
      <c r="CF241" s="544"/>
      <c r="CG241" s="544"/>
      <c r="CH241" s="544"/>
      <c r="CI241" s="545"/>
      <c r="CJ241" s="1479"/>
      <c r="CK241" s="1293"/>
    </row>
    <row r="242" spans="1:89" s="1292" customFormat="1" x14ac:dyDescent="0.2">
      <c r="A242" s="1284"/>
      <c r="B242" s="824" t="s">
        <v>525</v>
      </c>
      <c r="C242" s="820" t="s">
        <v>243</v>
      </c>
      <c r="D242" s="821" t="s">
        <v>526</v>
      </c>
      <c r="E242" s="822" t="s">
        <v>236</v>
      </c>
      <c r="F242" s="823">
        <v>2</v>
      </c>
      <c r="G242" s="547">
        <f>SUM(G236:G241)</f>
        <v>0</v>
      </c>
      <c r="H242" s="547">
        <f t="shared" ref="H242:AK242" si="118">SUM(H236:H241)</f>
        <v>0</v>
      </c>
      <c r="I242" s="547">
        <f t="shared" si="118"/>
        <v>2.7140564682276551</v>
      </c>
      <c r="J242" s="547">
        <f t="shared" si="118"/>
        <v>3.0110663999999998</v>
      </c>
      <c r="K242" s="547">
        <f t="shared" si="118"/>
        <v>2.8933151999999995</v>
      </c>
      <c r="L242" s="547">
        <f t="shared" si="118"/>
        <v>2.7755640000000001</v>
      </c>
      <c r="M242" s="552">
        <f t="shared" si="118"/>
        <v>2.7755640000000001</v>
      </c>
      <c r="N242" s="552">
        <f t="shared" si="118"/>
        <v>2.7755640000000001</v>
      </c>
      <c r="O242" s="552">
        <f t="shared" si="118"/>
        <v>2.7755640000000001</v>
      </c>
      <c r="P242" s="552">
        <f t="shared" si="118"/>
        <v>2.7755640000000001</v>
      </c>
      <c r="Q242" s="552">
        <f t="shared" si="118"/>
        <v>2.7755640000000001</v>
      </c>
      <c r="R242" s="552">
        <f t="shared" si="118"/>
        <v>2.7755640000000001</v>
      </c>
      <c r="S242" s="552">
        <f t="shared" si="118"/>
        <v>2.7755640000000001</v>
      </c>
      <c r="T242" s="552">
        <f t="shared" si="118"/>
        <v>2.7755640000000001</v>
      </c>
      <c r="U242" s="552">
        <f t="shared" si="118"/>
        <v>2.7755640000000001</v>
      </c>
      <c r="V242" s="552">
        <f t="shared" si="118"/>
        <v>2.7755640000000001</v>
      </c>
      <c r="W242" s="552">
        <f t="shared" si="118"/>
        <v>2.7755640000000001</v>
      </c>
      <c r="X242" s="552">
        <f t="shared" si="118"/>
        <v>2.7755640000000001</v>
      </c>
      <c r="Y242" s="552">
        <f t="shared" si="118"/>
        <v>2.7755640000000001</v>
      </c>
      <c r="Z242" s="552">
        <f t="shared" si="118"/>
        <v>2.7755640000000001</v>
      </c>
      <c r="AA242" s="552">
        <f t="shared" si="118"/>
        <v>2.7755640000000001</v>
      </c>
      <c r="AB242" s="552">
        <f t="shared" si="118"/>
        <v>2.7755640000000001</v>
      </c>
      <c r="AC242" s="552">
        <f t="shared" si="118"/>
        <v>2.7755640000000001</v>
      </c>
      <c r="AD242" s="552">
        <f t="shared" si="118"/>
        <v>2.7755640000000001</v>
      </c>
      <c r="AE242" s="552">
        <f t="shared" si="118"/>
        <v>2.7755640000000001</v>
      </c>
      <c r="AF242" s="552">
        <f t="shared" si="118"/>
        <v>2.7755640000000001</v>
      </c>
      <c r="AG242" s="552">
        <f t="shared" si="118"/>
        <v>2.7755640000000001</v>
      </c>
      <c r="AH242" s="552">
        <f t="shared" si="118"/>
        <v>2.7755640000000001</v>
      </c>
      <c r="AI242" s="552">
        <f t="shared" si="118"/>
        <v>2.7755640000000001</v>
      </c>
      <c r="AJ242" s="552">
        <f t="shared" si="118"/>
        <v>2.7755640000000001</v>
      </c>
      <c r="AK242" s="552">
        <f t="shared" si="118"/>
        <v>2.7755640000000001</v>
      </c>
      <c r="AL242" s="552"/>
      <c r="AM242" s="552"/>
      <c r="AN242" s="552"/>
      <c r="AO242" s="552"/>
      <c r="AP242" s="552"/>
      <c r="AQ242" s="552"/>
      <c r="AR242" s="552"/>
      <c r="AS242" s="552"/>
      <c r="AT242" s="552"/>
      <c r="AU242" s="552"/>
      <c r="AV242" s="552"/>
      <c r="AW242" s="552"/>
      <c r="AX242" s="552"/>
      <c r="AY242" s="552"/>
      <c r="AZ242" s="552"/>
      <c r="BA242" s="552"/>
      <c r="BB242" s="552"/>
      <c r="BC242" s="552"/>
      <c r="BD242" s="552"/>
      <c r="BE242" s="552"/>
      <c r="BF242" s="552"/>
      <c r="BG242" s="552"/>
      <c r="BH242" s="552"/>
      <c r="BI242" s="552"/>
      <c r="BJ242" s="552"/>
      <c r="BK242" s="552"/>
      <c r="BL242" s="552"/>
      <c r="BM242" s="552"/>
      <c r="BN242" s="552"/>
      <c r="BO242" s="552"/>
      <c r="BP242" s="552"/>
      <c r="BQ242" s="552"/>
      <c r="BR242" s="552"/>
      <c r="BS242" s="552"/>
      <c r="BT242" s="552"/>
      <c r="BU242" s="552"/>
      <c r="BV242" s="552"/>
      <c r="BW242" s="552"/>
      <c r="BX242" s="552"/>
      <c r="BY242" s="552"/>
      <c r="BZ242" s="552"/>
      <c r="CA242" s="552"/>
      <c r="CB242" s="552"/>
      <c r="CC242" s="552"/>
      <c r="CD242" s="552"/>
      <c r="CE242" s="552"/>
      <c r="CF242" s="552"/>
      <c r="CG242" s="552"/>
      <c r="CH242" s="552"/>
      <c r="CI242" s="548"/>
      <c r="CJ242" s="1479"/>
      <c r="CK242" s="1293"/>
    </row>
    <row r="243" spans="1:89" s="1292" customFormat="1" ht="15" thickBot="1" x14ac:dyDescent="0.25">
      <c r="A243" s="1284"/>
      <c r="B243" s="851" t="s">
        <v>527</v>
      </c>
      <c r="C243" s="852" t="s">
        <v>528</v>
      </c>
      <c r="D243" s="853" t="s">
        <v>529</v>
      </c>
      <c r="E243" s="854" t="s">
        <v>530</v>
      </c>
      <c r="F243" s="832">
        <v>2</v>
      </c>
      <c r="G243" s="559" t="e">
        <f>(G242*1000000)/(G257*1000)</f>
        <v>#DIV/0!</v>
      </c>
      <c r="H243" s="559" t="e">
        <f t="shared" ref="H243:AK243" si="119">(H242*1000000)/(H257*1000)</f>
        <v>#DIV/0!</v>
      </c>
      <c r="I243" s="559">
        <f t="shared" si="119"/>
        <v>26.172445908134648</v>
      </c>
      <c r="J243" s="559">
        <f t="shared" si="119"/>
        <v>28.902501631768818</v>
      </c>
      <c r="K243" s="559">
        <f t="shared" si="119"/>
        <v>27.446526167727498</v>
      </c>
      <c r="L243" s="559">
        <f t="shared" si="119"/>
        <v>26.050955438380992</v>
      </c>
      <c r="M243" s="589">
        <f t="shared" si="119"/>
        <v>25.771615976090828</v>
      </c>
      <c r="N243" s="589">
        <f t="shared" si="119"/>
        <v>25.525573609389234</v>
      </c>
      <c r="O243" s="589">
        <f t="shared" si="119"/>
        <v>25.318783634778111</v>
      </c>
      <c r="P243" s="589">
        <f t="shared" si="119"/>
        <v>25.136320456931383</v>
      </c>
      <c r="Q243" s="589">
        <f t="shared" si="119"/>
        <v>24.976607016423404</v>
      </c>
      <c r="R243" s="589">
        <f t="shared" si="119"/>
        <v>24.825019559072064</v>
      </c>
      <c r="S243" s="589">
        <f t="shared" si="119"/>
        <v>24.676515269251791</v>
      </c>
      <c r="T243" s="589">
        <f t="shared" si="119"/>
        <v>24.531071510071421</v>
      </c>
      <c r="U243" s="589">
        <f t="shared" si="119"/>
        <v>24.388524322281093</v>
      </c>
      <c r="V243" s="589">
        <f t="shared" si="119"/>
        <v>24.248393944879364</v>
      </c>
      <c r="W243" s="589">
        <f t="shared" si="119"/>
        <v>24.110887161608435</v>
      </c>
      <c r="X243" s="589">
        <f t="shared" si="119"/>
        <v>23.976325000172835</v>
      </c>
      <c r="Y243" s="589">
        <f t="shared" si="119"/>
        <v>23.844541076228861</v>
      </c>
      <c r="Z243" s="589">
        <f t="shared" si="119"/>
        <v>23.71560230765003</v>
      </c>
      <c r="AA243" s="589">
        <f t="shared" si="119"/>
        <v>23.59070035113168</v>
      </c>
      <c r="AB243" s="589">
        <f t="shared" si="119"/>
        <v>23.468499999767129</v>
      </c>
      <c r="AC243" s="589">
        <f t="shared" si="119"/>
        <v>23.349021630642742</v>
      </c>
      <c r="AD243" s="589">
        <f t="shared" si="119"/>
        <v>23.231998421442473</v>
      </c>
      <c r="AE243" s="589">
        <f t="shared" si="119"/>
        <v>23.117320236271294</v>
      </c>
      <c r="AF243" s="589">
        <f t="shared" si="119"/>
        <v>23.005015073246593</v>
      </c>
      <c r="AG243" s="589">
        <f t="shared" si="119"/>
        <v>22.895033158481979</v>
      </c>
      <c r="AH243" s="589">
        <f t="shared" si="119"/>
        <v>22.787307653841179</v>
      </c>
      <c r="AI243" s="589">
        <f t="shared" si="119"/>
        <v>22.681821565172548</v>
      </c>
      <c r="AJ243" s="589">
        <f t="shared" si="119"/>
        <v>22.578649579394742</v>
      </c>
      <c r="AK243" s="589">
        <f t="shared" si="119"/>
        <v>22.47770906135608</v>
      </c>
      <c r="AL243" s="589"/>
      <c r="AM243" s="589"/>
      <c r="AN243" s="589"/>
      <c r="AO243" s="589"/>
      <c r="AP243" s="589"/>
      <c r="AQ243" s="589"/>
      <c r="AR243" s="589"/>
      <c r="AS243" s="589"/>
      <c r="AT243" s="589"/>
      <c r="AU243" s="589"/>
      <c r="AV243" s="589"/>
      <c r="AW243" s="589"/>
      <c r="AX243" s="589"/>
      <c r="AY243" s="589"/>
      <c r="AZ243" s="589"/>
      <c r="BA243" s="589"/>
      <c r="BB243" s="589"/>
      <c r="BC243" s="589"/>
      <c r="BD243" s="589"/>
      <c r="BE243" s="589"/>
      <c r="BF243" s="589"/>
      <c r="BG243" s="589"/>
      <c r="BH243" s="589"/>
      <c r="BI243" s="589"/>
      <c r="BJ243" s="589"/>
      <c r="BK243" s="589"/>
      <c r="BL243" s="589"/>
      <c r="BM243" s="589"/>
      <c r="BN243" s="589"/>
      <c r="BO243" s="589"/>
      <c r="BP243" s="589"/>
      <c r="BQ243" s="589"/>
      <c r="BR243" s="589"/>
      <c r="BS243" s="589"/>
      <c r="BT243" s="589"/>
      <c r="BU243" s="589"/>
      <c r="BV243" s="589"/>
      <c r="BW243" s="589"/>
      <c r="BX243" s="589"/>
      <c r="BY243" s="589"/>
      <c r="BZ243" s="589"/>
      <c r="CA243" s="589"/>
      <c r="CB243" s="589"/>
      <c r="CC243" s="589"/>
      <c r="CD243" s="589"/>
      <c r="CE243" s="589"/>
      <c r="CF243" s="589"/>
      <c r="CG243" s="589"/>
      <c r="CH243" s="589"/>
      <c r="CI243" s="560"/>
      <c r="CJ243" s="1479"/>
      <c r="CK243" s="1293"/>
    </row>
    <row r="244" spans="1:89" s="1292" customFormat="1" x14ac:dyDescent="0.2">
      <c r="A244" s="1284"/>
      <c r="B244" s="833" t="s">
        <v>531</v>
      </c>
      <c r="C244" s="834" t="s">
        <v>532</v>
      </c>
      <c r="D244" s="855" t="s">
        <v>86</v>
      </c>
      <c r="E244" s="856" t="s">
        <v>344</v>
      </c>
      <c r="F244" s="857">
        <v>2</v>
      </c>
      <c r="G244" s="593"/>
      <c r="H244" s="593"/>
      <c r="I244" s="593">
        <v>5.9089999999999998</v>
      </c>
      <c r="J244" s="593">
        <v>6.0497184242398276</v>
      </c>
      <c r="K244" s="593">
        <v>6.0797545880510917</v>
      </c>
      <c r="L244" s="593">
        <v>6.2107425934316316</v>
      </c>
      <c r="M244" s="594">
        <v>6.3920580454308684</v>
      </c>
      <c r="N244" s="594">
        <v>6.4205930226834074</v>
      </c>
      <c r="O244" s="594">
        <v>6.4491279999359445</v>
      </c>
      <c r="P244" s="594">
        <v>6.4776629771884835</v>
      </c>
      <c r="Q244" s="594">
        <v>6.5061979544410207</v>
      </c>
      <c r="R244" s="594">
        <v>6.5347329316935596</v>
      </c>
      <c r="S244" s="594">
        <v>6.5632679089460977</v>
      </c>
      <c r="T244" s="594">
        <v>6.5918028861986357</v>
      </c>
      <c r="U244" s="594">
        <v>6.6203378634511747</v>
      </c>
      <c r="V244" s="594">
        <v>6.6488728407037128</v>
      </c>
      <c r="W244" s="594">
        <v>6.6774078179562508</v>
      </c>
      <c r="X244" s="594">
        <v>6.705942795208788</v>
      </c>
      <c r="Y244" s="594">
        <v>6.7344777724613269</v>
      </c>
      <c r="Z244" s="594">
        <v>6.7630127497138659</v>
      </c>
      <c r="AA244" s="594">
        <v>6.7915477269664031</v>
      </c>
      <c r="AB244" s="594">
        <v>6.8200827042189411</v>
      </c>
      <c r="AC244" s="594">
        <v>6.8486176814714801</v>
      </c>
      <c r="AD244" s="594">
        <v>6.877152658724019</v>
      </c>
      <c r="AE244" s="594">
        <v>6.9056876359765553</v>
      </c>
      <c r="AF244" s="594">
        <v>6.9342226132290943</v>
      </c>
      <c r="AG244" s="594">
        <v>6.9627575904816323</v>
      </c>
      <c r="AH244" s="594">
        <v>6.9912925677341713</v>
      </c>
      <c r="AI244" s="594">
        <v>7.0198275449867085</v>
      </c>
      <c r="AJ244" s="594">
        <v>7.0483625222392465</v>
      </c>
      <c r="AK244" s="594">
        <v>7.0768974994917864</v>
      </c>
      <c r="AL244" s="594"/>
      <c r="AM244" s="594"/>
      <c r="AN244" s="594"/>
      <c r="AO244" s="594"/>
      <c r="AP244" s="594"/>
      <c r="AQ244" s="594"/>
      <c r="AR244" s="594"/>
      <c r="AS244" s="594"/>
      <c r="AT244" s="594"/>
      <c r="AU244" s="594"/>
      <c r="AV244" s="594"/>
      <c r="AW244" s="594"/>
      <c r="AX244" s="594"/>
      <c r="AY244" s="594"/>
      <c r="AZ244" s="594"/>
      <c r="BA244" s="594"/>
      <c r="BB244" s="594"/>
      <c r="BC244" s="594"/>
      <c r="BD244" s="594"/>
      <c r="BE244" s="594"/>
      <c r="BF244" s="594"/>
      <c r="BG244" s="594"/>
      <c r="BH244" s="594"/>
      <c r="BI244" s="594"/>
      <c r="BJ244" s="594"/>
      <c r="BK244" s="594"/>
      <c r="BL244" s="594"/>
      <c r="BM244" s="594"/>
      <c r="BN244" s="594"/>
      <c r="BO244" s="594"/>
      <c r="BP244" s="594"/>
      <c r="BQ244" s="594"/>
      <c r="BR244" s="594"/>
      <c r="BS244" s="594"/>
      <c r="BT244" s="594"/>
      <c r="BU244" s="594"/>
      <c r="BV244" s="594"/>
      <c r="BW244" s="594"/>
      <c r="BX244" s="594"/>
      <c r="BY244" s="594"/>
      <c r="BZ244" s="594"/>
      <c r="CA244" s="594"/>
      <c r="CB244" s="594"/>
      <c r="CC244" s="594"/>
      <c r="CD244" s="594"/>
      <c r="CE244" s="594"/>
      <c r="CF244" s="594"/>
      <c r="CG244" s="594"/>
      <c r="CH244" s="594"/>
      <c r="CI244" s="595"/>
      <c r="CJ244" s="1479"/>
      <c r="CK244" s="1293"/>
    </row>
    <row r="245" spans="1:89" s="1292" customFormat="1" x14ac:dyDescent="0.2">
      <c r="A245" s="1284"/>
      <c r="B245" s="837" t="s">
        <v>533</v>
      </c>
      <c r="C245" s="838" t="s">
        <v>534</v>
      </c>
      <c r="D245" s="858" t="s">
        <v>86</v>
      </c>
      <c r="E245" s="844" t="s">
        <v>344</v>
      </c>
      <c r="F245" s="845">
        <v>2</v>
      </c>
      <c r="G245" s="597"/>
      <c r="H245" s="597"/>
      <c r="I245" s="597">
        <v>0.19900000000000001</v>
      </c>
      <c r="J245" s="597">
        <v>0.20557287866130006</v>
      </c>
      <c r="K245" s="597">
        <v>0.20321800534188358</v>
      </c>
      <c r="L245" s="597">
        <v>0.12258687303834717</v>
      </c>
      <c r="M245" s="598">
        <v>5.7453979423387862E-2</v>
      </c>
      <c r="N245" s="598">
        <v>5.6067474279234829E-2</v>
      </c>
      <c r="O245" s="598">
        <v>5.4680969135081796E-2</v>
      </c>
      <c r="P245" s="598">
        <v>5.3294463990928763E-2</v>
      </c>
      <c r="Q245" s="598">
        <v>5.190795884677573E-2</v>
      </c>
      <c r="R245" s="598">
        <v>5.052145370262269E-2</v>
      </c>
      <c r="S245" s="598">
        <v>4.9134948558469657E-2</v>
      </c>
      <c r="T245" s="598">
        <v>4.7748443414316631E-2</v>
      </c>
      <c r="U245" s="598">
        <v>4.6361938270163584E-2</v>
      </c>
      <c r="V245" s="598">
        <v>4.6361938270163584E-2</v>
      </c>
      <c r="W245" s="598">
        <v>4.6361938270163584E-2</v>
      </c>
      <c r="X245" s="598">
        <v>4.6361938270163584E-2</v>
      </c>
      <c r="Y245" s="598">
        <v>4.6361938270163584E-2</v>
      </c>
      <c r="Z245" s="598">
        <v>4.6361938270163584E-2</v>
      </c>
      <c r="AA245" s="598">
        <v>4.6361938270163584E-2</v>
      </c>
      <c r="AB245" s="598">
        <v>4.6361938270163584E-2</v>
      </c>
      <c r="AC245" s="598">
        <v>4.6361938270163584E-2</v>
      </c>
      <c r="AD245" s="598">
        <v>4.6361938270163584E-2</v>
      </c>
      <c r="AE245" s="598">
        <v>4.6361938270163584E-2</v>
      </c>
      <c r="AF245" s="598">
        <v>4.6361938270163584E-2</v>
      </c>
      <c r="AG245" s="598">
        <v>4.6361938270163584E-2</v>
      </c>
      <c r="AH245" s="598">
        <v>4.6361938270163584E-2</v>
      </c>
      <c r="AI245" s="598">
        <v>4.6361938270163584E-2</v>
      </c>
      <c r="AJ245" s="598">
        <v>4.6361938270163584E-2</v>
      </c>
      <c r="AK245" s="598">
        <v>4.6361938270163584E-2</v>
      </c>
      <c r="AL245" s="598"/>
      <c r="AM245" s="598"/>
      <c r="AN245" s="598"/>
      <c r="AO245" s="598"/>
      <c r="AP245" s="598"/>
      <c r="AQ245" s="598"/>
      <c r="AR245" s="598"/>
      <c r="AS245" s="598"/>
      <c r="AT245" s="598"/>
      <c r="AU245" s="598"/>
      <c r="AV245" s="598"/>
      <c r="AW245" s="598"/>
      <c r="AX245" s="598"/>
      <c r="AY245" s="598"/>
      <c r="AZ245" s="598"/>
      <c r="BA245" s="598"/>
      <c r="BB245" s="598"/>
      <c r="BC245" s="598"/>
      <c r="BD245" s="598"/>
      <c r="BE245" s="598"/>
      <c r="BF245" s="598"/>
      <c r="BG245" s="598"/>
      <c r="BH245" s="598"/>
      <c r="BI245" s="598"/>
      <c r="BJ245" s="598"/>
      <c r="BK245" s="598"/>
      <c r="BL245" s="598"/>
      <c r="BM245" s="598"/>
      <c r="BN245" s="598"/>
      <c r="BO245" s="598"/>
      <c r="BP245" s="598"/>
      <c r="BQ245" s="598"/>
      <c r="BR245" s="598"/>
      <c r="BS245" s="598"/>
      <c r="BT245" s="598"/>
      <c r="BU245" s="598"/>
      <c r="BV245" s="598"/>
      <c r="BW245" s="598"/>
      <c r="BX245" s="598"/>
      <c r="BY245" s="598"/>
      <c r="BZ245" s="598"/>
      <c r="CA245" s="598"/>
      <c r="CB245" s="598"/>
      <c r="CC245" s="598"/>
      <c r="CD245" s="598"/>
      <c r="CE245" s="598"/>
      <c r="CF245" s="598"/>
      <c r="CG245" s="598"/>
      <c r="CH245" s="598"/>
      <c r="CI245" s="599"/>
      <c r="CJ245" s="1479"/>
      <c r="CK245" s="1293"/>
    </row>
    <row r="246" spans="1:89" s="1292" customFormat="1" x14ac:dyDescent="0.2">
      <c r="A246" s="1284"/>
      <c r="B246" s="859" t="s">
        <v>535</v>
      </c>
      <c r="C246" s="860" t="s">
        <v>536</v>
      </c>
      <c r="D246" s="858" t="s">
        <v>86</v>
      </c>
      <c r="E246" s="844" t="s">
        <v>344</v>
      </c>
      <c r="F246" s="845">
        <v>2</v>
      </c>
      <c r="G246" s="597"/>
      <c r="H246" s="597"/>
      <c r="I246" s="597">
        <v>1.1990000000000001</v>
      </c>
      <c r="J246" s="597">
        <v>1.0715058907424664</v>
      </c>
      <c r="K246" s="597">
        <v>1.0751217938942144</v>
      </c>
      <c r="L246" s="597">
        <v>1.0560621144608044</v>
      </c>
      <c r="M246" s="598">
        <v>0.97117674972012147</v>
      </c>
      <c r="N246" s="598">
        <v>0.97532547125533076</v>
      </c>
      <c r="O246" s="598">
        <v>0.97947419279053993</v>
      </c>
      <c r="P246" s="598">
        <v>0.98362291432574944</v>
      </c>
      <c r="Q246" s="598">
        <v>0.98777163586095873</v>
      </c>
      <c r="R246" s="598">
        <v>0.99192035739616824</v>
      </c>
      <c r="S246" s="598">
        <v>0.99606907893137753</v>
      </c>
      <c r="T246" s="598">
        <v>1.0002178004665871</v>
      </c>
      <c r="U246" s="598">
        <v>1.0043665220017965</v>
      </c>
      <c r="V246" s="598">
        <v>1.0086692996641338</v>
      </c>
      <c r="W246" s="598">
        <v>1.0129720773264712</v>
      </c>
      <c r="X246" s="598">
        <v>1.0172748549888087</v>
      </c>
      <c r="Y246" s="598">
        <v>1.0215776326511461</v>
      </c>
      <c r="Z246" s="598">
        <v>1.0258804103134835</v>
      </c>
      <c r="AA246" s="598">
        <v>1.030183187975821</v>
      </c>
      <c r="AB246" s="598">
        <v>1.0344859656381586</v>
      </c>
      <c r="AC246" s="598">
        <v>1.0387887433004961</v>
      </c>
      <c r="AD246" s="598">
        <v>1.0430915209628335</v>
      </c>
      <c r="AE246" s="598">
        <v>1.047394298625171</v>
      </c>
      <c r="AF246" s="598">
        <v>1.0516970762875084</v>
      </c>
      <c r="AG246" s="598">
        <v>1.0559998539498459</v>
      </c>
      <c r="AH246" s="598">
        <v>1.0603026316121831</v>
      </c>
      <c r="AI246" s="598">
        <v>1.0646054092745207</v>
      </c>
      <c r="AJ246" s="598">
        <v>1.0689081869368582</v>
      </c>
      <c r="AK246" s="598">
        <v>1.0732109645991956</v>
      </c>
      <c r="AL246" s="598"/>
      <c r="AM246" s="598"/>
      <c r="AN246" s="598"/>
      <c r="AO246" s="598"/>
      <c r="AP246" s="598"/>
      <c r="AQ246" s="598"/>
      <c r="AR246" s="598"/>
      <c r="AS246" s="598"/>
      <c r="AT246" s="598"/>
      <c r="AU246" s="598"/>
      <c r="AV246" s="598"/>
      <c r="AW246" s="598"/>
      <c r="AX246" s="598"/>
      <c r="AY246" s="598"/>
      <c r="AZ246" s="598"/>
      <c r="BA246" s="598"/>
      <c r="BB246" s="598"/>
      <c r="BC246" s="598"/>
      <c r="BD246" s="598"/>
      <c r="BE246" s="598"/>
      <c r="BF246" s="598"/>
      <c r="BG246" s="598"/>
      <c r="BH246" s="598"/>
      <c r="BI246" s="598"/>
      <c r="BJ246" s="598"/>
      <c r="BK246" s="598"/>
      <c r="BL246" s="598"/>
      <c r="BM246" s="598"/>
      <c r="BN246" s="598"/>
      <c r="BO246" s="598"/>
      <c r="BP246" s="598"/>
      <c r="BQ246" s="598"/>
      <c r="BR246" s="598"/>
      <c r="BS246" s="598"/>
      <c r="BT246" s="598"/>
      <c r="BU246" s="598"/>
      <c r="BV246" s="598"/>
      <c r="BW246" s="598"/>
      <c r="BX246" s="598"/>
      <c r="BY246" s="598"/>
      <c r="BZ246" s="598"/>
      <c r="CA246" s="598"/>
      <c r="CB246" s="598"/>
      <c r="CC246" s="598"/>
      <c r="CD246" s="598"/>
      <c r="CE246" s="598"/>
      <c r="CF246" s="598"/>
      <c r="CG246" s="598"/>
      <c r="CH246" s="598"/>
      <c r="CI246" s="599"/>
      <c r="CJ246" s="1479"/>
      <c r="CK246" s="1293"/>
    </row>
    <row r="247" spans="1:89" s="1292" customFormat="1" ht="28.5" x14ac:dyDescent="0.2">
      <c r="A247" s="1284"/>
      <c r="B247" s="859" t="s">
        <v>537</v>
      </c>
      <c r="C247" s="860" t="s">
        <v>538</v>
      </c>
      <c r="D247" s="602" t="s">
        <v>539</v>
      </c>
      <c r="E247" s="603" t="s">
        <v>344</v>
      </c>
      <c r="F247" s="604">
        <v>2</v>
      </c>
      <c r="G247" s="597"/>
      <c r="H247" s="597"/>
      <c r="I247" s="597">
        <v>66.096000000000004</v>
      </c>
      <c r="J247" s="552">
        <f t="shared" ref="J247" si="120">I247+SUM(J248:J253)</f>
        <v>66.826625834473973</v>
      </c>
      <c r="K247" s="552">
        <f t="shared" ref="K247" si="121">J247+SUM(K248:K253)</f>
        <v>68.338795487888873</v>
      </c>
      <c r="L247" s="552">
        <f t="shared" ref="L247" si="122">K247+SUM(L248:L253)</f>
        <v>70.369334615768921</v>
      </c>
      <c r="M247" s="552">
        <f t="shared" ref="M247" si="123">L247+SUM(M248:M253)</f>
        <v>74.013571043018345</v>
      </c>
      <c r="N247" s="552">
        <f t="shared" ref="N247" si="124">M247+SUM(N248:N253)</f>
        <v>77.217958275216787</v>
      </c>
      <c r="O247" s="552">
        <f t="shared" ref="O247" si="125">N247+SUM(O248:O253)</f>
        <v>78.661232763114413</v>
      </c>
      <c r="P247" s="552">
        <f t="shared" ref="P247" si="126">O247+SUM(P248:P253)</f>
        <v>80.013779477011198</v>
      </c>
      <c r="Q247" s="552">
        <f t="shared" ref="Q247" si="127">P247+SUM(Q248:Q253)</f>
        <v>81.278303078147033</v>
      </c>
      <c r="R247" s="552">
        <f t="shared" ref="R247" si="128">Q247+SUM(R248:R253)</f>
        <v>82.236709479109578</v>
      </c>
      <c r="S247" s="552">
        <f t="shared" ref="S247" si="129">R247+SUM(S248:S253)</f>
        <v>82.91014081380834</v>
      </c>
      <c r="T247" s="552">
        <f t="shared" ref="T247" si="130">S247+SUM(T248:T253)</f>
        <v>83.576803338409164</v>
      </c>
      <c r="U247" s="552">
        <f t="shared" ref="U247" si="131">T247+SUM(U248:U253)</f>
        <v>84.237096815910434</v>
      </c>
      <c r="V247" s="552">
        <f t="shared" ref="V247" si="132">U247+SUM(V248:V253)</f>
        <v>84.891399897537241</v>
      </c>
      <c r="W247" s="552">
        <f t="shared" ref="W247" si="133">V247+SUM(W248:W253)</f>
        <v>85.539994708181965</v>
      </c>
      <c r="X247" s="552">
        <f t="shared" ref="X247" si="134">W247+SUM(X248:X253)</f>
        <v>86.182059177551395</v>
      </c>
      <c r="Y247" s="552">
        <f t="shared" ref="Y247" si="135">X247+SUM(Y248:Y253)</f>
        <v>86.818035458127881</v>
      </c>
      <c r="Z247" s="552">
        <f t="shared" ref="Z247" si="136">Y247+SUM(Z248:Z253)</f>
        <v>87.44728080483462</v>
      </c>
      <c r="AA247" s="552">
        <f t="shared" ref="AA247" si="137">Z247+SUM(AA248:AA253)</f>
        <v>88.062732190867408</v>
      </c>
      <c r="AB247" s="552">
        <f t="shared" ref="AB247" si="138">AA247+SUM(AB248:AB253)</f>
        <v>88.671370414774074</v>
      </c>
      <c r="AC247" s="552">
        <f t="shared" ref="AC247" si="139">AB247+SUM(AC248:AC253)</f>
        <v>89.273747483878765</v>
      </c>
      <c r="AD247" s="552">
        <f t="shared" ref="AD247" si="140">AC247+SUM(AD248:AD253)</f>
        <v>89.869908787690946</v>
      </c>
      <c r="AE247" s="552">
        <f t="shared" ref="AE247" si="141">AD247+SUM(AE248:AE253)</f>
        <v>90.460134462426069</v>
      </c>
      <c r="AF247" s="552">
        <f t="shared" ref="AF247" si="142">AE247+SUM(AF248:AF253)</f>
        <v>91.044015440633103</v>
      </c>
      <c r="AG247" s="552">
        <f t="shared" ref="AG247" si="143">AF247+SUM(AG248:AG253)</f>
        <v>91.621537442792558</v>
      </c>
      <c r="AH247" s="552">
        <f t="shared" ref="AH247" si="144">AG247+SUM(AH248:AH253)</f>
        <v>92.192781380432024</v>
      </c>
      <c r="AI247" s="552">
        <f t="shared" ref="AI247" si="145">AH247+SUM(AI248:AI253)</f>
        <v>92.757579362464242</v>
      </c>
      <c r="AJ247" s="552">
        <f t="shared" ref="AJ247" si="146">AI247+SUM(AJ248:AJ253)</f>
        <v>93.315283871838133</v>
      </c>
      <c r="AK247" s="552">
        <f t="shared" ref="AK247" si="147">AJ247+SUM(AK248:AK253)</f>
        <v>93.866071495727482</v>
      </c>
      <c r="AL247" s="552"/>
      <c r="AM247" s="552"/>
      <c r="AN247" s="552"/>
      <c r="AO247" s="552"/>
      <c r="AP247" s="552"/>
      <c r="AQ247" s="552"/>
      <c r="AR247" s="552"/>
      <c r="AS247" s="552"/>
      <c r="AT247" s="552"/>
      <c r="AU247" s="552"/>
      <c r="AV247" s="552"/>
      <c r="AW247" s="552"/>
      <c r="AX247" s="552"/>
      <c r="AY247" s="552"/>
      <c r="AZ247" s="552"/>
      <c r="BA247" s="552"/>
      <c r="BB247" s="552"/>
      <c r="BC247" s="552"/>
      <c r="BD247" s="552"/>
      <c r="BE247" s="552"/>
      <c r="BF247" s="552"/>
      <c r="BG247" s="552"/>
      <c r="BH247" s="552"/>
      <c r="BI247" s="552"/>
      <c r="BJ247" s="552"/>
      <c r="BK247" s="552"/>
      <c r="BL247" s="552"/>
      <c r="BM247" s="552"/>
      <c r="BN247" s="552"/>
      <c r="BO247" s="552"/>
      <c r="BP247" s="552"/>
      <c r="BQ247" s="552"/>
      <c r="BR247" s="552"/>
      <c r="BS247" s="552"/>
      <c r="BT247" s="552"/>
      <c r="BU247" s="552"/>
      <c r="BV247" s="552"/>
      <c r="BW247" s="552"/>
      <c r="BX247" s="552"/>
      <c r="BY247" s="552"/>
      <c r="BZ247" s="552"/>
      <c r="CA247" s="552"/>
      <c r="CB247" s="552"/>
      <c r="CC247" s="552"/>
      <c r="CD247" s="552"/>
      <c r="CE247" s="552"/>
      <c r="CF247" s="552"/>
      <c r="CG247" s="552"/>
      <c r="CH247" s="552"/>
      <c r="CI247" s="548"/>
      <c r="CJ247" s="1479"/>
      <c r="CK247" s="1293"/>
    </row>
    <row r="248" spans="1:89" s="1292" customFormat="1" x14ac:dyDescent="0.2">
      <c r="A248" s="1284"/>
      <c r="B248" s="859" t="s">
        <v>540</v>
      </c>
      <c r="C248" s="860" t="s">
        <v>541</v>
      </c>
      <c r="D248" s="602" t="s">
        <v>542</v>
      </c>
      <c r="E248" s="603" t="s">
        <v>344</v>
      </c>
      <c r="F248" s="604">
        <v>2</v>
      </c>
      <c r="G248" s="597"/>
      <c r="H248" s="597"/>
      <c r="I248" s="597">
        <v>0.42699999999999999</v>
      </c>
      <c r="J248" s="597">
        <v>0.48688780049825436</v>
      </c>
      <c r="K248" s="597">
        <v>1.2295706409975247</v>
      </c>
      <c r="L248" s="597">
        <v>1.1194672742417315</v>
      </c>
      <c r="M248" s="598">
        <v>1.1503983206225092</v>
      </c>
      <c r="N248" s="598">
        <v>1.0326793054495065</v>
      </c>
      <c r="O248" s="598">
        <v>0.88166889654174152</v>
      </c>
      <c r="P248" s="598">
        <v>0.78832755269874177</v>
      </c>
      <c r="Q248" s="598">
        <v>0.69919436293649784</v>
      </c>
      <c r="R248" s="598">
        <v>0.67067344885074998</v>
      </c>
      <c r="S248" s="598">
        <v>0.66395618639375609</v>
      </c>
      <c r="T248" s="598">
        <v>0.6569858013547637</v>
      </c>
      <c r="U248" s="598">
        <v>0.65042263415247725</v>
      </c>
      <c r="V248" s="598">
        <v>0.64424846366225397</v>
      </c>
      <c r="W248" s="598">
        <v>0.63836643459500919</v>
      </c>
      <c r="X248" s="598">
        <v>0.6316360990207468</v>
      </c>
      <c r="Y248" s="598">
        <v>0.62536470498675767</v>
      </c>
      <c r="Z248" s="598">
        <v>0.61843367217523337</v>
      </c>
      <c r="AA248" s="598">
        <v>0.61191929456674554</v>
      </c>
      <c r="AB248" s="598">
        <v>0.60489963992676343</v>
      </c>
      <c r="AC248" s="598">
        <v>0.59845337435124379</v>
      </c>
      <c r="AD248" s="598">
        <v>0.59205163868849919</v>
      </c>
      <c r="AE248" s="598">
        <v>0.58593391473325029</v>
      </c>
      <c r="AF248" s="598">
        <v>0.57939662432348993</v>
      </c>
      <c r="AG248" s="598">
        <v>0.57284443561901566</v>
      </c>
      <c r="AH248" s="598">
        <v>0.56637737045774705</v>
      </c>
      <c r="AI248" s="598">
        <v>0.55973880560000544</v>
      </c>
      <c r="AJ248" s="598">
        <v>0.55243201133050024</v>
      </c>
      <c r="AK248" s="598">
        <v>0.54530585798399989</v>
      </c>
      <c r="AL248" s="598"/>
      <c r="AM248" s="598"/>
      <c r="AN248" s="598"/>
      <c r="AO248" s="598"/>
      <c r="AP248" s="598"/>
      <c r="AQ248" s="598"/>
      <c r="AR248" s="598"/>
      <c r="AS248" s="598"/>
      <c r="AT248" s="598"/>
      <c r="AU248" s="598"/>
      <c r="AV248" s="598"/>
      <c r="AW248" s="598"/>
      <c r="AX248" s="598"/>
      <c r="AY248" s="598"/>
      <c r="AZ248" s="598"/>
      <c r="BA248" s="598"/>
      <c r="BB248" s="598"/>
      <c r="BC248" s="598"/>
      <c r="BD248" s="598"/>
      <c r="BE248" s="598"/>
      <c r="BF248" s="598"/>
      <c r="BG248" s="598"/>
      <c r="BH248" s="598"/>
      <c r="BI248" s="598"/>
      <c r="BJ248" s="598"/>
      <c r="BK248" s="598"/>
      <c r="BL248" s="598"/>
      <c r="BM248" s="598"/>
      <c r="BN248" s="598"/>
      <c r="BO248" s="598"/>
      <c r="BP248" s="598"/>
      <c r="BQ248" s="598"/>
      <c r="BR248" s="598"/>
      <c r="BS248" s="598"/>
      <c r="BT248" s="598"/>
      <c r="BU248" s="598"/>
      <c r="BV248" s="598"/>
      <c r="BW248" s="598"/>
      <c r="BX248" s="598"/>
      <c r="BY248" s="598"/>
      <c r="BZ248" s="598"/>
      <c r="CA248" s="598"/>
      <c r="CB248" s="598"/>
      <c r="CC248" s="598"/>
      <c r="CD248" s="598"/>
      <c r="CE248" s="598"/>
      <c r="CF248" s="598"/>
      <c r="CG248" s="598"/>
      <c r="CH248" s="598"/>
      <c r="CI248" s="599"/>
      <c r="CJ248" s="1479"/>
      <c r="CK248" s="1293"/>
    </row>
    <row r="249" spans="1:89" s="1292" customFormat="1" x14ac:dyDescent="0.2">
      <c r="A249" s="1284"/>
      <c r="B249" s="859" t="s">
        <v>543</v>
      </c>
      <c r="C249" s="860" t="s">
        <v>544</v>
      </c>
      <c r="D249" s="602" t="s">
        <v>545</v>
      </c>
      <c r="E249" s="603" t="s">
        <v>344</v>
      </c>
      <c r="F249" s="604">
        <v>2</v>
      </c>
      <c r="G249" s="597"/>
      <c r="H249" s="597"/>
      <c r="I249" s="597">
        <v>0</v>
      </c>
      <c r="J249" s="597">
        <v>0.27817138937187569</v>
      </c>
      <c r="K249" s="597">
        <v>0.33800000000000002</v>
      </c>
      <c r="L249" s="597">
        <v>0.98350000000000004</v>
      </c>
      <c r="M249" s="598">
        <v>2.6174184272398326</v>
      </c>
      <c r="N249" s="598">
        <v>2.2800306814960565</v>
      </c>
      <c r="O249" s="598">
        <v>0.61622450851244759</v>
      </c>
      <c r="P249" s="598">
        <v>0.61622450851244759</v>
      </c>
      <c r="Q249" s="598">
        <v>0.61622450851244759</v>
      </c>
      <c r="R249" s="598">
        <v>0.3292949717363392</v>
      </c>
      <c r="S249" s="598">
        <v>4.2365434960230777E-2</v>
      </c>
      <c r="T249" s="598">
        <v>4.2365434960230777E-2</v>
      </c>
      <c r="U249" s="598">
        <v>4.2365434960230777E-2</v>
      </c>
      <c r="V249" s="598">
        <v>4.2365434960230777E-2</v>
      </c>
      <c r="W249" s="598">
        <v>4.2365434960230777E-2</v>
      </c>
      <c r="X249" s="598">
        <v>4.2365434960230777E-2</v>
      </c>
      <c r="Y249" s="598">
        <v>4.2365434960230777E-2</v>
      </c>
      <c r="Z249" s="598">
        <v>4.2365434960230777E-2</v>
      </c>
      <c r="AA249" s="598">
        <v>4.2365434960230777E-2</v>
      </c>
      <c r="AB249" s="598">
        <v>4.2365434960230777E-2</v>
      </c>
      <c r="AC249" s="598">
        <v>4.2365434960230777E-2</v>
      </c>
      <c r="AD249" s="598">
        <v>4.2365434960230777E-2</v>
      </c>
      <c r="AE249" s="598">
        <v>4.2365434960230777E-2</v>
      </c>
      <c r="AF249" s="598">
        <v>4.2365434960230777E-2</v>
      </c>
      <c r="AG249" s="598">
        <v>4.2365434960230777E-2</v>
      </c>
      <c r="AH249" s="598">
        <v>4.2365434960230777E-2</v>
      </c>
      <c r="AI249" s="598">
        <v>4.2365434960230777E-2</v>
      </c>
      <c r="AJ249" s="598">
        <v>4.2365434960230777E-2</v>
      </c>
      <c r="AK249" s="598">
        <v>4.2365434960230777E-2</v>
      </c>
      <c r="AL249" s="598"/>
      <c r="AM249" s="598"/>
      <c r="AN249" s="598"/>
      <c r="AO249" s="598"/>
      <c r="AP249" s="598"/>
      <c r="AQ249" s="598"/>
      <c r="AR249" s="598"/>
      <c r="AS249" s="598"/>
      <c r="AT249" s="598"/>
      <c r="AU249" s="598"/>
      <c r="AV249" s="598"/>
      <c r="AW249" s="598"/>
      <c r="AX249" s="598"/>
      <c r="AY249" s="598"/>
      <c r="AZ249" s="598"/>
      <c r="BA249" s="598"/>
      <c r="BB249" s="598"/>
      <c r="BC249" s="598"/>
      <c r="BD249" s="598"/>
      <c r="BE249" s="598"/>
      <c r="BF249" s="598"/>
      <c r="BG249" s="598"/>
      <c r="BH249" s="598"/>
      <c r="BI249" s="598"/>
      <c r="BJ249" s="598"/>
      <c r="BK249" s="598"/>
      <c r="BL249" s="598"/>
      <c r="BM249" s="598"/>
      <c r="BN249" s="598"/>
      <c r="BO249" s="598"/>
      <c r="BP249" s="598"/>
      <c r="BQ249" s="598"/>
      <c r="BR249" s="598"/>
      <c r="BS249" s="598"/>
      <c r="BT249" s="598"/>
      <c r="BU249" s="598"/>
      <c r="BV249" s="598"/>
      <c r="BW249" s="598"/>
      <c r="BX249" s="598"/>
      <c r="BY249" s="598"/>
      <c r="BZ249" s="598"/>
      <c r="CA249" s="598"/>
      <c r="CB249" s="598"/>
      <c r="CC249" s="598"/>
      <c r="CD249" s="598"/>
      <c r="CE249" s="598"/>
      <c r="CF249" s="598"/>
      <c r="CG249" s="598"/>
      <c r="CH249" s="598"/>
      <c r="CI249" s="599"/>
      <c r="CJ249" s="1479"/>
      <c r="CK249" s="1293"/>
    </row>
    <row r="250" spans="1:89" s="1292" customFormat="1" x14ac:dyDescent="0.2">
      <c r="A250" s="1284"/>
      <c r="B250" s="859" t="s">
        <v>546</v>
      </c>
      <c r="C250" s="860" t="s">
        <v>547</v>
      </c>
      <c r="D250" s="602" t="s">
        <v>548</v>
      </c>
      <c r="E250" s="603" t="s">
        <v>344</v>
      </c>
      <c r="F250" s="604">
        <v>2</v>
      </c>
      <c r="G250" s="597"/>
      <c r="H250" s="597"/>
      <c r="I250" s="597">
        <v>0</v>
      </c>
      <c r="J250" s="597">
        <v>0</v>
      </c>
      <c r="K250" s="597">
        <v>0</v>
      </c>
      <c r="L250" s="597">
        <v>0</v>
      </c>
      <c r="M250" s="598">
        <v>0</v>
      </c>
      <c r="N250" s="598">
        <v>3.0000000000000001E-3</v>
      </c>
      <c r="O250" s="598">
        <v>3.0000000000000001E-3</v>
      </c>
      <c r="P250" s="598">
        <v>3.0000000000000001E-3</v>
      </c>
      <c r="Q250" s="598">
        <v>3.0000000000000001E-3</v>
      </c>
      <c r="R250" s="598">
        <v>3.0000000000000001E-3</v>
      </c>
      <c r="S250" s="598">
        <v>3.0000000000000001E-3</v>
      </c>
      <c r="T250" s="598">
        <v>3.0000000000000001E-3</v>
      </c>
      <c r="U250" s="598">
        <v>3.0000000000000001E-3</v>
      </c>
      <c r="V250" s="598">
        <v>3.0000000000000001E-3</v>
      </c>
      <c r="W250" s="598">
        <v>3.0000000000000001E-3</v>
      </c>
      <c r="X250" s="598">
        <v>3.0000000000000001E-3</v>
      </c>
      <c r="Y250" s="598">
        <v>3.0000000000000001E-3</v>
      </c>
      <c r="Z250" s="598">
        <v>3.0000000000000001E-3</v>
      </c>
      <c r="AA250" s="598">
        <v>3.0000000000000001E-3</v>
      </c>
      <c r="AB250" s="598">
        <v>3.0000000000000001E-3</v>
      </c>
      <c r="AC250" s="598">
        <v>3.0000000000000001E-3</v>
      </c>
      <c r="AD250" s="598">
        <v>3.0000000000000001E-3</v>
      </c>
      <c r="AE250" s="598">
        <v>3.0000000000000001E-3</v>
      </c>
      <c r="AF250" s="598">
        <v>3.0000000000000001E-3</v>
      </c>
      <c r="AG250" s="598">
        <v>3.0000000000000001E-3</v>
      </c>
      <c r="AH250" s="598">
        <v>3.0000000000000001E-3</v>
      </c>
      <c r="AI250" s="598">
        <v>3.0000000000000001E-3</v>
      </c>
      <c r="AJ250" s="598">
        <v>3.0000000000000001E-3</v>
      </c>
      <c r="AK250" s="598">
        <v>3.0000000000000001E-3</v>
      </c>
      <c r="AL250" s="598"/>
      <c r="AM250" s="598"/>
      <c r="AN250" s="598"/>
      <c r="AO250" s="598"/>
      <c r="AP250" s="598"/>
      <c r="AQ250" s="598"/>
      <c r="AR250" s="598"/>
      <c r="AS250" s="598"/>
      <c r="AT250" s="598"/>
      <c r="AU250" s="598"/>
      <c r="AV250" s="598"/>
      <c r="AW250" s="598"/>
      <c r="AX250" s="598"/>
      <c r="AY250" s="598"/>
      <c r="AZ250" s="598"/>
      <c r="BA250" s="598"/>
      <c r="BB250" s="598"/>
      <c r="BC250" s="598"/>
      <c r="BD250" s="598"/>
      <c r="BE250" s="598"/>
      <c r="BF250" s="598"/>
      <c r="BG250" s="598"/>
      <c r="BH250" s="598"/>
      <c r="BI250" s="598"/>
      <c r="BJ250" s="598"/>
      <c r="BK250" s="598"/>
      <c r="BL250" s="598"/>
      <c r="BM250" s="598"/>
      <c r="BN250" s="598"/>
      <c r="BO250" s="598"/>
      <c r="BP250" s="598"/>
      <c r="BQ250" s="598"/>
      <c r="BR250" s="598"/>
      <c r="BS250" s="598"/>
      <c r="BT250" s="598"/>
      <c r="BU250" s="598"/>
      <c r="BV250" s="598"/>
      <c r="BW250" s="598"/>
      <c r="BX250" s="598"/>
      <c r="BY250" s="598"/>
      <c r="BZ250" s="598"/>
      <c r="CA250" s="598"/>
      <c r="CB250" s="598"/>
      <c r="CC250" s="598"/>
      <c r="CD250" s="598"/>
      <c r="CE250" s="598"/>
      <c r="CF250" s="598"/>
      <c r="CG250" s="598"/>
      <c r="CH250" s="598"/>
      <c r="CI250" s="599"/>
      <c r="CJ250" s="1479"/>
      <c r="CK250" s="1293"/>
    </row>
    <row r="251" spans="1:89" s="1292" customFormat="1" ht="28.5" x14ac:dyDescent="0.2">
      <c r="A251" s="1284"/>
      <c r="B251" s="859" t="s">
        <v>549</v>
      </c>
      <c r="C251" s="860" t="s">
        <v>550</v>
      </c>
      <c r="D251" s="602" t="s">
        <v>551</v>
      </c>
      <c r="E251" s="603" t="s">
        <v>344</v>
      </c>
      <c r="F251" s="604">
        <v>2</v>
      </c>
      <c r="G251" s="597"/>
      <c r="H251" s="597"/>
      <c r="I251" s="597">
        <v>0</v>
      </c>
      <c r="J251" s="597">
        <v>0</v>
      </c>
      <c r="K251" s="597">
        <v>0</v>
      </c>
      <c r="L251" s="597">
        <v>0</v>
      </c>
      <c r="M251" s="598">
        <v>0</v>
      </c>
      <c r="N251" s="598">
        <v>0</v>
      </c>
      <c r="O251" s="598">
        <v>0</v>
      </c>
      <c r="P251" s="598">
        <v>0</v>
      </c>
      <c r="Q251" s="598">
        <v>0</v>
      </c>
      <c r="R251" s="598">
        <v>0</v>
      </c>
      <c r="S251" s="598">
        <v>0</v>
      </c>
      <c r="T251" s="598">
        <v>0</v>
      </c>
      <c r="U251" s="598">
        <v>0</v>
      </c>
      <c r="V251" s="598">
        <v>0</v>
      </c>
      <c r="W251" s="598">
        <v>0</v>
      </c>
      <c r="X251" s="598">
        <v>0</v>
      </c>
      <c r="Y251" s="598">
        <v>0</v>
      </c>
      <c r="Z251" s="598">
        <v>0</v>
      </c>
      <c r="AA251" s="598">
        <v>0</v>
      </c>
      <c r="AB251" s="598">
        <v>0</v>
      </c>
      <c r="AC251" s="598">
        <v>0</v>
      </c>
      <c r="AD251" s="598">
        <v>0</v>
      </c>
      <c r="AE251" s="598">
        <v>0</v>
      </c>
      <c r="AF251" s="598">
        <v>0</v>
      </c>
      <c r="AG251" s="598">
        <v>0</v>
      </c>
      <c r="AH251" s="598">
        <v>0</v>
      </c>
      <c r="AI251" s="598">
        <v>0</v>
      </c>
      <c r="AJ251" s="598">
        <v>0</v>
      </c>
      <c r="AK251" s="598">
        <v>0</v>
      </c>
      <c r="AL251" s="598"/>
      <c r="AM251" s="598"/>
      <c r="AN251" s="598"/>
      <c r="AO251" s="598"/>
      <c r="AP251" s="598"/>
      <c r="AQ251" s="598"/>
      <c r="AR251" s="598"/>
      <c r="AS251" s="598"/>
      <c r="AT251" s="598"/>
      <c r="AU251" s="598"/>
      <c r="AV251" s="598"/>
      <c r="AW251" s="598"/>
      <c r="AX251" s="598"/>
      <c r="AY251" s="598"/>
      <c r="AZ251" s="598"/>
      <c r="BA251" s="598"/>
      <c r="BB251" s="598"/>
      <c r="BC251" s="598"/>
      <c r="BD251" s="598"/>
      <c r="BE251" s="598"/>
      <c r="BF251" s="598"/>
      <c r="BG251" s="598"/>
      <c r="BH251" s="598"/>
      <c r="BI251" s="598"/>
      <c r="BJ251" s="598"/>
      <c r="BK251" s="598"/>
      <c r="BL251" s="598"/>
      <c r="BM251" s="598"/>
      <c r="BN251" s="598"/>
      <c r="BO251" s="598"/>
      <c r="BP251" s="598"/>
      <c r="BQ251" s="598"/>
      <c r="BR251" s="598"/>
      <c r="BS251" s="598"/>
      <c r="BT251" s="598"/>
      <c r="BU251" s="598"/>
      <c r="BV251" s="598"/>
      <c r="BW251" s="598"/>
      <c r="BX251" s="598"/>
      <c r="BY251" s="598"/>
      <c r="BZ251" s="598"/>
      <c r="CA251" s="598"/>
      <c r="CB251" s="598"/>
      <c r="CC251" s="598"/>
      <c r="CD251" s="598"/>
      <c r="CE251" s="598"/>
      <c r="CF251" s="598"/>
      <c r="CG251" s="598"/>
      <c r="CH251" s="598"/>
      <c r="CI251" s="599"/>
      <c r="CJ251" s="1479"/>
      <c r="CK251" s="1293"/>
    </row>
    <row r="252" spans="1:89" s="1292" customFormat="1" x14ac:dyDescent="0.2">
      <c r="A252" s="1284"/>
      <c r="B252" s="859" t="s">
        <v>552</v>
      </c>
      <c r="C252" s="860" t="s">
        <v>553</v>
      </c>
      <c r="D252" s="602" t="s">
        <v>554</v>
      </c>
      <c r="E252" s="603" t="s">
        <v>344</v>
      </c>
      <c r="F252" s="604">
        <v>2</v>
      </c>
      <c r="G252" s="597"/>
      <c r="H252" s="597"/>
      <c r="I252" s="597">
        <v>0</v>
      </c>
      <c r="J252" s="597">
        <v>1.155E-3</v>
      </c>
      <c r="K252" s="597">
        <v>2.31E-3</v>
      </c>
      <c r="L252" s="597">
        <v>1.1549999999999976E-3</v>
      </c>
      <c r="M252" s="598">
        <v>1.5E-3</v>
      </c>
      <c r="N252" s="598">
        <v>3.0000000000000001E-3</v>
      </c>
      <c r="O252" s="598">
        <v>3.0000000000000001E-3</v>
      </c>
      <c r="P252" s="598">
        <v>3.0000000000000001E-3</v>
      </c>
      <c r="Q252" s="598">
        <v>3.0000000000000001E-3</v>
      </c>
      <c r="R252" s="598">
        <v>3.0000000000000001E-3</v>
      </c>
      <c r="S252" s="598">
        <v>3.0000000000000001E-3</v>
      </c>
      <c r="T252" s="598">
        <v>3.0000000000000001E-3</v>
      </c>
      <c r="U252" s="598">
        <v>3.0000000000000001E-3</v>
      </c>
      <c r="V252" s="598">
        <v>3.0000000000000001E-3</v>
      </c>
      <c r="W252" s="598">
        <v>3.0000000000000001E-3</v>
      </c>
      <c r="X252" s="598">
        <v>3.0000000000000001E-3</v>
      </c>
      <c r="Y252" s="598">
        <v>3.0000000000000001E-3</v>
      </c>
      <c r="Z252" s="598">
        <v>3.0000000000000001E-3</v>
      </c>
      <c r="AA252" s="598">
        <v>3.0000000000000001E-3</v>
      </c>
      <c r="AB252" s="598">
        <v>3.0000000000000001E-3</v>
      </c>
      <c r="AC252" s="598">
        <v>3.0000000000000001E-3</v>
      </c>
      <c r="AD252" s="598">
        <v>3.0000000000000001E-3</v>
      </c>
      <c r="AE252" s="598">
        <v>3.0000000000000001E-3</v>
      </c>
      <c r="AF252" s="598">
        <v>3.0000000000000001E-3</v>
      </c>
      <c r="AG252" s="598">
        <v>3.0000000000000001E-3</v>
      </c>
      <c r="AH252" s="598">
        <v>3.0000000000000001E-3</v>
      </c>
      <c r="AI252" s="598">
        <v>3.0000000000000001E-3</v>
      </c>
      <c r="AJ252" s="598">
        <v>3.0000000000000001E-3</v>
      </c>
      <c r="AK252" s="598">
        <v>3.0000000000000001E-3</v>
      </c>
      <c r="AL252" s="598"/>
      <c r="AM252" s="598"/>
      <c r="AN252" s="598"/>
      <c r="AO252" s="598"/>
      <c r="AP252" s="598"/>
      <c r="AQ252" s="598"/>
      <c r="AR252" s="598"/>
      <c r="AS252" s="598"/>
      <c r="AT252" s="598"/>
      <c r="AU252" s="598"/>
      <c r="AV252" s="598"/>
      <c r="AW252" s="598"/>
      <c r="AX252" s="598"/>
      <c r="AY252" s="598"/>
      <c r="AZ252" s="598"/>
      <c r="BA252" s="598"/>
      <c r="BB252" s="598"/>
      <c r="BC252" s="598"/>
      <c r="BD252" s="598"/>
      <c r="BE252" s="598"/>
      <c r="BF252" s="598"/>
      <c r="BG252" s="598"/>
      <c r="BH252" s="598"/>
      <c r="BI252" s="598"/>
      <c r="BJ252" s="598"/>
      <c r="BK252" s="598"/>
      <c r="BL252" s="598"/>
      <c r="BM252" s="598"/>
      <c r="BN252" s="598"/>
      <c r="BO252" s="598"/>
      <c r="BP252" s="598"/>
      <c r="BQ252" s="598"/>
      <c r="BR252" s="598"/>
      <c r="BS252" s="598"/>
      <c r="BT252" s="598"/>
      <c r="BU252" s="598"/>
      <c r="BV252" s="598"/>
      <c r="BW252" s="598"/>
      <c r="BX252" s="598"/>
      <c r="BY252" s="598"/>
      <c r="BZ252" s="598"/>
      <c r="CA252" s="598"/>
      <c r="CB252" s="598"/>
      <c r="CC252" s="598"/>
      <c r="CD252" s="598"/>
      <c r="CE252" s="598"/>
      <c r="CF252" s="598"/>
      <c r="CG252" s="598"/>
      <c r="CH252" s="598"/>
      <c r="CI252" s="599"/>
      <c r="CJ252" s="1479"/>
      <c r="CK252" s="1293"/>
    </row>
    <row r="253" spans="1:89" s="1292" customFormat="1" ht="28.5" x14ac:dyDescent="0.2">
      <c r="A253" s="1284"/>
      <c r="B253" s="859" t="s">
        <v>555</v>
      </c>
      <c r="C253" s="860" t="s">
        <v>556</v>
      </c>
      <c r="D253" s="602" t="s">
        <v>557</v>
      </c>
      <c r="E253" s="603" t="s">
        <v>344</v>
      </c>
      <c r="F253" s="604">
        <v>2</v>
      </c>
      <c r="G253" s="597"/>
      <c r="H253" s="597"/>
      <c r="I253" s="597">
        <v>0</v>
      </c>
      <c r="J253" s="597">
        <v>-3.5588355396157567E-2</v>
      </c>
      <c r="K253" s="597">
        <v>-5.7710987582623829E-2</v>
      </c>
      <c r="L253" s="597">
        <v>-7.3583146361684726E-2</v>
      </c>
      <c r="M253" s="598">
        <v>-0.1250803206129234</v>
      </c>
      <c r="N253" s="598">
        <v>-0.11432275474712128</v>
      </c>
      <c r="O253" s="598">
        <v>-6.0618917156560315E-2</v>
      </c>
      <c r="P253" s="598">
        <v>-5.8005347314406208E-2</v>
      </c>
      <c r="Q253" s="598">
        <v>-5.6895270313106039E-2</v>
      </c>
      <c r="R253" s="598">
        <v>-4.7562019624550089E-2</v>
      </c>
      <c r="S253" s="598">
        <v>-3.8890286655231421E-2</v>
      </c>
      <c r="T253" s="598">
        <v>-3.8688711714172541E-2</v>
      </c>
      <c r="U253" s="598">
        <v>-3.8494591611438977E-2</v>
      </c>
      <c r="V253" s="598">
        <v>-3.8310816995675623E-2</v>
      </c>
      <c r="W253" s="598">
        <v>-3.813705891052166E-2</v>
      </c>
      <c r="X253" s="598">
        <v>-3.7937064611554661E-2</v>
      </c>
      <c r="Y253" s="598">
        <v>-3.7753859370496912E-2</v>
      </c>
      <c r="Z253" s="598">
        <v>-3.7553760428721716E-2</v>
      </c>
      <c r="AA253" s="598">
        <v>-4.4833343494190103E-2</v>
      </c>
      <c r="AB253" s="598">
        <v>-4.4626850980321819E-2</v>
      </c>
      <c r="AC253" s="598">
        <v>-4.4441740206778491E-2</v>
      </c>
      <c r="AD253" s="598">
        <v>-4.4255769836553327E-2</v>
      </c>
      <c r="AE253" s="598">
        <v>-4.4073674958355014E-2</v>
      </c>
      <c r="AF253" s="598">
        <v>-4.3881081076690975E-2</v>
      </c>
      <c r="AG253" s="598">
        <v>-4.3687868419794995E-2</v>
      </c>
      <c r="AH253" s="598">
        <v>-4.3498867778509975E-2</v>
      </c>
      <c r="AI253" s="598">
        <v>-4.3306258528019725E-2</v>
      </c>
      <c r="AJ253" s="598">
        <v>-4.3092936916835356E-2</v>
      </c>
      <c r="AK253" s="598">
        <v>-4.2883669054887719E-2</v>
      </c>
      <c r="AL253" s="598"/>
      <c r="AM253" s="598"/>
      <c r="AN253" s="598"/>
      <c r="AO253" s="598"/>
      <c r="AP253" s="598"/>
      <c r="AQ253" s="598"/>
      <c r="AR253" s="598"/>
      <c r="AS253" s="598"/>
      <c r="AT253" s="598"/>
      <c r="AU253" s="598"/>
      <c r="AV253" s="598"/>
      <c r="AW253" s="598"/>
      <c r="AX253" s="598"/>
      <c r="AY253" s="598"/>
      <c r="AZ253" s="598"/>
      <c r="BA253" s="598"/>
      <c r="BB253" s="598"/>
      <c r="BC253" s="598"/>
      <c r="BD253" s="598"/>
      <c r="BE253" s="598"/>
      <c r="BF253" s="598"/>
      <c r="BG253" s="598"/>
      <c r="BH253" s="598"/>
      <c r="BI253" s="598"/>
      <c r="BJ253" s="598"/>
      <c r="BK253" s="598"/>
      <c r="BL253" s="598"/>
      <c r="BM253" s="598"/>
      <c r="BN253" s="598"/>
      <c r="BO253" s="598"/>
      <c r="BP253" s="598"/>
      <c r="BQ253" s="598"/>
      <c r="BR253" s="598"/>
      <c r="BS253" s="598"/>
      <c r="BT253" s="598"/>
      <c r="BU253" s="598"/>
      <c r="BV253" s="598"/>
      <c r="BW253" s="598"/>
      <c r="BX253" s="598"/>
      <c r="BY253" s="598"/>
      <c r="BZ253" s="598"/>
      <c r="CA253" s="598"/>
      <c r="CB253" s="598"/>
      <c r="CC253" s="598"/>
      <c r="CD253" s="598"/>
      <c r="CE253" s="598"/>
      <c r="CF253" s="598"/>
      <c r="CG253" s="598"/>
      <c r="CH253" s="598"/>
      <c r="CI253" s="599"/>
      <c r="CJ253" s="1479"/>
      <c r="CK253" s="1293"/>
    </row>
    <row r="254" spans="1:89" s="1292" customFormat="1" x14ac:dyDescent="0.2">
      <c r="A254" s="1284"/>
      <c r="B254" s="859" t="s">
        <v>558</v>
      </c>
      <c r="C254" s="860" t="s">
        <v>559</v>
      </c>
      <c r="D254" s="858" t="s">
        <v>86</v>
      </c>
      <c r="E254" s="844" t="s">
        <v>344</v>
      </c>
      <c r="F254" s="845">
        <v>2</v>
      </c>
      <c r="G254" s="597"/>
      <c r="H254" s="597"/>
      <c r="I254" s="597">
        <v>2.0139999999999998</v>
      </c>
      <c r="J254" s="597">
        <v>2.0380341458615643</v>
      </c>
      <c r="K254" s="597">
        <v>2.0841909239095804</v>
      </c>
      <c r="L254" s="597">
        <v>2.1462198607366396</v>
      </c>
      <c r="M254" s="598">
        <v>2.257435129908024</v>
      </c>
      <c r="N254" s="598">
        <v>2.3548928332136247</v>
      </c>
      <c r="O254" s="598">
        <v>2.3986466989286583</v>
      </c>
      <c r="P254" s="598">
        <v>2.4397869948015196</v>
      </c>
      <c r="Q254" s="598">
        <v>2.4782766524018247</v>
      </c>
      <c r="R254" s="598">
        <v>2.5074330593135614</v>
      </c>
      <c r="S254" s="598">
        <v>2.5279177332559799</v>
      </c>
      <c r="T254" s="598">
        <v>2.5482008322573448</v>
      </c>
      <c r="U254" s="598">
        <v>2.5682898111559593</v>
      </c>
      <c r="V254" s="598">
        <v>2.5881950154388442</v>
      </c>
      <c r="W254" s="598">
        <v>2.607926461636525</v>
      </c>
      <c r="X254" s="598">
        <v>2.6274579135352787</v>
      </c>
      <c r="Y254" s="598">
        <v>2.6468061601929649</v>
      </c>
      <c r="Z254" s="598">
        <v>2.6659543079088643</v>
      </c>
      <c r="AA254" s="598">
        <v>2.6846792323338704</v>
      </c>
      <c r="AB254" s="598">
        <v>2.703197664244946</v>
      </c>
      <c r="AC254" s="598">
        <v>2.7215309853825382</v>
      </c>
      <c r="AD254" s="598">
        <v>2.7396783361498689</v>
      </c>
      <c r="AE254" s="598">
        <v>2.7576435920390203</v>
      </c>
      <c r="AF254" s="598">
        <v>2.7754162540464828</v>
      </c>
      <c r="AG254" s="598">
        <v>2.792995703397072</v>
      </c>
      <c r="AH254" s="598">
        <v>2.8103861521063842</v>
      </c>
      <c r="AI254" s="598">
        <v>2.8275839915651568</v>
      </c>
      <c r="AJ254" s="598">
        <v>2.8445685094127682</v>
      </c>
      <c r="AK254" s="598">
        <v>2.8613437593984563</v>
      </c>
      <c r="AL254" s="598"/>
      <c r="AM254" s="598"/>
      <c r="AN254" s="598"/>
      <c r="AO254" s="598"/>
      <c r="AP254" s="598"/>
      <c r="AQ254" s="598"/>
      <c r="AR254" s="598"/>
      <c r="AS254" s="598"/>
      <c r="AT254" s="598"/>
      <c r="AU254" s="598"/>
      <c r="AV254" s="598"/>
      <c r="AW254" s="598"/>
      <c r="AX254" s="598"/>
      <c r="AY254" s="598"/>
      <c r="AZ254" s="598"/>
      <c r="BA254" s="598"/>
      <c r="BB254" s="598"/>
      <c r="BC254" s="598"/>
      <c r="BD254" s="598"/>
      <c r="BE254" s="598"/>
      <c r="BF254" s="598"/>
      <c r="BG254" s="598"/>
      <c r="BH254" s="598"/>
      <c r="BI254" s="598"/>
      <c r="BJ254" s="598"/>
      <c r="BK254" s="598"/>
      <c r="BL254" s="598"/>
      <c r="BM254" s="598"/>
      <c r="BN254" s="598"/>
      <c r="BO254" s="598"/>
      <c r="BP254" s="598"/>
      <c r="BQ254" s="598"/>
      <c r="BR254" s="598"/>
      <c r="BS254" s="598"/>
      <c r="BT254" s="598"/>
      <c r="BU254" s="598"/>
      <c r="BV254" s="598"/>
      <c r="BW254" s="598"/>
      <c r="BX254" s="598"/>
      <c r="BY254" s="598"/>
      <c r="BZ254" s="598"/>
      <c r="CA254" s="598"/>
      <c r="CB254" s="598"/>
      <c r="CC254" s="598"/>
      <c r="CD254" s="598"/>
      <c r="CE254" s="598"/>
      <c r="CF254" s="598"/>
      <c r="CG254" s="598"/>
      <c r="CH254" s="598"/>
      <c r="CI254" s="599"/>
      <c r="CJ254" s="1479"/>
      <c r="CK254" s="1293"/>
    </row>
    <row r="255" spans="1:89" s="1292" customFormat="1" ht="28.5" x14ac:dyDescent="0.2">
      <c r="A255" s="1284"/>
      <c r="B255" s="859" t="s">
        <v>560</v>
      </c>
      <c r="C255" s="860" t="s">
        <v>561</v>
      </c>
      <c r="D255" s="858" t="s">
        <v>86</v>
      </c>
      <c r="E255" s="844" t="s">
        <v>344</v>
      </c>
      <c r="F255" s="845">
        <v>2</v>
      </c>
      <c r="G255" s="597"/>
      <c r="H255" s="597"/>
      <c r="I255" s="597">
        <v>27.367000000000001</v>
      </c>
      <c r="J255" s="597">
        <v>27.087815027782518</v>
      </c>
      <c r="K255" s="597">
        <v>26.74591390466075</v>
      </c>
      <c r="L255" s="597">
        <v>25.783219513257777</v>
      </c>
      <c r="M255" s="598">
        <v>23.237893780254414</v>
      </c>
      <c r="N255" s="598">
        <v>21.016583685066379</v>
      </c>
      <c r="O255" s="598">
        <v>20.406619248957547</v>
      </c>
      <c r="P255" s="598">
        <v>19.797623562848727</v>
      </c>
      <c r="Q255" s="598">
        <v>19.189596626739881</v>
      </c>
      <c r="R255" s="598">
        <v>18.860240513936635</v>
      </c>
      <c r="S255" s="598">
        <v>18.809555224438977</v>
      </c>
      <c r="T255" s="598">
        <v>18.7598386849413</v>
      </c>
      <c r="U255" s="598">
        <v>18.711090895443633</v>
      </c>
      <c r="V255" s="598">
        <v>18.663311855945992</v>
      </c>
      <c r="W255" s="598">
        <v>18.616501566448346</v>
      </c>
      <c r="X255" s="598">
        <v>18.569691276950703</v>
      </c>
      <c r="Y255" s="598">
        <v>18.522880987453028</v>
      </c>
      <c r="Z255" s="598">
        <v>18.476070697955372</v>
      </c>
      <c r="AA255" s="598">
        <v>18.430229158457699</v>
      </c>
      <c r="AB255" s="598">
        <v>18.384387618960055</v>
      </c>
      <c r="AC255" s="598">
        <v>18.337578203423096</v>
      </c>
      <c r="AD255" s="598">
        <v>18.29076878788613</v>
      </c>
      <c r="AE255" s="598">
        <v>18.243959372349167</v>
      </c>
      <c r="AF255" s="598">
        <v>18.19714995681219</v>
      </c>
      <c r="AG255" s="598">
        <v>18.150340541275213</v>
      </c>
      <c r="AH255" s="598">
        <v>18.103531125738265</v>
      </c>
      <c r="AI255" s="598">
        <v>18.056721710201288</v>
      </c>
      <c r="AJ255" s="598">
        <v>18.009912294664339</v>
      </c>
      <c r="AK255" s="598">
        <v>17.963102879127394</v>
      </c>
      <c r="AL255" s="598"/>
      <c r="AM255" s="598"/>
      <c r="AN255" s="598"/>
      <c r="AO255" s="598"/>
      <c r="AP255" s="598"/>
      <c r="AQ255" s="598"/>
      <c r="AR255" s="598"/>
      <c r="AS255" s="598"/>
      <c r="AT255" s="598"/>
      <c r="AU255" s="598"/>
      <c r="AV255" s="598"/>
      <c r="AW255" s="598"/>
      <c r="AX255" s="598"/>
      <c r="AY255" s="598"/>
      <c r="AZ255" s="598"/>
      <c r="BA255" s="598"/>
      <c r="BB255" s="598"/>
      <c r="BC255" s="598"/>
      <c r="BD255" s="598"/>
      <c r="BE255" s="598"/>
      <c r="BF255" s="598"/>
      <c r="BG255" s="598"/>
      <c r="BH255" s="598"/>
      <c r="BI255" s="598"/>
      <c r="BJ255" s="598"/>
      <c r="BK255" s="598"/>
      <c r="BL255" s="598"/>
      <c r="BM255" s="598"/>
      <c r="BN255" s="598"/>
      <c r="BO255" s="598"/>
      <c r="BP255" s="598"/>
      <c r="BQ255" s="598"/>
      <c r="BR255" s="598"/>
      <c r="BS255" s="598"/>
      <c r="BT255" s="598"/>
      <c r="BU255" s="598"/>
      <c r="BV255" s="598"/>
      <c r="BW255" s="598"/>
      <c r="BX255" s="598"/>
      <c r="BY255" s="598"/>
      <c r="BZ255" s="598"/>
      <c r="CA255" s="598"/>
      <c r="CB255" s="598"/>
      <c r="CC255" s="598"/>
      <c r="CD255" s="598"/>
      <c r="CE255" s="598"/>
      <c r="CF255" s="598"/>
      <c r="CG255" s="598"/>
      <c r="CH255" s="598"/>
      <c r="CI255" s="599"/>
      <c r="CJ255" s="1479"/>
      <c r="CK255" s="1293"/>
    </row>
    <row r="256" spans="1:89" s="1292" customFormat="1" x14ac:dyDescent="0.2">
      <c r="A256" s="1284"/>
      <c r="B256" s="859" t="s">
        <v>562</v>
      </c>
      <c r="C256" s="860" t="s">
        <v>563</v>
      </c>
      <c r="D256" s="858" t="s">
        <v>86</v>
      </c>
      <c r="E256" s="844" t="s">
        <v>344</v>
      </c>
      <c r="F256" s="845">
        <v>2</v>
      </c>
      <c r="G256" s="597"/>
      <c r="H256" s="597"/>
      <c r="I256" s="597">
        <v>0.91500000000000004</v>
      </c>
      <c r="J256" s="597">
        <v>0.90085858284560449</v>
      </c>
      <c r="K256" s="597">
        <v>0.88944970596737105</v>
      </c>
      <c r="L256" s="597">
        <v>0.85548909737034196</v>
      </c>
      <c r="M256" s="598">
        <v>0.76889640313387742</v>
      </c>
      <c r="N256" s="598">
        <v>0.69517581682585317</v>
      </c>
      <c r="O256" s="598">
        <v>0.67491574442224089</v>
      </c>
      <c r="P256" s="598">
        <v>0.6546869220186291</v>
      </c>
      <c r="Q256" s="598">
        <v>0.63448934961501613</v>
      </c>
      <c r="R256" s="598">
        <v>0.62355049068192336</v>
      </c>
      <c r="S256" s="598">
        <v>0.62187034521935025</v>
      </c>
      <c r="T256" s="598">
        <v>0.62022144975677673</v>
      </c>
      <c r="U256" s="598">
        <v>0.61860380429420325</v>
      </c>
      <c r="V256" s="598">
        <v>0.61701740883163048</v>
      </c>
      <c r="W256" s="598">
        <v>0.61546226336905785</v>
      </c>
      <c r="X256" s="598">
        <v>0.61390711790648511</v>
      </c>
      <c r="Y256" s="598">
        <v>0.61235197244391171</v>
      </c>
      <c r="Z256" s="598">
        <v>0.61079682698133841</v>
      </c>
      <c r="AA256" s="598">
        <v>0.60927293151876494</v>
      </c>
      <c r="AB256" s="598">
        <v>0.60774903605619213</v>
      </c>
      <c r="AC256" s="598">
        <v>0.6061930166329238</v>
      </c>
      <c r="AD256" s="598">
        <v>0.60463699720965525</v>
      </c>
      <c r="AE256" s="598">
        <v>0.6030809777863867</v>
      </c>
      <c r="AF256" s="598">
        <v>0.60152495836311781</v>
      </c>
      <c r="AG256" s="598">
        <v>0.59996893893984871</v>
      </c>
      <c r="AH256" s="598">
        <v>0.59841291951658071</v>
      </c>
      <c r="AI256" s="598">
        <v>0.5968569000933116</v>
      </c>
      <c r="AJ256" s="598">
        <v>0.59530088067004372</v>
      </c>
      <c r="AK256" s="598">
        <v>0.59374486124677561</v>
      </c>
      <c r="AL256" s="598"/>
      <c r="AM256" s="598"/>
      <c r="AN256" s="598"/>
      <c r="AO256" s="598"/>
      <c r="AP256" s="598"/>
      <c r="AQ256" s="598"/>
      <c r="AR256" s="598"/>
      <c r="AS256" s="598"/>
      <c r="AT256" s="598"/>
      <c r="AU256" s="598"/>
      <c r="AV256" s="598"/>
      <c r="AW256" s="598"/>
      <c r="AX256" s="598"/>
      <c r="AY256" s="598"/>
      <c r="AZ256" s="598"/>
      <c r="BA256" s="598"/>
      <c r="BB256" s="598"/>
      <c r="BC256" s="598"/>
      <c r="BD256" s="598"/>
      <c r="BE256" s="598"/>
      <c r="BF256" s="598"/>
      <c r="BG256" s="598"/>
      <c r="BH256" s="598"/>
      <c r="BI256" s="598"/>
      <c r="BJ256" s="598"/>
      <c r="BK256" s="598"/>
      <c r="BL256" s="598"/>
      <c r="BM256" s="598"/>
      <c r="BN256" s="598"/>
      <c r="BO256" s="598"/>
      <c r="BP256" s="598"/>
      <c r="BQ256" s="598"/>
      <c r="BR256" s="598"/>
      <c r="BS256" s="598"/>
      <c r="BT256" s="598"/>
      <c r="BU256" s="598"/>
      <c r="BV256" s="598"/>
      <c r="BW256" s="598"/>
      <c r="BX256" s="598"/>
      <c r="BY256" s="598"/>
      <c r="BZ256" s="598"/>
      <c r="CA256" s="598"/>
      <c r="CB256" s="598"/>
      <c r="CC256" s="598"/>
      <c r="CD256" s="598"/>
      <c r="CE256" s="598"/>
      <c r="CF256" s="598"/>
      <c r="CG256" s="598"/>
      <c r="CH256" s="598"/>
      <c r="CI256" s="599"/>
      <c r="CJ256" s="1479"/>
      <c r="CK256" s="1293"/>
    </row>
    <row r="257" spans="1:89" s="1292" customFormat="1" ht="29.25" thickBot="1" x14ac:dyDescent="0.25">
      <c r="A257" s="1284"/>
      <c r="B257" s="861" t="s">
        <v>564</v>
      </c>
      <c r="C257" s="862" t="s">
        <v>565</v>
      </c>
      <c r="D257" s="863" t="s">
        <v>566</v>
      </c>
      <c r="E257" s="864" t="s">
        <v>344</v>
      </c>
      <c r="F257" s="865">
        <v>2</v>
      </c>
      <c r="G257" s="559">
        <f>SUM(G244:G247)+G254+G255+G256</f>
        <v>0</v>
      </c>
      <c r="H257" s="559">
        <f t="shared" ref="H257:AK257" si="148">SUM(H244:H247)+H254+H255+H256</f>
        <v>0</v>
      </c>
      <c r="I257" s="559">
        <f t="shared" si="148"/>
        <v>103.69900000000001</v>
      </c>
      <c r="J257" s="559">
        <f t="shared" si="148"/>
        <v>104.18013078460724</v>
      </c>
      <c r="K257" s="559">
        <f t="shared" si="148"/>
        <v>105.41644440971376</v>
      </c>
      <c r="L257" s="559">
        <f t="shared" si="148"/>
        <v>106.54365466806445</v>
      </c>
      <c r="M257" s="559">
        <f t="shared" si="148"/>
        <v>107.69848513088903</v>
      </c>
      <c r="N257" s="559">
        <f t="shared" si="148"/>
        <v>108.73659657854061</v>
      </c>
      <c r="O257" s="559">
        <f t="shared" si="148"/>
        <v>109.62469761728443</v>
      </c>
      <c r="P257" s="559">
        <f t="shared" si="148"/>
        <v>110.42045731218523</v>
      </c>
      <c r="Q257" s="559">
        <f t="shared" si="148"/>
        <v>111.12654325605251</v>
      </c>
      <c r="R257" s="559">
        <f t="shared" si="148"/>
        <v>111.80510828583404</v>
      </c>
      <c r="S257" s="559">
        <f t="shared" si="148"/>
        <v>112.47795605315859</v>
      </c>
      <c r="T257" s="559">
        <f t="shared" si="148"/>
        <v>113.14483343544414</v>
      </c>
      <c r="U257" s="559">
        <f t="shared" si="148"/>
        <v>113.80614765052738</v>
      </c>
      <c r="V257" s="559">
        <f t="shared" si="148"/>
        <v>114.46382825639171</v>
      </c>
      <c r="W257" s="559">
        <f t="shared" si="148"/>
        <v>115.11662683318877</v>
      </c>
      <c r="X257" s="559">
        <f t="shared" si="148"/>
        <v>115.76269507441162</v>
      </c>
      <c r="Y257" s="559">
        <f t="shared" si="148"/>
        <v>116.40249192160044</v>
      </c>
      <c r="Z257" s="559">
        <f t="shared" si="148"/>
        <v>117.03535773597771</v>
      </c>
      <c r="AA257" s="559">
        <f t="shared" si="148"/>
        <v>117.65500636639014</v>
      </c>
      <c r="AB257" s="559">
        <f t="shared" si="148"/>
        <v>118.26763534216252</v>
      </c>
      <c r="AC257" s="559">
        <f t="shared" si="148"/>
        <v>118.87281805235946</v>
      </c>
      <c r="AD257" s="559">
        <f t="shared" si="148"/>
        <v>119.4715990268936</v>
      </c>
      <c r="AE257" s="559">
        <f t="shared" si="148"/>
        <v>120.06426227747254</v>
      </c>
      <c r="AF257" s="559">
        <f t="shared" si="148"/>
        <v>120.65038823764166</v>
      </c>
      <c r="AG257" s="559">
        <f t="shared" si="148"/>
        <v>121.22996200910633</v>
      </c>
      <c r="AH257" s="559">
        <f t="shared" si="148"/>
        <v>121.80306871540976</v>
      </c>
      <c r="AI257" s="559">
        <f t="shared" si="148"/>
        <v>122.3695368568554</v>
      </c>
      <c r="AJ257" s="559">
        <f t="shared" si="148"/>
        <v>122.92869820403155</v>
      </c>
      <c r="AK257" s="559">
        <f t="shared" si="148"/>
        <v>123.48073339786124</v>
      </c>
      <c r="AL257" s="559"/>
      <c r="AM257" s="559"/>
      <c r="AN257" s="559"/>
      <c r="AO257" s="559"/>
      <c r="AP257" s="559"/>
      <c r="AQ257" s="559"/>
      <c r="AR257" s="559"/>
      <c r="AS257" s="559"/>
      <c r="AT257" s="559"/>
      <c r="AU257" s="559"/>
      <c r="AV257" s="559"/>
      <c r="AW257" s="559"/>
      <c r="AX257" s="559"/>
      <c r="AY257" s="559"/>
      <c r="AZ257" s="559"/>
      <c r="BA257" s="559"/>
      <c r="BB257" s="559"/>
      <c r="BC257" s="559"/>
      <c r="BD257" s="559"/>
      <c r="BE257" s="559"/>
      <c r="BF257" s="559"/>
      <c r="BG257" s="559"/>
      <c r="BH257" s="559"/>
      <c r="BI257" s="559"/>
      <c r="BJ257" s="559"/>
      <c r="BK257" s="559"/>
      <c r="BL257" s="559"/>
      <c r="BM257" s="559"/>
      <c r="BN257" s="559"/>
      <c r="BO257" s="559"/>
      <c r="BP257" s="559"/>
      <c r="BQ257" s="559"/>
      <c r="BR257" s="559"/>
      <c r="BS257" s="559"/>
      <c r="BT257" s="559"/>
      <c r="BU257" s="559"/>
      <c r="BV257" s="559"/>
      <c r="BW257" s="559"/>
      <c r="BX257" s="559"/>
      <c r="BY257" s="559"/>
      <c r="BZ257" s="559"/>
      <c r="CA257" s="559"/>
      <c r="CB257" s="559"/>
      <c r="CC257" s="559"/>
      <c r="CD257" s="559"/>
      <c r="CE257" s="559"/>
      <c r="CF257" s="559"/>
      <c r="CG257" s="559"/>
      <c r="CH257" s="559"/>
      <c r="CI257" s="559"/>
      <c r="CJ257" s="1479"/>
      <c r="CK257" s="1293"/>
    </row>
    <row r="258" spans="1:89" s="1292" customFormat="1" x14ac:dyDescent="0.2">
      <c r="A258" s="1284"/>
      <c r="B258" s="814" t="s">
        <v>567</v>
      </c>
      <c r="C258" s="815" t="s">
        <v>568</v>
      </c>
      <c r="D258" s="816" t="s">
        <v>86</v>
      </c>
      <c r="E258" s="866" t="s">
        <v>344</v>
      </c>
      <c r="F258" s="867">
        <v>2</v>
      </c>
      <c r="G258" s="593"/>
      <c r="H258" s="593"/>
      <c r="I258" s="593">
        <v>2.9167739999999998</v>
      </c>
      <c r="J258" s="593">
        <v>2.9607540564970298</v>
      </c>
      <c r="K258" s="593">
        <v>3.0026749529208496</v>
      </c>
      <c r="L258" s="593">
        <v>3.0372866624532482</v>
      </c>
      <c r="M258" s="594">
        <v>3.0666877924701303</v>
      </c>
      <c r="N258" s="594">
        <v>3.1079853610336823</v>
      </c>
      <c r="O258" s="594">
        <v>3.1564715319065106</v>
      </c>
      <c r="P258" s="594">
        <v>3.2043633352628569</v>
      </c>
      <c r="Q258" s="594">
        <v>3.2483729598452369</v>
      </c>
      <c r="R258" s="594">
        <v>3.2887589079177917</v>
      </c>
      <c r="S258" s="594">
        <v>3.3509241751971741</v>
      </c>
      <c r="T258" s="594">
        <v>3.4127679629028016</v>
      </c>
      <c r="U258" s="594">
        <v>3.4591154277864993</v>
      </c>
      <c r="V258" s="594">
        <v>3.4921526597447143</v>
      </c>
      <c r="W258" s="594">
        <v>3.5218294394713872</v>
      </c>
      <c r="X258" s="594">
        <v>3.5495504037312746</v>
      </c>
      <c r="Y258" s="594">
        <v>3.5809001657754296</v>
      </c>
      <c r="Z258" s="594">
        <v>3.6152625692640465</v>
      </c>
      <c r="AA258" s="594">
        <v>3.6489080374131935</v>
      </c>
      <c r="AB258" s="594">
        <v>3.6848952170890139</v>
      </c>
      <c r="AC258" s="594">
        <v>3.7264568657626098</v>
      </c>
      <c r="AD258" s="594">
        <v>3.7731272584415172</v>
      </c>
      <c r="AE258" s="594">
        <v>3.8247430171140131</v>
      </c>
      <c r="AF258" s="594">
        <v>3.8755585535749102</v>
      </c>
      <c r="AG258" s="594">
        <v>3.9314320136829588</v>
      </c>
      <c r="AH258" s="594">
        <v>3.9891051972515856</v>
      </c>
      <c r="AI258" s="594">
        <v>4.0470606775999451</v>
      </c>
      <c r="AJ258" s="594">
        <v>4.1065688667987903</v>
      </c>
      <c r="AK258" s="594">
        <v>4.16301749357247</v>
      </c>
      <c r="AL258" s="594"/>
      <c r="AM258" s="594"/>
      <c r="AN258" s="594"/>
      <c r="AO258" s="594"/>
      <c r="AP258" s="594"/>
      <c r="AQ258" s="594"/>
      <c r="AR258" s="594"/>
      <c r="AS258" s="594"/>
      <c r="AT258" s="594"/>
      <c r="AU258" s="594"/>
      <c r="AV258" s="594"/>
      <c r="AW258" s="594"/>
      <c r="AX258" s="594"/>
      <c r="AY258" s="594"/>
      <c r="AZ258" s="594"/>
      <c r="BA258" s="594"/>
      <c r="BB258" s="594"/>
      <c r="BC258" s="594"/>
      <c r="BD258" s="594"/>
      <c r="BE258" s="594"/>
      <c r="BF258" s="594"/>
      <c r="BG258" s="594"/>
      <c r="BH258" s="594"/>
      <c r="BI258" s="594"/>
      <c r="BJ258" s="594"/>
      <c r="BK258" s="594"/>
      <c r="BL258" s="594"/>
      <c r="BM258" s="594"/>
      <c r="BN258" s="594"/>
      <c r="BO258" s="594"/>
      <c r="BP258" s="594"/>
      <c r="BQ258" s="594"/>
      <c r="BR258" s="594"/>
      <c r="BS258" s="594"/>
      <c r="BT258" s="594"/>
      <c r="BU258" s="594"/>
      <c r="BV258" s="594"/>
      <c r="BW258" s="594"/>
      <c r="BX258" s="594"/>
      <c r="BY258" s="594"/>
      <c r="BZ258" s="594"/>
      <c r="CA258" s="594"/>
      <c r="CB258" s="594"/>
      <c r="CC258" s="594"/>
      <c r="CD258" s="594"/>
      <c r="CE258" s="594"/>
      <c r="CF258" s="594"/>
      <c r="CG258" s="594"/>
      <c r="CH258" s="594"/>
      <c r="CI258" s="595"/>
      <c r="CJ258" s="1479"/>
      <c r="CK258" s="1293"/>
    </row>
    <row r="259" spans="1:89" s="1292" customFormat="1" x14ac:dyDescent="0.2">
      <c r="A259" s="1284"/>
      <c r="B259" s="824" t="s">
        <v>569</v>
      </c>
      <c r="C259" s="825" t="s">
        <v>570</v>
      </c>
      <c r="D259" s="821" t="s">
        <v>86</v>
      </c>
      <c r="E259" s="868" t="s">
        <v>344</v>
      </c>
      <c r="F259" s="869">
        <v>2</v>
      </c>
      <c r="G259" s="597"/>
      <c r="H259" s="597"/>
      <c r="I259" s="597">
        <v>0</v>
      </c>
      <c r="J259" s="597">
        <v>0</v>
      </c>
      <c r="K259" s="597">
        <v>0</v>
      </c>
      <c r="L259" s="597">
        <v>0</v>
      </c>
      <c r="M259" s="598">
        <v>0</v>
      </c>
      <c r="N259" s="598">
        <v>0</v>
      </c>
      <c r="O259" s="598">
        <v>0</v>
      </c>
      <c r="P259" s="598">
        <v>0</v>
      </c>
      <c r="Q259" s="598">
        <v>0</v>
      </c>
      <c r="R259" s="598">
        <v>0</v>
      </c>
      <c r="S259" s="598">
        <v>0</v>
      </c>
      <c r="T259" s="598">
        <v>0</v>
      </c>
      <c r="U259" s="598">
        <v>0</v>
      </c>
      <c r="V259" s="598">
        <v>0</v>
      </c>
      <c r="W259" s="598">
        <v>0</v>
      </c>
      <c r="X259" s="598">
        <v>0</v>
      </c>
      <c r="Y259" s="598">
        <v>0</v>
      </c>
      <c r="Z259" s="598">
        <v>0</v>
      </c>
      <c r="AA259" s="598">
        <v>0</v>
      </c>
      <c r="AB259" s="598">
        <v>0</v>
      </c>
      <c r="AC259" s="598">
        <v>0</v>
      </c>
      <c r="AD259" s="598">
        <v>0</v>
      </c>
      <c r="AE259" s="598">
        <v>0</v>
      </c>
      <c r="AF259" s="598">
        <v>0</v>
      </c>
      <c r="AG259" s="598">
        <v>0</v>
      </c>
      <c r="AH259" s="598">
        <v>0</v>
      </c>
      <c r="AI259" s="598">
        <v>0</v>
      </c>
      <c r="AJ259" s="598">
        <v>0</v>
      </c>
      <c r="AK259" s="598">
        <v>0</v>
      </c>
      <c r="AL259" s="598"/>
      <c r="AM259" s="598"/>
      <c r="AN259" s="598"/>
      <c r="AO259" s="598"/>
      <c r="AP259" s="598"/>
      <c r="AQ259" s="598"/>
      <c r="AR259" s="598"/>
      <c r="AS259" s="598"/>
      <c r="AT259" s="598"/>
      <c r="AU259" s="598"/>
      <c r="AV259" s="598"/>
      <c r="AW259" s="598"/>
      <c r="AX259" s="598"/>
      <c r="AY259" s="598"/>
      <c r="AZ259" s="598"/>
      <c r="BA259" s="598"/>
      <c r="BB259" s="598"/>
      <c r="BC259" s="598"/>
      <c r="BD259" s="598"/>
      <c r="BE259" s="598"/>
      <c r="BF259" s="598"/>
      <c r="BG259" s="598"/>
      <c r="BH259" s="598"/>
      <c r="BI259" s="598"/>
      <c r="BJ259" s="598"/>
      <c r="BK259" s="598"/>
      <c r="BL259" s="598"/>
      <c r="BM259" s="598"/>
      <c r="BN259" s="598"/>
      <c r="BO259" s="598"/>
      <c r="BP259" s="598"/>
      <c r="BQ259" s="598"/>
      <c r="BR259" s="598"/>
      <c r="BS259" s="598"/>
      <c r="BT259" s="598"/>
      <c r="BU259" s="598"/>
      <c r="BV259" s="598"/>
      <c r="BW259" s="598"/>
      <c r="BX259" s="598"/>
      <c r="BY259" s="598"/>
      <c r="BZ259" s="598"/>
      <c r="CA259" s="598"/>
      <c r="CB259" s="598"/>
      <c r="CC259" s="598"/>
      <c r="CD259" s="598"/>
      <c r="CE259" s="598"/>
      <c r="CF259" s="598"/>
      <c r="CG259" s="598"/>
      <c r="CH259" s="598"/>
      <c r="CI259" s="599"/>
      <c r="CJ259" s="1479"/>
      <c r="CK259" s="1293"/>
    </row>
    <row r="260" spans="1:89" s="1292" customFormat="1" x14ac:dyDescent="0.2">
      <c r="A260" s="1284"/>
      <c r="B260" s="819" t="s">
        <v>571</v>
      </c>
      <c r="C260" s="870" t="s">
        <v>572</v>
      </c>
      <c r="D260" s="821" t="s">
        <v>86</v>
      </c>
      <c r="E260" s="868" t="s">
        <v>344</v>
      </c>
      <c r="F260" s="869">
        <v>2</v>
      </c>
      <c r="G260" s="597"/>
      <c r="H260" s="597"/>
      <c r="I260" s="597">
        <v>130.90061962351149</v>
      </c>
      <c r="J260" s="597">
        <v>132.71311084272594</v>
      </c>
      <c r="K260" s="597">
        <v>135.95988891695063</v>
      </c>
      <c r="L260" s="597">
        <v>140.20423554601018</v>
      </c>
      <c r="M260" s="598">
        <v>147.57932170680357</v>
      </c>
      <c r="N260" s="598">
        <v>154.00988348977012</v>
      </c>
      <c r="O260" s="598">
        <v>156.89152352793374</v>
      </c>
      <c r="P260" s="598">
        <v>159.64753427591472</v>
      </c>
      <c r="Q260" s="598">
        <v>162.17079190321235</v>
      </c>
      <c r="R260" s="598">
        <v>164.10754922750851</v>
      </c>
      <c r="S260" s="598">
        <v>165.48017423165365</v>
      </c>
      <c r="T260" s="598">
        <v>166.82346969751313</v>
      </c>
      <c r="U260" s="598">
        <v>168.17524951754766</v>
      </c>
      <c r="V260" s="598">
        <v>169.61300079446778</v>
      </c>
      <c r="W260" s="598">
        <v>171.01111361782091</v>
      </c>
      <c r="X260" s="598">
        <v>172.37630127137851</v>
      </c>
      <c r="Y260" s="598">
        <v>173.72634793631624</v>
      </c>
      <c r="Z260" s="598">
        <v>175.12772447353228</v>
      </c>
      <c r="AA260" s="598">
        <v>176.63281351581631</v>
      </c>
      <c r="AB260" s="598">
        <v>178.14445203662859</v>
      </c>
      <c r="AC260" s="598">
        <v>179.63370293571194</v>
      </c>
      <c r="AD260" s="598">
        <v>181.11237963254726</v>
      </c>
      <c r="AE260" s="598">
        <v>182.58746325779461</v>
      </c>
      <c r="AF260" s="598">
        <v>184.04433281490495</v>
      </c>
      <c r="AG260" s="598">
        <v>185.45467818058518</v>
      </c>
      <c r="AH260" s="598">
        <v>186.82795181892791</v>
      </c>
      <c r="AI260" s="598">
        <v>188.20403742296222</v>
      </c>
      <c r="AJ260" s="598">
        <v>189.58814261398953</v>
      </c>
      <c r="AK260" s="598">
        <v>190.95489689870985</v>
      </c>
      <c r="AL260" s="598"/>
      <c r="AM260" s="598"/>
      <c r="AN260" s="598"/>
      <c r="AO260" s="598"/>
      <c r="AP260" s="598"/>
      <c r="AQ260" s="598"/>
      <c r="AR260" s="598"/>
      <c r="AS260" s="598"/>
      <c r="AT260" s="598"/>
      <c r="AU260" s="598"/>
      <c r="AV260" s="598"/>
      <c r="AW260" s="598"/>
      <c r="AX260" s="598"/>
      <c r="AY260" s="598"/>
      <c r="AZ260" s="598"/>
      <c r="BA260" s="598"/>
      <c r="BB260" s="598"/>
      <c r="BC260" s="598"/>
      <c r="BD260" s="598"/>
      <c r="BE260" s="598"/>
      <c r="BF260" s="598"/>
      <c r="BG260" s="598"/>
      <c r="BH260" s="598"/>
      <c r="BI260" s="598"/>
      <c r="BJ260" s="598"/>
      <c r="BK260" s="598"/>
      <c r="BL260" s="598"/>
      <c r="BM260" s="598"/>
      <c r="BN260" s="598"/>
      <c r="BO260" s="598"/>
      <c r="BP260" s="598"/>
      <c r="BQ260" s="598"/>
      <c r="BR260" s="598"/>
      <c r="BS260" s="598"/>
      <c r="BT260" s="598"/>
      <c r="BU260" s="598"/>
      <c r="BV260" s="598"/>
      <c r="BW260" s="598"/>
      <c r="BX260" s="598"/>
      <c r="BY260" s="598"/>
      <c r="BZ260" s="598"/>
      <c r="CA260" s="598"/>
      <c r="CB260" s="598"/>
      <c r="CC260" s="598"/>
      <c r="CD260" s="598"/>
      <c r="CE260" s="598"/>
      <c r="CF260" s="598"/>
      <c r="CG260" s="598"/>
      <c r="CH260" s="598"/>
      <c r="CI260" s="599"/>
      <c r="CJ260" s="1479"/>
      <c r="CK260" s="1293"/>
    </row>
    <row r="261" spans="1:89" s="1292" customFormat="1" x14ac:dyDescent="0.2">
      <c r="A261" s="1284"/>
      <c r="B261" s="819" t="s">
        <v>573</v>
      </c>
      <c r="C261" s="870" t="s">
        <v>574</v>
      </c>
      <c r="D261" s="821" t="s">
        <v>86</v>
      </c>
      <c r="E261" s="868" t="s">
        <v>344</v>
      </c>
      <c r="F261" s="869">
        <v>2</v>
      </c>
      <c r="G261" s="597"/>
      <c r="H261" s="597"/>
      <c r="I261" s="597">
        <v>90.592056438351563</v>
      </c>
      <c r="J261" s="597">
        <v>89.413301780527377</v>
      </c>
      <c r="K261" s="597">
        <v>88.125815456900995</v>
      </c>
      <c r="L261" s="597">
        <v>85.610920570035631</v>
      </c>
      <c r="M261" s="598">
        <v>79.960576771880014</v>
      </c>
      <c r="N261" s="598">
        <v>74.93432330326597</v>
      </c>
      <c r="O261" s="598">
        <v>73.091455457212845</v>
      </c>
      <c r="P261" s="598">
        <v>71.253150151234394</v>
      </c>
      <c r="Q261" s="598">
        <v>69.420137113970071</v>
      </c>
      <c r="R261" s="598">
        <v>68.145735367148646</v>
      </c>
      <c r="S261" s="598">
        <v>67.433664445682879</v>
      </c>
      <c r="T261" s="598">
        <v>66.7329090319773</v>
      </c>
      <c r="U261" s="598">
        <v>66.04328348313723</v>
      </c>
      <c r="V261" s="598">
        <v>65.364771310229273</v>
      </c>
      <c r="W261" s="598">
        <v>64.697693652805157</v>
      </c>
      <c r="X261" s="598">
        <v>64.041788158778402</v>
      </c>
      <c r="Y261" s="598">
        <v>63.396791035775905</v>
      </c>
      <c r="Z261" s="598">
        <v>62.762517124145361</v>
      </c>
      <c r="AA261" s="598">
        <v>62.139077483685874</v>
      </c>
      <c r="AB261" s="598">
        <v>61.526909523010318</v>
      </c>
      <c r="AC261" s="598">
        <v>60.925896456892502</v>
      </c>
      <c r="AD261" s="598">
        <v>60.335746568404467</v>
      </c>
      <c r="AE261" s="598">
        <v>59.756268120987301</v>
      </c>
      <c r="AF261" s="598">
        <v>59.187298014428471</v>
      </c>
      <c r="AG261" s="598">
        <v>58.628617283242818</v>
      </c>
      <c r="AH261" s="598">
        <v>58.079894376691605</v>
      </c>
      <c r="AI261" s="598">
        <v>57.540844678841204</v>
      </c>
      <c r="AJ261" s="598">
        <v>57.011353751777683</v>
      </c>
      <c r="AK261" s="598">
        <v>56.491333218665908</v>
      </c>
      <c r="AL261" s="598"/>
      <c r="AM261" s="598"/>
      <c r="AN261" s="598"/>
      <c r="AO261" s="598"/>
      <c r="AP261" s="598"/>
      <c r="AQ261" s="598"/>
      <c r="AR261" s="598"/>
      <c r="AS261" s="598"/>
      <c r="AT261" s="598"/>
      <c r="AU261" s="598"/>
      <c r="AV261" s="598"/>
      <c r="AW261" s="598"/>
      <c r="AX261" s="598"/>
      <c r="AY261" s="598"/>
      <c r="AZ261" s="598"/>
      <c r="BA261" s="598"/>
      <c r="BB261" s="598"/>
      <c r="BC261" s="598"/>
      <c r="BD261" s="598"/>
      <c r="BE261" s="598"/>
      <c r="BF261" s="598"/>
      <c r="BG261" s="598"/>
      <c r="BH261" s="598"/>
      <c r="BI261" s="598"/>
      <c r="BJ261" s="598"/>
      <c r="BK261" s="598"/>
      <c r="BL261" s="598"/>
      <c r="BM261" s="598"/>
      <c r="BN261" s="598"/>
      <c r="BO261" s="598"/>
      <c r="BP261" s="598"/>
      <c r="BQ261" s="598"/>
      <c r="BR261" s="598"/>
      <c r="BS261" s="598"/>
      <c r="BT261" s="598"/>
      <c r="BU261" s="598"/>
      <c r="BV261" s="598"/>
      <c r="BW261" s="598"/>
      <c r="BX261" s="598"/>
      <c r="BY261" s="598"/>
      <c r="BZ261" s="598"/>
      <c r="CA261" s="598"/>
      <c r="CB261" s="598"/>
      <c r="CC261" s="598"/>
      <c r="CD261" s="598"/>
      <c r="CE261" s="598"/>
      <c r="CF261" s="598"/>
      <c r="CG261" s="598"/>
      <c r="CH261" s="598"/>
      <c r="CI261" s="599"/>
      <c r="CJ261" s="1479"/>
      <c r="CK261" s="1293"/>
    </row>
    <row r="262" spans="1:89" s="1292" customFormat="1" x14ac:dyDescent="0.2">
      <c r="A262" s="1284"/>
      <c r="B262" s="871" t="s">
        <v>575</v>
      </c>
      <c r="C262" s="870" t="s">
        <v>576</v>
      </c>
      <c r="D262" s="872" t="s">
        <v>577</v>
      </c>
      <c r="E262" s="868" t="s">
        <v>344</v>
      </c>
      <c r="F262" s="869">
        <v>2</v>
      </c>
      <c r="G262" s="547">
        <f>SUM(G258:G261)</f>
        <v>0</v>
      </c>
      <c r="H262" s="547">
        <f t="shared" ref="H262:AK262" si="149">SUM(H258:H261)</f>
        <v>0</v>
      </c>
      <c r="I262" s="547">
        <f t="shared" si="149"/>
        <v>224.40945006186305</v>
      </c>
      <c r="J262" s="547">
        <f t="shared" si="149"/>
        <v>225.08716667975034</v>
      </c>
      <c r="K262" s="547">
        <f t="shared" si="149"/>
        <v>227.08837932677247</v>
      </c>
      <c r="L262" s="547">
        <f t="shared" si="149"/>
        <v>228.85244277849907</v>
      </c>
      <c r="M262" s="552">
        <f t="shared" si="149"/>
        <v>230.60658627115373</v>
      </c>
      <c r="N262" s="552">
        <f t="shared" si="149"/>
        <v>232.05219215406976</v>
      </c>
      <c r="O262" s="552">
        <f t="shared" si="149"/>
        <v>233.13945051705309</v>
      </c>
      <c r="P262" s="552">
        <f t="shared" si="149"/>
        <v>234.10504776241197</v>
      </c>
      <c r="Q262" s="552">
        <f t="shared" si="149"/>
        <v>234.83930197702765</v>
      </c>
      <c r="R262" s="552">
        <f t="shared" si="149"/>
        <v>235.54204350257493</v>
      </c>
      <c r="S262" s="552">
        <f t="shared" si="149"/>
        <v>236.26476285253369</v>
      </c>
      <c r="T262" s="552">
        <f t="shared" si="149"/>
        <v>236.96914669239322</v>
      </c>
      <c r="U262" s="552">
        <f t="shared" si="149"/>
        <v>237.67764842847137</v>
      </c>
      <c r="V262" s="552">
        <f t="shared" si="149"/>
        <v>238.46992476444177</v>
      </c>
      <c r="W262" s="552">
        <f t="shared" si="149"/>
        <v>239.23063671009746</v>
      </c>
      <c r="X262" s="552">
        <f t="shared" si="149"/>
        <v>239.9676398338882</v>
      </c>
      <c r="Y262" s="552">
        <f t="shared" si="149"/>
        <v>240.7040391378676</v>
      </c>
      <c r="Z262" s="552">
        <f t="shared" si="149"/>
        <v>241.50550416694171</v>
      </c>
      <c r="AA262" s="552">
        <f t="shared" si="149"/>
        <v>242.42079903691538</v>
      </c>
      <c r="AB262" s="552">
        <f t="shared" si="149"/>
        <v>243.35625677672792</v>
      </c>
      <c r="AC262" s="552">
        <f t="shared" si="149"/>
        <v>244.28605625836704</v>
      </c>
      <c r="AD262" s="552">
        <f t="shared" si="149"/>
        <v>245.22125345939324</v>
      </c>
      <c r="AE262" s="552">
        <f t="shared" si="149"/>
        <v>246.16847439589591</v>
      </c>
      <c r="AF262" s="552">
        <f t="shared" si="149"/>
        <v>247.10718938290833</v>
      </c>
      <c r="AG262" s="552">
        <f t="shared" si="149"/>
        <v>248.01472747751095</v>
      </c>
      <c r="AH262" s="552">
        <f t="shared" si="149"/>
        <v>248.8969513928711</v>
      </c>
      <c r="AI262" s="552">
        <f t="shared" si="149"/>
        <v>249.79194277940337</v>
      </c>
      <c r="AJ262" s="552">
        <f t="shared" si="149"/>
        <v>250.706065232566</v>
      </c>
      <c r="AK262" s="552">
        <f t="shared" si="149"/>
        <v>251.60924761094824</v>
      </c>
      <c r="AL262" s="552"/>
      <c r="AM262" s="552"/>
      <c r="AN262" s="552"/>
      <c r="AO262" s="552"/>
      <c r="AP262" s="552"/>
      <c r="AQ262" s="552"/>
      <c r="AR262" s="552"/>
      <c r="AS262" s="552"/>
      <c r="AT262" s="552"/>
      <c r="AU262" s="552"/>
      <c r="AV262" s="552"/>
      <c r="AW262" s="552"/>
      <c r="AX262" s="552"/>
      <c r="AY262" s="552"/>
      <c r="AZ262" s="552"/>
      <c r="BA262" s="552"/>
      <c r="BB262" s="552"/>
      <c r="BC262" s="552"/>
      <c r="BD262" s="552"/>
      <c r="BE262" s="552"/>
      <c r="BF262" s="552"/>
      <c r="BG262" s="552"/>
      <c r="BH262" s="552"/>
      <c r="BI262" s="552"/>
      <c r="BJ262" s="552"/>
      <c r="BK262" s="552"/>
      <c r="BL262" s="552"/>
      <c r="BM262" s="552"/>
      <c r="BN262" s="552"/>
      <c r="BO262" s="552"/>
      <c r="BP262" s="552"/>
      <c r="BQ262" s="552"/>
      <c r="BR262" s="552"/>
      <c r="BS262" s="552"/>
      <c r="BT262" s="552"/>
      <c r="BU262" s="552"/>
      <c r="BV262" s="552"/>
      <c r="BW262" s="552"/>
      <c r="BX262" s="552"/>
      <c r="BY262" s="552"/>
      <c r="BZ262" s="552"/>
      <c r="CA262" s="552"/>
      <c r="CB262" s="552"/>
      <c r="CC262" s="552"/>
      <c r="CD262" s="552"/>
      <c r="CE262" s="552"/>
      <c r="CF262" s="552"/>
      <c r="CG262" s="552"/>
      <c r="CH262" s="552"/>
      <c r="CI262" s="548"/>
      <c r="CJ262" s="1479"/>
      <c r="CK262" s="1293"/>
    </row>
    <row r="263" spans="1:89" s="1292" customFormat="1" ht="28.5" x14ac:dyDescent="0.2">
      <c r="A263" s="1284"/>
      <c r="B263" s="871" t="s">
        <v>578</v>
      </c>
      <c r="C263" s="870" t="s">
        <v>579</v>
      </c>
      <c r="D263" s="872" t="s">
        <v>580</v>
      </c>
      <c r="E263" s="868" t="s">
        <v>581</v>
      </c>
      <c r="F263" s="869">
        <v>1</v>
      </c>
      <c r="G263" s="575" t="e">
        <f>(G261+G260)/(G247+G255)</f>
        <v>#DIV/0!</v>
      </c>
      <c r="H263" s="575" t="e">
        <f t="shared" ref="H263:AK263" si="150">(H261+H260)/(H247+H255)</f>
        <v>#DIV/0!</v>
      </c>
      <c r="I263" s="575">
        <f t="shared" si="150"/>
        <v>2.3698434253326242</v>
      </c>
      <c r="J263" s="575">
        <f t="shared" si="150"/>
        <v>2.3651997561167852</v>
      </c>
      <c r="K263" s="575">
        <f t="shared" si="150"/>
        <v>2.3566954750708833</v>
      </c>
      <c r="L263" s="575">
        <f t="shared" si="150"/>
        <v>2.3485091806612379</v>
      </c>
      <c r="M263" s="575">
        <f t="shared" si="150"/>
        <v>2.3397066449556672</v>
      </c>
      <c r="N263" s="575">
        <f t="shared" si="150"/>
        <v>2.3305876143403776</v>
      </c>
      <c r="O263" s="575">
        <f t="shared" si="150"/>
        <v>2.3214693194026443</v>
      </c>
      <c r="P263" s="575">
        <f t="shared" si="150"/>
        <v>2.3133697893710439</v>
      </c>
      <c r="Q263" s="575">
        <f t="shared" si="150"/>
        <v>2.3051236235400019</v>
      </c>
      <c r="R263" s="575">
        <f t="shared" si="150"/>
        <v>2.2973322598815527</v>
      </c>
      <c r="S263" s="575">
        <f t="shared" si="150"/>
        <v>2.2897614498352343</v>
      </c>
      <c r="T263" s="575">
        <f t="shared" si="150"/>
        <v>2.2822360995214126</v>
      </c>
      <c r="U263" s="575">
        <f t="shared" si="150"/>
        <v>2.2751107931825509</v>
      </c>
      <c r="V263" s="575">
        <f t="shared" si="150"/>
        <v>2.2691171471180613</v>
      </c>
      <c r="W263" s="575">
        <f t="shared" si="150"/>
        <v>2.263025502020831</v>
      </c>
      <c r="X263" s="575">
        <f t="shared" si="150"/>
        <v>2.2569368855830509</v>
      </c>
      <c r="Y263" s="575">
        <f t="shared" si="150"/>
        <v>2.2510069873427567</v>
      </c>
      <c r="Z263" s="575">
        <f t="shared" si="150"/>
        <v>2.2458715497820299</v>
      </c>
      <c r="AA263" s="575">
        <f t="shared" si="150"/>
        <v>2.2421377711177284</v>
      </c>
      <c r="AB263" s="575">
        <f t="shared" si="150"/>
        <v>2.2387526459260281</v>
      </c>
      <c r="AC263" s="575">
        <f t="shared" si="150"/>
        <v>2.2354487118913959</v>
      </c>
      <c r="AD263" s="575">
        <f t="shared" si="150"/>
        <v>2.2323096675521499</v>
      </c>
      <c r="AE263" s="575">
        <f t="shared" si="150"/>
        <v>2.2293891870082851</v>
      </c>
      <c r="AF263" s="575">
        <f t="shared" si="150"/>
        <v>2.2265565361226147</v>
      </c>
      <c r="AG263" s="575">
        <f t="shared" si="150"/>
        <v>2.2235503295229595</v>
      </c>
      <c r="AH263" s="575">
        <f t="shared" si="150"/>
        <v>2.220453618355724</v>
      </c>
      <c r="AI263" s="575">
        <f t="shared" si="150"/>
        <v>2.2176278668279314</v>
      </c>
      <c r="AJ263" s="575">
        <f t="shared" si="150"/>
        <v>2.2151274361730566</v>
      </c>
      <c r="AK263" s="575">
        <f t="shared" si="150"/>
        <v>2.21271623885846</v>
      </c>
      <c r="AL263" s="575"/>
      <c r="AM263" s="575"/>
      <c r="AN263" s="575"/>
      <c r="AO263" s="575"/>
      <c r="AP263" s="575"/>
      <c r="AQ263" s="575"/>
      <c r="AR263" s="575"/>
      <c r="AS263" s="575"/>
      <c r="AT263" s="575"/>
      <c r="AU263" s="575"/>
      <c r="AV263" s="575"/>
      <c r="AW263" s="575"/>
      <c r="AX263" s="575"/>
      <c r="AY263" s="575"/>
      <c r="AZ263" s="575"/>
      <c r="BA263" s="575"/>
      <c r="BB263" s="575"/>
      <c r="BC263" s="575"/>
      <c r="BD263" s="575"/>
      <c r="BE263" s="575"/>
      <c r="BF263" s="575"/>
      <c r="BG263" s="575"/>
      <c r="BH263" s="575"/>
      <c r="BI263" s="575"/>
      <c r="BJ263" s="575"/>
      <c r="BK263" s="575"/>
      <c r="BL263" s="575"/>
      <c r="BM263" s="575"/>
      <c r="BN263" s="575"/>
      <c r="BO263" s="575"/>
      <c r="BP263" s="575"/>
      <c r="BQ263" s="575"/>
      <c r="BR263" s="575"/>
      <c r="BS263" s="575"/>
      <c r="BT263" s="575"/>
      <c r="BU263" s="575"/>
      <c r="BV263" s="575"/>
      <c r="BW263" s="575"/>
      <c r="BX263" s="575"/>
      <c r="BY263" s="575"/>
      <c r="BZ263" s="575"/>
      <c r="CA263" s="575"/>
      <c r="CB263" s="575"/>
      <c r="CC263" s="575"/>
      <c r="CD263" s="575"/>
      <c r="CE263" s="575"/>
      <c r="CF263" s="575"/>
      <c r="CG263" s="575"/>
      <c r="CH263" s="575"/>
      <c r="CI263" s="575"/>
      <c r="CJ263" s="1479"/>
      <c r="CK263" s="1293"/>
    </row>
    <row r="264" spans="1:89" s="1292" customFormat="1" ht="28.5" x14ac:dyDescent="0.2">
      <c r="A264" s="1284"/>
      <c r="B264" s="871" t="s">
        <v>582</v>
      </c>
      <c r="C264" s="870" t="s">
        <v>583</v>
      </c>
      <c r="D264" s="872" t="s">
        <v>584</v>
      </c>
      <c r="E264" s="868" t="s">
        <v>375</v>
      </c>
      <c r="F264" s="869">
        <v>1</v>
      </c>
      <c r="G264" s="617" t="e">
        <f>G247/(G247+G255)</f>
        <v>#DIV/0!</v>
      </c>
      <c r="H264" s="617" t="e">
        <f t="shared" ref="H264:AK264" si="151">H247/(H247+H255)</f>
        <v>#DIV/0!</v>
      </c>
      <c r="I264" s="617">
        <f t="shared" si="151"/>
        <v>0.70718894107828767</v>
      </c>
      <c r="J264" s="617">
        <f t="shared" si="151"/>
        <v>0.7115692242952073</v>
      </c>
      <c r="K264" s="617">
        <f t="shared" si="151"/>
        <v>0.71871487986315041</v>
      </c>
      <c r="L264" s="617">
        <f t="shared" si="151"/>
        <v>0.73185091392726409</v>
      </c>
      <c r="M264" s="618">
        <f t="shared" si="151"/>
        <v>0.7610535345407623</v>
      </c>
      <c r="N264" s="618">
        <f t="shared" si="151"/>
        <v>0.78605709085951136</v>
      </c>
      <c r="O264" s="618">
        <f t="shared" si="151"/>
        <v>0.79401371045704217</v>
      </c>
      <c r="P264" s="618">
        <f t="shared" si="151"/>
        <v>0.80164968170077222</v>
      </c>
      <c r="Q264" s="618">
        <f t="shared" si="151"/>
        <v>0.80899773277726361</v>
      </c>
      <c r="R264" s="618">
        <f t="shared" si="151"/>
        <v>0.81344402066299826</v>
      </c>
      <c r="S264" s="618">
        <f t="shared" si="151"/>
        <v>0.81508443342805059</v>
      </c>
      <c r="T264" s="618">
        <f t="shared" si="151"/>
        <v>0.81668502782550934</v>
      </c>
      <c r="U264" s="618">
        <f t="shared" si="151"/>
        <v>0.8182474960326086</v>
      </c>
      <c r="V264" s="618">
        <f t="shared" si="151"/>
        <v>0.81977341697039463</v>
      </c>
      <c r="W264" s="618">
        <f t="shared" si="151"/>
        <v>0.82126413394934039</v>
      </c>
      <c r="X264" s="618">
        <f t="shared" si="151"/>
        <v>0.82272667333596239</v>
      </c>
      <c r="Y264" s="618">
        <f t="shared" si="151"/>
        <v>0.82416252285955804</v>
      </c>
      <c r="Z264" s="618">
        <f t="shared" si="151"/>
        <v>0.82557131703419795</v>
      </c>
      <c r="AA264" s="618">
        <f t="shared" si="151"/>
        <v>0.82693476709693836</v>
      </c>
      <c r="AB264" s="618">
        <f t="shared" si="151"/>
        <v>0.82827278087025469</v>
      </c>
      <c r="AC264" s="618">
        <f t="shared" si="151"/>
        <v>0.82959434719066072</v>
      </c>
      <c r="AD264" s="618">
        <f t="shared" si="151"/>
        <v>0.83089262014741461</v>
      </c>
      <c r="AE264" s="618">
        <f t="shared" si="151"/>
        <v>0.83216860811075732</v>
      </c>
      <c r="AF264" s="618">
        <f t="shared" si="151"/>
        <v>0.83342222786980868</v>
      </c>
      <c r="AG264" s="618">
        <f t="shared" si="151"/>
        <v>0.8346540036063741</v>
      </c>
      <c r="AH264" s="618">
        <f t="shared" si="151"/>
        <v>0.83586458409726516</v>
      </c>
      <c r="AI264" s="618">
        <f t="shared" si="151"/>
        <v>0.83705422914357641</v>
      </c>
      <c r="AJ264" s="618">
        <f t="shared" si="151"/>
        <v>0.83822249665989368</v>
      </c>
      <c r="AK264" s="618">
        <f t="shared" si="151"/>
        <v>0.83937015560076911</v>
      </c>
      <c r="AL264" s="618"/>
      <c r="AM264" s="618"/>
      <c r="AN264" s="618"/>
      <c r="AO264" s="618"/>
      <c r="AP264" s="618"/>
      <c r="AQ264" s="618"/>
      <c r="AR264" s="618"/>
      <c r="AS264" s="618"/>
      <c r="AT264" s="618"/>
      <c r="AU264" s="618"/>
      <c r="AV264" s="618"/>
      <c r="AW264" s="618"/>
      <c r="AX264" s="618"/>
      <c r="AY264" s="618"/>
      <c r="AZ264" s="618"/>
      <c r="BA264" s="618"/>
      <c r="BB264" s="618"/>
      <c r="BC264" s="618"/>
      <c r="BD264" s="618"/>
      <c r="BE264" s="618"/>
      <c r="BF264" s="618"/>
      <c r="BG264" s="618"/>
      <c r="BH264" s="618"/>
      <c r="BI264" s="618"/>
      <c r="BJ264" s="618"/>
      <c r="BK264" s="618"/>
      <c r="BL264" s="618"/>
      <c r="BM264" s="618"/>
      <c r="BN264" s="618"/>
      <c r="BO264" s="618"/>
      <c r="BP264" s="618"/>
      <c r="BQ264" s="618"/>
      <c r="BR264" s="618"/>
      <c r="BS264" s="618"/>
      <c r="BT264" s="618"/>
      <c r="BU264" s="618"/>
      <c r="BV264" s="618"/>
      <c r="BW264" s="618"/>
      <c r="BX264" s="618"/>
      <c r="BY264" s="618"/>
      <c r="BZ264" s="618"/>
      <c r="CA264" s="618"/>
      <c r="CB264" s="618"/>
      <c r="CC264" s="618"/>
      <c r="CD264" s="618"/>
      <c r="CE264" s="618"/>
      <c r="CF264" s="618"/>
      <c r="CG264" s="618"/>
      <c r="CH264" s="618"/>
      <c r="CI264" s="619"/>
      <c r="CJ264" s="1479"/>
      <c r="CK264" s="1293"/>
    </row>
    <row r="265" spans="1:89" s="1292" customFormat="1" ht="29.25" thickBot="1" x14ac:dyDescent="0.25">
      <c r="A265" s="1284"/>
      <c r="B265" s="873" t="s">
        <v>585</v>
      </c>
      <c r="C265" s="874" t="s">
        <v>586</v>
      </c>
      <c r="D265" s="875" t="s">
        <v>587</v>
      </c>
      <c r="E265" s="876" t="s">
        <v>375</v>
      </c>
      <c r="F265" s="877">
        <v>1</v>
      </c>
      <c r="G265" s="625" t="e">
        <f>(G247)/(G247+G256+G255+G254)</f>
        <v>#DIV/0!</v>
      </c>
      <c r="H265" s="625" t="e">
        <f t="shared" ref="H265:AK265" si="152">(H247)/(H247+H256+H255+H254)</f>
        <v>#DIV/0!</v>
      </c>
      <c r="I265" s="625">
        <f t="shared" si="152"/>
        <v>0.68570005809610757</v>
      </c>
      <c r="J265" s="625">
        <f t="shared" si="152"/>
        <v>0.68997755014504591</v>
      </c>
      <c r="K265" s="625">
        <f t="shared" si="152"/>
        <v>0.69691969599997716</v>
      </c>
      <c r="L265" s="625">
        <f t="shared" si="152"/>
        <v>0.70969550299547435</v>
      </c>
      <c r="M265" s="625">
        <f t="shared" si="152"/>
        <v>0.73808533625956163</v>
      </c>
      <c r="N265" s="625">
        <f t="shared" si="152"/>
        <v>0.76238589268315704</v>
      </c>
      <c r="O265" s="625">
        <f t="shared" si="152"/>
        <v>0.77012084845803852</v>
      </c>
      <c r="P265" s="625">
        <f t="shared" si="152"/>
        <v>0.77754334196767316</v>
      </c>
      <c r="Q265" s="625">
        <f t="shared" si="152"/>
        <v>0.78468604660386687</v>
      </c>
      <c r="R265" s="625">
        <f t="shared" si="152"/>
        <v>0.78900834626208272</v>
      </c>
      <c r="S265" s="625">
        <f t="shared" si="152"/>
        <v>0.79060311502559744</v>
      </c>
      <c r="T265" s="625">
        <f t="shared" si="152"/>
        <v>0.79215916210914572</v>
      </c>
      <c r="U265" s="625">
        <f t="shared" si="152"/>
        <v>0.79367816713243988</v>
      </c>
      <c r="V265" s="625">
        <f t="shared" si="152"/>
        <v>0.79516167280331063</v>
      </c>
      <c r="W265" s="625">
        <f t="shared" si="152"/>
        <v>0.79661097335382713</v>
      </c>
      <c r="X265" s="625">
        <f t="shared" si="152"/>
        <v>0.79803290042844122</v>
      </c>
      <c r="Y265" s="625">
        <f t="shared" si="152"/>
        <v>0.79942887512105998</v>
      </c>
      <c r="Z265" s="625">
        <f t="shared" si="152"/>
        <v>0.80079852209461544</v>
      </c>
      <c r="AA265" s="625">
        <f t="shared" si="152"/>
        <v>0.80212412730135829</v>
      </c>
      <c r="AB265" s="625">
        <f t="shared" si="152"/>
        <v>0.80342500601478317</v>
      </c>
      <c r="AC265" s="625">
        <f t="shared" si="152"/>
        <v>0.8047098630634405</v>
      </c>
      <c r="AD265" s="625">
        <f t="shared" si="152"/>
        <v>0.80597205957481655</v>
      </c>
      <c r="AE265" s="625">
        <f t="shared" si="152"/>
        <v>0.80721260918683091</v>
      </c>
      <c r="AF265" s="625">
        <f t="shared" si="152"/>
        <v>0.80843141641546756</v>
      </c>
      <c r="AG265" s="625">
        <f t="shared" si="152"/>
        <v>0.80962899179974257</v>
      </c>
      <c r="AH265" s="625">
        <f t="shared" si="152"/>
        <v>0.81080595323418503</v>
      </c>
      <c r="AI265" s="625">
        <f t="shared" si="152"/>
        <v>0.81196254236966137</v>
      </c>
      <c r="AJ265" s="625">
        <f t="shared" si="152"/>
        <v>0.81309833632107087</v>
      </c>
      <c r="AK265" s="625">
        <f t="shared" si="152"/>
        <v>0.81421409181747006</v>
      </c>
      <c r="AL265" s="625"/>
      <c r="AM265" s="625"/>
      <c r="AN265" s="625"/>
      <c r="AO265" s="625"/>
      <c r="AP265" s="625"/>
      <c r="AQ265" s="625"/>
      <c r="AR265" s="625"/>
      <c r="AS265" s="625"/>
      <c r="AT265" s="625"/>
      <c r="AU265" s="625"/>
      <c r="AV265" s="625"/>
      <c r="AW265" s="625"/>
      <c r="AX265" s="625"/>
      <c r="AY265" s="625"/>
      <c r="AZ265" s="625"/>
      <c r="BA265" s="625"/>
      <c r="BB265" s="625"/>
      <c r="BC265" s="625"/>
      <c r="BD265" s="625"/>
      <c r="BE265" s="625"/>
      <c r="BF265" s="625"/>
      <c r="BG265" s="625"/>
      <c r="BH265" s="625"/>
      <c r="BI265" s="625"/>
      <c r="BJ265" s="625"/>
      <c r="BK265" s="625"/>
      <c r="BL265" s="625"/>
      <c r="BM265" s="625"/>
      <c r="BN265" s="625"/>
      <c r="BO265" s="625"/>
      <c r="BP265" s="625"/>
      <c r="BQ265" s="625"/>
      <c r="BR265" s="625"/>
      <c r="BS265" s="625"/>
      <c r="BT265" s="625"/>
      <c r="BU265" s="625"/>
      <c r="BV265" s="625"/>
      <c r="BW265" s="625"/>
      <c r="BX265" s="625"/>
      <c r="BY265" s="625"/>
      <c r="BZ265" s="625"/>
      <c r="CA265" s="625"/>
      <c r="CB265" s="625"/>
      <c r="CC265" s="625"/>
      <c r="CD265" s="625"/>
      <c r="CE265" s="625"/>
      <c r="CF265" s="625"/>
      <c r="CG265" s="625"/>
      <c r="CH265" s="625"/>
      <c r="CI265" s="625"/>
      <c r="CJ265" s="1479"/>
      <c r="CK265" s="1293"/>
    </row>
    <row r="266" spans="1:89" s="1292" customFormat="1" ht="29.25" thickBot="1" x14ac:dyDescent="0.25">
      <c r="A266" s="1284"/>
      <c r="B266" s="878" t="s">
        <v>588</v>
      </c>
      <c r="C266" s="879" t="s">
        <v>245</v>
      </c>
      <c r="D266" s="879" t="s">
        <v>589</v>
      </c>
      <c r="E266" s="879" t="s">
        <v>236</v>
      </c>
      <c r="F266" s="880">
        <v>2</v>
      </c>
      <c r="G266" s="629">
        <f>SUM(G226:G228)+G224+G235+G240+G241+G234</f>
        <v>0</v>
      </c>
      <c r="H266" s="629">
        <f t="shared" ref="H266:AK266" si="153">SUM(H226:H228)+H224+H235+H240+H241+H234</f>
        <v>0</v>
      </c>
      <c r="I266" s="629">
        <f t="shared" si="153"/>
        <v>52.163815947202217</v>
      </c>
      <c r="J266" s="629">
        <f t="shared" si="153"/>
        <v>54.243246770430616</v>
      </c>
      <c r="K266" s="629">
        <f t="shared" si="153"/>
        <v>55.336772810385625</v>
      </c>
      <c r="L266" s="629">
        <f t="shared" si="153"/>
        <v>55.457634526189786</v>
      </c>
      <c r="M266" s="629">
        <f t="shared" si="153"/>
        <v>55.567054452300596</v>
      </c>
      <c r="N266" s="629">
        <f t="shared" si="153"/>
        <v>55.497199359959822</v>
      </c>
      <c r="O266" s="629">
        <f t="shared" si="153"/>
        <v>57.559722251749264</v>
      </c>
      <c r="P266" s="629">
        <f t="shared" si="153"/>
        <v>57.524423135914688</v>
      </c>
      <c r="Q266" s="629">
        <f t="shared" si="153"/>
        <v>57.456574667156112</v>
      </c>
      <c r="R266" s="629">
        <f t="shared" si="153"/>
        <v>57.45889343160065</v>
      </c>
      <c r="S266" s="629">
        <f t="shared" si="153"/>
        <v>57.525938382324441</v>
      </c>
      <c r="T266" s="629">
        <f t="shared" si="153"/>
        <v>57.595439682897918</v>
      </c>
      <c r="U266" s="629">
        <f t="shared" si="153"/>
        <v>57.664788161214936</v>
      </c>
      <c r="V266" s="629">
        <f t="shared" si="153"/>
        <v>57.749267352885624</v>
      </c>
      <c r="W266" s="629">
        <f t="shared" si="153"/>
        <v>57.831785454044585</v>
      </c>
      <c r="X266" s="629">
        <f t="shared" si="153"/>
        <v>57.918863999464918</v>
      </c>
      <c r="Y266" s="629">
        <f t="shared" si="153"/>
        <v>58.005592203786577</v>
      </c>
      <c r="Z266" s="629">
        <f t="shared" si="153"/>
        <v>58.105872000502281</v>
      </c>
      <c r="AA266" s="629">
        <f t="shared" si="153"/>
        <v>58.214553416463779</v>
      </c>
      <c r="AB266" s="629">
        <f t="shared" si="153"/>
        <v>58.291938091779059</v>
      </c>
      <c r="AC266" s="629">
        <f t="shared" si="153"/>
        <v>58.39820370174742</v>
      </c>
      <c r="AD266" s="629">
        <f t="shared" si="153"/>
        <v>58.515325955275891</v>
      </c>
      <c r="AE266" s="629">
        <f t="shared" si="153"/>
        <v>58.636036106366134</v>
      </c>
      <c r="AF266" s="629">
        <f t="shared" si="153"/>
        <v>58.756211664830808</v>
      </c>
      <c r="AG266" s="629">
        <f t="shared" si="153"/>
        <v>58.86980813295196</v>
      </c>
      <c r="AH266" s="629">
        <f t="shared" si="153"/>
        <v>58.988367535961913</v>
      </c>
      <c r="AI266" s="629">
        <f t="shared" si="153"/>
        <v>59.10432017569628</v>
      </c>
      <c r="AJ266" s="629">
        <f t="shared" si="153"/>
        <v>59.221784131744826</v>
      </c>
      <c r="AK266" s="629">
        <f t="shared" si="153"/>
        <v>59.332281851327231</v>
      </c>
      <c r="AL266" s="629"/>
      <c r="AM266" s="629"/>
      <c r="AN266" s="629"/>
      <c r="AO266" s="629"/>
      <c r="AP266" s="629"/>
      <c r="AQ266" s="629"/>
      <c r="AR266" s="629"/>
      <c r="AS266" s="629"/>
      <c r="AT266" s="629"/>
      <c r="AU266" s="629"/>
      <c r="AV266" s="629"/>
      <c r="AW266" s="629"/>
      <c r="AX266" s="629"/>
      <c r="AY266" s="629"/>
      <c r="AZ266" s="629"/>
      <c r="BA266" s="629"/>
      <c r="BB266" s="629"/>
      <c r="BC266" s="629"/>
      <c r="BD266" s="629"/>
      <c r="BE266" s="629"/>
      <c r="BF266" s="629"/>
      <c r="BG266" s="629"/>
      <c r="BH266" s="629"/>
      <c r="BI266" s="629"/>
      <c r="BJ266" s="629"/>
      <c r="BK266" s="629"/>
      <c r="BL266" s="629"/>
      <c r="BM266" s="629"/>
      <c r="BN266" s="629"/>
      <c r="BO266" s="629"/>
      <c r="BP266" s="629"/>
      <c r="BQ266" s="629"/>
      <c r="BR266" s="629"/>
      <c r="BS266" s="629"/>
      <c r="BT266" s="629"/>
      <c r="BU266" s="629"/>
      <c r="BV266" s="629"/>
      <c r="BW266" s="629"/>
      <c r="BX266" s="629"/>
      <c r="BY266" s="629"/>
      <c r="BZ266" s="629"/>
      <c r="CA266" s="629"/>
      <c r="CB266" s="629"/>
      <c r="CC266" s="629"/>
      <c r="CD266" s="629"/>
      <c r="CE266" s="629"/>
      <c r="CF266" s="629"/>
      <c r="CG266" s="629"/>
      <c r="CH266" s="629"/>
      <c r="CI266" s="629"/>
      <c r="CJ266" s="1479"/>
      <c r="CK266" s="1293"/>
    </row>
    <row r="267" spans="1:89" s="1292" customFormat="1" ht="28.5" x14ac:dyDescent="0.2">
      <c r="A267" s="1284"/>
      <c r="B267" s="881" t="s">
        <v>590</v>
      </c>
      <c r="C267" s="882" t="s">
        <v>591</v>
      </c>
      <c r="D267" s="816" t="s">
        <v>86</v>
      </c>
      <c r="E267" s="882" t="s">
        <v>236</v>
      </c>
      <c r="F267" s="883">
        <v>2</v>
      </c>
      <c r="G267" s="633"/>
      <c r="H267" s="540"/>
      <c r="I267" s="540">
        <v>0</v>
      </c>
      <c r="J267" s="540">
        <v>0</v>
      </c>
      <c r="K267" s="540">
        <v>0</v>
      </c>
      <c r="L267" s="540">
        <v>0</v>
      </c>
      <c r="M267" s="541">
        <v>0</v>
      </c>
      <c r="N267" s="541">
        <v>0</v>
      </c>
      <c r="O267" s="541">
        <v>0</v>
      </c>
      <c r="P267" s="541">
        <v>0</v>
      </c>
      <c r="Q267" s="541">
        <v>0</v>
      </c>
      <c r="R267" s="541">
        <v>0</v>
      </c>
      <c r="S267" s="541">
        <v>0</v>
      </c>
      <c r="T267" s="541">
        <v>0</v>
      </c>
      <c r="U267" s="541">
        <v>0</v>
      </c>
      <c r="V267" s="541">
        <v>0</v>
      </c>
      <c r="W267" s="541">
        <v>0</v>
      </c>
      <c r="X267" s="541">
        <v>0</v>
      </c>
      <c r="Y267" s="541">
        <v>0</v>
      </c>
      <c r="Z267" s="541">
        <v>0</v>
      </c>
      <c r="AA267" s="541">
        <v>0</v>
      </c>
      <c r="AB267" s="541">
        <v>0</v>
      </c>
      <c r="AC267" s="541">
        <v>0</v>
      </c>
      <c r="AD267" s="541">
        <v>0</v>
      </c>
      <c r="AE267" s="541">
        <v>0</v>
      </c>
      <c r="AF267" s="541">
        <v>0</v>
      </c>
      <c r="AG267" s="541">
        <v>0</v>
      </c>
      <c r="AH267" s="541">
        <v>0</v>
      </c>
      <c r="AI267" s="541">
        <v>0</v>
      </c>
      <c r="AJ267" s="541">
        <v>0</v>
      </c>
      <c r="AK267" s="541">
        <v>0</v>
      </c>
      <c r="AL267" s="541"/>
      <c r="AM267" s="541"/>
      <c r="AN267" s="541"/>
      <c r="AO267" s="541"/>
      <c r="AP267" s="541"/>
      <c r="AQ267" s="541"/>
      <c r="AR267" s="541"/>
      <c r="AS267" s="541"/>
      <c r="AT267" s="541"/>
      <c r="AU267" s="541"/>
      <c r="AV267" s="541"/>
      <c r="AW267" s="541"/>
      <c r="AX267" s="541"/>
      <c r="AY267" s="541"/>
      <c r="AZ267" s="541"/>
      <c r="BA267" s="541"/>
      <c r="BB267" s="541"/>
      <c r="BC267" s="541"/>
      <c r="BD267" s="541"/>
      <c r="BE267" s="541"/>
      <c r="BF267" s="541"/>
      <c r="BG267" s="541"/>
      <c r="BH267" s="541"/>
      <c r="BI267" s="541"/>
      <c r="BJ267" s="541"/>
      <c r="BK267" s="541"/>
      <c r="BL267" s="541"/>
      <c r="BM267" s="541"/>
      <c r="BN267" s="541"/>
      <c r="BO267" s="541"/>
      <c r="BP267" s="541"/>
      <c r="BQ267" s="541"/>
      <c r="BR267" s="541"/>
      <c r="BS267" s="541"/>
      <c r="BT267" s="541"/>
      <c r="BU267" s="541"/>
      <c r="BV267" s="541"/>
      <c r="BW267" s="541"/>
      <c r="BX267" s="541"/>
      <c r="BY267" s="541"/>
      <c r="BZ267" s="541"/>
      <c r="CA267" s="541"/>
      <c r="CB267" s="541"/>
      <c r="CC267" s="541"/>
      <c r="CD267" s="541"/>
      <c r="CE267" s="541"/>
      <c r="CF267" s="541"/>
      <c r="CG267" s="541"/>
      <c r="CH267" s="541"/>
      <c r="CI267" s="542"/>
      <c r="CJ267" s="1479"/>
    </row>
    <row r="268" spans="1:89" s="1292" customFormat="1" x14ac:dyDescent="0.2">
      <c r="A268" s="1284"/>
      <c r="B268" s="884" t="s">
        <v>592</v>
      </c>
      <c r="C268" s="885" t="s">
        <v>593</v>
      </c>
      <c r="D268" s="821" t="s">
        <v>86</v>
      </c>
      <c r="E268" s="885" t="s">
        <v>236</v>
      </c>
      <c r="F268" s="886">
        <v>2</v>
      </c>
      <c r="G268" s="637"/>
      <c r="H268" s="540"/>
      <c r="I268" s="540">
        <v>2.3057766736758718</v>
      </c>
      <c r="J268" s="540">
        <v>2.7053624002616878</v>
      </c>
      <c r="K268" s="540">
        <v>2.5502193585970021</v>
      </c>
      <c r="L268" s="540">
        <v>2.5129349533205558</v>
      </c>
      <c r="M268" s="541">
        <v>2.5226848311787209</v>
      </c>
      <c r="N268" s="541">
        <v>2.2395802122158921</v>
      </c>
      <c r="O268" s="541">
        <v>1.9631670601934741</v>
      </c>
      <c r="P268" s="541">
        <v>1.8218145407603969</v>
      </c>
      <c r="Q268" s="541">
        <v>1.7249050128503021</v>
      </c>
      <c r="R268" s="541">
        <v>1.639706753256889</v>
      </c>
      <c r="S268" s="541">
        <v>1.592417607862455</v>
      </c>
      <c r="T268" s="541">
        <v>1.555800359204256</v>
      </c>
      <c r="U268" s="541">
        <v>1.50185473848648</v>
      </c>
      <c r="V268" s="541">
        <v>1.485957579354404</v>
      </c>
      <c r="W268" s="541">
        <v>1.4622089672008529</v>
      </c>
      <c r="X268" s="541">
        <v>1.4443428827418761</v>
      </c>
      <c r="Y268" s="541">
        <v>1.4381270533235291</v>
      </c>
      <c r="Z268" s="541">
        <v>1.4067846821716581</v>
      </c>
      <c r="AA268" s="541">
        <v>1.4057228228363841</v>
      </c>
      <c r="AB268" s="541">
        <v>1.390452375778563</v>
      </c>
      <c r="AC268" s="541">
        <v>1.3887039488240911</v>
      </c>
      <c r="AD268" s="541">
        <v>1.3749579437330011</v>
      </c>
      <c r="AE268" s="541">
        <v>1.372186682043254</v>
      </c>
      <c r="AF268" s="541">
        <v>1.3721208475123921</v>
      </c>
      <c r="AG268" s="541">
        <v>1.3612564652481081</v>
      </c>
      <c r="AH268" s="541">
        <v>1.367419036313138</v>
      </c>
      <c r="AI268" s="541">
        <v>1.3370088073687361</v>
      </c>
      <c r="AJ268" s="541">
        <v>1.3552017017088269</v>
      </c>
      <c r="AK268" s="541">
        <v>1.364474219644175</v>
      </c>
      <c r="AL268" s="541">
        <v>1.35589876826008</v>
      </c>
      <c r="AM268" s="541">
        <v>1.38337314767641</v>
      </c>
      <c r="AN268" s="541">
        <v>1.401435366474963</v>
      </c>
      <c r="AO268" s="541">
        <v>1.430723256113368</v>
      </c>
      <c r="AP268" s="541">
        <v>1.45487685016174</v>
      </c>
      <c r="AQ268" s="541">
        <v>1.479125752221671</v>
      </c>
      <c r="AR268" s="541">
        <v>1.505859524850766</v>
      </c>
      <c r="AS268" s="541">
        <v>1.5394796735562699</v>
      </c>
      <c r="AT268" s="541">
        <v>1.5616277622447889</v>
      </c>
      <c r="AU268" s="541">
        <v>1.587932964492113</v>
      </c>
      <c r="AV268" s="541">
        <v>1.615961796519034</v>
      </c>
      <c r="AW268" s="541">
        <v>1.643172827013313</v>
      </c>
      <c r="AX268" s="541">
        <v>1.667359807371686</v>
      </c>
      <c r="AY268" s="541">
        <v>1.6981009820511219</v>
      </c>
      <c r="AZ268" s="541">
        <v>1.7106247874369209</v>
      </c>
      <c r="BA268" s="541">
        <v>1.753014987853587</v>
      </c>
      <c r="BB268" s="541">
        <v>1.7755143869694521</v>
      </c>
      <c r="BC268" s="541">
        <v>1.7909135968876539</v>
      </c>
      <c r="BD268" s="541">
        <v>1.8184477889788839</v>
      </c>
      <c r="BE268" s="541">
        <v>1.843771000849703</v>
      </c>
      <c r="BF268" s="541">
        <v>1.8676020547925221</v>
      </c>
      <c r="BG268" s="541">
        <v>1.8822060252186861</v>
      </c>
      <c r="BH268" s="541">
        <v>1.9094007344942461</v>
      </c>
      <c r="BI268" s="541">
        <v>1.933520967852983</v>
      </c>
      <c r="BJ268" s="541">
        <v>1.949406318898256</v>
      </c>
      <c r="BK268" s="541">
        <v>1.9802389828809299</v>
      </c>
      <c r="BL268" s="541">
        <v>1.998681708745017</v>
      </c>
      <c r="BM268" s="541">
        <v>2.0121006870197262</v>
      </c>
      <c r="BN268" s="541">
        <v>2.0268769480323079</v>
      </c>
      <c r="BO268" s="541">
        <v>2.0604552125028679</v>
      </c>
      <c r="BP268" s="541">
        <v>2.0812077838489418</v>
      </c>
      <c r="BQ268" s="541">
        <v>2.1005496700339119</v>
      </c>
      <c r="BR268" s="541">
        <v>2.1295970213725219</v>
      </c>
      <c r="BS268" s="541">
        <v>2.14806635978286</v>
      </c>
      <c r="BT268" s="541">
        <v>2.1731963651691339</v>
      </c>
      <c r="BU268" s="541">
        <v>2.1944574929387919</v>
      </c>
      <c r="BV268" s="541">
        <v>2.219609940382032</v>
      </c>
      <c r="BW268" s="541">
        <v>2.2313003816653261</v>
      </c>
      <c r="BX268" s="541">
        <v>2.2586450472227639</v>
      </c>
      <c r="BY268" s="541">
        <v>2.2773751116410308</v>
      </c>
      <c r="BZ268" s="541">
        <v>2.2840803764942721</v>
      </c>
      <c r="CA268" s="541">
        <v>2.317304359772014</v>
      </c>
      <c r="CB268" s="541">
        <v>2.3387854166972359</v>
      </c>
      <c r="CC268" s="541">
        <v>2.3601740210252529</v>
      </c>
      <c r="CD268" s="541">
        <v>2.3863297441886271</v>
      </c>
      <c r="CE268" s="541">
        <v>2.3956926650138719</v>
      </c>
      <c r="CF268" s="541">
        <v>2.4231504752465538</v>
      </c>
      <c r="CG268" s="541">
        <v>2.4457436275035662</v>
      </c>
      <c r="CH268" s="541">
        <v>2.470261858364232</v>
      </c>
      <c r="CI268" s="542">
        <v>2.3359456234986808</v>
      </c>
      <c r="CJ268" s="1479"/>
    </row>
    <row r="269" spans="1:89" s="1292" customFormat="1" x14ac:dyDescent="0.2">
      <c r="A269" s="1284"/>
      <c r="B269" s="884" t="s">
        <v>594</v>
      </c>
      <c r="C269" s="885" t="s">
        <v>384</v>
      </c>
      <c r="D269" s="821" t="s">
        <v>595</v>
      </c>
      <c r="E269" s="885" t="s">
        <v>236</v>
      </c>
      <c r="F269" s="886">
        <v>2</v>
      </c>
      <c r="G269" s="638">
        <f>G267+G268</f>
        <v>0</v>
      </c>
      <c r="H269" s="638">
        <f t="shared" ref="H269:AK269" si="154">H267+H268</f>
        <v>0</v>
      </c>
      <c r="I269" s="638">
        <f t="shared" si="154"/>
        <v>2.3057766736758718</v>
      </c>
      <c r="J269" s="638">
        <f t="shared" si="154"/>
        <v>2.7053624002616878</v>
      </c>
      <c r="K269" s="638">
        <f t="shared" si="154"/>
        <v>2.5502193585970021</v>
      </c>
      <c r="L269" s="638">
        <f t="shared" si="154"/>
        <v>2.5129349533205558</v>
      </c>
      <c r="M269" s="639">
        <f t="shared" si="154"/>
        <v>2.5226848311787209</v>
      </c>
      <c r="N269" s="639">
        <f t="shared" si="154"/>
        <v>2.2395802122158921</v>
      </c>
      <c r="O269" s="639">
        <f t="shared" si="154"/>
        <v>1.9631670601934741</v>
      </c>
      <c r="P269" s="639">
        <f t="shared" si="154"/>
        <v>1.8218145407603969</v>
      </c>
      <c r="Q269" s="639">
        <f t="shared" si="154"/>
        <v>1.7249050128503021</v>
      </c>
      <c r="R269" s="639">
        <f t="shared" si="154"/>
        <v>1.639706753256889</v>
      </c>
      <c r="S269" s="639">
        <f t="shared" si="154"/>
        <v>1.592417607862455</v>
      </c>
      <c r="T269" s="639">
        <f t="shared" si="154"/>
        <v>1.555800359204256</v>
      </c>
      <c r="U269" s="639">
        <f t="shared" si="154"/>
        <v>1.50185473848648</v>
      </c>
      <c r="V269" s="639">
        <f t="shared" si="154"/>
        <v>1.485957579354404</v>
      </c>
      <c r="W269" s="639">
        <f t="shared" si="154"/>
        <v>1.4622089672008529</v>
      </c>
      <c r="X269" s="639">
        <f t="shared" si="154"/>
        <v>1.4443428827418761</v>
      </c>
      <c r="Y269" s="639">
        <f t="shared" si="154"/>
        <v>1.4381270533235291</v>
      </c>
      <c r="Z269" s="639">
        <f t="shared" si="154"/>
        <v>1.4067846821716581</v>
      </c>
      <c r="AA269" s="639">
        <f t="shared" si="154"/>
        <v>1.4057228228363841</v>
      </c>
      <c r="AB269" s="639">
        <f t="shared" si="154"/>
        <v>1.390452375778563</v>
      </c>
      <c r="AC269" s="639">
        <f t="shared" si="154"/>
        <v>1.3887039488240911</v>
      </c>
      <c r="AD269" s="639">
        <f t="shared" si="154"/>
        <v>1.3749579437330011</v>
      </c>
      <c r="AE269" s="639">
        <f t="shared" si="154"/>
        <v>1.372186682043254</v>
      </c>
      <c r="AF269" s="639">
        <f t="shared" si="154"/>
        <v>1.3721208475123921</v>
      </c>
      <c r="AG269" s="639">
        <f t="shared" si="154"/>
        <v>1.3612564652481081</v>
      </c>
      <c r="AH269" s="639">
        <f t="shared" si="154"/>
        <v>1.367419036313138</v>
      </c>
      <c r="AI269" s="639">
        <f t="shared" si="154"/>
        <v>1.3370088073687361</v>
      </c>
      <c r="AJ269" s="639">
        <f t="shared" si="154"/>
        <v>1.3552017017088269</v>
      </c>
      <c r="AK269" s="639">
        <f t="shared" si="154"/>
        <v>1.364474219644175</v>
      </c>
      <c r="AL269" s="639"/>
      <c r="AM269" s="639"/>
      <c r="AN269" s="639"/>
      <c r="AO269" s="639"/>
      <c r="AP269" s="639"/>
      <c r="AQ269" s="639"/>
      <c r="AR269" s="639"/>
      <c r="AS269" s="639"/>
      <c r="AT269" s="639"/>
      <c r="AU269" s="639"/>
      <c r="AV269" s="639"/>
      <c r="AW269" s="639"/>
      <c r="AX269" s="639"/>
      <c r="AY269" s="639"/>
      <c r="AZ269" s="639"/>
      <c r="BA269" s="639"/>
      <c r="BB269" s="639"/>
      <c r="BC269" s="639"/>
      <c r="BD269" s="639"/>
      <c r="BE269" s="639"/>
      <c r="BF269" s="639"/>
      <c r="BG269" s="639"/>
      <c r="BH269" s="639"/>
      <c r="BI269" s="639"/>
      <c r="BJ269" s="639"/>
      <c r="BK269" s="639"/>
      <c r="BL269" s="639"/>
      <c r="BM269" s="639"/>
      <c r="BN269" s="639"/>
      <c r="BO269" s="639"/>
      <c r="BP269" s="639"/>
      <c r="BQ269" s="639"/>
      <c r="BR269" s="639"/>
      <c r="BS269" s="639"/>
      <c r="BT269" s="639"/>
      <c r="BU269" s="639"/>
      <c r="BV269" s="639"/>
      <c r="BW269" s="639"/>
      <c r="BX269" s="639"/>
      <c r="BY269" s="639"/>
      <c r="BZ269" s="639"/>
      <c r="CA269" s="639"/>
      <c r="CB269" s="639"/>
      <c r="CC269" s="639"/>
      <c r="CD269" s="639"/>
      <c r="CE269" s="639"/>
      <c r="CF269" s="639"/>
      <c r="CG269" s="639"/>
      <c r="CH269" s="639"/>
      <c r="CI269" s="640"/>
      <c r="CJ269" s="1479"/>
    </row>
    <row r="270" spans="1:89" s="1292" customFormat="1" x14ac:dyDescent="0.2">
      <c r="A270" s="1284"/>
      <c r="B270" s="1063" t="s">
        <v>596</v>
      </c>
      <c r="C270" s="1064" t="s">
        <v>597</v>
      </c>
      <c r="D270" s="1065" t="s">
        <v>598</v>
      </c>
      <c r="E270" s="1064" t="s">
        <v>236</v>
      </c>
      <c r="F270" s="1066">
        <v>2</v>
      </c>
      <c r="G270" s="1072">
        <f>G223-G266</f>
        <v>0</v>
      </c>
      <c r="H270" s="638">
        <f t="shared" ref="H270:AK270" si="155">H223-H266</f>
        <v>0</v>
      </c>
      <c r="I270" s="638">
        <f t="shared" si="155"/>
        <v>23.166184052797782</v>
      </c>
      <c r="J270" s="638">
        <f t="shared" si="155"/>
        <v>21.086753229569382</v>
      </c>
      <c r="K270" s="638">
        <f t="shared" si="155"/>
        <v>19.993227189614373</v>
      </c>
      <c r="L270" s="638">
        <f t="shared" si="155"/>
        <v>19.872365473810213</v>
      </c>
      <c r="M270" s="639">
        <f t="shared" si="155"/>
        <v>19.762945547699402</v>
      </c>
      <c r="N270" s="639">
        <f t="shared" si="155"/>
        <v>19.832800640040176</v>
      </c>
      <c r="O270" s="639">
        <f t="shared" si="155"/>
        <v>17.770277748250734</v>
      </c>
      <c r="P270" s="639">
        <f t="shared" si="155"/>
        <v>17.80557686408531</v>
      </c>
      <c r="Q270" s="639">
        <f t="shared" si="155"/>
        <v>17.873425332843887</v>
      </c>
      <c r="R270" s="639">
        <f t="shared" si="155"/>
        <v>15.371106568399348</v>
      </c>
      <c r="S270" s="639">
        <f t="shared" si="155"/>
        <v>15.304061617675558</v>
      </c>
      <c r="T270" s="639">
        <f t="shared" si="155"/>
        <v>13.23456031710208</v>
      </c>
      <c r="U270" s="639">
        <f t="shared" si="155"/>
        <v>13.165211838785062</v>
      </c>
      <c r="V270" s="639">
        <f t="shared" si="155"/>
        <v>13.080732647114374</v>
      </c>
      <c r="W270" s="639">
        <f t="shared" si="155"/>
        <v>12.998214545955413</v>
      </c>
      <c r="X270" s="639">
        <f t="shared" si="155"/>
        <v>12.91113600053508</v>
      </c>
      <c r="Y270" s="639">
        <f t="shared" si="155"/>
        <v>12.824407796213421</v>
      </c>
      <c r="Z270" s="639">
        <f t="shared" si="155"/>
        <v>12.724127999497718</v>
      </c>
      <c r="AA270" s="639">
        <f t="shared" si="155"/>
        <v>12.615446583536219</v>
      </c>
      <c r="AB270" s="639">
        <f t="shared" si="155"/>
        <v>12.538061908220939</v>
      </c>
      <c r="AC270" s="639">
        <f t="shared" si="155"/>
        <v>12.431796298252578</v>
      </c>
      <c r="AD270" s="639">
        <f t="shared" si="155"/>
        <v>12.314674044724107</v>
      </c>
      <c r="AE270" s="639">
        <f t="shared" si="155"/>
        <v>12.193963893633864</v>
      </c>
      <c r="AF270" s="639">
        <f t="shared" si="155"/>
        <v>12.073788335169191</v>
      </c>
      <c r="AG270" s="639">
        <f t="shared" si="155"/>
        <v>11.960191867048039</v>
      </c>
      <c r="AH270" s="639">
        <f t="shared" si="155"/>
        <v>11.841632464038085</v>
      </c>
      <c r="AI270" s="639">
        <f t="shared" si="155"/>
        <v>11.725679824303718</v>
      </c>
      <c r="AJ270" s="639">
        <f t="shared" si="155"/>
        <v>11.608215868255172</v>
      </c>
      <c r="AK270" s="639">
        <f t="shared" si="155"/>
        <v>11.497718148672767</v>
      </c>
      <c r="AL270" s="639"/>
      <c r="AM270" s="639"/>
      <c r="AN270" s="639"/>
      <c r="AO270" s="639"/>
      <c r="AP270" s="639"/>
      <c r="AQ270" s="639"/>
      <c r="AR270" s="639"/>
      <c r="AS270" s="639"/>
      <c r="AT270" s="639"/>
      <c r="AU270" s="639"/>
      <c r="AV270" s="639"/>
      <c r="AW270" s="639"/>
      <c r="AX270" s="639"/>
      <c r="AY270" s="639"/>
      <c r="AZ270" s="639"/>
      <c r="BA270" s="639"/>
      <c r="BB270" s="639"/>
      <c r="BC270" s="639"/>
      <c r="BD270" s="639"/>
      <c r="BE270" s="639"/>
      <c r="BF270" s="639"/>
      <c r="BG270" s="639"/>
      <c r="BH270" s="639"/>
      <c r="BI270" s="639"/>
      <c r="BJ270" s="639"/>
      <c r="BK270" s="639"/>
      <c r="BL270" s="639"/>
      <c r="BM270" s="639"/>
      <c r="BN270" s="639"/>
      <c r="BO270" s="639"/>
      <c r="BP270" s="639"/>
      <c r="BQ270" s="639"/>
      <c r="BR270" s="639"/>
      <c r="BS270" s="639"/>
      <c r="BT270" s="639"/>
      <c r="BU270" s="639"/>
      <c r="BV270" s="639"/>
      <c r="BW270" s="639"/>
      <c r="BX270" s="639"/>
      <c r="BY270" s="639"/>
      <c r="BZ270" s="639"/>
      <c r="CA270" s="639"/>
      <c r="CB270" s="639"/>
      <c r="CC270" s="639"/>
      <c r="CD270" s="639"/>
      <c r="CE270" s="639"/>
      <c r="CF270" s="639"/>
      <c r="CG270" s="639"/>
      <c r="CH270" s="639"/>
      <c r="CI270" s="640"/>
      <c r="CJ270" s="1479"/>
    </row>
    <row r="271" spans="1:89" s="1292" customFormat="1" ht="15" thickBot="1" x14ac:dyDescent="0.25">
      <c r="A271" s="1284"/>
      <c r="B271" s="1063" t="s">
        <v>599</v>
      </c>
      <c r="C271" s="1064" t="s">
        <v>600</v>
      </c>
      <c r="D271" s="1065" t="s">
        <v>601</v>
      </c>
      <c r="E271" s="1064" t="s">
        <v>236</v>
      </c>
      <c r="F271" s="1066">
        <v>2</v>
      </c>
      <c r="G271" s="1073">
        <f>G206-G225</f>
        <v>0</v>
      </c>
      <c r="H271" s="1074">
        <f t="shared" ref="H271:AK271" si="156">H206-H225</f>
        <v>0</v>
      </c>
      <c r="I271" s="1074">
        <f t="shared" si="156"/>
        <v>0</v>
      </c>
      <c r="J271" s="1074">
        <f t="shared" si="156"/>
        <v>0</v>
      </c>
      <c r="K271" s="1074">
        <f t="shared" si="156"/>
        <v>0</v>
      </c>
      <c r="L271" s="1074">
        <f t="shared" si="156"/>
        <v>0</v>
      </c>
      <c r="M271" s="1074">
        <f t="shared" si="156"/>
        <v>0</v>
      </c>
      <c r="N271" s="1074">
        <f t="shared" si="156"/>
        <v>0</v>
      </c>
      <c r="O271" s="1074">
        <f t="shared" si="156"/>
        <v>0</v>
      </c>
      <c r="P271" s="1074">
        <f t="shared" si="156"/>
        <v>0</v>
      </c>
      <c r="Q271" s="1074">
        <f t="shared" si="156"/>
        <v>0</v>
      </c>
      <c r="R271" s="1074">
        <f t="shared" si="156"/>
        <v>0</v>
      </c>
      <c r="S271" s="1074">
        <f t="shared" si="156"/>
        <v>0</v>
      </c>
      <c r="T271" s="1074">
        <f t="shared" si="156"/>
        <v>0</v>
      </c>
      <c r="U271" s="1074">
        <f t="shared" si="156"/>
        <v>0</v>
      </c>
      <c r="V271" s="1074">
        <f t="shared" si="156"/>
        <v>0</v>
      </c>
      <c r="W271" s="1074">
        <f t="shared" si="156"/>
        <v>0</v>
      </c>
      <c r="X271" s="1074">
        <f t="shared" si="156"/>
        <v>0</v>
      </c>
      <c r="Y271" s="1074">
        <f t="shared" si="156"/>
        <v>0</v>
      </c>
      <c r="Z271" s="1074">
        <f t="shared" si="156"/>
        <v>0</v>
      </c>
      <c r="AA271" s="1074">
        <f t="shared" si="156"/>
        <v>0</v>
      </c>
      <c r="AB271" s="1074">
        <f t="shared" si="156"/>
        <v>0</v>
      </c>
      <c r="AC271" s="1074">
        <f t="shared" si="156"/>
        <v>0</v>
      </c>
      <c r="AD271" s="1074">
        <f t="shared" si="156"/>
        <v>0</v>
      </c>
      <c r="AE271" s="1074">
        <f t="shared" si="156"/>
        <v>0</v>
      </c>
      <c r="AF271" s="1074">
        <f t="shared" si="156"/>
        <v>0</v>
      </c>
      <c r="AG271" s="1074">
        <f t="shared" si="156"/>
        <v>0</v>
      </c>
      <c r="AH271" s="1074">
        <f t="shared" si="156"/>
        <v>0</v>
      </c>
      <c r="AI271" s="1074">
        <f t="shared" si="156"/>
        <v>0</v>
      </c>
      <c r="AJ271" s="1074">
        <f t="shared" si="156"/>
        <v>0</v>
      </c>
      <c r="AK271" s="1074">
        <f t="shared" si="156"/>
        <v>0</v>
      </c>
      <c r="AL271" s="1074"/>
      <c r="AM271" s="1074"/>
      <c r="AN271" s="1074"/>
      <c r="AO271" s="1074"/>
      <c r="AP271" s="1074"/>
      <c r="AQ271" s="1074"/>
      <c r="AR271" s="1074"/>
      <c r="AS271" s="1074"/>
      <c r="AT271" s="1074"/>
      <c r="AU271" s="1074"/>
      <c r="AV271" s="1074"/>
      <c r="AW271" s="1074"/>
      <c r="AX271" s="1074"/>
      <c r="AY271" s="1074"/>
      <c r="AZ271" s="1074"/>
      <c r="BA271" s="1074"/>
      <c r="BB271" s="1074"/>
      <c r="BC271" s="1074"/>
      <c r="BD271" s="1074"/>
      <c r="BE271" s="1074"/>
      <c r="BF271" s="1074"/>
      <c r="BG271" s="1074"/>
      <c r="BH271" s="1074"/>
      <c r="BI271" s="1074"/>
      <c r="BJ271" s="1074"/>
      <c r="BK271" s="1074"/>
      <c r="BL271" s="1074"/>
      <c r="BM271" s="1074"/>
      <c r="BN271" s="1074"/>
      <c r="BO271" s="1074"/>
      <c r="BP271" s="1074"/>
      <c r="BQ271" s="1074"/>
      <c r="BR271" s="1074"/>
      <c r="BS271" s="1074"/>
      <c r="BT271" s="1074"/>
      <c r="BU271" s="1074"/>
      <c r="BV271" s="1074"/>
      <c r="BW271" s="1074"/>
      <c r="BX271" s="1074"/>
      <c r="BY271" s="1074"/>
      <c r="BZ271" s="1074"/>
      <c r="CA271" s="1074"/>
      <c r="CB271" s="1074"/>
      <c r="CC271" s="1074"/>
      <c r="CD271" s="1074"/>
      <c r="CE271" s="1074"/>
      <c r="CF271" s="1074"/>
      <c r="CG271" s="1074"/>
      <c r="CH271" s="1074"/>
      <c r="CI271" s="1074"/>
      <c r="CJ271" s="1479"/>
    </row>
    <row r="272" spans="1:89" s="1292" customFormat="1" ht="15" thickBot="1" x14ac:dyDescent="0.25">
      <c r="A272" s="1284"/>
      <c r="B272" s="887" t="s">
        <v>602</v>
      </c>
      <c r="C272" s="888" t="s">
        <v>393</v>
      </c>
      <c r="D272" s="889" t="s">
        <v>784</v>
      </c>
      <c r="E272" s="888" t="s">
        <v>236</v>
      </c>
      <c r="F272" s="890">
        <v>2</v>
      </c>
      <c r="G272" s="648">
        <f>G270-G269</f>
        <v>0</v>
      </c>
      <c r="H272" s="648">
        <f t="shared" ref="H272:AK272" si="157">H270-H269</f>
        <v>0</v>
      </c>
      <c r="I272" s="648">
        <f t="shared" si="157"/>
        <v>20.860407379121909</v>
      </c>
      <c r="J272" s="648">
        <f t="shared" si="157"/>
        <v>18.381390829307694</v>
      </c>
      <c r="K272" s="648">
        <f t="shared" si="157"/>
        <v>17.443007831017372</v>
      </c>
      <c r="L272" s="648">
        <f t="shared" si="157"/>
        <v>17.359430520489656</v>
      </c>
      <c r="M272" s="649">
        <f t="shared" si="157"/>
        <v>17.24026071652068</v>
      </c>
      <c r="N272" s="649">
        <f t="shared" si="157"/>
        <v>17.593220427824285</v>
      </c>
      <c r="O272" s="649">
        <f t="shared" si="157"/>
        <v>15.807110688057261</v>
      </c>
      <c r="P272" s="649">
        <f t="shared" si="157"/>
        <v>15.983762323324914</v>
      </c>
      <c r="Q272" s="649">
        <f t="shared" si="157"/>
        <v>16.148520319993583</v>
      </c>
      <c r="R272" s="649">
        <f t="shared" si="157"/>
        <v>13.73139981514246</v>
      </c>
      <c r="S272" s="649">
        <f t="shared" si="157"/>
        <v>13.711644009813103</v>
      </c>
      <c r="T272" s="649">
        <f t="shared" si="157"/>
        <v>11.678759957897825</v>
      </c>
      <c r="U272" s="649">
        <f t="shared" si="157"/>
        <v>11.663357100298581</v>
      </c>
      <c r="V272" s="649">
        <f t="shared" si="157"/>
        <v>11.59477506775997</v>
      </c>
      <c r="W272" s="649">
        <f t="shared" si="157"/>
        <v>11.53600557875456</v>
      </c>
      <c r="X272" s="649">
        <f t="shared" si="157"/>
        <v>11.466793117793204</v>
      </c>
      <c r="Y272" s="649">
        <f t="shared" si="157"/>
        <v>11.386280742889893</v>
      </c>
      <c r="Z272" s="649">
        <f t="shared" si="157"/>
        <v>11.31734331732606</v>
      </c>
      <c r="AA272" s="649">
        <f t="shared" si="157"/>
        <v>11.209723760699834</v>
      </c>
      <c r="AB272" s="649">
        <f t="shared" si="157"/>
        <v>11.147609532442376</v>
      </c>
      <c r="AC272" s="649">
        <f t="shared" si="157"/>
        <v>11.043092349428488</v>
      </c>
      <c r="AD272" s="649">
        <f t="shared" si="157"/>
        <v>10.939716100991106</v>
      </c>
      <c r="AE272" s="649">
        <f t="shared" si="157"/>
        <v>10.821777211590611</v>
      </c>
      <c r="AF272" s="649">
        <f t="shared" si="157"/>
        <v>10.701667487656799</v>
      </c>
      <c r="AG272" s="649">
        <f t="shared" si="157"/>
        <v>10.598935401799931</v>
      </c>
      <c r="AH272" s="649">
        <f t="shared" si="157"/>
        <v>10.474213427724948</v>
      </c>
      <c r="AI272" s="649">
        <f t="shared" si="157"/>
        <v>10.388671016934982</v>
      </c>
      <c r="AJ272" s="649">
        <f t="shared" si="157"/>
        <v>10.253014166546345</v>
      </c>
      <c r="AK272" s="649">
        <f t="shared" si="157"/>
        <v>10.133243929028593</v>
      </c>
      <c r="AL272" s="649"/>
      <c r="AM272" s="649"/>
      <c r="AN272" s="649"/>
      <c r="AO272" s="649"/>
      <c r="AP272" s="649"/>
      <c r="AQ272" s="649"/>
      <c r="AR272" s="649"/>
      <c r="AS272" s="649"/>
      <c r="AT272" s="649"/>
      <c r="AU272" s="649"/>
      <c r="AV272" s="649"/>
      <c r="AW272" s="649"/>
      <c r="AX272" s="649"/>
      <c r="AY272" s="649"/>
      <c r="AZ272" s="649"/>
      <c r="BA272" s="649"/>
      <c r="BB272" s="649"/>
      <c r="BC272" s="649"/>
      <c r="BD272" s="649"/>
      <c r="BE272" s="649"/>
      <c r="BF272" s="649"/>
      <c r="BG272" s="649"/>
      <c r="BH272" s="649"/>
      <c r="BI272" s="649"/>
      <c r="BJ272" s="649"/>
      <c r="BK272" s="649"/>
      <c r="BL272" s="649"/>
      <c r="BM272" s="649"/>
      <c r="BN272" s="649"/>
      <c r="BO272" s="649"/>
      <c r="BP272" s="649"/>
      <c r="BQ272" s="649"/>
      <c r="BR272" s="649"/>
      <c r="BS272" s="649"/>
      <c r="BT272" s="649"/>
      <c r="BU272" s="649"/>
      <c r="BV272" s="649"/>
      <c r="BW272" s="649"/>
      <c r="BX272" s="649"/>
      <c r="BY272" s="649"/>
      <c r="BZ272" s="649"/>
      <c r="CA272" s="649"/>
      <c r="CB272" s="649"/>
      <c r="CC272" s="649"/>
      <c r="CD272" s="649"/>
      <c r="CE272" s="649"/>
      <c r="CF272" s="649"/>
      <c r="CG272" s="649"/>
      <c r="CH272" s="649"/>
      <c r="CI272" s="650"/>
      <c r="CJ272" s="1479"/>
    </row>
    <row r="273" spans="2:88" ht="15" thickBot="1" x14ac:dyDescent="0.25">
      <c r="B273" s="651"/>
      <c r="C273" s="652"/>
      <c r="D273" s="53"/>
      <c r="E273" s="652"/>
      <c r="F273" s="653"/>
      <c r="G273" s="654"/>
      <c r="H273" s="654"/>
      <c r="I273" s="654"/>
      <c r="J273" s="654"/>
      <c r="K273" s="654"/>
      <c r="L273" s="654"/>
      <c r="M273" s="654"/>
      <c r="N273" s="654"/>
      <c r="O273" s="654"/>
      <c r="P273" s="654"/>
      <c r="Q273" s="654"/>
      <c r="R273" s="654"/>
      <c r="S273" s="654"/>
      <c r="T273" s="654"/>
      <c r="U273" s="654"/>
      <c r="V273" s="654"/>
      <c r="W273" s="654"/>
      <c r="X273" s="654"/>
      <c r="Y273" s="654"/>
      <c r="Z273" s="654"/>
      <c r="AA273" s="654"/>
      <c r="AB273" s="654"/>
      <c r="AC273" s="654"/>
      <c r="AD273" s="654"/>
      <c r="AE273" s="654"/>
      <c r="AF273" s="654"/>
      <c r="AG273" s="654"/>
      <c r="AH273" s="654"/>
      <c r="AI273" s="654"/>
      <c r="AJ273" s="654"/>
      <c r="AK273" s="654"/>
      <c r="AL273" s="654"/>
      <c r="AM273" s="654"/>
      <c r="AN273" s="654"/>
      <c r="AO273" s="654"/>
      <c r="AP273" s="654"/>
      <c r="AQ273" s="654"/>
      <c r="AR273" s="654"/>
      <c r="AS273" s="654"/>
      <c r="AT273" s="654"/>
      <c r="AU273" s="654"/>
      <c r="AV273" s="654"/>
      <c r="AW273" s="654"/>
      <c r="AX273" s="654"/>
      <c r="AY273" s="654"/>
      <c r="AZ273" s="654"/>
      <c r="BA273" s="654"/>
      <c r="BB273" s="654"/>
      <c r="BC273" s="654"/>
      <c r="BD273" s="654"/>
      <c r="BE273" s="654"/>
      <c r="BF273" s="654"/>
      <c r="BG273" s="654"/>
      <c r="BH273" s="654"/>
      <c r="BI273" s="654"/>
      <c r="BJ273" s="654"/>
      <c r="BK273" s="654"/>
      <c r="BL273" s="654"/>
      <c r="BM273" s="654"/>
      <c r="BN273" s="654"/>
      <c r="BO273" s="654"/>
      <c r="BP273" s="654"/>
      <c r="BQ273" s="654"/>
      <c r="BR273" s="654"/>
      <c r="BS273" s="654"/>
      <c r="BT273" s="654"/>
      <c r="BU273" s="654"/>
      <c r="BV273" s="654"/>
      <c r="BW273" s="654"/>
      <c r="BX273" s="654"/>
      <c r="BY273" s="654"/>
      <c r="BZ273" s="654"/>
      <c r="CA273" s="654"/>
      <c r="CB273" s="654"/>
      <c r="CC273" s="654"/>
      <c r="CD273" s="654"/>
      <c r="CE273" s="654"/>
      <c r="CF273" s="654"/>
      <c r="CG273" s="654"/>
      <c r="CH273" s="654"/>
      <c r="CI273" s="654"/>
    </row>
    <row r="274" spans="2:88" ht="60.75" thickBot="1" x14ac:dyDescent="0.25">
      <c r="B274" s="891" t="s">
        <v>442</v>
      </c>
      <c r="C274" s="1307" t="s">
        <v>204</v>
      </c>
      <c r="D274" s="53"/>
      <c r="E274" s="652"/>
      <c r="F274" s="653"/>
      <c r="G274" s="654"/>
      <c r="H274" s="654"/>
      <c r="I274" s="654"/>
      <c r="J274" s="654"/>
      <c r="K274" s="654"/>
      <c r="L274" s="654"/>
      <c r="M274" s="654"/>
      <c r="N274" s="654"/>
      <c r="O274" s="654"/>
      <c r="P274" s="654"/>
      <c r="Q274" s="654"/>
      <c r="R274" s="654"/>
      <c r="S274" s="654"/>
      <c r="T274" s="654"/>
      <c r="U274" s="654"/>
      <c r="V274" s="654"/>
      <c r="W274" s="654"/>
      <c r="X274" s="654"/>
      <c r="Y274" s="654"/>
      <c r="Z274" s="654"/>
      <c r="AA274" s="654"/>
      <c r="AB274" s="654"/>
      <c r="AC274" s="654"/>
      <c r="AD274" s="654"/>
      <c r="AE274" s="654"/>
      <c r="AF274" s="654"/>
      <c r="AG274" s="654"/>
      <c r="AH274" s="654"/>
      <c r="AI274" s="654"/>
      <c r="AJ274" s="654"/>
      <c r="AK274" s="654"/>
      <c r="AL274" s="654"/>
      <c r="AM274" s="654"/>
      <c r="AN274" s="654"/>
      <c r="AO274" s="654"/>
      <c r="AP274" s="654"/>
      <c r="AQ274" s="654"/>
      <c r="AR274" s="654"/>
      <c r="AS274" s="654"/>
      <c r="AT274" s="654"/>
      <c r="AU274" s="654"/>
      <c r="AV274" s="654"/>
      <c r="AW274" s="654"/>
      <c r="AX274" s="654"/>
      <c r="AY274" s="654"/>
      <c r="AZ274" s="654"/>
      <c r="BA274" s="654"/>
      <c r="BB274" s="654"/>
      <c r="BC274" s="654"/>
      <c r="BD274" s="654"/>
      <c r="BE274" s="654"/>
      <c r="BF274" s="654"/>
      <c r="BG274" s="654"/>
      <c r="BH274" s="654"/>
      <c r="BI274" s="654"/>
      <c r="BJ274" s="654"/>
      <c r="BK274" s="654"/>
      <c r="BL274" s="654"/>
      <c r="BM274" s="654"/>
      <c r="BN274" s="654"/>
      <c r="BO274" s="654"/>
      <c r="BP274" s="654"/>
      <c r="BQ274" s="654"/>
      <c r="BR274" s="654"/>
      <c r="BS274" s="654"/>
      <c r="BT274" s="654"/>
      <c r="BU274" s="654"/>
      <c r="BV274" s="654"/>
      <c r="BW274" s="654"/>
      <c r="BX274" s="654"/>
      <c r="BY274" s="654"/>
      <c r="BZ274" s="654"/>
      <c r="CA274" s="654"/>
      <c r="CB274" s="654"/>
      <c r="CC274" s="654"/>
      <c r="CD274" s="654"/>
      <c r="CE274" s="654"/>
      <c r="CF274" s="654"/>
      <c r="CG274" s="654"/>
      <c r="CH274" s="654"/>
      <c r="CI274" s="654"/>
    </row>
    <row r="275" spans="2:88" ht="30.75" thickBot="1" x14ac:dyDescent="0.25">
      <c r="B275" s="892" t="s">
        <v>446</v>
      </c>
      <c r="C275" s="893" t="s">
        <v>604</v>
      </c>
      <c r="D275" s="893" t="s">
        <v>605</v>
      </c>
      <c r="E275" s="893" t="s">
        <v>206</v>
      </c>
      <c r="F275" s="894" t="s">
        <v>207</v>
      </c>
      <c r="G275" s="895" t="s">
        <v>208</v>
      </c>
      <c r="H275" s="895" t="s">
        <v>209</v>
      </c>
      <c r="I275" s="895" t="s">
        <v>210</v>
      </c>
      <c r="J275" s="895" t="s">
        <v>211</v>
      </c>
      <c r="K275" s="895" t="s">
        <v>212</v>
      </c>
      <c r="L275" s="895" t="s">
        <v>213</v>
      </c>
      <c r="M275" s="893" t="s">
        <v>214</v>
      </c>
      <c r="N275" s="893" t="s">
        <v>215</v>
      </c>
      <c r="O275" s="893" t="s">
        <v>216</v>
      </c>
      <c r="P275" s="893" t="s">
        <v>217</v>
      </c>
      <c r="Q275" s="893" t="s">
        <v>218</v>
      </c>
      <c r="R275" s="893" t="s">
        <v>247</v>
      </c>
      <c r="S275" s="893" t="s">
        <v>248</v>
      </c>
      <c r="T275" s="893" t="s">
        <v>249</v>
      </c>
      <c r="U275" s="893" t="s">
        <v>250</v>
      </c>
      <c r="V275" s="893" t="s">
        <v>219</v>
      </c>
      <c r="W275" s="893" t="s">
        <v>251</v>
      </c>
      <c r="X275" s="893" t="s">
        <v>252</v>
      </c>
      <c r="Y275" s="893" t="s">
        <v>253</v>
      </c>
      <c r="Z275" s="893" t="s">
        <v>254</v>
      </c>
      <c r="AA275" s="893" t="s">
        <v>220</v>
      </c>
      <c r="AB275" s="893" t="s">
        <v>255</v>
      </c>
      <c r="AC275" s="893" t="s">
        <v>256</v>
      </c>
      <c r="AD275" s="893" t="s">
        <v>257</v>
      </c>
      <c r="AE275" s="893" t="s">
        <v>258</v>
      </c>
      <c r="AF275" s="893" t="s">
        <v>221</v>
      </c>
      <c r="AG275" s="893" t="s">
        <v>259</v>
      </c>
      <c r="AH275" s="893" t="s">
        <v>260</v>
      </c>
      <c r="AI275" s="893" t="s">
        <v>261</v>
      </c>
      <c r="AJ275" s="893" t="s">
        <v>262</v>
      </c>
      <c r="AK275" s="893" t="s">
        <v>222</v>
      </c>
      <c r="AL275" s="893" t="s">
        <v>263</v>
      </c>
      <c r="AM275" s="893" t="s">
        <v>264</v>
      </c>
      <c r="AN275" s="893" t="s">
        <v>265</v>
      </c>
      <c r="AO275" s="893" t="s">
        <v>266</v>
      </c>
      <c r="AP275" s="893" t="s">
        <v>223</v>
      </c>
      <c r="AQ275" s="893" t="s">
        <v>267</v>
      </c>
      <c r="AR275" s="893" t="s">
        <v>268</v>
      </c>
      <c r="AS275" s="893" t="s">
        <v>269</v>
      </c>
      <c r="AT275" s="893" t="s">
        <v>270</v>
      </c>
      <c r="AU275" s="893" t="s">
        <v>224</v>
      </c>
      <c r="AV275" s="893" t="s">
        <v>271</v>
      </c>
      <c r="AW275" s="893" t="s">
        <v>272</v>
      </c>
      <c r="AX275" s="893" t="s">
        <v>273</v>
      </c>
      <c r="AY275" s="893" t="s">
        <v>274</v>
      </c>
      <c r="AZ275" s="893" t="s">
        <v>225</v>
      </c>
      <c r="BA275" s="893" t="s">
        <v>275</v>
      </c>
      <c r="BB275" s="893" t="s">
        <v>276</v>
      </c>
      <c r="BC275" s="893" t="s">
        <v>277</v>
      </c>
      <c r="BD275" s="893" t="s">
        <v>278</v>
      </c>
      <c r="BE275" s="893" t="s">
        <v>226</v>
      </c>
      <c r="BF275" s="893" t="s">
        <v>279</v>
      </c>
      <c r="BG275" s="893" t="s">
        <v>280</v>
      </c>
      <c r="BH275" s="893" t="s">
        <v>281</v>
      </c>
      <c r="BI275" s="893" t="s">
        <v>282</v>
      </c>
      <c r="BJ275" s="893" t="s">
        <v>227</v>
      </c>
      <c r="BK275" s="893" t="s">
        <v>283</v>
      </c>
      <c r="BL275" s="893" t="s">
        <v>284</v>
      </c>
      <c r="BM275" s="893" t="s">
        <v>285</v>
      </c>
      <c r="BN275" s="893" t="s">
        <v>286</v>
      </c>
      <c r="BO275" s="893" t="s">
        <v>228</v>
      </c>
      <c r="BP275" s="893" t="s">
        <v>287</v>
      </c>
      <c r="BQ275" s="893" t="s">
        <v>288</v>
      </c>
      <c r="BR275" s="893" t="s">
        <v>289</v>
      </c>
      <c r="BS275" s="893" t="s">
        <v>290</v>
      </c>
      <c r="BT275" s="893" t="s">
        <v>229</v>
      </c>
      <c r="BU275" s="893" t="s">
        <v>291</v>
      </c>
      <c r="BV275" s="893" t="s">
        <v>292</v>
      </c>
      <c r="BW275" s="893" t="s">
        <v>293</v>
      </c>
      <c r="BX275" s="893" t="s">
        <v>294</v>
      </c>
      <c r="BY275" s="893" t="s">
        <v>230</v>
      </c>
      <c r="BZ275" s="893" t="s">
        <v>295</v>
      </c>
      <c r="CA275" s="893" t="s">
        <v>296</v>
      </c>
      <c r="CB275" s="893" t="s">
        <v>297</v>
      </c>
      <c r="CC275" s="893" t="s">
        <v>298</v>
      </c>
      <c r="CD275" s="893" t="s">
        <v>231</v>
      </c>
      <c r="CE275" s="893" t="s">
        <v>299</v>
      </c>
      <c r="CF275" s="893" t="s">
        <v>300</v>
      </c>
      <c r="CG275" s="893" t="s">
        <v>301</v>
      </c>
      <c r="CH275" s="893" t="s">
        <v>302</v>
      </c>
      <c r="CI275" s="896" t="s">
        <v>232</v>
      </c>
      <c r="CJ275" s="893" t="s">
        <v>606</v>
      </c>
    </row>
    <row r="276" spans="2:88" ht="28.5" x14ac:dyDescent="0.2">
      <c r="B276" s="900" t="s">
        <v>607</v>
      </c>
      <c r="C276" s="901" t="s">
        <v>608</v>
      </c>
      <c r="D276" s="901" t="s">
        <v>609</v>
      </c>
      <c r="E276" s="901" t="s">
        <v>236</v>
      </c>
      <c r="F276" s="902">
        <v>2</v>
      </c>
      <c r="G276" s="670"/>
      <c r="H276" s="671"/>
      <c r="I276" s="671">
        <v>0</v>
      </c>
      <c r="J276" s="671">
        <v>0</v>
      </c>
      <c r="K276" s="671">
        <v>0</v>
      </c>
      <c r="L276" s="671">
        <v>0</v>
      </c>
      <c r="M276" s="666">
        <v>0</v>
      </c>
      <c r="N276" s="666">
        <v>0</v>
      </c>
      <c r="O276" s="666">
        <v>0</v>
      </c>
      <c r="P276" s="666">
        <v>0</v>
      </c>
      <c r="Q276" s="666">
        <v>0</v>
      </c>
      <c r="R276" s="666">
        <v>0</v>
      </c>
      <c r="S276" s="666">
        <v>0</v>
      </c>
      <c r="T276" s="666">
        <v>0</v>
      </c>
      <c r="U276" s="666">
        <v>0</v>
      </c>
      <c r="V276" s="666">
        <v>0</v>
      </c>
      <c r="W276" s="666">
        <v>0</v>
      </c>
      <c r="X276" s="666">
        <v>0</v>
      </c>
      <c r="Y276" s="666">
        <v>0</v>
      </c>
      <c r="Z276" s="666">
        <v>0</v>
      </c>
      <c r="AA276" s="666">
        <v>0</v>
      </c>
      <c r="AB276" s="666">
        <v>0</v>
      </c>
      <c r="AC276" s="666">
        <v>0</v>
      </c>
      <c r="AD276" s="666">
        <v>0</v>
      </c>
      <c r="AE276" s="666">
        <v>0</v>
      </c>
      <c r="AF276" s="666">
        <v>0</v>
      </c>
      <c r="AG276" s="666">
        <v>0</v>
      </c>
      <c r="AH276" s="666">
        <v>0</v>
      </c>
      <c r="AI276" s="666">
        <v>0</v>
      </c>
      <c r="AJ276" s="666">
        <v>0</v>
      </c>
      <c r="AK276" s="666">
        <v>0</v>
      </c>
      <c r="AL276" s="666"/>
      <c r="AM276" s="666"/>
      <c r="AN276" s="666"/>
      <c r="AO276" s="666"/>
      <c r="AP276" s="666"/>
      <c r="AQ276" s="666"/>
      <c r="AR276" s="666"/>
      <c r="AS276" s="666"/>
      <c r="AT276" s="666"/>
      <c r="AU276" s="666"/>
      <c r="AV276" s="666"/>
      <c r="AW276" s="666"/>
      <c r="AX276" s="666"/>
      <c r="AY276" s="666"/>
      <c r="AZ276" s="666"/>
      <c r="BA276" s="666"/>
      <c r="BB276" s="666"/>
      <c r="BC276" s="666"/>
      <c r="BD276" s="666"/>
      <c r="BE276" s="666"/>
      <c r="BF276" s="666"/>
      <c r="BG276" s="666"/>
      <c r="BH276" s="666"/>
      <c r="BI276" s="666"/>
      <c r="BJ276" s="666"/>
      <c r="BK276" s="666"/>
      <c r="BL276" s="666"/>
      <c r="BM276" s="666"/>
      <c r="BN276" s="666"/>
      <c r="BO276" s="666"/>
      <c r="BP276" s="666"/>
      <c r="BQ276" s="666"/>
      <c r="BR276" s="666"/>
      <c r="BS276" s="666"/>
      <c r="BT276" s="666"/>
      <c r="BU276" s="666"/>
      <c r="BV276" s="666"/>
      <c r="BW276" s="666"/>
      <c r="BX276" s="666"/>
      <c r="BY276" s="666"/>
      <c r="BZ276" s="666"/>
      <c r="CA276" s="666"/>
      <c r="CB276" s="666"/>
      <c r="CC276" s="666"/>
      <c r="CD276" s="666"/>
      <c r="CE276" s="666"/>
      <c r="CF276" s="666"/>
      <c r="CG276" s="666"/>
      <c r="CH276" s="666"/>
      <c r="CI276" s="666"/>
      <c r="CJ276" s="1438"/>
    </row>
    <row r="277" spans="2:88" x14ac:dyDescent="0.2">
      <c r="B277" s="897" t="s">
        <v>610</v>
      </c>
      <c r="C277" s="898" t="s">
        <v>785</v>
      </c>
      <c r="D277" s="898" t="s">
        <v>612</v>
      </c>
      <c r="E277" s="898" t="s">
        <v>236</v>
      </c>
      <c r="F277" s="899">
        <v>2</v>
      </c>
      <c r="G277" s="670"/>
      <c r="H277" s="671"/>
      <c r="I277" s="671">
        <v>0</v>
      </c>
      <c r="J277" s="671">
        <v>0</v>
      </c>
      <c r="K277" s="671">
        <v>0</v>
      </c>
      <c r="L277" s="671">
        <v>0</v>
      </c>
      <c r="M277" s="666">
        <v>0</v>
      </c>
      <c r="N277" s="666">
        <v>0</v>
      </c>
      <c r="O277" s="666">
        <v>0</v>
      </c>
      <c r="P277" s="666">
        <v>0</v>
      </c>
      <c r="Q277" s="666">
        <v>0</v>
      </c>
      <c r="R277" s="666">
        <v>0</v>
      </c>
      <c r="S277" s="666">
        <v>0</v>
      </c>
      <c r="T277" s="666">
        <v>0</v>
      </c>
      <c r="U277" s="666">
        <v>0</v>
      </c>
      <c r="V277" s="666">
        <v>0</v>
      </c>
      <c r="W277" s="666">
        <v>0</v>
      </c>
      <c r="X277" s="666">
        <v>0</v>
      </c>
      <c r="Y277" s="666">
        <v>0</v>
      </c>
      <c r="Z277" s="666">
        <v>0</v>
      </c>
      <c r="AA277" s="666">
        <v>0</v>
      </c>
      <c r="AB277" s="666">
        <v>0</v>
      </c>
      <c r="AC277" s="666">
        <v>0</v>
      </c>
      <c r="AD277" s="666">
        <v>0</v>
      </c>
      <c r="AE277" s="666">
        <v>0</v>
      </c>
      <c r="AF277" s="666">
        <v>0</v>
      </c>
      <c r="AG277" s="666">
        <v>0</v>
      </c>
      <c r="AH277" s="666">
        <v>0</v>
      </c>
      <c r="AI277" s="666">
        <v>0</v>
      </c>
      <c r="AJ277" s="666">
        <v>0</v>
      </c>
      <c r="AK277" s="666">
        <v>0</v>
      </c>
      <c r="AL277" s="666"/>
      <c r="AM277" s="666"/>
      <c r="AN277" s="666"/>
      <c r="AO277" s="666"/>
      <c r="AP277" s="666"/>
      <c r="AQ277" s="666"/>
      <c r="AR277" s="666"/>
      <c r="AS277" s="666"/>
      <c r="AT277" s="666"/>
      <c r="AU277" s="666"/>
      <c r="AV277" s="666"/>
      <c r="AW277" s="666"/>
      <c r="AX277" s="666"/>
      <c r="AY277" s="666"/>
      <c r="AZ277" s="666"/>
      <c r="BA277" s="666"/>
      <c r="BB277" s="666"/>
      <c r="BC277" s="666"/>
      <c r="BD277" s="666"/>
      <c r="BE277" s="666"/>
      <c r="BF277" s="666"/>
      <c r="BG277" s="666"/>
      <c r="BH277" s="666"/>
      <c r="BI277" s="666"/>
      <c r="BJ277" s="666"/>
      <c r="BK277" s="666"/>
      <c r="BL277" s="666"/>
      <c r="BM277" s="666"/>
      <c r="BN277" s="666"/>
      <c r="BO277" s="666"/>
      <c r="BP277" s="666"/>
      <c r="BQ277" s="666"/>
      <c r="BR277" s="666"/>
      <c r="BS277" s="666"/>
      <c r="BT277" s="666"/>
      <c r="BU277" s="666"/>
      <c r="BV277" s="666"/>
      <c r="BW277" s="666"/>
      <c r="BX277" s="666"/>
      <c r="BY277" s="666"/>
      <c r="BZ277" s="666"/>
      <c r="CA277" s="666"/>
      <c r="CB277" s="666"/>
      <c r="CC277" s="666"/>
      <c r="CD277" s="666"/>
      <c r="CE277" s="666"/>
      <c r="CF277" s="666"/>
      <c r="CG277" s="666"/>
      <c r="CH277" s="666"/>
      <c r="CI277" s="666"/>
      <c r="CJ277" s="1439"/>
    </row>
    <row r="278" spans="2:88" ht="28.5" x14ac:dyDescent="0.2">
      <c r="B278" s="900" t="s">
        <v>613</v>
      </c>
      <c r="C278" s="901" t="s">
        <v>614</v>
      </c>
      <c r="D278" s="901" t="s">
        <v>615</v>
      </c>
      <c r="E278" s="901" t="s">
        <v>236</v>
      </c>
      <c r="F278" s="902">
        <v>2</v>
      </c>
      <c r="G278" s="670"/>
      <c r="H278" s="671"/>
      <c r="I278" s="671">
        <v>0</v>
      </c>
      <c r="J278" s="671">
        <v>0</v>
      </c>
      <c r="K278" s="671">
        <v>0</v>
      </c>
      <c r="L278" s="671">
        <v>0</v>
      </c>
      <c r="M278" s="666">
        <v>0</v>
      </c>
      <c r="N278" s="666">
        <v>0</v>
      </c>
      <c r="O278" s="666">
        <v>0</v>
      </c>
      <c r="P278" s="666">
        <v>0</v>
      </c>
      <c r="Q278" s="666">
        <v>0</v>
      </c>
      <c r="R278" s="666">
        <v>0</v>
      </c>
      <c r="S278" s="666">
        <v>0</v>
      </c>
      <c r="T278" s="666">
        <v>0</v>
      </c>
      <c r="U278" s="666">
        <v>0</v>
      </c>
      <c r="V278" s="666">
        <v>0</v>
      </c>
      <c r="W278" s="666">
        <v>0</v>
      </c>
      <c r="X278" s="666">
        <v>0</v>
      </c>
      <c r="Y278" s="666">
        <v>0</v>
      </c>
      <c r="Z278" s="666">
        <v>0</v>
      </c>
      <c r="AA278" s="666">
        <v>0</v>
      </c>
      <c r="AB278" s="666">
        <v>0</v>
      </c>
      <c r="AC278" s="666">
        <v>0</v>
      </c>
      <c r="AD278" s="666">
        <v>0</v>
      </c>
      <c r="AE278" s="666">
        <v>0</v>
      </c>
      <c r="AF278" s="666">
        <v>0</v>
      </c>
      <c r="AG278" s="666">
        <v>0</v>
      </c>
      <c r="AH278" s="666">
        <v>0</v>
      </c>
      <c r="AI278" s="666">
        <v>0</v>
      </c>
      <c r="AJ278" s="666">
        <v>0</v>
      </c>
      <c r="AK278" s="666">
        <v>0</v>
      </c>
      <c r="AL278" s="666"/>
      <c r="AM278" s="666"/>
      <c r="AN278" s="666"/>
      <c r="AO278" s="666"/>
      <c r="AP278" s="666"/>
      <c r="AQ278" s="666"/>
      <c r="AR278" s="666"/>
      <c r="AS278" s="666"/>
      <c r="AT278" s="666"/>
      <c r="AU278" s="666"/>
      <c r="AV278" s="666"/>
      <c r="AW278" s="666"/>
      <c r="AX278" s="666"/>
      <c r="AY278" s="666"/>
      <c r="AZ278" s="666"/>
      <c r="BA278" s="666"/>
      <c r="BB278" s="666"/>
      <c r="BC278" s="666"/>
      <c r="BD278" s="666"/>
      <c r="BE278" s="666"/>
      <c r="BF278" s="666"/>
      <c r="BG278" s="666"/>
      <c r="BH278" s="666"/>
      <c r="BI278" s="666"/>
      <c r="BJ278" s="666"/>
      <c r="BK278" s="666"/>
      <c r="BL278" s="666"/>
      <c r="BM278" s="666"/>
      <c r="BN278" s="666"/>
      <c r="BO278" s="666"/>
      <c r="BP278" s="666"/>
      <c r="BQ278" s="666"/>
      <c r="BR278" s="666"/>
      <c r="BS278" s="666"/>
      <c r="BT278" s="666"/>
      <c r="BU278" s="666"/>
      <c r="BV278" s="666"/>
      <c r="BW278" s="666"/>
      <c r="BX278" s="666"/>
      <c r="BY278" s="666"/>
      <c r="BZ278" s="666"/>
      <c r="CA278" s="666"/>
      <c r="CB278" s="666"/>
      <c r="CC278" s="666"/>
      <c r="CD278" s="666"/>
      <c r="CE278" s="666"/>
      <c r="CF278" s="666"/>
      <c r="CG278" s="666"/>
      <c r="CH278" s="666"/>
      <c r="CI278" s="666"/>
      <c r="CJ278" s="1439"/>
    </row>
    <row r="279" spans="2:88" ht="28.5" x14ac:dyDescent="0.2">
      <c r="B279" s="900" t="s">
        <v>616</v>
      </c>
      <c r="C279" s="901" t="s">
        <v>617</v>
      </c>
      <c r="D279" s="901" t="s">
        <v>618</v>
      </c>
      <c r="E279" s="901" t="s">
        <v>236</v>
      </c>
      <c r="F279" s="902">
        <v>2</v>
      </c>
      <c r="G279" s="670"/>
      <c r="H279" s="671"/>
      <c r="I279" s="671">
        <v>0</v>
      </c>
      <c r="J279" s="671">
        <v>0</v>
      </c>
      <c r="K279" s="671">
        <v>0</v>
      </c>
      <c r="L279" s="671">
        <v>0</v>
      </c>
      <c r="M279" s="666">
        <v>0</v>
      </c>
      <c r="N279" s="666">
        <v>0</v>
      </c>
      <c r="O279" s="666">
        <v>0</v>
      </c>
      <c r="P279" s="666">
        <v>0</v>
      </c>
      <c r="Q279" s="666">
        <v>0</v>
      </c>
      <c r="R279" s="666">
        <v>0</v>
      </c>
      <c r="S279" s="666">
        <v>0</v>
      </c>
      <c r="T279" s="666">
        <v>0</v>
      </c>
      <c r="U279" s="666">
        <v>0</v>
      </c>
      <c r="V279" s="666">
        <v>0</v>
      </c>
      <c r="W279" s="666">
        <v>0</v>
      </c>
      <c r="X279" s="666">
        <v>0</v>
      </c>
      <c r="Y279" s="666">
        <v>0</v>
      </c>
      <c r="Z279" s="666">
        <v>0</v>
      </c>
      <c r="AA279" s="666">
        <v>0</v>
      </c>
      <c r="AB279" s="666">
        <v>0</v>
      </c>
      <c r="AC279" s="666">
        <v>0</v>
      </c>
      <c r="AD279" s="666">
        <v>0</v>
      </c>
      <c r="AE279" s="666">
        <v>0</v>
      </c>
      <c r="AF279" s="666">
        <v>0</v>
      </c>
      <c r="AG279" s="666">
        <v>0</v>
      </c>
      <c r="AH279" s="666">
        <v>0</v>
      </c>
      <c r="AI279" s="666">
        <v>0</v>
      </c>
      <c r="AJ279" s="666">
        <v>0</v>
      </c>
      <c r="AK279" s="666">
        <v>0</v>
      </c>
      <c r="AL279" s="666"/>
      <c r="AM279" s="666"/>
      <c r="AN279" s="666"/>
      <c r="AO279" s="666"/>
      <c r="AP279" s="666"/>
      <c r="AQ279" s="666"/>
      <c r="AR279" s="666"/>
      <c r="AS279" s="666"/>
      <c r="AT279" s="666"/>
      <c r="AU279" s="666"/>
      <c r="AV279" s="666"/>
      <c r="AW279" s="666"/>
      <c r="AX279" s="666"/>
      <c r="AY279" s="666"/>
      <c r="AZ279" s="666"/>
      <c r="BA279" s="666"/>
      <c r="BB279" s="666"/>
      <c r="BC279" s="666"/>
      <c r="BD279" s="666"/>
      <c r="BE279" s="666"/>
      <c r="BF279" s="666"/>
      <c r="BG279" s="666"/>
      <c r="BH279" s="666"/>
      <c r="BI279" s="666"/>
      <c r="BJ279" s="666"/>
      <c r="BK279" s="666"/>
      <c r="BL279" s="666"/>
      <c r="BM279" s="666"/>
      <c r="BN279" s="666"/>
      <c r="BO279" s="666"/>
      <c r="BP279" s="666"/>
      <c r="BQ279" s="666"/>
      <c r="BR279" s="666"/>
      <c r="BS279" s="666"/>
      <c r="BT279" s="666"/>
      <c r="BU279" s="666"/>
      <c r="BV279" s="666"/>
      <c r="BW279" s="666"/>
      <c r="BX279" s="666"/>
      <c r="BY279" s="666"/>
      <c r="BZ279" s="666"/>
      <c r="CA279" s="666"/>
      <c r="CB279" s="666"/>
      <c r="CC279" s="666"/>
      <c r="CD279" s="666"/>
      <c r="CE279" s="666"/>
      <c r="CF279" s="666"/>
      <c r="CG279" s="666"/>
      <c r="CH279" s="666"/>
      <c r="CI279" s="666"/>
      <c r="CJ279" s="1439"/>
    </row>
    <row r="280" spans="2:88" ht="28.5" x14ac:dyDescent="0.2">
      <c r="B280" s="900" t="s">
        <v>619</v>
      </c>
      <c r="C280" s="901" t="s">
        <v>620</v>
      </c>
      <c r="D280" s="901" t="s">
        <v>621</v>
      </c>
      <c r="E280" s="901" t="s">
        <v>236</v>
      </c>
      <c r="F280" s="902">
        <v>2</v>
      </c>
      <c r="G280" s="670"/>
      <c r="H280" s="671"/>
      <c r="I280" s="671">
        <v>0</v>
      </c>
      <c r="J280" s="671">
        <v>0</v>
      </c>
      <c r="K280" s="671">
        <v>0</v>
      </c>
      <c r="L280" s="671">
        <v>0</v>
      </c>
      <c r="M280" s="666">
        <v>0</v>
      </c>
      <c r="N280" s="666">
        <v>0</v>
      </c>
      <c r="O280" s="666">
        <v>0</v>
      </c>
      <c r="P280" s="666">
        <v>0</v>
      </c>
      <c r="Q280" s="666">
        <v>0</v>
      </c>
      <c r="R280" s="666">
        <v>0</v>
      </c>
      <c r="S280" s="666">
        <v>0</v>
      </c>
      <c r="T280" s="1511">
        <v>-0.20856410954914401</v>
      </c>
      <c r="U280" s="1511">
        <v>-0.147957025735165</v>
      </c>
      <c r="V280" s="1511">
        <v>-6.5392176763865204E-2</v>
      </c>
      <c r="W280" s="1511">
        <v>-5.5851848014790697E-3</v>
      </c>
      <c r="X280" s="666">
        <v>0</v>
      </c>
      <c r="Y280" s="666">
        <v>0</v>
      </c>
      <c r="Z280" s="666">
        <v>0</v>
      </c>
      <c r="AA280" s="666">
        <v>0</v>
      </c>
      <c r="AB280" s="666">
        <v>0</v>
      </c>
      <c r="AC280" s="666">
        <v>0</v>
      </c>
      <c r="AD280" s="666">
        <v>0</v>
      </c>
      <c r="AE280" s="666">
        <v>0</v>
      </c>
      <c r="AF280" s="666">
        <v>0</v>
      </c>
      <c r="AG280" s="666">
        <v>0</v>
      </c>
      <c r="AH280" s="666">
        <v>0</v>
      </c>
      <c r="AI280" s="666">
        <v>0</v>
      </c>
      <c r="AJ280" s="666">
        <v>0</v>
      </c>
      <c r="AK280" s="666">
        <v>0</v>
      </c>
      <c r="AL280" s="666"/>
      <c r="AM280" s="666"/>
      <c r="AN280" s="666"/>
      <c r="AO280" s="666"/>
      <c r="AP280" s="666"/>
      <c r="AQ280" s="666"/>
      <c r="AR280" s="666"/>
      <c r="AS280" s="666"/>
      <c r="AT280" s="666"/>
      <c r="AU280" s="666"/>
      <c r="AV280" s="666"/>
      <c r="AW280" s="666"/>
      <c r="AX280" s="666"/>
      <c r="AY280" s="666"/>
      <c r="AZ280" s="666"/>
      <c r="BA280" s="666"/>
      <c r="BB280" s="666"/>
      <c r="BC280" s="666"/>
      <c r="BD280" s="666"/>
      <c r="BE280" s="666"/>
      <c r="BF280" s="666"/>
      <c r="BG280" s="666"/>
      <c r="BH280" s="666"/>
      <c r="BI280" s="666"/>
      <c r="BJ280" s="666"/>
      <c r="BK280" s="666"/>
      <c r="BL280" s="666"/>
      <c r="BM280" s="666"/>
      <c r="BN280" s="666"/>
      <c r="BO280" s="666"/>
      <c r="BP280" s="666"/>
      <c r="BQ280" s="666"/>
      <c r="BR280" s="666"/>
      <c r="BS280" s="666"/>
      <c r="BT280" s="666"/>
      <c r="BU280" s="666"/>
      <c r="BV280" s="666"/>
      <c r="BW280" s="666"/>
      <c r="BX280" s="666"/>
      <c r="BY280" s="666"/>
      <c r="BZ280" s="666"/>
      <c r="CA280" s="666"/>
      <c r="CB280" s="666"/>
      <c r="CC280" s="666"/>
      <c r="CD280" s="666"/>
      <c r="CE280" s="666"/>
      <c r="CF280" s="666"/>
      <c r="CG280" s="666"/>
      <c r="CH280" s="666"/>
      <c r="CI280" s="666"/>
      <c r="CJ280" s="1439"/>
    </row>
    <row r="281" spans="2:88" ht="28.5" x14ac:dyDescent="0.2">
      <c r="B281" s="903" t="s">
        <v>622</v>
      </c>
      <c r="C281" s="904" t="s">
        <v>623</v>
      </c>
      <c r="D281" s="904" t="s">
        <v>624</v>
      </c>
      <c r="E281" s="904" t="s">
        <v>236</v>
      </c>
      <c r="F281" s="902">
        <v>2</v>
      </c>
      <c r="G281" s="670"/>
      <c r="H281" s="671"/>
      <c r="I281" s="671">
        <v>0</v>
      </c>
      <c r="J281" s="671">
        <v>0</v>
      </c>
      <c r="K281" s="671">
        <v>0</v>
      </c>
      <c r="L281" s="671">
        <v>0</v>
      </c>
      <c r="M281" s="666">
        <v>0</v>
      </c>
      <c r="N281" s="666">
        <v>0</v>
      </c>
      <c r="O281" s="666">
        <v>0</v>
      </c>
      <c r="P281" s="666">
        <v>0</v>
      </c>
      <c r="Q281" s="666">
        <v>0</v>
      </c>
      <c r="R281" s="666">
        <v>0</v>
      </c>
      <c r="S281" s="666">
        <v>0</v>
      </c>
      <c r="T281" s="666">
        <v>0</v>
      </c>
      <c r="U281" s="666">
        <v>0</v>
      </c>
      <c r="V281" s="666">
        <v>0</v>
      </c>
      <c r="W281" s="666">
        <v>0</v>
      </c>
      <c r="X281" s="666">
        <v>0</v>
      </c>
      <c r="Y281" s="666">
        <v>0</v>
      </c>
      <c r="Z281" s="666">
        <v>0</v>
      </c>
      <c r="AA281" s="666">
        <v>0</v>
      </c>
      <c r="AB281" s="666">
        <v>0</v>
      </c>
      <c r="AC281" s="666">
        <v>0</v>
      </c>
      <c r="AD281" s="666">
        <v>0</v>
      </c>
      <c r="AE281" s="666">
        <v>0</v>
      </c>
      <c r="AF281" s="666">
        <v>0</v>
      </c>
      <c r="AG281" s="666">
        <v>0</v>
      </c>
      <c r="AH281" s="666">
        <v>0</v>
      </c>
      <c r="AI281" s="666">
        <v>0</v>
      </c>
      <c r="AJ281" s="666">
        <v>0</v>
      </c>
      <c r="AK281" s="666">
        <v>0</v>
      </c>
      <c r="AL281" s="666"/>
      <c r="AM281" s="666"/>
      <c r="AN281" s="666"/>
      <c r="AO281" s="666"/>
      <c r="AP281" s="666"/>
      <c r="AQ281" s="666"/>
      <c r="AR281" s="666"/>
      <c r="AS281" s="666"/>
      <c r="AT281" s="666"/>
      <c r="AU281" s="666"/>
      <c r="AV281" s="666"/>
      <c r="AW281" s="666"/>
      <c r="AX281" s="666"/>
      <c r="AY281" s="666"/>
      <c r="AZ281" s="666"/>
      <c r="BA281" s="666"/>
      <c r="BB281" s="666"/>
      <c r="BC281" s="666"/>
      <c r="BD281" s="666"/>
      <c r="BE281" s="666"/>
      <c r="BF281" s="666"/>
      <c r="BG281" s="666"/>
      <c r="BH281" s="666"/>
      <c r="BI281" s="666"/>
      <c r="BJ281" s="666"/>
      <c r="BK281" s="666"/>
      <c r="BL281" s="666"/>
      <c r="BM281" s="666"/>
      <c r="BN281" s="666"/>
      <c r="BO281" s="666"/>
      <c r="BP281" s="666"/>
      <c r="BQ281" s="666"/>
      <c r="BR281" s="666"/>
      <c r="BS281" s="666"/>
      <c r="BT281" s="666"/>
      <c r="BU281" s="666"/>
      <c r="BV281" s="666"/>
      <c r="BW281" s="666"/>
      <c r="BX281" s="666"/>
      <c r="BY281" s="666"/>
      <c r="BZ281" s="666"/>
      <c r="CA281" s="666"/>
      <c r="CB281" s="666"/>
      <c r="CC281" s="666"/>
      <c r="CD281" s="666"/>
      <c r="CE281" s="666"/>
      <c r="CF281" s="666"/>
      <c r="CG281" s="666"/>
      <c r="CH281" s="666"/>
      <c r="CI281" s="666"/>
      <c r="CJ281" s="1439"/>
    </row>
    <row r="282" spans="2:88" x14ac:dyDescent="0.2">
      <c r="B282" s="900" t="s">
        <v>625</v>
      </c>
      <c r="C282" s="901" t="s">
        <v>626</v>
      </c>
      <c r="D282" s="901" t="s">
        <v>627</v>
      </c>
      <c r="E282" s="901" t="s">
        <v>236</v>
      </c>
      <c r="F282" s="902">
        <v>2</v>
      </c>
      <c r="G282" s="670"/>
      <c r="H282" s="671"/>
      <c r="I282" s="671">
        <v>0</v>
      </c>
      <c r="J282" s="671">
        <v>0</v>
      </c>
      <c r="K282" s="671">
        <v>0</v>
      </c>
      <c r="L282" s="671">
        <v>0</v>
      </c>
      <c r="M282" s="666">
        <v>0</v>
      </c>
      <c r="N282" s="666">
        <v>0</v>
      </c>
      <c r="O282" s="666">
        <v>0</v>
      </c>
      <c r="P282" s="666">
        <v>0</v>
      </c>
      <c r="Q282" s="666">
        <v>0</v>
      </c>
      <c r="R282" s="666">
        <v>0</v>
      </c>
      <c r="S282" s="666">
        <v>0</v>
      </c>
      <c r="T282" s="666">
        <v>0</v>
      </c>
      <c r="U282" s="666">
        <v>0</v>
      </c>
      <c r="V282" s="666">
        <v>0</v>
      </c>
      <c r="W282" s="666">
        <v>0</v>
      </c>
      <c r="X282" s="666">
        <v>0</v>
      </c>
      <c r="Y282" s="666">
        <v>0</v>
      </c>
      <c r="Z282" s="666">
        <v>0</v>
      </c>
      <c r="AA282" s="666">
        <v>0</v>
      </c>
      <c r="AB282" s="666">
        <v>0</v>
      </c>
      <c r="AC282" s="666">
        <v>0</v>
      </c>
      <c r="AD282" s="666">
        <v>0</v>
      </c>
      <c r="AE282" s="666">
        <v>0</v>
      </c>
      <c r="AF282" s="666">
        <v>0</v>
      </c>
      <c r="AG282" s="666">
        <v>0</v>
      </c>
      <c r="AH282" s="666">
        <v>0</v>
      </c>
      <c r="AI282" s="666">
        <v>0</v>
      </c>
      <c r="AJ282" s="666">
        <v>0</v>
      </c>
      <c r="AK282" s="666">
        <v>0</v>
      </c>
      <c r="AL282" s="666"/>
      <c r="AM282" s="666"/>
      <c r="AN282" s="666"/>
      <c r="AO282" s="666"/>
      <c r="AP282" s="666"/>
      <c r="AQ282" s="666"/>
      <c r="AR282" s="666"/>
      <c r="AS282" s="666"/>
      <c r="AT282" s="666"/>
      <c r="AU282" s="666"/>
      <c r="AV282" s="666"/>
      <c r="AW282" s="666"/>
      <c r="AX282" s="666"/>
      <c r="AY282" s="666"/>
      <c r="AZ282" s="666"/>
      <c r="BA282" s="666"/>
      <c r="BB282" s="666"/>
      <c r="BC282" s="666"/>
      <c r="BD282" s="666"/>
      <c r="BE282" s="666"/>
      <c r="BF282" s="666"/>
      <c r="BG282" s="666"/>
      <c r="BH282" s="666"/>
      <c r="BI282" s="666"/>
      <c r="BJ282" s="666"/>
      <c r="BK282" s="666"/>
      <c r="BL282" s="666"/>
      <c r="BM282" s="666"/>
      <c r="BN282" s="666"/>
      <c r="BO282" s="666"/>
      <c r="BP282" s="666"/>
      <c r="BQ282" s="666"/>
      <c r="BR282" s="666"/>
      <c r="BS282" s="666"/>
      <c r="BT282" s="666"/>
      <c r="BU282" s="666"/>
      <c r="BV282" s="666"/>
      <c r="BW282" s="666"/>
      <c r="BX282" s="666"/>
      <c r="BY282" s="666"/>
      <c r="BZ282" s="666"/>
      <c r="CA282" s="666"/>
      <c r="CB282" s="666"/>
      <c r="CC282" s="666"/>
      <c r="CD282" s="666"/>
      <c r="CE282" s="666"/>
      <c r="CF282" s="666"/>
      <c r="CG282" s="666"/>
      <c r="CH282" s="666"/>
      <c r="CI282" s="666"/>
      <c r="CJ282" s="1439"/>
    </row>
    <row r="283" spans="2:88" ht="38.25" customHeight="1" x14ac:dyDescent="0.2">
      <c r="B283" s="905" t="s">
        <v>628</v>
      </c>
      <c r="C283" s="906" t="s">
        <v>629</v>
      </c>
      <c r="D283" s="907" t="s">
        <v>630</v>
      </c>
      <c r="E283" s="906" t="s">
        <v>236</v>
      </c>
      <c r="F283" s="908">
        <v>2</v>
      </c>
      <c r="G283" s="670"/>
      <c r="H283" s="671"/>
      <c r="I283" s="671">
        <v>0</v>
      </c>
      <c r="J283" s="671">
        <v>0</v>
      </c>
      <c r="K283" s="671">
        <v>0</v>
      </c>
      <c r="L283" s="671">
        <v>0</v>
      </c>
      <c r="M283" s="666">
        <v>0</v>
      </c>
      <c r="N283" s="666">
        <v>0</v>
      </c>
      <c r="O283" s="666">
        <v>0</v>
      </c>
      <c r="P283" s="666">
        <v>0</v>
      </c>
      <c r="Q283" s="666">
        <v>0</v>
      </c>
      <c r="R283" s="666">
        <v>0</v>
      </c>
      <c r="S283" s="666">
        <v>0</v>
      </c>
      <c r="T283" s="666">
        <v>0</v>
      </c>
      <c r="U283" s="666">
        <v>0</v>
      </c>
      <c r="V283" s="666">
        <v>0</v>
      </c>
      <c r="W283" s="666">
        <v>0</v>
      </c>
      <c r="X283" s="666">
        <v>0</v>
      </c>
      <c r="Y283" s="666">
        <v>0</v>
      </c>
      <c r="Z283" s="666">
        <v>0</v>
      </c>
      <c r="AA283" s="666">
        <v>0</v>
      </c>
      <c r="AB283" s="666">
        <v>0</v>
      </c>
      <c r="AC283" s="666">
        <v>0</v>
      </c>
      <c r="AD283" s="666">
        <v>0</v>
      </c>
      <c r="AE283" s="666">
        <v>0</v>
      </c>
      <c r="AF283" s="666">
        <v>0</v>
      </c>
      <c r="AG283" s="666">
        <v>0</v>
      </c>
      <c r="AH283" s="666">
        <v>0</v>
      </c>
      <c r="AI283" s="666">
        <v>0</v>
      </c>
      <c r="AJ283" s="666">
        <v>0</v>
      </c>
      <c r="AK283" s="666">
        <v>0</v>
      </c>
      <c r="AL283" s="666"/>
      <c r="AM283" s="666"/>
      <c r="AN283" s="666"/>
      <c r="AO283" s="666"/>
      <c r="AP283" s="666"/>
      <c r="AQ283" s="666"/>
      <c r="AR283" s="666"/>
      <c r="AS283" s="666"/>
      <c r="AT283" s="666"/>
      <c r="AU283" s="666"/>
      <c r="AV283" s="666"/>
      <c r="AW283" s="666"/>
      <c r="AX283" s="666"/>
      <c r="AY283" s="666"/>
      <c r="AZ283" s="666"/>
      <c r="BA283" s="666"/>
      <c r="BB283" s="666"/>
      <c r="BC283" s="666"/>
      <c r="BD283" s="666"/>
      <c r="BE283" s="666"/>
      <c r="BF283" s="666"/>
      <c r="BG283" s="666"/>
      <c r="BH283" s="666"/>
      <c r="BI283" s="666"/>
      <c r="BJ283" s="666"/>
      <c r="BK283" s="666"/>
      <c r="BL283" s="666"/>
      <c r="BM283" s="666"/>
      <c r="BN283" s="666"/>
      <c r="BO283" s="666"/>
      <c r="BP283" s="666"/>
      <c r="BQ283" s="666"/>
      <c r="BR283" s="666"/>
      <c r="BS283" s="666"/>
      <c r="BT283" s="666"/>
      <c r="BU283" s="666"/>
      <c r="BV283" s="666"/>
      <c r="BW283" s="666"/>
      <c r="BX283" s="666"/>
      <c r="BY283" s="666"/>
      <c r="BZ283" s="666"/>
      <c r="CA283" s="666"/>
      <c r="CB283" s="666"/>
      <c r="CC283" s="666"/>
      <c r="CD283" s="666"/>
      <c r="CE283" s="666"/>
      <c r="CF283" s="666"/>
      <c r="CG283" s="666"/>
      <c r="CH283" s="666"/>
      <c r="CI283" s="666"/>
      <c r="CJ283" s="1439"/>
    </row>
    <row r="284" spans="2:88" ht="38.25" customHeight="1" x14ac:dyDescent="0.2">
      <c r="B284" s="905" t="s">
        <v>631</v>
      </c>
      <c r="C284" s="906" t="s">
        <v>786</v>
      </c>
      <c r="D284" s="907" t="s">
        <v>633</v>
      </c>
      <c r="E284" s="906" t="s">
        <v>236</v>
      </c>
      <c r="F284" s="908">
        <v>2</v>
      </c>
      <c r="G284" s="670"/>
      <c r="H284" s="671"/>
      <c r="I284" s="671">
        <v>3.5691231200196647</v>
      </c>
      <c r="J284" s="671">
        <v>3.4457828579651046</v>
      </c>
      <c r="K284" s="671">
        <v>3.430468664692468</v>
      </c>
      <c r="L284" s="671">
        <v>3.3837386565090735</v>
      </c>
      <c r="M284" s="666">
        <v>3.2819917447544253</v>
      </c>
      <c r="N284" s="666">
        <v>3.1775198329266914</v>
      </c>
      <c r="O284" s="666">
        <v>2.9922159166239712</v>
      </c>
      <c r="P284" s="666">
        <v>2.813751995493226</v>
      </c>
      <c r="Q284" s="666">
        <v>2.6932811399345296</v>
      </c>
      <c r="R284" s="666">
        <v>2.6490399414201331</v>
      </c>
      <c r="S284" s="666">
        <v>2.6324369191337862</v>
      </c>
      <c r="T284" s="666">
        <v>2.604387610250674</v>
      </c>
      <c r="U284" s="666">
        <v>2.5698581627297581</v>
      </c>
      <c r="V284" s="666">
        <v>2.548057465835162</v>
      </c>
      <c r="W284" s="666">
        <v>2.5319040474981893</v>
      </c>
      <c r="X284" s="666">
        <v>2.5162218771879736</v>
      </c>
      <c r="Y284" s="666">
        <v>2.5007300661868435</v>
      </c>
      <c r="Z284" s="666">
        <v>2.4865507222127641</v>
      </c>
      <c r="AA284" s="666">
        <v>2.473113841461946</v>
      </c>
      <c r="AB284" s="666">
        <v>2.4571360352302971</v>
      </c>
      <c r="AC284" s="666">
        <v>2.4438680528634436</v>
      </c>
      <c r="AD284" s="666">
        <v>2.4318020972092231</v>
      </c>
      <c r="AE284" s="666">
        <v>2.4301300080204769</v>
      </c>
      <c r="AF284" s="666">
        <v>2.4285070317961703</v>
      </c>
      <c r="AG284" s="666">
        <v>2.4267290405306632</v>
      </c>
      <c r="AH284" s="666">
        <v>2.4255330682775487</v>
      </c>
      <c r="AI284" s="666">
        <v>2.4241581341530258</v>
      </c>
      <c r="AJ284" s="666">
        <v>2.422962847986776</v>
      </c>
      <c r="AK284" s="666">
        <v>2.421199060785892</v>
      </c>
      <c r="AL284" s="666"/>
      <c r="AM284" s="666"/>
      <c r="AN284" s="666"/>
      <c r="AO284" s="666"/>
      <c r="AP284" s="666"/>
      <c r="AQ284" s="666"/>
      <c r="AR284" s="666"/>
      <c r="AS284" s="666"/>
      <c r="AT284" s="666"/>
      <c r="AU284" s="666"/>
      <c r="AV284" s="666"/>
      <c r="AW284" s="666"/>
      <c r="AX284" s="666"/>
      <c r="AY284" s="666"/>
      <c r="AZ284" s="666"/>
      <c r="BA284" s="666"/>
      <c r="BB284" s="666"/>
      <c r="BC284" s="666"/>
      <c r="BD284" s="666"/>
      <c r="BE284" s="666"/>
      <c r="BF284" s="666"/>
      <c r="BG284" s="666"/>
      <c r="BH284" s="666"/>
      <c r="BI284" s="666"/>
      <c r="BJ284" s="666"/>
      <c r="BK284" s="666"/>
      <c r="BL284" s="666"/>
      <c r="BM284" s="666"/>
      <c r="BN284" s="666"/>
      <c r="BO284" s="666"/>
      <c r="BP284" s="666"/>
      <c r="BQ284" s="666"/>
      <c r="BR284" s="666"/>
      <c r="BS284" s="666"/>
      <c r="BT284" s="666"/>
      <c r="BU284" s="666"/>
      <c r="BV284" s="666"/>
      <c r="BW284" s="666"/>
      <c r="BX284" s="666"/>
      <c r="BY284" s="666"/>
      <c r="BZ284" s="666"/>
      <c r="CA284" s="666"/>
      <c r="CB284" s="666"/>
      <c r="CC284" s="666"/>
      <c r="CD284" s="666"/>
      <c r="CE284" s="666"/>
      <c r="CF284" s="666"/>
      <c r="CG284" s="666"/>
      <c r="CH284" s="666"/>
      <c r="CI284" s="666"/>
      <c r="CJ284" s="1439"/>
    </row>
    <row r="285" spans="2:88" ht="42.75" x14ac:dyDescent="0.2">
      <c r="B285" s="900" t="s">
        <v>634</v>
      </c>
      <c r="C285" s="901" t="s">
        <v>635</v>
      </c>
      <c r="D285" s="901" t="s">
        <v>636</v>
      </c>
      <c r="E285" s="901" t="s">
        <v>236</v>
      </c>
      <c r="F285" s="902">
        <v>2</v>
      </c>
      <c r="G285" s="670"/>
      <c r="H285" s="671"/>
      <c r="I285" s="671">
        <v>0</v>
      </c>
      <c r="J285" s="671">
        <v>0</v>
      </c>
      <c r="K285" s="671">
        <v>0</v>
      </c>
      <c r="L285" s="671">
        <v>0</v>
      </c>
      <c r="M285" s="666">
        <v>0</v>
      </c>
      <c r="N285" s="666">
        <v>0</v>
      </c>
      <c r="O285" s="666">
        <v>0</v>
      </c>
      <c r="P285" s="666">
        <v>0</v>
      </c>
      <c r="Q285" s="666">
        <v>0</v>
      </c>
      <c r="R285" s="666">
        <v>0</v>
      </c>
      <c r="S285" s="666">
        <v>0</v>
      </c>
      <c r="T285" s="666">
        <v>0</v>
      </c>
      <c r="U285" s="666">
        <v>0</v>
      </c>
      <c r="V285" s="666">
        <v>0</v>
      </c>
      <c r="W285" s="666">
        <v>0</v>
      </c>
      <c r="X285" s="666">
        <v>0</v>
      </c>
      <c r="Y285" s="666">
        <v>0</v>
      </c>
      <c r="Z285" s="666">
        <v>0</v>
      </c>
      <c r="AA285" s="666">
        <v>0</v>
      </c>
      <c r="AB285" s="666">
        <v>0</v>
      </c>
      <c r="AC285" s="666">
        <v>0</v>
      </c>
      <c r="AD285" s="666">
        <v>0</v>
      </c>
      <c r="AE285" s="666">
        <v>0</v>
      </c>
      <c r="AF285" s="666">
        <v>0</v>
      </c>
      <c r="AG285" s="666">
        <v>0</v>
      </c>
      <c r="AH285" s="666">
        <v>0</v>
      </c>
      <c r="AI285" s="666">
        <v>0</v>
      </c>
      <c r="AJ285" s="666">
        <v>0</v>
      </c>
      <c r="AK285" s="666">
        <v>0</v>
      </c>
      <c r="AL285" s="666"/>
      <c r="AM285" s="666"/>
      <c r="AN285" s="666"/>
      <c r="AO285" s="666"/>
      <c r="AP285" s="666"/>
      <c r="AQ285" s="666"/>
      <c r="AR285" s="666"/>
      <c r="AS285" s="666"/>
      <c r="AT285" s="666"/>
      <c r="AU285" s="666"/>
      <c r="AV285" s="666"/>
      <c r="AW285" s="666"/>
      <c r="AX285" s="666"/>
      <c r="AY285" s="666"/>
      <c r="AZ285" s="666"/>
      <c r="BA285" s="666"/>
      <c r="BB285" s="666"/>
      <c r="BC285" s="666"/>
      <c r="BD285" s="666"/>
      <c r="BE285" s="666"/>
      <c r="BF285" s="666"/>
      <c r="BG285" s="666"/>
      <c r="BH285" s="666"/>
      <c r="BI285" s="666"/>
      <c r="BJ285" s="666"/>
      <c r="BK285" s="666"/>
      <c r="BL285" s="666"/>
      <c r="BM285" s="666"/>
      <c r="BN285" s="666"/>
      <c r="BO285" s="666"/>
      <c r="BP285" s="666"/>
      <c r="BQ285" s="666"/>
      <c r="BR285" s="666"/>
      <c r="BS285" s="666"/>
      <c r="BT285" s="666"/>
      <c r="BU285" s="666"/>
      <c r="BV285" s="666"/>
      <c r="BW285" s="666"/>
      <c r="BX285" s="666"/>
      <c r="BY285" s="666"/>
      <c r="BZ285" s="666"/>
      <c r="CA285" s="666"/>
      <c r="CB285" s="666"/>
      <c r="CC285" s="666"/>
      <c r="CD285" s="666"/>
      <c r="CE285" s="666"/>
      <c r="CF285" s="666"/>
      <c r="CG285" s="666"/>
      <c r="CH285" s="666"/>
      <c r="CI285" s="666"/>
      <c r="CJ285" s="1439"/>
    </row>
    <row r="286" spans="2:88" x14ac:dyDescent="0.2">
      <c r="B286" s="900" t="s">
        <v>637</v>
      </c>
      <c r="C286" s="901" t="s">
        <v>638</v>
      </c>
      <c r="D286" s="901" t="s">
        <v>639</v>
      </c>
      <c r="E286" s="901" t="s">
        <v>236</v>
      </c>
      <c r="F286" s="902">
        <v>2</v>
      </c>
      <c r="G286" s="670"/>
      <c r="H286" s="671"/>
      <c r="I286" s="671">
        <v>0</v>
      </c>
      <c r="J286" s="671">
        <v>0</v>
      </c>
      <c r="K286" s="671">
        <v>0</v>
      </c>
      <c r="L286" s="671">
        <v>0</v>
      </c>
      <c r="M286" s="666">
        <v>0</v>
      </c>
      <c r="N286" s="666">
        <v>0</v>
      </c>
      <c r="O286" s="666">
        <v>0</v>
      </c>
      <c r="P286" s="666">
        <v>0</v>
      </c>
      <c r="Q286" s="666">
        <v>0</v>
      </c>
      <c r="R286" s="666">
        <v>0</v>
      </c>
      <c r="S286" s="666">
        <v>0</v>
      </c>
      <c r="T286" s="666">
        <v>0</v>
      </c>
      <c r="U286" s="666">
        <v>0</v>
      </c>
      <c r="V286" s="666">
        <v>0</v>
      </c>
      <c r="W286" s="666">
        <v>0</v>
      </c>
      <c r="X286" s="666">
        <v>0</v>
      </c>
      <c r="Y286" s="666">
        <v>0</v>
      </c>
      <c r="Z286" s="666">
        <v>0</v>
      </c>
      <c r="AA286" s="666">
        <v>0</v>
      </c>
      <c r="AB286" s="666">
        <v>0</v>
      </c>
      <c r="AC286" s="666">
        <v>0</v>
      </c>
      <c r="AD286" s="666">
        <v>0</v>
      </c>
      <c r="AE286" s="666">
        <v>0</v>
      </c>
      <c r="AF286" s="666">
        <v>0</v>
      </c>
      <c r="AG286" s="666">
        <v>0</v>
      </c>
      <c r="AH286" s="666">
        <v>0</v>
      </c>
      <c r="AI286" s="666">
        <v>0</v>
      </c>
      <c r="AJ286" s="666">
        <v>0</v>
      </c>
      <c r="AK286" s="666">
        <v>0</v>
      </c>
      <c r="AL286" s="666"/>
      <c r="AM286" s="666"/>
      <c r="AN286" s="666"/>
      <c r="AO286" s="666"/>
      <c r="AP286" s="666"/>
      <c r="AQ286" s="666"/>
      <c r="AR286" s="666"/>
      <c r="AS286" s="666"/>
      <c r="AT286" s="666"/>
      <c r="AU286" s="666"/>
      <c r="AV286" s="666"/>
      <c r="AW286" s="666"/>
      <c r="AX286" s="666"/>
      <c r="AY286" s="666"/>
      <c r="AZ286" s="666"/>
      <c r="BA286" s="666"/>
      <c r="BB286" s="666"/>
      <c r="BC286" s="666"/>
      <c r="BD286" s="666"/>
      <c r="BE286" s="666"/>
      <c r="BF286" s="666"/>
      <c r="BG286" s="666"/>
      <c r="BH286" s="666"/>
      <c r="BI286" s="666"/>
      <c r="BJ286" s="666"/>
      <c r="BK286" s="666"/>
      <c r="BL286" s="666"/>
      <c r="BM286" s="666"/>
      <c r="BN286" s="666"/>
      <c r="BO286" s="666"/>
      <c r="BP286" s="666"/>
      <c r="BQ286" s="666"/>
      <c r="BR286" s="666"/>
      <c r="BS286" s="666"/>
      <c r="BT286" s="666"/>
      <c r="BU286" s="666"/>
      <c r="BV286" s="666"/>
      <c r="BW286" s="666"/>
      <c r="BX286" s="666"/>
      <c r="BY286" s="666"/>
      <c r="BZ286" s="666"/>
      <c r="CA286" s="666"/>
      <c r="CB286" s="666"/>
      <c r="CC286" s="666"/>
      <c r="CD286" s="666"/>
      <c r="CE286" s="666"/>
      <c r="CF286" s="666"/>
      <c r="CG286" s="666"/>
      <c r="CH286" s="666"/>
      <c r="CI286" s="666"/>
      <c r="CJ286" s="1439"/>
    </row>
    <row r="287" spans="2:88" ht="15" thickBot="1" x14ac:dyDescent="0.25">
      <c r="B287" s="909" t="s">
        <v>640</v>
      </c>
      <c r="C287" s="910" t="s">
        <v>641</v>
      </c>
      <c r="D287" s="910" t="s">
        <v>642</v>
      </c>
      <c r="E287" s="910" t="s">
        <v>236</v>
      </c>
      <c r="F287" s="911">
        <v>2</v>
      </c>
      <c r="G287" s="681"/>
      <c r="H287" s="682"/>
      <c r="I287" s="682">
        <v>0</v>
      </c>
      <c r="J287" s="682">
        <v>0</v>
      </c>
      <c r="K287" s="682">
        <v>0</v>
      </c>
      <c r="L287" s="682">
        <v>0</v>
      </c>
      <c r="M287" s="666">
        <v>0</v>
      </c>
      <c r="N287" s="666">
        <v>0</v>
      </c>
      <c r="O287" s="666">
        <v>0</v>
      </c>
      <c r="P287" s="666">
        <v>0</v>
      </c>
      <c r="Q287" s="666">
        <v>0</v>
      </c>
      <c r="R287" s="666">
        <v>0</v>
      </c>
      <c r="S287" s="666">
        <v>0</v>
      </c>
      <c r="T287" s="666">
        <v>0</v>
      </c>
      <c r="U287" s="666">
        <v>0</v>
      </c>
      <c r="V287" s="666">
        <v>0</v>
      </c>
      <c r="W287" s="666">
        <v>0</v>
      </c>
      <c r="X287" s="666">
        <v>0</v>
      </c>
      <c r="Y287" s="666">
        <v>0</v>
      </c>
      <c r="Z287" s="666">
        <v>0</v>
      </c>
      <c r="AA287" s="666">
        <v>0</v>
      </c>
      <c r="AB287" s="666">
        <v>0</v>
      </c>
      <c r="AC287" s="666">
        <v>0</v>
      </c>
      <c r="AD287" s="666">
        <v>0</v>
      </c>
      <c r="AE287" s="666">
        <v>0</v>
      </c>
      <c r="AF287" s="666">
        <v>0</v>
      </c>
      <c r="AG287" s="666">
        <v>0</v>
      </c>
      <c r="AH287" s="666">
        <v>0</v>
      </c>
      <c r="AI287" s="666">
        <v>0</v>
      </c>
      <c r="AJ287" s="666">
        <v>0</v>
      </c>
      <c r="AK287" s="666">
        <v>0</v>
      </c>
      <c r="AL287" s="666"/>
      <c r="AM287" s="666"/>
      <c r="AN287" s="666"/>
      <c r="AO287" s="666"/>
      <c r="AP287" s="666"/>
      <c r="AQ287" s="666"/>
      <c r="AR287" s="666"/>
      <c r="AS287" s="666"/>
      <c r="AT287" s="666"/>
      <c r="AU287" s="666"/>
      <c r="AV287" s="666"/>
      <c r="AW287" s="666"/>
      <c r="AX287" s="666"/>
      <c r="AY287" s="666"/>
      <c r="AZ287" s="666"/>
      <c r="BA287" s="666"/>
      <c r="BB287" s="666"/>
      <c r="BC287" s="666"/>
      <c r="BD287" s="666"/>
      <c r="BE287" s="666"/>
      <c r="BF287" s="666"/>
      <c r="BG287" s="666"/>
      <c r="BH287" s="666"/>
      <c r="BI287" s="666"/>
      <c r="BJ287" s="666"/>
      <c r="BK287" s="666"/>
      <c r="BL287" s="666"/>
      <c r="BM287" s="666"/>
      <c r="BN287" s="666"/>
      <c r="BO287" s="666"/>
      <c r="BP287" s="666"/>
      <c r="BQ287" s="666"/>
      <c r="BR287" s="666"/>
      <c r="BS287" s="666"/>
      <c r="BT287" s="666"/>
      <c r="BU287" s="666"/>
      <c r="BV287" s="666"/>
      <c r="BW287" s="666"/>
      <c r="BX287" s="666"/>
      <c r="BY287" s="666"/>
      <c r="BZ287" s="666"/>
      <c r="CA287" s="666"/>
      <c r="CB287" s="666"/>
      <c r="CC287" s="666"/>
      <c r="CD287" s="666"/>
      <c r="CE287" s="666"/>
      <c r="CF287" s="666"/>
      <c r="CG287" s="666"/>
      <c r="CH287" s="666"/>
      <c r="CI287" s="666"/>
      <c r="CJ287" s="1439"/>
    </row>
    <row r="288" spans="2:88" ht="57" x14ac:dyDescent="0.2">
      <c r="B288" s="912" t="s">
        <v>643</v>
      </c>
      <c r="C288" s="917" t="s">
        <v>644</v>
      </c>
      <c r="D288" s="914" t="s">
        <v>645</v>
      </c>
      <c r="E288" s="913" t="s">
        <v>236</v>
      </c>
      <c r="F288" s="915">
        <v>2</v>
      </c>
      <c r="G288" s="664"/>
      <c r="H288" s="1513"/>
      <c r="I288" s="1513">
        <v>0</v>
      </c>
      <c r="J288" s="1513">
        <v>0</v>
      </c>
      <c r="K288" s="1513">
        <v>0</v>
      </c>
      <c r="L288" s="1513">
        <v>0</v>
      </c>
      <c r="M288" s="665">
        <v>-6.3856523260799491E-2</v>
      </c>
      <c r="N288" s="665">
        <v>-0.12771695148491347</v>
      </c>
      <c r="O288" s="665">
        <v>-0.19158128467234903</v>
      </c>
      <c r="P288" s="665">
        <v>-0.25544952282309907</v>
      </c>
      <c r="Q288" s="665">
        <v>-0.31932166593716715</v>
      </c>
      <c r="R288" s="665">
        <v>-0.45571760947407824</v>
      </c>
      <c r="S288" s="665">
        <v>-0.59211745797430737</v>
      </c>
      <c r="T288" s="665">
        <v>-0.72852121143785808</v>
      </c>
      <c r="U288" s="665">
        <v>-0.86492886986471262</v>
      </c>
      <c r="V288" s="665">
        <v>-1.0013404332548959</v>
      </c>
      <c r="W288" s="665">
        <v>-1.1280891930891741</v>
      </c>
      <c r="X288" s="665">
        <v>-1.2548418578867704</v>
      </c>
      <c r="Y288" s="665">
        <v>-1.3815984276476776</v>
      </c>
      <c r="Z288" s="665">
        <v>-1.3820865633306525</v>
      </c>
      <c r="AA288" s="665">
        <v>-1.3825786039769419</v>
      </c>
      <c r="AB288" s="665">
        <v>-1.3830745495865386</v>
      </c>
      <c r="AC288" s="665">
        <v>-1.3835744001594641</v>
      </c>
      <c r="AD288" s="665">
        <v>-1.3840781556957147</v>
      </c>
      <c r="AE288" s="665">
        <v>-1.3845858161952656</v>
      </c>
      <c r="AF288" s="665">
        <v>-1.3850973816581451</v>
      </c>
      <c r="AG288" s="665">
        <v>-1.3856128520843392</v>
      </c>
      <c r="AH288" s="665">
        <v>-1.3861322274738512</v>
      </c>
      <c r="AI288" s="665">
        <v>-1.3866555078266778</v>
      </c>
      <c r="AJ288" s="665">
        <v>-1.3871826931428224</v>
      </c>
      <c r="AK288" s="665">
        <v>-1.3877137834222957</v>
      </c>
      <c r="AL288" s="665"/>
      <c r="AM288" s="665"/>
      <c r="AN288" s="665"/>
      <c r="AO288" s="665"/>
      <c r="AP288" s="665"/>
      <c r="AQ288" s="665"/>
      <c r="AR288" s="665"/>
      <c r="AS288" s="665"/>
      <c r="AT288" s="665"/>
      <c r="AU288" s="665"/>
      <c r="AV288" s="665"/>
      <c r="AW288" s="665"/>
      <c r="AX288" s="665"/>
      <c r="AY288" s="665"/>
      <c r="AZ288" s="665"/>
      <c r="BA288" s="665"/>
      <c r="BB288" s="665"/>
      <c r="BC288" s="665"/>
      <c r="BD288" s="665"/>
      <c r="BE288" s="665"/>
      <c r="BF288" s="665"/>
      <c r="BG288" s="665"/>
      <c r="BH288" s="665"/>
      <c r="BI288" s="665"/>
      <c r="BJ288" s="665"/>
      <c r="BK288" s="665"/>
      <c r="BL288" s="665"/>
      <c r="BM288" s="665"/>
      <c r="BN288" s="665"/>
      <c r="BO288" s="665"/>
      <c r="BP288" s="665"/>
      <c r="BQ288" s="665"/>
      <c r="BR288" s="665"/>
      <c r="BS288" s="665"/>
      <c r="BT288" s="665"/>
      <c r="BU288" s="665"/>
      <c r="BV288" s="665"/>
      <c r="BW288" s="665"/>
      <c r="BX288" s="665"/>
      <c r="BY288" s="665"/>
      <c r="BZ288" s="665"/>
      <c r="CA288" s="665"/>
      <c r="CB288" s="665"/>
      <c r="CC288" s="665"/>
      <c r="CD288" s="665"/>
      <c r="CE288" s="665"/>
      <c r="CF288" s="665"/>
      <c r="CG288" s="665"/>
      <c r="CH288" s="665"/>
      <c r="CI288" s="665"/>
      <c r="CJ288" s="1439"/>
    </row>
    <row r="289" spans="2:89" ht="57" x14ac:dyDescent="0.2">
      <c r="B289" s="916" t="s">
        <v>646</v>
      </c>
      <c r="C289" s="917" t="s">
        <v>647</v>
      </c>
      <c r="D289" s="918" t="s">
        <v>648</v>
      </c>
      <c r="E289" s="917" t="s">
        <v>236</v>
      </c>
      <c r="F289" s="919">
        <v>2</v>
      </c>
      <c r="G289" s="670"/>
      <c r="H289" s="671"/>
      <c r="I289" s="671">
        <v>0</v>
      </c>
      <c r="J289" s="671">
        <v>0</v>
      </c>
      <c r="K289" s="671">
        <v>0</v>
      </c>
      <c r="L289" s="671">
        <v>0</v>
      </c>
      <c r="M289" s="666">
        <v>-7.6858630092373204E-6</v>
      </c>
      <c r="N289" s="666">
        <v>-1.5000768646800111E-5</v>
      </c>
      <c r="O289" s="666">
        <v>-2.1944716912688372E-5</v>
      </c>
      <c r="P289" s="666">
        <v>-2.8517707806902104E-5</v>
      </c>
      <c r="Q289" s="666">
        <v>-3.4719741329441306E-5</v>
      </c>
      <c r="R289" s="666">
        <v>-4.0550817480305978E-5</v>
      </c>
      <c r="S289" s="666">
        <v>-4.6010936259497856E-5</v>
      </c>
      <c r="T289" s="666">
        <v>-5.1100097667016939E-5</v>
      </c>
      <c r="U289" s="666">
        <v>-5.5818301702859757E-5</v>
      </c>
      <c r="V289" s="666">
        <v>-6.2020335225398959E-5</v>
      </c>
      <c r="W289" s="666">
        <v>-6.8222368747939896E-5</v>
      </c>
      <c r="X289" s="666">
        <v>-7.4424402270479098E-5</v>
      </c>
      <c r="Y289" s="666">
        <v>-8.0626435793020035E-5</v>
      </c>
      <c r="Z289" s="666">
        <v>-8.6828469315559237E-5</v>
      </c>
      <c r="AA289" s="666">
        <v>-9.3030502838098439E-5</v>
      </c>
      <c r="AB289" s="666">
        <v>-9.9232536360639376E-5</v>
      </c>
      <c r="AC289" s="666">
        <v>-1.0543456988317858E-4</v>
      </c>
      <c r="AD289" s="666">
        <v>-1.1163660340571951E-4</v>
      </c>
      <c r="AE289" s="666">
        <v>-1.1783863692825872E-4</v>
      </c>
      <c r="AF289" s="666">
        <v>-1.2404067045079792E-4</v>
      </c>
      <c r="AG289" s="666">
        <v>-1.3024270397333886E-4</v>
      </c>
      <c r="AH289" s="666">
        <v>-1.3644473749587806E-4</v>
      </c>
      <c r="AI289" s="666">
        <v>-1.4264677101841726E-4</v>
      </c>
      <c r="AJ289" s="666">
        <v>-1.488488045409582E-4</v>
      </c>
      <c r="AK289" s="666">
        <v>-1.550508380634974E-4</v>
      </c>
      <c r="AL289" s="666"/>
      <c r="AM289" s="666"/>
      <c r="AN289" s="666"/>
      <c r="AO289" s="666"/>
      <c r="AP289" s="666"/>
      <c r="AQ289" s="666"/>
      <c r="AR289" s="666"/>
      <c r="AS289" s="666"/>
      <c r="AT289" s="666"/>
      <c r="AU289" s="666"/>
      <c r="AV289" s="666"/>
      <c r="AW289" s="666"/>
      <c r="AX289" s="666"/>
      <c r="AY289" s="666"/>
      <c r="AZ289" s="666"/>
      <c r="BA289" s="666"/>
      <c r="BB289" s="666"/>
      <c r="BC289" s="666"/>
      <c r="BD289" s="666"/>
      <c r="BE289" s="666"/>
      <c r="BF289" s="666"/>
      <c r="BG289" s="666"/>
      <c r="BH289" s="666"/>
      <c r="BI289" s="666"/>
      <c r="BJ289" s="666"/>
      <c r="BK289" s="666"/>
      <c r="BL289" s="666"/>
      <c r="BM289" s="666"/>
      <c r="BN289" s="666"/>
      <c r="BO289" s="666"/>
      <c r="BP289" s="666"/>
      <c r="BQ289" s="666"/>
      <c r="BR289" s="666"/>
      <c r="BS289" s="666"/>
      <c r="BT289" s="666"/>
      <c r="BU289" s="666"/>
      <c r="BV289" s="666"/>
      <c r="BW289" s="666"/>
      <c r="BX289" s="666"/>
      <c r="BY289" s="666"/>
      <c r="BZ289" s="666"/>
      <c r="CA289" s="666"/>
      <c r="CB289" s="666"/>
      <c r="CC289" s="666"/>
      <c r="CD289" s="666"/>
      <c r="CE289" s="666"/>
      <c r="CF289" s="666"/>
      <c r="CG289" s="666"/>
      <c r="CH289" s="666"/>
      <c r="CI289" s="666"/>
      <c r="CJ289" s="1439"/>
    </row>
    <row r="290" spans="2:89" ht="57" x14ac:dyDescent="0.2">
      <c r="B290" s="916" t="s">
        <v>649</v>
      </c>
      <c r="C290" s="917" t="s">
        <v>650</v>
      </c>
      <c r="D290" s="918" t="s">
        <v>651</v>
      </c>
      <c r="E290" s="917" t="s">
        <v>236</v>
      </c>
      <c r="F290" s="919">
        <v>2</v>
      </c>
      <c r="G290" s="670"/>
      <c r="H290" s="671"/>
      <c r="I290" s="671">
        <v>0</v>
      </c>
      <c r="J290" s="671">
        <v>0</v>
      </c>
      <c r="K290" s="671">
        <v>0</v>
      </c>
      <c r="L290" s="671">
        <v>0</v>
      </c>
      <c r="M290" s="666">
        <v>-0.26899223379580306</v>
      </c>
      <c r="N290" s="666">
        <v>0.18967078016988026</v>
      </c>
      <c r="O290" s="666">
        <v>1.5766899217262917</v>
      </c>
      <c r="P290" s="666">
        <v>3.8913965499050249</v>
      </c>
      <c r="Q290" s="666">
        <v>5.4663158033851822</v>
      </c>
      <c r="R290" s="666">
        <v>5.7427525442628067</v>
      </c>
      <c r="S290" s="666">
        <v>5.433689553905257</v>
      </c>
      <c r="T290" s="666">
        <v>5.01041976938712</v>
      </c>
      <c r="U290" s="666">
        <v>4.525060690651614</v>
      </c>
      <c r="V290" s="666">
        <v>4.1526568080720345</v>
      </c>
      <c r="W290" s="666">
        <v>3.8466631696303111</v>
      </c>
      <c r="X290" s="666">
        <v>3.5438646790240078</v>
      </c>
      <c r="Y290" s="666">
        <v>3.2429312133659955</v>
      </c>
      <c r="Z290" s="666">
        <v>2.9444086311354241</v>
      </c>
      <c r="AA290" s="666">
        <v>2.6448805221528495</v>
      </c>
      <c r="AB290" s="666">
        <v>2.3512676970199955</v>
      </c>
      <c r="AC290" s="666">
        <v>2.056267734313252</v>
      </c>
      <c r="AD290" s="666">
        <v>1.7679734693664564</v>
      </c>
      <c r="AE290" s="666">
        <v>1.5825502679614836</v>
      </c>
      <c r="AF290" s="666">
        <v>1.398912899583312</v>
      </c>
      <c r="AG290" s="666">
        <v>1.219824498420806</v>
      </c>
      <c r="AH290" s="666">
        <v>1.044515833144068</v>
      </c>
      <c r="AI290" s="666">
        <v>0.86978228892973419</v>
      </c>
      <c r="AJ290" s="666">
        <v>0.6961351020901283</v>
      </c>
      <c r="AK290" s="666">
        <v>0.52137889057772568</v>
      </c>
      <c r="AL290" s="666"/>
      <c r="AM290" s="666"/>
      <c r="AN290" s="666"/>
      <c r="AO290" s="666"/>
      <c r="AP290" s="666"/>
      <c r="AQ290" s="666"/>
      <c r="AR290" s="666"/>
      <c r="AS290" s="666"/>
      <c r="AT290" s="666"/>
      <c r="AU290" s="666"/>
      <c r="AV290" s="666"/>
      <c r="AW290" s="666"/>
      <c r="AX290" s="666"/>
      <c r="AY290" s="666"/>
      <c r="AZ290" s="666"/>
      <c r="BA290" s="666"/>
      <c r="BB290" s="666"/>
      <c r="BC290" s="666"/>
      <c r="BD290" s="666"/>
      <c r="BE290" s="666"/>
      <c r="BF290" s="666"/>
      <c r="BG290" s="666"/>
      <c r="BH290" s="666"/>
      <c r="BI290" s="666"/>
      <c r="BJ290" s="666"/>
      <c r="BK290" s="666"/>
      <c r="BL290" s="666"/>
      <c r="BM290" s="666"/>
      <c r="BN290" s="666"/>
      <c r="BO290" s="666"/>
      <c r="BP290" s="666"/>
      <c r="BQ290" s="666"/>
      <c r="BR290" s="666"/>
      <c r="BS290" s="666"/>
      <c r="BT290" s="666"/>
      <c r="BU290" s="666"/>
      <c r="BV290" s="666"/>
      <c r="BW290" s="666"/>
      <c r="BX290" s="666"/>
      <c r="BY290" s="666"/>
      <c r="BZ290" s="666"/>
      <c r="CA290" s="666"/>
      <c r="CB290" s="666"/>
      <c r="CC290" s="666"/>
      <c r="CD290" s="666"/>
      <c r="CE290" s="666"/>
      <c r="CF290" s="666"/>
      <c r="CG290" s="666"/>
      <c r="CH290" s="666"/>
      <c r="CI290" s="666"/>
      <c r="CJ290" s="1439"/>
    </row>
    <row r="291" spans="2:89" ht="57" x14ac:dyDescent="0.2">
      <c r="B291" s="916" t="s">
        <v>652</v>
      </c>
      <c r="C291" s="917" t="s">
        <v>653</v>
      </c>
      <c r="D291" s="918" t="s">
        <v>654</v>
      </c>
      <c r="E291" s="917" t="s">
        <v>236</v>
      </c>
      <c r="F291" s="919">
        <v>2</v>
      </c>
      <c r="G291" s="670"/>
      <c r="H291" s="671"/>
      <c r="I291" s="671">
        <v>0</v>
      </c>
      <c r="J291" s="671">
        <v>0</v>
      </c>
      <c r="K291" s="671">
        <v>0</v>
      </c>
      <c r="L291" s="671">
        <v>0</v>
      </c>
      <c r="M291" s="666">
        <v>-0.25236051924874836</v>
      </c>
      <c r="N291" s="666">
        <v>-1.5598716942570174</v>
      </c>
      <c r="O291" s="666">
        <v>-4.8787715588567924</v>
      </c>
      <c r="P291" s="666">
        <v>-9.0826735368583478</v>
      </c>
      <c r="Q291" s="666">
        <v>-11.882030072728579</v>
      </c>
      <c r="R291" s="666">
        <v>-12.590500261437732</v>
      </c>
      <c r="S291" s="666">
        <v>-12.469309050865071</v>
      </c>
      <c r="T291" s="666">
        <v>-12.350359201969423</v>
      </c>
      <c r="U291" s="666">
        <v>-12.23401099723497</v>
      </c>
      <c r="V291" s="666">
        <v>-12.119540009079476</v>
      </c>
      <c r="W291" s="666">
        <v>-12.01643416676264</v>
      </c>
      <c r="X291" s="666">
        <v>-11.91825930036976</v>
      </c>
      <c r="Y291" s="666">
        <v>-11.820463609700843</v>
      </c>
      <c r="Z291" s="666">
        <v>-11.726317150767876</v>
      </c>
      <c r="AA291" s="666">
        <v>-11.632569389704761</v>
      </c>
      <c r="AB291" s="666">
        <v>-11.538842377008354</v>
      </c>
      <c r="AC291" s="666">
        <v>-11.44686405786196</v>
      </c>
      <c r="AD291" s="666">
        <v>-11.361344929984961</v>
      </c>
      <c r="AE291" s="666">
        <v>-11.279900668918732</v>
      </c>
      <c r="AF291" s="666">
        <v>-11.200132134863752</v>
      </c>
      <c r="AG291" s="666">
        <v>-11.120801230085425</v>
      </c>
      <c r="AH291" s="666">
        <v>-11.045203376118419</v>
      </c>
      <c r="AI291" s="666">
        <v>-10.970029486323723</v>
      </c>
      <c r="AJ291" s="666">
        <v>-10.896331157694135</v>
      </c>
      <c r="AK291" s="666">
        <v>-10.820876214804581</v>
      </c>
      <c r="AL291" s="666"/>
      <c r="AM291" s="666"/>
      <c r="AN291" s="666"/>
      <c r="AO291" s="666"/>
      <c r="AP291" s="666"/>
      <c r="AQ291" s="666"/>
      <c r="AR291" s="666"/>
      <c r="AS291" s="666"/>
      <c r="AT291" s="666"/>
      <c r="AU291" s="666"/>
      <c r="AV291" s="666"/>
      <c r="AW291" s="666"/>
      <c r="AX291" s="666"/>
      <c r="AY291" s="666"/>
      <c r="AZ291" s="666"/>
      <c r="BA291" s="666"/>
      <c r="BB291" s="666"/>
      <c r="BC291" s="666"/>
      <c r="BD291" s="666"/>
      <c r="BE291" s="666"/>
      <c r="BF291" s="666"/>
      <c r="BG291" s="666"/>
      <c r="BH291" s="666"/>
      <c r="BI291" s="666"/>
      <c r="BJ291" s="666"/>
      <c r="BK291" s="666"/>
      <c r="BL291" s="666"/>
      <c r="BM291" s="666"/>
      <c r="BN291" s="666"/>
      <c r="BO291" s="666"/>
      <c r="BP291" s="666"/>
      <c r="BQ291" s="666"/>
      <c r="BR291" s="666"/>
      <c r="BS291" s="666"/>
      <c r="BT291" s="666"/>
      <c r="BU291" s="666"/>
      <c r="BV291" s="666"/>
      <c r="BW291" s="666"/>
      <c r="BX291" s="666"/>
      <c r="BY291" s="666"/>
      <c r="BZ291" s="666"/>
      <c r="CA291" s="666"/>
      <c r="CB291" s="666"/>
      <c r="CC291" s="666"/>
      <c r="CD291" s="666"/>
      <c r="CE291" s="666"/>
      <c r="CF291" s="666"/>
      <c r="CG291" s="666"/>
      <c r="CH291" s="666"/>
      <c r="CI291" s="666"/>
      <c r="CJ291" s="1439"/>
    </row>
    <row r="292" spans="2:89" ht="28.5" x14ac:dyDescent="0.2">
      <c r="B292" s="916" t="s">
        <v>655</v>
      </c>
      <c r="C292" s="917" t="s">
        <v>656</v>
      </c>
      <c r="D292" s="918" t="s">
        <v>657</v>
      </c>
      <c r="E292" s="917" t="s">
        <v>236</v>
      </c>
      <c r="F292" s="919">
        <v>2</v>
      </c>
      <c r="G292" s="670"/>
      <c r="H292" s="671"/>
      <c r="I292" s="671">
        <v>0</v>
      </c>
      <c r="J292" s="671">
        <v>0</v>
      </c>
      <c r="K292" s="671">
        <v>0</v>
      </c>
      <c r="L292" s="671">
        <v>0</v>
      </c>
      <c r="M292" s="666">
        <v>1.3839313769081762E-4</v>
      </c>
      <c r="N292" s="666">
        <v>3.0222656095069134E-4</v>
      </c>
      <c r="O292" s="666">
        <v>3.8509537472419808E-4</v>
      </c>
      <c r="P292" s="666">
        <v>4.9995243113443166E-4</v>
      </c>
      <c r="Q292" s="666">
        <v>5.9336168101942199E-4</v>
      </c>
      <c r="R292" s="666">
        <v>6.4156896575640054E-4</v>
      </c>
      <c r="S292" s="666">
        <v>6.5297794104490769E-4</v>
      </c>
      <c r="T292" s="666">
        <v>6.513427655068238E-4</v>
      </c>
      <c r="U292" s="666">
        <v>6.497075899687399E-4</v>
      </c>
      <c r="V292" s="666">
        <v>6.48072414430656E-4</v>
      </c>
      <c r="W292" s="666">
        <v>6.4653777336953766E-4</v>
      </c>
      <c r="X292" s="666">
        <v>6.4510366678516284E-4</v>
      </c>
      <c r="Y292" s="666">
        <v>6.4366956020078803E-4</v>
      </c>
      <c r="Z292" s="666">
        <v>6.4223545361641321E-4</v>
      </c>
      <c r="AA292" s="666">
        <v>6.4080134703226044E-4</v>
      </c>
      <c r="AB292" s="666">
        <v>6.3945343908122787E-4</v>
      </c>
      <c r="AC292" s="666">
        <v>6.3819172976353755E-4</v>
      </c>
      <c r="AD292" s="666">
        <v>6.3693002044562519E-4</v>
      </c>
      <c r="AE292" s="666">
        <v>6.3566831112815692E-4</v>
      </c>
      <c r="AF292" s="666">
        <v>6.344066018104666E-4</v>
      </c>
      <c r="AG292" s="666">
        <v>6.3314489249277628E-4</v>
      </c>
      <c r="AH292" s="666">
        <v>6.3188318317508596E-4</v>
      </c>
      <c r="AI292" s="666">
        <v>6.3062147385739564E-4</v>
      </c>
      <c r="AJ292" s="666">
        <v>6.2935976453948328E-4</v>
      </c>
      <c r="AK292" s="666">
        <v>6.2809805522201501E-4</v>
      </c>
      <c r="AL292" s="666"/>
      <c r="AM292" s="666"/>
      <c r="AN292" s="666"/>
      <c r="AO292" s="666"/>
      <c r="AP292" s="666"/>
      <c r="AQ292" s="666"/>
      <c r="AR292" s="666"/>
      <c r="AS292" s="666"/>
      <c r="AT292" s="666"/>
      <c r="AU292" s="666"/>
      <c r="AV292" s="666"/>
      <c r="AW292" s="666"/>
      <c r="AX292" s="666"/>
      <c r="AY292" s="666"/>
      <c r="AZ292" s="666"/>
      <c r="BA292" s="666"/>
      <c r="BB292" s="666"/>
      <c r="BC292" s="666"/>
      <c r="BD292" s="666"/>
      <c r="BE292" s="666"/>
      <c r="BF292" s="666"/>
      <c r="BG292" s="666"/>
      <c r="BH292" s="666"/>
      <c r="BI292" s="666"/>
      <c r="BJ292" s="666"/>
      <c r="BK292" s="666"/>
      <c r="BL292" s="666"/>
      <c r="BM292" s="666"/>
      <c r="BN292" s="666"/>
      <c r="BO292" s="666"/>
      <c r="BP292" s="666"/>
      <c r="BQ292" s="666"/>
      <c r="BR292" s="666"/>
      <c r="BS292" s="666"/>
      <c r="BT292" s="666"/>
      <c r="BU292" s="666"/>
      <c r="BV292" s="666"/>
      <c r="BW292" s="666"/>
      <c r="BX292" s="666"/>
      <c r="BY292" s="666"/>
      <c r="BZ292" s="666"/>
      <c r="CA292" s="666"/>
      <c r="CB292" s="666"/>
      <c r="CC292" s="666"/>
      <c r="CD292" s="666"/>
      <c r="CE292" s="666"/>
      <c r="CF292" s="666"/>
      <c r="CG292" s="666"/>
      <c r="CH292" s="666"/>
      <c r="CI292" s="666"/>
      <c r="CJ292" s="1439"/>
    </row>
    <row r="293" spans="2:89" ht="29.25" thickBot="1" x14ac:dyDescent="0.25">
      <c r="B293" s="920" t="s">
        <v>658</v>
      </c>
      <c r="C293" s="921" t="s">
        <v>659</v>
      </c>
      <c r="D293" s="921" t="s">
        <v>660</v>
      </c>
      <c r="E293" s="921" t="s">
        <v>236</v>
      </c>
      <c r="F293" s="922">
        <v>2</v>
      </c>
      <c r="G293" s="695"/>
      <c r="H293" s="682"/>
      <c r="I293" s="682">
        <v>0</v>
      </c>
      <c r="J293" s="682">
        <v>0</v>
      </c>
      <c r="K293" s="682">
        <v>0</v>
      </c>
      <c r="L293" s="682">
        <v>0</v>
      </c>
      <c r="M293" s="696">
        <v>0</v>
      </c>
      <c r="N293" s="696">
        <v>0</v>
      </c>
      <c r="O293" s="696">
        <v>0</v>
      </c>
      <c r="P293" s="696">
        <v>0</v>
      </c>
      <c r="Q293" s="696">
        <v>0</v>
      </c>
      <c r="R293" s="696">
        <v>0</v>
      </c>
      <c r="S293" s="696">
        <v>0</v>
      </c>
      <c r="T293" s="696">
        <v>0</v>
      </c>
      <c r="U293" s="696">
        <v>0</v>
      </c>
      <c r="V293" s="696">
        <v>0</v>
      </c>
      <c r="W293" s="696">
        <v>0</v>
      </c>
      <c r="X293" s="696">
        <v>0</v>
      </c>
      <c r="Y293" s="696">
        <v>0</v>
      </c>
      <c r="Z293" s="696">
        <v>0</v>
      </c>
      <c r="AA293" s="696">
        <v>0</v>
      </c>
      <c r="AB293" s="696">
        <v>0</v>
      </c>
      <c r="AC293" s="696">
        <v>0</v>
      </c>
      <c r="AD293" s="696">
        <v>0</v>
      </c>
      <c r="AE293" s="696">
        <v>0</v>
      </c>
      <c r="AF293" s="696">
        <v>0</v>
      </c>
      <c r="AG293" s="696">
        <v>0</v>
      </c>
      <c r="AH293" s="696">
        <v>0</v>
      </c>
      <c r="AI293" s="696">
        <v>0</v>
      </c>
      <c r="AJ293" s="696">
        <v>0</v>
      </c>
      <c r="AK293" s="696">
        <v>0</v>
      </c>
      <c r="AL293" s="696"/>
      <c r="AM293" s="696"/>
      <c r="AN293" s="696"/>
      <c r="AO293" s="696"/>
      <c r="AP293" s="696"/>
      <c r="AQ293" s="696"/>
      <c r="AR293" s="696"/>
      <c r="AS293" s="696"/>
      <c r="AT293" s="696"/>
      <c r="AU293" s="696"/>
      <c r="AV293" s="696"/>
      <c r="AW293" s="696"/>
      <c r="AX293" s="696"/>
      <c r="AY293" s="696"/>
      <c r="AZ293" s="696"/>
      <c r="BA293" s="696"/>
      <c r="BB293" s="696"/>
      <c r="BC293" s="696"/>
      <c r="BD293" s="696"/>
      <c r="BE293" s="696"/>
      <c r="BF293" s="696"/>
      <c r="BG293" s="696"/>
      <c r="BH293" s="696"/>
      <c r="BI293" s="696"/>
      <c r="BJ293" s="696"/>
      <c r="BK293" s="696"/>
      <c r="BL293" s="696"/>
      <c r="BM293" s="696"/>
      <c r="BN293" s="696"/>
      <c r="BO293" s="696"/>
      <c r="BP293" s="696"/>
      <c r="BQ293" s="696"/>
      <c r="BR293" s="696"/>
      <c r="BS293" s="696"/>
      <c r="BT293" s="696"/>
      <c r="BU293" s="696"/>
      <c r="BV293" s="696"/>
      <c r="BW293" s="696"/>
      <c r="BX293" s="696"/>
      <c r="BY293" s="696"/>
      <c r="BZ293" s="696"/>
      <c r="CA293" s="696"/>
      <c r="CB293" s="696"/>
      <c r="CC293" s="696"/>
      <c r="CD293" s="696"/>
      <c r="CE293" s="696"/>
      <c r="CF293" s="696"/>
      <c r="CG293" s="696"/>
      <c r="CH293" s="696"/>
      <c r="CI293" s="696"/>
      <c r="CJ293" s="1439"/>
    </row>
    <row r="294" spans="2:89" ht="28.5" x14ac:dyDescent="0.2">
      <c r="B294" s="923" t="s">
        <v>661</v>
      </c>
      <c r="C294" s="924" t="s">
        <v>662</v>
      </c>
      <c r="D294" s="925" t="s">
        <v>663</v>
      </c>
      <c r="E294" s="924" t="s">
        <v>236</v>
      </c>
      <c r="F294" s="926">
        <v>2</v>
      </c>
      <c r="G294" s="664"/>
      <c r="H294" s="671"/>
      <c r="I294" s="671">
        <v>0</v>
      </c>
      <c r="J294" s="671">
        <v>0</v>
      </c>
      <c r="K294" s="671">
        <v>0</v>
      </c>
      <c r="L294" s="671">
        <v>0</v>
      </c>
      <c r="M294" s="665">
        <v>-3.9793605526002029E-4</v>
      </c>
      <c r="N294" s="665">
        <v>-7.9942498698146874E-4</v>
      </c>
      <c r="O294" s="665">
        <v>-1.2044667951643245E-3</v>
      </c>
      <c r="P294" s="665">
        <v>-1.6130614798086015E-3</v>
      </c>
      <c r="Q294" s="665">
        <v>-2.0252090409143136E-3</v>
      </c>
      <c r="R294" s="665">
        <v>-2.4409094784814123E-3</v>
      </c>
      <c r="S294" s="665">
        <v>-2.860162792509939E-3</v>
      </c>
      <c r="T294" s="665">
        <v>-3.2829689829998801E-3</v>
      </c>
      <c r="U294" s="665">
        <v>-3.7093280499512354E-3</v>
      </c>
      <c r="V294" s="665">
        <v>-4.1392399933640189E-3</v>
      </c>
      <c r="W294" s="665">
        <v>-4.5727048132381959E-3</v>
      </c>
      <c r="X294" s="665">
        <v>-5.0097225095738079E-3</v>
      </c>
      <c r="Y294" s="665">
        <v>-5.4502930823708481E-3</v>
      </c>
      <c r="Z294" s="665">
        <v>-5.8944165316292749E-3</v>
      </c>
      <c r="AA294" s="665">
        <v>-6.3420928573491367E-3</v>
      </c>
      <c r="AB294" s="665">
        <v>-6.7933220595304128E-3</v>
      </c>
      <c r="AC294" s="665">
        <v>-7.2481041381731032E-3</v>
      </c>
      <c r="AD294" s="665">
        <v>-7.7064390932772217E-3</v>
      </c>
      <c r="AE294" s="665">
        <v>-8.1683269248427406E-3</v>
      </c>
      <c r="AF294" s="665">
        <v>-8.6337676328696739E-3</v>
      </c>
      <c r="AG294" s="665">
        <v>-9.1027612173580422E-3</v>
      </c>
      <c r="AH294" s="665">
        <v>-9.5753076783078109E-3</v>
      </c>
      <c r="AI294" s="665">
        <v>-1.0051407015719008E-2</v>
      </c>
      <c r="AJ294" s="665">
        <v>-1.0531059229591612E-2</v>
      </c>
      <c r="AK294" s="665">
        <v>-1.1014264319925637E-2</v>
      </c>
      <c r="AL294" s="665"/>
      <c r="AM294" s="665"/>
      <c r="AN294" s="665"/>
      <c r="AO294" s="665"/>
      <c r="AP294" s="665"/>
      <c r="AQ294" s="665"/>
      <c r="AR294" s="665"/>
      <c r="AS294" s="665"/>
      <c r="AT294" s="665"/>
      <c r="AU294" s="665"/>
      <c r="AV294" s="665"/>
      <c r="AW294" s="665"/>
      <c r="AX294" s="665"/>
      <c r="AY294" s="665"/>
      <c r="AZ294" s="665"/>
      <c r="BA294" s="665"/>
      <c r="BB294" s="665"/>
      <c r="BC294" s="665"/>
      <c r="BD294" s="665"/>
      <c r="BE294" s="665"/>
      <c r="BF294" s="665"/>
      <c r="BG294" s="665"/>
      <c r="BH294" s="665"/>
      <c r="BI294" s="665"/>
      <c r="BJ294" s="665"/>
      <c r="BK294" s="665"/>
      <c r="BL294" s="665"/>
      <c r="BM294" s="665"/>
      <c r="BN294" s="665"/>
      <c r="BO294" s="665"/>
      <c r="BP294" s="665"/>
      <c r="BQ294" s="665"/>
      <c r="BR294" s="665"/>
      <c r="BS294" s="665"/>
      <c r="BT294" s="665"/>
      <c r="BU294" s="665"/>
      <c r="BV294" s="665"/>
      <c r="BW294" s="665"/>
      <c r="BX294" s="665"/>
      <c r="BY294" s="665"/>
      <c r="BZ294" s="665"/>
      <c r="CA294" s="665"/>
      <c r="CB294" s="665"/>
      <c r="CC294" s="665"/>
      <c r="CD294" s="665"/>
      <c r="CE294" s="665"/>
      <c r="CF294" s="665"/>
      <c r="CG294" s="665"/>
      <c r="CH294" s="665"/>
      <c r="CI294" s="665"/>
      <c r="CJ294" s="1439"/>
    </row>
    <row r="295" spans="2:89" ht="28.5" x14ac:dyDescent="0.2">
      <c r="B295" s="905" t="s">
        <v>664</v>
      </c>
      <c r="C295" s="906" t="s">
        <v>665</v>
      </c>
      <c r="D295" s="907" t="s">
        <v>666</v>
      </c>
      <c r="E295" s="906" t="s">
        <v>236</v>
      </c>
      <c r="F295" s="908">
        <v>2</v>
      </c>
      <c r="G295" s="670"/>
      <c r="H295" s="671"/>
      <c r="I295" s="671">
        <v>0</v>
      </c>
      <c r="J295" s="671">
        <v>0</v>
      </c>
      <c r="K295" s="671">
        <v>0</v>
      </c>
      <c r="L295" s="671">
        <v>0</v>
      </c>
      <c r="M295" s="666">
        <v>-7.6858630092368867E-6</v>
      </c>
      <c r="N295" s="666">
        <v>-1.5000768646799352E-5</v>
      </c>
      <c r="O295" s="666">
        <v>-2.1944716912687613E-5</v>
      </c>
      <c r="P295" s="666">
        <v>-2.8517707806901779E-5</v>
      </c>
      <c r="Q295" s="666">
        <v>-3.471974132944174E-5</v>
      </c>
      <c r="R295" s="666">
        <v>-4.0550817480307279E-5</v>
      </c>
      <c r="S295" s="666">
        <v>-4.6010936259498723E-5</v>
      </c>
      <c r="T295" s="666">
        <v>-5.1100097667015963E-5</v>
      </c>
      <c r="U295" s="666">
        <v>-5.5818301702859107E-5</v>
      </c>
      <c r="V295" s="666">
        <v>-6.2020335225398959E-5</v>
      </c>
      <c r="W295" s="666">
        <v>-6.8222368747938812E-5</v>
      </c>
      <c r="X295" s="666">
        <v>-7.4424402270478664E-5</v>
      </c>
      <c r="Y295" s="666">
        <v>-8.0626435793018625E-5</v>
      </c>
      <c r="Z295" s="666">
        <v>-8.682846931555837E-5</v>
      </c>
      <c r="AA295" s="666">
        <v>-9.3030502838098222E-5</v>
      </c>
      <c r="AB295" s="666">
        <v>-9.9232536360638075E-5</v>
      </c>
      <c r="AC295" s="666">
        <v>-1.0543456988317814E-4</v>
      </c>
      <c r="AD295" s="666">
        <v>-1.116366034057181E-4</v>
      </c>
      <c r="AE295" s="666">
        <v>-1.1783863692825796E-4</v>
      </c>
      <c r="AF295" s="666">
        <v>-1.2404067045079754E-4</v>
      </c>
      <c r="AG295" s="666">
        <v>-1.3024270397333766E-4</v>
      </c>
      <c r="AH295" s="666">
        <v>-1.3644473749587752E-4</v>
      </c>
      <c r="AI295" s="666">
        <v>-1.4264677101841737E-4</v>
      </c>
      <c r="AJ295" s="666">
        <v>-1.4884880454095727E-4</v>
      </c>
      <c r="AK295" s="666">
        <v>-1.5505083806349724E-4</v>
      </c>
      <c r="AL295" s="666"/>
      <c r="AM295" s="666"/>
      <c r="AN295" s="666"/>
      <c r="AO295" s="666"/>
      <c r="AP295" s="666"/>
      <c r="AQ295" s="666"/>
      <c r="AR295" s="666"/>
      <c r="AS295" s="666"/>
      <c r="AT295" s="666"/>
      <c r="AU295" s="666"/>
      <c r="AV295" s="666"/>
      <c r="AW295" s="666"/>
      <c r="AX295" s="666"/>
      <c r="AY295" s="666"/>
      <c r="AZ295" s="666"/>
      <c r="BA295" s="666"/>
      <c r="BB295" s="666"/>
      <c r="BC295" s="666"/>
      <c r="BD295" s="666"/>
      <c r="BE295" s="666"/>
      <c r="BF295" s="666"/>
      <c r="BG295" s="666"/>
      <c r="BH295" s="666"/>
      <c r="BI295" s="666"/>
      <c r="BJ295" s="666"/>
      <c r="BK295" s="666"/>
      <c r="BL295" s="666"/>
      <c r="BM295" s="666"/>
      <c r="BN295" s="666"/>
      <c r="BO295" s="666"/>
      <c r="BP295" s="666"/>
      <c r="BQ295" s="666"/>
      <c r="BR295" s="666"/>
      <c r="BS295" s="666"/>
      <c r="BT295" s="666"/>
      <c r="BU295" s="666"/>
      <c r="BV295" s="666"/>
      <c r="BW295" s="666"/>
      <c r="BX295" s="666"/>
      <c r="BY295" s="666"/>
      <c r="BZ295" s="666"/>
      <c r="CA295" s="666"/>
      <c r="CB295" s="666"/>
      <c r="CC295" s="666"/>
      <c r="CD295" s="666"/>
      <c r="CE295" s="666"/>
      <c r="CF295" s="666"/>
      <c r="CG295" s="666"/>
      <c r="CH295" s="666"/>
      <c r="CI295" s="666"/>
      <c r="CJ295" s="1439"/>
    </row>
    <row r="296" spans="2:89" ht="28.5" x14ac:dyDescent="0.2">
      <c r="B296" s="905" t="s">
        <v>667</v>
      </c>
      <c r="C296" s="906" t="s">
        <v>668</v>
      </c>
      <c r="D296" s="907" t="s">
        <v>669</v>
      </c>
      <c r="E296" s="906" t="s">
        <v>236</v>
      </c>
      <c r="F296" s="908">
        <v>2</v>
      </c>
      <c r="G296" s="670"/>
      <c r="H296" s="671"/>
      <c r="I296" s="671">
        <v>0</v>
      </c>
      <c r="J296" s="671">
        <v>0</v>
      </c>
      <c r="K296" s="671">
        <v>0</v>
      </c>
      <c r="L296" s="671">
        <v>0</v>
      </c>
      <c r="M296" s="666">
        <v>-1.0979377382623112E-2</v>
      </c>
      <c r="N296" s="666">
        <v>-1.3785293310483282E-2</v>
      </c>
      <c r="O296" s="666">
        <v>6.813725276700211E-3</v>
      </c>
      <c r="P296" s="666">
        <v>3.5758328478298407E-2</v>
      </c>
      <c r="Q296" s="666">
        <v>5.2468825085282944E-2</v>
      </c>
      <c r="R296" s="666">
        <v>5.1509387548858587E-2</v>
      </c>
      <c r="S296" s="666">
        <v>4.4604389700808822E-2</v>
      </c>
      <c r="T296" s="666">
        <v>3.7622729463642868E-2</v>
      </c>
      <c r="U296" s="666">
        <v>3.0575769172927814E-2</v>
      </c>
      <c r="V296" s="666">
        <v>2.3464370157767145E-2</v>
      </c>
      <c r="W296" s="666">
        <v>1.6315695487860937E-2</v>
      </c>
      <c r="X296" s="666">
        <v>9.1303423460851185E-3</v>
      </c>
      <c r="Y296" s="666">
        <v>1.8824585780284897E-3</v>
      </c>
      <c r="Z296" s="666">
        <v>-5.4264299726534126E-3</v>
      </c>
      <c r="AA296" s="666">
        <v>-1.2784845334246286E-2</v>
      </c>
      <c r="AB296" s="666">
        <v>-2.0200538313765337E-2</v>
      </c>
      <c r="AC296" s="666">
        <v>-2.7672884900319494E-2</v>
      </c>
      <c r="AD296" s="666">
        <v>-3.5200895464817084E-2</v>
      </c>
      <c r="AE296" s="666">
        <v>-4.2783825939277431E-2</v>
      </c>
      <c r="AF296" s="666">
        <v>-5.0420225292563181E-2</v>
      </c>
      <c r="AG296" s="666">
        <v>-5.8109011186652904E-2</v>
      </c>
      <c r="AH296" s="666">
        <v>-6.5849215217700152E-2</v>
      </c>
      <c r="AI296" s="666">
        <v>-7.3639567471563416E-2</v>
      </c>
      <c r="AJ296" s="666">
        <v>-8.1478122176153356E-2</v>
      </c>
      <c r="AK296" s="666">
        <v>-8.9363935865612087E-2</v>
      </c>
      <c r="AL296" s="666"/>
      <c r="AM296" s="666"/>
      <c r="AN296" s="666"/>
      <c r="AO296" s="666"/>
      <c r="AP296" s="666"/>
      <c r="AQ296" s="666"/>
      <c r="AR296" s="666"/>
      <c r="AS296" s="666"/>
      <c r="AT296" s="666"/>
      <c r="AU296" s="666"/>
      <c r="AV296" s="666"/>
      <c r="AW296" s="666"/>
      <c r="AX296" s="666"/>
      <c r="AY296" s="666"/>
      <c r="AZ296" s="666"/>
      <c r="BA296" s="666"/>
      <c r="BB296" s="666"/>
      <c r="BC296" s="666"/>
      <c r="BD296" s="666"/>
      <c r="BE296" s="666"/>
      <c r="BF296" s="666"/>
      <c r="BG296" s="666"/>
      <c r="BH296" s="666"/>
      <c r="BI296" s="666"/>
      <c r="BJ296" s="666"/>
      <c r="BK296" s="666"/>
      <c r="BL296" s="666"/>
      <c r="BM296" s="666"/>
      <c r="BN296" s="666"/>
      <c r="BO296" s="666"/>
      <c r="BP296" s="666"/>
      <c r="BQ296" s="666"/>
      <c r="BR296" s="666"/>
      <c r="BS296" s="666"/>
      <c r="BT296" s="666"/>
      <c r="BU296" s="666"/>
      <c r="BV296" s="666"/>
      <c r="BW296" s="666"/>
      <c r="BX296" s="666"/>
      <c r="BY296" s="666"/>
      <c r="BZ296" s="666"/>
      <c r="CA296" s="666"/>
      <c r="CB296" s="666"/>
      <c r="CC296" s="666"/>
      <c r="CD296" s="666"/>
      <c r="CE296" s="666"/>
      <c r="CF296" s="666"/>
      <c r="CG296" s="666"/>
      <c r="CH296" s="666"/>
      <c r="CI296" s="666"/>
      <c r="CJ296" s="1439"/>
    </row>
    <row r="297" spans="2:89" ht="28.5" x14ac:dyDescent="0.2">
      <c r="B297" s="905" t="s">
        <v>670</v>
      </c>
      <c r="C297" s="906" t="s">
        <v>671</v>
      </c>
      <c r="D297" s="907" t="s">
        <v>672</v>
      </c>
      <c r="E297" s="906" t="s">
        <v>236</v>
      </c>
      <c r="F297" s="908">
        <v>2</v>
      </c>
      <c r="G297" s="670"/>
      <c r="H297" s="671"/>
      <c r="I297" s="671">
        <v>0</v>
      </c>
      <c r="J297" s="671">
        <v>0</v>
      </c>
      <c r="K297" s="671">
        <v>0</v>
      </c>
      <c r="L297" s="671">
        <v>0</v>
      </c>
      <c r="M297" s="666">
        <v>3.8468033783271016E-3</v>
      </c>
      <c r="N297" s="666">
        <v>-1.3314201416515736E-2</v>
      </c>
      <c r="O297" s="666">
        <v>-7.9937550981079714E-2</v>
      </c>
      <c r="P297" s="666">
        <v>-0.16649059969103958</v>
      </c>
      <c r="Q297" s="666">
        <v>-0.22413273082794832</v>
      </c>
      <c r="R297" s="666">
        <v>-0.23880092094147742</v>
      </c>
      <c r="S297" s="666">
        <v>-0.23832998161239119</v>
      </c>
      <c r="T297" s="666">
        <v>-0.23784953238179127</v>
      </c>
      <c r="U297" s="666">
        <v>-0.23736869629026566</v>
      </c>
      <c r="V297" s="666">
        <v>-0.23688786211922891</v>
      </c>
      <c r="W297" s="666">
        <v>-0.23646979741750865</v>
      </c>
      <c r="X297" s="666">
        <v>-0.23611119754308435</v>
      </c>
      <c r="Y297" s="666">
        <v>-0.23574897096261568</v>
      </c>
      <c r="Z297" s="666">
        <v>-0.23538311767610343</v>
      </c>
      <c r="AA297" s="666">
        <v>-0.23501558159061792</v>
      </c>
      <c r="AB297" s="666">
        <v>-0.23464463836870983</v>
      </c>
      <c r="AC297" s="666">
        <v>-0.23426808834359317</v>
      </c>
      <c r="AD297" s="666">
        <v>-0.23388791376674778</v>
      </c>
      <c r="AE297" s="666">
        <v>-0.23350411463817389</v>
      </c>
      <c r="AF297" s="666">
        <v>-0.23311669095787121</v>
      </c>
      <c r="AG297" s="666">
        <v>-0.23272564272583998</v>
      </c>
      <c r="AH297" s="666">
        <v>-0.23233096994208047</v>
      </c>
      <c r="AI297" s="666">
        <v>-0.23193267260659206</v>
      </c>
      <c r="AJ297" s="666">
        <v>-0.23153075071937546</v>
      </c>
      <c r="AK297" s="666">
        <v>-0.23112520428043024</v>
      </c>
      <c r="AL297" s="666"/>
      <c r="AM297" s="666"/>
      <c r="AN297" s="666"/>
      <c r="AO297" s="666"/>
      <c r="AP297" s="666"/>
      <c r="AQ297" s="666"/>
      <c r="AR297" s="666"/>
      <c r="AS297" s="666"/>
      <c r="AT297" s="666"/>
      <c r="AU297" s="666"/>
      <c r="AV297" s="666"/>
      <c r="AW297" s="666"/>
      <c r="AX297" s="666"/>
      <c r="AY297" s="666"/>
      <c r="AZ297" s="666"/>
      <c r="BA297" s="666"/>
      <c r="BB297" s="666"/>
      <c r="BC297" s="666"/>
      <c r="BD297" s="666"/>
      <c r="BE297" s="666"/>
      <c r="BF297" s="666"/>
      <c r="BG297" s="666"/>
      <c r="BH297" s="666"/>
      <c r="BI297" s="666"/>
      <c r="BJ297" s="666"/>
      <c r="BK297" s="666"/>
      <c r="BL297" s="666"/>
      <c r="BM297" s="666"/>
      <c r="BN297" s="666"/>
      <c r="BO297" s="666"/>
      <c r="BP297" s="666"/>
      <c r="BQ297" s="666"/>
      <c r="BR297" s="666"/>
      <c r="BS297" s="666"/>
      <c r="BT297" s="666"/>
      <c r="BU297" s="666"/>
      <c r="BV297" s="666"/>
      <c r="BW297" s="666"/>
      <c r="BX297" s="666"/>
      <c r="BY297" s="666"/>
      <c r="BZ297" s="666"/>
      <c r="CA297" s="666"/>
      <c r="CB297" s="666"/>
      <c r="CC297" s="666"/>
      <c r="CD297" s="666"/>
      <c r="CE297" s="666"/>
      <c r="CF297" s="666"/>
      <c r="CG297" s="666"/>
      <c r="CH297" s="666"/>
      <c r="CI297" s="666"/>
      <c r="CJ297" s="1439"/>
    </row>
    <row r="298" spans="2:89" ht="28.5" x14ac:dyDescent="0.2">
      <c r="B298" s="905" t="s">
        <v>673</v>
      </c>
      <c r="C298" s="906" t="s">
        <v>674</v>
      </c>
      <c r="D298" s="907" t="s">
        <v>675</v>
      </c>
      <c r="E298" s="906" t="s">
        <v>236</v>
      </c>
      <c r="F298" s="908">
        <v>2</v>
      </c>
      <c r="G298" s="670"/>
      <c r="H298" s="671"/>
      <c r="I298" s="671">
        <v>0</v>
      </c>
      <c r="J298" s="671">
        <v>0</v>
      </c>
      <c r="K298" s="671">
        <v>0</v>
      </c>
      <c r="L298" s="671">
        <v>0</v>
      </c>
      <c r="M298" s="666">
        <v>-1.3839313769092171E-4</v>
      </c>
      <c r="N298" s="666">
        <v>-3.0222656095059419E-4</v>
      </c>
      <c r="O298" s="666">
        <v>-3.8509537472427441E-4</v>
      </c>
      <c r="P298" s="666">
        <v>-4.9995243113425125E-4</v>
      </c>
      <c r="Q298" s="666">
        <v>-5.9336168101922077E-4</v>
      </c>
      <c r="R298" s="666">
        <v>-6.4156896575657402E-4</v>
      </c>
      <c r="S298" s="666">
        <v>-6.5297794104488688E-4</v>
      </c>
      <c r="T298" s="666">
        <v>-6.5134276550680298E-4</v>
      </c>
      <c r="U298" s="666">
        <v>-6.4970758996874683E-4</v>
      </c>
      <c r="V298" s="666">
        <v>-6.4807241443069763E-4</v>
      </c>
      <c r="W298" s="666">
        <v>-6.4653777336948909E-4</v>
      </c>
      <c r="X298" s="666">
        <v>-6.4510366678513509E-4</v>
      </c>
      <c r="Y298" s="666">
        <v>-6.436695602008019E-4</v>
      </c>
      <c r="Z298" s="666">
        <v>-6.4223545361642709E-4</v>
      </c>
      <c r="AA298" s="666">
        <v>-6.408013470320939E-4</v>
      </c>
      <c r="AB298" s="666">
        <v>-6.3945343908108909E-4</v>
      </c>
      <c r="AC298" s="666">
        <v>-6.3819172976339877E-4</v>
      </c>
      <c r="AD298" s="666">
        <v>-6.3693002044573621E-4</v>
      </c>
      <c r="AE298" s="666">
        <v>-6.3566831112804589E-4</v>
      </c>
      <c r="AF298" s="666">
        <v>-6.344066018103417E-4</v>
      </c>
      <c r="AG298" s="666">
        <v>-6.3314489249267913E-4</v>
      </c>
      <c r="AH298" s="666">
        <v>-6.3188318317500269E-4</v>
      </c>
      <c r="AI298" s="666">
        <v>-6.3062147385731238E-4</v>
      </c>
      <c r="AJ298" s="666">
        <v>-6.2935976453962206E-4</v>
      </c>
      <c r="AK298" s="666">
        <v>-6.2809805522193174E-4</v>
      </c>
      <c r="AL298" s="666"/>
      <c r="AM298" s="666"/>
      <c r="AN298" s="666"/>
      <c r="AO298" s="666"/>
      <c r="AP298" s="666"/>
      <c r="AQ298" s="666"/>
      <c r="AR298" s="666"/>
      <c r="AS298" s="666"/>
      <c r="AT298" s="666"/>
      <c r="AU298" s="666"/>
      <c r="AV298" s="666"/>
      <c r="AW298" s="666"/>
      <c r="AX298" s="666"/>
      <c r="AY298" s="666"/>
      <c r="AZ298" s="666"/>
      <c r="BA298" s="666"/>
      <c r="BB298" s="666"/>
      <c r="BC298" s="666"/>
      <c r="BD298" s="666"/>
      <c r="BE298" s="666"/>
      <c r="BF298" s="666"/>
      <c r="BG298" s="666"/>
      <c r="BH298" s="666"/>
      <c r="BI298" s="666"/>
      <c r="BJ298" s="666"/>
      <c r="BK298" s="666"/>
      <c r="BL298" s="666"/>
      <c r="BM298" s="666"/>
      <c r="BN298" s="666"/>
      <c r="BO298" s="666"/>
      <c r="BP298" s="666"/>
      <c r="BQ298" s="666"/>
      <c r="BR298" s="666"/>
      <c r="BS298" s="666"/>
      <c r="BT298" s="666"/>
      <c r="BU298" s="666"/>
      <c r="BV298" s="666"/>
      <c r="BW298" s="666"/>
      <c r="BX298" s="666"/>
      <c r="BY298" s="666"/>
      <c r="BZ298" s="666"/>
      <c r="CA298" s="666"/>
      <c r="CB298" s="666"/>
      <c r="CC298" s="666"/>
      <c r="CD298" s="666"/>
      <c r="CE298" s="666"/>
      <c r="CF298" s="666"/>
      <c r="CG298" s="666"/>
      <c r="CH298" s="666"/>
      <c r="CI298" s="666"/>
      <c r="CJ298" s="1439"/>
    </row>
    <row r="299" spans="2:89" x14ac:dyDescent="0.2">
      <c r="B299" s="927" t="s">
        <v>676</v>
      </c>
      <c r="C299" s="928" t="s">
        <v>677</v>
      </c>
      <c r="D299" s="928" t="s">
        <v>678</v>
      </c>
      <c r="E299" s="928" t="s">
        <v>236</v>
      </c>
      <c r="F299" s="929">
        <v>2</v>
      </c>
      <c r="G299" s="695"/>
      <c r="H299" s="671"/>
      <c r="I299" s="671">
        <v>0</v>
      </c>
      <c r="J299" s="671">
        <v>0</v>
      </c>
      <c r="K299" s="671">
        <v>0</v>
      </c>
      <c r="L299" s="671">
        <v>0</v>
      </c>
      <c r="M299" s="696">
        <v>-2.0497010939743765E-2</v>
      </c>
      <c r="N299" s="696">
        <v>-2.8131052956422264E-2</v>
      </c>
      <c r="O299" s="696">
        <v>-9.7854674088195814E-3</v>
      </c>
      <c r="P299" s="696">
        <v>2.0179402831490112E-2</v>
      </c>
      <c r="Q299" s="696">
        <v>3.3449196205928011E-2</v>
      </c>
      <c r="R299" s="696">
        <v>2.1372962654336192E-2</v>
      </c>
      <c r="S299" s="696">
        <v>6.954358139554806E-5</v>
      </c>
      <c r="T299" s="696">
        <v>-2.1176585235679113E-2</v>
      </c>
      <c r="U299" s="696">
        <v>-4.2354618941040423E-2</v>
      </c>
      <c r="V299" s="696">
        <v>-6.3463175295519481E-2</v>
      </c>
      <c r="W299" s="696">
        <v>-8.4468033114998065E-2</v>
      </c>
      <c r="X299" s="696">
        <v>-0.10537309422437291</v>
      </c>
      <c r="Y299" s="696">
        <v>-0.12621569853705017</v>
      </c>
      <c r="Z299" s="696">
        <v>-0.14699737189668394</v>
      </c>
      <c r="AA299" s="696">
        <v>-0.16772764836791842</v>
      </c>
      <c r="AB299" s="696">
        <v>-0.18840041528255469</v>
      </c>
      <c r="AC299" s="696">
        <v>-0.20901849631826996</v>
      </c>
      <c r="AD299" s="696">
        <v>-0.22958098505130908</v>
      </c>
      <c r="AE299" s="696">
        <v>-0.25008862554965239</v>
      </c>
      <c r="AF299" s="696">
        <v>-0.27054286884443735</v>
      </c>
      <c r="AG299" s="696">
        <v>-0.29094479727368583</v>
      </c>
      <c r="AH299" s="696">
        <v>-0.31129537924124362</v>
      </c>
      <c r="AI299" s="696">
        <v>-0.33159588466125323</v>
      </c>
      <c r="AJ299" s="696">
        <v>-0.35184825930580232</v>
      </c>
      <c r="AK299" s="696">
        <v>-0.3720534466407468</v>
      </c>
      <c r="AL299" s="696"/>
      <c r="AM299" s="696"/>
      <c r="AN299" s="696"/>
      <c r="AO299" s="696"/>
      <c r="AP299" s="696"/>
      <c r="AQ299" s="696"/>
      <c r="AR299" s="696"/>
      <c r="AS299" s="696"/>
      <c r="AT299" s="696"/>
      <c r="AU299" s="696"/>
      <c r="AV299" s="696"/>
      <c r="AW299" s="696"/>
      <c r="AX299" s="696"/>
      <c r="AY299" s="696"/>
      <c r="AZ299" s="696"/>
      <c r="BA299" s="696"/>
      <c r="BB299" s="696"/>
      <c r="BC299" s="696"/>
      <c r="BD299" s="696"/>
      <c r="BE299" s="696"/>
      <c r="BF299" s="696"/>
      <c r="BG299" s="696"/>
      <c r="BH299" s="696"/>
      <c r="BI299" s="696"/>
      <c r="BJ299" s="696"/>
      <c r="BK299" s="696"/>
      <c r="BL299" s="696"/>
      <c r="BM299" s="696"/>
      <c r="BN299" s="696"/>
      <c r="BO299" s="696"/>
      <c r="BP299" s="696"/>
      <c r="BQ299" s="696"/>
      <c r="BR299" s="696"/>
      <c r="BS299" s="696"/>
      <c r="BT299" s="696"/>
      <c r="BU299" s="696"/>
      <c r="BV299" s="696"/>
      <c r="BW299" s="696"/>
      <c r="BX299" s="696"/>
      <c r="BY299" s="696"/>
      <c r="BZ299" s="696"/>
      <c r="CA299" s="696"/>
      <c r="CB299" s="696"/>
      <c r="CC299" s="696"/>
      <c r="CD299" s="696"/>
      <c r="CE299" s="696"/>
      <c r="CF299" s="696"/>
      <c r="CG299" s="696"/>
      <c r="CH299" s="696"/>
      <c r="CI299" s="696"/>
      <c r="CJ299" s="1440"/>
    </row>
    <row r="300" spans="2:89" ht="15.75" thickBot="1" x14ac:dyDescent="0.25">
      <c r="B300" s="704"/>
      <c r="C300" s="704"/>
      <c r="D300" s="704"/>
      <c r="E300" s="704"/>
      <c r="F300" s="653"/>
      <c r="G300" s="654"/>
      <c r="H300" s="654"/>
      <c r="I300" s="654"/>
      <c r="J300" s="654"/>
      <c r="K300" s="654"/>
      <c r="L300" s="654"/>
      <c r="M300" s="654"/>
      <c r="N300" s="654"/>
      <c r="O300" s="654"/>
      <c r="P300" s="654"/>
      <c r="Q300" s="654"/>
      <c r="R300" s="654"/>
      <c r="S300" s="654"/>
      <c r="T300" s="654"/>
      <c r="U300" s="654"/>
      <c r="V300" s="654"/>
      <c r="W300" s="654"/>
      <c r="X300" s="654"/>
      <c r="Y300" s="654"/>
      <c r="Z300" s="654"/>
      <c r="AA300" s="654"/>
      <c r="AB300" s="654"/>
      <c r="AC300" s="654"/>
      <c r="AD300" s="654"/>
      <c r="AE300" s="654"/>
      <c r="AF300" s="654"/>
      <c r="AG300" s="654"/>
      <c r="AH300" s="654"/>
      <c r="AI300" s="654"/>
      <c r="AJ300" s="654"/>
      <c r="AK300" s="654"/>
      <c r="AL300" s="654"/>
      <c r="AM300" s="654"/>
      <c r="AN300" s="654"/>
      <c r="AO300" s="654"/>
      <c r="AP300" s="654"/>
      <c r="AQ300" s="654"/>
      <c r="AR300" s="654"/>
      <c r="AS300" s="654"/>
      <c r="AT300" s="654"/>
      <c r="AU300" s="654"/>
      <c r="AV300" s="654"/>
      <c r="AW300" s="654"/>
      <c r="AX300" s="654"/>
      <c r="AY300" s="654"/>
      <c r="AZ300" s="654"/>
      <c r="BA300" s="654"/>
      <c r="BB300" s="654"/>
      <c r="BC300" s="654"/>
      <c r="BD300" s="654"/>
      <c r="BE300" s="654"/>
      <c r="BF300" s="654"/>
      <c r="BG300" s="654"/>
      <c r="BH300" s="654"/>
      <c r="BI300" s="654"/>
      <c r="BJ300" s="654"/>
      <c r="BK300" s="654"/>
      <c r="BL300" s="654"/>
      <c r="BM300" s="654"/>
      <c r="BN300" s="654"/>
      <c r="BO300" s="654"/>
      <c r="BP300" s="654"/>
      <c r="BQ300" s="654"/>
      <c r="BR300" s="654"/>
      <c r="BS300" s="654"/>
      <c r="BT300" s="654"/>
      <c r="BU300" s="654"/>
      <c r="BV300" s="654"/>
      <c r="BW300" s="654"/>
      <c r="BX300" s="654"/>
      <c r="BY300" s="654"/>
      <c r="BZ300" s="654"/>
      <c r="CA300" s="654"/>
      <c r="CB300" s="654"/>
      <c r="CC300" s="654"/>
      <c r="CD300" s="654"/>
      <c r="CE300" s="654"/>
      <c r="CF300" s="654"/>
      <c r="CG300" s="654"/>
      <c r="CH300" s="654"/>
      <c r="CI300" s="654"/>
      <c r="CJ300" s="1071"/>
    </row>
    <row r="301" spans="2:89" ht="45.75" thickBot="1" x14ac:dyDescent="0.25">
      <c r="B301" s="891" t="s">
        <v>443</v>
      </c>
      <c r="C301" s="1306" t="s">
        <v>204</v>
      </c>
      <c r="D301" s="523"/>
      <c r="E301" s="523"/>
      <c r="F301" s="523"/>
      <c r="G301" s="523"/>
      <c r="H301" s="523"/>
      <c r="I301" s="523"/>
      <c r="J301" s="523"/>
      <c r="K301" s="523"/>
      <c r="L301" s="523"/>
      <c r="M301" s="523"/>
      <c r="N301" s="523"/>
      <c r="O301" s="523"/>
      <c r="P301" s="523"/>
      <c r="Q301" s="523"/>
      <c r="R301" s="523"/>
      <c r="S301" s="523"/>
      <c r="T301" s="523"/>
      <c r="U301" s="523"/>
      <c r="V301" s="523"/>
      <c r="W301" s="523"/>
      <c r="X301" s="523"/>
      <c r="Y301" s="523"/>
      <c r="Z301" s="523"/>
      <c r="AA301" s="523"/>
      <c r="AB301" s="523"/>
      <c r="AC301" s="523"/>
      <c r="AD301" s="523"/>
      <c r="AE301" s="523"/>
      <c r="AF301" s="523"/>
      <c r="AG301" s="523"/>
      <c r="AH301" s="523"/>
      <c r="AI301" s="523"/>
      <c r="AJ301" s="523"/>
      <c r="AK301" s="523"/>
      <c r="AL301" s="523"/>
      <c r="AM301" s="523"/>
      <c r="AN301" s="523"/>
      <c r="AO301" s="523"/>
      <c r="AP301" s="523"/>
      <c r="AQ301" s="523"/>
      <c r="AR301" s="523"/>
      <c r="AS301" s="523"/>
      <c r="AT301" s="523"/>
      <c r="AU301" s="523"/>
      <c r="AV301" s="523"/>
      <c r="AW301" s="523"/>
      <c r="AX301" s="523"/>
      <c r="AY301" s="523"/>
      <c r="AZ301" s="523"/>
      <c r="BA301" s="523"/>
      <c r="BB301" s="523"/>
      <c r="BC301" s="523"/>
      <c r="BD301" s="523"/>
      <c r="BE301" s="523"/>
      <c r="BF301" s="523"/>
      <c r="BG301" s="523"/>
      <c r="BH301" s="523"/>
      <c r="BI301" s="523"/>
      <c r="BJ301" s="523"/>
      <c r="BK301" s="523"/>
      <c r="BL301" s="523"/>
      <c r="BM301" s="523"/>
      <c r="BN301" s="523"/>
      <c r="BO301" s="523"/>
      <c r="BP301" s="523"/>
      <c r="BQ301" s="523"/>
      <c r="BR301" s="523"/>
      <c r="BS301" s="523"/>
      <c r="BT301" s="523"/>
      <c r="BU301" s="523"/>
      <c r="BV301" s="523"/>
      <c r="BW301" s="523"/>
      <c r="BX301" s="523"/>
      <c r="BY301" s="523"/>
      <c r="BZ301" s="523"/>
      <c r="CA301" s="523"/>
      <c r="CB301" s="523"/>
      <c r="CC301" s="523"/>
      <c r="CD301" s="523"/>
      <c r="CE301" s="523"/>
      <c r="CF301" s="523"/>
      <c r="CG301" s="523"/>
      <c r="CH301" s="523"/>
      <c r="CI301" s="523"/>
    </row>
    <row r="302" spans="2:89" ht="30.75" thickBot="1" x14ac:dyDescent="0.25">
      <c r="B302" s="930" t="s">
        <v>446</v>
      </c>
      <c r="C302" s="931" t="s">
        <v>205</v>
      </c>
      <c r="D302" s="931" t="s">
        <v>71</v>
      </c>
      <c r="E302" s="931" t="s">
        <v>206</v>
      </c>
      <c r="F302" s="932" t="s">
        <v>207</v>
      </c>
      <c r="G302" s="930" t="s">
        <v>208</v>
      </c>
      <c r="H302" s="930" t="s">
        <v>209</v>
      </c>
      <c r="I302" s="930" t="s">
        <v>210</v>
      </c>
      <c r="J302" s="930" t="s">
        <v>211</v>
      </c>
      <c r="K302" s="930" t="s">
        <v>212</v>
      </c>
      <c r="L302" s="930" t="s">
        <v>213</v>
      </c>
      <c r="M302" s="931" t="s">
        <v>214</v>
      </c>
      <c r="N302" s="931" t="s">
        <v>215</v>
      </c>
      <c r="O302" s="931" t="s">
        <v>216</v>
      </c>
      <c r="P302" s="931" t="s">
        <v>217</v>
      </c>
      <c r="Q302" s="931" t="s">
        <v>218</v>
      </c>
      <c r="R302" s="931" t="s">
        <v>247</v>
      </c>
      <c r="S302" s="931" t="s">
        <v>248</v>
      </c>
      <c r="T302" s="931" t="s">
        <v>249</v>
      </c>
      <c r="U302" s="931" t="s">
        <v>250</v>
      </c>
      <c r="V302" s="931" t="s">
        <v>219</v>
      </c>
      <c r="W302" s="931" t="s">
        <v>251</v>
      </c>
      <c r="X302" s="931" t="s">
        <v>252</v>
      </c>
      <c r="Y302" s="931" t="s">
        <v>253</v>
      </c>
      <c r="Z302" s="931" t="s">
        <v>254</v>
      </c>
      <c r="AA302" s="931" t="s">
        <v>220</v>
      </c>
      <c r="AB302" s="931" t="s">
        <v>255</v>
      </c>
      <c r="AC302" s="931" t="s">
        <v>256</v>
      </c>
      <c r="AD302" s="931" t="s">
        <v>257</v>
      </c>
      <c r="AE302" s="931" t="s">
        <v>258</v>
      </c>
      <c r="AF302" s="931" t="s">
        <v>221</v>
      </c>
      <c r="AG302" s="931" t="s">
        <v>259</v>
      </c>
      <c r="AH302" s="931" t="s">
        <v>260</v>
      </c>
      <c r="AI302" s="931" t="s">
        <v>261</v>
      </c>
      <c r="AJ302" s="931" t="s">
        <v>262</v>
      </c>
      <c r="AK302" s="931" t="s">
        <v>222</v>
      </c>
      <c r="AL302" s="931" t="s">
        <v>263</v>
      </c>
      <c r="AM302" s="931" t="s">
        <v>264</v>
      </c>
      <c r="AN302" s="931" t="s">
        <v>265</v>
      </c>
      <c r="AO302" s="931" t="s">
        <v>266</v>
      </c>
      <c r="AP302" s="931" t="s">
        <v>223</v>
      </c>
      <c r="AQ302" s="931" t="s">
        <v>267</v>
      </c>
      <c r="AR302" s="931" t="s">
        <v>268</v>
      </c>
      <c r="AS302" s="931" t="s">
        <v>269</v>
      </c>
      <c r="AT302" s="931" t="s">
        <v>270</v>
      </c>
      <c r="AU302" s="931" t="s">
        <v>224</v>
      </c>
      <c r="AV302" s="931" t="s">
        <v>271</v>
      </c>
      <c r="AW302" s="931" t="s">
        <v>272</v>
      </c>
      <c r="AX302" s="931" t="s">
        <v>273</v>
      </c>
      <c r="AY302" s="931" t="s">
        <v>274</v>
      </c>
      <c r="AZ302" s="931" t="s">
        <v>225</v>
      </c>
      <c r="BA302" s="931" t="s">
        <v>275</v>
      </c>
      <c r="BB302" s="931" t="s">
        <v>276</v>
      </c>
      <c r="BC302" s="931" t="s">
        <v>277</v>
      </c>
      <c r="BD302" s="931" t="s">
        <v>278</v>
      </c>
      <c r="BE302" s="931" t="s">
        <v>226</v>
      </c>
      <c r="BF302" s="931" t="s">
        <v>279</v>
      </c>
      <c r="BG302" s="931" t="s">
        <v>280</v>
      </c>
      <c r="BH302" s="931" t="s">
        <v>281</v>
      </c>
      <c r="BI302" s="931" t="s">
        <v>282</v>
      </c>
      <c r="BJ302" s="931" t="s">
        <v>227</v>
      </c>
      <c r="BK302" s="931" t="s">
        <v>283</v>
      </c>
      <c r="BL302" s="931" t="s">
        <v>284</v>
      </c>
      <c r="BM302" s="931" t="s">
        <v>285</v>
      </c>
      <c r="BN302" s="931" t="s">
        <v>286</v>
      </c>
      <c r="BO302" s="931" t="s">
        <v>228</v>
      </c>
      <c r="BP302" s="931" t="s">
        <v>287</v>
      </c>
      <c r="BQ302" s="931" t="s">
        <v>288</v>
      </c>
      <c r="BR302" s="931" t="s">
        <v>289</v>
      </c>
      <c r="BS302" s="931" t="s">
        <v>290</v>
      </c>
      <c r="BT302" s="931" t="s">
        <v>229</v>
      </c>
      <c r="BU302" s="931" t="s">
        <v>291</v>
      </c>
      <c r="BV302" s="931" t="s">
        <v>292</v>
      </c>
      <c r="BW302" s="931" t="s">
        <v>293</v>
      </c>
      <c r="BX302" s="931" t="s">
        <v>294</v>
      </c>
      <c r="BY302" s="931" t="s">
        <v>230</v>
      </c>
      <c r="BZ302" s="931" t="s">
        <v>295</v>
      </c>
      <c r="CA302" s="931" t="s">
        <v>296</v>
      </c>
      <c r="CB302" s="931" t="s">
        <v>297</v>
      </c>
      <c r="CC302" s="931" t="s">
        <v>298</v>
      </c>
      <c r="CD302" s="931" t="s">
        <v>231</v>
      </c>
      <c r="CE302" s="931" t="s">
        <v>299</v>
      </c>
      <c r="CF302" s="931" t="s">
        <v>300</v>
      </c>
      <c r="CG302" s="931" t="s">
        <v>301</v>
      </c>
      <c r="CH302" s="931" t="s">
        <v>302</v>
      </c>
      <c r="CI302" s="932" t="s">
        <v>232</v>
      </c>
      <c r="CK302" s="1296"/>
    </row>
    <row r="303" spans="2:89" x14ac:dyDescent="0.2">
      <c r="B303" s="933" t="s">
        <v>679</v>
      </c>
      <c r="C303" s="934" t="s">
        <v>448</v>
      </c>
      <c r="D303" s="925" t="s">
        <v>86</v>
      </c>
      <c r="E303" s="935" t="s">
        <v>236</v>
      </c>
      <c r="F303" s="936">
        <v>2</v>
      </c>
      <c r="G303" s="532"/>
      <c r="H303" s="593"/>
      <c r="I303" s="593">
        <v>61.606345408540115</v>
      </c>
      <c r="J303" s="593">
        <v>61.582052601838782</v>
      </c>
      <c r="K303" s="593">
        <v>61.603124100309749</v>
      </c>
      <c r="L303" s="593">
        <v>62.285753071774643</v>
      </c>
      <c r="M303" s="594">
        <v>61.1964037778625</v>
      </c>
      <c r="N303" s="594">
        <v>60.72966835495518</v>
      </c>
      <c r="O303" s="594">
        <v>60.176030097397309</v>
      </c>
      <c r="P303" s="594">
        <v>59.470872694752281</v>
      </c>
      <c r="Q303" s="594">
        <v>58.768121502352926</v>
      </c>
      <c r="R303" s="594">
        <v>58.135392639348197</v>
      </c>
      <c r="S303" s="594">
        <v>57.51656494057849</v>
      </c>
      <c r="T303" s="594">
        <v>59.551094836186451</v>
      </c>
      <c r="U303" s="594">
        <v>58.882964877366781</v>
      </c>
      <c r="V303" s="594">
        <v>58.243837032956172</v>
      </c>
      <c r="W303" s="594">
        <v>57.792737311215454</v>
      </c>
      <c r="X303" s="594">
        <v>57.48660842566909</v>
      </c>
      <c r="Y303" s="594">
        <v>57.374960804422507</v>
      </c>
      <c r="Z303" s="594">
        <v>57.276101766675914</v>
      </c>
      <c r="AA303" s="594">
        <v>57.185202378719374</v>
      </c>
      <c r="AB303" s="594">
        <v>57.094628430896833</v>
      </c>
      <c r="AC303" s="594">
        <v>57.02640653490495</v>
      </c>
      <c r="AD303" s="594">
        <v>56.96874828777942</v>
      </c>
      <c r="AE303" s="594">
        <v>57.003742682496942</v>
      </c>
      <c r="AF303" s="594">
        <v>57.04105717236326</v>
      </c>
      <c r="AG303" s="594">
        <v>57.07490427195193</v>
      </c>
      <c r="AH303" s="594">
        <v>57.114528625477178</v>
      </c>
      <c r="AI303" s="594">
        <v>57.153867640073656</v>
      </c>
      <c r="AJ303" s="594">
        <v>57.201130083732984</v>
      </c>
      <c r="AK303" s="594">
        <v>57.247478353957163</v>
      </c>
      <c r="AL303" s="594"/>
      <c r="AM303" s="594"/>
      <c r="AN303" s="594"/>
      <c r="AO303" s="594"/>
      <c r="AP303" s="594"/>
      <c r="AQ303" s="594"/>
      <c r="AR303" s="594"/>
      <c r="AS303" s="594"/>
      <c r="AT303" s="594"/>
      <c r="AU303" s="594"/>
      <c r="AV303" s="594"/>
      <c r="AW303" s="594"/>
      <c r="AX303" s="594"/>
      <c r="AY303" s="594"/>
      <c r="AZ303" s="594"/>
      <c r="BA303" s="594"/>
      <c r="BB303" s="594"/>
      <c r="BC303" s="594"/>
      <c r="BD303" s="594"/>
      <c r="BE303" s="594"/>
      <c r="BF303" s="594"/>
      <c r="BG303" s="594"/>
      <c r="BH303" s="594"/>
      <c r="BI303" s="594"/>
      <c r="BJ303" s="594"/>
      <c r="BK303" s="594"/>
      <c r="BL303" s="594"/>
      <c r="BM303" s="594"/>
      <c r="BN303" s="594"/>
      <c r="BO303" s="594"/>
      <c r="BP303" s="594"/>
      <c r="BQ303" s="594"/>
      <c r="BR303" s="594"/>
      <c r="BS303" s="594"/>
      <c r="BT303" s="594"/>
      <c r="BU303" s="594"/>
      <c r="BV303" s="594"/>
      <c r="BW303" s="594"/>
      <c r="BX303" s="594"/>
      <c r="BY303" s="594"/>
      <c r="BZ303" s="594"/>
      <c r="CA303" s="594"/>
      <c r="CB303" s="594"/>
      <c r="CC303" s="594"/>
      <c r="CD303" s="594"/>
      <c r="CE303" s="594"/>
      <c r="CF303" s="594"/>
      <c r="CG303" s="594"/>
      <c r="CH303" s="594"/>
      <c r="CI303" s="595"/>
      <c r="CK303" s="1296"/>
    </row>
    <row r="304" spans="2:89" x14ac:dyDescent="0.2">
      <c r="B304" s="937" t="s">
        <v>680</v>
      </c>
      <c r="C304" s="904" t="s">
        <v>681</v>
      </c>
      <c r="D304" s="907" t="s">
        <v>682</v>
      </c>
      <c r="E304" s="938" t="s">
        <v>236</v>
      </c>
      <c r="F304" s="939">
        <v>2</v>
      </c>
      <c r="G304" s="798">
        <f t="shared" ref="G304:AK307" si="158">G206+G276</f>
        <v>0</v>
      </c>
      <c r="H304" s="798">
        <f t="shared" si="158"/>
        <v>0</v>
      </c>
      <c r="I304" s="798">
        <f t="shared" si="158"/>
        <v>0</v>
      </c>
      <c r="J304" s="798">
        <f t="shared" si="158"/>
        <v>0</v>
      </c>
      <c r="K304" s="798">
        <f t="shared" si="158"/>
        <v>0</v>
      </c>
      <c r="L304" s="798">
        <f t="shared" si="158"/>
        <v>0</v>
      </c>
      <c r="M304" s="798">
        <f t="shared" si="158"/>
        <v>0</v>
      </c>
      <c r="N304" s="798">
        <f t="shared" si="158"/>
        <v>0</v>
      </c>
      <c r="O304" s="798">
        <f t="shared" si="158"/>
        <v>0</v>
      </c>
      <c r="P304" s="798">
        <f t="shared" si="158"/>
        <v>0</v>
      </c>
      <c r="Q304" s="798">
        <f t="shared" si="158"/>
        <v>0</v>
      </c>
      <c r="R304" s="798">
        <f t="shared" si="158"/>
        <v>0</v>
      </c>
      <c r="S304" s="798">
        <f t="shared" si="158"/>
        <v>0</v>
      </c>
      <c r="T304" s="798">
        <f t="shared" si="158"/>
        <v>0</v>
      </c>
      <c r="U304" s="798">
        <f t="shared" si="158"/>
        <v>0</v>
      </c>
      <c r="V304" s="798">
        <f t="shared" si="158"/>
        <v>0</v>
      </c>
      <c r="W304" s="798">
        <f t="shared" si="158"/>
        <v>0</v>
      </c>
      <c r="X304" s="798">
        <f t="shared" si="158"/>
        <v>0</v>
      </c>
      <c r="Y304" s="798">
        <f t="shared" si="158"/>
        <v>0</v>
      </c>
      <c r="Z304" s="798">
        <f t="shared" si="158"/>
        <v>0</v>
      </c>
      <c r="AA304" s="798">
        <f t="shared" si="158"/>
        <v>0</v>
      </c>
      <c r="AB304" s="798">
        <f t="shared" si="158"/>
        <v>0</v>
      </c>
      <c r="AC304" s="798">
        <f t="shared" si="158"/>
        <v>0</v>
      </c>
      <c r="AD304" s="798">
        <f t="shared" si="158"/>
        <v>0</v>
      </c>
      <c r="AE304" s="798">
        <f t="shared" si="158"/>
        <v>0</v>
      </c>
      <c r="AF304" s="798">
        <f t="shared" si="158"/>
        <v>0</v>
      </c>
      <c r="AG304" s="798">
        <f t="shared" si="158"/>
        <v>0</v>
      </c>
      <c r="AH304" s="798">
        <f t="shared" si="158"/>
        <v>0</v>
      </c>
      <c r="AI304" s="798">
        <f t="shared" si="158"/>
        <v>0</v>
      </c>
      <c r="AJ304" s="798">
        <f t="shared" si="158"/>
        <v>0</v>
      </c>
      <c r="AK304" s="798">
        <f t="shared" si="158"/>
        <v>0</v>
      </c>
      <c r="AL304" s="798"/>
      <c r="AM304" s="798"/>
      <c r="AN304" s="798"/>
      <c r="AO304" s="798"/>
      <c r="AP304" s="798"/>
      <c r="AQ304" s="798"/>
      <c r="AR304" s="798"/>
      <c r="AS304" s="798"/>
      <c r="AT304" s="798"/>
      <c r="AU304" s="798"/>
      <c r="AV304" s="798"/>
      <c r="AW304" s="798"/>
      <c r="AX304" s="798"/>
      <c r="AY304" s="798"/>
      <c r="AZ304" s="798"/>
      <c r="BA304" s="798"/>
      <c r="BB304" s="798"/>
      <c r="BC304" s="798"/>
      <c r="BD304" s="798"/>
      <c r="BE304" s="798"/>
      <c r="BF304" s="798"/>
      <c r="BG304" s="798"/>
      <c r="BH304" s="798"/>
      <c r="BI304" s="798"/>
      <c r="BJ304" s="798"/>
      <c r="BK304" s="798"/>
      <c r="BL304" s="798"/>
      <c r="BM304" s="798"/>
      <c r="BN304" s="798"/>
      <c r="BO304" s="798"/>
      <c r="BP304" s="798"/>
      <c r="BQ304" s="798"/>
      <c r="BR304" s="798"/>
      <c r="BS304" s="798"/>
      <c r="BT304" s="798"/>
      <c r="BU304" s="798"/>
      <c r="BV304" s="798"/>
      <c r="BW304" s="798"/>
      <c r="BX304" s="798"/>
      <c r="BY304" s="798"/>
      <c r="BZ304" s="798"/>
      <c r="CA304" s="798"/>
      <c r="CB304" s="798"/>
      <c r="CC304" s="798"/>
      <c r="CD304" s="798"/>
      <c r="CE304" s="798"/>
      <c r="CF304" s="798"/>
      <c r="CG304" s="798"/>
      <c r="CH304" s="798"/>
      <c r="CI304" s="719"/>
      <c r="CK304" s="1296"/>
    </row>
    <row r="305" spans="2:89" x14ac:dyDescent="0.2">
      <c r="B305" s="937" t="s">
        <v>683</v>
      </c>
      <c r="C305" s="904" t="s">
        <v>452</v>
      </c>
      <c r="D305" s="907" t="s">
        <v>684</v>
      </c>
      <c r="E305" s="938" t="s">
        <v>236</v>
      </c>
      <c r="F305" s="939">
        <v>2</v>
      </c>
      <c r="G305" s="569">
        <f t="shared" si="158"/>
        <v>0</v>
      </c>
      <c r="H305" s="569">
        <f t="shared" si="158"/>
        <v>0</v>
      </c>
      <c r="I305" s="569">
        <f t="shared" si="158"/>
        <v>0</v>
      </c>
      <c r="J305" s="569">
        <f t="shared" si="158"/>
        <v>0</v>
      </c>
      <c r="K305" s="569">
        <f t="shared" si="158"/>
        <v>0</v>
      </c>
      <c r="L305" s="569">
        <f t="shared" si="158"/>
        <v>0</v>
      </c>
      <c r="M305" s="718">
        <f t="shared" si="158"/>
        <v>0</v>
      </c>
      <c r="N305" s="718">
        <f t="shared" si="158"/>
        <v>0</v>
      </c>
      <c r="O305" s="718">
        <f t="shared" si="158"/>
        <v>0</v>
      </c>
      <c r="P305" s="718">
        <f t="shared" si="158"/>
        <v>0</v>
      </c>
      <c r="Q305" s="718">
        <f t="shared" si="158"/>
        <v>0</v>
      </c>
      <c r="R305" s="718">
        <f t="shared" si="158"/>
        <v>0</v>
      </c>
      <c r="S305" s="718">
        <f t="shared" si="158"/>
        <v>0</v>
      </c>
      <c r="T305" s="718">
        <f t="shared" si="158"/>
        <v>0</v>
      </c>
      <c r="U305" s="718">
        <f t="shared" si="158"/>
        <v>0</v>
      </c>
      <c r="V305" s="718">
        <f t="shared" si="158"/>
        <v>0</v>
      </c>
      <c r="W305" s="718">
        <f t="shared" si="158"/>
        <v>0</v>
      </c>
      <c r="X305" s="718">
        <f t="shared" si="158"/>
        <v>0</v>
      </c>
      <c r="Y305" s="718">
        <f t="shared" si="158"/>
        <v>0</v>
      </c>
      <c r="Z305" s="718">
        <f t="shared" si="158"/>
        <v>0</v>
      </c>
      <c r="AA305" s="718">
        <f t="shared" si="158"/>
        <v>0</v>
      </c>
      <c r="AB305" s="718">
        <f t="shared" si="158"/>
        <v>0</v>
      </c>
      <c r="AC305" s="718">
        <f t="shared" si="158"/>
        <v>0</v>
      </c>
      <c r="AD305" s="718">
        <f t="shared" si="158"/>
        <v>0</v>
      </c>
      <c r="AE305" s="718">
        <f t="shared" si="158"/>
        <v>0</v>
      </c>
      <c r="AF305" s="718">
        <f t="shared" si="158"/>
        <v>0</v>
      </c>
      <c r="AG305" s="718">
        <f t="shared" si="158"/>
        <v>0</v>
      </c>
      <c r="AH305" s="718">
        <f t="shared" si="158"/>
        <v>0</v>
      </c>
      <c r="AI305" s="718">
        <f t="shared" si="158"/>
        <v>0</v>
      </c>
      <c r="AJ305" s="718">
        <f t="shared" si="158"/>
        <v>0</v>
      </c>
      <c r="AK305" s="718">
        <f t="shared" si="158"/>
        <v>0</v>
      </c>
      <c r="AL305" s="718"/>
      <c r="AM305" s="718"/>
      <c r="AN305" s="718"/>
      <c r="AO305" s="718"/>
      <c r="AP305" s="718"/>
      <c r="AQ305" s="718"/>
      <c r="AR305" s="718"/>
      <c r="AS305" s="718"/>
      <c r="AT305" s="718"/>
      <c r="AU305" s="718"/>
      <c r="AV305" s="718"/>
      <c r="AW305" s="718"/>
      <c r="AX305" s="718"/>
      <c r="AY305" s="718"/>
      <c r="AZ305" s="718"/>
      <c r="BA305" s="718"/>
      <c r="BB305" s="718"/>
      <c r="BC305" s="718"/>
      <c r="BD305" s="718"/>
      <c r="BE305" s="718"/>
      <c r="BF305" s="718"/>
      <c r="BG305" s="718"/>
      <c r="BH305" s="718"/>
      <c r="BI305" s="718"/>
      <c r="BJ305" s="718"/>
      <c r="BK305" s="718"/>
      <c r="BL305" s="718"/>
      <c r="BM305" s="718"/>
      <c r="BN305" s="718"/>
      <c r="BO305" s="718"/>
      <c r="BP305" s="718"/>
      <c r="BQ305" s="718"/>
      <c r="BR305" s="718"/>
      <c r="BS305" s="718"/>
      <c r="BT305" s="718"/>
      <c r="BU305" s="718"/>
      <c r="BV305" s="718"/>
      <c r="BW305" s="718"/>
      <c r="BX305" s="718"/>
      <c r="BY305" s="718"/>
      <c r="BZ305" s="718"/>
      <c r="CA305" s="718"/>
      <c r="CB305" s="718"/>
      <c r="CC305" s="718"/>
      <c r="CD305" s="718"/>
      <c r="CE305" s="718"/>
      <c r="CF305" s="718"/>
      <c r="CG305" s="718"/>
      <c r="CH305" s="718"/>
      <c r="CI305" s="719"/>
      <c r="CK305" s="1296"/>
    </row>
    <row r="306" spans="2:89" x14ac:dyDescent="0.2">
      <c r="B306" s="937" t="s">
        <v>685</v>
      </c>
      <c r="C306" s="904" t="s">
        <v>454</v>
      </c>
      <c r="D306" s="907" t="s">
        <v>686</v>
      </c>
      <c r="E306" s="938" t="s">
        <v>236</v>
      </c>
      <c r="F306" s="939">
        <v>2</v>
      </c>
      <c r="G306" s="569">
        <f t="shared" si="158"/>
        <v>0</v>
      </c>
      <c r="H306" s="569">
        <f t="shared" si="158"/>
        <v>0</v>
      </c>
      <c r="I306" s="569">
        <f t="shared" si="158"/>
        <v>1.35</v>
      </c>
      <c r="J306" s="569">
        <f t="shared" si="158"/>
        <v>1.35</v>
      </c>
      <c r="K306" s="569">
        <f t="shared" si="158"/>
        <v>1.35</v>
      </c>
      <c r="L306" s="569">
        <f t="shared" si="158"/>
        <v>1.35</v>
      </c>
      <c r="M306" s="718">
        <f t="shared" si="158"/>
        <v>1.35</v>
      </c>
      <c r="N306" s="718">
        <f t="shared" si="158"/>
        <v>1.35</v>
      </c>
      <c r="O306" s="718">
        <f t="shared" si="158"/>
        <v>1.35</v>
      </c>
      <c r="P306" s="718">
        <f t="shared" si="158"/>
        <v>1.35</v>
      </c>
      <c r="Q306" s="718">
        <f t="shared" si="158"/>
        <v>1.35</v>
      </c>
      <c r="R306" s="718">
        <f t="shared" si="158"/>
        <v>1.35</v>
      </c>
      <c r="S306" s="718">
        <f t="shared" si="158"/>
        <v>1.35</v>
      </c>
      <c r="T306" s="718">
        <f t="shared" si="158"/>
        <v>1.35</v>
      </c>
      <c r="U306" s="718">
        <f t="shared" si="158"/>
        <v>1.35</v>
      </c>
      <c r="V306" s="718">
        <f t="shared" si="158"/>
        <v>1.35</v>
      </c>
      <c r="W306" s="718">
        <f t="shared" si="158"/>
        <v>1.35</v>
      </c>
      <c r="X306" s="718">
        <f t="shared" si="158"/>
        <v>1.35</v>
      </c>
      <c r="Y306" s="718">
        <f t="shared" si="158"/>
        <v>1.35</v>
      </c>
      <c r="Z306" s="718">
        <f t="shared" si="158"/>
        <v>1.35</v>
      </c>
      <c r="AA306" s="718">
        <f t="shared" si="158"/>
        <v>1.35</v>
      </c>
      <c r="AB306" s="718">
        <f t="shared" si="158"/>
        <v>1.35</v>
      </c>
      <c r="AC306" s="718">
        <f t="shared" si="158"/>
        <v>1.35</v>
      </c>
      <c r="AD306" s="718">
        <f t="shared" si="158"/>
        <v>1.35</v>
      </c>
      <c r="AE306" s="718">
        <f t="shared" si="158"/>
        <v>1.35</v>
      </c>
      <c r="AF306" s="718">
        <f t="shared" si="158"/>
        <v>1.35</v>
      </c>
      <c r="AG306" s="718">
        <f t="shared" si="158"/>
        <v>1.35</v>
      </c>
      <c r="AH306" s="718">
        <f t="shared" si="158"/>
        <v>1.35</v>
      </c>
      <c r="AI306" s="718">
        <f t="shared" si="158"/>
        <v>1.35</v>
      </c>
      <c r="AJ306" s="718">
        <f t="shared" si="158"/>
        <v>1.35</v>
      </c>
      <c r="AK306" s="718">
        <f t="shared" si="158"/>
        <v>1.35</v>
      </c>
      <c r="AL306" s="718"/>
      <c r="AM306" s="718"/>
      <c r="AN306" s="718"/>
      <c r="AO306" s="718"/>
      <c r="AP306" s="718"/>
      <c r="AQ306" s="718"/>
      <c r="AR306" s="718"/>
      <c r="AS306" s="718"/>
      <c r="AT306" s="718"/>
      <c r="AU306" s="718"/>
      <c r="AV306" s="718"/>
      <c r="AW306" s="718"/>
      <c r="AX306" s="718"/>
      <c r="AY306" s="718"/>
      <c r="AZ306" s="718"/>
      <c r="BA306" s="718"/>
      <c r="BB306" s="718"/>
      <c r="BC306" s="718"/>
      <c r="BD306" s="718"/>
      <c r="BE306" s="718"/>
      <c r="BF306" s="718"/>
      <c r="BG306" s="718"/>
      <c r="BH306" s="718"/>
      <c r="BI306" s="718"/>
      <c r="BJ306" s="718"/>
      <c r="BK306" s="718"/>
      <c r="BL306" s="718"/>
      <c r="BM306" s="718"/>
      <c r="BN306" s="718"/>
      <c r="BO306" s="718"/>
      <c r="BP306" s="718"/>
      <c r="BQ306" s="718"/>
      <c r="BR306" s="718"/>
      <c r="BS306" s="718"/>
      <c r="BT306" s="718"/>
      <c r="BU306" s="718"/>
      <c r="BV306" s="718"/>
      <c r="BW306" s="718"/>
      <c r="BX306" s="718"/>
      <c r="BY306" s="718"/>
      <c r="BZ306" s="718"/>
      <c r="CA306" s="718"/>
      <c r="CB306" s="718"/>
      <c r="CC306" s="718"/>
      <c r="CD306" s="718"/>
      <c r="CE306" s="718"/>
      <c r="CF306" s="718"/>
      <c r="CG306" s="718"/>
      <c r="CH306" s="718"/>
      <c r="CI306" s="719"/>
      <c r="CK306" s="1296"/>
    </row>
    <row r="307" spans="2:89" x14ac:dyDescent="0.2">
      <c r="B307" s="940" t="s">
        <v>687</v>
      </c>
      <c r="C307" s="904" t="s">
        <v>456</v>
      </c>
      <c r="D307" s="907" t="s">
        <v>688</v>
      </c>
      <c r="E307" s="938" t="s">
        <v>236</v>
      </c>
      <c r="F307" s="939">
        <v>2</v>
      </c>
      <c r="G307" s="569">
        <f>G209+G279</f>
        <v>0</v>
      </c>
      <c r="H307" s="569">
        <f t="shared" si="158"/>
        <v>0</v>
      </c>
      <c r="I307" s="569">
        <f t="shared" si="158"/>
        <v>-3.38</v>
      </c>
      <c r="J307" s="569">
        <f t="shared" si="158"/>
        <v>-3.38</v>
      </c>
      <c r="K307" s="569">
        <f t="shared" si="158"/>
        <v>-3.38</v>
      </c>
      <c r="L307" s="569">
        <f t="shared" si="158"/>
        <v>-3.38</v>
      </c>
      <c r="M307" s="569">
        <f t="shared" si="158"/>
        <v>-3.38</v>
      </c>
      <c r="N307" s="569">
        <f t="shared" si="158"/>
        <v>-3.38</v>
      </c>
      <c r="O307" s="569">
        <f t="shared" si="158"/>
        <v>-3.38</v>
      </c>
      <c r="P307" s="569">
        <f t="shared" si="158"/>
        <v>-3.38</v>
      </c>
      <c r="Q307" s="569">
        <f t="shared" si="158"/>
        <v>-3.38</v>
      </c>
      <c r="R307" s="569">
        <f t="shared" si="158"/>
        <v>-3.38</v>
      </c>
      <c r="S307" s="569">
        <f t="shared" si="158"/>
        <v>-3.38</v>
      </c>
      <c r="T307" s="569">
        <f t="shared" si="158"/>
        <v>-3.38</v>
      </c>
      <c r="U307" s="569">
        <f t="shared" si="158"/>
        <v>-3.38</v>
      </c>
      <c r="V307" s="569">
        <f t="shared" si="158"/>
        <v>-3.38</v>
      </c>
      <c r="W307" s="569">
        <f t="shared" si="158"/>
        <v>-3.38</v>
      </c>
      <c r="X307" s="569">
        <f t="shared" si="158"/>
        <v>-3.38</v>
      </c>
      <c r="Y307" s="569">
        <f t="shared" si="158"/>
        <v>-3.38</v>
      </c>
      <c r="Z307" s="569">
        <f t="shared" si="158"/>
        <v>-3.38</v>
      </c>
      <c r="AA307" s="569">
        <f t="shared" si="158"/>
        <v>-3.38</v>
      </c>
      <c r="AB307" s="569">
        <f t="shared" si="158"/>
        <v>-3.38</v>
      </c>
      <c r="AC307" s="569">
        <f t="shared" si="158"/>
        <v>-3.38</v>
      </c>
      <c r="AD307" s="569">
        <f t="shared" si="158"/>
        <v>-3.38</v>
      </c>
      <c r="AE307" s="569">
        <f t="shared" si="158"/>
        <v>-3.38</v>
      </c>
      <c r="AF307" s="569">
        <f t="shared" si="158"/>
        <v>-3.38</v>
      </c>
      <c r="AG307" s="569">
        <f t="shared" si="158"/>
        <v>-3.38</v>
      </c>
      <c r="AH307" s="569">
        <f t="shared" si="158"/>
        <v>-3.38</v>
      </c>
      <c r="AI307" s="569">
        <f t="shared" si="158"/>
        <v>-3.38</v>
      </c>
      <c r="AJ307" s="569">
        <f t="shared" si="158"/>
        <v>-3.38</v>
      </c>
      <c r="AK307" s="569">
        <f t="shared" si="158"/>
        <v>-3.38</v>
      </c>
      <c r="AL307" s="569"/>
      <c r="AM307" s="569"/>
      <c r="AN307" s="569"/>
      <c r="AO307" s="569"/>
      <c r="AP307" s="569"/>
      <c r="AQ307" s="569"/>
      <c r="AR307" s="569"/>
      <c r="AS307" s="569"/>
      <c r="AT307" s="569"/>
      <c r="AU307" s="569"/>
      <c r="AV307" s="569"/>
      <c r="AW307" s="569"/>
      <c r="AX307" s="569"/>
      <c r="AY307" s="569"/>
      <c r="AZ307" s="569"/>
      <c r="BA307" s="569"/>
      <c r="BB307" s="569"/>
      <c r="BC307" s="569"/>
      <c r="BD307" s="569"/>
      <c r="BE307" s="569"/>
      <c r="BF307" s="569"/>
      <c r="BG307" s="569"/>
      <c r="BH307" s="569"/>
      <c r="BI307" s="569"/>
      <c r="BJ307" s="569"/>
      <c r="BK307" s="569"/>
      <c r="BL307" s="569"/>
      <c r="BM307" s="569"/>
      <c r="BN307" s="569"/>
      <c r="BO307" s="569"/>
      <c r="BP307" s="569"/>
      <c r="BQ307" s="569"/>
      <c r="BR307" s="569"/>
      <c r="BS307" s="569"/>
      <c r="BT307" s="569"/>
      <c r="BU307" s="569"/>
      <c r="BV307" s="569"/>
      <c r="BW307" s="569"/>
      <c r="BX307" s="569"/>
      <c r="BY307" s="569"/>
      <c r="BZ307" s="569"/>
      <c r="CA307" s="569"/>
      <c r="CB307" s="569"/>
      <c r="CC307" s="569"/>
      <c r="CD307" s="569"/>
      <c r="CE307" s="569"/>
      <c r="CF307" s="569"/>
      <c r="CG307" s="569"/>
      <c r="CH307" s="569"/>
      <c r="CI307" s="719"/>
      <c r="CK307" s="1296"/>
    </row>
    <row r="308" spans="2:89" x14ac:dyDescent="0.2">
      <c r="B308" s="940" t="s">
        <v>689</v>
      </c>
      <c r="C308" s="904" t="s">
        <v>458</v>
      </c>
      <c r="D308" s="907" t="s">
        <v>690</v>
      </c>
      <c r="E308" s="938" t="s">
        <v>236</v>
      </c>
      <c r="F308" s="939">
        <v>2</v>
      </c>
      <c r="G308" s="569">
        <f>G210+G280</f>
        <v>0</v>
      </c>
      <c r="H308" s="569">
        <f t="shared" ref="H308:AK308" si="159">H210+H280</f>
        <v>0</v>
      </c>
      <c r="I308" s="569">
        <f t="shared" si="159"/>
        <v>-0.37</v>
      </c>
      <c r="J308" s="569">
        <f t="shared" si="159"/>
        <v>-0.37</v>
      </c>
      <c r="K308" s="569">
        <f t="shared" si="159"/>
        <v>-0.37</v>
      </c>
      <c r="L308" s="569">
        <f t="shared" si="159"/>
        <v>-0.37</v>
      </c>
      <c r="M308" s="718">
        <f t="shared" si="159"/>
        <v>-0.37</v>
      </c>
      <c r="N308" s="718">
        <f t="shared" si="159"/>
        <v>-0.37</v>
      </c>
      <c r="O308" s="718">
        <f t="shared" si="159"/>
        <v>-0.37</v>
      </c>
      <c r="P308" s="718">
        <f t="shared" si="159"/>
        <v>-0.37</v>
      </c>
      <c r="Q308" s="718">
        <f t="shared" si="159"/>
        <v>-0.37</v>
      </c>
      <c r="R308" s="718">
        <f t="shared" si="159"/>
        <v>-0.37</v>
      </c>
      <c r="S308" s="718">
        <f t="shared" si="159"/>
        <v>-0.37</v>
      </c>
      <c r="T308" s="718">
        <f t="shared" si="159"/>
        <v>-0.57856410954914406</v>
      </c>
      <c r="U308" s="718">
        <f t="shared" si="159"/>
        <v>-0.517957025735165</v>
      </c>
      <c r="V308" s="718">
        <f t="shared" si="159"/>
        <v>-0.43539217676386521</v>
      </c>
      <c r="W308" s="718">
        <f t="shared" si="159"/>
        <v>-0.37558518480147907</v>
      </c>
      <c r="X308" s="718">
        <f t="shared" si="159"/>
        <v>-0.37</v>
      </c>
      <c r="Y308" s="718">
        <f t="shared" si="159"/>
        <v>-0.37</v>
      </c>
      <c r="Z308" s="718">
        <f t="shared" si="159"/>
        <v>-0.37</v>
      </c>
      <c r="AA308" s="718">
        <f t="shared" si="159"/>
        <v>-0.37</v>
      </c>
      <c r="AB308" s="718">
        <f t="shared" si="159"/>
        <v>-0.37</v>
      </c>
      <c r="AC308" s="718">
        <f t="shared" si="159"/>
        <v>-0.37</v>
      </c>
      <c r="AD308" s="718">
        <f t="shared" si="159"/>
        <v>-0.37</v>
      </c>
      <c r="AE308" s="718">
        <f t="shared" si="159"/>
        <v>-0.37</v>
      </c>
      <c r="AF308" s="718">
        <f t="shared" si="159"/>
        <v>-0.37</v>
      </c>
      <c r="AG308" s="718">
        <f t="shared" si="159"/>
        <v>-0.37</v>
      </c>
      <c r="AH308" s="718">
        <f t="shared" si="159"/>
        <v>-0.37</v>
      </c>
      <c r="AI308" s="718">
        <f t="shared" si="159"/>
        <v>-0.37</v>
      </c>
      <c r="AJ308" s="718">
        <f t="shared" si="159"/>
        <v>-0.37</v>
      </c>
      <c r="AK308" s="718">
        <f t="shared" si="159"/>
        <v>-0.37</v>
      </c>
      <c r="AL308" s="718"/>
      <c r="AM308" s="718"/>
      <c r="AN308" s="718"/>
      <c r="AO308" s="718"/>
      <c r="AP308" s="718"/>
      <c r="AQ308" s="718"/>
      <c r="AR308" s="718"/>
      <c r="AS308" s="718"/>
      <c r="AT308" s="718"/>
      <c r="AU308" s="718"/>
      <c r="AV308" s="718"/>
      <c r="AW308" s="718"/>
      <c r="AX308" s="718"/>
      <c r="AY308" s="718"/>
      <c r="AZ308" s="718"/>
      <c r="BA308" s="718"/>
      <c r="BB308" s="718"/>
      <c r="BC308" s="718"/>
      <c r="BD308" s="718"/>
      <c r="BE308" s="718"/>
      <c r="BF308" s="718"/>
      <c r="BG308" s="718"/>
      <c r="BH308" s="718"/>
      <c r="BI308" s="718"/>
      <c r="BJ308" s="718"/>
      <c r="BK308" s="718"/>
      <c r="BL308" s="718"/>
      <c r="BM308" s="718"/>
      <c r="BN308" s="718"/>
      <c r="BO308" s="718"/>
      <c r="BP308" s="718"/>
      <c r="BQ308" s="718"/>
      <c r="BR308" s="718"/>
      <c r="BS308" s="718"/>
      <c r="BT308" s="718"/>
      <c r="BU308" s="718"/>
      <c r="BV308" s="718"/>
      <c r="BW308" s="718"/>
      <c r="BX308" s="718"/>
      <c r="BY308" s="718"/>
      <c r="BZ308" s="718"/>
      <c r="CA308" s="718"/>
      <c r="CB308" s="718"/>
      <c r="CC308" s="718"/>
      <c r="CD308" s="718"/>
      <c r="CE308" s="718"/>
      <c r="CF308" s="718"/>
      <c r="CG308" s="718"/>
      <c r="CH308" s="718"/>
      <c r="CI308" s="719"/>
      <c r="CK308" s="1296"/>
    </row>
    <row r="309" spans="2:89" x14ac:dyDescent="0.2">
      <c r="B309" s="940" t="s">
        <v>691</v>
      </c>
      <c r="C309" s="901" t="s">
        <v>462</v>
      </c>
      <c r="D309" s="907" t="s">
        <v>692</v>
      </c>
      <c r="E309" s="938" t="s">
        <v>236</v>
      </c>
      <c r="F309" s="939">
        <v>2</v>
      </c>
      <c r="G309" s="569">
        <f>G212+G281+G282+G283+G284</f>
        <v>0</v>
      </c>
      <c r="H309" s="569">
        <f t="shared" ref="H309:AK309" si="160">H212+H281+H282+H283+H284</f>
        <v>0</v>
      </c>
      <c r="I309" s="569">
        <f t="shared" si="160"/>
        <v>100.93912312001967</v>
      </c>
      <c r="J309" s="569">
        <f t="shared" si="160"/>
        <v>100.8157828579651</v>
      </c>
      <c r="K309" s="569">
        <f t="shared" si="160"/>
        <v>100.80046866469247</v>
      </c>
      <c r="L309" s="569">
        <f t="shared" si="160"/>
        <v>100.75373865650907</v>
      </c>
      <c r="M309" s="569">
        <f t="shared" si="160"/>
        <v>100.65199174475443</v>
      </c>
      <c r="N309" s="569">
        <f t="shared" si="160"/>
        <v>100.5475198329267</v>
      </c>
      <c r="O309" s="569">
        <f t="shared" si="160"/>
        <v>100.36221591662398</v>
      </c>
      <c r="P309" s="569">
        <f t="shared" si="160"/>
        <v>100.18375199549322</v>
      </c>
      <c r="Q309" s="569">
        <f t="shared" si="160"/>
        <v>100.06328113993453</v>
      </c>
      <c r="R309" s="569">
        <f t="shared" si="160"/>
        <v>97.519039941420132</v>
      </c>
      <c r="S309" s="569">
        <f t="shared" si="160"/>
        <v>97.502436919133785</v>
      </c>
      <c r="T309" s="569">
        <f t="shared" si="160"/>
        <v>95.474387610250673</v>
      </c>
      <c r="U309" s="569">
        <f t="shared" si="160"/>
        <v>95.439858162729763</v>
      </c>
      <c r="V309" s="569">
        <f t="shared" si="160"/>
        <v>95.418057465835162</v>
      </c>
      <c r="W309" s="569">
        <f t="shared" si="160"/>
        <v>95.401904047498192</v>
      </c>
      <c r="X309" s="569">
        <f t="shared" si="160"/>
        <v>95.386221877187978</v>
      </c>
      <c r="Y309" s="569">
        <f t="shared" si="160"/>
        <v>95.370730066186852</v>
      </c>
      <c r="Z309" s="569">
        <f t="shared" si="160"/>
        <v>95.356550722212774</v>
      </c>
      <c r="AA309" s="569">
        <f t="shared" si="160"/>
        <v>95.343113841461957</v>
      </c>
      <c r="AB309" s="569">
        <f t="shared" si="160"/>
        <v>95.327136035230296</v>
      </c>
      <c r="AC309" s="569">
        <f t="shared" si="160"/>
        <v>95.313868052863455</v>
      </c>
      <c r="AD309" s="569">
        <f t="shared" si="160"/>
        <v>95.301802097209233</v>
      </c>
      <c r="AE309" s="569">
        <f t="shared" si="160"/>
        <v>95.300130008020489</v>
      </c>
      <c r="AF309" s="569">
        <f t="shared" si="160"/>
        <v>95.298507031796177</v>
      </c>
      <c r="AG309" s="569">
        <f t="shared" si="160"/>
        <v>95.296729040530664</v>
      </c>
      <c r="AH309" s="569">
        <f t="shared" si="160"/>
        <v>95.29553306827755</v>
      </c>
      <c r="AI309" s="569">
        <f t="shared" si="160"/>
        <v>95.294158134153037</v>
      </c>
      <c r="AJ309" s="569">
        <f t="shared" si="160"/>
        <v>95.292962847986786</v>
      </c>
      <c r="AK309" s="569">
        <f t="shared" si="160"/>
        <v>95.2911990607859</v>
      </c>
      <c r="AL309" s="569"/>
      <c r="AM309" s="569"/>
      <c r="AN309" s="569"/>
      <c r="AO309" s="569"/>
      <c r="AP309" s="569"/>
      <c r="AQ309" s="569"/>
      <c r="AR309" s="569"/>
      <c r="AS309" s="569"/>
      <c r="AT309" s="569"/>
      <c r="AU309" s="569"/>
      <c r="AV309" s="569"/>
      <c r="AW309" s="569"/>
      <c r="AX309" s="569"/>
      <c r="AY309" s="569"/>
      <c r="AZ309" s="569"/>
      <c r="BA309" s="569"/>
      <c r="BB309" s="569"/>
      <c r="BC309" s="569"/>
      <c r="BD309" s="569"/>
      <c r="BE309" s="569"/>
      <c r="BF309" s="569"/>
      <c r="BG309" s="569"/>
      <c r="BH309" s="569"/>
      <c r="BI309" s="569"/>
      <c r="BJ309" s="569"/>
      <c r="BK309" s="569"/>
      <c r="BL309" s="569"/>
      <c r="BM309" s="569"/>
      <c r="BN309" s="569"/>
      <c r="BO309" s="569"/>
      <c r="BP309" s="569"/>
      <c r="BQ309" s="569"/>
      <c r="BR309" s="569"/>
      <c r="BS309" s="569"/>
      <c r="BT309" s="569"/>
      <c r="BU309" s="569"/>
      <c r="BV309" s="569"/>
      <c r="BW309" s="569"/>
      <c r="BX309" s="569"/>
      <c r="BY309" s="569"/>
      <c r="BZ309" s="569"/>
      <c r="CA309" s="569"/>
      <c r="CB309" s="569"/>
      <c r="CC309" s="569"/>
      <c r="CD309" s="569"/>
      <c r="CE309" s="569"/>
      <c r="CF309" s="569"/>
      <c r="CG309" s="569"/>
      <c r="CH309" s="569"/>
      <c r="CI309" s="719"/>
      <c r="CK309" s="1296"/>
    </row>
    <row r="310" spans="2:89" ht="28.5" x14ac:dyDescent="0.2">
      <c r="B310" s="940" t="s">
        <v>693</v>
      </c>
      <c r="C310" s="901" t="s">
        <v>694</v>
      </c>
      <c r="D310" s="907" t="s">
        <v>695</v>
      </c>
      <c r="E310" s="938" t="s">
        <v>236</v>
      </c>
      <c r="F310" s="939">
        <v>2</v>
      </c>
      <c r="G310" s="569">
        <f t="shared" ref="G310:AK310" si="161">G220+G285+G286</f>
        <v>0</v>
      </c>
      <c r="H310" s="569">
        <f t="shared" si="161"/>
        <v>0</v>
      </c>
      <c r="I310" s="569">
        <f t="shared" si="161"/>
        <v>12.13</v>
      </c>
      <c r="J310" s="569">
        <f t="shared" si="161"/>
        <v>12.13</v>
      </c>
      <c r="K310" s="569">
        <f t="shared" si="161"/>
        <v>12.13</v>
      </c>
      <c r="L310" s="569">
        <f t="shared" si="161"/>
        <v>12.13</v>
      </c>
      <c r="M310" s="718">
        <f t="shared" si="161"/>
        <v>12.13</v>
      </c>
      <c r="N310" s="718">
        <f t="shared" si="161"/>
        <v>12.13</v>
      </c>
      <c r="O310" s="718">
        <f t="shared" si="161"/>
        <v>12.13</v>
      </c>
      <c r="P310" s="718">
        <f t="shared" si="161"/>
        <v>12.13</v>
      </c>
      <c r="Q310" s="718">
        <f t="shared" si="161"/>
        <v>12.13</v>
      </c>
      <c r="R310" s="718">
        <f t="shared" si="161"/>
        <v>12.13</v>
      </c>
      <c r="S310" s="718">
        <f t="shared" si="161"/>
        <v>12.13</v>
      </c>
      <c r="T310" s="718">
        <f t="shared" si="161"/>
        <v>12.13</v>
      </c>
      <c r="U310" s="718">
        <f t="shared" si="161"/>
        <v>12.13</v>
      </c>
      <c r="V310" s="718">
        <f t="shared" si="161"/>
        <v>12.13</v>
      </c>
      <c r="W310" s="718">
        <f t="shared" si="161"/>
        <v>12.13</v>
      </c>
      <c r="X310" s="718">
        <f t="shared" si="161"/>
        <v>12.13</v>
      </c>
      <c r="Y310" s="718">
        <f t="shared" si="161"/>
        <v>12.13</v>
      </c>
      <c r="Z310" s="718">
        <f t="shared" si="161"/>
        <v>12.13</v>
      </c>
      <c r="AA310" s="718">
        <f t="shared" si="161"/>
        <v>12.13</v>
      </c>
      <c r="AB310" s="718">
        <f t="shared" si="161"/>
        <v>12.13</v>
      </c>
      <c r="AC310" s="718">
        <f t="shared" si="161"/>
        <v>12.13</v>
      </c>
      <c r="AD310" s="718">
        <f t="shared" si="161"/>
        <v>12.13</v>
      </c>
      <c r="AE310" s="718">
        <f t="shared" si="161"/>
        <v>12.13</v>
      </c>
      <c r="AF310" s="718">
        <f t="shared" si="161"/>
        <v>12.13</v>
      </c>
      <c r="AG310" s="718">
        <f t="shared" si="161"/>
        <v>12.13</v>
      </c>
      <c r="AH310" s="718">
        <f t="shared" si="161"/>
        <v>12.13</v>
      </c>
      <c r="AI310" s="718">
        <f t="shared" si="161"/>
        <v>12.13</v>
      </c>
      <c r="AJ310" s="718">
        <f t="shared" si="161"/>
        <v>12.13</v>
      </c>
      <c r="AK310" s="718">
        <f t="shared" si="161"/>
        <v>12.13</v>
      </c>
      <c r="AL310" s="718"/>
      <c r="AM310" s="718"/>
      <c r="AN310" s="718"/>
      <c r="AO310" s="718"/>
      <c r="AP310" s="718"/>
      <c r="AQ310" s="718"/>
      <c r="AR310" s="718"/>
      <c r="AS310" s="718"/>
      <c r="AT310" s="718"/>
      <c r="AU310" s="718"/>
      <c r="AV310" s="718"/>
      <c r="AW310" s="718"/>
      <c r="AX310" s="718"/>
      <c r="AY310" s="718"/>
      <c r="AZ310" s="718"/>
      <c r="BA310" s="718"/>
      <c r="BB310" s="718"/>
      <c r="BC310" s="718"/>
      <c r="BD310" s="718"/>
      <c r="BE310" s="718"/>
      <c r="BF310" s="718"/>
      <c r="BG310" s="718"/>
      <c r="BH310" s="718"/>
      <c r="BI310" s="718"/>
      <c r="BJ310" s="718"/>
      <c r="BK310" s="718"/>
      <c r="BL310" s="718"/>
      <c r="BM310" s="718"/>
      <c r="BN310" s="718"/>
      <c r="BO310" s="718"/>
      <c r="BP310" s="718"/>
      <c r="BQ310" s="718"/>
      <c r="BR310" s="718"/>
      <c r="BS310" s="718"/>
      <c r="BT310" s="718"/>
      <c r="BU310" s="718"/>
      <c r="BV310" s="718"/>
      <c r="BW310" s="718"/>
      <c r="BX310" s="718"/>
      <c r="BY310" s="718"/>
      <c r="BZ310" s="718"/>
      <c r="CA310" s="718"/>
      <c r="CB310" s="718"/>
      <c r="CC310" s="718"/>
      <c r="CD310" s="718"/>
      <c r="CE310" s="718"/>
      <c r="CF310" s="718"/>
      <c r="CG310" s="718"/>
      <c r="CH310" s="718"/>
      <c r="CI310" s="719"/>
      <c r="CK310" s="1296"/>
    </row>
    <row r="311" spans="2:89" x14ac:dyDescent="0.2">
      <c r="B311" s="940" t="s">
        <v>696</v>
      </c>
      <c r="C311" s="901" t="s">
        <v>483</v>
      </c>
      <c r="D311" s="907" t="s">
        <v>697</v>
      </c>
      <c r="E311" s="938" t="s">
        <v>236</v>
      </c>
      <c r="F311" s="939">
        <v>2</v>
      </c>
      <c r="G311" s="569">
        <f t="shared" ref="G311:AK311" si="162">G221+G287</f>
        <v>0</v>
      </c>
      <c r="H311" s="569">
        <f t="shared" si="162"/>
        <v>0</v>
      </c>
      <c r="I311" s="569">
        <f t="shared" si="162"/>
        <v>7.51</v>
      </c>
      <c r="J311" s="569">
        <f t="shared" si="162"/>
        <v>7.51</v>
      </c>
      <c r="K311" s="569">
        <f t="shared" si="162"/>
        <v>7.51</v>
      </c>
      <c r="L311" s="569">
        <f t="shared" si="162"/>
        <v>7.51</v>
      </c>
      <c r="M311" s="718">
        <f>M221+M287</f>
        <v>7.51</v>
      </c>
      <c r="N311" s="718">
        <f t="shared" si="162"/>
        <v>7.51</v>
      </c>
      <c r="O311" s="718">
        <f t="shared" si="162"/>
        <v>7.51</v>
      </c>
      <c r="P311" s="718">
        <f t="shared" si="162"/>
        <v>7.51</v>
      </c>
      <c r="Q311" s="718">
        <f t="shared" si="162"/>
        <v>7.51</v>
      </c>
      <c r="R311" s="718">
        <f t="shared" si="162"/>
        <v>7.51</v>
      </c>
      <c r="S311" s="718">
        <f t="shared" si="162"/>
        <v>7.51</v>
      </c>
      <c r="T311" s="718">
        <f t="shared" si="162"/>
        <v>7.51</v>
      </c>
      <c r="U311" s="718">
        <f t="shared" si="162"/>
        <v>7.51</v>
      </c>
      <c r="V311" s="718">
        <f t="shared" si="162"/>
        <v>7.51</v>
      </c>
      <c r="W311" s="718">
        <f t="shared" si="162"/>
        <v>7.51</v>
      </c>
      <c r="X311" s="718">
        <f t="shared" si="162"/>
        <v>7.51</v>
      </c>
      <c r="Y311" s="718">
        <f t="shared" si="162"/>
        <v>7.51</v>
      </c>
      <c r="Z311" s="718">
        <f t="shared" si="162"/>
        <v>7.51</v>
      </c>
      <c r="AA311" s="718">
        <f t="shared" si="162"/>
        <v>7.51</v>
      </c>
      <c r="AB311" s="718">
        <f t="shared" si="162"/>
        <v>7.51</v>
      </c>
      <c r="AC311" s="718">
        <f t="shared" si="162"/>
        <v>7.51</v>
      </c>
      <c r="AD311" s="718">
        <f t="shared" si="162"/>
        <v>7.51</v>
      </c>
      <c r="AE311" s="718">
        <f t="shared" si="162"/>
        <v>7.51</v>
      </c>
      <c r="AF311" s="718">
        <f t="shared" si="162"/>
        <v>7.51</v>
      </c>
      <c r="AG311" s="718">
        <f t="shared" si="162"/>
        <v>7.51</v>
      </c>
      <c r="AH311" s="718">
        <f t="shared" si="162"/>
        <v>7.51</v>
      </c>
      <c r="AI311" s="718">
        <f t="shared" si="162"/>
        <v>7.51</v>
      </c>
      <c r="AJ311" s="718">
        <f t="shared" si="162"/>
        <v>7.51</v>
      </c>
      <c r="AK311" s="718">
        <f t="shared" si="162"/>
        <v>7.51</v>
      </c>
      <c r="AL311" s="718"/>
      <c r="AM311" s="718"/>
      <c r="AN311" s="718"/>
      <c r="AO311" s="718"/>
      <c r="AP311" s="718"/>
      <c r="AQ311" s="718"/>
      <c r="AR311" s="718"/>
      <c r="AS311" s="718"/>
      <c r="AT311" s="718"/>
      <c r="AU311" s="718"/>
      <c r="AV311" s="718"/>
      <c r="AW311" s="718"/>
      <c r="AX311" s="718"/>
      <c r="AY311" s="718"/>
      <c r="AZ311" s="718"/>
      <c r="BA311" s="718"/>
      <c r="BB311" s="718"/>
      <c r="BC311" s="718"/>
      <c r="BD311" s="718"/>
      <c r="BE311" s="718"/>
      <c r="BF311" s="718"/>
      <c r="BG311" s="718"/>
      <c r="BH311" s="718"/>
      <c r="BI311" s="718"/>
      <c r="BJ311" s="718"/>
      <c r="BK311" s="718"/>
      <c r="BL311" s="718"/>
      <c r="BM311" s="718"/>
      <c r="BN311" s="718"/>
      <c r="BO311" s="718"/>
      <c r="BP311" s="718"/>
      <c r="BQ311" s="718"/>
      <c r="BR311" s="718"/>
      <c r="BS311" s="718"/>
      <c r="BT311" s="718"/>
      <c r="BU311" s="718"/>
      <c r="BV311" s="718"/>
      <c r="BW311" s="718"/>
      <c r="BX311" s="718"/>
      <c r="BY311" s="718"/>
      <c r="BZ311" s="718"/>
      <c r="CA311" s="718"/>
      <c r="CB311" s="718"/>
      <c r="CC311" s="718"/>
      <c r="CD311" s="718"/>
      <c r="CE311" s="718"/>
      <c r="CF311" s="718"/>
      <c r="CG311" s="718"/>
      <c r="CH311" s="718"/>
      <c r="CI311" s="719"/>
      <c r="CK311" s="1296"/>
    </row>
    <row r="312" spans="2:89" x14ac:dyDescent="0.2">
      <c r="B312" s="941" t="s">
        <v>698</v>
      </c>
      <c r="C312" s="942" t="s">
        <v>387</v>
      </c>
      <c r="D312" s="942" t="s">
        <v>699</v>
      </c>
      <c r="E312" s="943" t="s">
        <v>236</v>
      </c>
      <c r="F312" s="939">
        <v>2</v>
      </c>
      <c r="G312" s="569">
        <f>(G309)-(G310+G311)</f>
        <v>0</v>
      </c>
      <c r="H312" s="569">
        <f t="shared" ref="H312:AK312" si="163">(H309)-(H310+H311)</f>
        <v>0</v>
      </c>
      <c r="I312" s="569">
        <f t="shared" si="163"/>
        <v>81.299123120019672</v>
      </c>
      <c r="J312" s="569">
        <f t="shared" si="163"/>
        <v>81.175782857965103</v>
      </c>
      <c r="K312" s="569">
        <f t="shared" si="163"/>
        <v>81.160468664692473</v>
      </c>
      <c r="L312" s="569">
        <f t="shared" si="163"/>
        <v>81.113738656509071</v>
      </c>
      <c r="M312" s="569">
        <f t="shared" si="163"/>
        <v>81.011991744754425</v>
      </c>
      <c r="N312" s="569">
        <f t="shared" si="163"/>
        <v>80.907519832926695</v>
      </c>
      <c r="O312" s="569">
        <f t="shared" si="163"/>
        <v>80.722215916623981</v>
      </c>
      <c r="P312" s="569">
        <f t="shared" si="163"/>
        <v>80.543751995493224</v>
      </c>
      <c r="Q312" s="569">
        <f t="shared" si="163"/>
        <v>80.423281139934531</v>
      </c>
      <c r="R312" s="569">
        <f t="shared" si="163"/>
        <v>77.879039941420132</v>
      </c>
      <c r="S312" s="569">
        <f t="shared" si="163"/>
        <v>77.862436919133785</v>
      </c>
      <c r="T312" s="569">
        <f t="shared" si="163"/>
        <v>75.834387610250673</v>
      </c>
      <c r="U312" s="569">
        <f t="shared" si="163"/>
        <v>75.799858162729763</v>
      </c>
      <c r="V312" s="569">
        <f t="shared" si="163"/>
        <v>75.778057465835161</v>
      </c>
      <c r="W312" s="569">
        <f t="shared" si="163"/>
        <v>75.761904047498192</v>
      </c>
      <c r="X312" s="569">
        <f t="shared" si="163"/>
        <v>75.746221877187978</v>
      </c>
      <c r="Y312" s="569">
        <f t="shared" si="163"/>
        <v>75.730730066186851</v>
      </c>
      <c r="Z312" s="569">
        <f t="shared" si="163"/>
        <v>75.716550722212773</v>
      </c>
      <c r="AA312" s="569">
        <f t="shared" si="163"/>
        <v>75.703113841461956</v>
      </c>
      <c r="AB312" s="569">
        <f t="shared" si="163"/>
        <v>75.687136035230296</v>
      </c>
      <c r="AC312" s="569">
        <f t="shared" si="163"/>
        <v>75.673868052863455</v>
      </c>
      <c r="AD312" s="569">
        <f t="shared" si="163"/>
        <v>75.661802097209232</v>
      </c>
      <c r="AE312" s="569">
        <f t="shared" si="163"/>
        <v>75.660130008020488</v>
      </c>
      <c r="AF312" s="569">
        <f t="shared" si="163"/>
        <v>75.658507031796177</v>
      </c>
      <c r="AG312" s="569">
        <f t="shared" si="163"/>
        <v>75.656729040530664</v>
      </c>
      <c r="AH312" s="569">
        <f t="shared" si="163"/>
        <v>75.655533068277549</v>
      </c>
      <c r="AI312" s="569">
        <f t="shared" si="163"/>
        <v>75.654158134153036</v>
      </c>
      <c r="AJ312" s="569">
        <f t="shared" si="163"/>
        <v>75.652962847986785</v>
      </c>
      <c r="AK312" s="569">
        <f t="shared" si="163"/>
        <v>75.651199060785899</v>
      </c>
      <c r="AL312" s="569"/>
      <c r="AM312" s="569"/>
      <c r="AN312" s="569"/>
      <c r="AO312" s="569"/>
      <c r="AP312" s="569"/>
      <c r="AQ312" s="569"/>
      <c r="AR312" s="569"/>
      <c r="AS312" s="569"/>
      <c r="AT312" s="569"/>
      <c r="AU312" s="569"/>
      <c r="AV312" s="569"/>
      <c r="AW312" s="569"/>
      <c r="AX312" s="569"/>
      <c r="AY312" s="569"/>
      <c r="AZ312" s="569"/>
      <c r="BA312" s="569"/>
      <c r="BB312" s="569"/>
      <c r="BC312" s="569"/>
      <c r="BD312" s="569"/>
      <c r="BE312" s="569"/>
      <c r="BF312" s="569"/>
      <c r="BG312" s="569"/>
      <c r="BH312" s="569"/>
      <c r="BI312" s="569"/>
      <c r="BJ312" s="569"/>
      <c r="BK312" s="569"/>
      <c r="BL312" s="569"/>
      <c r="BM312" s="569"/>
      <c r="BN312" s="569"/>
      <c r="BO312" s="569"/>
      <c r="BP312" s="569"/>
      <c r="BQ312" s="569"/>
      <c r="BR312" s="569"/>
      <c r="BS312" s="569"/>
      <c r="BT312" s="569"/>
      <c r="BU312" s="569"/>
      <c r="BV312" s="569"/>
      <c r="BW312" s="569"/>
      <c r="BX312" s="569"/>
      <c r="BY312" s="569"/>
      <c r="BZ312" s="569"/>
      <c r="CA312" s="569"/>
      <c r="CB312" s="569"/>
      <c r="CC312" s="569"/>
      <c r="CD312" s="569"/>
      <c r="CE312" s="569"/>
      <c r="CF312" s="569"/>
      <c r="CG312" s="569"/>
      <c r="CH312" s="569"/>
      <c r="CI312" s="719"/>
      <c r="CK312" s="1296"/>
    </row>
    <row r="313" spans="2:89" ht="34.5" customHeight="1" thickBot="1" x14ac:dyDescent="0.25">
      <c r="B313" s="944" t="s">
        <v>700</v>
      </c>
      <c r="C313" s="945" t="s">
        <v>390</v>
      </c>
      <c r="D313" s="945" t="s">
        <v>701</v>
      </c>
      <c r="E313" s="946" t="s">
        <v>236</v>
      </c>
      <c r="F313" s="947">
        <v>2</v>
      </c>
      <c r="G313" s="729">
        <f t="shared" ref="G313:AK313" si="164">G312+SUM(G305:G308)</f>
        <v>0</v>
      </c>
      <c r="H313" s="729">
        <f t="shared" si="164"/>
        <v>0</v>
      </c>
      <c r="I313" s="729">
        <f t="shared" si="164"/>
        <v>78.899123120019667</v>
      </c>
      <c r="J313" s="729">
        <f t="shared" si="164"/>
        <v>78.775782857965098</v>
      </c>
      <c r="K313" s="729">
        <f t="shared" si="164"/>
        <v>78.760468664692468</v>
      </c>
      <c r="L313" s="729">
        <f t="shared" si="164"/>
        <v>78.713738656509065</v>
      </c>
      <c r="M313" s="729">
        <f t="shared" si="164"/>
        <v>78.61199174475442</v>
      </c>
      <c r="N313" s="729">
        <f t="shared" si="164"/>
        <v>78.50751983292669</v>
      </c>
      <c r="O313" s="729">
        <f>O312+SUM(O305:O308)</f>
        <v>78.322215916623975</v>
      </c>
      <c r="P313" s="729">
        <f t="shared" si="164"/>
        <v>78.143751995493218</v>
      </c>
      <c r="Q313" s="729">
        <f t="shared" si="164"/>
        <v>78.023281139934525</v>
      </c>
      <c r="R313" s="729">
        <f t="shared" si="164"/>
        <v>75.479039941420126</v>
      </c>
      <c r="S313" s="729">
        <f t="shared" si="164"/>
        <v>75.462436919133779</v>
      </c>
      <c r="T313" s="729">
        <f t="shared" si="164"/>
        <v>73.225823500701523</v>
      </c>
      <c r="U313" s="729">
        <f t="shared" si="164"/>
        <v>73.251901136994604</v>
      </c>
      <c r="V313" s="729">
        <f t="shared" si="164"/>
        <v>73.31266528907129</v>
      </c>
      <c r="W313" s="729">
        <f t="shared" si="164"/>
        <v>73.35631886269671</v>
      </c>
      <c r="X313" s="729">
        <f t="shared" si="164"/>
        <v>73.346221877187972</v>
      </c>
      <c r="Y313" s="729">
        <f t="shared" si="164"/>
        <v>73.330730066186845</v>
      </c>
      <c r="Z313" s="729">
        <f t="shared" si="164"/>
        <v>73.316550722212767</v>
      </c>
      <c r="AA313" s="729">
        <f t="shared" si="164"/>
        <v>73.303113841461951</v>
      </c>
      <c r="AB313" s="729">
        <f t="shared" si="164"/>
        <v>73.28713603523029</v>
      </c>
      <c r="AC313" s="729">
        <f t="shared" si="164"/>
        <v>73.273868052863449</v>
      </c>
      <c r="AD313" s="729">
        <f t="shared" si="164"/>
        <v>73.261802097209227</v>
      </c>
      <c r="AE313" s="729">
        <f t="shared" si="164"/>
        <v>73.260130008020482</v>
      </c>
      <c r="AF313" s="729">
        <f t="shared" si="164"/>
        <v>73.258507031796171</v>
      </c>
      <c r="AG313" s="729">
        <f t="shared" si="164"/>
        <v>73.256729040530658</v>
      </c>
      <c r="AH313" s="729">
        <f t="shared" si="164"/>
        <v>73.255533068277543</v>
      </c>
      <c r="AI313" s="729">
        <f t="shared" si="164"/>
        <v>73.25415813415303</v>
      </c>
      <c r="AJ313" s="729">
        <f t="shared" si="164"/>
        <v>73.25296284798678</v>
      </c>
      <c r="AK313" s="729">
        <f t="shared" si="164"/>
        <v>73.251199060785893</v>
      </c>
      <c r="AL313" s="729"/>
      <c r="AM313" s="729"/>
      <c r="AN313" s="729"/>
      <c r="AO313" s="729"/>
      <c r="AP313" s="729"/>
      <c r="AQ313" s="729"/>
      <c r="AR313" s="729"/>
      <c r="AS313" s="729"/>
      <c r="AT313" s="729"/>
      <c r="AU313" s="729"/>
      <c r="AV313" s="729"/>
      <c r="AW313" s="729"/>
      <c r="AX313" s="729"/>
      <c r="AY313" s="729"/>
      <c r="AZ313" s="729"/>
      <c r="BA313" s="729"/>
      <c r="BB313" s="729"/>
      <c r="BC313" s="729"/>
      <c r="BD313" s="729"/>
      <c r="BE313" s="729"/>
      <c r="BF313" s="729"/>
      <c r="BG313" s="729"/>
      <c r="BH313" s="729"/>
      <c r="BI313" s="729"/>
      <c r="BJ313" s="729"/>
      <c r="BK313" s="729"/>
      <c r="BL313" s="729"/>
      <c r="BM313" s="729"/>
      <c r="BN313" s="729"/>
      <c r="BO313" s="729"/>
      <c r="BP313" s="729"/>
      <c r="BQ313" s="729"/>
      <c r="BR313" s="729"/>
      <c r="BS313" s="729"/>
      <c r="BT313" s="729"/>
      <c r="BU313" s="729"/>
      <c r="BV313" s="729"/>
      <c r="BW313" s="729"/>
      <c r="BX313" s="729"/>
      <c r="BY313" s="729"/>
      <c r="BZ313" s="729"/>
      <c r="CA313" s="729"/>
      <c r="CB313" s="729"/>
      <c r="CC313" s="729"/>
      <c r="CD313" s="729"/>
      <c r="CE313" s="729"/>
      <c r="CF313" s="729"/>
      <c r="CG313" s="729"/>
      <c r="CH313" s="729"/>
      <c r="CI313" s="729"/>
      <c r="CK313" s="1296"/>
    </row>
    <row r="314" spans="2:89" x14ac:dyDescent="0.2">
      <c r="B314" s="948" t="s">
        <v>702</v>
      </c>
      <c r="C314" s="949" t="s">
        <v>489</v>
      </c>
      <c r="D314" s="950" t="s">
        <v>703</v>
      </c>
      <c r="E314" s="951" t="s">
        <v>236</v>
      </c>
      <c r="F314" s="952">
        <v>2</v>
      </c>
      <c r="G314" s="735">
        <f t="shared" ref="G314:AK314" si="165">G224+G288</f>
        <v>0</v>
      </c>
      <c r="H314" s="735">
        <f t="shared" si="165"/>
        <v>0</v>
      </c>
      <c r="I314" s="735">
        <f t="shared" si="165"/>
        <v>11.594410041915742</v>
      </c>
      <c r="J314" s="735">
        <f t="shared" si="165"/>
        <v>14.65029273603303</v>
      </c>
      <c r="K314" s="735">
        <f t="shared" si="165"/>
        <v>16.017974693817948</v>
      </c>
      <c r="L314" s="735">
        <f t="shared" si="165"/>
        <v>16.766440566825349</v>
      </c>
      <c r="M314" s="736">
        <f t="shared" si="165"/>
        <v>17.375890669592245</v>
      </c>
      <c r="N314" s="736">
        <f t="shared" si="165"/>
        <v>17.524870789489995</v>
      </c>
      <c r="O314" s="736">
        <f t="shared" si="165"/>
        <v>19.595033435148903</v>
      </c>
      <c r="P314" s="736">
        <f t="shared" si="165"/>
        <v>19.581268670360021</v>
      </c>
      <c r="Q314" s="736">
        <f t="shared" si="165"/>
        <v>19.563049969990015</v>
      </c>
      <c r="R314" s="736">
        <f t="shared" si="165"/>
        <v>19.483215359416803</v>
      </c>
      <c r="S314" s="736">
        <f t="shared" si="165"/>
        <v>19.398603360338438</v>
      </c>
      <c r="T314" s="736">
        <f t="shared" si="165"/>
        <v>19.313710016875312</v>
      </c>
      <c r="U314" s="736">
        <f t="shared" si="165"/>
        <v>19.228419156810585</v>
      </c>
      <c r="V314" s="736">
        <f t="shared" si="165"/>
        <v>19.142599881017411</v>
      </c>
      <c r="W314" s="736">
        <f t="shared" si="165"/>
        <v>19.06355243344116</v>
      </c>
      <c r="X314" s="736">
        <f t="shared" si="165"/>
        <v>18.982824847537778</v>
      </c>
      <c r="Y314" s="736">
        <f t="shared" si="165"/>
        <v>18.90137690886317</v>
      </c>
      <c r="Z314" s="736">
        <f t="shared" si="165"/>
        <v>18.945509739601199</v>
      </c>
      <c r="AA314" s="736">
        <f t="shared" si="165"/>
        <v>18.989287864024902</v>
      </c>
      <c r="AB314" s="736">
        <f t="shared" si="165"/>
        <v>19.032922152315511</v>
      </c>
      <c r="AC314" s="736">
        <f t="shared" si="165"/>
        <v>19.075418376487256</v>
      </c>
      <c r="AD314" s="736">
        <f t="shared" si="165"/>
        <v>19.117102761829241</v>
      </c>
      <c r="AE314" s="736">
        <f t="shared" si="165"/>
        <v>19.157931982847035</v>
      </c>
      <c r="AF314" s="736">
        <f t="shared" si="165"/>
        <v>19.19787858712349</v>
      </c>
      <c r="AG314" s="736">
        <f t="shared" si="165"/>
        <v>19.236923714442213</v>
      </c>
      <c r="AH314" s="736">
        <f t="shared" si="165"/>
        <v>19.275224401719207</v>
      </c>
      <c r="AI314" s="736">
        <f t="shared" si="165"/>
        <v>19.312875362301597</v>
      </c>
      <c r="AJ314" s="736">
        <f t="shared" si="165"/>
        <v>19.349889807112184</v>
      </c>
      <c r="AK314" s="736">
        <f t="shared" si="165"/>
        <v>19.386259577221384</v>
      </c>
      <c r="AL314" s="736"/>
      <c r="AM314" s="736"/>
      <c r="AN314" s="736"/>
      <c r="AO314" s="736"/>
      <c r="AP314" s="736"/>
      <c r="AQ314" s="736"/>
      <c r="AR314" s="736"/>
      <c r="AS314" s="736"/>
      <c r="AT314" s="736"/>
      <c r="AU314" s="736"/>
      <c r="AV314" s="736"/>
      <c r="AW314" s="736"/>
      <c r="AX314" s="736"/>
      <c r="AY314" s="736"/>
      <c r="AZ314" s="736"/>
      <c r="BA314" s="736"/>
      <c r="BB314" s="736"/>
      <c r="BC314" s="736"/>
      <c r="BD314" s="736"/>
      <c r="BE314" s="736"/>
      <c r="BF314" s="736"/>
      <c r="BG314" s="736"/>
      <c r="BH314" s="736"/>
      <c r="BI314" s="736"/>
      <c r="BJ314" s="736"/>
      <c r="BK314" s="736"/>
      <c r="BL314" s="736"/>
      <c r="BM314" s="736"/>
      <c r="BN314" s="736"/>
      <c r="BO314" s="736"/>
      <c r="BP314" s="736"/>
      <c r="BQ314" s="736"/>
      <c r="BR314" s="736"/>
      <c r="BS314" s="736"/>
      <c r="BT314" s="736"/>
      <c r="BU314" s="736"/>
      <c r="BV314" s="736"/>
      <c r="BW314" s="736"/>
      <c r="BX314" s="736"/>
      <c r="BY314" s="736"/>
      <c r="BZ314" s="736"/>
      <c r="CA314" s="736"/>
      <c r="CB314" s="736"/>
      <c r="CC314" s="736"/>
      <c r="CD314" s="736"/>
      <c r="CE314" s="736"/>
      <c r="CF314" s="736"/>
      <c r="CG314" s="736"/>
      <c r="CH314" s="736"/>
      <c r="CI314" s="737"/>
      <c r="CK314" s="1296"/>
    </row>
    <row r="315" spans="2:89" x14ac:dyDescent="0.2">
      <c r="B315" s="953" t="s">
        <v>704</v>
      </c>
      <c r="C315" s="954" t="s">
        <v>705</v>
      </c>
      <c r="D315" s="955" t="s">
        <v>86</v>
      </c>
      <c r="E315" s="956" t="s">
        <v>236</v>
      </c>
      <c r="F315" s="957">
        <v>2</v>
      </c>
      <c r="G315" s="540"/>
      <c r="H315" s="1008"/>
      <c r="I315" s="1008">
        <v>0</v>
      </c>
      <c r="J315" s="1008">
        <v>0</v>
      </c>
      <c r="K315" s="1008">
        <v>0</v>
      </c>
      <c r="L315" s="1008">
        <v>0</v>
      </c>
      <c r="M315" s="1344">
        <v>0</v>
      </c>
      <c r="N315" s="1344">
        <v>0</v>
      </c>
      <c r="O315" s="1344">
        <v>0</v>
      </c>
      <c r="P315" s="1344">
        <v>0</v>
      </c>
      <c r="Q315" s="1344">
        <v>0</v>
      </c>
      <c r="R315" s="1344">
        <v>0</v>
      </c>
      <c r="S315" s="1344">
        <v>0</v>
      </c>
      <c r="T315" s="1344">
        <v>0</v>
      </c>
      <c r="U315" s="1344">
        <v>0</v>
      </c>
      <c r="V315" s="1344">
        <v>0</v>
      </c>
      <c r="W315" s="1344">
        <v>0</v>
      </c>
      <c r="X315" s="1344">
        <v>0</v>
      </c>
      <c r="Y315" s="1344">
        <v>0</v>
      </c>
      <c r="Z315" s="1344">
        <v>0</v>
      </c>
      <c r="AA315" s="1344">
        <v>0</v>
      </c>
      <c r="AB315" s="1344">
        <v>0</v>
      </c>
      <c r="AC315" s="1344">
        <v>0</v>
      </c>
      <c r="AD315" s="1344">
        <v>0</v>
      </c>
      <c r="AE315" s="1344">
        <v>0</v>
      </c>
      <c r="AF315" s="1344">
        <v>0</v>
      </c>
      <c r="AG315" s="1344">
        <v>0</v>
      </c>
      <c r="AH315" s="1344">
        <v>0</v>
      </c>
      <c r="AI315" s="1344">
        <v>0</v>
      </c>
      <c r="AJ315" s="1344">
        <v>0</v>
      </c>
      <c r="AK315" s="1344">
        <v>0</v>
      </c>
      <c r="AL315" s="1344"/>
      <c r="AM315" s="1344"/>
      <c r="AN315" s="1344"/>
      <c r="AO315" s="1344"/>
      <c r="AP315" s="1344"/>
      <c r="AQ315" s="1344"/>
      <c r="AR315" s="1344"/>
      <c r="AS315" s="1344"/>
      <c r="AT315" s="1344"/>
      <c r="AU315" s="1344"/>
      <c r="AV315" s="1344"/>
      <c r="AW315" s="1344"/>
      <c r="AX315" s="1344"/>
      <c r="AY315" s="1344"/>
      <c r="AZ315" s="1344"/>
      <c r="BA315" s="1344"/>
      <c r="BB315" s="1344"/>
      <c r="BC315" s="1344"/>
      <c r="BD315" s="1344"/>
      <c r="BE315" s="1344"/>
      <c r="BF315" s="1344"/>
      <c r="BG315" s="1344"/>
      <c r="BH315" s="1344"/>
      <c r="BI315" s="1344"/>
      <c r="BJ315" s="1344"/>
      <c r="BK315" s="1344"/>
      <c r="BL315" s="1344"/>
      <c r="BM315" s="1344"/>
      <c r="BN315" s="1344"/>
      <c r="BO315" s="1344"/>
      <c r="BP315" s="1344"/>
      <c r="BQ315" s="1344"/>
      <c r="BR315" s="1344"/>
      <c r="BS315" s="1344"/>
      <c r="BT315" s="1344"/>
      <c r="BU315" s="1344"/>
      <c r="BV315" s="1344"/>
      <c r="BW315" s="1344"/>
      <c r="BX315" s="1344"/>
      <c r="BY315" s="1344"/>
      <c r="BZ315" s="1344"/>
      <c r="CA315" s="1344"/>
      <c r="CB315" s="1344"/>
      <c r="CC315" s="1344"/>
      <c r="CD315" s="1344"/>
      <c r="CE315" s="1344"/>
      <c r="CF315" s="1344"/>
      <c r="CG315" s="1344"/>
      <c r="CH315" s="1344"/>
      <c r="CI315" s="1344"/>
      <c r="CK315" s="1296"/>
    </row>
    <row r="316" spans="2:89" x14ac:dyDescent="0.2">
      <c r="B316" s="953" t="s">
        <v>706</v>
      </c>
      <c r="C316" s="954" t="s">
        <v>493</v>
      </c>
      <c r="D316" s="955" t="s">
        <v>707</v>
      </c>
      <c r="E316" s="956" t="s">
        <v>236</v>
      </c>
      <c r="F316" s="957">
        <v>2</v>
      </c>
      <c r="G316" s="569">
        <f t="shared" ref="G316:AK318" si="166">G226+G289</f>
        <v>0</v>
      </c>
      <c r="H316" s="569">
        <f t="shared" si="166"/>
        <v>0</v>
      </c>
      <c r="I316" s="569">
        <f t="shared" si="166"/>
        <v>5.8633642871295341E-2</v>
      </c>
      <c r="J316" s="569">
        <f t="shared" si="166"/>
        <v>6.049951934306496E-2</v>
      </c>
      <c r="K316" s="569">
        <f t="shared" si="166"/>
        <v>5.9692865991587525E-2</v>
      </c>
      <c r="L316" s="569">
        <f t="shared" si="166"/>
        <v>3.5939893013429834E-2</v>
      </c>
      <c r="M316" s="718">
        <f t="shared" si="166"/>
        <v>1.6836612571998786E-2</v>
      </c>
      <c r="N316" s="718">
        <f t="shared" si="166"/>
        <v>1.6422803518102446E-2</v>
      </c>
      <c r="O316" s="718">
        <f t="shared" si="166"/>
        <v>1.6009365421577777E-2</v>
      </c>
      <c r="P316" s="718">
        <f t="shared" si="166"/>
        <v>1.5596298282424783E-2</v>
      </c>
      <c r="Q316" s="718">
        <f t="shared" si="166"/>
        <v>1.5183602100643463E-2</v>
      </c>
      <c r="R316" s="718">
        <f t="shared" si="166"/>
        <v>1.4771276876233818E-2</v>
      </c>
      <c r="S316" s="718">
        <f t="shared" si="166"/>
        <v>1.4359322609195846E-2</v>
      </c>
      <c r="T316" s="718">
        <f t="shared" si="166"/>
        <v>1.3947739299529549E-2</v>
      </c>
      <c r="U316" s="718">
        <f t="shared" si="166"/>
        <v>1.3536526947234923E-2</v>
      </c>
      <c r="V316" s="718">
        <f t="shared" si="166"/>
        <v>1.3530324913712383E-2</v>
      </c>
      <c r="W316" s="718">
        <f t="shared" si="166"/>
        <v>1.3524122880189842E-2</v>
      </c>
      <c r="X316" s="718">
        <f t="shared" si="166"/>
        <v>1.3517920846667303E-2</v>
      </c>
      <c r="Y316" s="718">
        <f t="shared" si="166"/>
        <v>1.3511718813144762E-2</v>
      </c>
      <c r="Z316" s="718">
        <f t="shared" si="166"/>
        <v>1.3505516779622223E-2</v>
      </c>
      <c r="AA316" s="718">
        <f t="shared" si="166"/>
        <v>1.3499314746099684E-2</v>
      </c>
      <c r="AB316" s="718">
        <f t="shared" si="166"/>
        <v>1.3493112712577143E-2</v>
      </c>
      <c r="AC316" s="718">
        <f t="shared" si="166"/>
        <v>1.3486910679054604E-2</v>
      </c>
      <c r="AD316" s="718">
        <f t="shared" si="166"/>
        <v>1.3480708645532063E-2</v>
      </c>
      <c r="AE316" s="718">
        <f t="shared" si="166"/>
        <v>1.3474506612009524E-2</v>
      </c>
      <c r="AF316" s="718">
        <f t="shared" si="166"/>
        <v>1.3468304578486984E-2</v>
      </c>
      <c r="AG316" s="718">
        <f t="shared" si="166"/>
        <v>1.3462102544964443E-2</v>
      </c>
      <c r="AH316" s="718">
        <f t="shared" si="166"/>
        <v>1.3455900511441904E-2</v>
      </c>
      <c r="AI316" s="718">
        <f t="shared" si="166"/>
        <v>1.3449698477919365E-2</v>
      </c>
      <c r="AJ316" s="718">
        <f t="shared" si="166"/>
        <v>1.3443496444396824E-2</v>
      </c>
      <c r="AK316" s="718">
        <f t="shared" si="166"/>
        <v>1.3437294410874285E-2</v>
      </c>
      <c r="AL316" s="718"/>
      <c r="AM316" s="718"/>
      <c r="AN316" s="718"/>
      <c r="AO316" s="718"/>
      <c r="AP316" s="718"/>
      <c r="AQ316" s="718"/>
      <c r="AR316" s="718"/>
      <c r="AS316" s="718"/>
      <c r="AT316" s="718"/>
      <c r="AU316" s="718"/>
      <c r="AV316" s="718"/>
      <c r="AW316" s="718"/>
      <c r="AX316" s="718"/>
      <c r="AY316" s="718"/>
      <c r="AZ316" s="718"/>
      <c r="BA316" s="718"/>
      <c r="BB316" s="718"/>
      <c r="BC316" s="718"/>
      <c r="BD316" s="718"/>
      <c r="BE316" s="718"/>
      <c r="BF316" s="718"/>
      <c r="BG316" s="718"/>
      <c r="BH316" s="718"/>
      <c r="BI316" s="718"/>
      <c r="BJ316" s="718"/>
      <c r="BK316" s="718"/>
      <c r="BL316" s="718"/>
      <c r="BM316" s="718"/>
      <c r="BN316" s="718"/>
      <c r="BO316" s="718"/>
      <c r="BP316" s="718"/>
      <c r="BQ316" s="718"/>
      <c r="BR316" s="718"/>
      <c r="BS316" s="718"/>
      <c r="BT316" s="718"/>
      <c r="BU316" s="718"/>
      <c r="BV316" s="718"/>
      <c r="BW316" s="718"/>
      <c r="BX316" s="718"/>
      <c r="BY316" s="718"/>
      <c r="BZ316" s="718"/>
      <c r="CA316" s="718"/>
      <c r="CB316" s="718"/>
      <c r="CC316" s="718"/>
      <c r="CD316" s="718"/>
      <c r="CE316" s="718"/>
      <c r="CF316" s="718"/>
      <c r="CG316" s="718"/>
      <c r="CH316" s="718"/>
      <c r="CI316" s="719"/>
      <c r="CK316" s="1296"/>
    </row>
    <row r="317" spans="2:89" x14ac:dyDescent="0.2">
      <c r="B317" s="953" t="s">
        <v>708</v>
      </c>
      <c r="C317" s="954" t="s">
        <v>495</v>
      </c>
      <c r="D317" s="955" t="s">
        <v>709</v>
      </c>
      <c r="E317" s="956" t="s">
        <v>236</v>
      </c>
      <c r="F317" s="957">
        <v>2</v>
      </c>
      <c r="G317" s="569">
        <f t="shared" si="166"/>
        <v>0</v>
      </c>
      <c r="H317" s="569">
        <f t="shared" si="166"/>
        <v>0</v>
      </c>
      <c r="I317" s="569">
        <f t="shared" si="166"/>
        <v>17.915748365959843</v>
      </c>
      <c r="J317" s="569">
        <f t="shared" si="166"/>
        <v>17.73234434579669</v>
      </c>
      <c r="K317" s="569">
        <f t="shared" si="166"/>
        <v>17.714874732222597</v>
      </c>
      <c r="L317" s="569">
        <f t="shared" si="166"/>
        <v>17.979707776624547</v>
      </c>
      <c r="M317" s="718">
        <f t="shared" si="166"/>
        <v>18.474883648110087</v>
      </c>
      <c r="N317" s="718">
        <f t="shared" si="166"/>
        <v>19.670051390180895</v>
      </c>
      <c r="O317" s="718">
        <f t="shared" si="166"/>
        <v>21.379386125643421</v>
      </c>
      <c r="P317" s="718">
        <f t="shared" si="166"/>
        <v>23.999416945253842</v>
      </c>
      <c r="Q317" s="718">
        <f t="shared" si="166"/>
        <v>25.849652060498329</v>
      </c>
      <c r="R317" s="718">
        <f t="shared" si="166"/>
        <v>26.337673612384251</v>
      </c>
      <c r="S317" s="718">
        <f t="shared" si="166"/>
        <v>26.183376118652681</v>
      </c>
      <c r="T317" s="718">
        <f t="shared" si="166"/>
        <v>25.915060558618688</v>
      </c>
      <c r="U317" s="718">
        <f t="shared" si="166"/>
        <v>25.583620227326296</v>
      </c>
      <c r="V317" s="718">
        <f t="shared" si="166"/>
        <v>25.378198918097226</v>
      </c>
      <c r="W317" s="718">
        <f t="shared" si="166"/>
        <v>25.229018308659334</v>
      </c>
      <c r="X317" s="718">
        <f t="shared" si="166"/>
        <v>25.087139838085857</v>
      </c>
      <c r="Y317" s="718">
        <f t="shared" si="166"/>
        <v>24.946619133437679</v>
      </c>
      <c r="Z317" s="718">
        <f t="shared" si="166"/>
        <v>24.818457946010945</v>
      </c>
      <c r="AA317" s="718">
        <f t="shared" si="166"/>
        <v>24.69710529743643</v>
      </c>
      <c r="AB317" s="718">
        <f t="shared" si="166"/>
        <v>24.549926385094267</v>
      </c>
      <c r="AC317" s="718">
        <f t="shared" si="166"/>
        <v>24.429104930006901</v>
      </c>
      <c r="AD317" s="718">
        <f t="shared" si="166"/>
        <v>24.319494289331939</v>
      </c>
      <c r="AE317" s="718">
        <f t="shared" si="166"/>
        <v>24.31089360654537</v>
      </c>
      <c r="AF317" s="718">
        <f t="shared" si="166"/>
        <v>24.302380813901323</v>
      </c>
      <c r="AG317" s="718">
        <f t="shared" si="166"/>
        <v>24.291883283405124</v>
      </c>
      <c r="AH317" s="718">
        <f t="shared" si="166"/>
        <v>24.2866991541595</v>
      </c>
      <c r="AI317" s="718">
        <f t="shared" si="166"/>
        <v>24.279415245787799</v>
      </c>
      <c r="AJ317" s="718">
        <f t="shared" si="166"/>
        <v>24.273554531315177</v>
      </c>
      <c r="AK317" s="718">
        <f t="shared" si="166"/>
        <v>24.261820197228644</v>
      </c>
      <c r="AL317" s="718"/>
      <c r="AM317" s="718"/>
      <c r="AN317" s="718"/>
      <c r="AO317" s="718"/>
      <c r="AP317" s="718"/>
      <c r="AQ317" s="718"/>
      <c r="AR317" s="718"/>
      <c r="AS317" s="718"/>
      <c r="AT317" s="718"/>
      <c r="AU317" s="718"/>
      <c r="AV317" s="718"/>
      <c r="AW317" s="718"/>
      <c r="AX317" s="718"/>
      <c r="AY317" s="718"/>
      <c r="AZ317" s="718"/>
      <c r="BA317" s="718"/>
      <c r="BB317" s="718"/>
      <c r="BC317" s="718"/>
      <c r="BD317" s="718"/>
      <c r="BE317" s="718"/>
      <c r="BF317" s="718"/>
      <c r="BG317" s="718"/>
      <c r="BH317" s="718"/>
      <c r="BI317" s="718"/>
      <c r="BJ317" s="718"/>
      <c r="BK317" s="718"/>
      <c r="BL317" s="718"/>
      <c r="BM317" s="718"/>
      <c r="BN317" s="718"/>
      <c r="BO317" s="718"/>
      <c r="BP317" s="718"/>
      <c r="BQ317" s="718"/>
      <c r="BR317" s="718"/>
      <c r="BS317" s="718"/>
      <c r="BT317" s="718"/>
      <c r="BU317" s="718"/>
      <c r="BV317" s="718"/>
      <c r="BW317" s="718"/>
      <c r="BX317" s="718"/>
      <c r="BY317" s="718"/>
      <c r="BZ317" s="718"/>
      <c r="CA317" s="718"/>
      <c r="CB317" s="718"/>
      <c r="CC317" s="718"/>
      <c r="CD317" s="718"/>
      <c r="CE317" s="718"/>
      <c r="CF317" s="718"/>
      <c r="CG317" s="718"/>
      <c r="CH317" s="718"/>
      <c r="CI317" s="719"/>
      <c r="CK317" s="1296"/>
    </row>
    <row r="318" spans="2:89" x14ac:dyDescent="0.2">
      <c r="B318" s="953" t="s">
        <v>710</v>
      </c>
      <c r="C318" s="954" t="s">
        <v>497</v>
      </c>
      <c r="D318" s="955" t="s">
        <v>711</v>
      </c>
      <c r="E318" s="956" t="s">
        <v>236</v>
      </c>
      <c r="F318" s="957">
        <v>2</v>
      </c>
      <c r="G318" s="569">
        <f t="shared" si="166"/>
        <v>0</v>
      </c>
      <c r="H318" s="569">
        <f t="shared" si="166"/>
        <v>0</v>
      </c>
      <c r="I318" s="569">
        <f t="shared" si="166"/>
        <v>18.839832521818003</v>
      </c>
      <c r="J318" s="569">
        <f t="shared" si="166"/>
        <v>17.884595393901094</v>
      </c>
      <c r="K318" s="569">
        <f t="shared" si="166"/>
        <v>17.717296244493941</v>
      </c>
      <c r="L318" s="569">
        <f t="shared" si="166"/>
        <v>16.93299745616363</v>
      </c>
      <c r="M318" s="718">
        <f t="shared" si="166"/>
        <v>15.363824597620972</v>
      </c>
      <c r="N318" s="718">
        <f t="shared" si="166"/>
        <v>13.030917760037799</v>
      </c>
      <c r="O318" s="718">
        <f t="shared" si="166"/>
        <v>9.3202402198766272</v>
      </c>
      <c r="P318" s="718">
        <f t="shared" si="166"/>
        <v>4.7271291706240568</v>
      </c>
      <c r="Q318" s="718">
        <f t="shared" si="166"/>
        <v>1.5399568910581252</v>
      </c>
      <c r="R318" s="718">
        <f t="shared" si="166"/>
        <v>0.56807864367769589</v>
      </c>
      <c r="S318" s="718">
        <f t="shared" si="166"/>
        <v>0.55372405257114643</v>
      </c>
      <c r="T318" s="718">
        <f t="shared" si="166"/>
        <v>0.53964637277673155</v>
      </c>
      <c r="U318" s="718">
        <f t="shared" si="166"/>
        <v>0.52421881665929781</v>
      </c>
      <c r="V318" s="718">
        <f t="shared" si="166"/>
        <v>0.50909723802523921</v>
      </c>
      <c r="W318" s="718">
        <f t="shared" si="166"/>
        <v>0.49368936431859645</v>
      </c>
      <c r="X318" s="718">
        <f t="shared" si="166"/>
        <v>0.47544148416580789</v>
      </c>
      <c r="Y318" s="718">
        <f t="shared" si="166"/>
        <v>0.4576517456142426</v>
      </c>
      <c r="Z318" s="718">
        <f t="shared" si="166"/>
        <v>0.44046354766334517</v>
      </c>
      <c r="AA318" s="718">
        <f t="shared" si="166"/>
        <v>0.42371677535800245</v>
      </c>
      <c r="AB318" s="718">
        <f t="shared" si="166"/>
        <v>0.40749359419942799</v>
      </c>
      <c r="AC318" s="718">
        <f t="shared" si="166"/>
        <v>0.39174192688074605</v>
      </c>
      <c r="AD318" s="718">
        <f t="shared" si="166"/>
        <v>0.37665370791771657</v>
      </c>
      <c r="AE318" s="718">
        <f t="shared" si="166"/>
        <v>0.36375566459371633</v>
      </c>
      <c r="AF318" s="718">
        <f t="shared" si="166"/>
        <v>0.35118632248514814</v>
      </c>
      <c r="AG318" s="718">
        <f t="shared" si="166"/>
        <v>0.33899380939384649</v>
      </c>
      <c r="AH318" s="718">
        <f t="shared" si="166"/>
        <v>0.32720082211899104</v>
      </c>
      <c r="AI318" s="718">
        <f t="shared" si="166"/>
        <v>0.31565961576160362</v>
      </c>
      <c r="AJ318" s="718">
        <f t="shared" si="166"/>
        <v>0.30440785233897039</v>
      </c>
      <c r="AK318" s="718">
        <f t="shared" si="166"/>
        <v>0.29331077407894313</v>
      </c>
      <c r="AL318" s="718"/>
      <c r="AM318" s="718"/>
      <c r="AN318" s="718"/>
      <c r="AO318" s="718"/>
      <c r="AP318" s="718"/>
      <c r="AQ318" s="718"/>
      <c r="AR318" s="718"/>
      <c r="AS318" s="718"/>
      <c r="AT318" s="718"/>
      <c r="AU318" s="718"/>
      <c r="AV318" s="718"/>
      <c r="AW318" s="718"/>
      <c r="AX318" s="718"/>
      <c r="AY318" s="718"/>
      <c r="AZ318" s="718"/>
      <c r="BA318" s="718"/>
      <c r="BB318" s="718"/>
      <c r="BC318" s="718"/>
      <c r="BD318" s="718"/>
      <c r="BE318" s="718"/>
      <c r="BF318" s="718"/>
      <c r="BG318" s="718"/>
      <c r="BH318" s="718"/>
      <c r="BI318" s="718"/>
      <c r="BJ318" s="718"/>
      <c r="BK318" s="718"/>
      <c r="BL318" s="718"/>
      <c r="BM318" s="718"/>
      <c r="BN318" s="718"/>
      <c r="BO318" s="718"/>
      <c r="BP318" s="718"/>
      <c r="BQ318" s="718"/>
      <c r="BR318" s="718"/>
      <c r="BS318" s="718"/>
      <c r="BT318" s="718"/>
      <c r="BU318" s="718"/>
      <c r="BV318" s="718"/>
      <c r="BW318" s="718"/>
      <c r="BX318" s="718"/>
      <c r="BY318" s="718"/>
      <c r="BZ318" s="718"/>
      <c r="CA318" s="718"/>
      <c r="CB318" s="718"/>
      <c r="CC318" s="718"/>
      <c r="CD318" s="718"/>
      <c r="CE318" s="718"/>
      <c r="CF318" s="718"/>
      <c r="CG318" s="718"/>
      <c r="CH318" s="718"/>
      <c r="CI318" s="719"/>
      <c r="CK318" s="1296"/>
    </row>
    <row r="319" spans="2:89" ht="28.5" x14ac:dyDescent="0.2">
      <c r="B319" s="953" t="s">
        <v>712</v>
      </c>
      <c r="C319" s="954" t="s">
        <v>499</v>
      </c>
      <c r="D319" s="955" t="s">
        <v>498</v>
      </c>
      <c r="E319" s="956" t="s">
        <v>375</v>
      </c>
      <c r="F319" s="957">
        <v>1</v>
      </c>
      <c r="G319" s="743">
        <f t="shared" ref="G319:AK319" si="167">G229</f>
        <v>0</v>
      </c>
      <c r="H319" s="743">
        <f t="shared" si="167"/>
        <v>0</v>
      </c>
      <c r="I319" s="743">
        <f t="shared" si="167"/>
        <v>0</v>
      </c>
      <c r="J319" s="743">
        <f t="shared" si="167"/>
        <v>1.1887090544867814E-2</v>
      </c>
      <c r="K319" s="743">
        <f t="shared" si="167"/>
        <v>5.3025504729228914E-3</v>
      </c>
      <c r="L319" s="743">
        <f t="shared" si="167"/>
        <v>5.5781112000584734E-3</v>
      </c>
      <c r="M319" s="744">
        <f t="shared" si="167"/>
        <v>5.5148556763712168E-3</v>
      </c>
      <c r="N319" s="744">
        <f t="shared" si="167"/>
        <v>6.546265347213749E-3</v>
      </c>
      <c r="O319" s="744">
        <f t="shared" si="167"/>
        <v>6.7595497251526577E-3</v>
      </c>
      <c r="P319" s="744">
        <f t="shared" si="167"/>
        <v>7.1604069616121695E-3</v>
      </c>
      <c r="Q319" s="744">
        <f t="shared" si="167"/>
        <v>7.5574627052695867E-3</v>
      </c>
      <c r="R319" s="744">
        <f t="shared" si="167"/>
        <v>7.9574627683015684E-3</v>
      </c>
      <c r="S319" s="744">
        <f t="shared" si="167"/>
        <v>8.421852439455705E-3</v>
      </c>
      <c r="T319" s="744">
        <f t="shared" si="167"/>
        <v>8.8226415414812062E-3</v>
      </c>
      <c r="U319" s="744">
        <f t="shared" si="167"/>
        <v>9.2213724205196038E-3</v>
      </c>
      <c r="V319" s="744">
        <f t="shared" si="167"/>
        <v>9.6847958512482971E-3</v>
      </c>
      <c r="W319" s="744">
        <f t="shared" si="167"/>
        <v>1.0082252987179251E-2</v>
      </c>
      <c r="X319" s="744">
        <f t="shared" si="167"/>
        <v>1.0479014887152197E-2</v>
      </c>
      <c r="Y319" s="744">
        <f t="shared" si="167"/>
        <v>1.0939993284072351E-2</v>
      </c>
      <c r="Z319" s="744">
        <f t="shared" si="167"/>
        <v>1.1336052545345907E-2</v>
      </c>
      <c r="AA319" s="744">
        <f t="shared" si="167"/>
        <v>1.173207413096968E-2</v>
      </c>
      <c r="AB319" s="744">
        <f t="shared" si="167"/>
        <v>1.2188558737160675E-2</v>
      </c>
      <c r="AC319" s="744">
        <f t="shared" si="167"/>
        <v>1.2572952381072186E-2</v>
      </c>
      <c r="AD319" s="744">
        <f t="shared" si="167"/>
        <v>1.2987853315168222E-2</v>
      </c>
      <c r="AE319" s="744">
        <f t="shared" si="167"/>
        <v>1.3402754853684687E-2</v>
      </c>
      <c r="AF319" s="744">
        <f t="shared" si="167"/>
        <v>1.3817067223209138E-2</v>
      </c>
      <c r="AG319" s="744">
        <f t="shared" si="167"/>
        <v>1.4229736143528038E-2</v>
      </c>
      <c r="AH319" s="744">
        <f t="shared" si="167"/>
        <v>1.4642804708461903E-2</v>
      </c>
      <c r="AI319" s="744">
        <f t="shared" si="167"/>
        <v>1.5054936815870775E-2</v>
      </c>
      <c r="AJ319" s="744">
        <f t="shared" si="167"/>
        <v>1.5466980902552236E-2</v>
      </c>
      <c r="AK319" s="744">
        <f t="shared" si="167"/>
        <v>1.5877264426079504E-2</v>
      </c>
      <c r="AL319" s="744"/>
      <c r="AM319" s="744"/>
      <c r="AN319" s="744"/>
      <c r="AO319" s="744"/>
      <c r="AP319" s="744"/>
      <c r="AQ319" s="744"/>
      <c r="AR319" s="744"/>
      <c r="AS319" s="744"/>
      <c r="AT319" s="744"/>
      <c r="AU319" s="744"/>
      <c r="AV319" s="744"/>
      <c r="AW319" s="744"/>
      <c r="AX319" s="744"/>
      <c r="AY319" s="744"/>
      <c r="AZ319" s="744"/>
      <c r="BA319" s="744"/>
      <c r="BB319" s="744"/>
      <c r="BC319" s="744"/>
      <c r="BD319" s="744"/>
      <c r="BE319" s="744"/>
      <c r="BF319" s="744"/>
      <c r="BG319" s="744"/>
      <c r="BH319" s="744"/>
      <c r="BI319" s="744"/>
      <c r="BJ319" s="744"/>
      <c r="BK319" s="744"/>
      <c r="BL319" s="744"/>
      <c r="BM319" s="744"/>
      <c r="BN319" s="744"/>
      <c r="BO319" s="744"/>
      <c r="BP319" s="744"/>
      <c r="BQ319" s="744"/>
      <c r="BR319" s="744"/>
      <c r="BS319" s="744"/>
      <c r="BT319" s="744"/>
      <c r="BU319" s="744"/>
      <c r="BV319" s="744"/>
      <c r="BW319" s="744"/>
      <c r="BX319" s="744"/>
      <c r="BY319" s="744"/>
      <c r="BZ319" s="744"/>
      <c r="CA319" s="744"/>
      <c r="CB319" s="744"/>
      <c r="CC319" s="744"/>
      <c r="CD319" s="744"/>
      <c r="CE319" s="744"/>
      <c r="CF319" s="744"/>
      <c r="CG319" s="744"/>
      <c r="CH319" s="744"/>
      <c r="CI319" s="745"/>
      <c r="CK319" s="1296"/>
    </row>
    <row r="320" spans="2:89" ht="28.5" x14ac:dyDescent="0.2">
      <c r="B320" s="953" t="s">
        <v>713</v>
      </c>
      <c r="C320" s="954" t="s">
        <v>501</v>
      </c>
      <c r="D320" s="955" t="s">
        <v>714</v>
      </c>
      <c r="E320" s="956" t="s">
        <v>236</v>
      </c>
      <c r="F320" s="957">
        <v>2</v>
      </c>
      <c r="G320" s="569">
        <f>G319*(G314+SUM(G316:G318)-SUM(G326:G329))</f>
        <v>0</v>
      </c>
      <c r="H320" s="569">
        <f t="shared" ref="H320" si="168">H319*(SUM(H314:H318)-SUM(H326:H329))</f>
        <v>0</v>
      </c>
      <c r="I320" s="569">
        <f t="shared" ref="I320" si="169">I319*(SUM(I314:I318)-SUM(I326:I329))</f>
        <v>0</v>
      </c>
      <c r="J320" s="569">
        <f t="shared" ref="J320:AK320" si="170">J319*(SUM(J314:J318)-SUM(J326:J329))</f>
        <v>0.58756632112467555</v>
      </c>
      <c r="K320" s="569">
        <f t="shared" si="170"/>
        <v>0.26852534600385614</v>
      </c>
      <c r="L320" s="569">
        <f t="shared" si="170"/>
        <v>0.28381171489832202</v>
      </c>
      <c r="M320" s="569">
        <f t="shared" si="170"/>
        <v>0.27800598587241837</v>
      </c>
      <c r="N320" s="569">
        <f t="shared" si="170"/>
        <v>0.32370366865117045</v>
      </c>
      <c r="O320" s="569">
        <f t="shared" si="170"/>
        <v>0.33501828859956279</v>
      </c>
      <c r="P320" s="569">
        <f t="shared" si="170"/>
        <v>0.34106626832689491</v>
      </c>
      <c r="Q320" s="569">
        <f t="shared" si="170"/>
        <v>0.3500447862655926</v>
      </c>
      <c r="R320" s="569">
        <f t="shared" si="170"/>
        <v>0.36419739948697727</v>
      </c>
      <c r="S320" s="569">
        <f t="shared" si="170"/>
        <v>0.38334586447950847</v>
      </c>
      <c r="T320" s="569">
        <f t="shared" si="170"/>
        <v>0.39837789437169052</v>
      </c>
      <c r="U320" s="569">
        <f t="shared" si="170"/>
        <v>0.41242861853421758</v>
      </c>
      <c r="V320" s="569">
        <f t="shared" si="170"/>
        <v>0.43022602125349757</v>
      </c>
      <c r="W320" s="569">
        <f t="shared" si="170"/>
        <v>0.44546627754055834</v>
      </c>
      <c r="X320" s="569">
        <f t="shared" si="170"/>
        <v>0.46051607682805856</v>
      </c>
      <c r="Y320" s="569">
        <f t="shared" si="170"/>
        <v>0.47819797024023269</v>
      </c>
      <c r="Z320" s="569">
        <f t="shared" si="170"/>
        <v>0.49441196761644479</v>
      </c>
      <c r="AA320" s="569">
        <f t="shared" si="170"/>
        <v>0.51063017414805845</v>
      </c>
      <c r="AB320" s="569">
        <f t="shared" si="170"/>
        <v>0.52909440610964942</v>
      </c>
      <c r="AC320" s="569">
        <f t="shared" si="170"/>
        <v>0.54465666649123257</v>
      </c>
      <c r="AD320" s="569">
        <f t="shared" si="170"/>
        <v>0.56161388473485518</v>
      </c>
      <c r="AE320" s="569">
        <f t="shared" si="170"/>
        <v>0.57987908075900207</v>
      </c>
      <c r="AF320" s="569">
        <f t="shared" si="170"/>
        <v>0.59813362570896167</v>
      </c>
      <c r="AG320" s="569">
        <f t="shared" si="170"/>
        <v>0.61630225322784626</v>
      </c>
      <c r="AH320" s="569">
        <f t="shared" si="170"/>
        <v>0.63457986249658116</v>
      </c>
      <c r="AI320" s="569">
        <f t="shared" si="170"/>
        <v>0.65280239487648295</v>
      </c>
      <c r="AJ320" s="569">
        <f t="shared" si="170"/>
        <v>0.67105890965821291</v>
      </c>
      <c r="AK320" s="569">
        <f t="shared" si="170"/>
        <v>0.68916007515963196</v>
      </c>
      <c r="AL320" s="569"/>
      <c r="AM320" s="569"/>
      <c r="AN320" s="569"/>
      <c r="AO320" s="569"/>
      <c r="AP320" s="569"/>
      <c r="AQ320" s="569"/>
      <c r="AR320" s="569"/>
      <c r="AS320" s="569"/>
      <c r="AT320" s="569"/>
      <c r="AU320" s="569"/>
      <c r="AV320" s="569"/>
      <c r="AW320" s="569"/>
      <c r="AX320" s="569"/>
      <c r="AY320" s="569"/>
      <c r="AZ320" s="569"/>
      <c r="BA320" s="569"/>
      <c r="BB320" s="569"/>
      <c r="BC320" s="569"/>
      <c r="BD320" s="569"/>
      <c r="BE320" s="569"/>
      <c r="BF320" s="569"/>
      <c r="BG320" s="569"/>
      <c r="BH320" s="569"/>
      <c r="BI320" s="569"/>
      <c r="BJ320" s="569"/>
      <c r="BK320" s="569"/>
      <c r="BL320" s="569"/>
      <c r="BM320" s="569"/>
      <c r="BN320" s="569"/>
      <c r="BO320" s="569"/>
      <c r="BP320" s="569"/>
      <c r="BQ320" s="569"/>
      <c r="BR320" s="569"/>
      <c r="BS320" s="569"/>
      <c r="BT320" s="569"/>
      <c r="BU320" s="569"/>
      <c r="BV320" s="569"/>
      <c r="BW320" s="569"/>
      <c r="BX320" s="569"/>
      <c r="BY320" s="569"/>
      <c r="BZ320" s="569"/>
      <c r="CA320" s="569"/>
      <c r="CB320" s="569"/>
      <c r="CC320" s="569"/>
      <c r="CD320" s="569"/>
      <c r="CE320" s="569"/>
      <c r="CF320" s="569"/>
      <c r="CG320" s="569"/>
      <c r="CH320" s="569"/>
      <c r="CI320" s="569"/>
      <c r="CK320" s="1296"/>
    </row>
    <row r="321" spans="2:89" x14ac:dyDescent="0.2">
      <c r="B321" s="953" t="s">
        <v>715</v>
      </c>
      <c r="C321" s="958" t="s">
        <v>305</v>
      </c>
      <c r="D321" s="959" t="s">
        <v>716</v>
      </c>
      <c r="E321" s="960" t="s">
        <v>239</v>
      </c>
      <c r="F321" s="961">
        <v>1</v>
      </c>
      <c r="G321" s="750" t="e">
        <f>(((G317-G328))*1000000)/((G350)*1000)</f>
        <v>#DIV/0!</v>
      </c>
      <c r="H321" s="750" t="e">
        <f t="shared" ref="H321:AK322" si="171">(((H317-H328))*1000000)/((H350)*1000)</f>
        <v>#DIV/0!</v>
      </c>
      <c r="I321" s="750">
        <f t="shared" si="171"/>
        <v>133.81218403217338</v>
      </c>
      <c r="J321" s="750">
        <f t="shared" si="171"/>
        <v>130.08530722967484</v>
      </c>
      <c r="K321" s="750">
        <f t="shared" si="171"/>
        <v>126.91188217137183</v>
      </c>
      <c r="L321" s="750">
        <f t="shared" si="171"/>
        <v>124.98668107765135</v>
      </c>
      <c r="M321" s="751">
        <f t="shared" si="171"/>
        <v>121.87997017203283</v>
      </c>
      <c r="N321" s="751">
        <f t="shared" si="171"/>
        <v>119.94104420638187</v>
      </c>
      <c r="O321" s="751">
        <f t="shared" si="171"/>
        <v>116.21136472052292</v>
      </c>
      <c r="P321" s="751">
        <f t="shared" si="171"/>
        <v>114.58077304335634</v>
      </c>
      <c r="Q321" s="751">
        <f t="shared" si="171"/>
        <v>113.40359123727038</v>
      </c>
      <c r="R321" s="751">
        <f t="shared" si="171"/>
        <v>112.46692255577125</v>
      </c>
      <c r="S321" s="751">
        <f t="shared" si="171"/>
        <v>111.46720229165513</v>
      </c>
      <c r="T321" s="751">
        <f t="shared" si="171"/>
        <v>109.98782685028614</v>
      </c>
      <c r="U321" s="751">
        <f t="shared" si="171"/>
        <v>108.23535096581521</v>
      </c>
      <c r="V321" s="751">
        <f t="shared" si="171"/>
        <v>106.99308157416655</v>
      </c>
      <c r="W321" s="751">
        <f t="shared" si="171"/>
        <v>106.00510294525958</v>
      </c>
      <c r="X321" s="751">
        <f t="shared" si="171"/>
        <v>105.05640305874236</v>
      </c>
      <c r="Y321" s="751">
        <f t="shared" si="171"/>
        <v>104.12270710618894</v>
      </c>
      <c r="Z321" s="751">
        <f t="shared" si="171"/>
        <v>103.22149971132394</v>
      </c>
      <c r="AA321" s="751">
        <f t="shared" si="171"/>
        <v>102.30706962665118</v>
      </c>
      <c r="AB321" s="751">
        <f t="shared" si="171"/>
        <v>101.28432584518042</v>
      </c>
      <c r="AC321" s="751">
        <f t="shared" si="171"/>
        <v>100.38636253333469</v>
      </c>
      <c r="AD321" s="751">
        <f t="shared" si="171"/>
        <v>99.54325700836128</v>
      </c>
      <c r="AE321" s="751">
        <f t="shared" si="171"/>
        <v>99.125974627353912</v>
      </c>
      <c r="AF321" s="751">
        <f t="shared" si="171"/>
        <v>98.71635612799345</v>
      </c>
      <c r="AG321" s="751">
        <f t="shared" si="171"/>
        <v>98.317279335720031</v>
      </c>
      <c r="AH321" s="751">
        <f t="shared" si="171"/>
        <v>97.954825612815654</v>
      </c>
      <c r="AI321" s="751">
        <f t="shared" si="171"/>
        <v>97.582129008065479</v>
      </c>
      <c r="AJ321" s="751">
        <f t="shared" si="171"/>
        <v>97.211741492536234</v>
      </c>
      <c r="AK321" s="751">
        <f t="shared" si="171"/>
        <v>96.823999691145957</v>
      </c>
      <c r="AL321" s="751"/>
      <c r="AM321" s="751"/>
      <c r="AN321" s="751"/>
      <c r="AO321" s="751"/>
      <c r="AP321" s="751"/>
      <c r="AQ321" s="751"/>
      <c r="AR321" s="751"/>
      <c r="AS321" s="751"/>
      <c r="AT321" s="751"/>
      <c r="AU321" s="751"/>
      <c r="AV321" s="751"/>
      <c r="AW321" s="751"/>
      <c r="AX321" s="751"/>
      <c r="AY321" s="751"/>
      <c r="AZ321" s="751"/>
      <c r="BA321" s="751"/>
      <c r="BB321" s="751"/>
      <c r="BC321" s="751"/>
      <c r="BD321" s="751"/>
      <c r="BE321" s="751"/>
      <c r="BF321" s="751"/>
      <c r="BG321" s="751"/>
      <c r="BH321" s="751"/>
      <c r="BI321" s="751"/>
      <c r="BJ321" s="751"/>
      <c r="BK321" s="751"/>
      <c r="BL321" s="751"/>
      <c r="BM321" s="751"/>
      <c r="BN321" s="751"/>
      <c r="BO321" s="751"/>
      <c r="BP321" s="751"/>
      <c r="BQ321" s="751"/>
      <c r="BR321" s="751"/>
      <c r="BS321" s="751"/>
      <c r="BT321" s="751"/>
      <c r="BU321" s="751"/>
      <c r="BV321" s="751"/>
      <c r="BW321" s="751"/>
      <c r="BX321" s="751"/>
      <c r="BY321" s="751"/>
      <c r="BZ321" s="751"/>
      <c r="CA321" s="751"/>
      <c r="CB321" s="751"/>
      <c r="CC321" s="751"/>
      <c r="CD321" s="751"/>
      <c r="CE321" s="751"/>
      <c r="CF321" s="751"/>
      <c r="CG321" s="751"/>
      <c r="CH321" s="751"/>
      <c r="CI321" s="752"/>
      <c r="CK321" s="1296"/>
    </row>
    <row r="322" spans="2:89" x14ac:dyDescent="0.2">
      <c r="B322" s="953" t="s">
        <v>717</v>
      </c>
      <c r="C322" s="958" t="s">
        <v>324</v>
      </c>
      <c r="D322" s="959" t="s">
        <v>718</v>
      </c>
      <c r="E322" s="960" t="s">
        <v>239</v>
      </c>
      <c r="F322" s="961">
        <v>1</v>
      </c>
      <c r="G322" s="750" t="e">
        <f>(((G318-G329))*1000000)/((G351)*1000)</f>
        <v>#DIV/0!</v>
      </c>
      <c r="H322" s="750" t="e">
        <f t="shared" si="171"/>
        <v>#DIV/0!</v>
      </c>
      <c r="I322" s="750">
        <f t="shared" si="171"/>
        <v>204.25505357797542</v>
      </c>
      <c r="J322" s="750">
        <f t="shared" si="171"/>
        <v>195.6903007020434</v>
      </c>
      <c r="K322" s="750">
        <f t="shared" si="171"/>
        <v>196.87600896820533</v>
      </c>
      <c r="L322" s="750">
        <f t="shared" si="171"/>
        <v>193.82108150165331</v>
      </c>
      <c r="M322" s="751">
        <f t="shared" si="171"/>
        <v>188.58404133193571</v>
      </c>
      <c r="N322" s="751">
        <f t="shared" si="171"/>
        <v>184.93169627103384</v>
      </c>
      <c r="O322" s="751">
        <f t="shared" si="171"/>
        <v>180.84814692333742</v>
      </c>
      <c r="P322" s="751">
        <f t="shared" si="171"/>
        <v>176.04098928500619</v>
      </c>
      <c r="Q322" s="751">
        <f t="shared" si="171"/>
        <v>171.99808602851218</v>
      </c>
      <c r="R322" s="751">
        <f t="shared" si="171"/>
        <v>169.33157344271186</v>
      </c>
      <c r="S322" s="751">
        <f t="shared" si="171"/>
        <v>166.91941146102312</v>
      </c>
      <c r="T322" s="751">
        <f t="shared" si="171"/>
        <v>164.51266024290371</v>
      </c>
      <c r="U322" s="751">
        <f t="shared" si="171"/>
        <v>161.60007908084572</v>
      </c>
      <c r="V322" s="751">
        <f t="shared" si="171"/>
        <v>158.68830273282146</v>
      </c>
      <c r="W322" s="751">
        <f t="shared" si="171"/>
        <v>156.63964143215125</v>
      </c>
      <c r="X322" s="751">
        <f t="shared" si="171"/>
        <v>154.591902832465</v>
      </c>
      <c r="Y322" s="751">
        <f t="shared" si="171"/>
        <v>152.52875203985434</v>
      </c>
      <c r="Z322" s="751">
        <f t="shared" si="171"/>
        <v>150.50323587503104</v>
      </c>
      <c r="AA322" s="751">
        <f t="shared" si="171"/>
        <v>148.46099540514493</v>
      </c>
      <c r="AB322" s="751">
        <f t="shared" si="171"/>
        <v>146.43266894395794</v>
      </c>
      <c r="AC322" s="751">
        <f t="shared" si="171"/>
        <v>144.40840345140907</v>
      </c>
      <c r="AD322" s="751">
        <f t="shared" si="171"/>
        <v>142.46889285508792</v>
      </c>
      <c r="AE322" s="751">
        <f t="shared" si="171"/>
        <v>141.22951809550977</v>
      </c>
      <c r="AF322" s="751">
        <f t="shared" si="171"/>
        <v>139.9942118189316</v>
      </c>
      <c r="AG322" s="751">
        <f t="shared" si="171"/>
        <v>138.78678592423762</v>
      </c>
      <c r="AH322" s="751">
        <f t="shared" si="171"/>
        <v>137.62284722336403</v>
      </c>
      <c r="AI322" s="751">
        <f t="shared" si="171"/>
        <v>136.44435095764271</v>
      </c>
      <c r="AJ322" s="751">
        <f t="shared" si="171"/>
        <v>135.27022404620493</v>
      </c>
      <c r="AK322" s="751">
        <f t="shared" si="171"/>
        <v>134.04113586707859</v>
      </c>
      <c r="AL322" s="751"/>
      <c r="AM322" s="751"/>
      <c r="AN322" s="751"/>
      <c r="AO322" s="751"/>
      <c r="AP322" s="751"/>
      <c r="AQ322" s="751"/>
      <c r="AR322" s="751"/>
      <c r="AS322" s="751"/>
      <c r="AT322" s="751"/>
      <c r="AU322" s="751"/>
      <c r="AV322" s="751"/>
      <c r="AW322" s="751"/>
      <c r="AX322" s="751"/>
      <c r="AY322" s="751"/>
      <c r="AZ322" s="751"/>
      <c r="BA322" s="751"/>
      <c r="BB322" s="751"/>
      <c r="BC322" s="751"/>
      <c r="BD322" s="751"/>
      <c r="BE322" s="751"/>
      <c r="BF322" s="751"/>
      <c r="BG322" s="751"/>
      <c r="BH322" s="751"/>
      <c r="BI322" s="751"/>
      <c r="BJ322" s="751"/>
      <c r="BK322" s="751"/>
      <c r="BL322" s="751"/>
      <c r="BM322" s="751"/>
      <c r="BN322" s="751"/>
      <c r="BO322" s="751"/>
      <c r="BP322" s="751"/>
      <c r="BQ322" s="751"/>
      <c r="BR322" s="751"/>
      <c r="BS322" s="751"/>
      <c r="BT322" s="751"/>
      <c r="BU322" s="751"/>
      <c r="BV322" s="751"/>
      <c r="BW322" s="751"/>
      <c r="BX322" s="751"/>
      <c r="BY322" s="751"/>
      <c r="BZ322" s="751"/>
      <c r="CA322" s="751"/>
      <c r="CB322" s="751"/>
      <c r="CC322" s="751"/>
      <c r="CD322" s="751"/>
      <c r="CE322" s="751"/>
      <c r="CF322" s="751"/>
      <c r="CG322" s="751"/>
      <c r="CH322" s="751"/>
      <c r="CI322" s="752"/>
      <c r="CK322" s="1296"/>
    </row>
    <row r="323" spans="2:89" ht="28.5" x14ac:dyDescent="0.2">
      <c r="B323" s="953" t="s">
        <v>719</v>
      </c>
      <c r="C323" s="958" t="s">
        <v>238</v>
      </c>
      <c r="D323" s="959" t="s">
        <v>720</v>
      </c>
      <c r="E323" s="960" t="s">
        <v>239</v>
      </c>
      <c r="F323" s="961">
        <v>1</v>
      </c>
      <c r="G323" s="750" t="e">
        <f>(((G317-G328)+(G318-G329))*1000000)/((G350+G351)*1000)</f>
        <v>#DIV/0!</v>
      </c>
      <c r="H323" s="750" t="e">
        <f t="shared" ref="H323:AK323" si="172">(((H317-H328)+(H318-H329))*1000000)/((H350+H351)*1000)</f>
        <v>#DIV/0!</v>
      </c>
      <c r="I323" s="750">
        <f t="shared" si="172"/>
        <v>162.62381124728887</v>
      </c>
      <c r="J323" s="750">
        <f t="shared" si="172"/>
        <v>156.49350880453042</v>
      </c>
      <c r="K323" s="750">
        <f t="shared" si="172"/>
        <v>154.42655895063916</v>
      </c>
      <c r="L323" s="750">
        <f t="shared" si="172"/>
        <v>151.08314195540072</v>
      </c>
      <c r="M323" s="751">
        <f t="shared" si="172"/>
        <v>145.28094012219046</v>
      </c>
      <c r="N323" s="751">
        <f t="shared" si="172"/>
        <v>139.53884853891728</v>
      </c>
      <c r="O323" s="751">
        <f t="shared" si="172"/>
        <v>130.40193036863795</v>
      </c>
      <c r="P323" s="751">
        <f t="shared" si="172"/>
        <v>121.58547957185468</v>
      </c>
      <c r="Q323" s="751">
        <f t="shared" si="172"/>
        <v>115.62654729564197</v>
      </c>
      <c r="R323" s="751">
        <f t="shared" si="172"/>
        <v>113.27420696839522</v>
      </c>
      <c r="S323" s="751">
        <f t="shared" si="172"/>
        <v>112.24335310788447</v>
      </c>
      <c r="T323" s="751">
        <f t="shared" si="172"/>
        <v>110.74030281126186</v>
      </c>
      <c r="U323" s="751">
        <f t="shared" si="172"/>
        <v>108.96144718878159</v>
      </c>
      <c r="V323" s="751">
        <f t="shared" si="172"/>
        <v>107.6862962116647</v>
      </c>
      <c r="W323" s="751">
        <f t="shared" si="172"/>
        <v>106.66998330741188</v>
      </c>
      <c r="X323" s="751">
        <f t="shared" si="172"/>
        <v>105.68910858640375</v>
      </c>
      <c r="Y323" s="751">
        <f t="shared" si="172"/>
        <v>104.72401790871264</v>
      </c>
      <c r="Z323" s="751">
        <f t="shared" si="172"/>
        <v>103.79246213407201</v>
      </c>
      <c r="AA323" s="751">
        <f t="shared" si="172"/>
        <v>102.848497148558</v>
      </c>
      <c r="AB323" s="751">
        <f t="shared" si="172"/>
        <v>101.79870793969617</v>
      </c>
      <c r="AC323" s="751">
        <f t="shared" si="172"/>
        <v>100.87340877967821</v>
      </c>
      <c r="AD323" s="751">
        <f t="shared" si="172"/>
        <v>100.00433390942847</v>
      </c>
      <c r="AE323" s="751">
        <f t="shared" si="172"/>
        <v>99.564924043567174</v>
      </c>
      <c r="AF323" s="751">
        <f t="shared" si="172"/>
        <v>99.133951065366674</v>
      </c>
      <c r="AG323" s="751">
        <f t="shared" si="172"/>
        <v>98.71452134638983</v>
      </c>
      <c r="AH323" s="751">
        <f t="shared" si="172"/>
        <v>98.332553600918089</v>
      </c>
      <c r="AI323" s="751">
        <f t="shared" si="172"/>
        <v>97.94098586296488</v>
      </c>
      <c r="AJ323" s="751">
        <f t="shared" si="172"/>
        <v>97.552406314418917</v>
      </c>
      <c r="AK323" s="751">
        <f t="shared" si="172"/>
        <v>97.146823153964235</v>
      </c>
      <c r="AL323" s="751"/>
      <c r="AM323" s="751"/>
      <c r="AN323" s="751"/>
      <c r="AO323" s="751"/>
      <c r="AP323" s="751"/>
      <c r="AQ323" s="751"/>
      <c r="AR323" s="751"/>
      <c r="AS323" s="751"/>
      <c r="AT323" s="751"/>
      <c r="AU323" s="751"/>
      <c r="AV323" s="751"/>
      <c r="AW323" s="751"/>
      <c r="AX323" s="751"/>
      <c r="AY323" s="751"/>
      <c r="AZ323" s="751"/>
      <c r="BA323" s="751"/>
      <c r="BB323" s="751"/>
      <c r="BC323" s="751"/>
      <c r="BD323" s="751"/>
      <c r="BE323" s="751"/>
      <c r="BF323" s="751"/>
      <c r="BG323" s="751"/>
      <c r="BH323" s="751"/>
      <c r="BI323" s="751"/>
      <c r="BJ323" s="751"/>
      <c r="BK323" s="751"/>
      <c r="BL323" s="751"/>
      <c r="BM323" s="751"/>
      <c r="BN323" s="751"/>
      <c r="BO323" s="751"/>
      <c r="BP323" s="751"/>
      <c r="BQ323" s="751"/>
      <c r="BR323" s="751"/>
      <c r="BS323" s="751"/>
      <c r="BT323" s="751"/>
      <c r="BU323" s="751"/>
      <c r="BV323" s="751"/>
      <c r="BW323" s="751"/>
      <c r="BX323" s="751"/>
      <c r="BY323" s="751"/>
      <c r="BZ323" s="751"/>
      <c r="CA323" s="751"/>
      <c r="CB323" s="751"/>
      <c r="CC323" s="751"/>
      <c r="CD323" s="751"/>
      <c r="CE323" s="751"/>
      <c r="CF323" s="751"/>
      <c r="CG323" s="751"/>
      <c r="CH323" s="751"/>
      <c r="CI323" s="752"/>
      <c r="CK323" s="1296"/>
    </row>
    <row r="324" spans="2:89" x14ac:dyDescent="0.2">
      <c r="B324" s="953" t="s">
        <v>721</v>
      </c>
      <c r="C324" s="958" t="s">
        <v>510</v>
      </c>
      <c r="D324" s="959" t="s">
        <v>722</v>
      </c>
      <c r="E324" s="960" t="s">
        <v>236</v>
      </c>
      <c r="F324" s="961">
        <v>2</v>
      </c>
      <c r="G324" s="569">
        <f t="shared" ref="G324:AK327" si="173">G234+G292</f>
        <v>0</v>
      </c>
      <c r="H324" s="569">
        <f t="shared" si="173"/>
        <v>0</v>
      </c>
      <c r="I324" s="569">
        <f t="shared" si="173"/>
        <v>1.0979360068731416</v>
      </c>
      <c r="J324" s="569">
        <f t="shared" si="173"/>
        <v>1.0895863339821239</v>
      </c>
      <c r="K324" s="569">
        <f t="shared" si="173"/>
        <v>1.0890163901033498</v>
      </c>
      <c r="L324" s="569">
        <f t="shared" si="173"/>
        <v>1.0888825549864094</v>
      </c>
      <c r="M324" s="718">
        <f t="shared" si="173"/>
        <v>1.0899162297254705</v>
      </c>
      <c r="N324" s="718">
        <f t="shared" si="173"/>
        <v>1.089665782989155</v>
      </c>
      <c r="O324" s="718">
        <f t="shared" si="173"/>
        <v>1.0893379865310824</v>
      </c>
      <c r="P324" s="718">
        <f t="shared" si="173"/>
        <v>1.0890805420132281</v>
      </c>
      <c r="Q324" s="718">
        <f t="shared" si="173"/>
        <v>1.0888405640858561</v>
      </c>
      <c r="R324" s="718">
        <f t="shared" si="173"/>
        <v>1.0885564915400114</v>
      </c>
      <c r="S324" s="718">
        <f t="shared" si="173"/>
        <v>1.088226900331001</v>
      </c>
      <c r="T324" s="718">
        <f t="shared" si="173"/>
        <v>1.0878867953682212</v>
      </c>
      <c r="U324" s="718">
        <f t="shared" si="173"/>
        <v>1.087549110051244</v>
      </c>
      <c r="V324" s="718">
        <f t="shared" si="173"/>
        <v>1.0872114019816861</v>
      </c>
      <c r="W324" s="718">
        <f t="shared" si="173"/>
        <v>1.0868759115883297</v>
      </c>
      <c r="X324" s="718">
        <f t="shared" si="173"/>
        <v>1.086543492903151</v>
      </c>
      <c r="Y324" s="718">
        <f t="shared" si="173"/>
        <v>1.0862137959685272</v>
      </c>
      <c r="Z324" s="718">
        <f t="shared" si="173"/>
        <v>1.0858870717622091</v>
      </c>
      <c r="AA324" s="718">
        <f t="shared" si="173"/>
        <v>1.0855661708255522</v>
      </c>
      <c r="AB324" s="718">
        <f t="shared" si="173"/>
        <v>1.0852484238006088</v>
      </c>
      <c r="AC324" s="718">
        <f t="shared" si="173"/>
        <v>1.0849339902769397</v>
      </c>
      <c r="AD324" s="718">
        <f t="shared" si="173"/>
        <v>1.0846223195833922</v>
      </c>
      <c r="AE324" s="718">
        <f t="shared" si="173"/>
        <v>1.0843133541445247</v>
      </c>
      <c r="AF324" s="718">
        <f t="shared" si="173"/>
        <v>1.0840072499365985</v>
      </c>
      <c r="AG324" s="718">
        <f t="shared" si="173"/>
        <v>1.0837040161523186</v>
      </c>
      <c r="AH324" s="718">
        <f t="shared" si="173"/>
        <v>1.0834035902167516</v>
      </c>
      <c r="AI324" s="718">
        <f t="shared" si="173"/>
        <v>1.0831060257404501</v>
      </c>
      <c r="AJ324" s="718">
        <f t="shared" si="173"/>
        <v>1.0828116304322912</v>
      </c>
      <c r="AK324" s="718">
        <f t="shared" si="173"/>
        <v>1.0825203440685931</v>
      </c>
      <c r="AL324" s="718"/>
      <c r="AM324" s="718"/>
      <c r="AN324" s="718"/>
      <c r="AO324" s="718"/>
      <c r="AP324" s="718"/>
      <c r="AQ324" s="718"/>
      <c r="AR324" s="718"/>
      <c r="AS324" s="718"/>
      <c r="AT324" s="718"/>
      <c r="AU324" s="718"/>
      <c r="AV324" s="718"/>
      <c r="AW324" s="718"/>
      <c r="AX324" s="718"/>
      <c r="AY324" s="718"/>
      <c r="AZ324" s="718"/>
      <c r="BA324" s="718"/>
      <c r="BB324" s="718"/>
      <c r="BC324" s="718"/>
      <c r="BD324" s="718"/>
      <c r="BE324" s="718"/>
      <c r="BF324" s="718"/>
      <c r="BG324" s="718"/>
      <c r="BH324" s="718"/>
      <c r="BI324" s="718"/>
      <c r="BJ324" s="718"/>
      <c r="BK324" s="718"/>
      <c r="BL324" s="718"/>
      <c r="BM324" s="718"/>
      <c r="BN324" s="718"/>
      <c r="BO324" s="718"/>
      <c r="BP324" s="718"/>
      <c r="BQ324" s="718"/>
      <c r="BR324" s="718"/>
      <c r="BS324" s="718"/>
      <c r="BT324" s="718"/>
      <c r="BU324" s="718"/>
      <c r="BV324" s="718"/>
      <c r="BW324" s="718"/>
      <c r="BX324" s="718"/>
      <c r="BY324" s="718"/>
      <c r="BZ324" s="718"/>
      <c r="CA324" s="718"/>
      <c r="CB324" s="718"/>
      <c r="CC324" s="718"/>
      <c r="CD324" s="718"/>
      <c r="CE324" s="718"/>
      <c r="CF324" s="718"/>
      <c r="CG324" s="718"/>
      <c r="CH324" s="718"/>
      <c r="CI324" s="719"/>
      <c r="CK324" s="1296"/>
    </row>
    <row r="325" spans="2:89" ht="15" thickBot="1" x14ac:dyDescent="0.25">
      <c r="B325" s="962" t="s">
        <v>723</v>
      </c>
      <c r="C325" s="963" t="s">
        <v>512</v>
      </c>
      <c r="D325" s="964" t="s">
        <v>724</v>
      </c>
      <c r="E325" s="965" t="s">
        <v>236</v>
      </c>
      <c r="F325" s="966">
        <v>2</v>
      </c>
      <c r="G325" s="729">
        <f t="shared" si="173"/>
        <v>0</v>
      </c>
      <c r="H325" s="729">
        <f t="shared" si="173"/>
        <v>0</v>
      </c>
      <c r="I325" s="729">
        <f t="shared" si="173"/>
        <v>0.71365102411868819</v>
      </c>
      <c r="J325" s="729">
        <f t="shared" si="173"/>
        <v>0.71365102411868819</v>
      </c>
      <c r="K325" s="729">
        <f t="shared" si="173"/>
        <v>0.71365102411868819</v>
      </c>
      <c r="L325" s="729">
        <f t="shared" si="173"/>
        <v>0.71365102411868819</v>
      </c>
      <c r="M325" s="758">
        <f t="shared" si="173"/>
        <v>0.71365102411868819</v>
      </c>
      <c r="N325" s="758">
        <f t="shared" si="173"/>
        <v>0.71365102411868819</v>
      </c>
      <c r="O325" s="758">
        <f t="shared" si="173"/>
        <v>0.71365102411868819</v>
      </c>
      <c r="P325" s="758">
        <f t="shared" si="173"/>
        <v>0.71365102411868819</v>
      </c>
      <c r="Q325" s="758">
        <f t="shared" si="173"/>
        <v>0.71365102411868819</v>
      </c>
      <c r="R325" s="758">
        <f t="shared" si="173"/>
        <v>0.71365102411868819</v>
      </c>
      <c r="S325" s="758">
        <f t="shared" si="173"/>
        <v>0.71365102411868819</v>
      </c>
      <c r="T325" s="758">
        <f t="shared" si="173"/>
        <v>0.71365102411868819</v>
      </c>
      <c r="U325" s="758">
        <f t="shared" si="173"/>
        <v>0.71365102411868819</v>
      </c>
      <c r="V325" s="758">
        <f t="shared" si="173"/>
        <v>0.71365102411868819</v>
      </c>
      <c r="W325" s="758">
        <f t="shared" si="173"/>
        <v>0.71365102411868819</v>
      </c>
      <c r="X325" s="758">
        <f t="shared" si="173"/>
        <v>0.71365102411868819</v>
      </c>
      <c r="Y325" s="758">
        <f t="shared" si="173"/>
        <v>0.71365102411868819</v>
      </c>
      <c r="Z325" s="758">
        <f t="shared" si="173"/>
        <v>0.71365102411868819</v>
      </c>
      <c r="AA325" s="758">
        <f t="shared" si="173"/>
        <v>0.71365102411868819</v>
      </c>
      <c r="AB325" s="758">
        <f t="shared" si="173"/>
        <v>0.71365102411868819</v>
      </c>
      <c r="AC325" s="758">
        <f t="shared" si="173"/>
        <v>0.71365102411868819</v>
      </c>
      <c r="AD325" s="758">
        <f t="shared" si="173"/>
        <v>0.71365102411868819</v>
      </c>
      <c r="AE325" s="758">
        <f t="shared" si="173"/>
        <v>0.71365102411868819</v>
      </c>
      <c r="AF325" s="758">
        <f t="shared" si="173"/>
        <v>0.71365102411868819</v>
      </c>
      <c r="AG325" s="758">
        <f t="shared" si="173"/>
        <v>0.71365102411868819</v>
      </c>
      <c r="AH325" s="758">
        <f t="shared" si="173"/>
        <v>0.71365102411868819</v>
      </c>
      <c r="AI325" s="758">
        <f t="shared" si="173"/>
        <v>0.71365102411868819</v>
      </c>
      <c r="AJ325" s="758">
        <f t="shared" si="173"/>
        <v>0.71365102411868819</v>
      </c>
      <c r="AK325" s="758">
        <f t="shared" si="173"/>
        <v>0.71365102411868819</v>
      </c>
      <c r="AL325" s="758"/>
      <c r="AM325" s="758"/>
      <c r="AN325" s="758"/>
      <c r="AO325" s="758"/>
      <c r="AP325" s="758"/>
      <c r="AQ325" s="758"/>
      <c r="AR325" s="758"/>
      <c r="AS325" s="758"/>
      <c r="AT325" s="758"/>
      <c r="AU325" s="758"/>
      <c r="AV325" s="758"/>
      <c r="AW325" s="758"/>
      <c r="AX325" s="758"/>
      <c r="AY325" s="758"/>
      <c r="AZ325" s="758"/>
      <c r="BA325" s="758"/>
      <c r="BB325" s="758"/>
      <c r="BC325" s="758"/>
      <c r="BD325" s="758"/>
      <c r="BE325" s="758"/>
      <c r="BF325" s="758"/>
      <c r="BG325" s="758"/>
      <c r="BH325" s="758"/>
      <c r="BI325" s="758"/>
      <c r="BJ325" s="758"/>
      <c r="BK325" s="758"/>
      <c r="BL325" s="758"/>
      <c r="BM325" s="758"/>
      <c r="BN325" s="758"/>
      <c r="BO325" s="758"/>
      <c r="BP325" s="758"/>
      <c r="BQ325" s="758"/>
      <c r="BR325" s="758"/>
      <c r="BS325" s="758"/>
      <c r="BT325" s="758"/>
      <c r="BU325" s="758"/>
      <c r="BV325" s="758"/>
      <c r="BW325" s="758"/>
      <c r="BX325" s="758"/>
      <c r="BY325" s="758"/>
      <c r="BZ325" s="758"/>
      <c r="CA325" s="758"/>
      <c r="CB325" s="758"/>
      <c r="CC325" s="758"/>
      <c r="CD325" s="758"/>
      <c r="CE325" s="758"/>
      <c r="CF325" s="758"/>
      <c r="CG325" s="758"/>
      <c r="CH325" s="758"/>
      <c r="CI325" s="759"/>
      <c r="CK325" s="1296"/>
    </row>
    <row r="326" spans="2:89" x14ac:dyDescent="0.2">
      <c r="B326" s="933" t="s">
        <v>725</v>
      </c>
      <c r="C326" s="934" t="s">
        <v>514</v>
      </c>
      <c r="D326" s="925" t="s">
        <v>726</v>
      </c>
      <c r="E326" s="935" t="s">
        <v>236</v>
      </c>
      <c r="F326" s="936">
        <v>2</v>
      </c>
      <c r="G326" s="735">
        <f t="shared" si="173"/>
        <v>0</v>
      </c>
      <c r="H326" s="735">
        <f t="shared" si="173"/>
        <v>0</v>
      </c>
      <c r="I326" s="735">
        <f t="shared" si="173"/>
        <v>3.1940738474326512E-2</v>
      </c>
      <c r="J326" s="735">
        <f t="shared" si="173"/>
        <v>4.0251839304238653E-2</v>
      </c>
      <c r="K326" s="735">
        <f t="shared" si="173"/>
        <v>3.8869775634189051E-2</v>
      </c>
      <c r="L326" s="735">
        <f t="shared" si="173"/>
        <v>3.8091231352925789E-2</v>
      </c>
      <c r="M326" s="736">
        <f t="shared" si="173"/>
        <v>3.8805324773378946E-2</v>
      </c>
      <c r="N326" s="736">
        <f t="shared" si="173"/>
        <v>3.8578844289331123E-2</v>
      </c>
      <c r="O326" s="736">
        <f t="shared" si="173"/>
        <v>3.8348810928821878E-2</v>
      </c>
      <c r="P326" s="736">
        <f t="shared" si="173"/>
        <v>3.8115224691851225E-2</v>
      </c>
      <c r="Q326" s="736">
        <f t="shared" si="173"/>
        <v>3.7878085578419138E-2</v>
      </c>
      <c r="R326" s="736">
        <f t="shared" si="173"/>
        <v>3.7637393588525657E-2</v>
      </c>
      <c r="S326" s="736">
        <f t="shared" si="173"/>
        <v>3.7393148722170755E-2</v>
      </c>
      <c r="T326" s="736">
        <f t="shared" si="173"/>
        <v>3.7145350979354431E-2</v>
      </c>
      <c r="U326" s="736">
        <f t="shared" si="173"/>
        <v>3.6894000360076701E-2</v>
      </c>
      <c r="V326" s="736">
        <f t="shared" si="173"/>
        <v>3.6639096864337542E-2</v>
      </c>
      <c r="W326" s="736">
        <f t="shared" si="173"/>
        <v>3.6380640492136976E-2</v>
      </c>
      <c r="X326" s="736">
        <f t="shared" si="173"/>
        <v>3.6118631243474981E-2</v>
      </c>
      <c r="Y326" s="736">
        <f t="shared" si="173"/>
        <v>3.5853069118351573E-2</v>
      </c>
      <c r="Z326" s="736">
        <f t="shared" si="173"/>
        <v>3.5583954116766764E-2</v>
      </c>
      <c r="AA326" s="736">
        <f t="shared" si="173"/>
        <v>3.531128623872052E-2</v>
      </c>
      <c r="AB326" s="736">
        <f t="shared" si="173"/>
        <v>3.5035065484212861E-2</v>
      </c>
      <c r="AC326" s="736">
        <f t="shared" si="173"/>
        <v>3.4755291853243796E-2</v>
      </c>
      <c r="AD326" s="736">
        <f t="shared" si="173"/>
        <v>3.4471965345813309E-2</v>
      </c>
      <c r="AE326" s="736">
        <f t="shared" si="173"/>
        <v>3.4185085961921394E-2</v>
      </c>
      <c r="AF326" s="736">
        <f t="shared" si="173"/>
        <v>3.3894653701568085E-2</v>
      </c>
      <c r="AG326" s="736">
        <f t="shared" si="173"/>
        <v>3.3600668564753342E-2</v>
      </c>
      <c r="AH326" s="736">
        <f t="shared" si="173"/>
        <v>3.3303130551477197E-2</v>
      </c>
      <c r="AI326" s="736">
        <f t="shared" si="173"/>
        <v>3.3002039661739618E-2</v>
      </c>
      <c r="AJ326" s="736">
        <f t="shared" si="173"/>
        <v>3.2697395895540632E-2</v>
      </c>
      <c r="AK326" s="736">
        <f t="shared" si="173"/>
        <v>3.2389199252880231E-2</v>
      </c>
      <c r="AL326" s="736"/>
      <c r="AM326" s="736"/>
      <c r="AN326" s="736"/>
      <c r="AO326" s="736"/>
      <c r="AP326" s="736"/>
      <c r="AQ326" s="736"/>
      <c r="AR326" s="736"/>
      <c r="AS326" s="736"/>
      <c r="AT326" s="736"/>
      <c r="AU326" s="736"/>
      <c r="AV326" s="736"/>
      <c r="AW326" s="736"/>
      <c r="AX326" s="736"/>
      <c r="AY326" s="736"/>
      <c r="AZ326" s="736"/>
      <c r="BA326" s="736"/>
      <c r="BB326" s="736"/>
      <c r="BC326" s="736"/>
      <c r="BD326" s="736"/>
      <c r="BE326" s="736"/>
      <c r="BF326" s="736"/>
      <c r="BG326" s="736"/>
      <c r="BH326" s="736"/>
      <c r="BI326" s="736"/>
      <c r="BJ326" s="736"/>
      <c r="BK326" s="736"/>
      <c r="BL326" s="736"/>
      <c r="BM326" s="736"/>
      <c r="BN326" s="736"/>
      <c r="BO326" s="736"/>
      <c r="BP326" s="736"/>
      <c r="BQ326" s="736"/>
      <c r="BR326" s="736"/>
      <c r="BS326" s="736"/>
      <c r="BT326" s="736"/>
      <c r="BU326" s="736"/>
      <c r="BV326" s="736"/>
      <c r="BW326" s="736"/>
      <c r="BX326" s="736"/>
      <c r="BY326" s="736"/>
      <c r="BZ326" s="736"/>
      <c r="CA326" s="736"/>
      <c r="CB326" s="736"/>
      <c r="CC326" s="736"/>
      <c r="CD326" s="736"/>
      <c r="CE326" s="736"/>
      <c r="CF326" s="736"/>
      <c r="CG326" s="736"/>
      <c r="CH326" s="736"/>
      <c r="CI326" s="737"/>
      <c r="CK326" s="1296"/>
    </row>
    <row r="327" spans="2:89" x14ac:dyDescent="0.2">
      <c r="B327" s="940" t="s">
        <v>727</v>
      </c>
      <c r="C327" s="901" t="s">
        <v>516</v>
      </c>
      <c r="D327" s="907" t="s">
        <v>728</v>
      </c>
      <c r="E327" s="938" t="s">
        <v>236</v>
      </c>
      <c r="F327" s="939">
        <v>2</v>
      </c>
      <c r="G327" s="569">
        <f t="shared" si="173"/>
        <v>0</v>
      </c>
      <c r="H327" s="569">
        <f t="shared" si="173"/>
        <v>0</v>
      </c>
      <c r="I327" s="569">
        <f t="shared" si="173"/>
        <v>2.9136428712953424E-3</v>
      </c>
      <c r="J327" s="569">
        <f t="shared" si="173"/>
        <v>2.9391133179009492E-3</v>
      </c>
      <c r="K327" s="569">
        <f t="shared" si="173"/>
        <v>2.7918244958601225E-3</v>
      </c>
      <c r="L327" s="569">
        <f t="shared" si="173"/>
        <v>1.6155685626926231E-3</v>
      </c>
      <c r="M327" s="718">
        <f t="shared" si="173"/>
        <v>7.4949833345018665E-4</v>
      </c>
      <c r="N327" s="718">
        <f t="shared" si="173"/>
        <v>7.2391071991669367E-4</v>
      </c>
      <c r="O327" s="718">
        <f t="shared" si="173"/>
        <v>6.9869406375487478E-4</v>
      </c>
      <c r="P327" s="718">
        <f t="shared" si="173"/>
        <v>6.7384836496472999E-4</v>
      </c>
      <c r="Q327" s="718">
        <f t="shared" si="173"/>
        <v>6.4937362354625951E-4</v>
      </c>
      <c r="R327" s="718">
        <f t="shared" si="173"/>
        <v>6.2526983949946335E-4</v>
      </c>
      <c r="S327" s="718">
        <f t="shared" si="173"/>
        <v>6.0153701282434139E-4</v>
      </c>
      <c r="T327" s="718">
        <f t="shared" si="173"/>
        <v>5.7817514352089363E-4</v>
      </c>
      <c r="U327" s="718">
        <f t="shared" si="173"/>
        <v>5.5518423158911975E-4</v>
      </c>
      <c r="V327" s="718">
        <f t="shared" si="173"/>
        <v>5.489821980665799E-4</v>
      </c>
      <c r="W327" s="718">
        <f t="shared" si="173"/>
        <v>5.4278016454404005E-4</v>
      </c>
      <c r="X327" s="718">
        <f t="shared" si="173"/>
        <v>5.3657813102150019E-4</v>
      </c>
      <c r="Y327" s="718">
        <f t="shared" si="173"/>
        <v>5.3037609749896023E-4</v>
      </c>
      <c r="Z327" s="718">
        <f t="shared" si="173"/>
        <v>5.2417406397642049E-4</v>
      </c>
      <c r="AA327" s="718">
        <f t="shared" si="173"/>
        <v>5.1797203045388064E-4</v>
      </c>
      <c r="AB327" s="718">
        <f t="shared" si="173"/>
        <v>5.1176999693134078E-4</v>
      </c>
      <c r="AC327" s="718">
        <f t="shared" si="173"/>
        <v>5.0556796340880071E-4</v>
      </c>
      <c r="AD327" s="718">
        <f t="shared" si="173"/>
        <v>4.9936592988626075E-4</v>
      </c>
      <c r="AE327" s="718">
        <f t="shared" si="173"/>
        <v>4.931638963637209E-4</v>
      </c>
      <c r="AF327" s="718">
        <f t="shared" si="173"/>
        <v>4.8696186284118132E-4</v>
      </c>
      <c r="AG327" s="718">
        <f t="shared" si="173"/>
        <v>4.8075982931864119E-4</v>
      </c>
      <c r="AH327" s="718">
        <f t="shared" si="173"/>
        <v>4.7455779579610134E-4</v>
      </c>
      <c r="AI327" s="718">
        <f t="shared" si="173"/>
        <v>4.6835576227356149E-4</v>
      </c>
      <c r="AJ327" s="718">
        <f t="shared" si="173"/>
        <v>4.6215372875102158E-4</v>
      </c>
      <c r="AK327" s="718">
        <f t="shared" si="173"/>
        <v>4.5595169522848162E-4</v>
      </c>
      <c r="AL327" s="718"/>
      <c r="AM327" s="718"/>
      <c r="AN327" s="718"/>
      <c r="AO327" s="718"/>
      <c r="AP327" s="718"/>
      <c r="AQ327" s="718"/>
      <c r="AR327" s="718"/>
      <c r="AS327" s="718"/>
      <c r="AT327" s="718"/>
      <c r="AU327" s="718"/>
      <c r="AV327" s="718"/>
      <c r="AW327" s="718"/>
      <c r="AX327" s="718"/>
      <c r="AY327" s="718"/>
      <c r="AZ327" s="718"/>
      <c r="BA327" s="718"/>
      <c r="BB327" s="718"/>
      <c r="BC327" s="718"/>
      <c r="BD327" s="718"/>
      <c r="BE327" s="718"/>
      <c r="BF327" s="718"/>
      <c r="BG327" s="718"/>
      <c r="BH327" s="718"/>
      <c r="BI327" s="718"/>
      <c r="BJ327" s="718"/>
      <c r="BK327" s="718"/>
      <c r="BL327" s="718"/>
      <c r="BM327" s="718"/>
      <c r="BN327" s="718"/>
      <c r="BO327" s="718"/>
      <c r="BP327" s="718"/>
      <c r="BQ327" s="718"/>
      <c r="BR327" s="718"/>
      <c r="BS327" s="718"/>
      <c r="BT327" s="718"/>
      <c r="BU327" s="718"/>
      <c r="BV327" s="718"/>
      <c r="BW327" s="718"/>
      <c r="BX327" s="718"/>
      <c r="BY327" s="718"/>
      <c r="BZ327" s="718"/>
      <c r="CA327" s="718"/>
      <c r="CB327" s="718"/>
      <c r="CC327" s="718"/>
      <c r="CD327" s="718"/>
      <c r="CE327" s="718"/>
      <c r="CF327" s="718"/>
      <c r="CG327" s="718"/>
      <c r="CH327" s="718"/>
      <c r="CI327" s="719"/>
      <c r="CK327" s="1296"/>
    </row>
    <row r="328" spans="2:89" x14ac:dyDescent="0.2">
      <c r="B328" s="940" t="s">
        <v>729</v>
      </c>
      <c r="C328" s="901" t="s">
        <v>518</v>
      </c>
      <c r="D328" s="907" t="s">
        <v>730</v>
      </c>
      <c r="E328" s="938" t="s">
        <v>236</v>
      </c>
      <c r="F328" s="939">
        <v>2</v>
      </c>
      <c r="G328" s="569">
        <f t="shared" ref="G328:AK331" si="174">G238+G296</f>
        <v>0</v>
      </c>
      <c r="H328" s="569">
        <f t="shared" si="174"/>
        <v>0</v>
      </c>
      <c r="I328" s="569">
        <f t="shared" si="174"/>
        <v>0.39965056297299739</v>
      </c>
      <c r="J328" s="569">
        <f t="shared" si="174"/>
        <v>0.46831854841479637</v>
      </c>
      <c r="K328" s="569">
        <f t="shared" si="174"/>
        <v>0.45994932996175353</v>
      </c>
      <c r="L328" s="569">
        <f t="shared" si="174"/>
        <v>0.45604570269946643</v>
      </c>
      <c r="M328" s="718">
        <f t="shared" si="174"/>
        <v>0.47139960129888203</v>
      </c>
      <c r="N328" s="718">
        <f t="shared" si="174"/>
        <v>0.49069545753174137</v>
      </c>
      <c r="O328" s="718">
        <f t="shared" si="174"/>
        <v>0.5204012885717062</v>
      </c>
      <c r="P328" s="718">
        <f t="shared" si="174"/>
        <v>0.5579540047732352</v>
      </c>
      <c r="Q328" s="718">
        <f t="shared" si="174"/>
        <v>0.58278308184538408</v>
      </c>
      <c r="R328" s="718">
        <f t="shared" si="174"/>
        <v>0.58768802934800823</v>
      </c>
      <c r="S328" s="718">
        <f t="shared" si="174"/>
        <v>0.58450937491626354</v>
      </c>
      <c r="T328" s="718">
        <f t="shared" si="174"/>
        <v>0.58121703294271587</v>
      </c>
      <c r="U328" s="718">
        <f t="shared" si="174"/>
        <v>0.57782454485080881</v>
      </c>
      <c r="V328" s="718">
        <f t="shared" si="174"/>
        <v>0.57433484544723556</v>
      </c>
      <c r="W328" s="718">
        <f t="shared" si="174"/>
        <v>0.57077664199686762</v>
      </c>
      <c r="X328" s="718">
        <f t="shared" si="174"/>
        <v>0.56714601412994625</v>
      </c>
      <c r="Y328" s="718">
        <f t="shared" si="174"/>
        <v>0.56341952898025116</v>
      </c>
      <c r="Z328" s="718">
        <f t="shared" si="174"/>
        <v>0.55959516084752514</v>
      </c>
      <c r="AA328" s="718">
        <f t="shared" si="174"/>
        <v>0.55561609057043726</v>
      </c>
      <c r="AB328" s="718">
        <f t="shared" si="174"/>
        <v>0.55154241176104857</v>
      </c>
      <c r="AC328" s="718">
        <f t="shared" si="174"/>
        <v>0.54737777066525761</v>
      </c>
      <c r="AD328" s="718">
        <f t="shared" si="174"/>
        <v>0.5431234072726161</v>
      </c>
      <c r="AE328" s="718">
        <f t="shared" si="174"/>
        <v>0.53878160909839523</v>
      </c>
      <c r="AF328" s="718">
        <f t="shared" si="174"/>
        <v>0.53435156946625517</v>
      </c>
      <c r="AG328" s="718">
        <f t="shared" si="174"/>
        <v>0.52983428529215271</v>
      </c>
      <c r="AH328" s="718">
        <f t="shared" si="174"/>
        <v>0.52523116285517191</v>
      </c>
      <c r="AI328" s="718">
        <f t="shared" si="174"/>
        <v>0.52054254010022971</v>
      </c>
      <c r="AJ328" s="718">
        <f t="shared" si="174"/>
        <v>0.51576679756425847</v>
      </c>
      <c r="AK328" s="718">
        <f t="shared" si="174"/>
        <v>0.51090584767748937</v>
      </c>
      <c r="AL328" s="718"/>
      <c r="AM328" s="718"/>
      <c r="AN328" s="718"/>
      <c r="AO328" s="718"/>
      <c r="AP328" s="718"/>
      <c r="AQ328" s="718"/>
      <c r="AR328" s="718"/>
      <c r="AS328" s="718"/>
      <c r="AT328" s="718"/>
      <c r="AU328" s="718"/>
      <c r="AV328" s="718"/>
      <c r="AW328" s="718"/>
      <c r="AX328" s="718"/>
      <c r="AY328" s="718"/>
      <c r="AZ328" s="718"/>
      <c r="BA328" s="718"/>
      <c r="BB328" s="718"/>
      <c r="BC328" s="718"/>
      <c r="BD328" s="718"/>
      <c r="BE328" s="718"/>
      <c r="BF328" s="718"/>
      <c r="BG328" s="718"/>
      <c r="BH328" s="718"/>
      <c r="BI328" s="718"/>
      <c r="BJ328" s="718"/>
      <c r="BK328" s="718"/>
      <c r="BL328" s="718"/>
      <c r="BM328" s="718"/>
      <c r="BN328" s="718"/>
      <c r="BO328" s="718"/>
      <c r="BP328" s="718"/>
      <c r="BQ328" s="718"/>
      <c r="BR328" s="718"/>
      <c r="BS328" s="718"/>
      <c r="BT328" s="718"/>
      <c r="BU328" s="718"/>
      <c r="BV328" s="718"/>
      <c r="BW328" s="718"/>
      <c r="BX328" s="718"/>
      <c r="BY328" s="718"/>
      <c r="BZ328" s="718"/>
      <c r="CA328" s="718"/>
      <c r="CB328" s="718"/>
      <c r="CC328" s="718"/>
      <c r="CD328" s="718"/>
      <c r="CE328" s="718"/>
      <c r="CF328" s="718"/>
      <c r="CG328" s="718"/>
      <c r="CH328" s="718"/>
      <c r="CI328" s="719"/>
      <c r="CK328" s="1296"/>
    </row>
    <row r="329" spans="2:89" x14ac:dyDescent="0.2">
      <c r="B329" s="940" t="s">
        <v>731</v>
      </c>
      <c r="C329" s="901" t="s">
        <v>520</v>
      </c>
      <c r="D329" s="907" t="s">
        <v>732</v>
      </c>
      <c r="E329" s="938" t="s">
        <v>236</v>
      </c>
      <c r="F329" s="939">
        <v>2</v>
      </c>
      <c r="G329" s="569">
        <f t="shared" si="174"/>
        <v>0</v>
      </c>
      <c r="H329" s="569">
        <f t="shared" si="174"/>
        <v>0</v>
      </c>
      <c r="I329" s="569">
        <f t="shared" si="174"/>
        <v>0.33594718026353254</v>
      </c>
      <c r="J329" s="569">
        <f t="shared" si="174"/>
        <v>0.38727948170714011</v>
      </c>
      <c r="K329" s="569">
        <f t="shared" si="174"/>
        <v>0.36743741027069388</v>
      </c>
      <c r="L329" s="569">
        <f t="shared" si="174"/>
        <v>0.33979624292718547</v>
      </c>
      <c r="M329" s="718">
        <f t="shared" si="174"/>
        <v>0.31009827814125374</v>
      </c>
      <c r="N329" s="718">
        <f t="shared" si="174"/>
        <v>0.26366269713093837</v>
      </c>
      <c r="O329" s="718">
        <f t="shared" si="174"/>
        <v>0.18900064535533342</v>
      </c>
      <c r="P329" s="718">
        <f t="shared" si="174"/>
        <v>9.442166156025994E-2</v>
      </c>
      <c r="Q329" s="718">
        <f t="shared" si="174"/>
        <v>2.876636246416453E-2</v>
      </c>
      <c r="R329" s="718">
        <f t="shared" si="174"/>
        <v>9.7575984491450329E-3</v>
      </c>
      <c r="S329" s="718">
        <f t="shared" si="174"/>
        <v>9.560557934436914E-3</v>
      </c>
      <c r="T329" s="718">
        <f t="shared" si="174"/>
        <v>9.3857944471695265E-3</v>
      </c>
      <c r="U329" s="718">
        <f t="shared" si="174"/>
        <v>9.2241849467551429E-3</v>
      </c>
      <c r="V329" s="718">
        <f t="shared" si="174"/>
        <v>9.0753406517795343E-3</v>
      </c>
      <c r="W329" s="718">
        <f t="shared" si="174"/>
        <v>8.8764940134146708E-3</v>
      </c>
      <c r="X329" s="718">
        <f t="shared" si="174"/>
        <v>8.6181825477538443E-3</v>
      </c>
      <c r="Y329" s="718">
        <f t="shared" si="174"/>
        <v>8.3634977881369144E-3</v>
      </c>
      <c r="Z329" s="718">
        <f t="shared" si="174"/>
        <v>8.1124397345639088E-3</v>
      </c>
      <c r="AA329" s="718">
        <f t="shared" si="174"/>
        <v>7.8758316058911426E-3</v>
      </c>
      <c r="AB329" s="718">
        <f t="shared" si="174"/>
        <v>7.6426306136413158E-3</v>
      </c>
      <c r="AC329" s="718">
        <f t="shared" si="174"/>
        <v>7.4022808165733478E-3</v>
      </c>
      <c r="AD329" s="718">
        <f t="shared" si="174"/>
        <v>7.1655555712339947E-3</v>
      </c>
      <c r="AE329" s="718">
        <f t="shared" si="174"/>
        <v>6.9324548776232287E-3</v>
      </c>
      <c r="AF329" s="718">
        <f t="shared" si="174"/>
        <v>6.702978735741022E-3</v>
      </c>
      <c r="AG329" s="718">
        <f t="shared" si="174"/>
        <v>6.4771271455874024E-3</v>
      </c>
      <c r="AH329" s="718">
        <f t="shared" si="174"/>
        <v>6.2549001071623977E-3</v>
      </c>
      <c r="AI329" s="718">
        <f t="shared" si="174"/>
        <v>6.0362976204659247E-3</v>
      </c>
      <c r="AJ329" s="718">
        <f t="shared" si="174"/>
        <v>5.8213196854980664E-3</v>
      </c>
      <c r="AK329" s="718">
        <f t="shared" si="174"/>
        <v>5.6099663022587953E-3</v>
      </c>
      <c r="AL329" s="718"/>
      <c r="AM329" s="718"/>
      <c r="AN329" s="718"/>
      <c r="AO329" s="718"/>
      <c r="AP329" s="718"/>
      <c r="AQ329" s="718"/>
      <c r="AR329" s="718"/>
      <c r="AS329" s="718"/>
      <c r="AT329" s="718"/>
      <c r="AU329" s="718"/>
      <c r="AV329" s="718"/>
      <c r="AW329" s="718"/>
      <c r="AX329" s="718"/>
      <c r="AY329" s="718"/>
      <c r="AZ329" s="718"/>
      <c r="BA329" s="718"/>
      <c r="BB329" s="718"/>
      <c r="BC329" s="718"/>
      <c r="BD329" s="718"/>
      <c r="BE329" s="718"/>
      <c r="BF329" s="718"/>
      <c r="BG329" s="718"/>
      <c r="BH329" s="718"/>
      <c r="BI329" s="718"/>
      <c r="BJ329" s="718"/>
      <c r="BK329" s="718"/>
      <c r="BL329" s="718"/>
      <c r="BM329" s="718"/>
      <c r="BN329" s="718"/>
      <c r="BO329" s="718"/>
      <c r="BP329" s="718"/>
      <c r="BQ329" s="718"/>
      <c r="BR329" s="718"/>
      <c r="BS329" s="718"/>
      <c r="BT329" s="718"/>
      <c r="BU329" s="718"/>
      <c r="BV329" s="718"/>
      <c r="BW329" s="718"/>
      <c r="BX329" s="718"/>
      <c r="BY329" s="718"/>
      <c r="BZ329" s="718"/>
      <c r="CA329" s="718"/>
      <c r="CB329" s="718"/>
      <c r="CC329" s="718"/>
      <c r="CD329" s="718"/>
      <c r="CE329" s="718"/>
      <c r="CF329" s="718"/>
      <c r="CG329" s="718"/>
      <c r="CH329" s="718"/>
      <c r="CI329" s="719"/>
      <c r="CK329" s="1296"/>
    </row>
    <row r="330" spans="2:89" x14ac:dyDescent="0.2">
      <c r="B330" s="940" t="s">
        <v>733</v>
      </c>
      <c r="C330" s="901" t="s">
        <v>522</v>
      </c>
      <c r="D330" s="907" t="s">
        <v>734</v>
      </c>
      <c r="E330" s="938" t="s">
        <v>236</v>
      </c>
      <c r="F330" s="939">
        <v>2</v>
      </c>
      <c r="G330" s="569">
        <f t="shared" si="174"/>
        <v>0</v>
      </c>
      <c r="H330" s="569">
        <f t="shared" si="174"/>
        <v>0</v>
      </c>
      <c r="I330" s="569">
        <f t="shared" si="174"/>
        <v>5.1229979988093338E-2</v>
      </c>
      <c r="J330" s="569">
        <f t="shared" si="174"/>
        <v>5.9579652879111059E-2</v>
      </c>
      <c r="K330" s="569">
        <f t="shared" si="174"/>
        <v>6.0149596757885018E-2</v>
      </c>
      <c r="L330" s="569">
        <f t="shared" si="174"/>
        <v>6.028343187482562E-2</v>
      </c>
      <c r="M330" s="718">
        <f t="shared" si="174"/>
        <v>5.9249757135764379E-2</v>
      </c>
      <c r="N330" s="718">
        <f t="shared" si="174"/>
        <v>5.9500203872080062E-2</v>
      </c>
      <c r="O330" s="718">
        <f t="shared" si="174"/>
        <v>5.9828000330152571E-2</v>
      </c>
      <c r="P330" s="718">
        <f t="shared" si="174"/>
        <v>6.0085444848006903E-2</v>
      </c>
      <c r="Q330" s="718">
        <f t="shared" si="174"/>
        <v>6.0325422775378994E-2</v>
      </c>
      <c r="R330" s="718">
        <f t="shared" si="174"/>
        <v>6.0609495321223401E-2</v>
      </c>
      <c r="S330" s="718">
        <f t="shared" si="174"/>
        <v>6.0939086530233978E-2</v>
      </c>
      <c r="T330" s="718">
        <f t="shared" si="174"/>
        <v>6.1279191493013821E-2</v>
      </c>
      <c r="U330" s="718">
        <f t="shared" si="174"/>
        <v>6.1616876809991047E-2</v>
      </c>
      <c r="V330" s="718">
        <f t="shared" si="174"/>
        <v>6.1954584879548816E-2</v>
      </c>
      <c r="W330" s="718">
        <f t="shared" si="174"/>
        <v>6.2290075272905261E-2</v>
      </c>
      <c r="X330" s="718">
        <f t="shared" si="174"/>
        <v>6.2622493958084044E-2</v>
      </c>
      <c r="Y330" s="718">
        <f t="shared" si="174"/>
        <v>6.2952190892707774E-2</v>
      </c>
      <c r="Z330" s="718">
        <f t="shared" si="174"/>
        <v>6.3278915099025834E-2</v>
      </c>
      <c r="AA330" s="718">
        <f t="shared" si="174"/>
        <v>6.3599816035682821E-2</v>
      </c>
      <c r="AB330" s="718">
        <f t="shared" si="174"/>
        <v>6.3917563060626195E-2</v>
      </c>
      <c r="AC330" s="718">
        <f t="shared" si="174"/>
        <v>6.4231996584295334E-2</v>
      </c>
      <c r="AD330" s="718">
        <f t="shared" si="174"/>
        <v>6.454366727784272E-2</v>
      </c>
      <c r="AE330" s="718">
        <f t="shared" si="174"/>
        <v>6.4852632716710351E-2</v>
      </c>
      <c r="AF330" s="718">
        <f t="shared" si="174"/>
        <v>6.5158736924636487E-2</v>
      </c>
      <c r="AG330" s="718">
        <f t="shared" si="174"/>
        <v>6.5461970708916351E-2</v>
      </c>
      <c r="AH330" s="718">
        <f t="shared" si="174"/>
        <v>6.5762396644483426E-2</v>
      </c>
      <c r="AI330" s="718">
        <f t="shared" si="174"/>
        <v>6.6059961120784896E-2</v>
      </c>
      <c r="AJ330" s="718">
        <f t="shared" si="174"/>
        <v>6.6354356428943606E-2</v>
      </c>
      <c r="AK330" s="718">
        <f t="shared" si="174"/>
        <v>6.664564279264186E-2</v>
      </c>
      <c r="AL330" s="718"/>
      <c r="AM330" s="718"/>
      <c r="AN330" s="718"/>
      <c r="AO330" s="718"/>
      <c r="AP330" s="718"/>
      <c r="AQ330" s="718"/>
      <c r="AR330" s="718"/>
      <c r="AS330" s="718"/>
      <c r="AT330" s="718"/>
      <c r="AU330" s="718"/>
      <c r="AV330" s="718"/>
      <c r="AW330" s="718"/>
      <c r="AX330" s="718"/>
      <c r="AY330" s="718"/>
      <c r="AZ330" s="718"/>
      <c r="BA330" s="718"/>
      <c r="BB330" s="718"/>
      <c r="BC330" s="718"/>
      <c r="BD330" s="718"/>
      <c r="BE330" s="718"/>
      <c r="BF330" s="718"/>
      <c r="BG330" s="718"/>
      <c r="BH330" s="718"/>
      <c r="BI330" s="718"/>
      <c r="BJ330" s="718"/>
      <c r="BK330" s="718"/>
      <c r="BL330" s="718"/>
      <c r="BM330" s="718"/>
      <c r="BN330" s="718"/>
      <c r="BO330" s="718"/>
      <c r="BP330" s="718"/>
      <c r="BQ330" s="718"/>
      <c r="BR330" s="718"/>
      <c r="BS330" s="718"/>
      <c r="BT330" s="718"/>
      <c r="BU330" s="718"/>
      <c r="BV330" s="718"/>
      <c r="BW330" s="718"/>
      <c r="BX330" s="718"/>
      <c r="BY330" s="718"/>
      <c r="BZ330" s="718"/>
      <c r="CA330" s="718"/>
      <c r="CB330" s="718"/>
      <c r="CC330" s="718"/>
      <c r="CD330" s="718"/>
      <c r="CE330" s="718"/>
      <c r="CF330" s="718"/>
      <c r="CG330" s="718"/>
      <c r="CH330" s="718"/>
      <c r="CI330" s="719"/>
      <c r="CK330" s="1296"/>
    </row>
    <row r="331" spans="2:89" x14ac:dyDescent="0.2">
      <c r="B331" s="940" t="s">
        <v>735</v>
      </c>
      <c r="C331" s="904" t="s">
        <v>524</v>
      </c>
      <c r="D331" s="907" t="s">
        <v>736</v>
      </c>
      <c r="E331" s="938" t="s">
        <v>236</v>
      </c>
      <c r="F331" s="939">
        <v>2</v>
      </c>
      <c r="G331" s="569">
        <f t="shared" si="174"/>
        <v>0</v>
      </c>
      <c r="H331" s="569">
        <f t="shared" si="174"/>
        <v>0</v>
      </c>
      <c r="I331" s="569">
        <f t="shared" si="174"/>
        <v>1.89237436365741</v>
      </c>
      <c r="J331" s="569">
        <f t="shared" si="174"/>
        <v>2.0526977643768127</v>
      </c>
      <c r="K331" s="569">
        <f t="shared" si="174"/>
        <v>1.964117262879618</v>
      </c>
      <c r="L331" s="569">
        <f t="shared" si="174"/>
        <v>1.8797318225829041</v>
      </c>
      <c r="M331" s="718">
        <f t="shared" si="174"/>
        <v>1.8670879403172709</v>
      </c>
      <c r="N331" s="718">
        <f t="shared" si="174"/>
        <v>1.8660556864559923</v>
      </c>
      <c r="O331" s="718">
        <f t="shared" si="174"/>
        <v>1.8827657607502308</v>
      </c>
      <c r="P331" s="718">
        <f t="shared" si="174"/>
        <v>1.9116194157616815</v>
      </c>
      <c r="Q331" s="718">
        <f t="shared" si="174"/>
        <v>1.9242936737131067</v>
      </c>
      <c r="R331" s="718">
        <f t="shared" si="174"/>
        <v>1.9102046134535975</v>
      </c>
      <c r="S331" s="718">
        <f t="shared" si="174"/>
        <v>1.8853450948840695</v>
      </c>
      <c r="T331" s="718">
        <f t="shared" si="174"/>
        <v>1.8605696549942246</v>
      </c>
      <c r="U331" s="718">
        <f t="shared" si="174"/>
        <v>1.8358868088007783</v>
      </c>
      <c r="V331" s="718">
        <f t="shared" si="174"/>
        <v>1.8112751499590307</v>
      </c>
      <c r="W331" s="718">
        <f t="shared" si="174"/>
        <v>1.7867877680601301</v>
      </c>
      <c r="X331" s="718">
        <f t="shared" si="174"/>
        <v>1.7624388999897178</v>
      </c>
      <c r="Y331" s="718">
        <f t="shared" si="174"/>
        <v>1.7381885371230519</v>
      </c>
      <c r="Z331" s="718">
        <f t="shared" si="174"/>
        <v>1.7140389561381402</v>
      </c>
      <c r="AA331" s="718">
        <f t="shared" si="174"/>
        <v>1.6900390035188126</v>
      </c>
      <c r="AB331" s="718">
        <f t="shared" si="174"/>
        <v>1.6661369590835378</v>
      </c>
      <c r="AC331" s="718">
        <f t="shared" si="174"/>
        <v>1.642339892117219</v>
      </c>
      <c r="AD331" s="718">
        <f t="shared" si="174"/>
        <v>1.6186352386026053</v>
      </c>
      <c r="AE331" s="718">
        <f t="shared" si="174"/>
        <v>1.5950206534489837</v>
      </c>
      <c r="AF331" s="718">
        <f t="shared" si="174"/>
        <v>1.5714970993089556</v>
      </c>
      <c r="AG331" s="718">
        <f t="shared" si="174"/>
        <v>1.5480635884592688</v>
      </c>
      <c r="AH331" s="718">
        <f t="shared" si="174"/>
        <v>1.5247186520459062</v>
      </c>
      <c r="AI331" s="718">
        <f t="shared" si="174"/>
        <v>1.5014620057345032</v>
      </c>
      <c r="AJ331" s="718">
        <f t="shared" si="174"/>
        <v>1.4782955766970052</v>
      </c>
      <c r="AK331" s="718">
        <f t="shared" si="174"/>
        <v>1.4552173922795013</v>
      </c>
      <c r="AL331" s="718"/>
      <c r="AM331" s="718"/>
      <c r="AN331" s="718"/>
      <c r="AO331" s="718"/>
      <c r="AP331" s="718"/>
      <c r="AQ331" s="718"/>
      <c r="AR331" s="718"/>
      <c r="AS331" s="718"/>
      <c r="AT331" s="718"/>
      <c r="AU331" s="718"/>
      <c r="AV331" s="718"/>
      <c r="AW331" s="718"/>
      <c r="AX331" s="718"/>
      <c r="AY331" s="718"/>
      <c r="AZ331" s="718"/>
      <c r="BA331" s="718"/>
      <c r="BB331" s="718"/>
      <c r="BC331" s="718"/>
      <c r="BD331" s="718"/>
      <c r="BE331" s="718"/>
      <c r="BF331" s="718"/>
      <c r="BG331" s="718"/>
      <c r="BH331" s="718"/>
      <c r="BI331" s="718"/>
      <c r="BJ331" s="718"/>
      <c r="BK331" s="718"/>
      <c r="BL331" s="718"/>
      <c r="BM331" s="718"/>
      <c r="BN331" s="718"/>
      <c r="BO331" s="718"/>
      <c r="BP331" s="718"/>
      <c r="BQ331" s="718"/>
      <c r="BR331" s="718"/>
      <c r="BS331" s="718"/>
      <c r="BT331" s="718"/>
      <c r="BU331" s="718"/>
      <c r="BV331" s="718"/>
      <c r="BW331" s="718"/>
      <c r="BX331" s="718"/>
      <c r="BY331" s="718"/>
      <c r="BZ331" s="718"/>
      <c r="CA331" s="718"/>
      <c r="CB331" s="718"/>
      <c r="CC331" s="718"/>
      <c r="CD331" s="718"/>
      <c r="CE331" s="718"/>
      <c r="CF331" s="718"/>
      <c r="CG331" s="718"/>
      <c r="CH331" s="718"/>
      <c r="CI331" s="719"/>
      <c r="CK331" s="1296"/>
    </row>
    <row r="332" spans="2:89" x14ac:dyDescent="0.2">
      <c r="B332" s="940" t="s">
        <v>737</v>
      </c>
      <c r="C332" s="904" t="s">
        <v>243</v>
      </c>
      <c r="D332" s="907" t="s">
        <v>738</v>
      </c>
      <c r="E332" s="938" t="s">
        <v>236</v>
      </c>
      <c r="F332" s="939">
        <v>2</v>
      </c>
      <c r="G332" s="569">
        <f>SUM(G326:G331)</f>
        <v>0</v>
      </c>
      <c r="H332" s="569">
        <f t="shared" ref="H332:AK332" si="175">SUM(H326:H331)</f>
        <v>0</v>
      </c>
      <c r="I332" s="569">
        <f t="shared" si="175"/>
        <v>2.7140564682276551</v>
      </c>
      <c r="J332" s="569">
        <f t="shared" si="175"/>
        <v>3.0110663999999998</v>
      </c>
      <c r="K332" s="569">
        <f t="shared" si="175"/>
        <v>2.8933151999999995</v>
      </c>
      <c r="L332" s="569">
        <f t="shared" si="175"/>
        <v>2.7755640000000001</v>
      </c>
      <c r="M332" s="718">
        <f t="shared" si="175"/>
        <v>2.7473904000000005</v>
      </c>
      <c r="N332" s="718">
        <f t="shared" si="175"/>
        <v>2.7192167999999999</v>
      </c>
      <c r="O332" s="718">
        <f t="shared" si="175"/>
        <v>2.6910431999999997</v>
      </c>
      <c r="P332" s="718">
        <f t="shared" si="175"/>
        <v>2.6628695999999996</v>
      </c>
      <c r="Q332" s="718">
        <f t="shared" si="175"/>
        <v>2.6346959999999999</v>
      </c>
      <c r="R332" s="718">
        <f t="shared" si="175"/>
        <v>2.6065223999999994</v>
      </c>
      <c r="S332" s="718">
        <f t="shared" si="175"/>
        <v>2.5783487999999988</v>
      </c>
      <c r="T332" s="718">
        <f t="shared" si="175"/>
        <v>2.5501751999999991</v>
      </c>
      <c r="U332" s="718">
        <f t="shared" si="175"/>
        <v>2.522001599999999</v>
      </c>
      <c r="V332" s="718">
        <f t="shared" si="175"/>
        <v>2.4938279999999988</v>
      </c>
      <c r="W332" s="718">
        <f t="shared" si="175"/>
        <v>2.4656543999999987</v>
      </c>
      <c r="X332" s="718">
        <f t="shared" si="175"/>
        <v>2.4374807999999986</v>
      </c>
      <c r="Y332" s="718">
        <f t="shared" si="175"/>
        <v>2.4093071999999984</v>
      </c>
      <c r="Z332" s="718">
        <f t="shared" si="175"/>
        <v>2.3811335999999983</v>
      </c>
      <c r="AA332" s="718">
        <f t="shared" si="175"/>
        <v>2.3529599999999982</v>
      </c>
      <c r="AB332" s="718">
        <f t="shared" si="175"/>
        <v>2.324786399999998</v>
      </c>
      <c r="AC332" s="718">
        <f t="shared" si="175"/>
        <v>2.2966127999999979</v>
      </c>
      <c r="AD332" s="718">
        <f t="shared" si="175"/>
        <v>2.2684391999999978</v>
      </c>
      <c r="AE332" s="718">
        <f t="shared" si="175"/>
        <v>2.2402655999999976</v>
      </c>
      <c r="AF332" s="718">
        <f t="shared" si="175"/>
        <v>2.2120919999999975</v>
      </c>
      <c r="AG332" s="718">
        <f t="shared" si="175"/>
        <v>2.1839183999999974</v>
      </c>
      <c r="AH332" s="718">
        <f t="shared" si="175"/>
        <v>2.1557447999999972</v>
      </c>
      <c r="AI332" s="718">
        <f t="shared" si="175"/>
        <v>2.1275711999999971</v>
      </c>
      <c r="AJ332" s="718">
        <f t="shared" si="175"/>
        <v>2.099397599999997</v>
      </c>
      <c r="AK332" s="718">
        <f t="shared" si="175"/>
        <v>2.071224</v>
      </c>
      <c r="AL332" s="718"/>
      <c r="AM332" s="718"/>
      <c r="AN332" s="718"/>
      <c r="AO332" s="718"/>
      <c r="AP332" s="718"/>
      <c r="AQ332" s="718"/>
      <c r="AR332" s="718"/>
      <c r="AS332" s="718"/>
      <c r="AT332" s="718"/>
      <c r="AU332" s="718"/>
      <c r="AV332" s="718"/>
      <c r="AW332" s="718"/>
      <c r="AX332" s="718"/>
      <c r="AY332" s="718"/>
      <c r="AZ332" s="718"/>
      <c r="BA332" s="718"/>
      <c r="BB332" s="718"/>
      <c r="BC332" s="718"/>
      <c r="BD332" s="718"/>
      <c r="BE332" s="718"/>
      <c r="BF332" s="718"/>
      <c r="BG332" s="718"/>
      <c r="BH332" s="718"/>
      <c r="BI332" s="718"/>
      <c r="BJ332" s="718"/>
      <c r="BK332" s="718"/>
      <c r="BL332" s="718"/>
      <c r="BM332" s="718"/>
      <c r="BN332" s="718"/>
      <c r="BO332" s="718"/>
      <c r="BP332" s="718"/>
      <c r="BQ332" s="718"/>
      <c r="BR332" s="718"/>
      <c r="BS332" s="718"/>
      <c r="BT332" s="718"/>
      <c r="BU332" s="718"/>
      <c r="BV332" s="718"/>
      <c r="BW332" s="718"/>
      <c r="BX332" s="718"/>
      <c r="BY332" s="718"/>
      <c r="BZ332" s="718"/>
      <c r="CA332" s="718"/>
      <c r="CB332" s="718"/>
      <c r="CC332" s="718"/>
      <c r="CD332" s="718"/>
      <c r="CE332" s="718"/>
      <c r="CF332" s="718"/>
      <c r="CG332" s="718"/>
      <c r="CH332" s="718"/>
      <c r="CI332" s="719"/>
      <c r="CK332" s="1296"/>
    </row>
    <row r="333" spans="2:89" ht="15" thickBot="1" x14ac:dyDescent="0.25">
      <c r="B333" s="967" t="s">
        <v>739</v>
      </c>
      <c r="C333" s="968" t="s">
        <v>528</v>
      </c>
      <c r="D333" s="969" t="s">
        <v>740</v>
      </c>
      <c r="E333" s="970" t="s">
        <v>530</v>
      </c>
      <c r="F333" s="947">
        <v>2</v>
      </c>
      <c r="G333" s="729" t="e">
        <f>(G332*1000000)/(G347*1000)</f>
        <v>#DIV/0!</v>
      </c>
      <c r="H333" s="729" t="e">
        <f t="shared" ref="H333:AK333" si="176">(H332*1000000)/(H347*1000)</f>
        <v>#DIV/0!</v>
      </c>
      <c r="I333" s="729">
        <f t="shared" si="176"/>
        <v>26.172445908134648</v>
      </c>
      <c r="J333" s="729">
        <f t="shared" si="176"/>
        <v>28.902501631768818</v>
      </c>
      <c r="K333" s="729">
        <f t="shared" si="176"/>
        <v>27.446526167727498</v>
      </c>
      <c r="L333" s="729">
        <f t="shared" si="176"/>
        <v>26.050955438380992</v>
      </c>
      <c r="M333" s="758">
        <f t="shared" si="176"/>
        <v>25.510018981799224</v>
      </c>
      <c r="N333" s="758">
        <f t="shared" si="176"/>
        <v>25.007374569020147</v>
      </c>
      <c r="O333" s="758">
        <f t="shared" si="176"/>
        <v>24.547782192246661</v>
      </c>
      <c r="P333" s="758">
        <f t="shared" si="176"/>
        <v>24.115726965986255</v>
      </c>
      <c r="Q333" s="758">
        <f t="shared" si="176"/>
        <v>23.708971077497289</v>
      </c>
      <c r="R333" s="758">
        <f t="shared" si="176"/>
        <v>23.313088641140844</v>
      </c>
      <c r="S333" s="758">
        <f t="shared" si="176"/>
        <v>22.923147703550349</v>
      </c>
      <c r="T333" s="758">
        <f t="shared" si="176"/>
        <v>22.539033578188313</v>
      </c>
      <c r="U333" s="758">
        <f t="shared" si="176"/>
        <v>22.160504085811681</v>
      </c>
      <c r="V333" s="758">
        <f t="shared" si="176"/>
        <v>21.787039958282566</v>
      </c>
      <c r="W333" s="758">
        <f t="shared" si="176"/>
        <v>21.418751294484039</v>
      </c>
      <c r="X333" s="758">
        <f t="shared" si="176"/>
        <v>21.055840125639783</v>
      </c>
      <c r="Y333" s="758">
        <f t="shared" si="176"/>
        <v>20.698072354178795</v>
      </c>
      <c r="Z333" s="758">
        <f t="shared" si="176"/>
        <v>20.345420786183627</v>
      </c>
      <c r="AA333" s="758">
        <f t="shared" si="176"/>
        <v>19.998808998170741</v>
      </c>
      <c r="AB333" s="758">
        <f t="shared" si="176"/>
        <v>19.656995705326402</v>
      </c>
      <c r="AC333" s="758">
        <f t="shared" si="176"/>
        <v>19.319915499844697</v>
      </c>
      <c r="AD333" s="758">
        <f t="shared" si="176"/>
        <v>18.987267421517988</v>
      </c>
      <c r="AE333" s="758">
        <f t="shared" si="176"/>
        <v>18.658887811451081</v>
      </c>
      <c r="AF333" s="758">
        <f t="shared" si="176"/>
        <v>18.334727573714083</v>
      </c>
      <c r="AG333" s="758">
        <f t="shared" si="176"/>
        <v>18.014675281643246</v>
      </c>
      <c r="AH333" s="758">
        <f t="shared" si="176"/>
        <v>17.698608275928152</v>
      </c>
      <c r="AI333" s="758">
        <f t="shared" si="176"/>
        <v>17.386444818278367</v>
      </c>
      <c r="AJ333" s="758">
        <f t="shared" si="176"/>
        <v>17.078173206678802</v>
      </c>
      <c r="AK333" s="758">
        <f t="shared" si="176"/>
        <v>16.773661307358861</v>
      </c>
      <c r="AL333" s="758"/>
      <c r="AM333" s="758"/>
      <c r="AN333" s="758"/>
      <c r="AO333" s="758"/>
      <c r="AP333" s="758"/>
      <c r="AQ333" s="758"/>
      <c r="AR333" s="758"/>
      <c r="AS333" s="758"/>
      <c r="AT333" s="758"/>
      <c r="AU333" s="758"/>
      <c r="AV333" s="758"/>
      <c r="AW333" s="758"/>
      <c r="AX333" s="758"/>
      <c r="AY333" s="758"/>
      <c r="AZ333" s="758"/>
      <c r="BA333" s="758"/>
      <c r="BB333" s="758"/>
      <c r="BC333" s="758"/>
      <c r="BD333" s="758"/>
      <c r="BE333" s="758"/>
      <c r="BF333" s="758"/>
      <c r="BG333" s="758"/>
      <c r="BH333" s="758"/>
      <c r="BI333" s="758"/>
      <c r="BJ333" s="758"/>
      <c r="BK333" s="758"/>
      <c r="BL333" s="758"/>
      <c r="BM333" s="758"/>
      <c r="BN333" s="758"/>
      <c r="BO333" s="758"/>
      <c r="BP333" s="758"/>
      <c r="BQ333" s="758"/>
      <c r="BR333" s="758"/>
      <c r="BS333" s="758"/>
      <c r="BT333" s="758"/>
      <c r="BU333" s="758"/>
      <c r="BV333" s="758"/>
      <c r="BW333" s="758"/>
      <c r="BX333" s="758"/>
      <c r="BY333" s="758"/>
      <c r="BZ333" s="758"/>
      <c r="CA333" s="758"/>
      <c r="CB333" s="758"/>
      <c r="CC333" s="758"/>
      <c r="CD333" s="758"/>
      <c r="CE333" s="758"/>
      <c r="CF333" s="758"/>
      <c r="CG333" s="758"/>
      <c r="CH333" s="758"/>
      <c r="CI333" s="759"/>
      <c r="CK333" s="1296"/>
    </row>
    <row r="334" spans="2:89" x14ac:dyDescent="0.2">
      <c r="B334" s="948" t="s">
        <v>741</v>
      </c>
      <c r="C334" s="949" t="s">
        <v>532</v>
      </c>
      <c r="D334" s="914" t="s">
        <v>86</v>
      </c>
      <c r="E334" s="971" t="s">
        <v>344</v>
      </c>
      <c r="F334" s="972">
        <v>2</v>
      </c>
      <c r="G334" s="593"/>
      <c r="H334" s="593"/>
      <c r="I334" s="593">
        <v>5.9089999999999998</v>
      </c>
      <c r="J334" s="593">
        <v>6.0497184242398276</v>
      </c>
      <c r="K334" s="593">
        <v>6.0797545880510917</v>
      </c>
      <c r="L334" s="593">
        <v>6.2107425934316316</v>
      </c>
      <c r="M334" s="594">
        <v>6.3920580454308684</v>
      </c>
      <c r="N334" s="594">
        <v>6.4205930226834074</v>
      </c>
      <c r="O334" s="594">
        <v>6.4491279999359445</v>
      </c>
      <c r="P334" s="594">
        <v>6.4776629771884835</v>
      </c>
      <c r="Q334" s="594">
        <v>6.5061979544410207</v>
      </c>
      <c r="R334" s="594">
        <v>6.5347329316935596</v>
      </c>
      <c r="S334" s="594">
        <v>6.5632679089460977</v>
      </c>
      <c r="T334" s="594">
        <v>6.5918028861986357</v>
      </c>
      <c r="U334" s="594">
        <v>6.6203378634511747</v>
      </c>
      <c r="V334" s="594">
        <v>6.6488728407037128</v>
      </c>
      <c r="W334" s="594">
        <v>6.6774078179562508</v>
      </c>
      <c r="X334" s="594">
        <v>6.705942795208788</v>
      </c>
      <c r="Y334" s="594">
        <v>6.7344777724613269</v>
      </c>
      <c r="Z334" s="594">
        <v>6.7630127497138659</v>
      </c>
      <c r="AA334" s="594">
        <v>6.7915477269664031</v>
      </c>
      <c r="AB334" s="594">
        <v>6.8200827042189411</v>
      </c>
      <c r="AC334" s="594">
        <v>6.8486176814714801</v>
      </c>
      <c r="AD334" s="594">
        <v>6.877152658724019</v>
      </c>
      <c r="AE334" s="594">
        <v>6.9056876359765553</v>
      </c>
      <c r="AF334" s="594">
        <v>6.9342226132290943</v>
      </c>
      <c r="AG334" s="594">
        <v>6.9627575904816323</v>
      </c>
      <c r="AH334" s="594">
        <v>6.9912925677341713</v>
      </c>
      <c r="AI334" s="594">
        <v>7.0198275449867085</v>
      </c>
      <c r="AJ334" s="594">
        <v>7.0483625222392465</v>
      </c>
      <c r="AK334" s="594">
        <v>7.0768974994917864</v>
      </c>
      <c r="AL334" s="594"/>
      <c r="AM334" s="594"/>
      <c r="AN334" s="594"/>
      <c r="AO334" s="594"/>
      <c r="AP334" s="594"/>
      <c r="AQ334" s="594"/>
      <c r="AR334" s="594"/>
      <c r="AS334" s="594"/>
      <c r="AT334" s="594"/>
      <c r="AU334" s="594"/>
      <c r="AV334" s="594"/>
      <c r="AW334" s="594"/>
      <c r="AX334" s="594"/>
      <c r="AY334" s="594"/>
      <c r="AZ334" s="594"/>
      <c r="BA334" s="594"/>
      <c r="BB334" s="594"/>
      <c r="BC334" s="594"/>
      <c r="BD334" s="594"/>
      <c r="BE334" s="594"/>
      <c r="BF334" s="594"/>
      <c r="BG334" s="594"/>
      <c r="BH334" s="594"/>
      <c r="BI334" s="594"/>
      <c r="BJ334" s="594"/>
      <c r="BK334" s="594"/>
      <c r="BL334" s="594"/>
      <c r="BM334" s="594"/>
      <c r="BN334" s="594"/>
      <c r="BO334" s="594"/>
      <c r="BP334" s="594"/>
      <c r="BQ334" s="594"/>
      <c r="BR334" s="594"/>
      <c r="BS334" s="594"/>
      <c r="BT334" s="594"/>
      <c r="BU334" s="594"/>
      <c r="BV334" s="594"/>
      <c r="BW334" s="594"/>
      <c r="BX334" s="594"/>
      <c r="BY334" s="594"/>
      <c r="BZ334" s="594"/>
      <c r="CA334" s="594"/>
      <c r="CB334" s="594"/>
      <c r="CC334" s="594"/>
      <c r="CD334" s="594"/>
      <c r="CE334" s="594"/>
      <c r="CF334" s="594"/>
      <c r="CG334" s="594"/>
      <c r="CH334" s="594"/>
      <c r="CI334" s="595"/>
      <c r="CK334" s="1296"/>
    </row>
    <row r="335" spans="2:89" x14ac:dyDescent="0.2">
      <c r="B335" s="953" t="s">
        <v>742</v>
      </c>
      <c r="C335" s="954" t="s">
        <v>534</v>
      </c>
      <c r="D335" s="918" t="s">
        <v>86</v>
      </c>
      <c r="E335" s="960" t="s">
        <v>344</v>
      </c>
      <c r="F335" s="961">
        <v>2</v>
      </c>
      <c r="G335" s="597"/>
      <c r="H335" s="597"/>
      <c r="I335" s="597">
        <v>0.19900000000000001</v>
      </c>
      <c r="J335" s="597">
        <v>0.20557287866130006</v>
      </c>
      <c r="K335" s="597">
        <v>0.20321800534188358</v>
      </c>
      <c r="L335" s="597">
        <v>0.12258687303834717</v>
      </c>
      <c r="M335" s="598">
        <v>5.7453979423387862E-2</v>
      </c>
      <c r="N335" s="598">
        <v>5.6067474279234829E-2</v>
      </c>
      <c r="O335" s="598">
        <v>5.4680969135081796E-2</v>
      </c>
      <c r="P335" s="598">
        <v>5.3294463990928763E-2</v>
      </c>
      <c r="Q335" s="598">
        <v>5.190795884677573E-2</v>
      </c>
      <c r="R335" s="598">
        <v>5.052145370262269E-2</v>
      </c>
      <c r="S335" s="598">
        <v>4.9134948558469657E-2</v>
      </c>
      <c r="T335" s="598">
        <v>4.7748443414316631E-2</v>
      </c>
      <c r="U335" s="598">
        <v>4.6361938270163584E-2</v>
      </c>
      <c r="V335" s="598">
        <v>4.6361938270163584E-2</v>
      </c>
      <c r="W335" s="598">
        <v>4.6361938270163584E-2</v>
      </c>
      <c r="X335" s="598">
        <v>4.6361938270163584E-2</v>
      </c>
      <c r="Y335" s="598">
        <v>4.6361938270163584E-2</v>
      </c>
      <c r="Z335" s="598">
        <v>4.6361938270163584E-2</v>
      </c>
      <c r="AA335" s="598">
        <v>4.6361938270163584E-2</v>
      </c>
      <c r="AB335" s="598">
        <v>4.6361938270163584E-2</v>
      </c>
      <c r="AC335" s="598">
        <v>4.6361938270163584E-2</v>
      </c>
      <c r="AD335" s="598">
        <v>4.6361938270163584E-2</v>
      </c>
      <c r="AE335" s="598">
        <v>4.6361938270163584E-2</v>
      </c>
      <c r="AF335" s="598">
        <v>4.6361938270163584E-2</v>
      </c>
      <c r="AG335" s="598">
        <v>4.6361938270163584E-2</v>
      </c>
      <c r="AH335" s="598">
        <v>4.6361938270163584E-2</v>
      </c>
      <c r="AI335" s="598">
        <v>4.6361938270163584E-2</v>
      </c>
      <c r="AJ335" s="598">
        <v>4.6361938270163584E-2</v>
      </c>
      <c r="AK335" s="598">
        <v>4.6361938270163584E-2</v>
      </c>
      <c r="AL335" s="598"/>
      <c r="AM335" s="598"/>
      <c r="AN335" s="598"/>
      <c r="AO335" s="598"/>
      <c r="AP335" s="598"/>
      <c r="AQ335" s="598"/>
      <c r="AR335" s="598"/>
      <c r="AS335" s="598"/>
      <c r="AT335" s="598"/>
      <c r="AU335" s="598"/>
      <c r="AV335" s="598"/>
      <c r="AW335" s="598"/>
      <c r="AX335" s="598"/>
      <c r="AY335" s="598"/>
      <c r="AZ335" s="598"/>
      <c r="BA335" s="598"/>
      <c r="BB335" s="598"/>
      <c r="BC335" s="598"/>
      <c r="BD335" s="598"/>
      <c r="BE335" s="598"/>
      <c r="BF335" s="598"/>
      <c r="BG335" s="598"/>
      <c r="BH335" s="598"/>
      <c r="BI335" s="598"/>
      <c r="BJ335" s="598"/>
      <c r="BK335" s="598"/>
      <c r="BL335" s="598"/>
      <c r="BM335" s="598"/>
      <c r="BN335" s="598"/>
      <c r="BO335" s="598"/>
      <c r="BP335" s="598"/>
      <c r="BQ335" s="598"/>
      <c r="BR335" s="598"/>
      <c r="BS335" s="598"/>
      <c r="BT335" s="598"/>
      <c r="BU335" s="598"/>
      <c r="BV335" s="598"/>
      <c r="BW335" s="598"/>
      <c r="BX335" s="598"/>
      <c r="BY335" s="598"/>
      <c r="BZ335" s="598"/>
      <c r="CA335" s="598"/>
      <c r="CB335" s="598"/>
      <c r="CC335" s="598"/>
      <c r="CD335" s="598"/>
      <c r="CE335" s="598"/>
      <c r="CF335" s="598"/>
      <c r="CG335" s="598"/>
      <c r="CH335" s="598"/>
      <c r="CI335" s="599"/>
      <c r="CK335" s="1296"/>
    </row>
    <row r="336" spans="2:89" x14ac:dyDescent="0.2">
      <c r="B336" s="973" t="s">
        <v>743</v>
      </c>
      <c r="C336" s="974" t="s">
        <v>536</v>
      </c>
      <c r="D336" s="918" t="s">
        <v>86</v>
      </c>
      <c r="E336" s="960" t="s">
        <v>344</v>
      </c>
      <c r="F336" s="961">
        <v>2</v>
      </c>
      <c r="G336" s="597"/>
      <c r="H336" s="597"/>
      <c r="I336" s="597">
        <v>1.1990000000000001</v>
      </c>
      <c r="J336" s="597">
        <v>1.0715058907424664</v>
      </c>
      <c r="K336" s="597">
        <v>1.0751217938942144</v>
      </c>
      <c r="L336" s="597">
        <v>1.0560621144608044</v>
      </c>
      <c r="M336" s="598">
        <v>0.97117674972012147</v>
      </c>
      <c r="N336" s="598">
        <v>0.97532547125533076</v>
      </c>
      <c r="O336" s="598">
        <v>0.97947419279053993</v>
      </c>
      <c r="P336" s="598">
        <v>0.98362291432574944</v>
      </c>
      <c r="Q336" s="598">
        <v>0.98777163586095873</v>
      </c>
      <c r="R336" s="598">
        <v>0.99192035739616824</v>
      </c>
      <c r="S336" s="598">
        <v>0.99606907893137753</v>
      </c>
      <c r="T336" s="598">
        <v>1.0002178004665871</v>
      </c>
      <c r="U336" s="598">
        <v>1.0043665220017965</v>
      </c>
      <c r="V336" s="598">
        <v>1.0086692996641338</v>
      </c>
      <c r="W336" s="598">
        <v>1.0129720773264712</v>
      </c>
      <c r="X336" s="598">
        <v>1.0172748549888087</v>
      </c>
      <c r="Y336" s="598">
        <v>1.0215776326511461</v>
      </c>
      <c r="Z336" s="598">
        <v>1.0258804103134835</v>
      </c>
      <c r="AA336" s="598">
        <v>1.030183187975821</v>
      </c>
      <c r="AB336" s="598">
        <v>1.0344859656381586</v>
      </c>
      <c r="AC336" s="598">
        <v>1.0387887433004961</v>
      </c>
      <c r="AD336" s="598">
        <v>1.0430915209628335</v>
      </c>
      <c r="AE336" s="598">
        <v>1.047394298625171</v>
      </c>
      <c r="AF336" s="598">
        <v>1.0516970762875084</v>
      </c>
      <c r="AG336" s="598">
        <v>1.0559998539498459</v>
      </c>
      <c r="AH336" s="598">
        <v>1.0603026316121831</v>
      </c>
      <c r="AI336" s="598">
        <v>1.0646054092745207</v>
      </c>
      <c r="AJ336" s="598">
        <v>1.0689081869368582</v>
      </c>
      <c r="AK336" s="598">
        <v>1.0732109645991956</v>
      </c>
      <c r="AL336" s="598"/>
      <c r="AM336" s="598"/>
      <c r="AN336" s="598"/>
      <c r="AO336" s="598"/>
      <c r="AP336" s="598"/>
      <c r="AQ336" s="598"/>
      <c r="AR336" s="598"/>
      <c r="AS336" s="598"/>
      <c r="AT336" s="598"/>
      <c r="AU336" s="598"/>
      <c r="AV336" s="598"/>
      <c r="AW336" s="598"/>
      <c r="AX336" s="598"/>
      <c r="AY336" s="598"/>
      <c r="AZ336" s="598"/>
      <c r="BA336" s="598"/>
      <c r="BB336" s="598"/>
      <c r="BC336" s="598"/>
      <c r="BD336" s="598"/>
      <c r="BE336" s="598"/>
      <c r="BF336" s="598"/>
      <c r="BG336" s="598"/>
      <c r="BH336" s="598"/>
      <c r="BI336" s="598"/>
      <c r="BJ336" s="598"/>
      <c r="BK336" s="598"/>
      <c r="BL336" s="598"/>
      <c r="BM336" s="598"/>
      <c r="BN336" s="598"/>
      <c r="BO336" s="598"/>
      <c r="BP336" s="598"/>
      <c r="BQ336" s="598"/>
      <c r="BR336" s="598"/>
      <c r="BS336" s="598"/>
      <c r="BT336" s="598"/>
      <c r="BU336" s="598"/>
      <c r="BV336" s="598"/>
      <c r="BW336" s="598"/>
      <c r="BX336" s="598"/>
      <c r="BY336" s="598"/>
      <c r="BZ336" s="598"/>
      <c r="CA336" s="598"/>
      <c r="CB336" s="598"/>
      <c r="CC336" s="598"/>
      <c r="CD336" s="598"/>
      <c r="CE336" s="598"/>
      <c r="CF336" s="598"/>
      <c r="CG336" s="598"/>
      <c r="CH336" s="598"/>
      <c r="CI336" s="599"/>
      <c r="CK336" s="1296"/>
    </row>
    <row r="337" spans="2:89" ht="28.5" x14ac:dyDescent="0.2">
      <c r="B337" s="973" t="s">
        <v>744</v>
      </c>
      <c r="C337" s="974" t="s">
        <v>538</v>
      </c>
      <c r="D337" s="602" t="s">
        <v>539</v>
      </c>
      <c r="E337" s="603" t="s">
        <v>344</v>
      </c>
      <c r="F337" s="604">
        <v>2</v>
      </c>
      <c r="G337" s="597"/>
      <c r="H337" s="597"/>
      <c r="I337" s="597">
        <v>66.096000000000004</v>
      </c>
      <c r="J337" s="552">
        <f t="shared" ref="J337" si="177">I337+SUM(J338:J343)</f>
        <v>66.826625834473973</v>
      </c>
      <c r="K337" s="552">
        <f t="shared" ref="K337" si="178">J337+SUM(K338:K343)</f>
        <v>68.338795487888873</v>
      </c>
      <c r="L337" s="552">
        <f t="shared" ref="L337" si="179">K337+SUM(L338:L343)</f>
        <v>70.369334615768921</v>
      </c>
      <c r="M337" s="552">
        <f t="shared" ref="M337" si="180">L337+SUM(M338:M343)</f>
        <v>73.489706620747327</v>
      </c>
      <c r="N337" s="552">
        <f t="shared" ref="N337" si="181">M337+SUM(N338:N343)</f>
        <v>77.833994871501574</v>
      </c>
      <c r="O337" s="552">
        <f t="shared" ref="O337" si="182">N337+SUM(O338:O343)</f>
        <v>84.302265919158316</v>
      </c>
      <c r="P337" s="552">
        <f t="shared" ref="P337" si="183">O337+SUM(P338:P343)</f>
        <v>92.377274870919621</v>
      </c>
      <c r="Q337" s="552">
        <f t="shared" ref="Q337" si="184">P337+SUM(Q338:Q343)</f>
        <v>98.208388288105311</v>
      </c>
      <c r="R337" s="552">
        <f t="shared" ref="R337" si="185">Q337+SUM(R338:R343)</f>
        <v>100.35172648952771</v>
      </c>
      <c r="S337" s="552">
        <f t="shared" ref="S337" si="186">R337+SUM(S338:S343)</f>
        <v>100.98272028567479</v>
      </c>
      <c r="T337" s="552">
        <f t="shared" ref="T337" si="187">S337+SUM(T338:T343)</f>
        <v>101.60536152648784</v>
      </c>
      <c r="U337" s="552">
        <f t="shared" ref="U337" si="188">T337+SUM(U338:U343)</f>
        <v>102.22163372020132</v>
      </c>
      <c r="V337" s="552">
        <f t="shared" ref="V337" si="189">U337+SUM(V338:V343)</f>
        <v>102.83191551804036</v>
      </c>
      <c r="W337" s="552">
        <f t="shared" ref="W337" si="190">V337+SUM(W338:W343)</f>
        <v>103.44182393702854</v>
      </c>
      <c r="X337" s="552">
        <f t="shared" ref="X337" si="191">W337+SUM(X338:X343)</f>
        <v>104.05053690687255</v>
      </c>
      <c r="Y337" s="552">
        <f t="shared" ref="Y337" si="192">X337+SUM(Y338:Y343)</f>
        <v>104.65316168792364</v>
      </c>
      <c r="Z337" s="552">
        <f t="shared" ref="Z337" si="193">Y337+SUM(Z338:Z343)</f>
        <v>105.24905553510501</v>
      </c>
      <c r="AA337" s="552">
        <f t="shared" ref="AA337" si="194">Z337+SUM(AA338:AA343)</f>
        <v>105.83115542161235</v>
      </c>
      <c r="AB337" s="552">
        <f t="shared" ref="AB337" si="195">AA337+SUM(AB338:AB343)</f>
        <v>106.40644435910971</v>
      </c>
      <c r="AC337" s="552">
        <f t="shared" ref="AC337" si="196">AB337+SUM(AC338:AC343)</f>
        <v>106.97547435492113</v>
      </c>
      <c r="AD337" s="552">
        <f t="shared" ref="AD337" si="197">AC337+SUM(AD338:AD343)</f>
        <v>107.53828858544006</v>
      </c>
      <c r="AE337" s="552">
        <f t="shared" ref="AE337" si="198">AD337+SUM(AE338:AE343)</f>
        <v>108.09516718688187</v>
      </c>
      <c r="AF337" s="552">
        <f t="shared" ref="AF337" si="199">AE337+SUM(AF338:AF343)</f>
        <v>108.64570109179563</v>
      </c>
      <c r="AG337" s="552">
        <f t="shared" ref="AG337" si="200">AF337+SUM(AG338:AG343)</f>
        <v>109.18987602066179</v>
      </c>
      <c r="AH337" s="552">
        <f t="shared" ref="AH337" si="201">AG337+SUM(AH338:AH343)</f>
        <v>109.72777288500799</v>
      </c>
      <c r="AI337" s="552">
        <f t="shared" ref="AI337" si="202">AH337+SUM(AI338:AI343)</f>
        <v>110.25922379374693</v>
      </c>
      <c r="AJ337" s="552">
        <f t="shared" ref="AJ337" si="203">AI337+SUM(AJ338:AJ343)</f>
        <v>110.78358122982759</v>
      </c>
      <c r="AK337" s="552">
        <f t="shared" ref="AK337" si="204">AJ337+SUM(AK338:AK343)</f>
        <v>111.30102178042362</v>
      </c>
      <c r="AL337" s="552"/>
      <c r="AM337" s="552"/>
      <c r="AN337" s="552"/>
      <c r="AO337" s="552"/>
      <c r="AP337" s="552"/>
      <c r="AQ337" s="552"/>
      <c r="AR337" s="552"/>
      <c r="AS337" s="552"/>
      <c r="AT337" s="552"/>
      <c r="AU337" s="552"/>
      <c r="AV337" s="552"/>
      <c r="AW337" s="552"/>
      <c r="AX337" s="552"/>
      <c r="AY337" s="552"/>
      <c r="AZ337" s="552"/>
      <c r="BA337" s="552"/>
      <c r="BB337" s="552"/>
      <c r="BC337" s="552"/>
      <c r="BD337" s="552"/>
      <c r="BE337" s="552"/>
      <c r="BF337" s="552"/>
      <c r="BG337" s="552"/>
      <c r="BH337" s="552"/>
      <c r="BI337" s="552"/>
      <c r="BJ337" s="552"/>
      <c r="BK337" s="552"/>
      <c r="BL337" s="552"/>
      <c r="BM337" s="552"/>
      <c r="BN337" s="552"/>
      <c r="BO337" s="552"/>
      <c r="BP337" s="552"/>
      <c r="BQ337" s="552"/>
      <c r="BR337" s="552"/>
      <c r="BS337" s="552"/>
      <c r="BT337" s="552"/>
      <c r="BU337" s="552"/>
      <c r="BV337" s="552"/>
      <c r="BW337" s="552"/>
      <c r="BX337" s="552"/>
      <c r="BY337" s="552"/>
      <c r="BZ337" s="552"/>
      <c r="CA337" s="552"/>
      <c r="CB337" s="552"/>
      <c r="CC337" s="552"/>
      <c r="CD337" s="552"/>
      <c r="CE337" s="552"/>
      <c r="CF337" s="552"/>
      <c r="CG337" s="552"/>
      <c r="CH337" s="552"/>
      <c r="CI337" s="548"/>
      <c r="CK337" s="1296"/>
    </row>
    <row r="338" spans="2:89" x14ac:dyDescent="0.2">
      <c r="B338" s="973" t="s">
        <v>745</v>
      </c>
      <c r="C338" s="974" t="s">
        <v>541</v>
      </c>
      <c r="D338" s="602" t="s">
        <v>542</v>
      </c>
      <c r="E338" s="603" t="s">
        <v>344</v>
      </c>
      <c r="F338" s="604">
        <v>2</v>
      </c>
      <c r="G338" s="597"/>
      <c r="H338" s="597"/>
      <c r="I338" s="597">
        <v>0.42699999999999999</v>
      </c>
      <c r="J338" s="597">
        <v>0.48688780049825436</v>
      </c>
      <c r="K338" s="597">
        <v>1.2295706409975247</v>
      </c>
      <c r="L338" s="597">
        <v>1.1194672742417315</v>
      </c>
      <c r="M338" s="598">
        <v>1.1503983206225092</v>
      </c>
      <c r="N338" s="598">
        <v>1.0326793054495065</v>
      </c>
      <c r="O338" s="598">
        <v>0.88166889654174152</v>
      </c>
      <c r="P338" s="598">
        <v>0.78832755269874177</v>
      </c>
      <c r="Q338" s="598">
        <v>0.69919436293649784</v>
      </c>
      <c r="R338" s="598">
        <v>0.67067344885074998</v>
      </c>
      <c r="S338" s="598">
        <v>0.66395618639375609</v>
      </c>
      <c r="T338" s="598">
        <v>0.6569858013547637</v>
      </c>
      <c r="U338" s="598">
        <v>0.65042263415247725</v>
      </c>
      <c r="V338" s="598">
        <v>0.64424846366225397</v>
      </c>
      <c r="W338" s="598">
        <v>0.63836643459500919</v>
      </c>
      <c r="X338" s="598">
        <v>0.6316360990207468</v>
      </c>
      <c r="Y338" s="598">
        <v>0.62536470498675767</v>
      </c>
      <c r="Z338" s="598">
        <v>0.61843367217523337</v>
      </c>
      <c r="AA338" s="598">
        <v>0.61191929456674554</v>
      </c>
      <c r="AB338" s="598">
        <v>0.60489963992676343</v>
      </c>
      <c r="AC338" s="598">
        <v>0.59845337435124379</v>
      </c>
      <c r="AD338" s="598">
        <v>0.59205163868849919</v>
      </c>
      <c r="AE338" s="598">
        <v>0.58593391473325029</v>
      </c>
      <c r="AF338" s="598">
        <v>0.57939662432348993</v>
      </c>
      <c r="AG338" s="598">
        <v>0.57284443561901566</v>
      </c>
      <c r="AH338" s="598">
        <v>0.56637737045774705</v>
      </c>
      <c r="AI338" s="598">
        <v>0.55973880560000544</v>
      </c>
      <c r="AJ338" s="598">
        <v>0.55243201133050024</v>
      </c>
      <c r="AK338" s="598">
        <v>0.54530585798399989</v>
      </c>
      <c r="AL338" s="598"/>
      <c r="AM338" s="598"/>
      <c r="AN338" s="598"/>
      <c r="AO338" s="598"/>
      <c r="AP338" s="598"/>
      <c r="AQ338" s="598"/>
      <c r="AR338" s="598"/>
      <c r="AS338" s="598"/>
      <c r="AT338" s="598"/>
      <c r="AU338" s="598"/>
      <c r="AV338" s="598"/>
      <c r="AW338" s="598"/>
      <c r="AX338" s="598"/>
      <c r="AY338" s="598"/>
      <c r="AZ338" s="598"/>
      <c r="BA338" s="598"/>
      <c r="BB338" s="598"/>
      <c r="BC338" s="598"/>
      <c r="BD338" s="598"/>
      <c r="BE338" s="598"/>
      <c r="BF338" s="598"/>
      <c r="BG338" s="598"/>
      <c r="BH338" s="598"/>
      <c r="BI338" s="598"/>
      <c r="BJ338" s="598"/>
      <c r="BK338" s="598"/>
      <c r="BL338" s="598"/>
      <c r="BM338" s="598"/>
      <c r="BN338" s="598"/>
      <c r="BO338" s="598"/>
      <c r="BP338" s="598"/>
      <c r="BQ338" s="598"/>
      <c r="BR338" s="598"/>
      <c r="BS338" s="598"/>
      <c r="BT338" s="598"/>
      <c r="BU338" s="598"/>
      <c r="BV338" s="598"/>
      <c r="BW338" s="598"/>
      <c r="BX338" s="598"/>
      <c r="BY338" s="598"/>
      <c r="BZ338" s="598"/>
      <c r="CA338" s="598"/>
      <c r="CB338" s="598"/>
      <c r="CC338" s="598"/>
      <c r="CD338" s="598"/>
      <c r="CE338" s="598"/>
      <c r="CF338" s="598"/>
      <c r="CG338" s="598"/>
      <c r="CH338" s="598"/>
      <c r="CI338" s="599"/>
      <c r="CK338" s="1296"/>
    </row>
    <row r="339" spans="2:89" x14ac:dyDescent="0.2">
      <c r="B339" s="973" t="s">
        <v>746</v>
      </c>
      <c r="C339" s="974" t="s">
        <v>544</v>
      </c>
      <c r="D339" s="602" t="s">
        <v>545</v>
      </c>
      <c r="E339" s="603" t="s">
        <v>344</v>
      </c>
      <c r="F339" s="604">
        <v>2</v>
      </c>
      <c r="G339" s="597"/>
      <c r="H339" s="597"/>
      <c r="I339" s="597">
        <v>0</v>
      </c>
      <c r="J339" s="597">
        <v>0.27817138937187569</v>
      </c>
      <c r="K339" s="597">
        <v>0.33800000000000002</v>
      </c>
      <c r="L339" s="597">
        <v>0.98350000000000004</v>
      </c>
      <c r="M339" s="598">
        <v>1.0478099999999999</v>
      </c>
      <c r="N339" s="598">
        <v>0.42731000000000002</v>
      </c>
      <c r="O339" s="598">
        <v>0.05</v>
      </c>
      <c r="P339" s="598">
        <v>0.05</v>
      </c>
      <c r="Q339" s="598">
        <v>0.05</v>
      </c>
      <c r="R339" s="598">
        <v>2.5000000000000001E-2</v>
      </c>
      <c r="S339" s="598">
        <v>0</v>
      </c>
      <c r="T339" s="598">
        <v>0</v>
      </c>
      <c r="U339" s="598">
        <v>0</v>
      </c>
      <c r="V339" s="598">
        <v>0</v>
      </c>
      <c r="W339" s="598">
        <v>0</v>
      </c>
      <c r="X339" s="598">
        <v>0</v>
      </c>
      <c r="Y339" s="598">
        <v>0</v>
      </c>
      <c r="Z339" s="598">
        <v>0</v>
      </c>
      <c r="AA339" s="598">
        <v>0</v>
      </c>
      <c r="AB339" s="598">
        <v>0</v>
      </c>
      <c r="AC339" s="598">
        <v>0</v>
      </c>
      <c r="AD339" s="598">
        <v>0</v>
      </c>
      <c r="AE339" s="598">
        <v>0</v>
      </c>
      <c r="AF339" s="598">
        <v>0</v>
      </c>
      <c r="AG339" s="598">
        <v>0</v>
      </c>
      <c r="AH339" s="598">
        <v>0</v>
      </c>
      <c r="AI339" s="598">
        <v>0</v>
      </c>
      <c r="AJ339" s="598">
        <v>0</v>
      </c>
      <c r="AK339" s="598">
        <v>0</v>
      </c>
      <c r="AL339" s="598"/>
      <c r="AM339" s="598"/>
      <c r="AN339" s="598"/>
      <c r="AO339" s="598"/>
      <c r="AP339" s="598"/>
      <c r="AQ339" s="598"/>
      <c r="AR339" s="598"/>
      <c r="AS339" s="598"/>
      <c r="AT339" s="598"/>
      <c r="AU339" s="598"/>
      <c r="AV339" s="598"/>
      <c r="AW339" s="598"/>
      <c r="AX339" s="598"/>
      <c r="AY339" s="598"/>
      <c r="AZ339" s="598"/>
      <c r="BA339" s="598"/>
      <c r="BB339" s="598"/>
      <c r="BC339" s="598"/>
      <c r="BD339" s="598"/>
      <c r="BE339" s="598"/>
      <c r="BF339" s="598"/>
      <c r="BG339" s="598"/>
      <c r="BH339" s="598"/>
      <c r="BI339" s="598"/>
      <c r="BJ339" s="598"/>
      <c r="BK339" s="598"/>
      <c r="BL339" s="598"/>
      <c r="BM339" s="598"/>
      <c r="BN339" s="598"/>
      <c r="BO339" s="598"/>
      <c r="BP339" s="598"/>
      <c r="BQ339" s="598"/>
      <c r="BR339" s="598"/>
      <c r="BS339" s="598"/>
      <c r="BT339" s="598"/>
      <c r="BU339" s="598"/>
      <c r="BV339" s="598"/>
      <c r="BW339" s="598"/>
      <c r="BX339" s="598"/>
      <c r="BY339" s="598"/>
      <c r="BZ339" s="598"/>
      <c r="CA339" s="598"/>
      <c r="CB339" s="598"/>
      <c r="CC339" s="598"/>
      <c r="CD339" s="598"/>
      <c r="CE339" s="598"/>
      <c r="CF339" s="598"/>
      <c r="CG339" s="598"/>
      <c r="CH339" s="598"/>
      <c r="CI339" s="599"/>
      <c r="CK339" s="1296"/>
    </row>
    <row r="340" spans="2:89" x14ac:dyDescent="0.2">
      <c r="B340" s="973" t="s">
        <v>747</v>
      </c>
      <c r="C340" s="974" t="s">
        <v>547</v>
      </c>
      <c r="D340" s="602" t="s">
        <v>548</v>
      </c>
      <c r="E340" s="603" t="s">
        <v>344</v>
      </c>
      <c r="F340" s="604">
        <v>2</v>
      </c>
      <c r="G340" s="597"/>
      <c r="H340" s="597"/>
      <c r="I340" s="597">
        <v>0</v>
      </c>
      <c r="J340" s="597">
        <v>0</v>
      </c>
      <c r="K340" s="597">
        <v>0</v>
      </c>
      <c r="L340" s="597">
        <v>0</v>
      </c>
      <c r="M340" s="598">
        <v>0</v>
      </c>
      <c r="N340" s="598">
        <v>3.0311899999999996</v>
      </c>
      <c r="O340" s="598">
        <v>5.75</v>
      </c>
      <c r="P340" s="598">
        <v>7.5</v>
      </c>
      <c r="Q340" s="598">
        <v>5.2750000000000004</v>
      </c>
      <c r="R340" s="598">
        <v>1.5249999999999999</v>
      </c>
      <c r="S340" s="598">
        <v>0</v>
      </c>
      <c r="T340" s="598">
        <v>0</v>
      </c>
      <c r="U340" s="598">
        <v>0</v>
      </c>
      <c r="V340" s="598">
        <v>0</v>
      </c>
      <c r="W340" s="598">
        <v>5.4999999999999997E-3</v>
      </c>
      <c r="X340" s="598">
        <v>1.0999999999999999E-2</v>
      </c>
      <c r="Y340" s="598">
        <v>1.0999999999999999E-2</v>
      </c>
      <c r="Z340" s="598">
        <v>1.0999999999999999E-2</v>
      </c>
      <c r="AA340" s="598">
        <v>1.0999999999999999E-2</v>
      </c>
      <c r="AB340" s="598">
        <v>1.0999999999999999E-2</v>
      </c>
      <c r="AC340" s="598">
        <v>1.0999999999999999E-2</v>
      </c>
      <c r="AD340" s="598">
        <v>1.0999999999999999E-2</v>
      </c>
      <c r="AE340" s="598">
        <v>1.0999999999999999E-2</v>
      </c>
      <c r="AF340" s="598">
        <v>1.0999999999999999E-2</v>
      </c>
      <c r="AG340" s="598">
        <v>1.0999999999999999E-2</v>
      </c>
      <c r="AH340" s="598">
        <v>1.0999999999999999E-2</v>
      </c>
      <c r="AI340" s="598">
        <v>1.0999999999999999E-2</v>
      </c>
      <c r="AJ340" s="598">
        <v>1.0999999999999999E-2</v>
      </c>
      <c r="AK340" s="598">
        <v>1.0999999999999999E-2</v>
      </c>
      <c r="AL340" s="598"/>
      <c r="AM340" s="598"/>
      <c r="AN340" s="598"/>
      <c r="AO340" s="598"/>
      <c r="AP340" s="598"/>
      <c r="AQ340" s="598"/>
      <c r="AR340" s="598"/>
      <c r="AS340" s="598"/>
      <c r="AT340" s="598"/>
      <c r="AU340" s="598"/>
      <c r="AV340" s="598"/>
      <c r="AW340" s="598"/>
      <c r="AX340" s="598"/>
      <c r="AY340" s="598"/>
      <c r="AZ340" s="598"/>
      <c r="BA340" s="598"/>
      <c r="BB340" s="598"/>
      <c r="BC340" s="598"/>
      <c r="BD340" s="598"/>
      <c r="BE340" s="598"/>
      <c r="BF340" s="598"/>
      <c r="BG340" s="598"/>
      <c r="BH340" s="598"/>
      <c r="BI340" s="598"/>
      <c r="BJ340" s="598"/>
      <c r="BK340" s="598"/>
      <c r="BL340" s="598"/>
      <c r="BM340" s="598"/>
      <c r="BN340" s="598"/>
      <c r="BO340" s="598"/>
      <c r="BP340" s="598"/>
      <c r="BQ340" s="598"/>
      <c r="BR340" s="598"/>
      <c r="BS340" s="598"/>
      <c r="BT340" s="598"/>
      <c r="BU340" s="598"/>
      <c r="BV340" s="598"/>
      <c r="BW340" s="598"/>
      <c r="BX340" s="598"/>
      <c r="BY340" s="598"/>
      <c r="BZ340" s="598"/>
      <c r="CA340" s="598"/>
      <c r="CB340" s="598"/>
      <c r="CC340" s="598"/>
      <c r="CD340" s="598"/>
      <c r="CE340" s="598"/>
      <c r="CF340" s="598"/>
      <c r="CG340" s="598"/>
      <c r="CH340" s="598"/>
      <c r="CI340" s="599"/>
      <c r="CK340" s="1296"/>
    </row>
    <row r="341" spans="2:89" ht="28.5" x14ac:dyDescent="0.2">
      <c r="B341" s="973" t="s">
        <v>748</v>
      </c>
      <c r="C341" s="974" t="s">
        <v>550</v>
      </c>
      <c r="D341" s="602" t="s">
        <v>551</v>
      </c>
      <c r="E341" s="603" t="s">
        <v>344</v>
      </c>
      <c r="F341" s="604">
        <v>2</v>
      </c>
      <c r="G341" s="597"/>
      <c r="H341" s="597"/>
      <c r="I341" s="597">
        <v>0</v>
      </c>
      <c r="J341" s="597">
        <v>0</v>
      </c>
      <c r="K341" s="597">
        <v>0</v>
      </c>
      <c r="L341" s="597">
        <v>0</v>
      </c>
      <c r="M341" s="598">
        <v>0</v>
      </c>
      <c r="N341" s="598">
        <v>0</v>
      </c>
      <c r="O341" s="598">
        <v>0</v>
      </c>
      <c r="P341" s="598">
        <v>0</v>
      </c>
      <c r="Q341" s="598">
        <v>0</v>
      </c>
      <c r="R341" s="598">
        <v>0</v>
      </c>
      <c r="S341" s="598">
        <v>0</v>
      </c>
      <c r="T341" s="598">
        <v>0</v>
      </c>
      <c r="U341" s="598">
        <v>0</v>
      </c>
      <c r="V341" s="598">
        <v>0</v>
      </c>
      <c r="W341" s="598">
        <v>0</v>
      </c>
      <c r="X341" s="598">
        <v>0</v>
      </c>
      <c r="Y341" s="598">
        <v>0</v>
      </c>
      <c r="Z341" s="598">
        <v>0</v>
      </c>
      <c r="AA341" s="598">
        <v>0</v>
      </c>
      <c r="AB341" s="598">
        <v>0</v>
      </c>
      <c r="AC341" s="598">
        <v>0</v>
      </c>
      <c r="AD341" s="598">
        <v>0</v>
      </c>
      <c r="AE341" s="598">
        <v>0</v>
      </c>
      <c r="AF341" s="598">
        <v>0</v>
      </c>
      <c r="AG341" s="598">
        <v>0</v>
      </c>
      <c r="AH341" s="598">
        <v>0</v>
      </c>
      <c r="AI341" s="598">
        <v>0</v>
      </c>
      <c r="AJ341" s="598">
        <v>0</v>
      </c>
      <c r="AK341" s="598">
        <v>0</v>
      </c>
      <c r="AL341" s="598"/>
      <c r="AM341" s="598"/>
      <c r="AN341" s="598"/>
      <c r="AO341" s="598"/>
      <c r="AP341" s="598"/>
      <c r="AQ341" s="598"/>
      <c r="AR341" s="598"/>
      <c r="AS341" s="598"/>
      <c r="AT341" s="598"/>
      <c r="AU341" s="598"/>
      <c r="AV341" s="598"/>
      <c r="AW341" s="598"/>
      <c r="AX341" s="598"/>
      <c r="AY341" s="598"/>
      <c r="AZ341" s="598"/>
      <c r="BA341" s="598"/>
      <c r="BB341" s="598"/>
      <c r="BC341" s="598"/>
      <c r="BD341" s="598"/>
      <c r="BE341" s="598"/>
      <c r="BF341" s="598"/>
      <c r="BG341" s="598"/>
      <c r="BH341" s="598"/>
      <c r="BI341" s="598"/>
      <c r="BJ341" s="598"/>
      <c r="BK341" s="598"/>
      <c r="BL341" s="598"/>
      <c r="BM341" s="598"/>
      <c r="BN341" s="598"/>
      <c r="BO341" s="598"/>
      <c r="BP341" s="598"/>
      <c r="BQ341" s="598"/>
      <c r="BR341" s="598"/>
      <c r="BS341" s="598"/>
      <c r="BT341" s="598"/>
      <c r="BU341" s="598"/>
      <c r="BV341" s="598"/>
      <c r="BW341" s="598"/>
      <c r="BX341" s="598"/>
      <c r="BY341" s="598"/>
      <c r="BZ341" s="598"/>
      <c r="CA341" s="598"/>
      <c r="CB341" s="598"/>
      <c r="CC341" s="598"/>
      <c r="CD341" s="598"/>
      <c r="CE341" s="598"/>
      <c r="CF341" s="598"/>
      <c r="CG341" s="598"/>
      <c r="CH341" s="598"/>
      <c r="CI341" s="599"/>
      <c r="CK341" s="1296"/>
    </row>
    <row r="342" spans="2:89" x14ac:dyDescent="0.2">
      <c r="B342" s="973" t="s">
        <v>749</v>
      </c>
      <c r="C342" s="974" t="s">
        <v>553</v>
      </c>
      <c r="D342" s="602" t="s">
        <v>554</v>
      </c>
      <c r="E342" s="603" t="s">
        <v>344</v>
      </c>
      <c r="F342" s="604">
        <v>2</v>
      </c>
      <c r="G342" s="597"/>
      <c r="H342" s="597"/>
      <c r="I342" s="597">
        <v>0</v>
      </c>
      <c r="J342" s="597">
        <v>1.155E-3</v>
      </c>
      <c r="K342" s="597">
        <v>2.31E-3</v>
      </c>
      <c r="L342" s="597">
        <v>1.1549999999999976E-3</v>
      </c>
      <c r="M342" s="598">
        <v>1.0311899999999998</v>
      </c>
      <c r="N342" s="598">
        <v>3.0311899999999996</v>
      </c>
      <c r="O342" s="598">
        <v>5.75</v>
      </c>
      <c r="P342" s="598">
        <v>7.5</v>
      </c>
      <c r="Q342" s="598">
        <v>5.2750000000000004</v>
      </c>
      <c r="R342" s="598">
        <v>1.5249999999999999</v>
      </c>
      <c r="S342" s="598">
        <v>0</v>
      </c>
      <c r="T342" s="598">
        <v>0</v>
      </c>
      <c r="U342" s="598">
        <v>0</v>
      </c>
      <c r="V342" s="598">
        <v>0</v>
      </c>
      <c r="W342" s="598">
        <v>5.4999999999999997E-3</v>
      </c>
      <c r="X342" s="598">
        <v>1.0999999999999999E-2</v>
      </c>
      <c r="Y342" s="598">
        <v>1.0999999999999999E-2</v>
      </c>
      <c r="Z342" s="598">
        <v>1.0999999999999999E-2</v>
      </c>
      <c r="AA342" s="598">
        <v>1.0999999999999999E-2</v>
      </c>
      <c r="AB342" s="598">
        <v>1.0999999999999999E-2</v>
      </c>
      <c r="AC342" s="598">
        <v>1.0999999999999999E-2</v>
      </c>
      <c r="AD342" s="598">
        <v>1.0999999999999999E-2</v>
      </c>
      <c r="AE342" s="598">
        <v>1.0999999999999999E-2</v>
      </c>
      <c r="AF342" s="598">
        <v>1.0999999999999999E-2</v>
      </c>
      <c r="AG342" s="598">
        <v>1.0999999999999999E-2</v>
      </c>
      <c r="AH342" s="598">
        <v>1.0999999999999999E-2</v>
      </c>
      <c r="AI342" s="598">
        <v>1.0999999999999999E-2</v>
      </c>
      <c r="AJ342" s="598">
        <v>1.0999999999999999E-2</v>
      </c>
      <c r="AK342" s="598">
        <v>1.0999999999999999E-2</v>
      </c>
      <c r="AL342" s="598"/>
      <c r="AM342" s="598"/>
      <c r="AN342" s="598"/>
      <c r="AO342" s="598"/>
      <c r="AP342" s="598"/>
      <c r="AQ342" s="598"/>
      <c r="AR342" s="598"/>
      <c r="AS342" s="598"/>
      <c r="AT342" s="598"/>
      <c r="AU342" s="598"/>
      <c r="AV342" s="598"/>
      <c r="AW342" s="598"/>
      <c r="AX342" s="598"/>
      <c r="AY342" s="598"/>
      <c r="AZ342" s="598"/>
      <c r="BA342" s="598"/>
      <c r="BB342" s="598"/>
      <c r="BC342" s="598"/>
      <c r="BD342" s="598"/>
      <c r="BE342" s="598"/>
      <c r="BF342" s="598"/>
      <c r="BG342" s="598"/>
      <c r="BH342" s="598"/>
      <c r="BI342" s="598"/>
      <c r="BJ342" s="598"/>
      <c r="BK342" s="598"/>
      <c r="BL342" s="598"/>
      <c r="BM342" s="598"/>
      <c r="BN342" s="598"/>
      <c r="BO342" s="598"/>
      <c r="BP342" s="598"/>
      <c r="BQ342" s="598"/>
      <c r="BR342" s="598"/>
      <c r="BS342" s="598"/>
      <c r="BT342" s="598"/>
      <c r="BU342" s="598"/>
      <c r="BV342" s="598"/>
      <c r="BW342" s="598"/>
      <c r="BX342" s="598"/>
      <c r="BY342" s="598"/>
      <c r="BZ342" s="598"/>
      <c r="CA342" s="598"/>
      <c r="CB342" s="598"/>
      <c r="CC342" s="598"/>
      <c r="CD342" s="598"/>
      <c r="CE342" s="598"/>
      <c r="CF342" s="598"/>
      <c r="CG342" s="598"/>
      <c r="CH342" s="598"/>
      <c r="CI342" s="599"/>
      <c r="CK342" s="1296"/>
    </row>
    <row r="343" spans="2:89" ht="28.5" x14ac:dyDescent="0.2">
      <c r="B343" s="973" t="s">
        <v>750</v>
      </c>
      <c r="C343" s="974" t="s">
        <v>556</v>
      </c>
      <c r="D343" s="602" t="s">
        <v>557</v>
      </c>
      <c r="E343" s="603" t="s">
        <v>344</v>
      </c>
      <c r="F343" s="604">
        <v>2</v>
      </c>
      <c r="G343" s="597"/>
      <c r="H343" s="597"/>
      <c r="I343" s="597">
        <v>0</v>
      </c>
      <c r="J343" s="597">
        <v>-3.5588355396157567E-2</v>
      </c>
      <c r="K343" s="597">
        <v>-5.7710987582623829E-2</v>
      </c>
      <c r="L343" s="597">
        <v>-7.3583146361684726E-2</v>
      </c>
      <c r="M343" s="598">
        <v>-0.10902631564410115</v>
      </c>
      <c r="N343" s="598">
        <v>-3.1780810546952551</v>
      </c>
      <c r="O343" s="598">
        <v>-5.9633978488849948</v>
      </c>
      <c r="P343" s="598">
        <v>-7.7633186009374384</v>
      </c>
      <c r="Q343" s="598">
        <v>-5.4680809457508133</v>
      </c>
      <c r="R343" s="598">
        <v>-1.602335247428357</v>
      </c>
      <c r="S343" s="598">
        <v>-3.2962390246680684E-2</v>
      </c>
      <c r="T343" s="598">
        <v>-3.4344560541711644E-2</v>
      </c>
      <c r="U343" s="598">
        <v>-3.4150440438992291E-2</v>
      </c>
      <c r="V343" s="598">
        <v>-3.3966665823214726E-2</v>
      </c>
      <c r="W343" s="598">
        <v>-3.9458015606825825E-2</v>
      </c>
      <c r="X343" s="598">
        <v>-4.4923129176737575E-2</v>
      </c>
      <c r="Y343" s="598">
        <v>-4.4739923935665615E-2</v>
      </c>
      <c r="Z343" s="598">
        <v>-4.4539824993861998E-2</v>
      </c>
      <c r="AA343" s="598">
        <v>-5.181940805941565E-2</v>
      </c>
      <c r="AB343" s="598">
        <v>-5.1610702429400135E-2</v>
      </c>
      <c r="AC343" s="598">
        <v>-5.1423378539823261E-2</v>
      </c>
      <c r="AD343" s="598">
        <v>-5.1237408169569676E-2</v>
      </c>
      <c r="AE343" s="598">
        <v>-5.1055313291442417E-2</v>
      </c>
      <c r="AF343" s="598">
        <v>-5.0862719409721535E-2</v>
      </c>
      <c r="AG343" s="598">
        <v>-5.0669506752853977E-2</v>
      </c>
      <c r="AH343" s="598">
        <v>-5.0480506111540535E-2</v>
      </c>
      <c r="AI343" s="598">
        <v>-5.0287896861078707E-2</v>
      </c>
      <c r="AJ343" s="598">
        <v>-5.0074575249837494E-2</v>
      </c>
      <c r="AK343" s="598">
        <v>-4.9865307387960911E-2</v>
      </c>
      <c r="AL343" s="598"/>
      <c r="AM343" s="598"/>
      <c r="AN343" s="598"/>
      <c r="AO343" s="598"/>
      <c r="AP343" s="598"/>
      <c r="AQ343" s="598"/>
      <c r="AR343" s="598"/>
      <c r="AS343" s="598"/>
      <c r="AT343" s="598"/>
      <c r="AU343" s="598"/>
      <c r="AV343" s="598"/>
      <c r="AW343" s="598"/>
      <c r="AX343" s="598"/>
      <c r="AY343" s="598"/>
      <c r="AZ343" s="598"/>
      <c r="BA343" s="598"/>
      <c r="BB343" s="598"/>
      <c r="BC343" s="598"/>
      <c r="BD343" s="598"/>
      <c r="BE343" s="598"/>
      <c r="BF343" s="598"/>
      <c r="BG343" s="598"/>
      <c r="BH343" s="598"/>
      <c r="BI343" s="598"/>
      <c r="BJ343" s="598"/>
      <c r="BK343" s="598"/>
      <c r="BL343" s="598"/>
      <c r="BM343" s="598"/>
      <c r="BN343" s="598"/>
      <c r="BO343" s="598"/>
      <c r="BP343" s="598"/>
      <c r="BQ343" s="598"/>
      <c r="BR343" s="598"/>
      <c r="BS343" s="598"/>
      <c r="BT343" s="598"/>
      <c r="BU343" s="598"/>
      <c r="BV343" s="598"/>
      <c r="BW343" s="598"/>
      <c r="BX343" s="598"/>
      <c r="BY343" s="598"/>
      <c r="BZ343" s="598"/>
      <c r="CA343" s="598"/>
      <c r="CB343" s="598"/>
      <c r="CC343" s="598"/>
      <c r="CD343" s="598"/>
      <c r="CE343" s="598"/>
      <c r="CF343" s="598"/>
      <c r="CG343" s="598"/>
      <c r="CH343" s="598"/>
      <c r="CI343" s="599"/>
      <c r="CK343" s="1296"/>
    </row>
    <row r="344" spans="2:89" x14ac:dyDescent="0.2">
      <c r="B344" s="973" t="s">
        <v>751</v>
      </c>
      <c r="C344" s="974" t="s">
        <v>559</v>
      </c>
      <c r="D344" s="918" t="s">
        <v>86</v>
      </c>
      <c r="E344" s="960" t="s">
        <v>344</v>
      </c>
      <c r="F344" s="961">
        <v>2</v>
      </c>
      <c r="G344" s="597"/>
      <c r="H344" s="597"/>
      <c r="I344" s="597">
        <v>2.0139999999999998</v>
      </c>
      <c r="J344" s="597">
        <v>2.0380341458615643</v>
      </c>
      <c r="K344" s="597">
        <v>2.0841909239095804</v>
      </c>
      <c r="L344" s="597">
        <v>2.1462198607366396</v>
      </c>
      <c r="M344" s="598">
        <v>2.2413811249392146</v>
      </c>
      <c r="N344" s="598">
        <v>2.3744071281929355</v>
      </c>
      <c r="O344" s="598">
        <v>2.5739399256364206</v>
      </c>
      <c r="P344" s="598">
        <v>2.8233934751323244</v>
      </c>
      <c r="Q344" s="598">
        <v>3.0010688081703085</v>
      </c>
      <c r="R344" s="598">
        <v>3.0629984428858621</v>
      </c>
      <c r="S344" s="598">
        <v>3.0805552204197117</v>
      </c>
      <c r="T344" s="598">
        <v>3.099494168248619</v>
      </c>
      <c r="U344" s="598">
        <v>3.1182389959747763</v>
      </c>
      <c r="V344" s="598">
        <v>3.1368000490852053</v>
      </c>
      <c r="W344" s="598">
        <v>3.1553524519792409</v>
      </c>
      <c r="X344" s="598">
        <v>3.173869968443161</v>
      </c>
      <c r="Y344" s="598">
        <v>3.1922042796660133</v>
      </c>
      <c r="Z344" s="598">
        <v>3.2103384919470801</v>
      </c>
      <c r="AA344" s="598">
        <v>3.2280494809372509</v>
      </c>
      <c r="AB344" s="598">
        <v>3.2455517642974319</v>
      </c>
      <c r="AC344" s="598">
        <v>3.262866723768068</v>
      </c>
      <c r="AD344" s="598">
        <v>3.279995712868442</v>
      </c>
      <c r="AE344" s="598">
        <v>3.296942607090636</v>
      </c>
      <c r="AF344" s="598">
        <v>3.3136969074311424</v>
      </c>
      <c r="AG344" s="598">
        <v>3.330257995114775</v>
      </c>
      <c r="AH344" s="598">
        <v>3.3466300821571306</v>
      </c>
      <c r="AI344" s="598">
        <v>3.3628095599489463</v>
      </c>
      <c r="AJ344" s="598">
        <v>3.3787757161296015</v>
      </c>
      <c r="AK344" s="598">
        <v>3.394532604448333</v>
      </c>
      <c r="AL344" s="598"/>
      <c r="AM344" s="598"/>
      <c r="AN344" s="598"/>
      <c r="AO344" s="598"/>
      <c r="AP344" s="598"/>
      <c r="AQ344" s="598"/>
      <c r="AR344" s="598"/>
      <c r="AS344" s="598"/>
      <c r="AT344" s="598"/>
      <c r="AU344" s="598"/>
      <c r="AV344" s="598"/>
      <c r="AW344" s="598"/>
      <c r="AX344" s="598"/>
      <c r="AY344" s="598"/>
      <c r="AZ344" s="598"/>
      <c r="BA344" s="598"/>
      <c r="BB344" s="598"/>
      <c r="BC344" s="598"/>
      <c r="BD344" s="598"/>
      <c r="BE344" s="598"/>
      <c r="BF344" s="598"/>
      <c r="BG344" s="598"/>
      <c r="BH344" s="598"/>
      <c r="BI344" s="598"/>
      <c r="BJ344" s="598"/>
      <c r="BK344" s="598"/>
      <c r="BL344" s="598"/>
      <c r="BM344" s="598"/>
      <c r="BN344" s="598"/>
      <c r="BO344" s="598"/>
      <c r="BP344" s="598"/>
      <c r="BQ344" s="598"/>
      <c r="BR344" s="598"/>
      <c r="BS344" s="598"/>
      <c r="BT344" s="598"/>
      <c r="BU344" s="598"/>
      <c r="BV344" s="598"/>
      <c r="BW344" s="598"/>
      <c r="BX344" s="598"/>
      <c r="BY344" s="598"/>
      <c r="BZ344" s="598"/>
      <c r="CA344" s="598"/>
      <c r="CB344" s="598"/>
      <c r="CC344" s="598"/>
      <c r="CD344" s="598"/>
      <c r="CE344" s="598"/>
      <c r="CF344" s="598"/>
      <c r="CG344" s="598"/>
      <c r="CH344" s="598"/>
      <c r="CI344" s="599"/>
      <c r="CK344" s="1296"/>
    </row>
    <row r="345" spans="2:89" ht="28.5" x14ac:dyDescent="0.2">
      <c r="B345" s="973" t="s">
        <v>752</v>
      </c>
      <c r="C345" s="974" t="s">
        <v>561</v>
      </c>
      <c r="D345" s="918" t="s">
        <v>86</v>
      </c>
      <c r="E345" s="960" t="s">
        <v>344</v>
      </c>
      <c r="F345" s="961">
        <v>2</v>
      </c>
      <c r="G345" s="597"/>
      <c r="H345" s="597"/>
      <c r="I345" s="597">
        <v>27.367000000000001</v>
      </c>
      <c r="J345" s="597">
        <v>27.087815027782518</v>
      </c>
      <c r="K345" s="597">
        <v>26.74591390466075</v>
      </c>
      <c r="L345" s="597">
        <v>25.783219513257777</v>
      </c>
      <c r="M345" s="598">
        <v>23.771073658751124</v>
      </c>
      <c r="N345" s="598">
        <v>20.420890426216868</v>
      </c>
      <c r="O345" s="598">
        <v>14.791507458422172</v>
      </c>
      <c r="P345" s="598">
        <v>7.4677807406274903</v>
      </c>
      <c r="Q345" s="598">
        <v>2.2994515096052637</v>
      </c>
      <c r="R345" s="598">
        <v>0.78840850326619238</v>
      </c>
      <c r="S345" s="598">
        <v>0.78092870809930226</v>
      </c>
      <c r="T345" s="598">
        <v>0.77512338619393906</v>
      </c>
      <c r="U345" s="598">
        <v>0.77028681428857571</v>
      </c>
      <c r="V345" s="598">
        <v>0.76641899238321243</v>
      </c>
      <c r="W345" s="598">
        <v>0.7581917954778491</v>
      </c>
      <c r="X345" s="598">
        <v>0.74463647357248575</v>
      </c>
      <c r="Y345" s="598">
        <v>0.73108115166712251</v>
      </c>
      <c r="Z345" s="598">
        <v>0.71752582976175916</v>
      </c>
      <c r="AA345" s="598">
        <v>0.70493925785639588</v>
      </c>
      <c r="AB345" s="598">
        <v>0.69235627499835095</v>
      </c>
      <c r="AC345" s="598">
        <v>0.67880900514831977</v>
      </c>
      <c r="AD345" s="598">
        <v>0.66526173529828847</v>
      </c>
      <c r="AE345" s="598">
        <v>0.65171446544825717</v>
      </c>
      <c r="AF345" s="598">
        <v>0.63816719559822599</v>
      </c>
      <c r="AG345" s="598">
        <v>0.62461992574819492</v>
      </c>
      <c r="AH345" s="598">
        <v>0.61107265589816373</v>
      </c>
      <c r="AI345" s="598">
        <v>0.59752538604813243</v>
      </c>
      <c r="AJ345" s="598">
        <v>0.58397811619810114</v>
      </c>
      <c r="AK345" s="598">
        <v>0.57043084634806995</v>
      </c>
      <c r="AL345" s="598"/>
      <c r="AM345" s="598"/>
      <c r="AN345" s="598"/>
      <c r="AO345" s="598"/>
      <c r="AP345" s="598"/>
      <c r="AQ345" s="598"/>
      <c r="AR345" s="598"/>
      <c r="AS345" s="598"/>
      <c r="AT345" s="598"/>
      <c r="AU345" s="598"/>
      <c r="AV345" s="598"/>
      <c r="AW345" s="598"/>
      <c r="AX345" s="598"/>
      <c r="AY345" s="598"/>
      <c r="AZ345" s="598"/>
      <c r="BA345" s="598"/>
      <c r="BB345" s="598"/>
      <c r="BC345" s="598"/>
      <c r="BD345" s="598"/>
      <c r="BE345" s="598"/>
      <c r="BF345" s="598"/>
      <c r="BG345" s="598"/>
      <c r="BH345" s="598"/>
      <c r="BI345" s="598"/>
      <c r="BJ345" s="598"/>
      <c r="BK345" s="598"/>
      <c r="BL345" s="598"/>
      <c r="BM345" s="598"/>
      <c r="BN345" s="598"/>
      <c r="BO345" s="598"/>
      <c r="BP345" s="598"/>
      <c r="BQ345" s="598"/>
      <c r="BR345" s="598"/>
      <c r="BS345" s="598"/>
      <c r="BT345" s="598"/>
      <c r="BU345" s="598"/>
      <c r="BV345" s="598"/>
      <c r="BW345" s="598"/>
      <c r="BX345" s="598"/>
      <c r="BY345" s="598"/>
      <c r="BZ345" s="598"/>
      <c r="CA345" s="598"/>
      <c r="CB345" s="598"/>
      <c r="CC345" s="598"/>
      <c r="CD345" s="598"/>
      <c r="CE345" s="598"/>
      <c r="CF345" s="598"/>
      <c r="CG345" s="598"/>
      <c r="CH345" s="598"/>
      <c r="CI345" s="599"/>
      <c r="CK345" s="1296"/>
    </row>
    <row r="346" spans="2:89" x14ac:dyDescent="0.2">
      <c r="B346" s="973" t="s">
        <v>753</v>
      </c>
      <c r="C346" s="974" t="s">
        <v>563</v>
      </c>
      <c r="D346" s="918" t="s">
        <v>86</v>
      </c>
      <c r="E346" s="960" t="s">
        <v>344</v>
      </c>
      <c r="F346" s="961">
        <v>2</v>
      </c>
      <c r="G346" s="597"/>
      <c r="H346" s="597"/>
      <c r="I346" s="597">
        <v>0.91500000000000004</v>
      </c>
      <c r="J346" s="597">
        <v>0.90085858284560449</v>
      </c>
      <c r="K346" s="597">
        <v>0.88944970596737105</v>
      </c>
      <c r="L346" s="597">
        <v>0.85548909737034196</v>
      </c>
      <c r="M346" s="598">
        <v>0.77563495187699871</v>
      </c>
      <c r="N346" s="598">
        <v>0.65531818441125134</v>
      </c>
      <c r="O346" s="598">
        <v>0.47370115220595055</v>
      </c>
      <c r="P346" s="598">
        <v>0.23742787000065022</v>
      </c>
      <c r="Q346" s="598">
        <v>7.1757101022862119E-2</v>
      </c>
      <c r="R346" s="598">
        <v>2.4800107361933391E-2</v>
      </c>
      <c r="S346" s="598">
        <v>2.5279902528823523E-2</v>
      </c>
      <c r="T346" s="598">
        <v>2.5085224434186832E-2</v>
      </c>
      <c r="U346" s="598">
        <v>2.4921796339550131E-2</v>
      </c>
      <c r="V346" s="598">
        <v>2.4789618244913433E-2</v>
      </c>
      <c r="W346" s="598">
        <v>2.4516815150276736E-2</v>
      </c>
      <c r="X346" s="598">
        <v>2.4072137055640042E-2</v>
      </c>
      <c r="Y346" s="598">
        <v>2.3627458961003343E-2</v>
      </c>
      <c r="Z346" s="598">
        <v>2.3182780866366645E-2</v>
      </c>
      <c r="AA346" s="598">
        <v>2.276935277172995E-2</v>
      </c>
      <c r="AB346" s="598">
        <v>2.2352335629774903E-2</v>
      </c>
      <c r="AC346" s="598">
        <v>2.1899605479806121E-2</v>
      </c>
      <c r="AD346" s="598">
        <v>2.1446875329837332E-2</v>
      </c>
      <c r="AE346" s="598">
        <v>2.0994145179868553E-2</v>
      </c>
      <c r="AF346" s="598">
        <v>2.0541415029899771E-2</v>
      </c>
      <c r="AG346" s="598">
        <v>2.0088684879930988E-2</v>
      </c>
      <c r="AH346" s="598">
        <v>1.9635954729962202E-2</v>
      </c>
      <c r="AI346" s="598">
        <v>1.9183224579993417E-2</v>
      </c>
      <c r="AJ346" s="598">
        <v>1.8730494430024634E-2</v>
      </c>
      <c r="AK346" s="598">
        <v>1.8277764280055852E-2</v>
      </c>
      <c r="AL346" s="598"/>
      <c r="AM346" s="598"/>
      <c r="AN346" s="598"/>
      <c r="AO346" s="598"/>
      <c r="AP346" s="598"/>
      <c r="AQ346" s="598"/>
      <c r="AR346" s="598"/>
      <c r="AS346" s="598"/>
      <c r="AT346" s="598"/>
      <c r="AU346" s="598"/>
      <c r="AV346" s="598"/>
      <c r="AW346" s="598"/>
      <c r="AX346" s="598"/>
      <c r="AY346" s="598"/>
      <c r="AZ346" s="598"/>
      <c r="BA346" s="598"/>
      <c r="BB346" s="598"/>
      <c r="BC346" s="598"/>
      <c r="BD346" s="598"/>
      <c r="BE346" s="598"/>
      <c r="BF346" s="598"/>
      <c r="BG346" s="598"/>
      <c r="BH346" s="598"/>
      <c r="BI346" s="598"/>
      <c r="BJ346" s="598"/>
      <c r="BK346" s="598"/>
      <c r="BL346" s="598"/>
      <c r="BM346" s="598"/>
      <c r="BN346" s="598"/>
      <c r="BO346" s="598"/>
      <c r="BP346" s="598"/>
      <c r="BQ346" s="598"/>
      <c r="BR346" s="598"/>
      <c r="BS346" s="598"/>
      <c r="BT346" s="598"/>
      <c r="BU346" s="598"/>
      <c r="BV346" s="598"/>
      <c r="BW346" s="598"/>
      <c r="BX346" s="598"/>
      <c r="BY346" s="598"/>
      <c r="BZ346" s="598"/>
      <c r="CA346" s="598"/>
      <c r="CB346" s="598"/>
      <c r="CC346" s="598"/>
      <c r="CD346" s="598"/>
      <c r="CE346" s="598"/>
      <c r="CF346" s="598"/>
      <c r="CG346" s="598"/>
      <c r="CH346" s="598"/>
      <c r="CI346" s="599"/>
      <c r="CK346" s="1296"/>
    </row>
    <row r="347" spans="2:89" ht="29.25" thickBot="1" x14ac:dyDescent="0.25">
      <c r="B347" s="975" t="s">
        <v>754</v>
      </c>
      <c r="C347" s="976" t="s">
        <v>565</v>
      </c>
      <c r="D347" s="977" t="s">
        <v>755</v>
      </c>
      <c r="E347" s="978" t="s">
        <v>344</v>
      </c>
      <c r="F347" s="979">
        <v>2</v>
      </c>
      <c r="G347" s="729">
        <f>SUM(G334:G337)+G344+G345+G346</f>
        <v>0</v>
      </c>
      <c r="H347" s="729">
        <f t="shared" ref="H347:AK347" si="205">SUM(H334:H337)+H344+H345+H346</f>
        <v>0</v>
      </c>
      <c r="I347" s="729">
        <f t="shared" si="205"/>
        <v>103.69900000000001</v>
      </c>
      <c r="J347" s="729">
        <f t="shared" si="205"/>
        <v>104.18013078460724</v>
      </c>
      <c r="K347" s="729">
        <f t="shared" si="205"/>
        <v>105.41644440971376</v>
      </c>
      <c r="L347" s="729">
        <f t="shared" si="205"/>
        <v>106.54365466806445</v>
      </c>
      <c r="M347" s="729">
        <f t="shared" si="205"/>
        <v>107.69848513088903</v>
      </c>
      <c r="N347" s="729">
        <f t="shared" si="205"/>
        <v>108.73659657854061</v>
      </c>
      <c r="O347" s="729">
        <f t="shared" si="205"/>
        <v>109.62469761728443</v>
      </c>
      <c r="P347" s="729">
        <f t="shared" si="205"/>
        <v>110.42045731218523</v>
      </c>
      <c r="Q347" s="729">
        <f t="shared" si="205"/>
        <v>111.1265432560525</v>
      </c>
      <c r="R347" s="729">
        <f t="shared" si="205"/>
        <v>111.80510828583404</v>
      </c>
      <c r="S347" s="729">
        <f t="shared" si="205"/>
        <v>112.47795605315856</v>
      </c>
      <c r="T347" s="729">
        <f t="shared" si="205"/>
        <v>113.14483343544414</v>
      </c>
      <c r="U347" s="729">
        <f t="shared" si="205"/>
        <v>113.80614765052738</v>
      </c>
      <c r="V347" s="729">
        <f t="shared" si="205"/>
        <v>114.46382825639169</v>
      </c>
      <c r="W347" s="729">
        <f t="shared" si="205"/>
        <v>115.1166268331888</v>
      </c>
      <c r="X347" s="729">
        <f t="shared" si="205"/>
        <v>115.7626950744116</v>
      </c>
      <c r="Y347" s="729">
        <f t="shared" si="205"/>
        <v>116.40249192160043</v>
      </c>
      <c r="Z347" s="729">
        <f t="shared" si="205"/>
        <v>117.03535773597773</v>
      </c>
      <c r="AA347" s="729">
        <f t="shared" si="205"/>
        <v>117.65500636639011</v>
      </c>
      <c r="AB347" s="729">
        <f t="shared" si="205"/>
        <v>118.26763534216254</v>
      </c>
      <c r="AC347" s="729">
        <f t="shared" si="205"/>
        <v>118.87281805235946</v>
      </c>
      <c r="AD347" s="729">
        <f t="shared" si="205"/>
        <v>119.47159902689364</v>
      </c>
      <c r="AE347" s="729">
        <f t="shared" si="205"/>
        <v>120.06426227747252</v>
      </c>
      <c r="AF347" s="729">
        <f t="shared" si="205"/>
        <v>120.65038823764165</v>
      </c>
      <c r="AG347" s="729">
        <f t="shared" si="205"/>
        <v>121.22996200910633</v>
      </c>
      <c r="AH347" s="729">
        <f t="shared" si="205"/>
        <v>121.80306871540978</v>
      </c>
      <c r="AI347" s="729">
        <f t="shared" si="205"/>
        <v>122.36953685685539</v>
      </c>
      <c r="AJ347" s="729">
        <f t="shared" si="205"/>
        <v>122.92869820403158</v>
      </c>
      <c r="AK347" s="729">
        <f t="shared" si="205"/>
        <v>123.48073339786123</v>
      </c>
      <c r="AL347" s="729"/>
      <c r="AM347" s="729"/>
      <c r="AN347" s="729"/>
      <c r="AO347" s="729"/>
      <c r="AP347" s="729"/>
      <c r="AQ347" s="729"/>
      <c r="AR347" s="729"/>
      <c r="AS347" s="729"/>
      <c r="AT347" s="729"/>
      <c r="AU347" s="729"/>
      <c r="AV347" s="729"/>
      <c r="AW347" s="729"/>
      <c r="AX347" s="729"/>
      <c r="AY347" s="729"/>
      <c r="AZ347" s="729"/>
      <c r="BA347" s="729"/>
      <c r="BB347" s="729"/>
      <c r="BC347" s="729"/>
      <c r="BD347" s="729"/>
      <c r="BE347" s="729"/>
      <c r="BF347" s="729"/>
      <c r="BG347" s="729"/>
      <c r="BH347" s="729"/>
      <c r="BI347" s="729"/>
      <c r="BJ347" s="729"/>
      <c r="BK347" s="729"/>
      <c r="BL347" s="729"/>
      <c r="BM347" s="729"/>
      <c r="BN347" s="729"/>
      <c r="BO347" s="729"/>
      <c r="BP347" s="729"/>
      <c r="BQ347" s="729"/>
      <c r="BR347" s="729"/>
      <c r="BS347" s="729"/>
      <c r="BT347" s="729"/>
      <c r="BU347" s="729"/>
      <c r="BV347" s="729"/>
      <c r="BW347" s="729"/>
      <c r="BX347" s="729"/>
      <c r="BY347" s="729"/>
      <c r="BZ347" s="729"/>
      <c r="CA347" s="729"/>
      <c r="CB347" s="729"/>
      <c r="CC347" s="729"/>
      <c r="CD347" s="729"/>
      <c r="CE347" s="729"/>
      <c r="CF347" s="729"/>
      <c r="CG347" s="729"/>
      <c r="CH347" s="729"/>
      <c r="CI347" s="729"/>
      <c r="CK347" s="1296"/>
    </row>
    <row r="348" spans="2:89" x14ac:dyDescent="0.2">
      <c r="B348" s="933" t="s">
        <v>756</v>
      </c>
      <c r="C348" s="934" t="s">
        <v>568</v>
      </c>
      <c r="D348" s="925" t="s">
        <v>86</v>
      </c>
      <c r="E348" s="980" t="s">
        <v>344</v>
      </c>
      <c r="F348" s="981">
        <v>2</v>
      </c>
      <c r="G348" s="593"/>
      <c r="H348" s="593"/>
      <c r="I348" s="593">
        <v>2.9167739999999998</v>
      </c>
      <c r="J348" s="593">
        <v>2.9607540564970298</v>
      </c>
      <c r="K348" s="593">
        <v>3.0026749529208496</v>
      </c>
      <c r="L348" s="593">
        <v>3.0372866624532482</v>
      </c>
      <c r="M348" s="594">
        <v>3.0666877924701303</v>
      </c>
      <c r="N348" s="594">
        <v>3.1079853610336823</v>
      </c>
      <c r="O348" s="594">
        <v>3.1564715319065106</v>
      </c>
      <c r="P348" s="594">
        <v>3.2043633352628569</v>
      </c>
      <c r="Q348" s="594">
        <v>3.2483729598452369</v>
      </c>
      <c r="R348" s="594">
        <v>3.2887589079177917</v>
      </c>
      <c r="S348" s="594">
        <v>3.3509241751971741</v>
      </c>
      <c r="T348" s="594">
        <v>3.4127679629028016</v>
      </c>
      <c r="U348" s="594">
        <v>3.4591154277864993</v>
      </c>
      <c r="V348" s="594">
        <v>3.4921526597447143</v>
      </c>
      <c r="W348" s="594">
        <v>3.5218294394713872</v>
      </c>
      <c r="X348" s="594">
        <v>3.5495504037312746</v>
      </c>
      <c r="Y348" s="594">
        <v>3.5809001657754296</v>
      </c>
      <c r="Z348" s="594">
        <v>3.6152625692640465</v>
      </c>
      <c r="AA348" s="594">
        <v>3.6489080374131935</v>
      </c>
      <c r="AB348" s="594">
        <v>3.6848952170890139</v>
      </c>
      <c r="AC348" s="594">
        <v>3.7264568657626098</v>
      </c>
      <c r="AD348" s="594">
        <v>3.7731272584415172</v>
      </c>
      <c r="AE348" s="594">
        <v>3.8247430171140131</v>
      </c>
      <c r="AF348" s="594">
        <v>3.8755585535749102</v>
      </c>
      <c r="AG348" s="594">
        <v>3.9314320136829588</v>
      </c>
      <c r="AH348" s="594">
        <v>3.9891051972515856</v>
      </c>
      <c r="AI348" s="594">
        <v>4.0470606775999451</v>
      </c>
      <c r="AJ348" s="594">
        <v>4.1065688667987903</v>
      </c>
      <c r="AK348" s="594">
        <v>4.16301749357247</v>
      </c>
      <c r="AL348" s="594"/>
      <c r="AM348" s="594"/>
      <c r="AN348" s="594"/>
      <c r="AO348" s="594"/>
      <c r="AP348" s="594"/>
      <c r="AQ348" s="594"/>
      <c r="AR348" s="594"/>
      <c r="AS348" s="594"/>
      <c r="AT348" s="594"/>
      <c r="AU348" s="594"/>
      <c r="AV348" s="594"/>
      <c r="AW348" s="594"/>
      <c r="AX348" s="594"/>
      <c r="AY348" s="594"/>
      <c r="AZ348" s="594"/>
      <c r="BA348" s="594"/>
      <c r="BB348" s="594"/>
      <c r="BC348" s="594"/>
      <c r="BD348" s="594"/>
      <c r="BE348" s="594"/>
      <c r="BF348" s="594"/>
      <c r="BG348" s="594"/>
      <c r="BH348" s="594"/>
      <c r="BI348" s="594"/>
      <c r="BJ348" s="594"/>
      <c r="BK348" s="594"/>
      <c r="BL348" s="594"/>
      <c r="BM348" s="594"/>
      <c r="BN348" s="594"/>
      <c r="BO348" s="594"/>
      <c r="BP348" s="594"/>
      <c r="BQ348" s="594"/>
      <c r="BR348" s="594"/>
      <c r="BS348" s="594"/>
      <c r="BT348" s="594"/>
      <c r="BU348" s="594"/>
      <c r="BV348" s="594"/>
      <c r="BW348" s="594"/>
      <c r="BX348" s="594"/>
      <c r="BY348" s="594"/>
      <c r="BZ348" s="594"/>
      <c r="CA348" s="594"/>
      <c r="CB348" s="594"/>
      <c r="CC348" s="594"/>
      <c r="CD348" s="594"/>
      <c r="CE348" s="594"/>
      <c r="CF348" s="594"/>
      <c r="CG348" s="594"/>
      <c r="CH348" s="594"/>
      <c r="CI348" s="595"/>
      <c r="CK348" s="1296"/>
    </row>
    <row r="349" spans="2:89" x14ac:dyDescent="0.2">
      <c r="B349" s="940" t="s">
        <v>757</v>
      </c>
      <c r="C349" s="901" t="s">
        <v>570</v>
      </c>
      <c r="D349" s="907" t="s">
        <v>86</v>
      </c>
      <c r="E349" s="982" t="s">
        <v>344</v>
      </c>
      <c r="F349" s="983">
        <v>2</v>
      </c>
      <c r="G349" s="597"/>
      <c r="H349" s="597"/>
      <c r="I349" s="597">
        <v>0</v>
      </c>
      <c r="J349" s="597">
        <v>0</v>
      </c>
      <c r="K349" s="597">
        <v>0</v>
      </c>
      <c r="L349" s="597">
        <v>0</v>
      </c>
      <c r="M349" s="598">
        <v>0</v>
      </c>
      <c r="N349" s="598">
        <v>0</v>
      </c>
      <c r="O349" s="598">
        <v>0</v>
      </c>
      <c r="P349" s="598">
        <v>0</v>
      </c>
      <c r="Q349" s="598">
        <v>0</v>
      </c>
      <c r="R349" s="598">
        <v>0</v>
      </c>
      <c r="S349" s="598">
        <v>0</v>
      </c>
      <c r="T349" s="598">
        <v>0</v>
      </c>
      <c r="U349" s="598">
        <v>0</v>
      </c>
      <c r="V349" s="598">
        <v>0</v>
      </c>
      <c r="W349" s="598">
        <v>0</v>
      </c>
      <c r="X349" s="598">
        <v>0</v>
      </c>
      <c r="Y349" s="598">
        <v>0</v>
      </c>
      <c r="Z349" s="598">
        <v>0</v>
      </c>
      <c r="AA349" s="598">
        <v>0</v>
      </c>
      <c r="AB349" s="598">
        <v>0</v>
      </c>
      <c r="AC349" s="598">
        <v>0</v>
      </c>
      <c r="AD349" s="598">
        <v>0</v>
      </c>
      <c r="AE349" s="598">
        <v>0</v>
      </c>
      <c r="AF349" s="598">
        <v>0</v>
      </c>
      <c r="AG349" s="598">
        <v>0</v>
      </c>
      <c r="AH349" s="598">
        <v>0</v>
      </c>
      <c r="AI349" s="598">
        <v>0</v>
      </c>
      <c r="AJ349" s="598">
        <v>0</v>
      </c>
      <c r="AK349" s="598">
        <v>0</v>
      </c>
      <c r="AL349" s="598"/>
      <c r="AM349" s="598"/>
      <c r="AN349" s="598"/>
      <c r="AO349" s="598"/>
      <c r="AP349" s="598"/>
      <c r="AQ349" s="598"/>
      <c r="AR349" s="598"/>
      <c r="AS349" s="598"/>
      <c r="AT349" s="598"/>
      <c r="AU349" s="598"/>
      <c r="AV349" s="598"/>
      <c r="AW349" s="598"/>
      <c r="AX349" s="598"/>
      <c r="AY349" s="598"/>
      <c r="AZ349" s="598"/>
      <c r="BA349" s="598"/>
      <c r="BB349" s="598"/>
      <c r="BC349" s="598"/>
      <c r="BD349" s="598"/>
      <c r="BE349" s="598"/>
      <c r="BF349" s="598"/>
      <c r="BG349" s="598"/>
      <c r="BH349" s="598"/>
      <c r="BI349" s="598"/>
      <c r="BJ349" s="598"/>
      <c r="BK349" s="598"/>
      <c r="BL349" s="598"/>
      <c r="BM349" s="598"/>
      <c r="BN349" s="598"/>
      <c r="BO349" s="598"/>
      <c r="BP349" s="598"/>
      <c r="BQ349" s="598"/>
      <c r="BR349" s="598"/>
      <c r="BS349" s="598"/>
      <c r="BT349" s="598"/>
      <c r="BU349" s="598"/>
      <c r="BV349" s="598"/>
      <c r="BW349" s="598"/>
      <c r="BX349" s="598"/>
      <c r="BY349" s="598"/>
      <c r="BZ349" s="598"/>
      <c r="CA349" s="598"/>
      <c r="CB349" s="598"/>
      <c r="CC349" s="598"/>
      <c r="CD349" s="598"/>
      <c r="CE349" s="598"/>
      <c r="CF349" s="598"/>
      <c r="CG349" s="598"/>
      <c r="CH349" s="598"/>
      <c r="CI349" s="599"/>
      <c r="CK349" s="1296"/>
    </row>
    <row r="350" spans="2:89" x14ac:dyDescent="0.2">
      <c r="B350" s="937" t="s">
        <v>758</v>
      </c>
      <c r="C350" s="984" t="s">
        <v>572</v>
      </c>
      <c r="D350" s="907" t="s">
        <v>86</v>
      </c>
      <c r="E350" s="982" t="s">
        <v>344</v>
      </c>
      <c r="F350" s="983">
        <v>2</v>
      </c>
      <c r="G350" s="597"/>
      <c r="H350" s="597"/>
      <c r="I350" s="597">
        <v>130.90061962351149</v>
      </c>
      <c r="J350" s="597">
        <v>132.71311084272594</v>
      </c>
      <c r="K350" s="597">
        <v>135.95988891695063</v>
      </c>
      <c r="L350" s="597">
        <v>140.20423554601018</v>
      </c>
      <c r="M350" s="598">
        <v>147.71487079787923</v>
      </c>
      <c r="N350" s="598">
        <v>159.9065279075555</v>
      </c>
      <c r="O350" s="598">
        <v>179.49178109417744</v>
      </c>
      <c r="P350" s="598">
        <v>204.58461151776802</v>
      </c>
      <c r="Q350" s="598">
        <v>222.80483980254166</v>
      </c>
      <c r="R350" s="598">
        <v>228.95607879967622</v>
      </c>
      <c r="S350" s="598">
        <v>229.65380145414173</v>
      </c>
      <c r="T350" s="598">
        <v>230.33315823359285</v>
      </c>
      <c r="U350" s="598">
        <v>231.03168659168719</v>
      </c>
      <c r="V350" s="598">
        <v>231.82680326350069</v>
      </c>
      <c r="W350" s="598">
        <v>232.6137231279879</v>
      </c>
      <c r="X350" s="598">
        <v>233.39837563490099</v>
      </c>
      <c r="Y350" s="598">
        <v>234.17754188421515</v>
      </c>
      <c r="Z350" s="598">
        <v>235.01753852644416</v>
      </c>
      <c r="AA350" s="598">
        <v>235.9708795781703</v>
      </c>
      <c r="AB350" s="598">
        <v>236.94074846305722</v>
      </c>
      <c r="AC350" s="598">
        <v>237.89812238102945</v>
      </c>
      <c r="AD350" s="598">
        <v>238.8546607437427</v>
      </c>
      <c r="AE350" s="598">
        <v>239.8171830018712</v>
      </c>
      <c r="AF350" s="598">
        <v>240.77093378140864</v>
      </c>
      <c r="AG350" s="598">
        <v>241.68741404014713</v>
      </c>
      <c r="AH350" s="598">
        <v>242.57577758574016</v>
      </c>
      <c r="AI350" s="598">
        <v>243.47565427398922</v>
      </c>
      <c r="AJ350" s="598">
        <v>244.39216260285806</v>
      </c>
      <c r="AK350" s="598">
        <v>245.29986806280479</v>
      </c>
      <c r="AL350" s="598"/>
      <c r="AM350" s="598"/>
      <c r="AN350" s="598"/>
      <c r="AO350" s="598"/>
      <c r="AP350" s="598"/>
      <c r="AQ350" s="598"/>
      <c r="AR350" s="598"/>
      <c r="AS350" s="598"/>
      <c r="AT350" s="598"/>
      <c r="AU350" s="598"/>
      <c r="AV350" s="598"/>
      <c r="AW350" s="598"/>
      <c r="AX350" s="598"/>
      <c r="AY350" s="598"/>
      <c r="AZ350" s="598"/>
      <c r="BA350" s="598"/>
      <c r="BB350" s="598"/>
      <c r="BC350" s="598"/>
      <c r="BD350" s="598"/>
      <c r="BE350" s="598"/>
      <c r="BF350" s="598"/>
      <c r="BG350" s="598"/>
      <c r="BH350" s="598"/>
      <c r="BI350" s="598"/>
      <c r="BJ350" s="598"/>
      <c r="BK350" s="598"/>
      <c r="BL350" s="598"/>
      <c r="BM350" s="598"/>
      <c r="BN350" s="598"/>
      <c r="BO350" s="598"/>
      <c r="BP350" s="598"/>
      <c r="BQ350" s="598"/>
      <c r="BR350" s="598"/>
      <c r="BS350" s="598"/>
      <c r="BT350" s="598"/>
      <c r="BU350" s="598"/>
      <c r="BV350" s="598"/>
      <c r="BW350" s="598"/>
      <c r="BX350" s="598"/>
      <c r="BY350" s="598"/>
      <c r="BZ350" s="598"/>
      <c r="CA350" s="598"/>
      <c r="CB350" s="598"/>
      <c r="CC350" s="598"/>
      <c r="CD350" s="598"/>
      <c r="CE350" s="598"/>
      <c r="CF350" s="598"/>
      <c r="CG350" s="598"/>
      <c r="CH350" s="598"/>
      <c r="CI350" s="599"/>
      <c r="CK350" s="1296"/>
    </row>
    <row r="351" spans="2:89" x14ac:dyDescent="0.2">
      <c r="B351" s="937" t="s">
        <v>759</v>
      </c>
      <c r="C351" s="984" t="s">
        <v>574</v>
      </c>
      <c r="D351" s="907" t="s">
        <v>86</v>
      </c>
      <c r="E351" s="982" t="s">
        <v>344</v>
      </c>
      <c r="F351" s="983">
        <v>2</v>
      </c>
      <c r="G351" s="597"/>
      <c r="H351" s="597"/>
      <c r="I351" s="597">
        <v>90.592056438351563</v>
      </c>
      <c r="J351" s="597">
        <v>89.413301780527377</v>
      </c>
      <c r="K351" s="597">
        <v>88.125815456900995</v>
      </c>
      <c r="L351" s="597">
        <v>85.610920570035631</v>
      </c>
      <c r="M351" s="598">
        <v>79.82502768080434</v>
      </c>
      <c r="N351" s="598">
        <v>69.037678885480574</v>
      </c>
      <c r="O351" s="598">
        <v>50.491197890969154</v>
      </c>
      <c r="P351" s="598">
        <v>26.316072909381084</v>
      </c>
      <c r="Q351" s="598">
        <v>8.7860892146407394</v>
      </c>
      <c r="R351" s="598">
        <v>3.2972057949809441</v>
      </c>
      <c r="S351" s="598">
        <v>3.2600372231948329</v>
      </c>
      <c r="T351" s="598">
        <v>3.2232204958975785</v>
      </c>
      <c r="U351" s="598">
        <v>3.1868464089977317</v>
      </c>
      <c r="V351" s="598">
        <v>3.1509688411963861</v>
      </c>
      <c r="W351" s="598">
        <v>3.0950841426381799</v>
      </c>
      <c r="X351" s="598">
        <v>3.0197137952558992</v>
      </c>
      <c r="Y351" s="598">
        <v>2.945597087876985</v>
      </c>
      <c r="Z351" s="598">
        <v>2.8727030712334987</v>
      </c>
      <c r="AA351" s="598">
        <v>2.8010114213318844</v>
      </c>
      <c r="AB351" s="598">
        <v>2.7306130965817186</v>
      </c>
      <c r="AC351" s="598">
        <v>2.6614770115749971</v>
      </c>
      <c r="AD351" s="598">
        <v>2.5934654572090134</v>
      </c>
      <c r="AE351" s="598">
        <v>2.5265483769107178</v>
      </c>
      <c r="AF351" s="598">
        <v>2.4606970479248216</v>
      </c>
      <c r="AG351" s="598">
        <v>2.3958814236809025</v>
      </c>
      <c r="AH351" s="598">
        <v>2.3320686098793493</v>
      </c>
      <c r="AI351" s="598">
        <v>2.269227827814257</v>
      </c>
      <c r="AJ351" s="598">
        <v>2.2073337629091427</v>
      </c>
      <c r="AK351" s="598">
        <v>2.1463620545709325</v>
      </c>
      <c r="AL351" s="598"/>
      <c r="AM351" s="598"/>
      <c r="AN351" s="598"/>
      <c r="AO351" s="598"/>
      <c r="AP351" s="598"/>
      <c r="AQ351" s="598"/>
      <c r="AR351" s="598"/>
      <c r="AS351" s="598"/>
      <c r="AT351" s="598"/>
      <c r="AU351" s="598"/>
      <c r="AV351" s="598"/>
      <c r="AW351" s="598"/>
      <c r="AX351" s="598"/>
      <c r="AY351" s="598"/>
      <c r="AZ351" s="598"/>
      <c r="BA351" s="598"/>
      <c r="BB351" s="598"/>
      <c r="BC351" s="598"/>
      <c r="BD351" s="598"/>
      <c r="BE351" s="598"/>
      <c r="BF351" s="598"/>
      <c r="BG351" s="598"/>
      <c r="BH351" s="598"/>
      <c r="BI351" s="598"/>
      <c r="BJ351" s="598"/>
      <c r="BK351" s="598"/>
      <c r="BL351" s="598"/>
      <c r="BM351" s="598"/>
      <c r="BN351" s="598"/>
      <c r="BO351" s="598"/>
      <c r="BP351" s="598"/>
      <c r="BQ351" s="598"/>
      <c r="BR351" s="598"/>
      <c r="BS351" s="598"/>
      <c r="BT351" s="598"/>
      <c r="BU351" s="598"/>
      <c r="BV351" s="598"/>
      <c r="BW351" s="598"/>
      <c r="BX351" s="598"/>
      <c r="BY351" s="598"/>
      <c r="BZ351" s="598"/>
      <c r="CA351" s="598"/>
      <c r="CB351" s="598"/>
      <c r="CC351" s="598"/>
      <c r="CD351" s="598"/>
      <c r="CE351" s="598"/>
      <c r="CF351" s="598"/>
      <c r="CG351" s="598"/>
      <c r="CH351" s="598"/>
      <c r="CI351" s="599"/>
      <c r="CK351" s="1296"/>
    </row>
    <row r="352" spans="2:89" x14ac:dyDescent="0.2">
      <c r="B352" s="985" t="s">
        <v>760</v>
      </c>
      <c r="C352" s="984" t="s">
        <v>576</v>
      </c>
      <c r="D352" s="986" t="s">
        <v>761</v>
      </c>
      <c r="E352" s="982" t="s">
        <v>344</v>
      </c>
      <c r="F352" s="983">
        <v>2</v>
      </c>
      <c r="G352" s="569">
        <f>SUM(G348:G351)</f>
        <v>0</v>
      </c>
      <c r="H352" s="569">
        <f t="shared" ref="H352:AK352" si="206">SUM(H348:H351)</f>
        <v>0</v>
      </c>
      <c r="I352" s="569">
        <f t="shared" si="206"/>
        <v>224.40945006186305</v>
      </c>
      <c r="J352" s="569">
        <f t="shared" si="206"/>
        <v>225.08716667975034</v>
      </c>
      <c r="K352" s="569">
        <f t="shared" si="206"/>
        <v>227.08837932677247</v>
      </c>
      <c r="L352" s="569">
        <f t="shared" si="206"/>
        <v>228.85244277849907</v>
      </c>
      <c r="M352" s="718">
        <f t="shared" si="206"/>
        <v>230.6065862711537</v>
      </c>
      <c r="N352" s="718">
        <f t="shared" si="206"/>
        <v>232.05219215406976</v>
      </c>
      <c r="O352" s="718">
        <f t="shared" si="206"/>
        <v>233.13945051705309</v>
      </c>
      <c r="P352" s="718">
        <f t="shared" si="206"/>
        <v>234.10504776241197</v>
      </c>
      <c r="Q352" s="718">
        <f t="shared" si="206"/>
        <v>234.83930197702762</v>
      </c>
      <c r="R352" s="718">
        <f t="shared" si="206"/>
        <v>235.54204350257496</v>
      </c>
      <c r="S352" s="718">
        <f t="shared" si="206"/>
        <v>236.26476285253375</v>
      </c>
      <c r="T352" s="718">
        <f t="shared" si="206"/>
        <v>236.96914669239322</v>
      </c>
      <c r="U352" s="718">
        <f t="shared" si="206"/>
        <v>237.6776484284714</v>
      </c>
      <c r="V352" s="718">
        <f t="shared" si="206"/>
        <v>238.46992476444177</v>
      </c>
      <c r="W352" s="718">
        <f t="shared" si="206"/>
        <v>239.23063671009746</v>
      </c>
      <c r="X352" s="718">
        <f t="shared" si="206"/>
        <v>239.96763983388817</v>
      </c>
      <c r="Y352" s="718">
        <f t="shared" si="206"/>
        <v>240.70403913786757</v>
      </c>
      <c r="Z352" s="718">
        <f t="shared" si="206"/>
        <v>241.50550416694171</v>
      </c>
      <c r="AA352" s="718">
        <f t="shared" si="206"/>
        <v>242.42079903691538</v>
      </c>
      <c r="AB352" s="718">
        <f t="shared" si="206"/>
        <v>243.35625677672795</v>
      </c>
      <c r="AC352" s="718">
        <f t="shared" si="206"/>
        <v>244.28605625836704</v>
      </c>
      <c r="AD352" s="718">
        <f t="shared" si="206"/>
        <v>245.22125345939324</v>
      </c>
      <c r="AE352" s="718">
        <f t="shared" si="206"/>
        <v>246.16847439589591</v>
      </c>
      <c r="AF352" s="718">
        <f t="shared" si="206"/>
        <v>247.10718938290836</v>
      </c>
      <c r="AG352" s="718">
        <f t="shared" si="206"/>
        <v>248.01472747751097</v>
      </c>
      <c r="AH352" s="718">
        <f t="shared" si="206"/>
        <v>248.89695139287107</v>
      </c>
      <c r="AI352" s="718">
        <f t="shared" si="206"/>
        <v>249.79194277940343</v>
      </c>
      <c r="AJ352" s="718">
        <f t="shared" si="206"/>
        <v>250.706065232566</v>
      </c>
      <c r="AK352" s="718">
        <f t="shared" si="206"/>
        <v>251.60924761094822</v>
      </c>
      <c r="AL352" s="718"/>
      <c r="AM352" s="718"/>
      <c r="AN352" s="718"/>
      <c r="AO352" s="718"/>
      <c r="AP352" s="718"/>
      <c r="AQ352" s="718"/>
      <c r="AR352" s="718"/>
      <c r="AS352" s="718"/>
      <c r="AT352" s="718"/>
      <c r="AU352" s="718"/>
      <c r="AV352" s="718"/>
      <c r="AW352" s="718"/>
      <c r="AX352" s="718"/>
      <c r="AY352" s="718"/>
      <c r="AZ352" s="718"/>
      <c r="BA352" s="718"/>
      <c r="BB352" s="718"/>
      <c r="BC352" s="718"/>
      <c r="BD352" s="718"/>
      <c r="BE352" s="718"/>
      <c r="BF352" s="718"/>
      <c r="BG352" s="718"/>
      <c r="BH352" s="718"/>
      <c r="BI352" s="718"/>
      <c r="BJ352" s="718"/>
      <c r="BK352" s="718"/>
      <c r="BL352" s="718"/>
      <c r="BM352" s="718"/>
      <c r="BN352" s="718"/>
      <c r="BO352" s="718"/>
      <c r="BP352" s="718"/>
      <c r="BQ352" s="718"/>
      <c r="BR352" s="718"/>
      <c r="BS352" s="718"/>
      <c r="BT352" s="718"/>
      <c r="BU352" s="718"/>
      <c r="BV352" s="718"/>
      <c r="BW352" s="718"/>
      <c r="BX352" s="718"/>
      <c r="BY352" s="718"/>
      <c r="BZ352" s="718"/>
      <c r="CA352" s="718"/>
      <c r="CB352" s="718"/>
      <c r="CC352" s="718"/>
      <c r="CD352" s="718"/>
      <c r="CE352" s="718"/>
      <c r="CF352" s="718"/>
      <c r="CG352" s="718"/>
      <c r="CH352" s="718"/>
      <c r="CI352" s="719"/>
      <c r="CK352" s="1296"/>
    </row>
    <row r="353" spans="2:89" ht="28.5" x14ac:dyDescent="0.2">
      <c r="B353" s="985" t="s">
        <v>762</v>
      </c>
      <c r="C353" s="984" t="s">
        <v>579</v>
      </c>
      <c r="D353" s="986" t="s">
        <v>763</v>
      </c>
      <c r="E353" s="982" t="s">
        <v>581</v>
      </c>
      <c r="F353" s="983">
        <v>1</v>
      </c>
      <c r="G353" s="750" t="e">
        <f>(G351+G350)/(G337+G345)</f>
        <v>#DIV/0!</v>
      </c>
      <c r="H353" s="750" t="e">
        <f t="shared" ref="H353:AK353" si="207">(H351+H350)/(H337+H345)</f>
        <v>#DIV/0!</v>
      </c>
      <c r="I353" s="750">
        <f t="shared" si="207"/>
        <v>2.3698434253326242</v>
      </c>
      <c r="J353" s="750">
        <f t="shared" si="207"/>
        <v>2.3651997561167852</v>
      </c>
      <c r="K353" s="750">
        <f t="shared" si="207"/>
        <v>2.3566954750708833</v>
      </c>
      <c r="L353" s="750">
        <f t="shared" si="207"/>
        <v>2.3485091806612379</v>
      </c>
      <c r="M353" s="750">
        <f t="shared" si="207"/>
        <v>2.3394825522147964</v>
      </c>
      <c r="N353" s="750">
        <f t="shared" si="207"/>
        <v>2.3301050741581024</v>
      </c>
      <c r="O353" s="750">
        <f t="shared" si="207"/>
        <v>2.3208620597061569</v>
      </c>
      <c r="P353" s="750">
        <f t="shared" si="207"/>
        <v>2.3125900728172399</v>
      </c>
      <c r="Q353" s="750">
        <f t="shared" si="207"/>
        <v>2.3042076069219997</v>
      </c>
      <c r="R353" s="750">
        <f t="shared" si="207"/>
        <v>2.2963513407531533</v>
      </c>
      <c r="S353" s="750">
        <f t="shared" si="207"/>
        <v>2.2887724740647446</v>
      </c>
      <c r="T353" s="750">
        <f t="shared" si="207"/>
        <v>2.2812587665382313</v>
      </c>
      <c r="U353" s="750">
        <f t="shared" si="207"/>
        <v>2.2741447269375841</v>
      </c>
      <c r="V353" s="750">
        <f t="shared" si="207"/>
        <v>2.2681616766826953</v>
      </c>
      <c r="W353" s="750">
        <f t="shared" si="207"/>
        <v>2.2620803424417715</v>
      </c>
      <c r="X353" s="750">
        <f t="shared" si="207"/>
        <v>2.2560017012603457</v>
      </c>
      <c r="Y353" s="750">
        <f t="shared" si="207"/>
        <v>2.2500815357474835</v>
      </c>
      <c r="Z353" s="750">
        <f t="shared" si="207"/>
        <v>2.2449553296295184</v>
      </c>
      <c r="AA353" s="750">
        <f t="shared" si="207"/>
        <v>2.2412299955042134</v>
      </c>
      <c r="AB353" s="750">
        <f t="shared" si="207"/>
        <v>2.2378528997579652</v>
      </c>
      <c r="AC353" s="750">
        <f t="shared" si="207"/>
        <v>2.2345566928164748</v>
      </c>
      <c r="AD353" s="750">
        <f t="shared" si="207"/>
        <v>2.2314251749156853</v>
      </c>
      <c r="AE353" s="750">
        <f t="shared" si="207"/>
        <v>2.2285120060138222</v>
      </c>
      <c r="AF353" s="750">
        <f t="shared" si="207"/>
        <v>2.2256865047061183</v>
      </c>
      <c r="AG353" s="750">
        <f t="shared" si="207"/>
        <v>2.2226873907698113</v>
      </c>
      <c r="AH353" s="750">
        <f t="shared" si="207"/>
        <v>2.2195976856113133</v>
      </c>
      <c r="AI353" s="750">
        <f t="shared" si="207"/>
        <v>2.2167787159556487</v>
      </c>
      <c r="AJ353" s="750">
        <f t="shared" si="207"/>
        <v>2.2142848223832199</v>
      </c>
      <c r="AK353" s="750">
        <f t="shared" si="207"/>
        <v>2.2118800132408394</v>
      </c>
      <c r="AL353" s="750"/>
      <c r="AM353" s="750"/>
      <c r="AN353" s="750"/>
      <c r="AO353" s="750"/>
      <c r="AP353" s="750"/>
      <c r="AQ353" s="750"/>
      <c r="AR353" s="750"/>
      <c r="AS353" s="750"/>
      <c r="AT353" s="750"/>
      <c r="AU353" s="750"/>
      <c r="AV353" s="750"/>
      <c r="AW353" s="750"/>
      <c r="AX353" s="750"/>
      <c r="AY353" s="750"/>
      <c r="AZ353" s="750"/>
      <c r="BA353" s="750"/>
      <c r="BB353" s="750"/>
      <c r="BC353" s="750"/>
      <c r="BD353" s="750"/>
      <c r="BE353" s="750"/>
      <c r="BF353" s="750"/>
      <c r="BG353" s="750"/>
      <c r="BH353" s="750"/>
      <c r="BI353" s="750"/>
      <c r="BJ353" s="750"/>
      <c r="BK353" s="750"/>
      <c r="BL353" s="750"/>
      <c r="BM353" s="750"/>
      <c r="BN353" s="750"/>
      <c r="BO353" s="750"/>
      <c r="BP353" s="750"/>
      <c r="BQ353" s="750"/>
      <c r="BR353" s="750"/>
      <c r="BS353" s="750"/>
      <c r="BT353" s="750"/>
      <c r="BU353" s="750"/>
      <c r="BV353" s="750"/>
      <c r="BW353" s="750"/>
      <c r="BX353" s="750"/>
      <c r="BY353" s="750"/>
      <c r="BZ353" s="750"/>
      <c r="CA353" s="750"/>
      <c r="CB353" s="750"/>
      <c r="CC353" s="750"/>
      <c r="CD353" s="750"/>
      <c r="CE353" s="750"/>
      <c r="CF353" s="750"/>
      <c r="CG353" s="750"/>
      <c r="CH353" s="750"/>
      <c r="CI353" s="750"/>
      <c r="CK353" s="1296"/>
    </row>
    <row r="354" spans="2:89" ht="28.5" x14ac:dyDescent="0.2">
      <c r="B354" s="985" t="s">
        <v>764</v>
      </c>
      <c r="C354" s="984" t="s">
        <v>583</v>
      </c>
      <c r="D354" s="986" t="s">
        <v>765</v>
      </c>
      <c r="E354" s="982" t="s">
        <v>375</v>
      </c>
      <c r="F354" s="983">
        <v>1</v>
      </c>
      <c r="G354" s="743" t="e">
        <f>G337/(G337+G345)</f>
        <v>#DIV/0!</v>
      </c>
      <c r="H354" s="743" t="e">
        <f t="shared" ref="H354:AK354" si="208">H337/(H337+H345)</f>
        <v>#DIV/0!</v>
      </c>
      <c r="I354" s="743">
        <f t="shared" si="208"/>
        <v>0.70718894107828767</v>
      </c>
      <c r="J354" s="743">
        <f t="shared" si="208"/>
        <v>0.7115692242952073</v>
      </c>
      <c r="K354" s="743">
        <f t="shared" si="208"/>
        <v>0.71871487986315041</v>
      </c>
      <c r="L354" s="743">
        <f t="shared" si="208"/>
        <v>0.73185091392726409</v>
      </c>
      <c r="M354" s="744">
        <f t="shared" si="208"/>
        <v>0.75559445862515029</v>
      </c>
      <c r="N354" s="744">
        <f t="shared" si="208"/>
        <v>0.79216412126134694</v>
      </c>
      <c r="O354" s="744">
        <f t="shared" si="208"/>
        <v>0.8507322210643693</v>
      </c>
      <c r="P354" s="744">
        <f t="shared" si="208"/>
        <v>0.92520630395879278</v>
      </c>
      <c r="Q354" s="744">
        <f t="shared" si="208"/>
        <v>0.97712167016788631</v>
      </c>
      <c r="R354" s="744">
        <f t="shared" si="208"/>
        <v>0.9922047908743411</v>
      </c>
      <c r="S354" s="744">
        <f t="shared" si="208"/>
        <v>0.99232605438365251</v>
      </c>
      <c r="T354" s="744">
        <f t="shared" si="208"/>
        <v>0.99242899282167862</v>
      </c>
      <c r="U354" s="744">
        <f t="shared" si="208"/>
        <v>0.99252090056879139</v>
      </c>
      <c r="V354" s="744">
        <f t="shared" si="208"/>
        <v>0.99260201434699613</v>
      </c>
      <c r="W354" s="744">
        <f t="shared" si="208"/>
        <v>0.99272368828211865</v>
      </c>
      <c r="X354" s="744">
        <f t="shared" si="208"/>
        <v>0.99289436288378297</v>
      </c>
      <c r="Y354" s="744">
        <f t="shared" si="208"/>
        <v>0.99306270907331062</v>
      </c>
      <c r="Z354" s="744">
        <f t="shared" si="208"/>
        <v>0.99322875362666319</v>
      </c>
      <c r="AA354" s="744">
        <f t="shared" si="208"/>
        <v>0.99338309462180574</v>
      </c>
      <c r="AB354" s="744">
        <f t="shared" si="208"/>
        <v>0.99353534987414371</v>
      </c>
      <c r="AC354" s="744">
        <f t="shared" si="208"/>
        <v>0.99369454717488648</v>
      </c>
      <c r="AD354" s="744">
        <f t="shared" si="208"/>
        <v>0.99385175686632921</v>
      </c>
      <c r="AE354" s="744">
        <f t="shared" si="208"/>
        <v>0.9940070514616518</v>
      </c>
      <c r="AF354" s="744">
        <f t="shared" si="208"/>
        <v>0.99416046297043603</v>
      </c>
      <c r="AG354" s="744">
        <f t="shared" si="208"/>
        <v>0.99431204486834768</v>
      </c>
      <c r="AH354" s="744">
        <f t="shared" si="208"/>
        <v>0.99446185382036079</v>
      </c>
      <c r="AI354" s="744">
        <f t="shared" si="208"/>
        <v>0.99460993227323469</v>
      </c>
      <c r="AJ354" s="744">
        <f t="shared" si="208"/>
        <v>0.99475629959363987</v>
      </c>
      <c r="AK354" s="744">
        <f t="shared" si="208"/>
        <v>0.99490101511195028</v>
      </c>
      <c r="AL354" s="744"/>
      <c r="AM354" s="744"/>
      <c r="AN354" s="744"/>
      <c r="AO354" s="744"/>
      <c r="AP354" s="744"/>
      <c r="AQ354" s="744"/>
      <c r="AR354" s="744"/>
      <c r="AS354" s="744"/>
      <c r="AT354" s="744"/>
      <c r="AU354" s="744"/>
      <c r="AV354" s="744"/>
      <c r="AW354" s="744"/>
      <c r="AX354" s="744"/>
      <c r="AY354" s="744"/>
      <c r="AZ354" s="744"/>
      <c r="BA354" s="744"/>
      <c r="BB354" s="744"/>
      <c r="BC354" s="744"/>
      <c r="BD354" s="744"/>
      <c r="BE354" s="744"/>
      <c r="BF354" s="744"/>
      <c r="BG354" s="744"/>
      <c r="BH354" s="744"/>
      <c r="BI354" s="744"/>
      <c r="BJ354" s="744"/>
      <c r="BK354" s="744"/>
      <c r="BL354" s="744"/>
      <c r="BM354" s="744"/>
      <c r="BN354" s="744"/>
      <c r="BO354" s="744"/>
      <c r="BP354" s="744"/>
      <c r="BQ354" s="744"/>
      <c r="BR354" s="744"/>
      <c r="BS354" s="744"/>
      <c r="BT354" s="744"/>
      <c r="BU354" s="744"/>
      <c r="BV354" s="744"/>
      <c r="BW354" s="744"/>
      <c r="BX354" s="744"/>
      <c r="BY354" s="744"/>
      <c r="BZ354" s="744"/>
      <c r="CA354" s="744"/>
      <c r="CB354" s="744"/>
      <c r="CC354" s="744"/>
      <c r="CD354" s="744"/>
      <c r="CE354" s="744"/>
      <c r="CF354" s="744"/>
      <c r="CG354" s="744"/>
      <c r="CH354" s="744"/>
      <c r="CI354" s="745"/>
      <c r="CK354" s="1296"/>
    </row>
    <row r="355" spans="2:89" ht="29.25" thickBot="1" x14ac:dyDescent="0.25">
      <c r="B355" s="987" t="s">
        <v>766</v>
      </c>
      <c r="C355" s="988" t="s">
        <v>586</v>
      </c>
      <c r="D355" s="989" t="s">
        <v>767</v>
      </c>
      <c r="E355" s="990" t="s">
        <v>375</v>
      </c>
      <c r="F355" s="991">
        <v>1</v>
      </c>
      <c r="G355" s="785" t="e">
        <f>(G337)/(G337+G346+G345+G344)</f>
        <v>#DIV/0!</v>
      </c>
      <c r="H355" s="785" t="e">
        <f t="shared" ref="H355:AK355" si="209">(H337)/(H337+H346+H345+H344)</f>
        <v>#DIV/0!</v>
      </c>
      <c r="I355" s="785">
        <f t="shared" si="209"/>
        <v>0.68570005809610757</v>
      </c>
      <c r="J355" s="785">
        <f t="shared" si="209"/>
        <v>0.68997755014504591</v>
      </c>
      <c r="K355" s="785">
        <f t="shared" si="209"/>
        <v>0.69691969599997716</v>
      </c>
      <c r="L355" s="785">
        <f t="shared" si="209"/>
        <v>0.70969550299547435</v>
      </c>
      <c r="M355" s="785">
        <f t="shared" si="209"/>
        <v>0.73286120448457148</v>
      </c>
      <c r="N355" s="785">
        <f t="shared" si="209"/>
        <v>0.7684681256361463</v>
      </c>
      <c r="O355" s="785">
        <f t="shared" si="209"/>
        <v>0.82534852653670654</v>
      </c>
      <c r="P355" s="785">
        <f t="shared" si="209"/>
        <v>0.89768706708371337</v>
      </c>
      <c r="Q355" s="785">
        <f t="shared" si="209"/>
        <v>0.9481343609626911</v>
      </c>
      <c r="R355" s="785">
        <f t="shared" si="209"/>
        <v>0.96281028586340267</v>
      </c>
      <c r="S355" s="785">
        <f t="shared" si="209"/>
        <v>0.96293713215255494</v>
      </c>
      <c r="T355" s="785">
        <f t="shared" si="209"/>
        <v>0.96303776691145559</v>
      </c>
      <c r="U355" s="785">
        <f t="shared" si="209"/>
        <v>0.96312767128756527</v>
      </c>
      <c r="V355" s="785">
        <f t="shared" si="209"/>
        <v>0.96320708646089659</v>
      </c>
      <c r="W355" s="785">
        <f t="shared" si="209"/>
        <v>0.96332589606870289</v>
      </c>
      <c r="X355" s="785">
        <f t="shared" si="209"/>
        <v>0.96349231558576121</v>
      </c>
      <c r="Y355" s="785">
        <f t="shared" si="209"/>
        <v>0.96365644401605421</v>
      </c>
      <c r="Z355" s="785">
        <f t="shared" si="209"/>
        <v>0.96381828398381131</v>
      </c>
      <c r="AA355" s="785">
        <f t="shared" si="209"/>
        <v>0.96396876490119598</v>
      </c>
      <c r="AB355" s="785">
        <f t="shared" si="209"/>
        <v>0.96411725452464037</v>
      </c>
      <c r="AC355" s="785">
        <f t="shared" si="209"/>
        <v>0.96427249606431542</v>
      </c>
      <c r="AD355" s="785">
        <f t="shared" si="209"/>
        <v>0.96442576946544378</v>
      </c>
      <c r="AE355" s="785">
        <f t="shared" si="209"/>
        <v>0.9645771860050969</v>
      </c>
      <c r="AF355" s="785">
        <f t="shared" si="209"/>
        <v>0.96472675986445999</v>
      </c>
      <c r="AG355" s="785">
        <f t="shared" si="209"/>
        <v>0.96487454483663615</v>
      </c>
      <c r="AH355" s="785">
        <f t="shared" si="209"/>
        <v>0.9650205814180649</v>
      </c>
      <c r="AI355" s="785">
        <f t="shared" si="209"/>
        <v>0.9651648985086001</v>
      </c>
      <c r="AJ355" s="785">
        <f t="shared" si="209"/>
        <v>0.96530752361401617</v>
      </c>
      <c r="AK355" s="785">
        <f t="shared" si="209"/>
        <v>0.96544852600365816</v>
      </c>
      <c r="AL355" s="785"/>
      <c r="AM355" s="785"/>
      <c r="AN355" s="785"/>
      <c r="AO355" s="785"/>
      <c r="AP355" s="785"/>
      <c r="AQ355" s="785"/>
      <c r="AR355" s="785"/>
      <c r="AS355" s="785"/>
      <c r="AT355" s="785"/>
      <c r="AU355" s="785"/>
      <c r="AV355" s="785"/>
      <c r="AW355" s="785"/>
      <c r="AX355" s="785"/>
      <c r="AY355" s="785"/>
      <c r="AZ355" s="785"/>
      <c r="BA355" s="785"/>
      <c r="BB355" s="785"/>
      <c r="BC355" s="785"/>
      <c r="BD355" s="785"/>
      <c r="BE355" s="785"/>
      <c r="BF355" s="785"/>
      <c r="BG355" s="785"/>
      <c r="BH355" s="785"/>
      <c r="BI355" s="785"/>
      <c r="BJ355" s="785"/>
      <c r="BK355" s="785"/>
      <c r="BL355" s="785"/>
      <c r="BM355" s="785"/>
      <c r="BN355" s="785"/>
      <c r="BO355" s="785"/>
      <c r="BP355" s="785"/>
      <c r="BQ355" s="785"/>
      <c r="BR355" s="785"/>
      <c r="BS355" s="785"/>
      <c r="BT355" s="785"/>
      <c r="BU355" s="785"/>
      <c r="BV355" s="785"/>
      <c r="BW355" s="785"/>
      <c r="BX355" s="785"/>
      <c r="BY355" s="785"/>
      <c r="BZ355" s="785"/>
      <c r="CA355" s="785"/>
      <c r="CB355" s="785"/>
      <c r="CC355" s="785"/>
      <c r="CD355" s="785"/>
      <c r="CE355" s="785"/>
      <c r="CF355" s="785"/>
      <c r="CG355" s="785"/>
      <c r="CH355" s="785"/>
      <c r="CI355" s="785"/>
      <c r="CK355" s="1296"/>
    </row>
    <row r="356" spans="2:89" ht="29.25" thickBot="1" x14ac:dyDescent="0.25">
      <c r="B356" s="992" t="s">
        <v>768</v>
      </c>
      <c r="C356" s="993" t="s">
        <v>245</v>
      </c>
      <c r="D356" s="993" t="s">
        <v>769</v>
      </c>
      <c r="E356" s="993" t="s">
        <v>236</v>
      </c>
      <c r="F356" s="994">
        <v>2</v>
      </c>
      <c r="G356" s="629">
        <f>SUM(G316:G318)+G314+G325+G330+G331+G324</f>
        <v>0</v>
      </c>
      <c r="H356" s="648">
        <f>SUM(H316:H318)+H314+H325+H330+H331+H324</f>
        <v>0</v>
      </c>
      <c r="I356" s="648">
        <f t="shared" ref="I356:AK356" si="210">SUM(I316:I318)+I314+I325+I330+I331+I324</f>
        <v>52.163815947202217</v>
      </c>
      <c r="J356" s="648">
        <f t="shared" si="210"/>
        <v>54.243246770430616</v>
      </c>
      <c r="K356" s="648">
        <f t="shared" si="210"/>
        <v>55.336772810385625</v>
      </c>
      <c r="L356" s="648">
        <f t="shared" si="210"/>
        <v>55.457634526189786</v>
      </c>
      <c r="M356" s="648">
        <f t="shared" si="210"/>
        <v>54.961340479192501</v>
      </c>
      <c r="N356" s="648">
        <f t="shared" si="210"/>
        <v>53.971135440662714</v>
      </c>
      <c r="O356" s="648">
        <f t="shared" si="210"/>
        <v>54.056251917820688</v>
      </c>
      <c r="P356" s="648">
        <f t="shared" si="210"/>
        <v>52.097847511261953</v>
      </c>
      <c r="Q356" s="648">
        <f t="shared" si="210"/>
        <v>50.75495320834014</v>
      </c>
      <c r="R356" s="648">
        <f t="shared" si="210"/>
        <v>50.176760516788512</v>
      </c>
      <c r="S356" s="648">
        <f t="shared" si="210"/>
        <v>49.898224960035456</v>
      </c>
      <c r="T356" s="648">
        <f t="shared" si="210"/>
        <v>49.505751353544404</v>
      </c>
      <c r="U356" s="648">
        <f t="shared" si="210"/>
        <v>49.048498547524119</v>
      </c>
      <c r="V356" s="648">
        <f t="shared" si="210"/>
        <v>48.717518522992542</v>
      </c>
      <c r="W356" s="648">
        <f t="shared" si="210"/>
        <v>48.449389008339331</v>
      </c>
      <c r="X356" s="648">
        <f t="shared" si="210"/>
        <v>48.184180001605753</v>
      </c>
      <c r="Y356" s="648">
        <f t="shared" si="210"/>
        <v>47.920165054831216</v>
      </c>
      <c r="Z356" s="648">
        <f t="shared" si="210"/>
        <v>47.794792717173181</v>
      </c>
      <c r="AA356" s="648">
        <f t="shared" si="210"/>
        <v>47.67646526606417</v>
      </c>
      <c r="AB356" s="648">
        <f t="shared" si="210"/>
        <v>47.53278921438524</v>
      </c>
      <c r="AC356" s="648">
        <f t="shared" si="210"/>
        <v>47.414909047151106</v>
      </c>
      <c r="AD356" s="648">
        <f t="shared" si="210"/>
        <v>47.30818371730696</v>
      </c>
      <c r="AE356" s="648">
        <f t="shared" si="210"/>
        <v>47.303893425027042</v>
      </c>
      <c r="AF356" s="648">
        <f t="shared" si="210"/>
        <v>47.29922813837733</v>
      </c>
      <c r="AG356" s="648">
        <f t="shared" si="210"/>
        <v>47.29214350922534</v>
      </c>
      <c r="AH356" s="648">
        <f t="shared" si="210"/>
        <v>47.290115941534971</v>
      </c>
      <c r="AI356" s="648">
        <f t="shared" si="210"/>
        <v>47.285678939043343</v>
      </c>
      <c r="AJ356" s="648">
        <f t="shared" si="210"/>
        <v>47.282408274887658</v>
      </c>
      <c r="AK356" s="648">
        <f t="shared" si="210"/>
        <v>47.272862246199274</v>
      </c>
      <c r="AL356" s="648"/>
      <c r="AM356" s="648"/>
      <c r="AN356" s="648"/>
      <c r="AO356" s="648"/>
      <c r="AP356" s="648"/>
      <c r="AQ356" s="648"/>
      <c r="AR356" s="648"/>
      <c r="AS356" s="648"/>
      <c r="AT356" s="648"/>
      <c r="AU356" s="648"/>
      <c r="AV356" s="648"/>
      <c r="AW356" s="648"/>
      <c r="AX356" s="648"/>
      <c r="AY356" s="648"/>
      <c r="AZ356" s="648"/>
      <c r="BA356" s="648"/>
      <c r="BB356" s="648"/>
      <c r="BC356" s="648"/>
      <c r="BD356" s="648"/>
      <c r="BE356" s="648"/>
      <c r="BF356" s="648"/>
      <c r="BG356" s="648"/>
      <c r="BH356" s="648"/>
      <c r="BI356" s="648"/>
      <c r="BJ356" s="648"/>
      <c r="BK356" s="648"/>
      <c r="BL356" s="648"/>
      <c r="BM356" s="648"/>
      <c r="BN356" s="648"/>
      <c r="BO356" s="648"/>
      <c r="BP356" s="648"/>
      <c r="BQ356" s="648"/>
      <c r="BR356" s="648"/>
      <c r="BS356" s="648"/>
      <c r="BT356" s="648"/>
      <c r="BU356" s="648"/>
      <c r="BV356" s="648"/>
      <c r="BW356" s="648"/>
      <c r="BX356" s="648"/>
      <c r="BY356" s="648"/>
      <c r="BZ356" s="648"/>
      <c r="CA356" s="648"/>
      <c r="CB356" s="648"/>
      <c r="CC356" s="648"/>
      <c r="CD356" s="648"/>
      <c r="CE356" s="648"/>
      <c r="CF356" s="648"/>
      <c r="CG356" s="648"/>
      <c r="CH356" s="648"/>
      <c r="CI356" s="648"/>
      <c r="CK356" s="1296"/>
    </row>
    <row r="357" spans="2:89" ht="28.5" x14ac:dyDescent="0.2">
      <c r="B357" s="923" t="s">
        <v>770</v>
      </c>
      <c r="C357" s="924" t="s">
        <v>591</v>
      </c>
      <c r="D357" s="925" t="s">
        <v>86</v>
      </c>
      <c r="E357" s="924" t="s">
        <v>236</v>
      </c>
      <c r="F357" s="995">
        <v>2</v>
      </c>
      <c r="G357" s="633"/>
      <c r="H357" s="1527"/>
      <c r="I357" s="1527">
        <v>0</v>
      </c>
      <c r="J357" s="1527">
        <v>0</v>
      </c>
      <c r="K357" s="1527">
        <v>0</v>
      </c>
      <c r="L357" s="1527">
        <v>0</v>
      </c>
      <c r="M357" s="598">
        <v>0</v>
      </c>
      <c r="N357" s="598">
        <v>0</v>
      </c>
      <c r="O357" s="598">
        <v>0</v>
      </c>
      <c r="P357" s="598">
        <v>0</v>
      </c>
      <c r="Q357" s="598">
        <v>0</v>
      </c>
      <c r="R357" s="598">
        <v>0</v>
      </c>
      <c r="S357" s="598">
        <v>0</v>
      </c>
      <c r="T357" s="598">
        <v>0</v>
      </c>
      <c r="U357" s="598">
        <v>0</v>
      </c>
      <c r="V357" s="598">
        <v>0</v>
      </c>
      <c r="W357" s="598">
        <v>0</v>
      </c>
      <c r="X357" s="598">
        <v>0</v>
      </c>
      <c r="Y357" s="598">
        <v>0</v>
      </c>
      <c r="Z357" s="598">
        <v>0</v>
      </c>
      <c r="AA357" s="598">
        <v>0</v>
      </c>
      <c r="AB357" s="598">
        <v>0</v>
      </c>
      <c r="AC357" s="598">
        <v>0</v>
      </c>
      <c r="AD357" s="598">
        <v>0</v>
      </c>
      <c r="AE357" s="598">
        <v>0</v>
      </c>
      <c r="AF357" s="598">
        <v>0</v>
      </c>
      <c r="AG357" s="598">
        <v>0</v>
      </c>
      <c r="AH357" s="598">
        <v>0</v>
      </c>
      <c r="AI357" s="598">
        <v>0</v>
      </c>
      <c r="AJ357" s="598">
        <v>0</v>
      </c>
      <c r="AK357" s="598">
        <v>0</v>
      </c>
      <c r="AL357" s="598"/>
      <c r="AM357" s="598"/>
      <c r="AN357" s="598"/>
      <c r="AO357" s="598"/>
      <c r="AP357" s="598"/>
      <c r="AQ357" s="598"/>
      <c r="AR357" s="598"/>
      <c r="AS357" s="598"/>
      <c r="AT357" s="598"/>
      <c r="AU357" s="598"/>
      <c r="AV357" s="598"/>
      <c r="AW357" s="598"/>
      <c r="AX357" s="598"/>
      <c r="AY357" s="598"/>
      <c r="AZ357" s="598"/>
      <c r="BA357" s="598"/>
      <c r="BB357" s="598"/>
      <c r="BC357" s="598"/>
      <c r="BD357" s="598"/>
      <c r="BE357" s="598"/>
      <c r="BF357" s="598"/>
      <c r="BG357" s="598"/>
      <c r="BH357" s="598"/>
      <c r="BI357" s="598"/>
      <c r="BJ357" s="598"/>
      <c r="BK357" s="598"/>
      <c r="BL357" s="598"/>
      <c r="BM357" s="598"/>
      <c r="BN357" s="598"/>
      <c r="BO357" s="598"/>
      <c r="BP357" s="598"/>
      <c r="BQ357" s="598"/>
      <c r="BR357" s="598"/>
      <c r="BS357" s="598"/>
      <c r="BT357" s="598"/>
      <c r="BU357" s="598"/>
      <c r="BV357" s="598"/>
      <c r="BW357" s="598"/>
      <c r="BX357" s="598"/>
      <c r="BY357" s="598"/>
      <c r="BZ357" s="598"/>
      <c r="CA357" s="598"/>
      <c r="CB357" s="598"/>
      <c r="CC357" s="598"/>
      <c r="CD357" s="598"/>
      <c r="CE357" s="598"/>
      <c r="CF357" s="598"/>
      <c r="CG357" s="598"/>
      <c r="CH357" s="598"/>
      <c r="CI357" s="598"/>
    </row>
    <row r="358" spans="2:89" x14ac:dyDescent="0.2">
      <c r="B358" s="905" t="s">
        <v>771</v>
      </c>
      <c r="C358" s="906" t="s">
        <v>593</v>
      </c>
      <c r="D358" s="907" t="s">
        <v>86</v>
      </c>
      <c r="E358" s="906" t="s">
        <v>236</v>
      </c>
      <c r="F358" s="902">
        <v>2</v>
      </c>
      <c r="G358" s="637"/>
      <c r="H358" s="1504"/>
      <c r="I358" s="1504">
        <v>2.3057766736758718</v>
      </c>
      <c r="J358" s="1504">
        <v>2.7053624002616878</v>
      </c>
      <c r="K358" s="1504">
        <v>2.5502193585970021</v>
      </c>
      <c r="L358" s="1504">
        <v>2.5129349533205558</v>
      </c>
      <c r="M358" s="1505">
        <v>2.5226848311787209</v>
      </c>
      <c r="N358" s="1505">
        <v>2.2395802122158921</v>
      </c>
      <c r="O358" s="1505">
        <v>1.9631670601934741</v>
      </c>
      <c r="P358" s="1505">
        <v>1.8218145407603969</v>
      </c>
      <c r="Q358" s="1505">
        <v>1.7249050128503021</v>
      </c>
      <c r="R358" s="1505">
        <v>1.639706753256889</v>
      </c>
      <c r="S358" s="1505">
        <v>1.592417607862455</v>
      </c>
      <c r="T358" s="1505">
        <v>1.555800359204256</v>
      </c>
      <c r="U358" s="1505">
        <v>1.50185473848648</v>
      </c>
      <c r="V358" s="1505">
        <v>1.485957579354404</v>
      </c>
      <c r="W358" s="1505">
        <v>1.4622089672008529</v>
      </c>
      <c r="X358" s="1505">
        <v>1.4443428827418761</v>
      </c>
      <c r="Y358" s="1505">
        <v>1.4381270533235291</v>
      </c>
      <c r="Z358" s="1505">
        <v>1.4067846821716581</v>
      </c>
      <c r="AA358" s="1505">
        <v>1.4057228228363841</v>
      </c>
      <c r="AB358" s="1505">
        <v>1.390452375778563</v>
      </c>
      <c r="AC358" s="1505">
        <v>1.3887039488240911</v>
      </c>
      <c r="AD358" s="1505">
        <v>1.3749579437330011</v>
      </c>
      <c r="AE358" s="1505">
        <v>1.372186682043254</v>
      </c>
      <c r="AF358" s="1505">
        <v>1.3721208475123921</v>
      </c>
      <c r="AG358" s="1505">
        <v>1.3612564652481081</v>
      </c>
      <c r="AH358" s="1505">
        <v>1.367419036313138</v>
      </c>
      <c r="AI358" s="1505">
        <v>1.3370088073687361</v>
      </c>
      <c r="AJ358" s="1505">
        <v>1.3552017017088269</v>
      </c>
      <c r="AK358" s="1505">
        <v>1.364474219644175</v>
      </c>
      <c r="AL358" s="1505"/>
      <c r="AM358" s="1505"/>
      <c r="AN358" s="1505"/>
      <c r="AO358" s="1505"/>
      <c r="AP358" s="1505"/>
      <c r="AQ358" s="1505"/>
      <c r="AR358" s="1505"/>
      <c r="AS358" s="1505"/>
      <c r="AT358" s="1505"/>
      <c r="AU358" s="1505"/>
      <c r="AV358" s="1505"/>
      <c r="AW358" s="1505"/>
      <c r="AX358" s="1505"/>
      <c r="AY358" s="1505"/>
      <c r="AZ358" s="1505"/>
      <c r="BA358" s="1505"/>
      <c r="BB358" s="1505"/>
      <c r="BC358" s="1505"/>
      <c r="BD358" s="1505"/>
      <c r="BE358" s="1505"/>
      <c r="BF358" s="1505"/>
      <c r="BG358" s="1505"/>
      <c r="BH358" s="1505"/>
      <c r="BI358" s="1505"/>
      <c r="BJ358" s="1505"/>
      <c r="BK358" s="1505"/>
      <c r="BL358" s="1505"/>
      <c r="BM358" s="1505"/>
      <c r="BN358" s="1505"/>
      <c r="BO358" s="1505"/>
      <c r="BP358" s="1505"/>
      <c r="BQ358" s="1505"/>
      <c r="BR358" s="1505"/>
      <c r="BS358" s="1505"/>
      <c r="BT358" s="1505"/>
      <c r="BU358" s="1505"/>
      <c r="BV358" s="1505"/>
      <c r="BW358" s="1505"/>
      <c r="BX358" s="1505"/>
      <c r="BY358" s="1505"/>
      <c r="BZ358" s="1505"/>
      <c r="CA358" s="1505"/>
      <c r="CB358" s="1505"/>
      <c r="CC358" s="1505"/>
      <c r="CD358" s="1505"/>
      <c r="CE358" s="1505"/>
      <c r="CF358" s="1505"/>
      <c r="CG358" s="1505"/>
      <c r="CH358" s="1505"/>
      <c r="CI358" s="1506"/>
    </row>
    <row r="359" spans="2:89" x14ac:dyDescent="0.2">
      <c r="B359" s="905" t="s">
        <v>772</v>
      </c>
      <c r="C359" s="906" t="s">
        <v>384</v>
      </c>
      <c r="D359" s="907" t="s">
        <v>773</v>
      </c>
      <c r="E359" s="906" t="s">
        <v>236</v>
      </c>
      <c r="F359" s="902">
        <v>2</v>
      </c>
      <c r="G359" s="795">
        <f t="shared" ref="G359:AK359" si="211">G357+G358</f>
        <v>0</v>
      </c>
      <c r="H359" s="795">
        <f t="shared" si="211"/>
        <v>0</v>
      </c>
      <c r="I359" s="795">
        <f t="shared" si="211"/>
        <v>2.3057766736758718</v>
      </c>
      <c r="J359" s="795">
        <f t="shared" si="211"/>
        <v>2.7053624002616878</v>
      </c>
      <c r="K359" s="795">
        <f t="shared" si="211"/>
        <v>2.5502193585970021</v>
      </c>
      <c r="L359" s="795">
        <f t="shared" si="211"/>
        <v>2.5129349533205558</v>
      </c>
      <c r="M359" s="796">
        <f t="shared" si="211"/>
        <v>2.5226848311787209</v>
      </c>
      <c r="N359" s="796">
        <f t="shared" si="211"/>
        <v>2.2395802122158921</v>
      </c>
      <c r="O359" s="796">
        <f t="shared" si="211"/>
        <v>1.9631670601934741</v>
      </c>
      <c r="P359" s="796">
        <f t="shared" si="211"/>
        <v>1.8218145407603969</v>
      </c>
      <c r="Q359" s="796">
        <f t="shared" si="211"/>
        <v>1.7249050128503021</v>
      </c>
      <c r="R359" s="796">
        <f t="shared" si="211"/>
        <v>1.639706753256889</v>
      </c>
      <c r="S359" s="796">
        <f t="shared" si="211"/>
        <v>1.592417607862455</v>
      </c>
      <c r="T359" s="796">
        <f t="shared" si="211"/>
        <v>1.555800359204256</v>
      </c>
      <c r="U359" s="796">
        <f t="shared" si="211"/>
        <v>1.50185473848648</v>
      </c>
      <c r="V359" s="796">
        <f t="shared" si="211"/>
        <v>1.485957579354404</v>
      </c>
      <c r="W359" s="796">
        <f t="shared" si="211"/>
        <v>1.4622089672008529</v>
      </c>
      <c r="X359" s="796">
        <f t="shared" si="211"/>
        <v>1.4443428827418761</v>
      </c>
      <c r="Y359" s="796">
        <f t="shared" si="211"/>
        <v>1.4381270533235291</v>
      </c>
      <c r="Z359" s="796">
        <f t="shared" si="211"/>
        <v>1.4067846821716581</v>
      </c>
      <c r="AA359" s="796">
        <f t="shared" si="211"/>
        <v>1.4057228228363841</v>
      </c>
      <c r="AB359" s="796">
        <f t="shared" si="211"/>
        <v>1.390452375778563</v>
      </c>
      <c r="AC359" s="796">
        <f t="shared" si="211"/>
        <v>1.3887039488240911</v>
      </c>
      <c r="AD359" s="796">
        <f t="shared" si="211"/>
        <v>1.3749579437330011</v>
      </c>
      <c r="AE359" s="796">
        <f t="shared" si="211"/>
        <v>1.372186682043254</v>
      </c>
      <c r="AF359" s="796">
        <f t="shared" si="211"/>
        <v>1.3721208475123921</v>
      </c>
      <c r="AG359" s="796">
        <f t="shared" si="211"/>
        <v>1.3612564652481081</v>
      </c>
      <c r="AH359" s="796">
        <f t="shared" si="211"/>
        <v>1.367419036313138</v>
      </c>
      <c r="AI359" s="796">
        <f t="shared" si="211"/>
        <v>1.3370088073687361</v>
      </c>
      <c r="AJ359" s="796">
        <f t="shared" si="211"/>
        <v>1.3552017017088269</v>
      </c>
      <c r="AK359" s="796">
        <f t="shared" si="211"/>
        <v>1.364474219644175</v>
      </c>
      <c r="AL359" s="796"/>
      <c r="AM359" s="796"/>
      <c r="AN359" s="796"/>
      <c r="AO359" s="796"/>
      <c r="AP359" s="796"/>
      <c r="AQ359" s="796"/>
      <c r="AR359" s="796"/>
      <c r="AS359" s="796"/>
      <c r="AT359" s="796"/>
      <c r="AU359" s="796"/>
      <c r="AV359" s="796"/>
      <c r="AW359" s="796"/>
      <c r="AX359" s="796"/>
      <c r="AY359" s="796"/>
      <c r="AZ359" s="796"/>
      <c r="BA359" s="796"/>
      <c r="BB359" s="796"/>
      <c r="BC359" s="796"/>
      <c r="BD359" s="796"/>
      <c r="BE359" s="796"/>
      <c r="BF359" s="796"/>
      <c r="BG359" s="796"/>
      <c r="BH359" s="796"/>
      <c r="BI359" s="796"/>
      <c r="BJ359" s="796"/>
      <c r="BK359" s="796"/>
      <c r="BL359" s="796"/>
      <c r="BM359" s="796"/>
      <c r="BN359" s="796"/>
      <c r="BO359" s="796"/>
      <c r="BP359" s="796"/>
      <c r="BQ359" s="796"/>
      <c r="BR359" s="796"/>
      <c r="BS359" s="796"/>
      <c r="BT359" s="796"/>
      <c r="BU359" s="796"/>
      <c r="BV359" s="796"/>
      <c r="BW359" s="796"/>
      <c r="BX359" s="796"/>
      <c r="BY359" s="796"/>
      <c r="BZ359" s="796"/>
      <c r="CA359" s="796"/>
      <c r="CB359" s="796"/>
      <c r="CC359" s="796"/>
      <c r="CD359" s="796"/>
      <c r="CE359" s="796"/>
      <c r="CF359" s="796"/>
      <c r="CG359" s="796"/>
      <c r="CH359" s="796"/>
      <c r="CI359" s="797"/>
    </row>
    <row r="360" spans="2:89" x14ac:dyDescent="0.2">
      <c r="B360" s="1067" t="s">
        <v>774</v>
      </c>
      <c r="C360" s="1068" t="s">
        <v>597</v>
      </c>
      <c r="D360" s="1069" t="s">
        <v>775</v>
      </c>
      <c r="E360" s="1068" t="s">
        <v>236</v>
      </c>
      <c r="F360" s="1070">
        <v>2</v>
      </c>
      <c r="G360" s="798">
        <f>G313-G356</f>
        <v>0</v>
      </c>
      <c r="H360" s="798">
        <f t="shared" ref="H360:AK360" si="212">H313-H356</f>
        <v>0</v>
      </c>
      <c r="I360" s="798">
        <f t="shared" si="212"/>
        <v>26.73530717281745</v>
      </c>
      <c r="J360" s="798">
        <f t="shared" si="212"/>
        <v>24.532536087534481</v>
      </c>
      <c r="K360" s="798">
        <f t="shared" si="212"/>
        <v>23.423695854306843</v>
      </c>
      <c r="L360" s="798">
        <f t="shared" si="212"/>
        <v>23.256104130319279</v>
      </c>
      <c r="M360" s="799">
        <f t="shared" si="212"/>
        <v>23.650651265561919</v>
      </c>
      <c r="N360" s="799">
        <f t="shared" si="212"/>
        <v>24.536384392263976</v>
      </c>
      <c r="O360" s="799">
        <f t="shared" si="212"/>
        <v>24.265963998803286</v>
      </c>
      <c r="P360" s="799">
        <f t="shared" si="212"/>
        <v>26.045904484231265</v>
      </c>
      <c r="Q360" s="799">
        <f t="shared" si="212"/>
        <v>27.268327931594385</v>
      </c>
      <c r="R360" s="799">
        <f t="shared" si="212"/>
        <v>25.302279424631614</v>
      </c>
      <c r="S360" s="799">
        <f t="shared" si="212"/>
        <v>25.564211959098323</v>
      </c>
      <c r="T360" s="799">
        <f t="shared" si="212"/>
        <v>23.720072147157119</v>
      </c>
      <c r="U360" s="799">
        <f t="shared" si="212"/>
        <v>24.203402589470485</v>
      </c>
      <c r="V360" s="799">
        <f t="shared" si="212"/>
        <v>24.595146766078749</v>
      </c>
      <c r="W360" s="799">
        <f t="shared" si="212"/>
        <v>24.906929854357379</v>
      </c>
      <c r="X360" s="799">
        <f t="shared" si="212"/>
        <v>25.162041875582219</v>
      </c>
      <c r="Y360" s="799">
        <f t="shared" si="212"/>
        <v>25.410565011355629</v>
      </c>
      <c r="Z360" s="799">
        <f t="shared" si="212"/>
        <v>25.521758005039587</v>
      </c>
      <c r="AA360" s="799">
        <f t="shared" si="212"/>
        <v>25.62664857539778</v>
      </c>
      <c r="AB360" s="799">
        <f t="shared" si="212"/>
        <v>25.754346820845051</v>
      </c>
      <c r="AC360" s="799">
        <f t="shared" si="212"/>
        <v>25.858959005712343</v>
      </c>
      <c r="AD360" s="799">
        <f t="shared" si="212"/>
        <v>25.953618379902267</v>
      </c>
      <c r="AE360" s="799">
        <f t="shared" si="212"/>
        <v>25.956236582993441</v>
      </c>
      <c r="AF360" s="799">
        <f t="shared" si="212"/>
        <v>25.959278893418841</v>
      </c>
      <c r="AG360" s="799">
        <f t="shared" si="212"/>
        <v>25.964585531305318</v>
      </c>
      <c r="AH360" s="799">
        <f t="shared" si="212"/>
        <v>25.965417126742572</v>
      </c>
      <c r="AI360" s="799">
        <f t="shared" si="212"/>
        <v>25.968479195109687</v>
      </c>
      <c r="AJ360" s="799">
        <f t="shared" si="212"/>
        <v>25.970554573099122</v>
      </c>
      <c r="AK360" s="799">
        <f t="shared" si="212"/>
        <v>25.978336814586619</v>
      </c>
      <c r="AL360" s="799"/>
      <c r="AM360" s="799"/>
      <c r="AN360" s="799"/>
      <c r="AO360" s="799"/>
      <c r="AP360" s="799"/>
      <c r="AQ360" s="799"/>
      <c r="AR360" s="799"/>
      <c r="AS360" s="799"/>
      <c r="AT360" s="799"/>
      <c r="AU360" s="799"/>
      <c r="AV360" s="799"/>
      <c r="AW360" s="799"/>
      <c r="AX360" s="799"/>
      <c r="AY360" s="799"/>
      <c r="AZ360" s="799"/>
      <c r="BA360" s="799"/>
      <c r="BB360" s="799"/>
      <c r="BC360" s="799"/>
      <c r="BD360" s="799"/>
      <c r="BE360" s="799"/>
      <c r="BF360" s="799"/>
      <c r="BG360" s="799"/>
      <c r="BH360" s="799"/>
      <c r="BI360" s="799"/>
      <c r="BJ360" s="799"/>
      <c r="BK360" s="799"/>
      <c r="BL360" s="799"/>
      <c r="BM360" s="799"/>
      <c r="BN360" s="799"/>
      <c r="BO360" s="799"/>
      <c r="BP360" s="799"/>
      <c r="BQ360" s="799"/>
      <c r="BR360" s="799"/>
      <c r="BS360" s="799"/>
      <c r="BT360" s="799"/>
      <c r="BU360" s="799"/>
      <c r="BV360" s="799"/>
      <c r="BW360" s="799"/>
      <c r="BX360" s="799"/>
      <c r="BY360" s="799"/>
      <c r="BZ360" s="799"/>
      <c r="CA360" s="799"/>
      <c r="CB360" s="799"/>
      <c r="CC360" s="799"/>
      <c r="CD360" s="799"/>
      <c r="CE360" s="799"/>
      <c r="CF360" s="799"/>
      <c r="CG360" s="799"/>
      <c r="CH360" s="799"/>
      <c r="CI360" s="800"/>
    </row>
    <row r="361" spans="2:89" ht="15" thickBot="1" x14ac:dyDescent="0.25">
      <c r="B361" s="905" t="s">
        <v>776</v>
      </c>
      <c r="C361" s="906" t="s">
        <v>600</v>
      </c>
      <c r="D361" s="907" t="s">
        <v>777</v>
      </c>
      <c r="E361" s="906" t="s">
        <v>236</v>
      </c>
      <c r="F361" s="902">
        <v>2</v>
      </c>
      <c r="G361" s="798">
        <f t="shared" ref="G361:AK361" si="213">G304-G315</f>
        <v>0</v>
      </c>
      <c r="H361" s="798">
        <f t="shared" si="213"/>
        <v>0</v>
      </c>
      <c r="I361" s="798">
        <f t="shared" si="213"/>
        <v>0</v>
      </c>
      <c r="J361" s="798">
        <f t="shared" si="213"/>
        <v>0</v>
      </c>
      <c r="K361" s="798">
        <f t="shared" si="213"/>
        <v>0</v>
      </c>
      <c r="L361" s="798">
        <f t="shared" si="213"/>
        <v>0</v>
      </c>
      <c r="M361" s="798">
        <f t="shared" si="213"/>
        <v>0</v>
      </c>
      <c r="N361" s="798">
        <f t="shared" si="213"/>
        <v>0</v>
      </c>
      <c r="O361" s="798">
        <f t="shared" si="213"/>
        <v>0</v>
      </c>
      <c r="P361" s="798">
        <f t="shared" si="213"/>
        <v>0</v>
      </c>
      <c r="Q361" s="798">
        <f t="shared" si="213"/>
        <v>0</v>
      </c>
      <c r="R361" s="798">
        <f t="shared" si="213"/>
        <v>0</v>
      </c>
      <c r="S361" s="798">
        <f t="shared" si="213"/>
        <v>0</v>
      </c>
      <c r="T361" s="798">
        <f t="shared" si="213"/>
        <v>0</v>
      </c>
      <c r="U361" s="798">
        <f t="shared" si="213"/>
        <v>0</v>
      </c>
      <c r="V361" s="798">
        <f t="shared" si="213"/>
        <v>0</v>
      </c>
      <c r="W361" s="798">
        <f t="shared" si="213"/>
        <v>0</v>
      </c>
      <c r="X361" s="798">
        <f t="shared" si="213"/>
        <v>0</v>
      </c>
      <c r="Y361" s="798">
        <f t="shared" si="213"/>
        <v>0</v>
      </c>
      <c r="Z361" s="798">
        <f t="shared" si="213"/>
        <v>0</v>
      </c>
      <c r="AA361" s="798">
        <f t="shared" si="213"/>
        <v>0</v>
      </c>
      <c r="AB361" s="798">
        <f t="shared" si="213"/>
        <v>0</v>
      </c>
      <c r="AC361" s="798">
        <f t="shared" si="213"/>
        <v>0</v>
      </c>
      <c r="AD361" s="798">
        <f t="shared" si="213"/>
        <v>0</v>
      </c>
      <c r="AE361" s="798">
        <f t="shared" si="213"/>
        <v>0</v>
      </c>
      <c r="AF361" s="798">
        <f t="shared" si="213"/>
        <v>0</v>
      </c>
      <c r="AG361" s="798">
        <f t="shared" si="213"/>
        <v>0</v>
      </c>
      <c r="AH361" s="798">
        <f t="shared" si="213"/>
        <v>0</v>
      </c>
      <c r="AI361" s="798">
        <f t="shared" si="213"/>
        <v>0</v>
      </c>
      <c r="AJ361" s="798">
        <f t="shared" si="213"/>
        <v>0</v>
      </c>
      <c r="AK361" s="798">
        <f t="shared" si="213"/>
        <v>0</v>
      </c>
      <c r="AL361" s="798"/>
      <c r="AM361" s="798"/>
      <c r="AN361" s="798"/>
      <c r="AO361" s="798"/>
      <c r="AP361" s="798"/>
      <c r="AQ361" s="798"/>
      <c r="AR361" s="798"/>
      <c r="AS361" s="798"/>
      <c r="AT361" s="798"/>
      <c r="AU361" s="798"/>
      <c r="AV361" s="798"/>
      <c r="AW361" s="798"/>
      <c r="AX361" s="798"/>
      <c r="AY361" s="798"/>
      <c r="AZ361" s="798"/>
      <c r="BA361" s="798"/>
      <c r="BB361" s="798"/>
      <c r="BC361" s="798"/>
      <c r="BD361" s="798"/>
      <c r="BE361" s="798"/>
      <c r="BF361" s="798"/>
      <c r="BG361" s="798"/>
      <c r="BH361" s="798"/>
      <c r="BI361" s="798"/>
      <c r="BJ361" s="798"/>
      <c r="BK361" s="798"/>
      <c r="BL361" s="798"/>
      <c r="BM361" s="798"/>
      <c r="BN361" s="798"/>
      <c r="BO361" s="798"/>
      <c r="BP361" s="798"/>
      <c r="BQ361" s="798"/>
      <c r="BR361" s="798"/>
      <c r="BS361" s="798"/>
      <c r="BT361" s="798"/>
      <c r="BU361" s="798"/>
      <c r="BV361" s="798"/>
      <c r="BW361" s="798"/>
      <c r="BX361" s="798"/>
      <c r="BY361" s="798"/>
      <c r="BZ361" s="798"/>
      <c r="CA361" s="798"/>
      <c r="CB361" s="798"/>
      <c r="CC361" s="798"/>
      <c r="CD361" s="798"/>
      <c r="CE361" s="798"/>
      <c r="CF361" s="798"/>
      <c r="CG361" s="798"/>
      <c r="CH361" s="798"/>
      <c r="CI361" s="798"/>
    </row>
    <row r="362" spans="2:89" x14ac:dyDescent="0.2">
      <c r="B362" s="996" t="s">
        <v>778</v>
      </c>
      <c r="C362" s="997" t="s">
        <v>393</v>
      </c>
      <c r="D362" s="998" t="s">
        <v>779</v>
      </c>
      <c r="E362" s="997" t="s">
        <v>236</v>
      </c>
      <c r="F362" s="999">
        <v>2</v>
      </c>
      <c r="G362" s="805">
        <f>G360-G359</f>
        <v>0</v>
      </c>
      <c r="H362" s="805">
        <f t="shared" ref="H362:AK362" si="214">H360-H359</f>
        <v>0</v>
      </c>
      <c r="I362" s="805">
        <f t="shared" si="214"/>
        <v>24.429530499141578</v>
      </c>
      <c r="J362" s="805">
        <f t="shared" si="214"/>
        <v>21.827173687272794</v>
      </c>
      <c r="K362" s="805">
        <f t="shared" si="214"/>
        <v>20.873476495709841</v>
      </c>
      <c r="L362" s="805">
        <f t="shared" si="214"/>
        <v>20.743169176998723</v>
      </c>
      <c r="M362" s="806">
        <f t="shared" si="214"/>
        <v>21.127966434383197</v>
      </c>
      <c r="N362" s="806">
        <f t="shared" si="214"/>
        <v>22.296804180048085</v>
      </c>
      <c r="O362" s="806">
        <f t="shared" si="214"/>
        <v>22.302796938609813</v>
      </c>
      <c r="P362" s="806">
        <f t="shared" si="214"/>
        <v>24.224089943470869</v>
      </c>
      <c r="Q362" s="806">
        <f t="shared" si="214"/>
        <v>25.543422918744081</v>
      </c>
      <c r="R362" s="806">
        <f t="shared" si="214"/>
        <v>23.662572671374726</v>
      </c>
      <c r="S362" s="806">
        <f t="shared" si="214"/>
        <v>23.971794351235868</v>
      </c>
      <c r="T362" s="806">
        <f t="shared" si="214"/>
        <v>22.164271787952863</v>
      </c>
      <c r="U362" s="806">
        <f t="shared" si="214"/>
        <v>22.701547850984007</v>
      </c>
      <c r="V362" s="806">
        <f t="shared" si="214"/>
        <v>23.109189186724343</v>
      </c>
      <c r="W362" s="806">
        <f t="shared" si="214"/>
        <v>23.444720887156528</v>
      </c>
      <c r="X362" s="806">
        <f t="shared" si="214"/>
        <v>23.717698992840344</v>
      </c>
      <c r="Y362" s="806">
        <f t="shared" si="214"/>
        <v>23.972437958032099</v>
      </c>
      <c r="Z362" s="806">
        <f t="shared" si="214"/>
        <v>24.114973322867929</v>
      </c>
      <c r="AA362" s="806">
        <f t="shared" si="214"/>
        <v>24.220925752561396</v>
      </c>
      <c r="AB362" s="806">
        <f t="shared" si="214"/>
        <v>24.363894445066489</v>
      </c>
      <c r="AC362" s="806">
        <f t="shared" si="214"/>
        <v>24.470255056888252</v>
      </c>
      <c r="AD362" s="806">
        <f t="shared" si="214"/>
        <v>24.578660436169265</v>
      </c>
      <c r="AE362" s="806">
        <f t="shared" si="214"/>
        <v>24.584049900950188</v>
      </c>
      <c r="AF362" s="806">
        <f t="shared" si="214"/>
        <v>24.587158045906449</v>
      </c>
      <c r="AG362" s="806">
        <f t="shared" si="214"/>
        <v>24.60332906605721</v>
      </c>
      <c r="AH362" s="806">
        <f t="shared" si="214"/>
        <v>24.597998090429435</v>
      </c>
      <c r="AI362" s="806">
        <f t="shared" si="214"/>
        <v>24.631470387740951</v>
      </c>
      <c r="AJ362" s="806">
        <f t="shared" si="214"/>
        <v>24.615352871390296</v>
      </c>
      <c r="AK362" s="806">
        <f t="shared" si="214"/>
        <v>24.613862594942443</v>
      </c>
      <c r="AL362" s="806"/>
      <c r="AM362" s="806"/>
      <c r="AN362" s="806"/>
      <c r="AO362" s="806"/>
      <c r="AP362" s="806"/>
      <c r="AQ362" s="806"/>
      <c r="AR362" s="806"/>
      <c r="AS362" s="806"/>
      <c r="AT362" s="806"/>
      <c r="AU362" s="806"/>
      <c r="AV362" s="806"/>
      <c r="AW362" s="806"/>
      <c r="AX362" s="806"/>
      <c r="AY362" s="806"/>
      <c r="AZ362" s="806"/>
      <c r="BA362" s="806"/>
      <c r="BB362" s="806"/>
      <c r="BC362" s="806"/>
      <c r="BD362" s="806"/>
      <c r="BE362" s="806"/>
      <c r="BF362" s="806"/>
      <c r="BG362" s="806"/>
      <c r="BH362" s="806"/>
      <c r="BI362" s="806"/>
      <c r="BJ362" s="806"/>
      <c r="BK362" s="806"/>
      <c r="BL362" s="806"/>
      <c r="BM362" s="806"/>
      <c r="BN362" s="806"/>
      <c r="BO362" s="806"/>
      <c r="BP362" s="806"/>
      <c r="BQ362" s="806"/>
      <c r="BR362" s="806"/>
      <c r="BS362" s="806"/>
      <c r="BT362" s="806"/>
      <c r="BU362" s="806"/>
      <c r="BV362" s="806"/>
      <c r="BW362" s="806"/>
      <c r="BX362" s="806"/>
      <c r="BY362" s="806"/>
      <c r="BZ362" s="806"/>
      <c r="CA362" s="806"/>
      <c r="CB362" s="806"/>
      <c r="CC362" s="806"/>
      <c r="CD362" s="806"/>
      <c r="CE362" s="806"/>
      <c r="CF362" s="806"/>
      <c r="CG362" s="806"/>
      <c r="CH362" s="806"/>
      <c r="CI362" s="807"/>
    </row>
    <row r="364" spans="2:89" ht="15" thickBot="1" x14ac:dyDescent="0.25"/>
    <row r="365" spans="2:89" ht="30" x14ac:dyDescent="0.2">
      <c r="B365" s="1297" t="s">
        <v>787</v>
      </c>
      <c r="C365" s="1298"/>
      <c r="D365" s="1298"/>
      <c r="E365" s="1298"/>
      <c r="F365" s="1298"/>
      <c r="G365" s="1298"/>
      <c r="H365" s="1298"/>
      <c r="I365" s="1298"/>
      <c r="J365" s="1298"/>
      <c r="K365" s="1298"/>
      <c r="L365" s="1298"/>
      <c r="M365" s="1298"/>
      <c r="N365" s="1298"/>
      <c r="O365" s="1298"/>
      <c r="P365" s="1298"/>
      <c r="Q365" s="1298"/>
      <c r="R365" s="1298"/>
      <c r="S365" s="1298"/>
      <c r="T365" s="1298"/>
      <c r="U365" s="1298"/>
      <c r="V365" s="1298"/>
      <c r="W365" s="1298"/>
      <c r="X365" s="1298"/>
      <c r="Y365" s="1298"/>
      <c r="Z365" s="1298"/>
      <c r="AA365" s="1298"/>
      <c r="AB365" s="1298"/>
      <c r="AC365" s="1298"/>
      <c r="AD365" s="1298"/>
      <c r="AE365" s="1298"/>
      <c r="AF365" s="1298"/>
      <c r="AG365" s="1298"/>
      <c r="AH365" s="1298"/>
      <c r="AI365" s="1298"/>
      <c r="AJ365" s="1298"/>
      <c r="AK365" s="1298"/>
      <c r="AL365" s="1298"/>
      <c r="AM365" s="1298"/>
      <c r="AN365" s="1298"/>
      <c r="AO365" s="1298"/>
      <c r="AP365" s="1298"/>
      <c r="AQ365" s="1298"/>
      <c r="AR365" s="1298"/>
      <c r="AS365" s="1298"/>
      <c r="AT365" s="1298"/>
      <c r="AU365" s="1298"/>
      <c r="AV365" s="1298"/>
      <c r="AW365" s="1298"/>
      <c r="AX365" s="1298"/>
      <c r="AY365" s="1298"/>
      <c r="AZ365" s="1298"/>
      <c r="BA365" s="1298"/>
      <c r="BB365" s="1298"/>
      <c r="BC365" s="1298"/>
      <c r="BD365" s="1298"/>
      <c r="BE365" s="1298"/>
      <c r="BF365" s="1298"/>
      <c r="BG365" s="1298"/>
      <c r="BH365" s="1298"/>
      <c r="BI365" s="1298"/>
      <c r="BJ365" s="1298"/>
      <c r="BK365" s="1298"/>
      <c r="BL365" s="1298"/>
      <c r="BM365" s="1298"/>
      <c r="BN365" s="1298"/>
      <c r="BO365" s="1298"/>
      <c r="BP365" s="1298"/>
      <c r="BQ365" s="1298"/>
      <c r="BR365" s="1298"/>
      <c r="BS365" s="1298"/>
      <c r="BT365" s="1298"/>
      <c r="BU365" s="1298"/>
      <c r="BV365" s="1298"/>
      <c r="BW365" s="1298"/>
      <c r="BX365" s="1298"/>
      <c r="BY365" s="1298"/>
      <c r="BZ365" s="1298"/>
      <c r="CA365" s="1298"/>
      <c r="CB365" s="1298"/>
      <c r="CC365" s="1298"/>
      <c r="CD365" s="1298"/>
      <c r="CE365" s="1298"/>
      <c r="CF365" s="1298"/>
      <c r="CG365" s="1298"/>
      <c r="CH365" s="1298"/>
      <c r="CI365" s="1299"/>
    </row>
    <row r="366" spans="2:89" x14ac:dyDescent="0.2">
      <c r="B366" s="1300"/>
      <c r="C366" s="1301"/>
      <c r="D366" s="1301"/>
      <c r="E366" s="1301"/>
      <c r="F366" s="1301"/>
      <c r="G366" s="1301"/>
      <c r="H366" s="1301"/>
      <c r="I366" s="1301"/>
      <c r="J366" s="1301"/>
      <c r="K366" s="1301"/>
      <c r="L366" s="1301"/>
      <c r="M366" s="1301"/>
      <c r="N366" s="1301"/>
      <c r="O366" s="1301"/>
      <c r="P366" s="1301"/>
      <c r="Q366" s="1301"/>
      <c r="R366" s="1301"/>
      <c r="S366" s="1301"/>
      <c r="T366" s="1301"/>
      <c r="U366" s="1301"/>
      <c r="V366" s="1301"/>
      <c r="W366" s="1301"/>
      <c r="X366" s="1301"/>
      <c r="Y366" s="1301"/>
      <c r="Z366" s="1301"/>
      <c r="AA366" s="1301"/>
      <c r="AB366" s="1301"/>
      <c r="AC366" s="1301"/>
      <c r="AD366" s="1301"/>
      <c r="AE366" s="1301"/>
      <c r="AF366" s="1301"/>
      <c r="AG366" s="1301"/>
      <c r="AH366" s="1301"/>
      <c r="AI366" s="1301"/>
      <c r="AJ366" s="1301"/>
      <c r="AK366" s="1301"/>
      <c r="AL366" s="1301"/>
      <c r="AM366" s="1301"/>
      <c r="AN366" s="1301"/>
      <c r="AO366" s="1301"/>
      <c r="AP366" s="1301"/>
      <c r="AQ366" s="1301"/>
      <c r="AR366" s="1301"/>
      <c r="AS366" s="1301"/>
      <c r="AT366" s="1301"/>
      <c r="AU366" s="1301"/>
      <c r="AV366" s="1301"/>
      <c r="AW366" s="1301"/>
      <c r="AX366" s="1301"/>
      <c r="AY366" s="1301"/>
      <c r="AZ366" s="1301"/>
      <c r="BA366" s="1301"/>
      <c r="BB366" s="1301"/>
      <c r="BC366" s="1301"/>
      <c r="BD366" s="1301"/>
      <c r="BE366" s="1301"/>
      <c r="BF366" s="1301"/>
      <c r="BG366" s="1301"/>
      <c r="BH366" s="1301"/>
      <c r="BI366" s="1301"/>
      <c r="BJ366" s="1301"/>
      <c r="BK366" s="1301"/>
      <c r="BL366" s="1301"/>
      <c r="BM366" s="1301"/>
      <c r="BN366" s="1301"/>
      <c r="BO366" s="1301"/>
      <c r="BP366" s="1301"/>
      <c r="BQ366" s="1301"/>
      <c r="BR366" s="1301"/>
      <c r="BS366" s="1301"/>
      <c r="BT366" s="1301"/>
      <c r="BU366" s="1301"/>
      <c r="BV366" s="1301"/>
      <c r="BW366" s="1301"/>
      <c r="BX366" s="1301"/>
      <c r="BY366" s="1301"/>
      <c r="BZ366" s="1301"/>
      <c r="CA366" s="1301"/>
      <c r="CB366" s="1301"/>
      <c r="CC366" s="1301"/>
      <c r="CD366" s="1301"/>
      <c r="CE366" s="1301"/>
      <c r="CF366" s="1301"/>
      <c r="CG366" s="1301"/>
      <c r="CH366" s="1301"/>
      <c r="CI366" s="1302"/>
    </row>
    <row r="367" spans="2:89" ht="28.5" x14ac:dyDescent="0.2">
      <c r="B367" s="1300" t="s">
        <v>788</v>
      </c>
      <c r="C367" s="1301"/>
      <c r="D367" s="1301"/>
      <c r="E367" s="1301"/>
      <c r="F367" s="1301"/>
      <c r="G367" s="1000" t="s">
        <v>208</v>
      </c>
      <c r="H367" s="1000" t="s">
        <v>209</v>
      </c>
      <c r="I367" s="1000" t="s">
        <v>210</v>
      </c>
      <c r="J367" s="1000" t="s">
        <v>211</v>
      </c>
      <c r="K367" s="1000" t="s">
        <v>212</v>
      </c>
      <c r="L367" s="1000" t="s">
        <v>213</v>
      </c>
      <c r="M367" s="1000" t="s">
        <v>214</v>
      </c>
      <c r="N367" s="1000" t="s">
        <v>215</v>
      </c>
      <c r="O367" s="1000" t="s">
        <v>216</v>
      </c>
      <c r="P367" s="1000" t="s">
        <v>217</v>
      </c>
      <c r="Q367" s="1000" t="s">
        <v>218</v>
      </c>
      <c r="R367" s="1000" t="s">
        <v>247</v>
      </c>
      <c r="S367" s="1000" t="s">
        <v>248</v>
      </c>
      <c r="T367" s="1000" t="s">
        <v>249</v>
      </c>
      <c r="U367" s="1000" t="s">
        <v>250</v>
      </c>
      <c r="V367" s="1000" t="s">
        <v>219</v>
      </c>
      <c r="W367" s="1000" t="s">
        <v>251</v>
      </c>
      <c r="X367" s="1000" t="s">
        <v>252</v>
      </c>
      <c r="Y367" s="1000" t="s">
        <v>253</v>
      </c>
      <c r="Z367" s="1000" t="s">
        <v>254</v>
      </c>
      <c r="AA367" s="1000" t="s">
        <v>220</v>
      </c>
      <c r="AB367" s="1000" t="s">
        <v>255</v>
      </c>
      <c r="AC367" s="1000" t="s">
        <v>256</v>
      </c>
      <c r="AD367" s="1000" t="s">
        <v>257</v>
      </c>
      <c r="AE367" s="1000" t="s">
        <v>258</v>
      </c>
      <c r="AF367" s="1000" t="s">
        <v>221</v>
      </c>
      <c r="AG367" s="1000" t="s">
        <v>259</v>
      </c>
      <c r="AH367" s="1000" t="s">
        <v>260</v>
      </c>
      <c r="AI367" s="1000" t="s">
        <v>261</v>
      </c>
      <c r="AJ367" s="1000" t="s">
        <v>262</v>
      </c>
      <c r="AK367" s="1000" t="s">
        <v>222</v>
      </c>
      <c r="AL367" s="1000"/>
      <c r="AM367" s="1000"/>
      <c r="AN367" s="1000"/>
      <c r="AO367" s="1000"/>
      <c r="AP367" s="1000"/>
      <c r="AQ367" s="1000"/>
      <c r="AR367" s="1000"/>
      <c r="AS367" s="1000"/>
      <c r="AT367" s="1000"/>
      <c r="AU367" s="1000"/>
      <c r="AV367" s="1000"/>
      <c r="AW367" s="1000"/>
      <c r="AX367" s="1000"/>
      <c r="AY367" s="1000"/>
      <c r="AZ367" s="1000"/>
      <c r="BA367" s="1000"/>
      <c r="BB367" s="1000"/>
      <c r="BC367" s="1000"/>
      <c r="BD367" s="1000"/>
      <c r="BE367" s="1000"/>
      <c r="BF367" s="1000"/>
      <c r="BG367" s="1000"/>
      <c r="BH367" s="1000"/>
      <c r="BI367" s="1000"/>
      <c r="BJ367" s="1000"/>
      <c r="BK367" s="1000"/>
      <c r="BL367" s="1000"/>
      <c r="BM367" s="1000"/>
      <c r="BN367" s="1000"/>
      <c r="BO367" s="1000"/>
      <c r="BP367" s="1000"/>
      <c r="BQ367" s="1000"/>
      <c r="BR367" s="1000"/>
      <c r="BS367" s="1000"/>
      <c r="BT367" s="1000"/>
      <c r="BU367" s="1000"/>
      <c r="BV367" s="1000"/>
      <c r="BW367" s="1000"/>
      <c r="BX367" s="1000"/>
      <c r="BY367" s="1000"/>
      <c r="BZ367" s="1000"/>
      <c r="CA367" s="1000"/>
      <c r="CB367" s="1000"/>
      <c r="CC367" s="1000"/>
      <c r="CD367" s="1000"/>
      <c r="CE367" s="1000"/>
      <c r="CF367" s="1000"/>
      <c r="CG367" s="1000"/>
      <c r="CH367" s="1000"/>
      <c r="CI367" s="1001"/>
    </row>
    <row r="368" spans="2:89" x14ac:dyDescent="0.2">
      <c r="B368" s="1300"/>
      <c r="C368" s="1301" t="s">
        <v>789</v>
      </c>
      <c r="D368" s="1301"/>
      <c r="E368" s="1301" t="s">
        <v>236</v>
      </c>
      <c r="F368" s="1301">
        <v>2</v>
      </c>
      <c r="G368" s="1002">
        <f t="shared" ref="G368:AK368" si="215">G46-G57</f>
        <v>0</v>
      </c>
      <c r="H368" s="1002">
        <f t="shared" si="215"/>
        <v>0</v>
      </c>
      <c r="I368" s="1002">
        <f t="shared" si="215"/>
        <v>17.398467649188941</v>
      </c>
      <c r="J368" s="1002">
        <f t="shared" si="215"/>
        <v>17.112564349480355</v>
      </c>
      <c r="K368" s="1002">
        <f t="shared" si="215"/>
        <v>17.10333836520001</v>
      </c>
      <c r="L368" s="1002">
        <f t="shared" si="215"/>
        <v>17.369327390850341</v>
      </c>
      <c r="M368" s="1002">
        <f t="shared" si="215"/>
        <v>18.10071145804876</v>
      </c>
      <c r="N368" s="1002">
        <f t="shared" si="215"/>
        <v>18.808845796654822</v>
      </c>
      <c r="O368" s="1002">
        <f t="shared" si="215"/>
        <v>19.119334215946814</v>
      </c>
      <c r="P368" s="1002">
        <f t="shared" si="215"/>
        <v>19.413468656497624</v>
      </c>
      <c r="Q368" s="1002">
        <f t="shared" si="215"/>
        <v>19.678347460203188</v>
      </c>
      <c r="R368" s="1002">
        <f t="shared" si="215"/>
        <v>19.882287586652851</v>
      </c>
      <c r="S368" s="1002">
        <f t="shared" si="215"/>
        <v>20.032024245019254</v>
      </c>
      <c r="T368" s="1002">
        <f t="shared" si="215"/>
        <v>20.181983166984828</v>
      </c>
      <c r="U368" s="1002">
        <f t="shared" si="215"/>
        <v>20.330949699259573</v>
      </c>
      <c r="V368" s="1002">
        <f t="shared" si="215"/>
        <v>20.492887216821135</v>
      </c>
      <c r="W368" s="1002">
        <f t="shared" si="215"/>
        <v>20.644781602781148</v>
      </c>
      <c r="X368" s="1002">
        <f t="shared" si="215"/>
        <v>20.800778071241197</v>
      </c>
      <c r="Y368" s="1002">
        <f t="shared" si="215"/>
        <v>20.956303900998286</v>
      </c>
      <c r="Z368" s="1002">
        <f t="shared" si="215"/>
        <v>21.121719040440958</v>
      </c>
      <c r="AA368" s="1002">
        <f t="shared" si="215"/>
        <v>21.29497621014664</v>
      </c>
      <c r="AB368" s="1002">
        <f t="shared" si="215"/>
        <v>21.43682901466282</v>
      </c>
      <c r="AC368" s="1002">
        <f t="shared" si="215"/>
        <v>21.606195568961567</v>
      </c>
      <c r="AD368" s="1002">
        <f t="shared" si="215"/>
        <v>21.780056940743439</v>
      </c>
      <c r="AE368" s="1002">
        <f t="shared" si="215"/>
        <v>21.952105916105829</v>
      </c>
      <c r="AF368" s="1002">
        <f t="shared" si="215"/>
        <v>22.122506263196804</v>
      </c>
      <c r="AG368" s="1002">
        <f t="shared" si="215"/>
        <v>22.286468243573314</v>
      </c>
      <c r="AH368" s="1002">
        <f t="shared" si="215"/>
        <v>22.4519821667106</v>
      </c>
      <c r="AI368" s="1002">
        <f t="shared" si="215"/>
        <v>22.614880340308165</v>
      </c>
      <c r="AJ368" s="1002">
        <f t="shared" si="215"/>
        <v>22.778149291612952</v>
      </c>
      <c r="AK368" s="1002">
        <f t="shared" si="215"/>
        <v>22.936735130169005</v>
      </c>
      <c r="AL368" s="1002"/>
      <c r="AM368" s="1002"/>
      <c r="AN368" s="1002"/>
      <c r="AO368" s="1002"/>
      <c r="AP368" s="1002"/>
      <c r="AQ368" s="1002"/>
      <c r="AR368" s="1002"/>
      <c r="AS368" s="1002"/>
      <c r="AT368" s="1002"/>
      <c r="AU368" s="1002"/>
      <c r="AV368" s="1002"/>
      <c r="AW368" s="1002"/>
      <c r="AX368" s="1002"/>
      <c r="AY368" s="1002"/>
      <c r="AZ368" s="1002"/>
      <c r="BA368" s="1002"/>
      <c r="BB368" s="1002"/>
      <c r="BC368" s="1002"/>
      <c r="BD368" s="1002"/>
      <c r="BE368" s="1002"/>
      <c r="BF368" s="1002"/>
      <c r="BG368" s="1002"/>
      <c r="BH368" s="1002"/>
      <c r="BI368" s="1002"/>
      <c r="BJ368" s="1002"/>
      <c r="BK368" s="1002"/>
      <c r="BL368" s="1002"/>
      <c r="BM368" s="1002"/>
      <c r="BN368" s="1002"/>
      <c r="BO368" s="1002"/>
      <c r="BP368" s="1002"/>
      <c r="BQ368" s="1002"/>
      <c r="BR368" s="1002"/>
      <c r="BS368" s="1002"/>
      <c r="BT368" s="1002"/>
      <c r="BU368" s="1002"/>
      <c r="BV368" s="1002"/>
      <c r="BW368" s="1002"/>
      <c r="BX368" s="1002"/>
      <c r="BY368" s="1002"/>
      <c r="BZ368" s="1002"/>
      <c r="CA368" s="1002"/>
      <c r="CB368" s="1002"/>
      <c r="CC368" s="1002"/>
      <c r="CD368" s="1002"/>
      <c r="CE368" s="1002"/>
      <c r="CF368" s="1002"/>
      <c r="CG368" s="1002"/>
      <c r="CH368" s="1002"/>
      <c r="CI368" s="1003"/>
    </row>
    <row r="369" spans="2:87" x14ac:dyDescent="0.2">
      <c r="B369" s="1300"/>
      <c r="C369" s="1301" t="s">
        <v>790</v>
      </c>
      <c r="D369" s="1301"/>
      <c r="E369" s="1301" t="s">
        <v>236</v>
      </c>
      <c r="F369" s="1301">
        <v>2</v>
      </c>
      <c r="G369" s="1002">
        <f t="shared" ref="G369:AK369" si="216">G47-G58</f>
        <v>0</v>
      </c>
      <c r="H369" s="1002">
        <f t="shared" si="216"/>
        <v>0</v>
      </c>
      <c r="I369" s="1002">
        <f t="shared" si="216"/>
        <v>13.861692014340996</v>
      </c>
      <c r="J369" s="1002">
        <f t="shared" si="216"/>
        <v>13.107647381913853</v>
      </c>
      <c r="K369" s="1002">
        <f t="shared" si="216"/>
        <v>12.997183846151753</v>
      </c>
      <c r="L369" s="1002">
        <f t="shared" si="216"/>
        <v>12.430353977244778</v>
      </c>
      <c r="M369" s="1002">
        <f t="shared" si="216"/>
        <v>11.469028314301802</v>
      </c>
      <c r="N369" s="1002">
        <f t="shared" si="216"/>
        <v>10.722810779268956</v>
      </c>
      <c r="O369" s="1002">
        <f t="shared" si="216"/>
        <v>10.435342965655972</v>
      </c>
      <c r="P369" s="1002">
        <f t="shared" si="216"/>
        <v>10.149789789279204</v>
      </c>
      <c r="Q369" s="1002">
        <f t="shared" si="216"/>
        <v>9.8652708229143453</v>
      </c>
      <c r="R369" s="1002">
        <f t="shared" si="216"/>
        <v>9.6711973286982875</v>
      </c>
      <c r="S369" s="1002">
        <f t="shared" si="216"/>
        <v>9.5701572070515653</v>
      </c>
      <c r="T369" s="1002">
        <f t="shared" si="216"/>
        <v>9.4709940182746166</v>
      </c>
      <c r="U369" s="1002">
        <f t="shared" si="216"/>
        <v>9.372758993824327</v>
      </c>
      <c r="V369" s="1002">
        <f t="shared" si="216"/>
        <v>9.2761498868058041</v>
      </c>
      <c r="W369" s="1002">
        <f t="shared" si="216"/>
        <v>9.1878306410998167</v>
      </c>
      <c r="X369" s="1002">
        <f t="shared" si="216"/>
        <v>9.101077789390434</v>
      </c>
      <c r="Y369" s="1002">
        <f t="shared" si="216"/>
        <v>9.0149521916153326</v>
      </c>
      <c r="Z369" s="1002">
        <f t="shared" si="216"/>
        <v>8.9320109465243096</v>
      </c>
      <c r="AA369" s="1002">
        <f t="shared" si="216"/>
        <v>8.8496894933983494</v>
      </c>
      <c r="AB369" s="1002">
        <f t="shared" si="216"/>
        <v>8.7677758176957621</v>
      </c>
      <c r="AC369" s="1002">
        <f t="shared" si="216"/>
        <v>8.6875349066469436</v>
      </c>
      <c r="AD369" s="1002">
        <f t="shared" si="216"/>
        <v>8.6126297310390392</v>
      </c>
      <c r="AE369" s="1002">
        <f t="shared" si="216"/>
        <v>8.5424178448291688</v>
      </c>
      <c r="AF369" s="1002">
        <f t="shared" si="216"/>
        <v>8.4737075225465617</v>
      </c>
      <c r="AG369" s="1002">
        <f t="shared" si="216"/>
        <v>8.4056073299648482</v>
      </c>
      <c r="AH369" s="1002">
        <f t="shared" si="216"/>
        <v>8.3406029469054257</v>
      </c>
      <c r="AI369" s="1002">
        <f t="shared" si="216"/>
        <v>8.2761047802509271</v>
      </c>
      <c r="AJ369" s="1002">
        <f t="shared" si="216"/>
        <v>8.2129288193269936</v>
      </c>
      <c r="AK369" s="1002">
        <f t="shared" si="216"/>
        <v>8.1485528159597305</v>
      </c>
      <c r="AL369" s="1002"/>
      <c r="AM369" s="1002"/>
      <c r="AN369" s="1002"/>
      <c r="AO369" s="1002"/>
      <c r="AP369" s="1002"/>
      <c r="AQ369" s="1002"/>
      <c r="AR369" s="1002"/>
      <c r="AS369" s="1002"/>
      <c r="AT369" s="1002"/>
      <c r="AU369" s="1002"/>
      <c r="AV369" s="1002"/>
      <c r="AW369" s="1002"/>
      <c r="AX369" s="1002"/>
      <c r="AY369" s="1002"/>
      <c r="AZ369" s="1002"/>
      <c r="BA369" s="1002"/>
      <c r="BB369" s="1002"/>
      <c r="BC369" s="1002"/>
      <c r="BD369" s="1002"/>
      <c r="BE369" s="1002"/>
      <c r="BF369" s="1002"/>
      <c r="BG369" s="1002"/>
      <c r="BH369" s="1002"/>
      <c r="BI369" s="1002"/>
      <c r="BJ369" s="1002"/>
      <c r="BK369" s="1002"/>
      <c r="BL369" s="1002"/>
      <c r="BM369" s="1002"/>
      <c r="BN369" s="1002"/>
      <c r="BO369" s="1002"/>
      <c r="BP369" s="1002"/>
      <c r="BQ369" s="1002"/>
      <c r="BR369" s="1002"/>
      <c r="BS369" s="1002"/>
      <c r="BT369" s="1002"/>
      <c r="BU369" s="1002"/>
      <c r="BV369" s="1002"/>
      <c r="BW369" s="1002"/>
      <c r="BX369" s="1002"/>
      <c r="BY369" s="1002"/>
      <c r="BZ369" s="1002"/>
      <c r="CA369" s="1002"/>
      <c r="CB369" s="1002"/>
      <c r="CC369" s="1002"/>
      <c r="CD369" s="1002"/>
      <c r="CE369" s="1002"/>
      <c r="CF369" s="1002"/>
      <c r="CG369" s="1002"/>
      <c r="CH369" s="1002"/>
      <c r="CI369" s="1003"/>
    </row>
    <row r="370" spans="2:87" x14ac:dyDescent="0.2">
      <c r="B370" s="1300"/>
      <c r="C370" s="1301" t="s">
        <v>791</v>
      </c>
      <c r="D370" s="1301"/>
      <c r="E370" s="1301" t="s">
        <v>236</v>
      </c>
      <c r="F370" s="1301">
        <v>2</v>
      </c>
      <c r="G370" s="1002">
        <f t="shared" ref="G370:AK370" si="217">G43+G45-G55-G56</f>
        <v>0</v>
      </c>
      <c r="H370" s="1002">
        <f t="shared" si="217"/>
        <v>0</v>
      </c>
      <c r="I370" s="1002">
        <f t="shared" si="217"/>
        <v>10.68025832804982</v>
      </c>
      <c r="J370" s="1002">
        <f t="shared" si="217"/>
        <v>11.89615012042419</v>
      </c>
      <c r="K370" s="1002">
        <f t="shared" si="217"/>
        <v>13.265936841019769</v>
      </c>
      <c r="L370" s="1002">
        <f t="shared" si="217"/>
        <v>13.993383085544702</v>
      </c>
      <c r="M370" s="1002">
        <f t="shared" si="217"/>
        <v>14.646228442408788</v>
      </c>
      <c r="N370" s="1002">
        <f t="shared" si="217"/>
        <v>14.858330752194938</v>
      </c>
      <c r="O370" s="1002">
        <f t="shared" si="217"/>
        <v>16.991619492705574</v>
      </c>
      <c r="P370" s="1002">
        <f t="shared" si="217"/>
        <v>17.040984727731733</v>
      </c>
      <c r="Q370" s="1002">
        <f t="shared" si="217"/>
        <v>17.085899932140091</v>
      </c>
      <c r="R370" s="1002">
        <f t="shared" si="217"/>
        <v>17.141723026768073</v>
      </c>
      <c r="S370" s="1002">
        <f t="shared" si="217"/>
        <v>17.192772637854222</v>
      </c>
      <c r="T370" s="1002">
        <f t="shared" si="217"/>
        <v>17.243544809518937</v>
      </c>
      <c r="U370" s="1002">
        <f t="shared" si="217"/>
        <v>17.293923369545357</v>
      </c>
      <c r="V370" s="1002">
        <f t="shared" si="217"/>
        <v>17.34416564024702</v>
      </c>
      <c r="W370" s="1002">
        <f t="shared" si="217"/>
        <v>17.391516935609697</v>
      </c>
      <c r="X370" s="1002">
        <f t="shared" si="217"/>
        <v>17.437191997608569</v>
      </c>
      <c r="Y370" s="1002">
        <f t="shared" si="217"/>
        <v>17.482150611799522</v>
      </c>
      <c r="Z370" s="1002">
        <f t="shared" si="217"/>
        <v>17.526421561325176</v>
      </c>
      <c r="AA370" s="1002">
        <f t="shared" si="217"/>
        <v>17.570341709499822</v>
      </c>
      <c r="AB370" s="1002">
        <f t="shared" si="217"/>
        <v>17.61412192650468</v>
      </c>
      <c r="AC370" s="1002">
        <f t="shared" si="217"/>
        <v>17.656767984354001</v>
      </c>
      <c r="AD370" s="1002">
        <f t="shared" si="217"/>
        <v>17.698606108336886</v>
      </c>
      <c r="AE370" s="1002">
        <f t="shared" si="217"/>
        <v>17.739592972958885</v>
      </c>
      <c r="AF370" s="1002">
        <f t="shared" si="217"/>
        <v>17.779701125802873</v>
      </c>
      <c r="AG370" s="1002">
        <f t="shared" si="217"/>
        <v>17.818911706652443</v>
      </c>
      <c r="AH370" s="1002">
        <f t="shared" si="217"/>
        <v>17.857381752423603</v>
      </c>
      <c r="AI370" s="1002">
        <f t="shared" si="217"/>
        <v>17.895205976463476</v>
      </c>
      <c r="AJ370" s="1002">
        <f t="shared" si="217"/>
        <v>17.932397589694862</v>
      </c>
      <c r="AK370" s="1002">
        <f t="shared" si="217"/>
        <v>17.968948433188185</v>
      </c>
      <c r="AL370" s="1002"/>
      <c r="AM370" s="1002"/>
      <c r="AN370" s="1002"/>
      <c r="AO370" s="1002"/>
      <c r="AP370" s="1002"/>
      <c r="AQ370" s="1002"/>
      <c r="AR370" s="1002"/>
      <c r="AS370" s="1002"/>
      <c r="AT370" s="1002"/>
      <c r="AU370" s="1002"/>
      <c r="AV370" s="1002"/>
      <c r="AW370" s="1002"/>
      <c r="AX370" s="1002"/>
      <c r="AY370" s="1002"/>
      <c r="AZ370" s="1002"/>
      <c r="BA370" s="1002"/>
      <c r="BB370" s="1002"/>
      <c r="BC370" s="1002"/>
      <c r="BD370" s="1002"/>
      <c r="BE370" s="1002"/>
      <c r="BF370" s="1002"/>
      <c r="BG370" s="1002"/>
      <c r="BH370" s="1002"/>
      <c r="BI370" s="1002"/>
      <c r="BJ370" s="1002"/>
      <c r="BK370" s="1002"/>
      <c r="BL370" s="1002"/>
      <c r="BM370" s="1002"/>
      <c r="BN370" s="1002"/>
      <c r="BO370" s="1002"/>
      <c r="BP370" s="1002"/>
      <c r="BQ370" s="1002"/>
      <c r="BR370" s="1002"/>
      <c r="BS370" s="1002"/>
      <c r="BT370" s="1002"/>
      <c r="BU370" s="1002"/>
      <c r="BV370" s="1002"/>
      <c r="BW370" s="1002"/>
      <c r="BX370" s="1002"/>
      <c r="BY370" s="1002"/>
      <c r="BZ370" s="1002"/>
      <c r="CA370" s="1002"/>
      <c r="CB370" s="1002"/>
      <c r="CC370" s="1002"/>
      <c r="CD370" s="1002"/>
      <c r="CE370" s="1002"/>
      <c r="CF370" s="1002"/>
      <c r="CG370" s="1002"/>
      <c r="CH370" s="1002"/>
      <c r="CI370" s="1003"/>
    </row>
    <row r="371" spans="2:87" x14ac:dyDescent="0.2">
      <c r="B371" s="1300"/>
      <c r="C371" s="1301" t="s">
        <v>243</v>
      </c>
      <c r="D371" s="1301"/>
      <c r="E371" s="1301" t="s">
        <v>236</v>
      </c>
      <c r="F371" s="1301">
        <v>2</v>
      </c>
      <c r="G371" s="1002">
        <f t="shared" ref="G371:AK371" si="218">G61</f>
        <v>0</v>
      </c>
      <c r="H371" s="1002">
        <f t="shared" si="218"/>
        <v>0</v>
      </c>
      <c r="I371" s="1002">
        <f t="shared" si="218"/>
        <v>2.7140564682276551</v>
      </c>
      <c r="J371" s="1002">
        <f t="shared" si="218"/>
        <v>3.0110663999999998</v>
      </c>
      <c r="K371" s="1002">
        <f t="shared" si="218"/>
        <v>2.8933151999999995</v>
      </c>
      <c r="L371" s="1002">
        <f t="shared" si="218"/>
        <v>2.7755640000000001</v>
      </c>
      <c r="M371" s="1002">
        <f t="shared" si="218"/>
        <v>2.7755640000000001</v>
      </c>
      <c r="N371" s="1002">
        <f t="shared" si="218"/>
        <v>2.7755640000000001</v>
      </c>
      <c r="O371" s="1002">
        <f t="shared" si="218"/>
        <v>2.7755640000000001</v>
      </c>
      <c r="P371" s="1002">
        <f t="shared" si="218"/>
        <v>2.7755640000000001</v>
      </c>
      <c r="Q371" s="1002">
        <f t="shared" si="218"/>
        <v>2.7755640000000001</v>
      </c>
      <c r="R371" s="1002">
        <f t="shared" si="218"/>
        <v>2.7755640000000001</v>
      </c>
      <c r="S371" s="1002">
        <f t="shared" si="218"/>
        <v>2.7755640000000001</v>
      </c>
      <c r="T371" s="1002">
        <f t="shared" si="218"/>
        <v>2.7755640000000001</v>
      </c>
      <c r="U371" s="1002">
        <f t="shared" si="218"/>
        <v>2.7755640000000001</v>
      </c>
      <c r="V371" s="1002">
        <f t="shared" si="218"/>
        <v>2.7755640000000001</v>
      </c>
      <c r="W371" s="1002">
        <f t="shared" si="218"/>
        <v>2.7755640000000001</v>
      </c>
      <c r="X371" s="1002">
        <f t="shared" si="218"/>
        <v>2.7755640000000001</v>
      </c>
      <c r="Y371" s="1002">
        <f t="shared" si="218"/>
        <v>2.7755640000000001</v>
      </c>
      <c r="Z371" s="1002">
        <f t="shared" si="218"/>
        <v>2.7755640000000001</v>
      </c>
      <c r="AA371" s="1002">
        <f t="shared" si="218"/>
        <v>2.7755640000000001</v>
      </c>
      <c r="AB371" s="1002">
        <f t="shared" si="218"/>
        <v>2.7755640000000001</v>
      </c>
      <c r="AC371" s="1002">
        <f t="shared" si="218"/>
        <v>2.7755640000000001</v>
      </c>
      <c r="AD371" s="1002">
        <f t="shared" si="218"/>
        <v>2.7755640000000001</v>
      </c>
      <c r="AE371" s="1002">
        <f t="shared" si="218"/>
        <v>2.7755640000000001</v>
      </c>
      <c r="AF371" s="1002">
        <f t="shared" si="218"/>
        <v>2.7755640000000001</v>
      </c>
      <c r="AG371" s="1002">
        <f t="shared" si="218"/>
        <v>2.7755640000000001</v>
      </c>
      <c r="AH371" s="1002">
        <f t="shared" si="218"/>
        <v>2.7755640000000001</v>
      </c>
      <c r="AI371" s="1002">
        <f t="shared" si="218"/>
        <v>2.7755640000000001</v>
      </c>
      <c r="AJ371" s="1002">
        <f t="shared" si="218"/>
        <v>2.7755640000000001</v>
      </c>
      <c r="AK371" s="1002">
        <f t="shared" si="218"/>
        <v>2.7755640000000001</v>
      </c>
      <c r="AL371" s="1002"/>
      <c r="AM371" s="1002"/>
      <c r="AN371" s="1002"/>
      <c r="AO371" s="1002"/>
      <c r="AP371" s="1002"/>
      <c r="AQ371" s="1002"/>
      <c r="AR371" s="1002"/>
      <c r="AS371" s="1002"/>
      <c r="AT371" s="1002"/>
      <c r="AU371" s="1002"/>
      <c r="AV371" s="1002"/>
      <c r="AW371" s="1002"/>
      <c r="AX371" s="1002"/>
      <c r="AY371" s="1002"/>
      <c r="AZ371" s="1002"/>
      <c r="BA371" s="1002"/>
      <c r="BB371" s="1002"/>
      <c r="BC371" s="1002"/>
      <c r="BD371" s="1002"/>
      <c r="BE371" s="1002"/>
      <c r="BF371" s="1002"/>
      <c r="BG371" s="1002"/>
      <c r="BH371" s="1002"/>
      <c r="BI371" s="1002"/>
      <c r="BJ371" s="1002"/>
      <c r="BK371" s="1002"/>
      <c r="BL371" s="1002"/>
      <c r="BM371" s="1002"/>
      <c r="BN371" s="1002"/>
      <c r="BO371" s="1002"/>
      <c r="BP371" s="1002"/>
      <c r="BQ371" s="1002"/>
      <c r="BR371" s="1002"/>
      <c r="BS371" s="1002"/>
      <c r="BT371" s="1002"/>
      <c r="BU371" s="1002"/>
      <c r="BV371" s="1002"/>
      <c r="BW371" s="1002"/>
      <c r="BX371" s="1002"/>
      <c r="BY371" s="1002"/>
      <c r="BZ371" s="1002"/>
      <c r="CA371" s="1002"/>
      <c r="CB371" s="1002"/>
      <c r="CC371" s="1002"/>
      <c r="CD371" s="1002"/>
      <c r="CE371" s="1002"/>
      <c r="CF371" s="1002"/>
      <c r="CG371" s="1002"/>
      <c r="CH371" s="1002"/>
      <c r="CI371" s="1003"/>
    </row>
    <row r="372" spans="2:87" x14ac:dyDescent="0.2">
      <c r="B372" s="1300"/>
      <c r="C372" s="1301" t="s">
        <v>792</v>
      </c>
      <c r="D372" s="1301"/>
      <c r="E372" s="1301" t="s">
        <v>236</v>
      </c>
      <c r="F372" s="1301">
        <v>2</v>
      </c>
      <c r="G372" s="1002">
        <f t="shared" ref="G372:AK372" si="219">G85-SUM(G368:G371)</f>
        <v>0</v>
      </c>
      <c r="H372" s="1002">
        <f t="shared" si="219"/>
        <v>0</v>
      </c>
      <c r="I372" s="1002">
        <f t="shared" si="219"/>
        <v>1.8115870309918378</v>
      </c>
      <c r="J372" s="1002">
        <f t="shared" si="219"/>
        <v>1.803237358100823</v>
      </c>
      <c r="K372" s="1002">
        <f t="shared" si="219"/>
        <v>1.8026674142220429</v>
      </c>
      <c r="L372" s="1002">
        <f t="shared" si="219"/>
        <v>1.8025335791050949</v>
      </c>
      <c r="M372" s="1002">
        <f t="shared" si="219"/>
        <v>1.8034288607064681</v>
      </c>
      <c r="N372" s="1002">
        <f t="shared" si="219"/>
        <v>1.8030145805468862</v>
      </c>
      <c r="O372" s="1002">
        <f t="shared" si="219"/>
        <v>1.8026039152750428</v>
      </c>
      <c r="P372" s="1002">
        <f t="shared" si="219"/>
        <v>1.8022316137007763</v>
      </c>
      <c r="Q372" s="1002">
        <f t="shared" si="219"/>
        <v>1.8018982265235266</v>
      </c>
      <c r="R372" s="1002">
        <f t="shared" si="219"/>
        <v>1.8015659466929392</v>
      </c>
      <c r="S372" s="1002">
        <f t="shared" si="219"/>
        <v>1.801224946508647</v>
      </c>
      <c r="T372" s="1002">
        <f t="shared" si="219"/>
        <v>1.8008864767214021</v>
      </c>
      <c r="U372" s="1002">
        <f t="shared" si="219"/>
        <v>1.8005504265799672</v>
      </c>
      <c r="V372" s="1002">
        <f t="shared" si="219"/>
        <v>1.800214353685945</v>
      </c>
      <c r="W372" s="1002">
        <f t="shared" si="219"/>
        <v>1.7998803979336557</v>
      </c>
      <c r="X372" s="1002">
        <f t="shared" si="219"/>
        <v>1.7995494133550594</v>
      </c>
      <c r="Y372" s="1002">
        <f t="shared" si="219"/>
        <v>1.7992211505270177</v>
      </c>
      <c r="Z372" s="1002">
        <f t="shared" si="219"/>
        <v>1.7988958604272725</v>
      </c>
      <c r="AA372" s="1002">
        <f t="shared" si="219"/>
        <v>1.7985763935972017</v>
      </c>
      <c r="AB372" s="1002">
        <f t="shared" si="219"/>
        <v>1.7982599944802047</v>
      </c>
      <c r="AC372" s="1002">
        <f t="shared" si="219"/>
        <v>1.7979468226658568</v>
      </c>
      <c r="AD372" s="1002">
        <f t="shared" si="219"/>
        <v>1.7976364136816372</v>
      </c>
      <c r="AE372" s="1002">
        <f t="shared" si="219"/>
        <v>1.7973287099520832</v>
      </c>
      <c r="AF372" s="1002">
        <f t="shared" si="219"/>
        <v>1.7970238674534755</v>
      </c>
      <c r="AG372" s="1002">
        <f t="shared" si="219"/>
        <v>1.7967218953785107</v>
      </c>
      <c r="AH372" s="1002">
        <f t="shared" si="219"/>
        <v>1.7964227311522549</v>
      </c>
      <c r="AI372" s="1002">
        <f t="shared" si="219"/>
        <v>1.7961264283852856</v>
      </c>
      <c r="AJ372" s="1002">
        <f t="shared" si="219"/>
        <v>1.7958332947864335</v>
      </c>
      <c r="AK372" s="1002">
        <f t="shared" si="219"/>
        <v>1.7955432701320646</v>
      </c>
      <c r="AL372" s="1002"/>
      <c r="AM372" s="1002"/>
      <c r="AN372" s="1002"/>
      <c r="AO372" s="1002"/>
      <c r="AP372" s="1002"/>
      <c r="AQ372" s="1002"/>
      <c r="AR372" s="1002"/>
      <c r="AS372" s="1002"/>
      <c r="AT372" s="1002"/>
      <c r="AU372" s="1002"/>
      <c r="AV372" s="1002"/>
      <c r="AW372" s="1002"/>
      <c r="AX372" s="1002"/>
      <c r="AY372" s="1002"/>
      <c r="AZ372" s="1002"/>
      <c r="BA372" s="1002"/>
      <c r="BB372" s="1002"/>
      <c r="BC372" s="1002"/>
      <c r="BD372" s="1002"/>
      <c r="BE372" s="1002"/>
      <c r="BF372" s="1002"/>
      <c r="BG372" s="1002"/>
      <c r="BH372" s="1002"/>
      <c r="BI372" s="1002"/>
      <c r="BJ372" s="1002"/>
      <c r="BK372" s="1002"/>
      <c r="BL372" s="1002"/>
      <c r="BM372" s="1002"/>
      <c r="BN372" s="1002"/>
      <c r="BO372" s="1002"/>
      <c r="BP372" s="1002"/>
      <c r="BQ372" s="1002"/>
      <c r="BR372" s="1002"/>
      <c r="BS372" s="1002"/>
      <c r="BT372" s="1002"/>
      <c r="BU372" s="1002"/>
      <c r="BV372" s="1002"/>
      <c r="BW372" s="1002"/>
      <c r="BX372" s="1002"/>
      <c r="BY372" s="1002"/>
      <c r="BZ372" s="1002"/>
      <c r="CA372" s="1002"/>
      <c r="CB372" s="1002"/>
      <c r="CC372" s="1002"/>
      <c r="CD372" s="1002"/>
      <c r="CE372" s="1002"/>
      <c r="CF372" s="1002"/>
      <c r="CG372" s="1002"/>
      <c r="CH372" s="1002"/>
      <c r="CI372" s="1003"/>
    </row>
    <row r="373" spans="2:87" x14ac:dyDescent="0.2">
      <c r="B373" s="1300"/>
      <c r="C373" s="1301" t="s">
        <v>793</v>
      </c>
      <c r="D373" s="1301"/>
      <c r="E373" s="1301" t="s">
        <v>236</v>
      </c>
      <c r="F373" s="1301">
        <v>2</v>
      </c>
      <c r="G373" s="1002">
        <f t="shared" ref="G373:AK373" si="220">G42</f>
        <v>0</v>
      </c>
      <c r="H373" s="1002">
        <f t="shared" si="220"/>
        <v>0</v>
      </c>
      <c r="I373" s="1002">
        <f t="shared" si="220"/>
        <v>56.410000000000004</v>
      </c>
      <c r="J373" s="1002">
        <f t="shared" si="220"/>
        <v>56.410000000000004</v>
      </c>
      <c r="K373" s="1002">
        <f t="shared" si="220"/>
        <v>56.410000000000004</v>
      </c>
      <c r="L373" s="1002">
        <f t="shared" si="220"/>
        <v>56.410000000000004</v>
      </c>
      <c r="M373" s="1002">
        <f t="shared" si="220"/>
        <v>56.410000000000004</v>
      </c>
      <c r="N373" s="1002">
        <f t="shared" si="220"/>
        <v>56.52</v>
      </c>
      <c r="O373" s="1002">
        <f t="shared" si="220"/>
        <v>56.52</v>
      </c>
      <c r="P373" s="1002">
        <f t="shared" si="220"/>
        <v>56.52</v>
      </c>
      <c r="Q373" s="1002">
        <f t="shared" si="220"/>
        <v>56.52</v>
      </c>
      <c r="R373" s="1002">
        <f t="shared" si="220"/>
        <v>53.280000000000008</v>
      </c>
      <c r="S373" s="1002">
        <f t="shared" si="220"/>
        <v>53.280000000000008</v>
      </c>
      <c r="T373" s="1002">
        <f t="shared" si="220"/>
        <v>51.430000000000007</v>
      </c>
      <c r="U373" s="1002">
        <f t="shared" si="220"/>
        <v>51.430000000000007</v>
      </c>
      <c r="V373" s="1002">
        <f t="shared" si="220"/>
        <v>51.430000000000007</v>
      </c>
      <c r="W373" s="1002">
        <f t="shared" si="220"/>
        <v>51.430000000000007</v>
      </c>
      <c r="X373" s="1002">
        <f t="shared" si="220"/>
        <v>51.430000000000007</v>
      </c>
      <c r="Y373" s="1002">
        <f t="shared" si="220"/>
        <v>51.430000000000007</v>
      </c>
      <c r="Z373" s="1002">
        <f t="shared" si="220"/>
        <v>51.430000000000007</v>
      </c>
      <c r="AA373" s="1002">
        <f t="shared" si="220"/>
        <v>51.430000000000007</v>
      </c>
      <c r="AB373" s="1002">
        <f t="shared" si="220"/>
        <v>36.929999999999993</v>
      </c>
      <c r="AC373" s="1002">
        <f t="shared" si="220"/>
        <v>36.929999999999993</v>
      </c>
      <c r="AD373" s="1002">
        <f t="shared" si="220"/>
        <v>36.929999999999993</v>
      </c>
      <c r="AE373" s="1002">
        <f t="shared" si="220"/>
        <v>36.929999999999993</v>
      </c>
      <c r="AF373" s="1002">
        <f t="shared" si="220"/>
        <v>36.929999999999993</v>
      </c>
      <c r="AG373" s="1002">
        <f t="shared" si="220"/>
        <v>21.619999999999997</v>
      </c>
      <c r="AH373" s="1002">
        <f t="shared" si="220"/>
        <v>21.619999999999997</v>
      </c>
      <c r="AI373" s="1002">
        <f t="shared" si="220"/>
        <v>21.619999999999997</v>
      </c>
      <c r="AJ373" s="1002">
        <f t="shared" si="220"/>
        <v>21.619999999999997</v>
      </c>
      <c r="AK373" s="1002">
        <f t="shared" si="220"/>
        <v>21.619999999999997</v>
      </c>
      <c r="AL373" s="1002"/>
      <c r="AM373" s="1002"/>
      <c r="AN373" s="1002"/>
      <c r="AO373" s="1002"/>
      <c r="AP373" s="1002"/>
      <c r="AQ373" s="1002"/>
      <c r="AR373" s="1002"/>
      <c r="AS373" s="1002"/>
      <c r="AT373" s="1002"/>
      <c r="AU373" s="1002"/>
      <c r="AV373" s="1002"/>
      <c r="AW373" s="1002"/>
      <c r="AX373" s="1002"/>
      <c r="AY373" s="1002"/>
      <c r="AZ373" s="1002"/>
      <c r="BA373" s="1002"/>
      <c r="BB373" s="1002"/>
      <c r="BC373" s="1002"/>
      <c r="BD373" s="1002"/>
      <c r="BE373" s="1002"/>
      <c r="BF373" s="1002"/>
      <c r="BG373" s="1002"/>
      <c r="BH373" s="1002"/>
      <c r="BI373" s="1002"/>
      <c r="BJ373" s="1002"/>
      <c r="BK373" s="1002"/>
      <c r="BL373" s="1002"/>
      <c r="BM373" s="1002"/>
      <c r="BN373" s="1002"/>
      <c r="BO373" s="1002"/>
      <c r="BP373" s="1002"/>
      <c r="BQ373" s="1002"/>
      <c r="BR373" s="1002"/>
      <c r="BS373" s="1002"/>
      <c r="BT373" s="1002"/>
      <c r="BU373" s="1002"/>
      <c r="BV373" s="1002"/>
      <c r="BW373" s="1002"/>
      <c r="BX373" s="1002"/>
      <c r="BY373" s="1002"/>
      <c r="BZ373" s="1002"/>
      <c r="CA373" s="1002"/>
      <c r="CB373" s="1002"/>
      <c r="CC373" s="1002"/>
      <c r="CD373" s="1002"/>
      <c r="CE373" s="1002"/>
      <c r="CF373" s="1002"/>
      <c r="CG373" s="1002"/>
      <c r="CH373" s="1002"/>
      <c r="CI373" s="1003"/>
    </row>
    <row r="374" spans="2:87" x14ac:dyDescent="0.2">
      <c r="B374" s="1300"/>
      <c r="C374" s="1301" t="s">
        <v>794</v>
      </c>
      <c r="D374" s="1301"/>
      <c r="E374" s="1301" t="s">
        <v>236</v>
      </c>
      <c r="F374" s="1301">
        <v>2</v>
      </c>
      <c r="G374" s="1002">
        <f t="shared" ref="G374:AK374" si="221">SUM(G368:G372)+G88</f>
        <v>0</v>
      </c>
      <c r="H374" s="1002">
        <f t="shared" si="221"/>
        <v>0</v>
      </c>
      <c r="I374" s="1002">
        <f t="shared" si="221"/>
        <v>48.468025651991695</v>
      </c>
      <c r="J374" s="1002">
        <f t="shared" si="221"/>
        <v>49.160892908083994</v>
      </c>
      <c r="K374" s="1002">
        <f t="shared" si="221"/>
        <v>50.170548192593998</v>
      </c>
      <c r="L374" s="1002">
        <f t="shared" si="221"/>
        <v>50.46295488369875</v>
      </c>
      <c r="M374" s="1002">
        <f t="shared" si="221"/>
        <v>50.842449350677725</v>
      </c>
      <c r="N374" s="1002">
        <f t="shared" si="221"/>
        <v>50.752223751212483</v>
      </c>
      <c r="O374" s="1002">
        <f t="shared" si="221"/>
        <v>52.612019985990713</v>
      </c>
      <c r="P374" s="1002">
        <f t="shared" si="221"/>
        <v>52.569679840112748</v>
      </c>
      <c r="Q374" s="1002">
        <f t="shared" si="221"/>
        <v>52.496887618001217</v>
      </c>
      <c r="R374" s="1002">
        <f t="shared" si="221"/>
        <v>52.442371668325386</v>
      </c>
      <c r="S374" s="1002">
        <f t="shared" si="221"/>
        <v>52.477291461680515</v>
      </c>
      <c r="T374" s="1002">
        <f t="shared" si="221"/>
        <v>52.549276077608496</v>
      </c>
      <c r="U374" s="1002">
        <f t="shared" si="221"/>
        <v>52.597566168713392</v>
      </c>
      <c r="V374" s="1002">
        <f t="shared" si="221"/>
        <v>52.69190419091349</v>
      </c>
      <c r="W374" s="1002">
        <f t="shared" si="221"/>
        <v>52.761205549773585</v>
      </c>
      <c r="X374" s="1002">
        <f t="shared" si="221"/>
        <v>52.854050469317819</v>
      </c>
      <c r="Y374" s="1002">
        <f t="shared" si="221"/>
        <v>52.936008947335885</v>
      </c>
      <c r="Z374" s="1002">
        <f t="shared" si="221"/>
        <v>53.039321353624864</v>
      </c>
      <c r="AA374" s="1002">
        <f t="shared" si="221"/>
        <v>53.154501124321158</v>
      </c>
      <c r="AB374" s="1002">
        <f t="shared" si="221"/>
        <v>53.238169198682947</v>
      </c>
      <c r="AC374" s="1002">
        <f t="shared" si="221"/>
        <v>53.344901311297136</v>
      </c>
      <c r="AD374" s="1002">
        <f t="shared" si="221"/>
        <v>53.467222452465876</v>
      </c>
      <c r="AE374" s="1002">
        <f t="shared" si="221"/>
        <v>53.589899278817441</v>
      </c>
      <c r="AF374" s="1002">
        <f t="shared" si="221"/>
        <v>53.714366662690473</v>
      </c>
      <c r="AG374" s="1002">
        <f t="shared" si="221"/>
        <v>53.829226230757968</v>
      </c>
      <c r="AH374" s="1002">
        <f t="shared" si="221"/>
        <v>53.957123936841512</v>
      </c>
      <c r="AI374" s="1002">
        <f t="shared" si="221"/>
        <v>54.050076255204615</v>
      </c>
      <c r="AJ374" s="1002">
        <f t="shared" si="221"/>
        <v>54.19098704002522</v>
      </c>
      <c r="AK374" s="1002">
        <f t="shared" si="221"/>
        <v>54.312615365358695</v>
      </c>
      <c r="AL374" s="1002"/>
      <c r="AM374" s="1002"/>
      <c r="AN374" s="1002"/>
      <c r="AO374" s="1002"/>
      <c r="AP374" s="1002"/>
      <c r="AQ374" s="1002"/>
      <c r="AR374" s="1002"/>
      <c r="AS374" s="1002"/>
      <c r="AT374" s="1002"/>
      <c r="AU374" s="1002"/>
      <c r="AV374" s="1002"/>
      <c r="AW374" s="1002"/>
      <c r="AX374" s="1002"/>
      <c r="AY374" s="1002"/>
      <c r="AZ374" s="1002"/>
      <c r="BA374" s="1002"/>
      <c r="BB374" s="1002"/>
      <c r="BC374" s="1002"/>
      <c r="BD374" s="1002"/>
      <c r="BE374" s="1002"/>
      <c r="BF374" s="1002"/>
      <c r="BG374" s="1002"/>
      <c r="BH374" s="1002"/>
      <c r="BI374" s="1002"/>
      <c r="BJ374" s="1002"/>
      <c r="BK374" s="1002"/>
      <c r="BL374" s="1002"/>
      <c r="BM374" s="1002"/>
      <c r="BN374" s="1002"/>
      <c r="BO374" s="1002"/>
      <c r="BP374" s="1002"/>
      <c r="BQ374" s="1002"/>
      <c r="BR374" s="1002"/>
      <c r="BS374" s="1002"/>
      <c r="BT374" s="1002"/>
      <c r="BU374" s="1002"/>
      <c r="BV374" s="1002"/>
      <c r="BW374" s="1002"/>
      <c r="BX374" s="1002"/>
      <c r="BY374" s="1002"/>
      <c r="BZ374" s="1002"/>
      <c r="CA374" s="1002"/>
      <c r="CB374" s="1002"/>
      <c r="CC374" s="1002"/>
      <c r="CD374" s="1002"/>
      <c r="CE374" s="1002"/>
      <c r="CF374" s="1002"/>
      <c r="CG374" s="1002"/>
      <c r="CH374" s="1002"/>
      <c r="CI374" s="1003"/>
    </row>
    <row r="375" spans="2:87" x14ac:dyDescent="0.2">
      <c r="B375" s="1300"/>
      <c r="C375" s="1301"/>
      <c r="D375" s="1301"/>
      <c r="E375" s="1301"/>
      <c r="F375" s="1301"/>
      <c r="G375" s="1301"/>
      <c r="H375" s="1301"/>
      <c r="I375" s="1301"/>
      <c r="J375" s="1301"/>
      <c r="K375" s="1301"/>
      <c r="L375" s="1301"/>
      <c r="M375" s="1301"/>
      <c r="N375" s="1301"/>
      <c r="O375" s="1301"/>
      <c r="P375" s="1301"/>
      <c r="Q375" s="1301"/>
      <c r="R375" s="1301"/>
      <c r="S375" s="1301"/>
      <c r="T375" s="1301"/>
      <c r="U375" s="1301"/>
      <c r="V375" s="1301"/>
      <c r="W375" s="1301"/>
      <c r="X375" s="1301"/>
      <c r="Y375" s="1301"/>
      <c r="Z375" s="1301"/>
      <c r="AA375" s="1301"/>
      <c r="AB375" s="1301"/>
      <c r="AC375" s="1301"/>
      <c r="AD375" s="1301"/>
      <c r="AE375" s="1301"/>
      <c r="AF375" s="1301"/>
      <c r="AG375" s="1301"/>
      <c r="AH375" s="1301"/>
      <c r="AI375" s="1301"/>
      <c r="AJ375" s="1301"/>
      <c r="AK375" s="1301"/>
      <c r="AL375" s="1301"/>
      <c r="AM375" s="1301"/>
      <c r="AN375" s="1301"/>
      <c r="AO375" s="1301"/>
      <c r="AP375" s="1301"/>
      <c r="AQ375" s="1301"/>
      <c r="AR375" s="1301"/>
      <c r="AS375" s="1301"/>
      <c r="AT375" s="1301"/>
      <c r="AU375" s="1301"/>
      <c r="AV375" s="1301"/>
      <c r="AW375" s="1301"/>
      <c r="AX375" s="1301"/>
      <c r="AY375" s="1301"/>
      <c r="AZ375" s="1301"/>
      <c r="BA375" s="1301"/>
      <c r="BB375" s="1301"/>
      <c r="BC375" s="1301"/>
      <c r="BD375" s="1301"/>
      <c r="BE375" s="1301"/>
      <c r="BF375" s="1301"/>
      <c r="BG375" s="1301"/>
      <c r="BH375" s="1301"/>
      <c r="BI375" s="1301"/>
      <c r="BJ375" s="1301"/>
      <c r="BK375" s="1301"/>
      <c r="BL375" s="1301"/>
      <c r="BM375" s="1301"/>
      <c r="BN375" s="1301"/>
      <c r="BO375" s="1301"/>
      <c r="BP375" s="1301"/>
      <c r="BQ375" s="1301"/>
      <c r="BR375" s="1301"/>
      <c r="BS375" s="1301"/>
      <c r="BT375" s="1301"/>
      <c r="BU375" s="1301"/>
      <c r="BV375" s="1301"/>
      <c r="BW375" s="1301"/>
      <c r="BX375" s="1301"/>
      <c r="BY375" s="1301"/>
      <c r="BZ375" s="1301"/>
      <c r="CA375" s="1301"/>
      <c r="CB375" s="1301"/>
      <c r="CC375" s="1301"/>
      <c r="CD375" s="1301"/>
      <c r="CE375" s="1301"/>
      <c r="CF375" s="1301"/>
      <c r="CG375" s="1301"/>
      <c r="CH375" s="1301"/>
      <c r="CI375" s="1302"/>
    </row>
    <row r="376" spans="2:87" ht="28.5" x14ac:dyDescent="0.2">
      <c r="B376" s="1300" t="s">
        <v>795</v>
      </c>
      <c r="C376" s="1301"/>
      <c r="D376" s="1301"/>
      <c r="E376" s="1301"/>
      <c r="F376" s="1301"/>
      <c r="G376" s="1000" t="s">
        <v>208</v>
      </c>
      <c r="H376" s="1000" t="s">
        <v>209</v>
      </c>
      <c r="I376" s="1000" t="s">
        <v>210</v>
      </c>
      <c r="J376" s="1000" t="s">
        <v>211</v>
      </c>
      <c r="K376" s="1000" t="s">
        <v>212</v>
      </c>
      <c r="L376" s="1000" t="s">
        <v>213</v>
      </c>
      <c r="M376" s="1000" t="s">
        <v>214</v>
      </c>
      <c r="N376" s="1000" t="s">
        <v>215</v>
      </c>
      <c r="O376" s="1000" t="s">
        <v>216</v>
      </c>
      <c r="P376" s="1000" t="s">
        <v>217</v>
      </c>
      <c r="Q376" s="1000" t="s">
        <v>218</v>
      </c>
      <c r="R376" s="1000" t="s">
        <v>247</v>
      </c>
      <c r="S376" s="1000" t="s">
        <v>248</v>
      </c>
      <c r="T376" s="1000" t="s">
        <v>249</v>
      </c>
      <c r="U376" s="1000" t="s">
        <v>250</v>
      </c>
      <c r="V376" s="1000" t="s">
        <v>219</v>
      </c>
      <c r="W376" s="1000" t="s">
        <v>251</v>
      </c>
      <c r="X376" s="1000" t="s">
        <v>252</v>
      </c>
      <c r="Y376" s="1000" t="s">
        <v>253</v>
      </c>
      <c r="Z376" s="1000" t="s">
        <v>254</v>
      </c>
      <c r="AA376" s="1000" t="s">
        <v>220</v>
      </c>
      <c r="AB376" s="1000" t="s">
        <v>255</v>
      </c>
      <c r="AC376" s="1000" t="s">
        <v>256</v>
      </c>
      <c r="AD376" s="1000" t="s">
        <v>257</v>
      </c>
      <c r="AE376" s="1000" t="s">
        <v>258</v>
      </c>
      <c r="AF376" s="1000" t="s">
        <v>221</v>
      </c>
      <c r="AG376" s="1000" t="s">
        <v>259</v>
      </c>
      <c r="AH376" s="1000" t="s">
        <v>260</v>
      </c>
      <c r="AI376" s="1000" t="s">
        <v>261</v>
      </c>
      <c r="AJ376" s="1000" t="s">
        <v>262</v>
      </c>
      <c r="AK376" s="1000" t="s">
        <v>222</v>
      </c>
      <c r="AL376" s="1000"/>
      <c r="AM376" s="1000"/>
      <c r="AN376" s="1000"/>
      <c r="AO376" s="1000"/>
      <c r="AP376" s="1000"/>
      <c r="AQ376" s="1000"/>
      <c r="AR376" s="1000"/>
      <c r="AS376" s="1000"/>
      <c r="AT376" s="1000"/>
      <c r="AU376" s="1000"/>
      <c r="AV376" s="1000"/>
      <c r="AW376" s="1000"/>
      <c r="AX376" s="1000"/>
      <c r="AY376" s="1000"/>
      <c r="AZ376" s="1000"/>
      <c r="BA376" s="1000"/>
      <c r="BB376" s="1000"/>
      <c r="BC376" s="1000"/>
      <c r="BD376" s="1000"/>
      <c r="BE376" s="1000"/>
      <c r="BF376" s="1000"/>
      <c r="BG376" s="1000"/>
      <c r="BH376" s="1000"/>
      <c r="BI376" s="1000"/>
      <c r="BJ376" s="1000"/>
      <c r="BK376" s="1000"/>
      <c r="BL376" s="1000"/>
      <c r="BM376" s="1000"/>
      <c r="BN376" s="1000"/>
      <c r="BO376" s="1000"/>
      <c r="BP376" s="1000"/>
      <c r="BQ376" s="1000"/>
      <c r="BR376" s="1000"/>
      <c r="BS376" s="1000"/>
      <c r="BT376" s="1000"/>
      <c r="BU376" s="1000"/>
      <c r="BV376" s="1000"/>
      <c r="BW376" s="1000"/>
      <c r="BX376" s="1000"/>
      <c r="BY376" s="1000"/>
      <c r="BZ376" s="1000"/>
      <c r="CA376" s="1000"/>
      <c r="CB376" s="1000"/>
      <c r="CC376" s="1000"/>
      <c r="CD376" s="1000"/>
      <c r="CE376" s="1000"/>
      <c r="CF376" s="1000"/>
      <c r="CG376" s="1000"/>
      <c r="CH376" s="1000"/>
      <c r="CI376" s="1001"/>
    </row>
    <row r="377" spans="2:87" x14ac:dyDescent="0.2">
      <c r="B377" s="1300"/>
      <c r="C377" s="1301" t="s">
        <v>789</v>
      </c>
      <c r="D377" s="1301"/>
      <c r="E377" s="1301" t="s">
        <v>236</v>
      </c>
      <c r="F377" s="1301">
        <v>2</v>
      </c>
      <c r="G377" s="1002">
        <f t="shared" ref="G377:AK378" si="222">G136-G147</f>
        <v>0</v>
      </c>
      <c r="H377" s="1002">
        <f t="shared" si="222"/>
        <v>0</v>
      </c>
      <c r="I377" s="1002">
        <f t="shared" si="222"/>
        <v>17.398467649188941</v>
      </c>
      <c r="J377" s="1002">
        <f t="shared" si="222"/>
        <v>17.112564349480355</v>
      </c>
      <c r="K377" s="1002">
        <f t="shared" si="222"/>
        <v>17.10333836520001</v>
      </c>
      <c r="L377" s="1002">
        <f t="shared" si="222"/>
        <v>17.369327390850341</v>
      </c>
      <c r="M377" s="1002">
        <f t="shared" si="222"/>
        <v>17.844914002387576</v>
      </c>
      <c r="N377" s="1002">
        <f t="shared" si="222"/>
        <v>19.010056397003403</v>
      </c>
      <c r="O377" s="1002">
        <f t="shared" si="222"/>
        <v>20.674352475081925</v>
      </c>
      <c r="P377" s="1002">
        <f t="shared" si="222"/>
        <v>23.233064912866425</v>
      </c>
      <c r="Q377" s="1002">
        <f t="shared" si="222"/>
        <v>25.041640327661788</v>
      </c>
      <c r="R377" s="1002">
        <f t="shared" si="222"/>
        <v>25.520284121279865</v>
      </c>
      <c r="S377" s="1002">
        <f t="shared" si="222"/>
        <v>25.370557218143805</v>
      </c>
      <c r="T377" s="1002">
        <f t="shared" si="222"/>
        <v>25.108004035023011</v>
      </c>
      <c r="U377" s="1002">
        <f t="shared" si="222"/>
        <v>24.783021295675571</v>
      </c>
      <c r="V377" s="1002">
        <f t="shared" si="222"/>
        <v>24.582953046727358</v>
      </c>
      <c r="W377" s="1002">
        <f t="shared" si="222"/>
        <v>24.438656056959534</v>
      </c>
      <c r="X377" s="1002">
        <f t="shared" si="222"/>
        <v>24.301660459262454</v>
      </c>
      <c r="Y377" s="1002">
        <f t="shared" si="222"/>
        <v>24.166101159352515</v>
      </c>
      <c r="Z377" s="1002">
        <f t="shared" si="222"/>
        <v>24.04287732172989</v>
      </c>
      <c r="AA377" s="1002">
        <f t="shared" si="222"/>
        <v>23.926546481020466</v>
      </c>
      <c r="AB377" s="1002">
        <f t="shared" si="222"/>
        <v>23.784724940733867</v>
      </c>
      <c r="AC377" s="1002">
        <f t="shared" si="222"/>
        <v>23.66909717495037</v>
      </c>
      <c r="AD377" s="1002">
        <f t="shared" si="222"/>
        <v>23.56465925705367</v>
      </c>
      <c r="AE377" s="1002">
        <f t="shared" si="222"/>
        <v>23.560355017304204</v>
      </c>
      <c r="AF377" s="1002">
        <f t="shared" si="222"/>
        <v>23.556221960850078</v>
      </c>
      <c r="AG377" s="1002">
        <f t="shared" si="222"/>
        <v>23.550206199480222</v>
      </c>
      <c r="AH377" s="1002">
        <f t="shared" si="222"/>
        <v>23.54953519508074</v>
      </c>
      <c r="AI377" s="1002">
        <f t="shared" si="222"/>
        <v>23.546865873589859</v>
      </c>
      <c r="AJ377" s="1002">
        <f t="shared" si="222"/>
        <v>23.545689284396257</v>
      </c>
      <c r="AK377" s="1002">
        <f t="shared" si="222"/>
        <v>23.538776111658272</v>
      </c>
      <c r="AL377" s="1002"/>
      <c r="AM377" s="1002"/>
      <c r="AN377" s="1002"/>
      <c r="AO377" s="1002"/>
      <c r="AP377" s="1002"/>
      <c r="AQ377" s="1002"/>
      <c r="AR377" s="1002"/>
      <c r="AS377" s="1002"/>
      <c r="AT377" s="1002"/>
      <c r="AU377" s="1002"/>
      <c r="AV377" s="1002"/>
      <c r="AW377" s="1002"/>
      <c r="AX377" s="1002"/>
      <c r="AY377" s="1002"/>
      <c r="AZ377" s="1002"/>
      <c r="BA377" s="1002"/>
      <c r="BB377" s="1002"/>
      <c r="BC377" s="1002"/>
      <c r="BD377" s="1002"/>
      <c r="BE377" s="1002"/>
      <c r="BF377" s="1002"/>
      <c r="BG377" s="1002"/>
      <c r="BH377" s="1002"/>
      <c r="BI377" s="1002"/>
      <c r="BJ377" s="1002"/>
      <c r="BK377" s="1002"/>
      <c r="BL377" s="1002"/>
      <c r="BM377" s="1002"/>
      <c r="BN377" s="1002"/>
      <c r="BO377" s="1002"/>
      <c r="BP377" s="1002"/>
      <c r="BQ377" s="1002"/>
      <c r="BR377" s="1002"/>
      <c r="BS377" s="1002"/>
      <c r="BT377" s="1002"/>
      <c r="BU377" s="1002"/>
      <c r="BV377" s="1002"/>
      <c r="BW377" s="1002"/>
      <c r="BX377" s="1002"/>
      <c r="BY377" s="1002"/>
      <c r="BZ377" s="1002"/>
      <c r="CA377" s="1002"/>
      <c r="CB377" s="1002"/>
      <c r="CC377" s="1002"/>
      <c r="CD377" s="1002"/>
      <c r="CE377" s="1002"/>
      <c r="CF377" s="1002"/>
      <c r="CG377" s="1002"/>
      <c r="CH377" s="1002"/>
      <c r="CI377" s="1003"/>
    </row>
    <row r="378" spans="2:87" x14ac:dyDescent="0.2">
      <c r="B378" s="1300"/>
      <c r="C378" s="1301" t="s">
        <v>790</v>
      </c>
      <c r="D378" s="1301"/>
      <c r="E378" s="1301" t="s">
        <v>236</v>
      </c>
      <c r="F378" s="1301">
        <v>2</v>
      </c>
      <c r="G378" s="1002">
        <f t="shared" si="222"/>
        <v>0</v>
      </c>
      <c r="H378" s="1002">
        <f t="shared" si="222"/>
        <v>0</v>
      </c>
      <c r="I378" s="1002">
        <f t="shared" si="222"/>
        <v>13.861692014340996</v>
      </c>
      <c r="J378" s="1002">
        <f t="shared" si="222"/>
        <v>13.107647381913853</v>
      </c>
      <c r="K378" s="1002">
        <f t="shared" si="222"/>
        <v>12.997183846151753</v>
      </c>
      <c r="L378" s="1002">
        <f t="shared" si="222"/>
        <v>12.430353977244778</v>
      </c>
      <c r="M378" s="1002">
        <f t="shared" si="222"/>
        <v>11.277097434244963</v>
      </c>
      <c r="N378" s="1002">
        <f t="shared" si="222"/>
        <v>9.5642484961314249</v>
      </c>
      <c r="O378" s="1002">
        <f t="shared" si="222"/>
        <v>6.8404245030056519</v>
      </c>
      <c r="P378" s="1002">
        <f t="shared" si="222"/>
        <v>3.4704692283708485</v>
      </c>
      <c r="Q378" s="1002">
        <f t="shared" si="222"/>
        <v>1.1320680654735877</v>
      </c>
      <c r="R378" s="1002">
        <f t="shared" si="222"/>
        <v>0.41825131485779987</v>
      </c>
      <c r="S378" s="1002">
        <f t="shared" si="222"/>
        <v>0.40764556355967407</v>
      </c>
      <c r="T378" s="1002">
        <f t="shared" si="222"/>
        <v>0.39723056474220703</v>
      </c>
      <c r="U378" s="1002">
        <f t="shared" si="222"/>
        <v>0.38579448813416239</v>
      </c>
      <c r="V378" s="1002">
        <f t="shared" si="222"/>
        <v>0.37457806368114033</v>
      </c>
      <c r="W378" s="1002">
        <f t="shared" si="222"/>
        <v>0.36318462683440461</v>
      </c>
      <c r="X378" s="1002">
        <f t="shared" si="222"/>
        <v>0.34970822141960345</v>
      </c>
      <c r="Y378" s="1002">
        <f t="shared" si="222"/>
        <v>0.33657230371192892</v>
      </c>
      <c r="Z378" s="1002">
        <f t="shared" si="222"/>
        <v>0.32388429724588808</v>
      </c>
      <c r="AA378" s="1002">
        <f t="shared" si="222"/>
        <v>0.31151614824913398</v>
      </c>
      <c r="AB378" s="1002">
        <f t="shared" si="222"/>
        <v>0.29953768122506352</v>
      </c>
      <c r="AC378" s="1002">
        <f t="shared" si="222"/>
        <v>0.28791779155041042</v>
      </c>
      <c r="AD378" s="1002">
        <f t="shared" si="222"/>
        <v>0.27679219127417021</v>
      </c>
      <c r="AE378" s="1002">
        <f t="shared" si="222"/>
        <v>0.26730458740713142</v>
      </c>
      <c r="AF378" s="1002">
        <f t="shared" si="222"/>
        <v>0.25806050604956454</v>
      </c>
      <c r="AG378" s="1002">
        <f t="shared" si="222"/>
        <v>0.24909600086014488</v>
      </c>
      <c r="AH378" s="1002">
        <f t="shared" si="222"/>
        <v>0.24042807454042142</v>
      </c>
      <c r="AI378" s="1002">
        <f t="shared" si="222"/>
        <v>0.23194604794120638</v>
      </c>
      <c r="AJ378" s="1002">
        <f t="shared" si="222"/>
        <v>0.22367813455791338</v>
      </c>
      <c r="AK378" s="1002">
        <f t="shared" si="222"/>
        <v>0.21552338420091438</v>
      </c>
      <c r="AL378" s="1002"/>
      <c r="AM378" s="1002"/>
      <c r="AN378" s="1002"/>
      <c r="AO378" s="1002"/>
      <c r="AP378" s="1002"/>
      <c r="AQ378" s="1002"/>
      <c r="AR378" s="1002"/>
      <c r="AS378" s="1002"/>
      <c r="AT378" s="1002"/>
      <c r="AU378" s="1002"/>
      <c r="AV378" s="1002"/>
      <c r="AW378" s="1002"/>
      <c r="AX378" s="1002"/>
      <c r="AY378" s="1002"/>
      <c r="AZ378" s="1002"/>
      <c r="BA378" s="1002"/>
      <c r="BB378" s="1002"/>
      <c r="BC378" s="1002"/>
      <c r="BD378" s="1002"/>
      <c r="BE378" s="1002"/>
      <c r="BF378" s="1002"/>
      <c r="BG378" s="1002"/>
      <c r="BH378" s="1002"/>
      <c r="BI378" s="1002"/>
      <c r="BJ378" s="1002"/>
      <c r="BK378" s="1002"/>
      <c r="BL378" s="1002"/>
      <c r="BM378" s="1002"/>
      <c r="BN378" s="1002"/>
      <c r="BO378" s="1002"/>
      <c r="BP378" s="1002"/>
      <c r="BQ378" s="1002"/>
      <c r="BR378" s="1002"/>
      <c r="BS378" s="1002"/>
      <c r="BT378" s="1002"/>
      <c r="BU378" s="1002"/>
      <c r="BV378" s="1002"/>
      <c r="BW378" s="1002"/>
      <c r="BX378" s="1002"/>
      <c r="BY378" s="1002"/>
      <c r="BZ378" s="1002"/>
      <c r="CA378" s="1002"/>
      <c r="CB378" s="1002"/>
      <c r="CC378" s="1002"/>
      <c r="CD378" s="1002"/>
      <c r="CE378" s="1002"/>
      <c r="CF378" s="1002"/>
      <c r="CG378" s="1002"/>
      <c r="CH378" s="1002"/>
      <c r="CI378" s="1003"/>
    </row>
    <row r="379" spans="2:87" x14ac:dyDescent="0.2">
      <c r="B379" s="1300"/>
      <c r="C379" s="1301" t="s">
        <v>791</v>
      </c>
      <c r="D379" s="1301"/>
      <c r="E379" s="1301" t="s">
        <v>236</v>
      </c>
      <c r="F379" s="1301">
        <v>2</v>
      </c>
      <c r="G379" s="1002">
        <f t="shared" ref="G379:AK379" si="223">G133+G135-G145-G146</f>
        <v>0</v>
      </c>
      <c r="H379" s="1002">
        <f t="shared" si="223"/>
        <v>0</v>
      </c>
      <c r="I379" s="1002">
        <f t="shared" si="223"/>
        <v>10.68025832804982</v>
      </c>
      <c r="J379" s="1002">
        <f t="shared" si="223"/>
        <v>11.89615012042419</v>
      </c>
      <c r="K379" s="1002">
        <f t="shared" si="223"/>
        <v>13.265936841019769</v>
      </c>
      <c r="L379" s="1002">
        <f t="shared" si="223"/>
        <v>13.993383085544702</v>
      </c>
      <c r="M379" s="1002">
        <f t="shared" si="223"/>
        <v>14.583167791258509</v>
      </c>
      <c r="N379" s="1002">
        <f t="shared" si="223"/>
        <v>14.732212650683987</v>
      </c>
      <c r="O379" s="1002">
        <f t="shared" si="223"/>
        <v>16.802447141623556</v>
      </c>
      <c r="P379" s="1002">
        <f t="shared" si="223"/>
        <v>16.788761327868251</v>
      </c>
      <c r="Q379" s="1002">
        <f t="shared" si="223"/>
        <v>16.770628684284745</v>
      </c>
      <c r="R379" s="1002">
        <f t="shared" si="223"/>
        <v>16.690887236250958</v>
      </c>
      <c r="S379" s="1002">
        <f t="shared" si="223"/>
        <v>16.606375505464939</v>
      </c>
      <c r="T379" s="1002">
        <f t="shared" si="223"/>
        <v>16.521589536047085</v>
      </c>
      <c r="U379" s="1002">
        <f t="shared" si="223"/>
        <v>16.436413155780546</v>
      </c>
      <c r="V379" s="1002">
        <f t="shared" si="223"/>
        <v>16.351103686978856</v>
      </c>
      <c r="W379" s="1002">
        <f t="shared" si="223"/>
        <v>16.272573152147004</v>
      </c>
      <c r="X379" s="1002">
        <f t="shared" si="223"/>
        <v>16.192369584740945</v>
      </c>
      <c r="Y379" s="1002">
        <f t="shared" si="223"/>
        <v>16.111452770316582</v>
      </c>
      <c r="Z379" s="1002">
        <f t="shared" si="223"/>
        <v>16.156123831057787</v>
      </c>
      <c r="AA379" s="1002">
        <f t="shared" si="223"/>
        <v>16.20044729123758</v>
      </c>
      <c r="AB379" s="1002">
        <f t="shared" si="223"/>
        <v>16.244634021037204</v>
      </c>
      <c r="AC379" s="1002">
        <f t="shared" si="223"/>
        <v>16.287689792470886</v>
      </c>
      <c r="AD379" s="1002">
        <f t="shared" si="223"/>
        <v>16.329940830827734</v>
      </c>
      <c r="AE379" s="1002">
        <f t="shared" si="223"/>
        <v>16.371343810613308</v>
      </c>
      <c r="AF379" s="1002">
        <f t="shared" si="223"/>
        <v>16.411871279410473</v>
      </c>
      <c r="AG379" s="1002">
        <f t="shared" si="223"/>
        <v>16.451504377002827</v>
      </c>
      <c r="AH379" s="1002">
        <f t="shared" si="223"/>
        <v>16.49040014030637</v>
      </c>
      <c r="AI379" s="1002">
        <f t="shared" si="223"/>
        <v>16.528653282668238</v>
      </c>
      <c r="AJ379" s="1002">
        <f t="shared" si="223"/>
        <v>16.56627701501122</v>
      </c>
      <c r="AK379" s="1002">
        <f t="shared" si="223"/>
        <v>16.603263178405744</v>
      </c>
      <c r="AL379" s="1002"/>
      <c r="AM379" s="1002"/>
      <c r="AN379" s="1002"/>
      <c r="AO379" s="1002"/>
      <c r="AP379" s="1002"/>
      <c r="AQ379" s="1002"/>
      <c r="AR379" s="1002"/>
      <c r="AS379" s="1002"/>
      <c r="AT379" s="1002"/>
      <c r="AU379" s="1002"/>
      <c r="AV379" s="1002"/>
      <c r="AW379" s="1002"/>
      <c r="AX379" s="1002"/>
      <c r="AY379" s="1002"/>
      <c r="AZ379" s="1002"/>
      <c r="BA379" s="1002"/>
      <c r="BB379" s="1002"/>
      <c r="BC379" s="1002"/>
      <c r="BD379" s="1002"/>
      <c r="BE379" s="1002"/>
      <c r="BF379" s="1002"/>
      <c r="BG379" s="1002"/>
      <c r="BH379" s="1002"/>
      <c r="BI379" s="1002"/>
      <c r="BJ379" s="1002"/>
      <c r="BK379" s="1002"/>
      <c r="BL379" s="1002"/>
      <c r="BM379" s="1002"/>
      <c r="BN379" s="1002"/>
      <c r="BO379" s="1002"/>
      <c r="BP379" s="1002"/>
      <c r="BQ379" s="1002"/>
      <c r="BR379" s="1002"/>
      <c r="BS379" s="1002"/>
      <c r="BT379" s="1002"/>
      <c r="BU379" s="1002"/>
      <c r="BV379" s="1002"/>
      <c r="BW379" s="1002"/>
      <c r="BX379" s="1002"/>
      <c r="BY379" s="1002"/>
      <c r="BZ379" s="1002"/>
      <c r="CA379" s="1002"/>
      <c r="CB379" s="1002"/>
      <c r="CC379" s="1002"/>
      <c r="CD379" s="1002"/>
      <c r="CE379" s="1002"/>
      <c r="CF379" s="1002"/>
      <c r="CG379" s="1002"/>
      <c r="CH379" s="1002"/>
      <c r="CI379" s="1003"/>
    </row>
    <row r="380" spans="2:87" x14ac:dyDescent="0.2">
      <c r="B380" s="1300"/>
      <c r="C380" s="1301" t="s">
        <v>243</v>
      </c>
      <c r="D380" s="1301"/>
      <c r="E380" s="1301" t="s">
        <v>236</v>
      </c>
      <c r="F380" s="1301">
        <v>2</v>
      </c>
      <c r="G380" s="1002">
        <f t="shared" ref="G380:AK380" si="224">G151</f>
        <v>0</v>
      </c>
      <c r="H380" s="1002">
        <f t="shared" si="224"/>
        <v>0</v>
      </c>
      <c r="I380" s="1002">
        <f t="shared" si="224"/>
        <v>2.7140564682276551</v>
      </c>
      <c r="J380" s="1002">
        <f t="shared" si="224"/>
        <v>3.0110663999999998</v>
      </c>
      <c r="K380" s="1002">
        <f t="shared" si="224"/>
        <v>2.8933151999999995</v>
      </c>
      <c r="L380" s="1002">
        <f t="shared" si="224"/>
        <v>2.7755640000000001</v>
      </c>
      <c r="M380" s="1002">
        <f t="shared" si="224"/>
        <v>2.7473904000000005</v>
      </c>
      <c r="N380" s="1002">
        <f t="shared" si="224"/>
        <v>2.7192167999999999</v>
      </c>
      <c r="O380" s="1002">
        <f t="shared" si="224"/>
        <v>2.6910431999999997</v>
      </c>
      <c r="P380" s="1002">
        <f t="shared" si="224"/>
        <v>2.6628695999999996</v>
      </c>
      <c r="Q380" s="1002">
        <f t="shared" si="224"/>
        <v>2.6346959999999999</v>
      </c>
      <c r="R380" s="1002">
        <f t="shared" si="224"/>
        <v>2.6065223999999994</v>
      </c>
      <c r="S380" s="1002">
        <f t="shared" si="224"/>
        <v>2.5783487999999988</v>
      </c>
      <c r="T380" s="1002">
        <f t="shared" si="224"/>
        <v>2.5501751999999991</v>
      </c>
      <c r="U380" s="1002">
        <f t="shared" si="224"/>
        <v>2.522001599999999</v>
      </c>
      <c r="V380" s="1002">
        <f t="shared" si="224"/>
        <v>2.4938279999999988</v>
      </c>
      <c r="W380" s="1002">
        <f t="shared" si="224"/>
        <v>2.4656543999999987</v>
      </c>
      <c r="X380" s="1002">
        <f t="shared" si="224"/>
        <v>2.4374807999999986</v>
      </c>
      <c r="Y380" s="1002">
        <f t="shared" si="224"/>
        <v>2.4093071999999984</v>
      </c>
      <c r="Z380" s="1002">
        <f t="shared" si="224"/>
        <v>2.3811335999999983</v>
      </c>
      <c r="AA380" s="1002">
        <f t="shared" si="224"/>
        <v>2.3529599999999982</v>
      </c>
      <c r="AB380" s="1002">
        <f t="shared" si="224"/>
        <v>2.324786399999998</v>
      </c>
      <c r="AC380" s="1002">
        <f t="shared" si="224"/>
        <v>2.2966127999999979</v>
      </c>
      <c r="AD380" s="1002">
        <f t="shared" si="224"/>
        <v>2.2684391999999978</v>
      </c>
      <c r="AE380" s="1002">
        <f t="shared" si="224"/>
        <v>2.2402655999999976</v>
      </c>
      <c r="AF380" s="1002">
        <f t="shared" si="224"/>
        <v>2.2120919999999975</v>
      </c>
      <c r="AG380" s="1002">
        <f t="shared" si="224"/>
        <v>2.1839183999999974</v>
      </c>
      <c r="AH380" s="1002">
        <f t="shared" si="224"/>
        <v>2.1557447999999972</v>
      </c>
      <c r="AI380" s="1002">
        <f t="shared" si="224"/>
        <v>2.1275711999999971</v>
      </c>
      <c r="AJ380" s="1002">
        <f t="shared" si="224"/>
        <v>2.099397599999997</v>
      </c>
      <c r="AK380" s="1002">
        <f t="shared" si="224"/>
        <v>2.071224</v>
      </c>
      <c r="AL380" s="1002"/>
      <c r="AM380" s="1002"/>
      <c r="AN380" s="1002"/>
      <c r="AO380" s="1002"/>
      <c r="AP380" s="1002"/>
      <c r="AQ380" s="1002"/>
      <c r="AR380" s="1002"/>
      <c r="AS380" s="1002"/>
      <c r="AT380" s="1002"/>
      <c r="AU380" s="1002"/>
      <c r="AV380" s="1002"/>
      <c r="AW380" s="1002"/>
      <c r="AX380" s="1002"/>
      <c r="AY380" s="1002"/>
      <c r="AZ380" s="1002"/>
      <c r="BA380" s="1002"/>
      <c r="BB380" s="1002"/>
      <c r="BC380" s="1002"/>
      <c r="BD380" s="1002"/>
      <c r="BE380" s="1002"/>
      <c r="BF380" s="1002"/>
      <c r="BG380" s="1002"/>
      <c r="BH380" s="1002"/>
      <c r="BI380" s="1002"/>
      <c r="BJ380" s="1002"/>
      <c r="BK380" s="1002"/>
      <c r="BL380" s="1002"/>
      <c r="BM380" s="1002"/>
      <c r="BN380" s="1002"/>
      <c r="BO380" s="1002"/>
      <c r="BP380" s="1002"/>
      <c r="BQ380" s="1002"/>
      <c r="BR380" s="1002"/>
      <c r="BS380" s="1002"/>
      <c r="BT380" s="1002"/>
      <c r="BU380" s="1002"/>
      <c r="BV380" s="1002"/>
      <c r="BW380" s="1002"/>
      <c r="BX380" s="1002"/>
      <c r="BY380" s="1002"/>
      <c r="BZ380" s="1002"/>
      <c r="CA380" s="1002"/>
      <c r="CB380" s="1002"/>
      <c r="CC380" s="1002"/>
      <c r="CD380" s="1002"/>
      <c r="CE380" s="1002"/>
      <c r="CF380" s="1002"/>
      <c r="CG380" s="1002"/>
      <c r="CH380" s="1002"/>
      <c r="CI380" s="1003"/>
    </row>
    <row r="381" spans="2:87" x14ac:dyDescent="0.2">
      <c r="B381" s="1300"/>
      <c r="C381" s="1301" t="s">
        <v>792</v>
      </c>
      <c r="D381" s="1301"/>
      <c r="E381" s="1301" t="s">
        <v>236</v>
      </c>
      <c r="F381" s="1301">
        <v>2</v>
      </c>
      <c r="G381" s="1002">
        <f t="shared" ref="G381:AK381" si="225">G175-SUM(G377:G380)</f>
        <v>0</v>
      </c>
      <c r="H381" s="1002">
        <f t="shared" si="225"/>
        <v>0</v>
      </c>
      <c r="I381" s="1002">
        <f t="shared" si="225"/>
        <v>1.8115870309918378</v>
      </c>
      <c r="J381" s="1002">
        <f t="shared" si="225"/>
        <v>1.803237358100823</v>
      </c>
      <c r="K381" s="1002">
        <f t="shared" si="225"/>
        <v>1.8026674142220429</v>
      </c>
      <c r="L381" s="1002">
        <f t="shared" si="225"/>
        <v>1.8025335791050949</v>
      </c>
      <c r="M381" s="1002">
        <f t="shared" si="225"/>
        <v>1.8035672538441574</v>
      </c>
      <c r="N381" s="1002">
        <f t="shared" si="225"/>
        <v>1.8033168071078549</v>
      </c>
      <c r="O381" s="1002">
        <f t="shared" si="225"/>
        <v>1.8029890106497746</v>
      </c>
      <c r="P381" s="1002">
        <f t="shared" si="225"/>
        <v>1.8027315661319108</v>
      </c>
      <c r="Q381" s="1002">
        <f t="shared" si="225"/>
        <v>1.8024915882045462</v>
      </c>
      <c r="R381" s="1002">
        <f t="shared" si="225"/>
        <v>1.8022075156587007</v>
      </c>
      <c r="S381" s="1002">
        <f t="shared" si="225"/>
        <v>1.8018779244496841</v>
      </c>
      <c r="T381" s="1002">
        <f t="shared" si="225"/>
        <v>1.8015378194869101</v>
      </c>
      <c r="U381" s="1002">
        <f t="shared" si="225"/>
        <v>1.801200134169946</v>
      </c>
      <c r="V381" s="1002">
        <f t="shared" si="225"/>
        <v>1.8008624261003732</v>
      </c>
      <c r="W381" s="1002">
        <f t="shared" si="225"/>
        <v>1.800526935707019</v>
      </c>
      <c r="X381" s="1002">
        <f t="shared" si="225"/>
        <v>1.8001945170218434</v>
      </c>
      <c r="Y381" s="1002">
        <f t="shared" si="225"/>
        <v>1.7998648200872083</v>
      </c>
      <c r="Z381" s="1002">
        <f t="shared" si="225"/>
        <v>1.7995380958808909</v>
      </c>
      <c r="AA381" s="1002">
        <f t="shared" si="225"/>
        <v>1.7992171949442479</v>
      </c>
      <c r="AB381" s="1002">
        <f t="shared" si="225"/>
        <v>1.7988994479192897</v>
      </c>
      <c r="AC381" s="1002">
        <f t="shared" si="225"/>
        <v>1.7985850143956341</v>
      </c>
      <c r="AD381" s="1002">
        <f t="shared" si="225"/>
        <v>1.7982733437020855</v>
      </c>
      <c r="AE381" s="1002">
        <f t="shared" si="225"/>
        <v>1.7979643782632166</v>
      </c>
      <c r="AF381" s="1002">
        <f t="shared" si="225"/>
        <v>1.7976582740552871</v>
      </c>
      <c r="AG381" s="1002">
        <f t="shared" si="225"/>
        <v>1.7973550402710075</v>
      </c>
      <c r="AH381" s="1002">
        <f t="shared" si="225"/>
        <v>1.797054614335444</v>
      </c>
      <c r="AI381" s="1002">
        <f t="shared" si="225"/>
        <v>1.7967570498591385</v>
      </c>
      <c r="AJ381" s="1002">
        <f t="shared" si="225"/>
        <v>1.7964626545509788</v>
      </c>
      <c r="AK381" s="1002">
        <f t="shared" si="225"/>
        <v>1.7961713681872808</v>
      </c>
      <c r="AL381" s="1002"/>
      <c r="AM381" s="1002"/>
      <c r="AN381" s="1002"/>
      <c r="AO381" s="1002"/>
      <c r="AP381" s="1002"/>
      <c r="AQ381" s="1002"/>
      <c r="AR381" s="1002"/>
      <c r="AS381" s="1002"/>
      <c r="AT381" s="1002"/>
      <c r="AU381" s="1002"/>
      <c r="AV381" s="1002"/>
      <c r="AW381" s="1002"/>
      <c r="AX381" s="1002"/>
      <c r="AY381" s="1002"/>
      <c r="AZ381" s="1002"/>
      <c r="BA381" s="1002"/>
      <c r="BB381" s="1002"/>
      <c r="BC381" s="1002"/>
      <c r="BD381" s="1002"/>
      <c r="BE381" s="1002"/>
      <c r="BF381" s="1002"/>
      <c r="BG381" s="1002"/>
      <c r="BH381" s="1002"/>
      <c r="BI381" s="1002"/>
      <c r="BJ381" s="1002"/>
      <c r="BK381" s="1002"/>
      <c r="BL381" s="1002"/>
      <c r="BM381" s="1002"/>
      <c r="BN381" s="1002"/>
      <c r="BO381" s="1002"/>
      <c r="BP381" s="1002"/>
      <c r="BQ381" s="1002"/>
      <c r="BR381" s="1002"/>
      <c r="BS381" s="1002"/>
      <c r="BT381" s="1002"/>
      <c r="BU381" s="1002"/>
      <c r="BV381" s="1002"/>
      <c r="BW381" s="1002"/>
      <c r="BX381" s="1002"/>
      <c r="BY381" s="1002"/>
      <c r="BZ381" s="1002"/>
      <c r="CA381" s="1002"/>
      <c r="CB381" s="1002"/>
      <c r="CC381" s="1002"/>
      <c r="CD381" s="1002"/>
      <c r="CE381" s="1002"/>
      <c r="CF381" s="1002"/>
      <c r="CG381" s="1002"/>
      <c r="CH381" s="1002"/>
      <c r="CI381" s="1003"/>
    </row>
    <row r="382" spans="2:87" x14ac:dyDescent="0.2">
      <c r="B382" s="1300"/>
      <c r="C382" s="1301" t="s">
        <v>793</v>
      </c>
      <c r="D382" s="1301"/>
      <c r="E382" s="1301" t="s">
        <v>236</v>
      </c>
      <c r="F382" s="1301">
        <v>2</v>
      </c>
      <c r="G382" s="1002">
        <f t="shared" ref="G382:AK382" si="226">G132</f>
        <v>0</v>
      </c>
      <c r="H382" s="1002">
        <f t="shared" si="226"/>
        <v>0</v>
      </c>
      <c r="I382" s="1002">
        <f t="shared" si="226"/>
        <v>59.910479416597489</v>
      </c>
      <c r="J382" s="1002">
        <f t="shared" si="226"/>
        <v>59.784463325513251</v>
      </c>
      <c r="K382" s="1002">
        <f t="shared" si="226"/>
        <v>59.769186726943765</v>
      </c>
      <c r="L382" s="1002">
        <f t="shared" si="226"/>
        <v>59.721346538898466</v>
      </c>
      <c r="M382" s="1002">
        <f t="shared" si="226"/>
        <v>59.617617431382065</v>
      </c>
      <c r="N382" s="1002">
        <f t="shared" si="226"/>
        <v>58.961469104569453</v>
      </c>
      <c r="O382" s="1002">
        <f t="shared" si="226"/>
        <v>58.806990129163907</v>
      </c>
      <c r="P382" s="1002">
        <f t="shared" si="226"/>
        <v>56.687931597862871</v>
      </c>
      <c r="Q382" s="1002">
        <f t="shared" si="226"/>
        <v>58.873637568374832</v>
      </c>
      <c r="R382" s="1002">
        <f t="shared" si="226"/>
        <v>54.815483669173368</v>
      </c>
      <c r="S382" s="1002">
        <f t="shared" si="226"/>
        <v>55.113767296611641</v>
      </c>
      <c r="T382" s="1002">
        <f t="shared" si="226"/>
        <v>58.293027950544854</v>
      </c>
      <c r="U382" s="1002">
        <f t="shared" si="226"/>
        <v>58.403130729699072</v>
      </c>
      <c r="V382" s="1002">
        <f t="shared" si="226"/>
        <v>58.553117483788668</v>
      </c>
      <c r="W382" s="1002">
        <f t="shared" si="226"/>
        <v>58.643502878253457</v>
      </c>
      <c r="X382" s="1002">
        <f t="shared" si="226"/>
        <v>58.706287491074292</v>
      </c>
      <c r="Y382" s="1002">
        <f t="shared" si="226"/>
        <v>58.775588543078442</v>
      </c>
      <c r="Z382" s="1002">
        <f t="shared" si="226"/>
        <v>58.807207864234073</v>
      </c>
      <c r="AA382" s="1002">
        <f t="shared" si="226"/>
        <v>58.847436313223263</v>
      </c>
      <c r="AB382" s="1002">
        <f t="shared" si="226"/>
        <v>62.733603875993353</v>
      </c>
      <c r="AC382" s="1002">
        <f t="shared" si="226"/>
        <v>62.781193825261113</v>
      </c>
      <c r="AD382" s="1002">
        <f t="shared" si="226"/>
        <v>62.838831651931073</v>
      </c>
      <c r="AE382" s="1002">
        <f t="shared" si="226"/>
        <v>62.868407622966394</v>
      </c>
      <c r="AF382" s="1002">
        <f t="shared" si="226"/>
        <v>62.875523008684553</v>
      </c>
      <c r="AG382" s="1002">
        <f t="shared" si="226"/>
        <v>46.104037490722362</v>
      </c>
      <c r="AH382" s="1002">
        <f t="shared" si="226"/>
        <v>46.102324044515946</v>
      </c>
      <c r="AI382" s="1002">
        <f t="shared" si="226"/>
        <v>46.102597828193893</v>
      </c>
      <c r="AJ382" s="1002">
        <f t="shared" si="226"/>
        <v>46.082327632301897</v>
      </c>
      <c r="AK382" s="1002">
        <f t="shared" si="226"/>
        <v>46.076526834759115</v>
      </c>
      <c r="AL382" s="1002"/>
      <c r="AM382" s="1002"/>
      <c r="AN382" s="1002"/>
      <c r="AO382" s="1002"/>
      <c r="AP382" s="1002"/>
      <c r="AQ382" s="1002"/>
      <c r="AR382" s="1002"/>
      <c r="AS382" s="1002"/>
      <c r="AT382" s="1002"/>
      <c r="AU382" s="1002"/>
      <c r="AV382" s="1002"/>
      <c r="AW382" s="1002"/>
      <c r="AX382" s="1002"/>
      <c r="AY382" s="1002"/>
      <c r="AZ382" s="1002"/>
      <c r="BA382" s="1002"/>
      <c r="BB382" s="1002"/>
      <c r="BC382" s="1002"/>
      <c r="BD382" s="1002"/>
      <c r="BE382" s="1002"/>
      <c r="BF382" s="1002"/>
      <c r="BG382" s="1002"/>
      <c r="BH382" s="1002"/>
      <c r="BI382" s="1002"/>
      <c r="BJ382" s="1002"/>
      <c r="BK382" s="1002"/>
      <c r="BL382" s="1002"/>
      <c r="BM382" s="1002"/>
      <c r="BN382" s="1002"/>
      <c r="BO382" s="1002"/>
      <c r="BP382" s="1002"/>
      <c r="BQ382" s="1002"/>
      <c r="BR382" s="1002"/>
      <c r="BS382" s="1002"/>
      <c r="BT382" s="1002"/>
      <c r="BU382" s="1002"/>
      <c r="BV382" s="1002"/>
      <c r="BW382" s="1002"/>
      <c r="BX382" s="1002"/>
      <c r="BY382" s="1002"/>
      <c r="BZ382" s="1002"/>
      <c r="CA382" s="1002"/>
      <c r="CB382" s="1002"/>
      <c r="CC382" s="1002"/>
      <c r="CD382" s="1002"/>
      <c r="CE382" s="1002"/>
      <c r="CF382" s="1002"/>
      <c r="CG382" s="1002"/>
      <c r="CH382" s="1002"/>
      <c r="CI382" s="1003"/>
    </row>
    <row r="383" spans="2:87" x14ac:dyDescent="0.2">
      <c r="B383" s="1300"/>
      <c r="C383" s="1301" t="s">
        <v>794</v>
      </c>
      <c r="D383" s="1301"/>
      <c r="E383" s="1301" t="s">
        <v>236</v>
      </c>
      <c r="F383" s="1301">
        <v>2</v>
      </c>
      <c r="G383" s="1002">
        <f t="shared" ref="G383:AK383" si="227">SUM(G377:G381)+G178</f>
        <v>0</v>
      </c>
      <c r="H383" s="1002">
        <f t="shared" si="227"/>
        <v>0</v>
      </c>
      <c r="I383" s="1002">
        <f t="shared" si="227"/>
        <v>48.46255083475247</v>
      </c>
      <c r="J383" s="1002">
        <f t="shared" si="227"/>
        <v>49.153822010129922</v>
      </c>
      <c r="K383" s="1002">
        <f t="shared" si="227"/>
        <v>50.153571882270924</v>
      </c>
      <c r="L383" s="1002">
        <f t="shared" si="227"/>
        <v>50.396720685598922</v>
      </c>
      <c r="M383" s="1002">
        <f t="shared" si="227"/>
        <v>50.311404258474397</v>
      </c>
      <c r="N383" s="1002">
        <f t="shared" si="227"/>
        <v>49.569469707408793</v>
      </c>
      <c r="O383" s="1002">
        <f t="shared" si="227"/>
        <v>50.353739208327298</v>
      </c>
      <c r="P383" s="1002">
        <f t="shared" si="227"/>
        <v>49.33752445960824</v>
      </c>
      <c r="Q383" s="1002">
        <f t="shared" si="227"/>
        <v>48.673372386622951</v>
      </c>
      <c r="R383" s="1002">
        <f t="shared" si="227"/>
        <v>48.207598464713044</v>
      </c>
      <c r="S383" s="1002">
        <f t="shared" si="227"/>
        <v>47.873061141903754</v>
      </c>
      <c r="T383" s="1002">
        <f t="shared" si="227"/>
        <v>47.442228240412724</v>
      </c>
      <c r="U383" s="1002">
        <f t="shared" si="227"/>
        <v>46.95893960922438</v>
      </c>
      <c r="V383" s="1002">
        <f t="shared" si="227"/>
        <v>46.60112461301398</v>
      </c>
      <c r="W383" s="1002">
        <f t="shared" si="227"/>
        <v>46.310156181354486</v>
      </c>
      <c r="X383" s="1002">
        <f t="shared" si="227"/>
        <v>46.019000548879781</v>
      </c>
      <c r="Y383" s="1002">
        <f t="shared" si="227"/>
        <v>45.737053945970722</v>
      </c>
      <c r="Z383" s="1002">
        <f t="shared" si="227"/>
        <v>45.588076848040785</v>
      </c>
      <c r="AA383" s="1002">
        <f t="shared" si="227"/>
        <v>45.454553468077201</v>
      </c>
      <c r="AB383" s="1002">
        <f t="shared" si="227"/>
        <v>45.289568020162747</v>
      </c>
      <c r="AC383" s="1002">
        <f t="shared" si="227"/>
        <v>45.161823030370094</v>
      </c>
      <c r="AD383" s="1002">
        <f t="shared" si="227"/>
        <v>45.043892644743977</v>
      </c>
      <c r="AE383" s="1002">
        <f t="shared" si="227"/>
        <v>45.027290033133127</v>
      </c>
      <c r="AF383" s="1002">
        <f t="shared" si="227"/>
        <v>45.003327728691261</v>
      </c>
      <c r="AG383" s="1002">
        <f t="shared" si="227"/>
        <v>45.036401250454361</v>
      </c>
      <c r="AH383" s="1002">
        <f t="shared" si="227"/>
        <v>45.020882776234671</v>
      </c>
      <c r="AI383" s="1002">
        <f t="shared" si="227"/>
        <v>44.977671120704997</v>
      </c>
      <c r="AJ383" s="1002">
        <f t="shared" si="227"/>
        <v>44.980654520024871</v>
      </c>
      <c r="AK383" s="1002">
        <f t="shared" si="227"/>
        <v>44.9653846359288</v>
      </c>
      <c r="AL383" s="1002"/>
      <c r="AM383" s="1002"/>
      <c r="AN383" s="1002"/>
      <c r="AO383" s="1002"/>
      <c r="AP383" s="1002"/>
      <c r="AQ383" s="1002"/>
      <c r="AR383" s="1002"/>
      <c r="AS383" s="1002"/>
      <c r="AT383" s="1002"/>
      <c r="AU383" s="1002"/>
      <c r="AV383" s="1002"/>
      <c r="AW383" s="1002"/>
      <c r="AX383" s="1002"/>
      <c r="AY383" s="1002"/>
      <c r="AZ383" s="1002"/>
      <c r="BA383" s="1002"/>
      <c r="BB383" s="1002"/>
      <c r="BC383" s="1002"/>
      <c r="BD383" s="1002"/>
      <c r="BE383" s="1002"/>
      <c r="BF383" s="1002"/>
      <c r="BG383" s="1002"/>
      <c r="BH383" s="1002"/>
      <c r="BI383" s="1002"/>
      <c r="BJ383" s="1002"/>
      <c r="BK383" s="1002"/>
      <c r="BL383" s="1002"/>
      <c r="BM383" s="1002"/>
      <c r="BN383" s="1002"/>
      <c r="BO383" s="1002"/>
      <c r="BP383" s="1002"/>
      <c r="BQ383" s="1002"/>
      <c r="BR383" s="1002"/>
      <c r="BS383" s="1002"/>
      <c r="BT383" s="1002"/>
      <c r="BU383" s="1002"/>
      <c r="BV383" s="1002"/>
      <c r="BW383" s="1002"/>
      <c r="BX383" s="1002"/>
      <c r="BY383" s="1002"/>
      <c r="BZ383" s="1002"/>
      <c r="CA383" s="1002"/>
      <c r="CB383" s="1002"/>
      <c r="CC383" s="1002"/>
      <c r="CD383" s="1002"/>
      <c r="CE383" s="1002"/>
      <c r="CF383" s="1002"/>
      <c r="CG383" s="1002"/>
      <c r="CH383" s="1002"/>
      <c r="CI383" s="1003"/>
    </row>
    <row r="384" spans="2:87" x14ac:dyDescent="0.2">
      <c r="B384" s="1300"/>
      <c r="C384" s="1301"/>
      <c r="D384" s="1301"/>
      <c r="E384" s="1301"/>
      <c r="F384" s="1301"/>
      <c r="G384" s="1301"/>
      <c r="H384" s="1301"/>
      <c r="I384" s="1301"/>
      <c r="J384" s="1301"/>
      <c r="K384" s="1301"/>
      <c r="L384" s="1301"/>
      <c r="M384" s="1301"/>
      <c r="N384" s="1301"/>
      <c r="O384" s="1301"/>
      <c r="P384" s="1301"/>
      <c r="Q384" s="1301"/>
      <c r="R384" s="1301"/>
      <c r="S384" s="1301"/>
      <c r="T384" s="1301"/>
      <c r="U384" s="1301"/>
      <c r="V384" s="1301"/>
      <c r="W384" s="1301"/>
      <c r="X384" s="1301"/>
      <c r="Y384" s="1301"/>
      <c r="Z384" s="1301"/>
      <c r="AA384" s="1301"/>
      <c r="AB384" s="1301"/>
      <c r="AC384" s="1301"/>
      <c r="AD384" s="1301"/>
      <c r="AE384" s="1301"/>
      <c r="AF384" s="1301"/>
      <c r="AG384" s="1301"/>
      <c r="AH384" s="1301"/>
      <c r="AI384" s="1301"/>
      <c r="AJ384" s="1301"/>
      <c r="AK384" s="1301"/>
      <c r="AL384" s="1301"/>
      <c r="AM384" s="1301"/>
      <c r="AN384" s="1301"/>
      <c r="AO384" s="1301"/>
      <c r="AP384" s="1301"/>
      <c r="AQ384" s="1301"/>
      <c r="AR384" s="1301"/>
      <c r="AS384" s="1301"/>
      <c r="AT384" s="1301"/>
      <c r="AU384" s="1301"/>
      <c r="AV384" s="1301"/>
      <c r="AW384" s="1301"/>
      <c r="AX384" s="1301"/>
      <c r="AY384" s="1301"/>
      <c r="AZ384" s="1301"/>
      <c r="BA384" s="1301"/>
      <c r="BB384" s="1301"/>
      <c r="BC384" s="1301"/>
      <c r="BD384" s="1301"/>
      <c r="BE384" s="1301"/>
      <c r="BF384" s="1301"/>
      <c r="BG384" s="1301"/>
      <c r="BH384" s="1301"/>
      <c r="BI384" s="1301"/>
      <c r="BJ384" s="1301"/>
      <c r="BK384" s="1301"/>
      <c r="BL384" s="1301"/>
      <c r="BM384" s="1301"/>
      <c r="BN384" s="1301"/>
      <c r="BO384" s="1301"/>
      <c r="BP384" s="1301"/>
      <c r="BQ384" s="1301"/>
      <c r="BR384" s="1301"/>
      <c r="BS384" s="1301"/>
      <c r="BT384" s="1301"/>
      <c r="BU384" s="1301"/>
      <c r="BV384" s="1301"/>
      <c r="BW384" s="1301"/>
      <c r="BX384" s="1301"/>
      <c r="BY384" s="1301"/>
      <c r="BZ384" s="1301"/>
      <c r="CA384" s="1301"/>
      <c r="CB384" s="1301"/>
      <c r="CC384" s="1301"/>
      <c r="CD384" s="1301"/>
      <c r="CE384" s="1301"/>
      <c r="CF384" s="1301"/>
      <c r="CG384" s="1301"/>
      <c r="CH384" s="1301"/>
      <c r="CI384" s="1302"/>
    </row>
    <row r="385" spans="2:87" ht="28.5" x14ac:dyDescent="0.2">
      <c r="B385" s="1300" t="s">
        <v>796</v>
      </c>
      <c r="C385" s="1301"/>
      <c r="D385" s="1301"/>
      <c r="E385" s="1301"/>
      <c r="F385" s="1301"/>
      <c r="G385" s="1000" t="s">
        <v>208</v>
      </c>
      <c r="H385" s="1000" t="s">
        <v>209</v>
      </c>
      <c r="I385" s="1000" t="s">
        <v>210</v>
      </c>
      <c r="J385" s="1000" t="s">
        <v>211</v>
      </c>
      <c r="K385" s="1000" t="s">
        <v>212</v>
      </c>
      <c r="L385" s="1000" t="s">
        <v>213</v>
      </c>
      <c r="M385" s="1000" t="s">
        <v>214</v>
      </c>
      <c r="N385" s="1000" t="s">
        <v>215</v>
      </c>
      <c r="O385" s="1000" t="s">
        <v>216</v>
      </c>
      <c r="P385" s="1000" t="s">
        <v>217</v>
      </c>
      <c r="Q385" s="1000" t="s">
        <v>218</v>
      </c>
      <c r="R385" s="1000" t="s">
        <v>247</v>
      </c>
      <c r="S385" s="1000" t="s">
        <v>248</v>
      </c>
      <c r="T385" s="1000" t="s">
        <v>249</v>
      </c>
      <c r="U385" s="1000" t="s">
        <v>250</v>
      </c>
      <c r="V385" s="1000" t="s">
        <v>219</v>
      </c>
      <c r="W385" s="1000" t="s">
        <v>251</v>
      </c>
      <c r="X385" s="1000" t="s">
        <v>252</v>
      </c>
      <c r="Y385" s="1000" t="s">
        <v>253</v>
      </c>
      <c r="Z385" s="1000" t="s">
        <v>254</v>
      </c>
      <c r="AA385" s="1000" t="s">
        <v>220</v>
      </c>
      <c r="AB385" s="1000" t="s">
        <v>255</v>
      </c>
      <c r="AC385" s="1000" t="s">
        <v>256</v>
      </c>
      <c r="AD385" s="1000" t="s">
        <v>257</v>
      </c>
      <c r="AE385" s="1000" t="s">
        <v>258</v>
      </c>
      <c r="AF385" s="1000" t="s">
        <v>221</v>
      </c>
      <c r="AG385" s="1000" t="s">
        <v>259</v>
      </c>
      <c r="AH385" s="1000" t="s">
        <v>260</v>
      </c>
      <c r="AI385" s="1000" t="s">
        <v>261</v>
      </c>
      <c r="AJ385" s="1000" t="s">
        <v>262</v>
      </c>
      <c r="AK385" s="1000" t="s">
        <v>222</v>
      </c>
      <c r="AL385" s="1000"/>
      <c r="AM385" s="1000"/>
      <c r="AN385" s="1000"/>
      <c r="AO385" s="1000"/>
      <c r="AP385" s="1000"/>
      <c r="AQ385" s="1000"/>
      <c r="AR385" s="1000"/>
      <c r="AS385" s="1000"/>
      <c r="AT385" s="1000"/>
      <c r="AU385" s="1000"/>
      <c r="AV385" s="1000"/>
      <c r="AW385" s="1000"/>
      <c r="AX385" s="1000"/>
      <c r="AY385" s="1000"/>
      <c r="AZ385" s="1000"/>
      <c r="BA385" s="1000"/>
      <c r="BB385" s="1000"/>
      <c r="BC385" s="1000"/>
      <c r="BD385" s="1000"/>
      <c r="BE385" s="1000"/>
      <c r="BF385" s="1000"/>
      <c r="BG385" s="1000"/>
      <c r="BH385" s="1000"/>
      <c r="BI385" s="1000"/>
      <c r="BJ385" s="1000"/>
      <c r="BK385" s="1000"/>
      <c r="BL385" s="1000"/>
      <c r="BM385" s="1000"/>
      <c r="BN385" s="1000"/>
      <c r="BO385" s="1000"/>
      <c r="BP385" s="1000"/>
      <c r="BQ385" s="1000"/>
      <c r="BR385" s="1000"/>
      <c r="BS385" s="1000"/>
      <c r="BT385" s="1000"/>
      <c r="BU385" s="1000"/>
      <c r="BV385" s="1000"/>
      <c r="BW385" s="1000"/>
      <c r="BX385" s="1000"/>
      <c r="BY385" s="1000"/>
      <c r="BZ385" s="1000"/>
      <c r="CA385" s="1000"/>
      <c r="CB385" s="1000"/>
      <c r="CC385" s="1000"/>
      <c r="CD385" s="1000"/>
      <c r="CE385" s="1000"/>
      <c r="CF385" s="1000"/>
      <c r="CG385" s="1000"/>
      <c r="CH385" s="1000"/>
      <c r="CI385" s="1001"/>
    </row>
    <row r="386" spans="2:87" x14ac:dyDescent="0.2">
      <c r="B386" s="1300"/>
      <c r="C386" s="1301" t="s">
        <v>789</v>
      </c>
      <c r="D386" s="1301"/>
      <c r="E386" s="1301" t="s">
        <v>236</v>
      </c>
      <c r="F386" s="1301">
        <v>2</v>
      </c>
      <c r="G386" s="1002">
        <f t="shared" ref="G386:AK387" si="228">G227-G238</f>
        <v>0</v>
      </c>
      <c r="H386" s="1002">
        <f t="shared" si="228"/>
        <v>0</v>
      </c>
      <c r="I386" s="1002">
        <f t="shared" si="228"/>
        <v>17.516097802986845</v>
      </c>
      <c r="J386" s="1002">
        <f t="shared" si="228"/>
        <v>17.264025797381894</v>
      </c>
      <c r="K386" s="1002">
        <f t="shared" si="228"/>
        <v>17.254925402260845</v>
      </c>
      <c r="L386" s="1002">
        <f t="shared" si="228"/>
        <v>17.523662073925081</v>
      </c>
      <c r="M386" s="1002">
        <f t="shared" si="228"/>
        <v>18.261496903224383</v>
      </c>
      <c r="N386" s="1002">
        <f t="shared" si="228"/>
        <v>18.975899859168791</v>
      </c>
      <c r="O386" s="1002">
        <f t="shared" si="228"/>
        <v>19.289108640622125</v>
      </c>
      <c r="P386" s="1002">
        <f t="shared" si="228"/>
        <v>19.585824719053878</v>
      </c>
      <c r="Q386" s="1002">
        <f t="shared" si="228"/>
        <v>19.853022000353047</v>
      </c>
      <c r="R386" s="1002">
        <f t="shared" si="228"/>
        <v>20.058742426322294</v>
      </c>
      <c r="S386" s="1002">
        <f t="shared" si="228"/>
        <v>20.20978157953197</v>
      </c>
      <c r="T386" s="1002">
        <f t="shared" si="228"/>
        <v>20.361046485752496</v>
      </c>
      <c r="U386" s="1002">
        <f t="shared" si="228"/>
        <v>20.5113107609968</v>
      </c>
      <c r="V386" s="1002">
        <f t="shared" si="228"/>
        <v>20.674671634735724</v>
      </c>
      <c r="W386" s="1002">
        <f t="shared" si="228"/>
        <v>20.827894192520017</v>
      </c>
      <c r="X386" s="1002">
        <f t="shared" si="228"/>
        <v>20.98525948727799</v>
      </c>
      <c r="Y386" s="1002">
        <f t="shared" si="228"/>
        <v>21.142150849669459</v>
      </c>
      <c r="Z386" s="1002">
        <f t="shared" si="228"/>
        <v>21.309027724055341</v>
      </c>
      <c r="AA386" s="1002">
        <f t="shared" si="228"/>
        <v>21.483823839378896</v>
      </c>
      <c r="AB386" s="1002">
        <f t="shared" si="228"/>
        <v>21.626915737999457</v>
      </c>
      <c r="AC386" s="1002">
        <f t="shared" si="228"/>
        <v>21.797786540128072</v>
      </c>
      <c r="AD386" s="1002">
        <f t="shared" si="228"/>
        <v>21.97319651722805</v>
      </c>
      <c r="AE386" s="1002">
        <f t="shared" si="228"/>
        <v>22.146777903546216</v>
      </c>
      <c r="AF386" s="1002">
        <f t="shared" si="228"/>
        <v>22.318696119559192</v>
      </c>
      <c r="AG386" s="1002">
        <f t="shared" si="228"/>
        <v>22.484115488505513</v>
      </c>
      <c r="AH386" s="1002">
        <f t="shared" si="228"/>
        <v>22.651102942942561</v>
      </c>
      <c r="AI386" s="1002">
        <f t="shared" si="228"/>
        <v>22.815450849286272</v>
      </c>
      <c r="AJ386" s="1002">
        <f t="shared" si="228"/>
        <v>22.980174509484637</v>
      </c>
      <c r="AK386" s="1002">
        <f t="shared" si="228"/>
        <v>23.140171523107817</v>
      </c>
      <c r="AL386" s="1002"/>
      <c r="AM386" s="1002"/>
      <c r="AN386" s="1002"/>
      <c r="AO386" s="1002"/>
      <c r="AP386" s="1002"/>
      <c r="AQ386" s="1002"/>
      <c r="AR386" s="1002"/>
      <c r="AS386" s="1002"/>
      <c r="AT386" s="1002"/>
      <c r="AU386" s="1002"/>
      <c r="AV386" s="1002"/>
      <c r="AW386" s="1002"/>
      <c r="AX386" s="1002"/>
      <c r="AY386" s="1002"/>
      <c r="AZ386" s="1002"/>
      <c r="BA386" s="1002"/>
      <c r="BB386" s="1002"/>
      <c r="BC386" s="1002"/>
      <c r="BD386" s="1002"/>
      <c r="BE386" s="1002"/>
      <c r="BF386" s="1002"/>
      <c r="BG386" s="1002"/>
      <c r="BH386" s="1002"/>
      <c r="BI386" s="1002"/>
      <c r="BJ386" s="1002"/>
      <c r="BK386" s="1002"/>
      <c r="BL386" s="1002"/>
      <c r="BM386" s="1002"/>
      <c r="BN386" s="1002"/>
      <c r="BO386" s="1002"/>
      <c r="BP386" s="1002"/>
      <c r="BQ386" s="1002"/>
      <c r="BR386" s="1002"/>
      <c r="BS386" s="1002"/>
      <c r="BT386" s="1002"/>
      <c r="BU386" s="1002"/>
      <c r="BV386" s="1002"/>
      <c r="BW386" s="1002"/>
      <c r="BX386" s="1002"/>
      <c r="BY386" s="1002"/>
      <c r="BZ386" s="1002"/>
      <c r="CA386" s="1002"/>
      <c r="CB386" s="1002"/>
      <c r="CC386" s="1002"/>
      <c r="CD386" s="1002"/>
      <c r="CE386" s="1002"/>
      <c r="CF386" s="1002"/>
      <c r="CG386" s="1002"/>
      <c r="CH386" s="1002"/>
      <c r="CI386" s="1003"/>
    </row>
    <row r="387" spans="2:87" x14ac:dyDescent="0.2">
      <c r="B387" s="1300"/>
      <c r="C387" s="1301" t="s">
        <v>790</v>
      </c>
      <c r="D387" s="1301"/>
      <c r="E387" s="1301" t="s">
        <v>236</v>
      </c>
      <c r="F387" s="1301">
        <v>2</v>
      </c>
      <c r="G387" s="1002">
        <f t="shared" si="228"/>
        <v>0</v>
      </c>
      <c r="H387" s="1002">
        <f t="shared" si="228"/>
        <v>0</v>
      </c>
      <c r="I387" s="1002">
        <f t="shared" si="228"/>
        <v>18.503885341554472</v>
      </c>
      <c r="J387" s="1002">
        <f t="shared" si="228"/>
        <v>17.497315912193955</v>
      </c>
      <c r="K387" s="1002">
        <f t="shared" si="228"/>
        <v>17.349858834223248</v>
      </c>
      <c r="L387" s="1002">
        <f t="shared" si="228"/>
        <v>16.593201213236444</v>
      </c>
      <c r="M387" s="1002">
        <f t="shared" si="228"/>
        <v>15.309933642106794</v>
      </c>
      <c r="N387" s="1002">
        <f t="shared" si="228"/>
        <v>14.313812555747361</v>
      </c>
      <c r="O387" s="1002">
        <f t="shared" si="228"/>
        <v>13.930073582397007</v>
      </c>
      <c r="P387" s="1002">
        <f t="shared" si="228"/>
        <v>13.548890446231105</v>
      </c>
      <c r="Q387" s="1002">
        <f t="shared" si="228"/>
        <v>13.169087870494591</v>
      </c>
      <c r="R387" s="1002">
        <f t="shared" si="228"/>
        <v>12.910020385724806</v>
      </c>
      <c r="S387" s="1002">
        <f t="shared" si="228"/>
        <v>12.775142563889389</v>
      </c>
      <c r="T387" s="1002">
        <f t="shared" si="228"/>
        <v>12.642770247917195</v>
      </c>
      <c r="U387" s="1002">
        <f t="shared" si="228"/>
        <v>12.511636932657247</v>
      </c>
      <c r="V387" s="1002">
        <f t="shared" si="228"/>
        <v>12.382674044333706</v>
      </c>
      <c r="W387" s="1002">
        <f t="shared" si="228"/>
        <v>12.264777239650313</v>
      </c>
      <c r="X387" s="1002">
        <f t="shared" si="228"/>
        <v>12.14897140444473</v>
      </c>
      <c r="Y387" s="1002">
        <f t="shared" si="228"/>
        <v>12.034002886564332</v>
      </c>
      <c r="Z387" s="1002">
        <f t="shared" si="228"/>
        <v>11.923285141020553</v>
      </c>
      <c r="AA387" s="1002">
        <f t="shared" si="228"/>
        <v>11.813394751866255</v>
      </c>
      <c r="AB387" s="1002">
        <f t="shared" si="228"/>
        <v>11.704048702225432</v>
      </c>
      <c r="AC387" s="1002">
        <f t="shared" si="228"/>
        <v>11.59693561558254</v>
      </c>
      <c r="AD387" s="1002">
        <f t="shared" si="228"/>
        <v>11.496945168564697</v>
      </c>
      <c r="AE387" s="1002">
        <f t="shared" si="228"/>
        <v>11.403219763996651</v>
      </c>
      <c r="AF387" s="1002">
        <f t="shared" si="228"/>
        <v>11.311498787655289</v>
      </c>
      <c r="AG387" s="1002">
        <f t="shared" si="228"/>
        <v>11.220592269607844</v>
      </c>
      <c r="AH387" s="1002">
        <f t="shared" si="228"/>
        <v>11.133818328188168</v>
      </c>
      <c r="AI387" s="1002">
        <f t="shared" si="228"/>
        <v>11.047720131858268</v>
      </c>
      <c r="AJ387" s="1002">
        <f t="shared" si="228"/>
        <v>10.963386939628231</v>
      </c>
      <c r="AK387" s="1002">
        <f t="shared" si="228"/>
        <v>10.877451818300836</v>
      </c>
      <c r="AL387" s="1002"/>
      <c r="AM387" s="1002"/>
      <c r="AN387" s="1002"/>
      <c r="AO387" s="1002"/>
      <c r="AP387" s="1002"/>
      <c r="AQ387" s="1002"/>
      <c r="AR387" s="1002"/>
      <c r="AS387" s="1002"/>
      <c r="AT387" s="1002"/>
      <c r="AU387" s="1002"/>
      <c r="AV387" s="1002"/>
      <c r="AW387" s="1002"/>
      <c r="AX387" s="1002"/>
      <c r="AY387" s="1002"/>
      <c r="AZ387" s="1002"/>
      <c r="BA387" s="1002"/>
      <c r="BB387" s="1002"/>
      <c r="BC387" s="1002"/>
      <c r="BD387" s="1002"/>
      <c r="BE387" s="1002"/>
      <c r="BF387" s="1002"/>
      <c r="BG387" s="1002"/>
      <c r="BH387" s="1002"/>
      <c r="BI387" s="1002"/>
      <c r="BJ387" s="1002"/>
      <c r="BK387" s="1002"/>
      <c r="BL387" s="1002"/>
      <c r="BM387" s="1002"/>
      <c r="BN387" s="1002"/>
      <c r="BO387" s="1002"/>
      <c r="BP387" s="1002"/>
      <c r="BQ387" s="1002"/>
      <c r="BR387" s="1002"/>
      <c r="BS387" s="1002"/>
      <c r="BT387" s="1002"/>
      <c r="BU387" s="1002"/>
      <c r="BV387" s="1002"/>
      <c r="BW387" s="1002"/>
      <c r="BX387" s="1002"/>
      <c r="BY387" s="1002"/>
      <c r="BZ387" s="1002"/>
      <c r="CA387" s="1002"/>
      <c r="CB387" s="1002"/>
      <c r="CC387" s="1002"/>
      <c r="CD387" s="1002"/>
      <c r="CE387" s="1002"/>
      <c r="CF387" s="1002"/>
      <c r="CG387" s="1002"/>
      <c r="CH387" s="1002"/>
      <c r="CI387" s="1003"/>
    </row>
    <row r="388" spans="2:87" x14ac:dyDescent="0.2">
      <c r="B388" s="1300"/>
      <c r="C388" s="1301" t="s">
        <v>791</v>
      </c>
      <c r="D388" s="1301"/>
      <c r="E388" s="1301" t="s">
        <v>236</v>
      </c>
      <c r="F388" s="1301">
        <v>2</v>
      </c>
      <c r="G388" s="1002">
        <f t="shared" ref="G388:AK388" si="229">G224+G226-G236-G237</f>
        <v>0</v>
      </c>
      <c r="H388" s="1002">
        <f t="shared" si="229"/>
        <v>0</v>
      </c>
      <c r="I388" s="1002">
        <f t="shared" si="229"/>
        <v>11.618189303441417</v>
      </c>
      <c r="J388" s="1002">
        <f t="shared" si="229"/>
        <v>14.667601302753956</v>
      </c>
      <c r="K388" s="1002">
        <f t="shared" si="229"/>
        <v>16.036005959679485</v>
      </c>
      <c r="L388" s="1002">
        <f t="shared" si="229"/>
        <v>16.762673659923163</v>
      </c>
      <c r="M388" s="1002">
        <f t="shared" si="229"/>
        <v>17.416631046262953</v>
      </c>
      <c r="N388" s="1002">
        <f t="shared" si="229"/>
        <v>17.62890836449678</v>
      </c>
      <c r="O388" s="1002">
        <f t="shared" si="229"/>
        <v>19.76237211345509</v>
      </c>
      <c r="P388" s="1002">
        <f t="shared" si="229"/>
        <v>19.811912356928921</v>
      </c>
      <c r="Q388" s="1002">
        <f t="shared" si="229"/>
        <v>19.857002569784949</v>
      </c>
      <c r="R388" s="1002">
        <f t="shared" si="229"/>
        <v>19.913000672860608</v>
      </c>
      <c r="S388" s="1002">
        <f t="shared" si="229"/>
        <v>19.964225292394435</v>
      </c>
      <c r="T388" s="1002">
        <f t="shared" si="229"/>
        <v>20.015172472506823</v>
      </c>
      <c r="U388" s="1002">
        <f t="shared" si="229"/>
        <v>20.065726040980913</v>
      </c>
      <c r="V388" s="1002">
        <f t="shared" si="229"/>
        <v>20.116143320130249</v>
      </c>
      <c r="W388" s="1002">
        <f t="shared" si="229"/>
        <v>20.163669623940603</v>
      </c>
      <c r="X388" s="1002">
        <f t="shared" si="229"/>
        <v>20.209519694387144</v>
      </c>
      <c r="Y388" s="1002">
        <f t="shared" si="229"/>
        <v>20.25465331702577</v>
      </c>
      <c r="Z388" s="1002">
        <f t="shared" si="229"/>
        <v>20.299099274999101</v>
      </c>
      <c r="AA388" s="1002">
        <f t="shared" si="229"/>
        <v>20.34319443162142</v>
      </c>
      <c r="AB388" s="1002">
        <f t="shared" si="229"/>
        <v>20.387149657073952</v>
      </c>
      <c r="AC388" s="1002">
        <f t="shared" si="229"/>
        <v>20.429970723370946</v>
      </c>
      <c r="AD388" s="1002">
        <f t="shared" si="229"/>
        <v>20.471983855801508</v>
      </c>
      <c r="AE388" s="1002">
        <f t="shared" si="229"/>
        <v>20.51314572887118</v>
      </c>
      <c r="AF388" s="1002">
        <f t="shared" si="229"/>
        <v>20.553428890162841</v>
      </c>
      <c r="AG388" s="1002">
        <f t="shared" si="229"/>
        <v>20.592814479460085</v>
      </c>
      <c r="AH388" s="1002">
        <f t="shared" si="229"/>
        <v>20.631459533678917</v>
      </c>
      <c r="AI388" s="1002">
        <f t="shared" si="229"/>
        <v>20.669458766166461</v>
      </c>
      <c r="AJ388" s="1002">
        <f t="shared" si="229"/>
        <v>20.70682538784552</v>
      </c>
      <c r="AK388" s="1002">
        <f t="shared" si="229"/>
        <v>20.74355123978652</v>
      </c>
      <c r="AL388" s="1002"/>
      <c r="AM388" s="1002"/>
      <c r="AN388" s="1002"/>
      <c r="AO388" s="1002"/>
      <c r="AP388" s="1002"/>
      <c r="AQ388" s="1002"/>
      <c r="AR388" s="1002"/>
      <c r="AS388" s="1002"/>
      <c r="AT388" s="1002"/>
      <c r="AU388" s="1002"/>
      <c r="AV388" s="1002"/>
      <c r="AW388" s="1002"/>
      <c r="AX388" s="1002"/>
      <c r="AY388" s="1002"/>
      <c r="AZ388" s="1002"/>
      <c r="BA388" s="1002"/>
      <c r="BB388" s="1002"/>
      <c r="BC388" s="1002"/>
      <c r="BD388" s="1002"/>
      <c r="BE388" s="1002"/>
      <c r="BF388" s="1002"/>
      <c r="BG388" s="1002"/>
      <c r="BH388" s="1002"/>
      <c r="BI388" s="1002"/>
      <c r="BJ388" s="1002"/>
      <c r="BK388" s="1002"/>
      <c r="BL388" s="1002"/>
      <c r="BM388" s="1002"/>
      <c r="BN388" s="1002"/>
      <c r="BO388" s="1002"/>
      <c r="BP388" s="1002"/>
      <c r="BQ388" s="1002"/>
      <c r="BR388" s="1002"/>
      <c r="BS388" s="1002"/>
      <c r="BT388" s="1002"/>
      <c r="BU388" s="1002"/>
      <c r="BV388" s="1002"/>
      <c r="BW388" s="1002"/>
      <c r="BX388" s="1002"/>
      <c r="BY388" s="1002"/>
      <c r="BZ388" s="1002"/>
      <c r="CA388" s="1002"/>
      <c r="CB388" s="1002"/>
      <c r="CC388" s="1002"/>
      <c r="CD388" s="1002"/>
      <c r="CE388" s="1002"/>
      <c r="CF388" s="1002"/>
      <c r="CG388" s="1002"/>
      <c r="CH388" s="1002"/>
      <c r="CI388" s="1003"/>
    </row>
    <row r="389" spans="2:87" x14ac:dyDescent="0.2">
      <c r="B389" s="1300"/>
      <c r="C389" s="1301" t="s">
        <v>243</v>
      </c>
      <c r="D389" s="1301"/>
      <c r="E389" s="1301" t="s">
        <v>236</v>
      </c>
      <c r="F389" s="1301">
        <v>2</v>
      </c>
      <c r="G389" s="1002">
        <f t="shared" ref="G389:AK389" si="230">G242</f>
        <v>0</v>
      </c>
      <c r="H389" s="1002">
        <f t="shared" si="230"/>
        <v>0</v>
      </c>
      <c r="I389" s="1002">
        <f t="shared" si="230"/>
        <v>2.7140564682276551</v>
      </c>
      <c r="J389" s="1002">
        <f t="shared" si="230"/>
        <v>3.0110663999999998</v>
      </c>
      <c r="K389" s="1002">
        <f t="shared" si="230"/>
        <v>2.8933151999999995</v>
      </c>
      <c r="L389" s="1002">
        <f t="shared" si="230"/>
        <v>2.7755640000000001</v>
      </c>
      <c r="M389" s="1002">
        <f t="shared" si="230"/>
        <v>2.7755640000000001</v>
      </c>
      <c r="N389" s="1002">
        <f t="shared" si="230"/>
        <v>2.7755640000000001</v>
      </c>
      <c r="O389" s="1002">
        <f t="shared" si="230"/>
        <v>2.7755640000000001</v>
      </c>
      <c r="P389" s="1002">
        <f t="shared" si="230"/>
        <v>2.7755640000000001</v>
      </c>
      <c r="Q389" s="1002">
        <f t="shared" si="230"/>
        <v>2.7755640000000001</v>
      </c>
      <c r="R389" s="1002">
        <f t="shared" si="230"/>
        <v>2.7755640000000001</v>
      </c>
      <c r="S389" s="1002">
        <f t="shared" si="230"/>
        <v>2.7755640000000001</v>
      </c>
      <c r="T389" s="1002">
        <f t="shared" si="230"/>
        <v>2.7755640000000001</v>
      </c>
      <c r="U389" s="1002">
        <f t="shared" si="230"/>
        <v>2.7755640000000001</v>
      </c>
      <c r="V389" s="1002">
        <f t="shared" si="230"/>
        <v>2.7755640000000001</v>
      </c>
      <c r="W389" s="1002">
        <f t="shared" si="230"/>
        <v>2.7755640000000001</v>
      </c>
      <c r="X389" s="1002">
        <f t="shared" si="230"/>
        <v>2.7755640000000001</v>
      </c>
      <c r="Y389" s="1002">
        <f t="shared" si="230"/>
        <v>2.7755640000000001</v>
      </c>
      <c r="Z389" s="1002">
        <f t="shared" si="230"/>
        <v>2.7755640000000001</v>
      </c>
      <c r="AA389" s="1002">
        <f t="shared" si="230"/>
        <v>2.7755640000000001</v>
      </c>
      <c r="AB389" s="1002">
        <f t="shared" si="230"/>
        <v>2.7755640000000001</v>
      </c>
      <c r="AC389" s="1002">
        <f t="shared" si="230"/>
        <v>2.7755640000000001</v>
      </c>
      <c r="AD389" s="1002">
        <f t="shared" si="230"/>
        <v>2.7755640000000001</v>
      </c>
      <c r="AE389" s="1002">
        <f t="shared" si="230"/>
        <v>2.7755640000000001</v>
      </c>
      <c r="AF389" s="1002">
        <f t="shared" si="230"/>
        <v>2.7755640000000001</v>
      </c>
      <c r="AG389" s="1002">
        <f t="shared" si="230"/>
        <v>2.7755640000000001</v>
      </c>
      <c r="AH389" s="1002">
        <f t="shared" si="230"/>
        <v>2.7755640000000001</v>
      </c>
      <c r="AI389" s="1002">
        <f t="shared" si="230"/>
        <v>2.7755640000000001</v>
      </c>
      <c r="AJ389" s="1002">
        <f t="shared" si="230"/>
        <v>2.7755640000000001</v>
      </c>
      <c r="AK389" s="1002">
        <f t="shared" si="230"/>
        <v>2.7755640000000001</v>
      </c>
      <c r="AL389" s="1002"/>
      <c r="AM389" s="1002"/>
      <c r="AN389" s="1002"/>
      <c r="AO389" s="1002"/>
      <c r="AP389" s="1002"/>
      <c r="AQ389" s="1002"/>
      <c r="AR389" s="1002"/>
      <c r="AS389" s="1002"/>
      <c r="AT389" s="1002"/>
      <c r="AU389" s="1002"/>
      <c r="AV389" s="1002"/>
      <c r="AW389" s="1002"/>
      <c r="AX389" s="1002"/>
      <c r="AY389" s="1002"/>
      <c r="AZ389" s="1002"/>
      <c r="BA389" s="1002"/>
      <c r="BB389" s="1002"/>
      <c r="BC389" s="1002"/>
      <c r="BD389" s="1002"/>
      <c r="BE389" s="1002"/>
      <c r="BF389" s="1002"/>
      <c r="BG389" s="1002"/>
      <c r="BH389" s="1002"/>
      <c r="BI389" s="1002"/>
      <c r="BJ389" s="1002"/>
      <c r="BK389" s="1002"/>
      <c r="BL389" s="1002"/>
      <c r="BM389" s="1002"/>
      <c r="BN389" s="1002"/>
      <c r="BO389" s="1002"/>
      <c r="BP389" s="1002"/>
      <c r="BQ389" s="1002"/>
      <c r="BR389" s="1002"/>
      <c r="BS389" s="1002"/>
      <c r="BT389" s="1002"/>
      <c r="BU389" s="1002"/>
      <c r="BV389" s="1002"/>
      <c r="BW389" s="1002"/>
      <c r="BX389" s="1002"/>
      <c r="BY389" s="1002"/>
      <c r="BZ389" s="1002"/>
      <c r="CA389" s="1002"/>
      <c r="CB389" s="1002"/>
      <c r="CC389" s="1002"/>
      <c r="CD389" s="1002"/>
      <c r="CE389" s="1002"/>
      <c r="CF389" s="1002"/>
      <c r="CG389" s="1002"/>
      <c r="CH389" s="1002"/>
      <c r="CI389" s="1003"/>
    </row>
    <row r="390" spans="2:87" x14ac:dyDescent="0.2">
      <c r="B390" s="1300"/>
      <c r="C390" s="1301" t="s">
        <v>792</v>
      </c>
      <c r="D390" s="1301"/>
      <c r="E390" s="1301" t="s">
        <v>236</v>
      </c>
      <c r="F390" s="1301">
        <v>2</v>
      </c>
      <c r="G390" s="1002">
        <f t="shared" ref="G390:AK390" si="231">G266-SUM(G386:G389)</f>
        <v>0</v>
      </c>
      <c r="H390" s="1002">
        <f t="shared" si="231"/>
        <v>0</v>
      </c>
      <c r="I390" s="1002">
        <f t="shared" si="231"/>
        <v>1.8115870309918307</v>
      </c>
      <c r="J390" s="1002">
        <f t="shared" si="231"/>
        <v>1.8032373581008159</v>
      </c>
      <c r="K390" s="1002">
        <f t="shared" si="231"/>
        <v>1.80266741422205</v>
      </c>
      <c r="L390" s="1002">
        <f t="shared" si="231"/>
        <v>1.8025335791050949</v>
      </c>
      <c r="M390" s="1002">
        <f t="shared" si="231"/>
        <v>1.803428860706461</v>
      </c>
      <c r="N390" s="1002">
        <f t="shared" si="231"/>
        <v>1.8030145805468862</v>
      </c>
      <c r="O390" s="1002">
        <f t="shared" si="231"/>
        <v>1.8026039152750428</v>
      </c>
      <c r="P390" s="1002">
        <f t="shared" si="231"/>
        <v>1.8022316137007763</v>
      </c>
      <c r="Q390" s="1002">
        <f t="shared" si="231"/>
        <v>1.8018982265235266</v>
      </c>
      <c r="R390" s="1002">
        <f t="shared" si="231"/>
        <v>1.8015659466929392</v>
      </c>
      <c r="S390" s="1002">
        <f t="shared" si="231"/>
        <v>1.8012249465086398</v>
      </c>
      <c r="T390" s="1002">
        <f t="shared" si="231"/>
        <v>1.8008864767214021</v>
      </c>
      <c r="U390" s="1002">
        <f t="shared" si="231"/>
        <v>1.8005504265799743</v>
      </c>
      <c r="V390" s="1002">
        <f t="shared" si="231"/>
        <v>1.800214353685945</v>
      </c>
      <c r="W390" s="1002">
        <f t="shared" si="231"/>
        <v>1.7998803979336557</v>
      </c>
      <c r="X390" s="1002">
        <f t="shared" si="231"/>
        <v>1.7995494133550523</v>
      </c>
      <c r="Y390" s="1002">
        <f t="shared" si="231"/>
        <v>1.7992211505270106</v>
      </c>
      <c r="Z390" s="1002">
        <f t="shared" si="231"/>
        <v>1.7988958604272796</v>
      </c>
      <c r="AA390" s="1002">
        <f t="shared" si="231"/>
        <v>1.7985763935972017</v>
      </c>
      <c r="AB390" s="1002">
        <f t="shared" si="231"/>
        <v>1.7982599944802189</v>
      </c>
      <c r="AC390" s="1002">
        <f t="shared" si="231"/>
        <v>1.7979468226658639</v>
      </c>
      <c r="AD390" s="1002">
        <f t="shared" si="231"/>
        <v>1.7976364136816372</v>
      </c>
      <c r="AE390" s="1002">
        <f t="shared" si="231"/>
        <v>1.7973287099520832</v>
      </c>
      <c r="AF390" s="1002">
        <f t="shared" si="231"/>
        <v>1.7970238674534826</v>
      </c>
      <c r="AG390" s="1002">
        <f t="shared" si="231"/>
        <v>1.7967218953785107</v>
      </c>
      <c r="AH390" s="1002">
        <f t="shared" si="231"/>
        <v>1.796422731152262</v>
      </c>
      <c r="AI390" s="1002">
        <f t="shared" si="231"/>
        <v>1.7961264283852714</v>
      </c>
      <c r="AJ390" s="1002">
        <f t="shared" si="231"/>
        <v>1.7958332947864335</v>
      </c>
      <c r="AK390" s="1002">
        <f t="shared" si="231"/>
        <v>1.7955432701320575</v>
      </c>
      <c r="AL390" s="1002"/>
      <c r="AM390" s="1002"/>
      <c r="AN390" s="1002"/>
      <c r="AO390" s="1002"/>
      <c r="AP390" s="1002"/>
      <c r="AQ390" s="1002"/>
      <c r="AR390" s="1002"/>
      <c r="AS390" s="1002"/>
      <c r="AT390" s="1002"/>
      <c r="AU390" s="1002"/>
      <c r="AV390" s="1002"/>
      <c r="AW390" s="1002"/>
      <c r="AX390" s="1002"/>
      <c r="AY390" s="1002"/>
      <c r="AZ390" s="1002"/>
      <c r="BA390" s="1002"/>
      <c r="BB390" s="1002"/>
      <c r="BC390" s="1002"/>
      <c r="BD390" s="1002"/>
      <c r="BE390" s="1002"/>
      <c r="BF390" s="1002"/>
      <c r="BG390" s="1002"/>
      <c r="BH390" s="1002"/>
      <c r="BI390" s="1002"/>
      <c r="BJ390" s="1002"/>
      <c r="BK390" s="1002"/>
      <c r="BL390" s="1002"/>
      <c r="BM390" s="1002"/>
      <c r="BN390" s="1002"/>
      <c r="BO390" s="1002"/>
      <c r="BP390" s="1002"/>
      <c r="BQ390" s="1002"/>
      <c r="BR390" s="1002"/>
      <c r="BS390" s="1002"/>
      <c r="BT390" s="1002"/>
      <c r="BU390" s="1002"/>
      <c r="BV390" s="1002"/>
      <c r="BW390" s="1002"/>
      <c r="BX390" s="1002"/>
      <c r="BY390" s="1002"/>
      <c r="BZ390" s="1002"/>
      <c r="CA390" s="1002"/>
      <c r="CB390" s="1002"/>
      <c r="CC390" s="1002"/>
      <c r="CD390" s="1002"/>
      <c r="CE390" s="1002"/>
      <c r="CF390" s="1002"/>
      <c r="CG390" s="1002"/>
      <c r="CH390" s="1002"/>
      <c r="CI390" s="1003"/>
    </row>
    <row r="391" spans="2:87" x14ac:dyDescent="0.2">
      <c r="B391" s="1300"/>
      <c r="C391" s="1301" t="s">
        <v>793</v>
      </c>
      <c r="D391" s="1301"/>
      <c r="E391" s="1301" t="s">
        <v>236</v>
      </c>
      <c r="F391" s="1301">
        <v>2</v>
      </c>
      <c r="G391" s="1002">
        <f t="shared" ref="G391:AK391" si="232">G223</f>
        <v>0</v>
      </c>
      <c r="H391" s="1002">
        <f t="shared" si="232"/>
        <v>0</v>
      </c>
      <c r="I391" s="1002">
        <f t="shared" si="232"/>
        <v>75.33</v>
      </c>
      <c r="J391" s="1002">
        <f t="shared" si="232"/>
        <v>75.33</v>
      </c>
      <c r="K391" s="1002">
        <f t="shared" si="232"/>
        <v>75.33</v>
      </c>
      <c r="L391" s="1002">
        <f t="shared" si="232"/>
        <v>75.33</v>
      </c>
      <c r="M391" s="1002">
        <f t="shared" si="232"/>
        <v>75.33</v>
      </c>
      <c r="N391" s="1002">
        <f t="shared" si="232"/>
        <v>75.33</v>
      </c>
      <c r="O391" s="1002">
        <f t="shared" si="232"/>
        <v>75.33</v>
      </c>
      <c r="P391" s="1002">
        <f t="shared" si="232"/>
        <v>75.33</v>
      </c>
      <c r="Q391" s="1002">
        <f t="shared" si="232"/>
        <v>75.33</v>
      </c>
      <c r="R391" s="1002">
        <f t="shared" si="232"/>
        <v>72.83</v>
      </c>
      <c r="S391" s="1002">
        <f t="shared" si="232"/>
        <v>72.83</v>
      </c>
      <c r="T391" s="1002">
        <f t="shared" si="232"/>
        <v>70.83</v>
      </c>
      <c r="U391" s="1002">
        <f t="shared" si="232"/>
        <v>70.83</v>
      </c>
      <c r="V391" s="1002">
        <f t="shared" si="232"/>
        <v>70.83</v>
      </c>
      <c r="W391" s="1002">
        <f t="shared" si="232"/>
        <v>70.83</v>
      </c>
      <c r="X391" s="1002">
        <f t="shared" si="232"/>
        <v>70.83</v>
      </c>
      <c r="Y391" s="1002">
        <f t="shared" si="232"/>
        <v>70.83</v>
      </c>
      <c r="Z391" s="1002">
        <f t="shared" si="232"/>
        <v>70.83</v>
      </c>
      <c r="AA391" s="1002">
        <f t="shared" si="232"/>
        <v>70.83</v>
      </c>
      <c r="AB391" s="1002">
        <f t="shared" si="232"/>
        <v>70.83</v>
      </c>
      <c r="AC391" s="1002">
        <f t="shared" si="232"/>
        <v>70.83</v>
      </c>
      <c r="AD391" s="1002">
        <f t="shared" si="232"/>
        <v>70.83</v>
      </c>
      <c r="AE391" s="1002">
        <f t="shared" si="232"/>
        <v>70.83</v>
      </c>
      <c r="AF391" s="1002">
        <f t="shared" si="232"/>
        <v>70.83</v>
      </c>
      <c r="AG391" s="1002">
        <f t="shared" si="232"/>
        <v>70.83</v>
      </c>
      <c r="AH391" s="1002">
        <f t="shared" si="232"/>
        <v>70.83</v>
      </c>
      <c r="AI391" s="1002">
        <f t="shared" si="232"/>
        <v>70.83</v>
      </c>
      <c r="AJ391" s="1002">
        <f t="shared" si="232"/>
        <v>70.83</v>
      </c>
      <c r="AK391" s="1002">
        <f t="shared" si="232"/>
        <v>70.83</v>
      </c>
      <c r="AL391" s="1002"/>
      <c r="AM391" s="1002"/>
      <c r="AN391" s="1002"/>
      <c r="AO391" s="1002"/>
      <c r="AP391" s="1002"/>
      <c r="AQ391" s="1002"/>
      <c r="AR391" s="1002"/>
      <c r="AS391" s="1002"/>
      <c r="AT391" s="1002"/>
      <c r="AU391" s="1002"/>
      <c r="AV391" s="1002"/>
      <c r="AW391" s="1002"/>
      <c r="AX391" s="1002"/>
      <c r="AY391" s="1002"/>
      <c r="AZ391" s="1002"/>
      <c r="BA391" s="1002"/>
      <c r="BB391" s="1002"/>
      <c r="BC391" s="1002"/>
      <c r="BD391" s="1002"/>
      <c r="BE391" s="1002"/>
      <c r="BF391" s="1002"/>
      <c r="BG391" s="1002"/>
      <c r="BH391" s="1002"/>
      <c r="BI391" s="1002"/>
      <c r="BJ391" s="1002"/>
      <c r="BK391" s="1002"/>
      <c r="BL391" s="1002"/>
      <c r="BM391" s="1002"/>
      <c r="BN391" s="1002"/>
      <c r="BO391" s="1002"/>
      <c r="BP391" s="1002"/>
      <c r="BQ391" s="1002"/>
      <c r="BR391" s="1002"/>
      <c r="BS391" s="1002"/>
      <c r="BT391" s="1002"/>
      <c r="BU391" s="1002"/>
      <c r="BV391" s="1002"/>
      <c r="BW391" s="1002"/>
      <c r="BX391" s="1002"/>
      <c r="BY391" s="1002"/>
      <c r="BZ391" s="1002"/>
      <c r="CA391" s="1002"/>
      <c r="CB391" s="1002"/>
      <c r="CC391" s="1002"/>
      <c r="CD391" s="1002"/>
      <c r="CE391" s="1002"/>
      <c r="CF391" s="1002"/>
      <c r="CG391" s="1002"/>
      <c r="CH391" s="1002"/>
      <c r="CI391" s="1003"/>
    </row>
    <row r="392" spans="2:87" x14ac:dyDescent="0.2">
      <c r="B392" s="1300"/>
      <c r="C392" s="1301" t="s">
        <v>794</v>
      </c>
      <c r="D392" s="1301"/>
      <c r="E392" s="1301" t="s">
        <v>236</v>
      </c>
      <c r="F392" s="1301">
        <v>2</v>
      </c>
      <c r="G392" s="1002">
        <f t="shared" ref="G392:AK392" si="233">SUM(G386:G390)+G269</f>
        <v>0</v>
      </c>
      <c r="H392" s="1002">
        <f t="shared" si="233"/>
        <v>0</v>
      </c>
      <c r="I392" s="1002">
        <f t="shared" si="233"/>
        <v>54.469592620878089</v>
      </c>
      <c r="J392" s="1002">
        <f t="shared" si="233"/>
        <v>56.948609170692308</v>
      </c>
      <c r="K392" s="1002">
        <f t="shared" si="233"/>
        <v>57.88699216898263</v>
      </c>
      <c r="L392" s="1002">
        <f t="shared" si="233"/>
        <v>57.970569479510338</v>
      </c>
      <c r="M392" s="1002">
        <f t="shared" si="233"/>
        <v>58.089739283479318</v>
      </c>
      <c r="N392" s="1002">
        <f t="shared" si="233"/>
        <v>57.736779572175713</v>
      </c>
      <c r="O392" s="1002">
        <f t="shared" si="233"/>
        <v>59.522889311942741</v>
      </c>
      <c r="P392" s="1002">
        <f t="shared" si="233"/>
        <v>59.346237676675088</v>
      </c>
      <c r="Q392" s="1002">
        <f t="shared" si="233"/>
        <v>59.181479680006412</v>
      </c>
      <c r="R392" s="1002">
        <f t="shared" si="233"/>
        <v>59.098600184857538</v>
      </c>
      <c r="S392" s="1002">
        <f t="shared" si="233"/>
        <v>59.118355990186899</v>
      </c>
      <c r="T392" s="1002">
        <f t="shared" si="233"/>
        <v>59.151240042102174</v>
      </c>
      <c r="U392" s="1002">
        <f t="shared" si="233"/>
        <v>59.166642899701415</v>
      </c>
      <c r="V392" s="1002">
        <f t="shared" si="233"/>
        <v>59.23522493224003</v>
      </c>
      <c r="W392" s="1002">
        <f t="shared" si="233"/>
        <v>59.293994421245436</v>
      </c>
      <c r="X392" s="1002">
        <f t="shared" si="233"/>
        <v>59.363206882206796</v>
      </c>
      <c r="Y392" s="1002">
        <f t="shared" si="233"/>
        <v>59.443719257110104</v>
      </c>
      <c r="Z392" s="1002">
        <f t="shared" si="233"/>
        <v>59.512656682673942</v>
      </c>
      <c r="AA392" s="1002">
        <f t="shared" si="233"/>
        <v>59.620276239300161</v>
      </c>
      <c r="AB392" s="1002">
        <f t="shared" si="233"/>
        <v>59.682390467557624</v>
      </c>
      <c r="AC392" s="1002">
        <f t="shared" si="233"/>
        <v>59.786907650571514</v>
      </c>
      <c r="AD392" s="1002">
        <f t="shared" si="233"/>
        <v>59.890283899008892</v>
      </c>
      <c r="AE392" s="1002">
        <f t="shared" si="233"/>
        <v>60.008222788409391</v>
      </c>
      <c r="AF392" s="1002">
        <f t="shared" si="233"/>
        <v>60.128332512343199</v>
      </c>
      <c r="AG392" s="1002">
        <f t="shared" si="233"/>
        <v>60.231064598200071</v>
      </c>
      <c r="AH392" s="1002">
        <f t="shared" si="233"/>
        <v>60.355786572275051</v>
      </c>
      <c r="AI392" s="1002">
        <f t="shared" si="233"/>
        <v>60.441328983065013</v>
      </c>
      <c r="AJ392" s="1002">
        <f t="shared" si="233"/>
        <v>60.576985833453655</v>
      </c>
      <c r="AK392" s="1002">
        <f t="shared" si="233"/>
        <v>60.696756070971404</v>
      </c>
      <c r="AL392" s="1002"/>
      <c r="AM392" s="1002"/>
      <c r="AN392" s="1002"/>
      <c r="AO392" s="1002"/>
      <c r="AP392" s="1002"/>
      <c r="AQ392" s="1002"/>
      <c r="AR392" s="1002"/>
      <c r="AS392" s="1002"/>
      <c r="AT392" s="1002"/>
      <c r="AU392" s="1002"/>
      <c r="AV392" s="1002"/>
      <c r="AW392" s="1002"/>
      <c r="AX392" s="1002"/>
      <c r="AY392" s="1002"/>
      <c r="AZ392" s="1002"/>
      <c r="BA392" s="1002"/>
      <c r="BB392" s="1002"/>
      <c r="BC392" s="1002"/>
      <c r="BD392" s="1002"/>
      <c r="BE392" s="1002"/>
      <c r="BF392" s="1002"/>
      <c r="BG392" s="1002"/>
      <c r="BH392" s="1002"/>
      <c r="BI392" s="1002"/>
      <c r="BJ392" s="1002"/>
      <c r="BK392" s="1002"/>
      <c r="BL392" s="1002"/>
      <c r="BM392" s="1002"/>
      <c r="BN392" s="1002"/>
      <c r="BO392" s="1002"/>
      <c r="BP392" s="1002"/>
      <c r="BQ392" s="1002"/>
      <c r="BR392" s="1002"/>
      <c r="BS392" s="1002"/>
      <c r="BT392" s="1002"/>
      <c r="BU392" s="1002"/>
      <c r="BV392" s="1002"/>
      <c r="BW392" s="1002"/>
      <c r="BX392" s="1002"/>
      <c r="BY392" s="1002"/>
      <c r="BZ392" s="1002"/>
      <c r="CA392" s="1002"/>
      <c r="CB392" s="1002"/>
      <c r="CC392" s="1002"/>
      <c r="CD392" s="1002"/>
      <c r="CE392" s="1002"/>
      <c r="CF392" s="1002"/>
      <c r="CG392" s="1002"/>
      <c r="CH392" s="1002"/>
      <c r="CI392" s="1003"/>
    </row>
    <row r="393" spans="2:87" x14ac:dyDescent="0.2">
      <c r="B393" s="1300"/>
      <c r="C393" s="1301"/>
      <c r="D393" s="1301"/>
      <c r="E393" s="1301"/>
      <c r="F393" s="1301"/>
      <c r="G393" s="1301"/>
      <c r="H393" s="1301"/>
      <c r="I393" s="1301"/>
      <c r="J393" s="1301"/>
      <c r="K393" s="1301"/>
      <c r="L393" s="1301"/>
      <c r="M393" s="1301"/>
      <c r="N393" s="1301"/>
      <c r="O393" s="1301"/>
      <c r="P393" s="1301"/>
      <c r="Q393" s="1301"/>
      <c r="R393" s="1301"/>
      <c r="S393" s="1301"/>
      <c r="T393" s="1301"/>
      <c r="U393" s="1301"/>
      <c r="V393" s="1301"/>
      <c r="W393" s="1301"/>
      <c r="X393" s="1301"/>
      <c r="Y393" s="1301"/>
      <c r="Z393" s="1301"/>
      <c r="AA393" s="1301"/>
      <c r="AB393" s="1301"/>
      <c r="AC393" s="1301"/>
      <c r="AD393" s="1301"/>
      <c r="AE393" s="1301"/>
      <c r="AF393" s="1301"/>
      <c r="AG393" s="1301"/>
      <c r="AH393" s="1301"/>
      <c r="AI393" s="1301"/>
      <c r="AJ393" s="1301"/>
      <c r="AK393" s="1301"/>
      <c r="AL393" s="1301"/>
      <c r="AM393" s="1301"/>
      <c r="AN393" s="1301"/>
      <c r="AO393" s="1301"/>
      <c r="AP393" s="1301"/>
      <c r="AQ393" s="1301"/>
      <c r="AR393" s="1301"/>
      <c r="AS393" s="1301"/>
      <c r="AT393" s="1301"/>
      <c r="AU393" s="1301"/>
      <c r="AV393" s="1301"/>
      <c r="AW393" s="1301"/>
      <c r="AX393" s="1301"/>
      <c r="AY393" s="1301"/>
      <c r="AZ393" s="1301"/>
      <c r="BA393" s="1301"/>
      <c r="BB393" s="1301"/>
      <c r="BC393" s="1301"/>
      <c r="BD393" s="1301"/>
      <c r="BE393" s="1301"/>
      <c r="BF393" s="1301"/>
      <c r="BG393" s="1301"/>
      <c r="BH393" s="1301"/>
      <c r="BI393" s="1301"/>
      <c r="BJ393" s="1301"/>
      <c r="BK393" s="1301"/>
      <c r="BL393" s="1301"/>
      <c r="BM393" s="1301"/>
      <c r="BN393" s="1301"/>
      <c r="BO393" s="1301"/>
      <c r="BP393" s="1301"/>
      <c r="BQ393" s="1301"/>
      <c r="BR393" s="1301"/>
      <c r="BS393" s="1301"/>
      <c r="BT393" s="1301"/>
      <c r="BU393" s="1301"/>
      <c r="BV393" s="1301"/>
      <c r="BW393" s="1301"/>
      <c r="BX393" s="1301"/>
      <c r="BY393" s="1301"/>
      <c r="BZ393" s="1301"/>
      <c r="CA393" s="1301"/>
      <c r="CB393" s="1301"/>
      <c r="CC393" s="1301"/>
      <c r="CD393" s="1301"/>
      <c r="CE393" s="1301"/>
      <c r="CF393" s="1301"/>
      <c r="CG393" s="1301"/>
      <c r="CH393" s="1301"/>
      <c r="CI393" s="1302"/>
    </row>
    <row r="394" spans="2:87" ht="28.5" x14ac:dyDescent="0.2">
      <c r="B394" s="1300" t="s">
        <v>797</v>
      </c>
      <c r="C394" s="1301"/>
      <c r="D394" s="1301"/>
      <c r="E394" s="1301"/>
      <c r="F394" s="1301"/>
      <c r="G394" s="1000" t="s">
        <v>208</v>
      </c>
      <c r="H394" s="1000" t="s">
        <v>209</v>
      </c>
      <c r="I394" s="1000" t="s">
        <v>210</v>
      </c>
      <c r="J394" s="1000" t="s">
        <v>211</v>
      </c>
      <c r="K394" s="1000" t="s">
        <v>212</v>
      </c>
      <c r="L394" s="1000" t="s">
        <v>213</v>
      </c>
      <c r="M394" s="1000" t="s">
        <v>214</v>
      </c>
      <c r="N394" s="1000" t="s">
        <v>215</v>
      </c>
      <c r="O394" s="1000" t="s">
        <v>216</v>
      </c>
      <c r="P394" s="1000" t="s">
        <v>217</v>
      </c>
      <c r="Q394" s="1000" t="s">
        <v>218</v>
      </c>
      <c r="R394" s="1000" t="s">
        <v>247</v>
      </c>
      <c r="S394" s="1000" t="s">
        <v>248</v>
      </c>
      <c r="T394" s="1000" t="s">
        <v>249</v>
      </c>
      <c r="U394" s="1000" t="s">
        <v>250</v>
      </c>
      <c r="V394" s="1000" t="s">
        <v>219</v>
      </c>
      <c r="W394" s="1000" t="s">
        <v>251</v>
      </c>
      <c r="X394" s="1000" t="s">
        <v>252</v>
      </c>
      <c r="Y394" s="1000" t="s">
        <v>253</v>
      </c>
      <c r="Z394" s="1000" t="s">
        <v>254</v>
      </c>
      <c r="AA394" s="1000" t="s">
        <v>220</v>
      </c>
      <c r="AB394" s="1000" t="s">
        <v>255</v>
      </c>
      <c r="AC394" s="1000" t="s">
        <v>256</v>
      </c>
      <c r="AD394" s="1000" t="s">
        <v>257</v>
      </c>
      <c r="AE394" s="1000" t="s">
        <v>258</v>
      </c>
      <c r="AF394" s="1000" t="s">
        <v>221</v>
      </c>
      <c r="AG394" s="1000" t="s">
        <v>259</v>
      </c>
      <c r="AH394" s="1000" t="s">
        <v>260</v>
      </c>
      <c r="AI394" s="1000" t="s">
        <v>261</v>
      </c>
      <c r="AJ394" s="1000" t="s">
        <v>262</v>
      </c>
      <c r="AK394" s="1000" t="s">
        <v>222</v>
      </c>
      <c r="AL394" s="1000"/>
      <c r="AM394" s="1000"/>
      <c r="AN394" s="1000"/>
      <c r="AO394" s="1000"/>
      <c r="AP394" s="1000"/>
      <c r="AQ394" s="1000"/>
      <c r="AR394" s="1000"/>
      <c r="AS394" s="1000"/>
      <c r="AT394" s="1000"/>
      <c r="AU394" s="1000"/>
      <c r="AV394" s="1000"/>
      <c r="AW394" s="1000"/>
      <c r="AX394" s="1000"/>
      <c r="AY394" s="1000"/>
      <c r="AZ394" s="1000"/>
      <c r="BA394" s="1000"/>
      <c r="BB394" s="1000"/>
      <c r="BC394" s="1000"/>
      <c r="BD394" s="1000"/>
      <c r="BE394" s="1000"/>
      <c r="BF394" s="1000"/>
      <c r="BG394" s="1000"/>
      <c r="BH394" s="1000"/>
      <c r="BI394" s="1000"/>
      <c r="BJ394" s="1000"/>
      <c r="BK394" s="1000"/>
      <c r="BL394" s="1000"/>
      <c r="BM394" s="1000"/>
      <c r="BN394" s="1000"/>
      <c r="BO394" s="1000"/>
      <c r="BP394" s="1000"/>
      <c r="BQ394" s="1000"/>
      <c r="BR394" s="1000"/>
      <c r="BS394" s="1000"/>
      <c r="BT394" s="1000"/>
      <c r="BU394" s="1000"/>
      <c r="BV394" s="1000"/>
      <c r="BW394" s="1000"/>
      <c r="BX394" s="1000"/>
      <c r="BY394" s="1000"/>
      <c r="BZ394" s="1000"/>
      <c r="CA394" s="1000"/>
      <c r="CB394" s="1000"/>
      <c r="CC394" s="1000"/>
      <c r="CD394" s="1000"/>
      <c r="CE394" s="1000"/>
      <c r="CF394" s="1000"/>
      <c r="CG394" s="1000"/>
      <c r="CH394" s="1000"/>
      <c r="CI394" s="1001"/>
    </row>
    <row r="395" spans="2:87" x14ac:dyDescent="0.2">
      <c r="B395" s="1300"/>
      <c r="C395" s="1301" t="s">
        <v>789</v>
      </c>
      <c r="D395" s="1301"/>
      <c r="E395" s="1301" t="s">
        <v>236</v>
      </c>
      <c r="F395" s="1301">
        <v>2</v>
      </c>
      <c r="G395" s="1002">
        <f t="shared" ref="G395:AK396" si="234">G317-G328</f>
        <v>0</v>
      </c>
      <c r="H395" s="1002">
        <f t="shared" si="234"/>
        <v>0</v>
      </c>
      <c r="I395" s="1002">
        <f t="shared" si="234"/>
        <v>17.516097802986845</v>
      </c>
      <c r="J395" s="1002">
        <f t="shared" si="234"/>
        <v>17.264025797381894</v>
      </c>
      <c r="K395" s="1002">
        <f t="shared" si="234"/>
        <v>17.254925402260845</v>
      </c>
      <c r="L395" s="1002">
        <f t="shared" si="234"/>
        <v>17.523662073925081</v>
      </c>
      <c r="M395" s="1002">
        <f t="shared" si="234"/>
        <v>18.003484046811206</v>
      </c>
      <c r="N395" s="1002">
        <f t="shared" si="234"/>
        <v>19.179355932649152</v>
      </c>
      <c r="O395" s="1002">
        <f t="shared" si="234"/>
        <v>20.858984837071716</v>
      </c>
      <c r="P395" s="1002">
        <f t="shared" si="234"/>
        <v>23.441462940480605</v>
      </c>
      <c r="Q395" s="1002">
        <f t="shared" si="234"/>
        <v>25.266868978652944</v>
      </c>
      <c r="R395" s="1002">
        <f t="shared" si="234"/>
        <v>25.749985583036242</v>
      </c>
      <c r="S395" s="1002">
        <f t="shared" si="234"/>
        <v>25.598866743736419</v>
      </c>
      <c r="T395" s="1002">
        <f t="shared" si="234"/>
        <v>25.33384352567597</v>
      </c>
      <c r="U395" s="1002">
        <f t="shared" si="234"/>
        <v>25.005795682475487</v>
      </c>
      <c r="V395" s="1002">
        <f t="shared" si="234"/>
        <v>24.80386407264999</v>
      </c>
      <c r="W395" s="1002">
        <f t="shared" si="234"/>
        <v>24.658241666662466</v>
      </c>
      <c r="X395" s="1002">
        <f t="shared" si="234"/>
        <v>24.519993823955911</v>
      </c>
      <c r="Y395" s="1002">
        <f t="shared" si="234"/>
        <v>24.383199604457428</v>
      </c>
      <c r="Z395" s="1002">
        <f t="shared" si="234"/>
        <v>24.258862785163419</v>
      </c>
      <c r="AA395" s="1002">
        <f t="shared" si="234"/>
        <v>24.141489206865991</v>
      </c>
      <c r="AB395" s="1002">
        <f t="shared" si="234"/>
        <v>23.998383973333219</v>
      </c>
      <c r="AC395" s="1002">
        <f t="shared" si="234"/>
        <v>23.881727159341644</v>
      </c>
      <c r="AD395" s="1002">
        <f t="shared" si="234"/>
        <v>23.776370882059322</v>
      </c>
      <c r="AE395" s="1002">
        <f t="shared" si="234"/>
        <v>23.772111997446974</v>
      </c>
      <c r="AF395" s="1002">
        <f t="shared" si="234"/>
        <v>23.768029244435066</v>
      </c>
      <c r="AG395" s="1002">
        <f t="shared" si="234"/>
        <v>23.76204899811297</v>
      </c>
      <c r="AH395" s="1002">
        <f t="shared" si="234"/>
        <v>23.761467991304329</v>
      </c>
      <c r="AI395" s="1002">
        <f t="shared" si="234"/>
        <v>23.758872705687569</v>
      </c>
      <c r="AJ395" s="1002">
        <f t="shared" si="234"/>
        <v>23.75778773375092</v>
      </c>
      <c r="AK395" s="1002">
        <f t="shared" si="234"/>
        <v>23.750914349551156</v>
      </c>
      <c r="AL395" s="1002"/>
      <c r="AM395" s="1002"/>
      <c r="AN395" s="1002"/>
      <c r="AO395" s="1002"/>
      <c r="AP395" s="1002"/>
      <c r="AQ395" s="1002"/>
      <c r="AR395" s="1002"/>
      <c r="AS395" s="1002"/>
      <c r="AT395" s="1002"/>
      <c r="AU395" s="1002"/>
      <c r="AV395" s="1002"/>
      <c r="AW395" s="1002"/>
      <c r="AX395" s="1002"/>
      <c r="AY395" s="1002"/>
      <c r="AZ395" s="1002"/>
      <c r="BA395" s="1002"/>
      <c r="BB395" s="1002"/>
      <c r="BC395" s="1002"/>
      <c r="BD395" s="1002"/>
      <c r="BE395" s="1002"/>
      <c r="BF395" s="1002"/>
      <c r="BG395" s="1002"/>
      <c r="BH395" s="1002"/>
      <c r="BI395" s="1002"/>
      <c r="BJ395" s="1002"/>
      <c r="BK395" s="1002"/>
      <c r="BL395" s="1002"/>
      <c r="BM395" s="1002"/>
      <c r="BN395" s="1002"/>
      <c r="BO395" s="1002"/>
      <c r="BP395" s="1002"/>
      <c r="BQ395" s="1002"/>
      <c r="BR395" s="1002"/>
      <c r="BS395" s="1002"/>
      <c r="BT395" s="1002"/>
      <c r="BU395" s="1002"/>
      <c r="BV395" s="1002"/>
      <c r="BW395" s="1002"/>
      <c r="BX395" s="1002"/>
      <c r="BY395" s="1002"/>
      <c r="BZ395" s="1002"/>
      <c r="CA395" s="1002"/>
      <c r="CB395" s="1002"/>
      <c r="CC395" s="1002"/>
      <c r="CD395" s="1002"/>
      <c r="CE395" s="1002"/>
      <c r="CF395" s="1002"/>
      <c r="CG395" s="1002"/>
      <c r="CH395" s="1002"/>
      <c r="CI395" s="1003"/>
    </row>
    <row r="396" spans="2:87" x14ac:dyDescent="0.2">
      <c r="B396" s="1300"/>
      <c r="C396" s="1301" t="s">
        <v>790</v>
      </c>
      <c r="D396" s="1301"/>
      <c r="E396" s="1301" t="s">
        <v>236</v>
      </c>
      <c r="F396" s="1301">
        <v>2</v>
      </c>
      <c r="G396" s="1002">
        <f t="shared" si="234"/>
        <v>0</v>
      </c>
      <c r="H396" s="1002">
        <f t="shared" si="234"/>
        <v>0</v>
      </c>
      <c r="I396" s="1002">
        <f t="shared" si="234"/>
        <v>18.503885341554472</v>
      </c>
      <c r="J396" s="1002">
        <f t="shared" si="234"/>
        <v>17.497315912193955</v>
      </c>
      <c r="K396" s="1002">
        <f t="shared" si="234"/>
        <v>17.349858834223248</v>
      </c>
      <c r="L396" s="1002">
        <f t="shared" si="234"/>
        <v>16.593201213236444</v>
      </c>
      <c r="M396" s="1002">
        <f t="shared" si="234"/>
        <v>15.053726319479718</v>
      </c>
      <c r="N396" s="1002">
        <f t="shared" si="234"/>
        <v>12.767255062906861</v>
      </c>
      <c r="O396" s="1002">
        <f t="shared" si="234"/>
        <v>9.1312395745212935</v>
      </c>
      <c r="P396" s="1002">
        <f t="shared" si="234"/>
        <v>4.6327075090637972</v>
      </c>
      <c r="Q396" s="1002">
        <f t="shared" si="234"/>
        <v>1.5111905285939606</v>
      </c>
      <c r="R396" s="1002">
        <f t="shared" si="234"/>
        <v>0.55832104522855086</v>
      </c>
      <c r="S396" s="1002">
        <f t="shared" si="234"/>
        <v>0.54416349463670954</v>
      </c>
      <c r="T396" s="1002">
        <f t="shared" si="234"/>
        <v>0.53026057832956197</v>
      </c>
      <c r="U396" s="1002">
        <f t="shared" si="234"/>
        <v>0.51499463171254267</v>
      </c>
      <c r="V396" s="1002">
        <f t="shared" si="234"/>
        <v>0.5000218973734597</v>
      </c>
      <c r="W396" s="1002">
        <f t="shared" si="234"/>
        <v>0.48481287030518178</v>
      </c>
      <c r="X396" s="1002">
        <f t="shared" si="234"/>
        <v>0.46682330161805408</v>
      </c>
      <c r="Y396" s="1002">
        <f t="shared" si="234"/>
        <v>0.44928824782610566</v>
      </c>
      <c r="Z396" s="1002">
        <f t="shared" si="234"/>
        <v>0.43235110792878129</v>
      </c>
      <c r="AA396" s="1002">
        <f t="shared" si="234"/>
        <v>0.41584094375211134</v>
      </c>
      <c r="AB396" s="1002">
        <f t="shared" si="234"/>
        <v>0.39985096358578665</v>
      </c>
      <c r="AC396" s="1002">
        <f t="shared" si="234"/>
        <v>0.3843396460641727</v>
      </c>
      <c r="AD396" s="1002">
        <f t="shared" si="234"/>
        <v>0.36948815234648258</v>
      </c>
      <c r="AE396" s="1002">
        <f t="shared" si="234"/>
        <v>0.3568232097160931</v>
      </c>
      <c r="AF396" s="1002">
        <f t="shared" si="234"/>
        <v>0.34448334374940714</v>
      </c>
      <c r="AG396" s="1002">
        <f t="shared" si="234"/>
        <v>0.33251668224825909</v>
      </c>
      <c r="AH396" s="1002">
        <f t="shared" si="234"/>
        <v>0.32094592201182864</v>
      </c>
      <c r="AI396" s="1002">
        <f t="shared" si="234"/>
        <v>0.30962331814113769</v>
      </c>
      <c r="AJ396" s="1002">
        <f t="shared" si="234"/>
        <v>0.29858653265347235</v>
      </c>
      <c r="AK396" s="1002">
        <f t="shared" si="234"/>
        <v>0.28770080777668433</v>
      </c>
      <c r="AL396" s="1002"/>
      <c r="AM396" s="1002"/>
      <c r="AN396" s="1002"/>
      <c r="AO396" s="1002"/>
      <c r="AP396" s="1002"/>
      <c r="AQ396" s="1002"/>
      <c r="AR396" s="1002"/>
      <c r="AS396" s="1002"/>
      <c r="AT396" s="1002"/>
      <c r="AU396" s="1002"/>
      <c r="AV396" s="1002"/>
      <c r="AW396" s="1002"/>
      <c r="AX396" s="1002"/>
      <c r="AY396" s="1002"/>
      <c r="AZ396" s="1002"/>
      <c r="BA396" s="1002"/>
      <c r="BB396" s="1002"/>
      <c r="BC396" s="1002"/>
      <c r="BD396" s="1002"/>
      <c r="BE396" s="1002"/>
      <c r="BF396" s="1002"/>
      <c r="BG396" s="1002"/>
      <c r="BH396" s="1002"/>
      <c r="BI396" s="1002"/>
      <c r="BJ396" s="1002"/>
      <c r="BK396" s="1002"/>
      <c r="BL396" s="1002"/>
      <c r="BM396" s="1002"/>
      <c r="BN396" s="1002"/>
      <c r="BO396" s="1002"/>
      <c r="BP396" s="1002"/>
      <c r="BQ396" s="1002"/>
      <c r="BR396" s="1002"/>
      <c r="BS396" s="1002"/>
      <c r="BT396" s="1002"/>
      <c r="BU396" s="1002"/>
      <c r="BV396" s="1002"/>
      <c r="BW396" s="1002"/>
      <c r="BX396" s="1002"/>
      <c r="BY396" s="1002"/>
      <c r="BZ396" s="1002"/>
      <c r="CA396" s="1002"/>
      <c r="CB396" s="1002"/>
      <c r="CC396" s="1002"/>
      <c r="CD396" s="1002"/>
      <c r="CE396" s="1002"/>
      <c r="CF396" s="1002"/>
      <c r="CG396" s="1002"/>
      <c r="CH396" s="1002"/>
      <c r="CI396" s="1003"/>
    </row>
    <row r="397" spans="2:87" x14ac:dyDescent="0.2">
      <c r="B397" s="1300"/>
      <c r="C397" s="1301" t="s">
        <v>791</v>
      </c>
      <c r="D397" s="1301"/>
      <c r="E397" s="1301" t="s">
        <v>236</v>
      </c>
      <c r="F397" s="1301">
        <v>2</v>
      </c>
      <c r="G397" s="1002">
        <f>G314+G316-G326-G327</f>
        <v>0</v>
      </c>
      <c r="H397" s="1002">
        <f t="shared" ref="H397:AK397" si="235">H314+H316-H326-H327</f>
        <v>0</v>
      </c>
      <c r="I397" s="1002">
        <f t="shared" si="235"/>
        <v>11.618189303441417</v>
      </c>
      <c r="J397" s="1002">
        <f t="shared" si="235"/>
        <v>14.667601302753956</v>
      </c>
      <c r="K397" s="1002">
        <f t="shared" si="235"/>
        <v>16.036005959679485</v>
      </c>
      <c r="L397" s="1002">
        <f t="shared" si="235"/>
        <v>16.762673659923163</v>
      </c>
      <c r="M397" s="1002">
        <f t="shared" si="235"/>
        <v>17.353172459057415</v>
      </c>
      <c r="N397" s="1002">
        <f t="shared" si="235"/>
        <v>17.50199083799885</v>
      </c>
      <c r="O397" s="1002">
        <f t="shared" si="235"/>
        <v>19.571995295577906</v>
      </c>
      <c r="P397" s="1002">
        <f t="shared" si="235"/>
        <v>19.558075895585631</v>
      </c>
      <c r="Q397" s="1002">
        <f t="shared" si="235"/>
        <v>19.539706112888691</v>
      </c>
      <c r="R397" s="1002">
        <f t="shared" si="235"/>
        <v>19.459723972865014</v>
      </c>
      <c r="S397" s="1002">
        <f t="shared" si="235"/>
        <v>19.374967997212639</v>
      </c>
      <c r="T397" s="1002">
        <f t="shared" si="235"/>
        <v>19.289934230051966</v>
      </c>
      <c r="U397" s="1002">
        <f t="shared" si="235"/>
        <v>19.20450649916615</v>
      </c>
      <c r="V397" s="1002">
        <f t="shared" si="235"/>
        <v>19.118942126868721</v>
      </c>
      <c r="W397" s="1002">
        <f t="shared" si="235"/>
        <v>19.040153135664667</v>
      </c>
      <c r="X397" s="1002">
        <f t="shared" si="235"/>
        <v>18.959687559009947</v>
      </c>
      <c r="Y397" s="1002">
        <f t="shared" si="235"/>
        <v>18.878505182460465</v>
      </c>
      <c r="Z397" s="1002">
        <f t="shared" si="235"/>
        <v>18.92290712820008</v>
      </c>
      <c r="AA397" s="1002">
        <f t="shared" si="235"/>
        <v>18.966957920501827</v>
      </c>
      <c r="AB397" s="1002">
        <f t="shared" si="235"/>
        <v>19.010868429546946</v>
      </c>
      <c r="AC397" s="1002">
        <f t="shared" si="235"/>
        <v>19.05364442734966</v>
      </c>
      <c r="AD397" s="1002">
        <f t="shared" si="235"/>
        <v>19.095612139199073</v>
      </c>
      <c r="AE397" s="1002">
        <f t="shared" si="235"/>
        <v>19.136728239600757</v>
      </c>
      <c r="AF397" s="1002">
        <f t="shared" si="235"/>
        <v>19.176965276137569</v>
      </c>
      <c r="AG397" s="1002">
        <f t="shared" si="235"/>
        <v>19.216304388593105</v>
      </c>
      <c r="AH397" s="1002">
        <f t="shared" si="235"/>
        <v>19.254902613883374</v>
      </c>
      <c r="AI397" s="1002">
        <f t="shared" si="235"/>
        <v>19.292854665355506</v>
      </c>
      <c r="AJ397" s="1002">
        <f t="shared" si="235"/>
        <v>19.330173753932289</v>
      </c>
      <c r="AK397" s="1002">
        <f t="shared" si="235"/>
        <v>19.366851720684149</v>
      </c>
      <c r="AL397" s="1002"/>
      <c r="AM397" s="1002"/>
      <c r="AN397" s="1002"/>
      <c r="AO397" s="1002"/>
      <c r="AP397" s="1002"/>
      <c r="AQ397" s="1002"/>
      <c r="AR397" s="1002"/>
      <c r="AS397" s="1002"/>
      <c r="AT397" s="1002"/>
      <c r="AU397" s="1002"/>
      <c r="AV397" s="1002"/>
      <c r="AW397" s="1002"/>
      <c r="AX397" s="1002"/>
      <c r="AY397" s="1002"/>
      <c r="AZ397" s="1002"/>
      <c r="BA397" s="1002"/>
      <c r="BB397" s="1002"/>
      <c r="BC397" s="1002"/>
      <c r="BD397" s="1002"/>
      <c r="BE397" s="1002"/>
      <c r="BF397" s="1002"/>
      <c r="BG397" s="1002"/>
      <c r="BH397" s="1002"/>
      <c r="BI397" s="1002"/>
      <c r="BJ397" s="1002"/>
      <c r="BK397" s="1002"/>
      <c r="BL397" s="1002"/>
      <c r="BM397" s="1002"/>
      <c r="BN397" s="1002"/>
      <c r="BO397" s="1002"/>
      <c r="BP397" s="1002"/>
      <c r="BQ397" s="1002"/>
      <c r="BR397" s="1002"/>
      <c r="BS397" s="1002"/>
      <c r="BT397" s="1002"/>
      <c r="BU397" s="1002"/>
      <c r="BV397" s="1002"/>
      <c r="BW397" s="1002"/>
      <c r="BX397" s="1002"/>
      <c r="BY397" s="1002"/>
      <c r="BZ397" s="1002"/>
      <c r="CA397" s="1002"/>
      <c r="CB397" s="1002"/>
      <c r="CC397" s="1002"/>
      <c r="CD397" s="1002"/>
      <c r="CE397" s="1002"/>
      <c r="CF397" s="1002"/>
      <c r="CG397" s="1002"/>
      <c r="CH397" s="1002"/>
      <c r="CI397" s="1003"/>
    </row>
    <row r="398" spans="2:87" x14ac:dyDescent="0.2">
      <c r="B398" s="1300"/>
      <c r="C398" s="1301" t="s">
        <v>243</v>
      </c>
      <c r="D398" s="1301"/>
      <c r="E398" s="1301" t="s">
        <v>236</v>
      </c>
      <c r="F398" s="1301">
        <v>2</v>
      </c>
      <c r="G398" s="1002">
        <f>G332</f>
        <v>0</v>
      </c>
      <c r="H398" s="1002">
        <f t="shared" ref="H398:AK398" si="236">H332</f>
        <v>0</v>
      </c>
      <c r="I398" s="1002">
        <f t="shared" si="236"/>
        <v>2.7140564682276551</v>
      </c>
      <c r="J398" s="1002">
        <f t="shared" si="236"/>
        <v>3.0110663999999998</v>
      </c>
      <c r="K398" s="1002">
        <f t="shared" si="236"/>
        <v>2.8933151999999995</v>
      </c>
      <c r="L398" s="1002">
        <f t="shared" si="236"/>
        <v>2.7755640000000001</v>
      </c>
      <c r="M398" s="1002">
        <f t="shared" si="236"/>
        <v>2.7473904000000005</v>
      </c>
      <c r="N398" s="1002">
        <f t="shared" si="236"/>
        <v>2.7192167999999999</v>
      </c>
      <c r="O398" s="1002">
        <f t="shared" si="236"/>
        <v>2.6910431999999997</v>
      </c>
      <c r="P398" s="1002">
        <f t="shared" si="236"/>
        <v>2.6628695999999996</v>
      </c>
      <c r="Q398" s="1002">
        <f t="shared" si="236"/>
        <v>2.6346959999999999</v>
      </c>
      <c r="R398" s="1002">
        <f t="shared" si="236"/>
        <v>2.6065223999999994</v>
      </c>
      <c r="S398" s="1002">
        <f t="shared" si="236"/>
        <v>2.5783487999999988</v>
      </c>
      <c r="T398" s="1002">
        <f t="shared" si="236"/>
        <v>2.5501751999999991</v>
      </c>
      <c r="U398" s="1002">
        <f t="shared" si="236"/>
        <v>2.522001599999999</v>
      </c>
      <c r="V398" s="1002">
        <f t="shared" si="236"/>
        <v>2.4938279999999988</v>
      </c>
      <c r="W398" s="1002">
        <f t="shared" si="236"/>
        <v>2.4656543999999987</v>
      </c>
      <c r="X398" s="1002">
        <f t="shared" si="236"/>
        <v>2.4374807999999986</v>
      </c>
      <c r="Y398" s="1002">
        <f t="shared" si="236"/>
        <v>2.4093071999999984</v>
      </c>
      <c r="Z398" s="1002">
        <f t="shared" si="236"/>
        <v>2.3811335999999983</v>
      </c>
      <c r="AA398" s="1002">
        <f t="shared" si="236"/>
        <v>2.3529599999999982</v>
      </c>
      <c r="AB398" s="1002">
        <f t="shared" si="236"/>
        <v>2.324786399999998</v>
      </c>
      <c r="AC398" s="1002">
        <f t="shared" si="236"/>
        <v>2.2966127999999979</v>
      </c>
      <c r="AD398" s="1002">
        <f t="shared" si="236"/>
        <v>2.2684391999999978</v>
      </c>
      <c r="AE398" s="1002">
        <f t="shared" si="236"/>
        <v>2.2402655999999976</v>
      </c>
      <c r="AF398" s="1002">
        <f t="shared" si="236"/>
        <v>2.2120919999999975</v>
      </c>
      <c r="AG398" s="1002">
        <f t="shared" si="236"/>
        <v>2.1839183999999974</v>
      </c>
      <c r="AH398" s="1002">
        <f t="shared" si="236"/>
        <v>2.1557447999999972</v>
      </c>
      <c r="AI398" s="1002">
        <f t="shared" si="236"/>
        <v>2.1275711999999971</v>
      </c>
      <c r="AJ398" s="1002">
        <f t="shared" si="236"/>
        <v>2.099397599999997</v>
      </c>
      <c r="AK398" s="1002">
        <f t="shared" si="236"/>
        <v>2.071224</v>
      </c>
      <c r="AL398" s="1002"/>
      <c r="AM398" s="1002"/>
      <c r="AN398" s="1002"/>
      <c r="AO398" s="1002"/>
      <c r="AP398" s="1002"/>
      <c r="AQ398" s="1002"/>
      <c r="AR398" s="1002"/>
      <c r="AS398" s="1002"/>
      <c r="AT398" s="1002"/>
      <c r="AU398" s="1002"/>
      <c r="AV398" s="1002"/>
      <c r="AW398" s="1002"/>
      <c r="AX398" s="1002"/>
      <c r="AY398" s="1002"/>
      <c r="AZ398" s="1002"/>
      <c r="BA398" s="1002"/>
      <c r="BB398" s="1002"/>
      <c r="BC398" s="1002"/>
      <c r="BD398" s="1002"/>
      <c r="BE398" s="1002"/>
      <c r="BF398" s="1002"/>
      <c r="BG398" s="1002"/>
      <c r="BH398" s="1002"/>
      <c r="BI398" s="1002"/>
      <c r="BJ398" s="1002"/>
      <c r="BK398" s="1002"/>
      <c r="BL398" s="1002"/>
      <c r="BM398" s="1002"/>
      <c r="BN398" s="1002"/>
      <c r="BO398" s="1002"/>
      <c r="BP398" s="1002"/>
      <c r="BQ398" s="1002"/>
      <c r="BR398" s="1002"/>
      <c r="BS398" s="1002"/>
      <c r="BT398" s="1002"/>
      <c r="BU398" s="1002"/>
      <c r="BV398" s="1002"/>
      <c r="BW398" s="1002"/>
      <c r="BX398" s="1002"/>
      <c r="BY398" s="1002"/>
      <c r="BZ398" s="1002"/>
      <c r="CA398" s="1002"/>
      <c r="CB398" s="1002"/>
      <c r="CC398" s="1002"/>
      <c r="CD398" s="1002"/>
      <c r="CE398" s="1002"/>
      <c r="CF398" s="1002"/>
      <c r="CG398" s="1002"/>
      <c r="CH398" s="1002"/>
      <c r="CI398" s="1003"/>
    </row>
    <row r="399" spans="2:87" x14ac:dyDescent="0.2">
      <c r="B399" s="1300"/>
      <c r="C399" s="1301" t="s">
        <v>792</v>
      </c>
      <c r="D399" s="1301"/>
      <c r="E399" s="1301" t="s">
        <v>236</v>
      </c>
      <c r="F399" s="1301">
        <v>2</v>
      </c>
      <c r="G399" s="1002">
        <f>G356-SUM(G395:G398)</f>
        <v>0</v>
      </c>
      <c r="H399" s="1002">
        <f t="shared" ref="H399:AK399" si="237">H356-SUM(H395:H398)</f>
        <v>0</v>
      </c>
      <c r="I399" s="1002">
        <f t="shared" si="237"/>
        <v>1.8115870309918307</v>
      </c>
      <c r="J399" s="1002">
        <f t="shared" si="237"/>
        <v>1.8032373581008159</v>
      </c>
      <c r="K399" s="1002">
        <f t="shared" si="237"/>
        <v>1.80266741422205</v>
      </c>
      <c r="L399" s="1002">
        <f t="shared" si="237"/>
        <v>1.8025335791050949</v>
      </c>
      <c r="M399" s="1002">
        <f t="shared" si="237"/>
        <v>1.8035672538441645</v>
      </c>
      <c r="N399" s="1002">
        <f t="shared" si="237"/>
        <v>1.8033168071078549</v>
      </c>
      <c r="O399" s="1002">
        <f t="shared" si="237"/>
        <v>1.8029890106497675</v>
      </c>
      <c r="P399" s="1002">
        <f t="shared" si="237"/>
        <v>1.8027315661319179</v>
      </c>
      <c r="Q399" s="1002">
        <f t="shared" si="237"/>
        <v>1.8024915882045462</v>
      </c>
      <c r="R399" s="1002">
        <f t="shared" si="237"/>
        <v>1.8022075156587007</v>
      </c>
      <c r="S399" s="1002">
        <f t="shared" si="237"/>
        <v>1.8018779244496912</v>
      </c>
      <c r="T399" s="1002">
        <f t="shared" si="237"/>
        <v>1.8015378194869101</v>
      </c>
      <c r="U399" s="1002">
        <f t="shared" si="237"/>
        <v>1.801200134169946</v>
      </c>
      <c r="V399" s="1002">
        <f t="shared" si="237"/>
        <v>1.8008624261003661</v>
      </c>
      <c r="W399" s="1002">
        <f t="shared" si="237"/>
        <v>1.800526935707019</v>
      </c>
      <c r="X399" s="1002">
        <f t="shared" si="237"/>
        <v>1.8001945170218434</v>
      </c>
      <c r="Y399" s="1002">
        <f t="shared" si="237"/>
        <v>1.7998648200872154</v>
      </c>
      <c r="Z399" s="1002">
        <f t="shared" si="237"/>
        <v>1.7995380958809051</v>
      </c>
      <c r="AA399" s="1002">
        <f t="shared" si="237"/>
        <v>1.7992171949442479</v>
      </c>
      <c r="AB399" s="1002">
        <f t="shared" si="237"/>
        <v>1.7988994479192826</v>
      </c>
      <c r="AC399" s="1002">
        <f t="shared" si="237"/>
        <v>1.798585014395627</v>
      </c>
      <c r="AD399" s="1002">
        <f t="shared" si="237"/>
        <v>1.7982733437020855</v>
      </c>
      <c r="AE399" s="1002">
        <f t="shared" si="237"/>
        <v>1.7979643782632166</v>
      </c>
      <c r="AF399" s="1002">
        <f t="shared" si="237"/>
        <v>1.7976582740552942</v>
      </c>
      <c r="AG399" s="1002">
        <f t="shared" si="237"/>
        <v>1.7973550402710146</v>
      </c>
      <c r="AH399" s="1002">
        <f t="shared" si="237"/>
        <v>1.797054614335444</v>
      </c>
      <c r="AI399" s="1002">
        <f t="shared" si="237"/>
        <v>1.7967570498591314</v>
      </c>
      <c r="AJ399" s="1002">
        <f t="shared" si="237"/>
        <v>1.7964626545509788</v>
      </c>
      <c r="AK399" s="1002">
        <f t="shared" si="237"/>
        <v>1.7961713681872808</v>
      </c>
      <c r="AL399" s="1002"/>
      <c r="AM399" s="1002"/>
      <c r="AN399" s="1002"/>
      <c r="AO399" s="1002"/>
      <c r="AP399" s="1002"/>
      <c r="AQ399" s="1002"/>
      <c r="AR399" s="1002"/>
      <c r="AS399" s="1002"/>
      <c r="AT399" s="1002"/>
      <c r="AU399" s="1002"/>
      <c r="AV399" s="1002"/>
      <c r="AW399" s="1002"/>
      <c r="AX399" s="1002"/>
      <c r="AY399" s="1002"/>
      <c r="AZ399" s="1002"/>
      <c r="BA399" s="1002"/>
      <c r="BB399" s="1002"/>
      <c r="BC399" s="1002"/>
      <c r="BD399" s="1002"/>
      <c r="BE399" s="1002"/>
      <c r="BF399" s="1002"/>
      <c r="BG399" s="1002"/>
      <c r="BH399" s="1002"/>
      <c r="BI399" s="1002"/>
      <c r="BJ399" s="1002"/>
      <c r="BK399" s="1002"/>
      <c r="BL399" s="1002"/>
      <c r="BM399" s="1002"/>
      <c r="BN399" s="1002"/>
      <c r="BO399" s="1002"/>
      <c r="BP399" s="1002"/>
      <c r="BQ399" s="1002"/>
      <c r="BR399" s="1002"/>
      <c r="BS399" s="1002"/>
      <c r="BT399" s="1002"/>
      <c r="BU399" s="1002"/>
      <c r="BV399" s="1002"/>
      <c r="BW399" s="1002"/>
      <c r="BX399" s="1002"/>
      <c r="BY399" s="1002"/>
      <c r="BZ399" s="1002"/>
      <c r="CA399" s="1002"/>
      <c r="CB399" s="1002"/>
      <c r="CC399" s="1002"/>
      <c r="CD399" s="1002"/>
      <c r="CE399" s="1002"/>
      <c r="CF399" s="1002"/>
      <c r="CG399" s="1002"/>
      <c r="CH399" s="1002"/>
      <c r="CI399" s="1003"/>
    </row>
    <row r="400" spans="2:87" x14ac:dyDescent="0.2">
      <c r="B400" s="1300"/>
      <c r="C400" s="1301" t="s">
        <v>793</v>
      </c>
      <c r="D400" s="1301"/>
      <c r="E400" s="1301" t="s">
        <v>236</v>
      </c>
      <c r="F400" s="1301">
        <v>2</v>
      </c>
      <c r="G400" s="1002">
        <f>G313</f>
        <v>0</v>
      </c>
      <c r="H400" s="1002">
        <f t="shared" ref="H400:AK400" si="238">H313</f>
        <v>0</v>
      </c>
      <c r="I400" s="1002">
        <f t="shared" si="238"/>
        <v>78.899123120019667</v>
      </c>
      <c r="J400" s="1002">
        <f t="shared" si="238"/>
        <v>78.775782857965098</v>
      </c>
      <c r="K400" s="1002">
        <f t="shared" si="238"/>
        <v>78.760468664692468</v>
      </c>
      <c r="L400" s="1002">
        <f t="shared" si="238"/>
        <v>78.713738656509065</v>
      </c>
      <c r="M400" s="1002">
        <f t="shared" si="238"/>
        <v>78.61199174475442</v>
      </c>
      <c r="N400" s="1002">
        <f t="shared" si="238"/>
        <v>78.50751983292669</v>
      </c>
      <c r="O400" s="1002">
        <f t="shared" si="238"/>
        <v>78.322215916623975</v>
      </c>
      <c r="P400" s="1002">
        <f t="shared" si="238"/>
        <v>78.143751995493218</v>
      </c>
      <c r="Q400" s="1002">
        <f t="shared" si="238"/>
        <v>78.023281139934525</v>
      </c>
      <c r="R400" s="1002">
        <f t="shared" si="238"/>
        <v>75.479039941420126</v>
      </c>
      <c r="S400" s="1002">
        <f t="shared" si="238"/>
        <v>75.462436919133779</v>
      </c>
      <c r="T400" s="1002">
        <f t="shared" si="238"/>
        <v>73.225823500701523</v>
      </c>
      <c r="U400" s="1002">
        <f t="shared" si="238"/>
        <v>73.251901136994604</v>
      </c>
      <c r="V400" s="1002">
        <f t="shared" si="238"/>
        <v>73.31266528907129</v>
      </c>
      <c r="W400" s="1002">
        <f t="shared" si="238"/>
        <v>73.35631886269671</v>
      </c>
      <c r="X400" s="1002">
        <f t="shared" si="238"/>
        <v>73.346221877187972</v>
      </c>
      <c r="Y400" s="1002">
        <f t="shared" si="238"/>
        <v>73.330730066186845</v>
      </c>
      <c r="Z400" s="1002">
        <f t="shared" si="238"/>
        <v>73.316550722212767</v>
      </c>
      <c r="AA400" s="1002">
        <f t="shared" si="238"/>
        <v>73.303113841461951</v>
      </c>
      <c r="AB400" s="1002">
        <f t="shared" si="238"/>
        <v>73.28713603523029</v>
      </c>
      <c r="AC400" s="1002">
        <f t="shared" si="238"/>
        <v>73.273868052863449</v>
      </c>
      <c r="AD400" s="1002">
        <f t="shared" si="238"/>
        <v>73.261802097209227</v>
      </c>
      <c r="AE400" s="1002">
        <f t="shared" si="238"/>
        <v>73.260130008020482</v>
      </c>
      <c r="AF400" s="1002">
        <f t="shared" si="238"/>
        <v>73.258507031796171</v>
      </c>
      <c r="AG400" s="1002">
        <f t="shared" si="238"/>
        <v>73.256729040530658</v>
      </c>
      <c r="AH400" s="1002">
        <f t="shared" si="238"/>
        <v>73.255533068277543</v>
      </c>
      <c r="AI400" s="1002">
        <f t="shared" si="238"/>
        <v>73.25415813415303</v>
      </c>
      <c r="AJ400" s="1002">
        <f t="shared" si="238"/>
        <v>73.25296284798678</v>
      </c>
      <c r="AK400" s="1002">
        <f t="shared" si="238"/>
        <v>73.251199060785893</v>
      </c>
      <c r="AL400" s="1002"/>
      <c r="AM400" s="1002"/>
      <c r="AN400" s="1002"/>
      <c r="AO400" s="1002"/>
      <c r="AP400" s="1002"/>
      <c r="AQ400" s="1002"/>
      <c r="AR400" s="1002"/>
      <c r="AS400" s="1002"/>
      <c r="AT400" s="1002"/>
      <c r="AU400" s="1002"/>
      <c r="AV400" s="1002"/>
      <c r="AW400" s="1002"/>
      <c r="AX400" s="1002"/>
      <c r="AY400" s="1002"/>
      <c r="AZ400" s="1002"/>
      <c r="BA400" s="1002"/>
      <c r="BB400" s="1002"/>
      <c r="BC400" s="1002"/>
      <c r="BD400" s="1002"/>
      <c r="BE400" s="1002"/>
      <c r="BF400" s="1002"/>
      <c r="BG400" s="1002"/>
      <c r="BH400" s="1002"/>
      <c r="BI400" s="1002"/>
      <c r="BJ400" s="1002"/>
      <c r="BK400" s="1002"/>
      <c r="BL400" s="1002"/>
      <c r="BM400" s="1002"/>
      <c r="BN400" s="1002"/>
      <c r="BO400" s="1002"/>
      <c r="BP400" s="1002"/>
      <c r="BQ400" s="1002"/>
      <c r="BR400" s="1002"/>
      <c r="BS400" s="1002"/>
      <c r="BT400" s="1002"/>
      <c r="BU400" s="1002"/>
      <c r="BV400" s="1002"/>
      <c r="BW400" s="1002"/>
      <c r="BX400" s="1002"/>
      <c r="BY400" s="1002"/>
      <c r="BZ400" s="1002"/>
      <c r="CA400" s="1002"/>
      <c r="CB400" s="1002"/>
      <c r="CC400" s="1002"/>
      <c r="CD400" s="1002"/>
      <c r="CE400" s="1002"/>
      <c r="CF400" s="1002"/>
      <c r="CG400" s="1002"/>
      <c r="CH400" s="1002"/>
      <c r="CI400" s="1003"/>
    </row>
    <row r="401" spans="2:87" x14ac:dyDescent="0.2">
      <c r="B401" s="1300"/>
      <c r="C401" s="1301" t="s">
        <v>794</v>
      </c>
      <c r="D401" s="1301"/>
      <c r="E401" s="1301" t="s">
        <v>236</v>
      </c>
      <c r="F401" s="1301">
        <v>2</v>
      </c>
      <c r="G401" s="1002">
        <f>SUM(G395:G399)+G359</f>
        <v>0</v>
      </c>
      <c r="H401" s="1002">
        <f t="shared" ref="H401:AK401" si="239">SUM(H395:H399)+H359</f>
        <v>0</v>
      </c>
      <c r="I401" s="1002">
        <f t="shared" si="239"/>
        <v>54.469592620878089</v>
      </c>
      <c r="J401" s="1002">
        <f t="shared" si="239"/>
        <v>56.948609170692308</v>
      </c>
      <c r="K401" s="1002">
        <f t="shared" si="239"/>
        <v>57.88699216898263</v>
      </c>
      <c r="L401" s="1002">
        <f t="shared" si="239"/>
        <v>57.970569479510338</v>
      </c>
      <c r="M401" s="1002">
        <f t="shared" si="239"/>
        <v>57.484025310371223</v>
      </c>
      <c r="N401" s="1002">
        <f t="shared" si="239"/>
        <v>56.210715652878605</v>
      </c>
      <c r="O401" s="1002">
        <f t="shared" si="239"/>
        <v>56.019418978014166</v>
      </c>
      <c r="P401" s="1002">
        <f t="shared" si="239"/>
        <v>53.919662052022353</v>
      </c>
      <c r="Q401" s="1002">
        <f t="shared" si="239"/>
        <v>52.47985822119044</v>
      </c>
      <c r="R401" s="1002">
        <f t="shared" si="239"/>
        <v>51.816467270045401</v>
      </c>
      <c r="S401" s="1002">
        <f t="shared" si="239"/>
        <v>51.490642567897915</v>
      </c>
      <c r="T401" s="1002">
        <f t="shared" si="239"/>
        <v>51.06155171274866</v>
      </c>
      <c r="U401" s="1002">
        <f t="shared" si="239"/>
        <v>50.550353286010598</v>
      </c>
      <c r="V401" s="1002">
        <f t="shared" si="239"/>
        <v>50.203476102346947</v>
      </c>
      <c r="W401" s="1002">
        <f t="shared" si="239"/>
        <v>49.911597975540182</v>
      </c>
      <c r="X401" s="1002">
        <f t="shared" si="239"/>
        <v>49.628522884347632</v>
      </c>
      <c r="Y401" s="1002">
        <f t="shared" si="239"/>
        <v>49.358292108154743</v>
      </c>
      <c r="Z401" s="1002">
        <f t="shared" si="239"/>
        <v>49.201577399344842</v>
      </c>
      <c r="AA401" s="1002">
        <f t="shared" si="239"/>
        <v>49.082188088900551</v>
      </c>
      <c r="AB401" s="1002">
        <f t="shared" si="239"/>
        <v>48.923241590163805</v>
      </c>
      <c r="AC401" s="1002">
        <f t="shared" si="239"/>
        <v>48.8036129959752</v>
      </c>
      <c r="AD401" s="1002">
        <f t="shared" si="239"/>
        <v>48.683141661039961</v>
      </c>
      <c r="AE401" s="1002">
        <f t="shared" si="239"/>
        <v>48.676080107070298</v>
      </c>
      <c r="AF401" s="1002">
        <f t="shared" si="239"/>
        <v>48.671348985889722</v>
      </c>
      <c r="AG401" s="1002">
        <f t="shared" si="239"/>
        <v>48.653399974473452</v>
      </c>
      <c r="AH401" s="1002">
        <f t="shared" si="239"/>
        <v>48.657534977848108</v>
      </c>
      <c r="AI401" s="1002">
        <f t="shared" si="239"/>
        <v>48.622687746412076</v>
      </c>
      <c r="AJ401" s="1002">
        <f t="shared" si="239"/>
        <v>48.637609976596487</v>
      </c>
      <c r="AK401" s="1002">
        <f t="shared" si="239"/>
        <v>48.637336465843447</v>
      </c>
      <c r="AL401" s="1002"/>
      <c r="AM401" s="1002"/>
      <c r="AN401" s="1002"/>
      <c r="AO401" s="1002"/>
      <c r="AP401" s="1002"/>
      <c r="AQ401" s="1002"/>
      <c r="AR401" s="1002"/>
      <c r="AS401" s="1002"/>
      <c r="AT401" s="1002"/>
      <c r="AU401" s="1002"/>
      <c r="AV401" s="1002"/>
      <c r="AW401" s="1002"/>
      <c r="AX401" s="1002"/>
      <c r="AY401" s="1002"/>
      <c r="AZ401" s="1002"/>
      <c r="BA401" s="1002"/>
      <c r="BB401" s="1002"/>
      <c r="BC401" s="1002"/>
      <c r="BD401" s="1002"/>
      <c r="BE401" s="1002"/>
      <c r="BF401" s="1002"/>
      <c r="BG401" s="1002"/>
      <c r="BH401" s="1002"/>
      <c r="BI401" s="1002"/>
      <c r="BJ401" s="1002"/>
      <c r="BK401" s="1002"/>
      <c r="BL401" s="1002"/>
      <c r="BM401" s="1002"/>
      <c r="BN401" s="1002"/>
      <c r="BO401" s="1002"/>
      <c r="BP401" s="1002"/>
      <c r="BQ401" s="1002"/>
      <c r="BR401" s="1002"/>
      <c r="BS401" s="1002"/>
      <c r="BT401" s="1002"/>
      <c r="BU401" s="1002"/>
      <c r="BV401" s="1002"/>
      <c r="BW401" s="1002"/>
      <c r="BX401" s="1002"/>
      <c r="BY401" s="1002"/>
      <c r="BZ401" s="1002"/>
      <c r="CA401" s="1002"/>
      <c r="CB401" s="1002"/>
      <c r="CC401" s="1002"/>
      <c r="CD401" s="1002"/>
      <c r="CE401" s="1002"/>
      <c r="CF401" s="1002"/>
      <c r="CG401" s="1002"/>
      <c r="CH401" s="1002"/>
      <c r="CI401" s="1003"/>
    </row>
    <row r="402" spans="2:87" ht="15" thickBot="1" x14ac:dyDescent="0.25">
      <c r="B402" s="1303"/>
      <c r="C402" s="1304"/>
      <c r="D402" s="1304"/>
      <c r="E402" s="1304"/>
      <c r="F402" s="1304"/>
      <c r="G402" s="1304"/>
      <c r="H402" s="1304"/>
      <c r="I402" s="1304"/>
      <c r="J402" s="1304"/>
      <c r="K402" s="1304"/>
      <c r="L402" s="1304"/>
      <c r="M402" s="1304"/>
      <c r="N402" s="1304"/>
      <c r="O402" s="1304"/>
      <c r="P402" s="1304"/>
      <c r="Q402" s="1304"/>
      <c r="R402" s="1304"/>
      <c r="S402" s="1304"/>
      <c r="T402" s="1304"/>
      <c r="U402" s="1304"/>
      <c r="V402" s="1304"/>
      <c r="W402" s="1304"/>
      <c r="X402" s="1304"/>
      <c r="Y402" s="1304"/>
      <c r="Z402" s="1304"/>
      <c r="AA402" s="1304"/>
      <c r="AB402" s="1304"/>
      <c r="AC402" s="1304"/>
      <c r="AD402" s="1304"/>
      <c r="AE402" s="1304"/>
      <c r="AF402" s="1304"/>
      <c r="AG402" s="1304"/>
      <c r="AH402" s="1304"/>
      <c r="AI402" s="1304"/>
      <c r="AJ402" s="1304"/>
      <c r="AK402" s="1304"/>
      <c r="AL402" s="1304"/>
      <c r="AM402" s="1304"/>
      <c r="AN402" s="1304"/>
      <c r="AO402" s="1304"/>
      <c r="AP402" s="1304"/>
      <c r="AQ402" s="1304"/>
      <c r="AR402" s="1304"/>
      <c r="AS402" s="1304"/>
      <c r="AT402" s="1304"/>
      <c r="AU402" s="1304"/>
      <c r="AV402" s="1304"/>
      <c r="AW402" s="1304"/>
      <c r="AX402" s="1304"/>
      <c r="AY402" s="1304"/>
      <c r="AZ402" s="1304"/>
      <c r="BA402" s="1304"/>
      <c r="BB402" s="1304"/>
      <c r="BC402" s="1304"/>
      <c r="BD402" s="1304"/>
      <c r="BE402" s="1304"/>
      <c r="BF402" s="1304"/>
      <c r="BG402" s="1304"/>
      <c r="BH402" s="1304"/>
      <c r="BI402" s="1304"/>
      <c r="BJ402" s="1304"/>
      <c r="BK402" s="1304"/>
      <c r="BL402" s="1304"/>
      <c r="BM402" s="1304"/>
      <c r="BN402" s="1304"/>
      <c r="BO402" s="1304"/>
      <c r="BP402" s="1304"/>
      <c r="BQ402" s="1304"/>
      <c r="BR402" s="1304"/>
      <c r="BS402" s="1304"/>
      <c r="BT402" s="1304"/>
      <c r="BU402" s="1304"/>
      <c r="BV402" s="1304"/>
      <c r="BW402" s="1304"/>
      <c r="BX402" s="1304"/>
      <c r="BY402" s="1304"/>
      <c r="BZ402" s="1304"/>
      <c r="CA402" s="1304"/>
      <c r="CB402" s="1304"/>
      <c r="CC402" s="1304"/>
      <c r="CD402" s="1304"/>
      <c r="CE402" s="1304"/>
      <c r="CF402" s="1304"/>
      <c r="CG402" s="1304"/>
      <c r="CH402" s="1304"/>
      <c r="CI402" s="1305"/>
    </row>
  </sheetData>
  <phoneticPr fontId="34" type="noConversion"/>
  <conditionalFormatting sqref="B99:B101">
    <cfRule type="expression" dxfId="1805" priority="8">
      <formula>"error.type(c3)=5"</formula>
    </cfRule>
    <cfRule type="expression" dxfId="1804" priority="9">
      <formula>ERROR.TYPE(B99)=2</formula>
    </cfRule>
    <cfRule type="expression" dxfId="1803" priority="10">
      <formula>ISNA(B99)</formula>
    </cfRule>
  </conditionalFormatting>
  <conditionalFormatting sqref="B277 D277:E277 B280 D280:E280">
    <cfRule type="expression" dxfId="1802" priority="68">
      <formula>"error.type(c3)=5"</formula>
    </cfRule>
    <cfRule type="expression" dxfId="1801" priority="69">
      <formula>ERROR.TYPE(B277)=2</formula>
    </cfRule>
    <cfRule type="expression" dxfId="1800" priority="70">
      <formula>ISNA(B277)</formula>
    </cfRule>
  </conditionalFormatting>
  <conditionalFormatting sqref="B282:B287 D282:E287">
    <cfRule type="expression" dxfId="1799" priority="18">
      <formula>"error.type(c3)=5"</formula>
    </cfRule>
    <cfRule type="expression" dxfId="1798" priority="19">
      <formula>ERROR.TYPE(B282)=2</formula>
    </cfRule>
    <cfRule type="expression" dxfId="1797" priority="20">
      <formula>ISNA(B282)</formula>
    </cfRule>
  </conditionalFormatting>
  <conditionalFormatting sqref="B293 D293:E293 B299 D299:E299 B300:E300">
    <cfRule type="expression" dxfId="1796" priority="113">
      <formula>"error.type(c3)=5"</formula>
    </cfRule>
    <cfRule type="expression" dxfId="1795" priority="114">
      <formula>ERROR.TYPE(B293)=2</formula>
    </cfRule>
    <cfRule type="expression" dxfId="1794" priority="115">
      <formula>ISNA(B293)</formula>
    </cfRule>
  </conditionalFormatting>
  <conditionalFormatting sqref="B95:E98 C99:E99">
    <cfRule type="expression" dxfId="1793" priority="122">
      <formula>"error.type(c3)=5"</formula>
    </cfRule>
    <cfRule type="expression" dxfId="1792" priority="123">
      <formula>ERROR.TYPE(B95)=2</formula>
    </cfRule>
    <cfRule type="expression" dxfId="1791" priority="124">
      <formula>ISNA(B95)</formula>
    </cfRule>
  </conditionalFormatting>
  <conditionalFormatting sqref="B102:E106">
    <cfRule type="expression" dxfId="1790" priority="21">
      <formula>"error.type(c3)=5"</formula>
    </cfRule>
    <cfRule type="expression" dxfId="1789" priority="22">
      <formula>ERROR.TYPE(B102)=2</formula>
    </cfRule>
    <cfRule type="expression" dxfId="1788" priority="23">
      <formula>ISNA(B102)</formula>
    </cfRule>
  </conditionalFormatting>
  <conditionalFormatting sqref="B112:E112 B118:E119 B276:E276 B278:E279">
    <cfRule type="expression" dxfId="1787" priority="167">
      <formula>"error.type(c3)=5"</formula>
    </cfRule>
    <cfRule type="expression" dxfId="1786" priority="168">
      <formula>ERROR.TYPE(B112)=2</formula>
    </cfRule>
    <cfRule type="expression" dxfId="1785" priority="169">
      <formula>ISNA(B112)</formula>
    </cfRule>
  </conditionalFormatting>
  <conditionalFormatting sqref="C31">
    <cfRule type="expression" dxfId="1784" priority="44">
      <formula>"error.type(c3)=5"</formula>
    </cfRule>
    <cfRule type="expression" dxfId="1783" priority="45">
      <formula>ERROR.TYPE(C31)=2</formula>
    </cfRule>
    <cfRule type="expression" dxfId="1782" priority="46">
      <formula>ISNA(C31)</formula>
    </cfRule>
  </conditionalFormatting>
  <conditionalFormatting sqref="C33:C40">
    <cfRule type="expression" dxfId="1781" priority="146">
      <formula>"error.type(c3)=5"</formula>
    </cfRule>
    <cfRule type="expression" dxfId="1780" priority="147">
      <formula>ERROR.TYPE(C33)=2</formula>
    </cfRule>
    <cfRule type="expression" dxfId="1779" priority="148">
      <formula>ISNA(C33)</formula>
    </cfRule>
  </conditionalFormatting>
  <conditionalFormatting sqref="C45:C49">
    <cfRule type="expression" dxfId="1778" priority="161">
      <formula>"error.type(c3)=5"</formula>
    </cfRule>
    <cfRule type="expression" dxfId="1777" priority="162">
      <formula>ERROR.TYPE(C45)=2</formula>
    </cfRule>
    <cfRule type="expression" dxfId="1776" priority="163">
      <formula>ISNA(C45)</formula>
    </cfRule>
  </conditionalFormatting>
  <conditionalFormatting sqref="C56:C59">
    <cfRule type="expression" dxfId="1775" priority="155">
      <formula>"error.type(c3)=5"</formula>
    </cfRule>
    <cfRule type="expression" dxfId="1774" priority="156">
      <formula>ERROR.TYPE(C56)=2</formula>
    </cfRule>
    <cfRule type="expression" dxfId="1773" priority="157">
      <formula>ISNA(C56)</formula>
    </cfRule>
  </conditionalFormatting>
  <conditionalFormatting sqref="C64">
    <cfRule type="expression" dxfId="1772" priority="152">
      <formula>"error.type(c3)=5"</formula>
    </cfRule>
    <cfRule type="expression" dxfId="1771" priority="153">
      <formula>ERROR.TYPE(C64)=2</formula>
    </cfRule>
    <cfRule type="expression" dxfId="1770" priority="154">
      <formula>ISNA(C64)</formula>
    </cfRule>
  </conditionalFormatting>
  <conditionalFormatting sqref="C78">
    <cfRule type="expression" dxfId="1769" priority="149">
      <formula>"error.type(c3)=5"</formula>
    </cfRule>
    <cfRule type="expression" dxfId="1768" priority="150">
      <formula>ERROR.TYPE(C78)=2</formula>
    </cfRule>
    <cfRule type="expression" dxfId="1767" priority="151">
      <formula>ISNA(C78)</formula>
    </cfRule>
  </conditionalFormatting>
  <conditionalFormatting sqref="C128:C130">
    <cfRule type="expression" dxfId="1766" priority="41">
      <formula>"error.type(c3)=5"</formula>
    </cfRule>
    <cfRule type="expression" dxfId="1765" priority="42">
      <formula>ERROR.TYPE(C128)=2</formula>
    </cfRule>
    <cfRule type="expression" dxfId="1764" priority="43">
      <formula>ISNA(C128)</formula>
    </cfRule>
  </conditionalFormatting>
  <conditionalFormatting sqref="C134:C139">
    <cfRule type="expression" dxfId="1763" priority="32">
      <formula>"error.type(c3)=5"</formula>
    </cfRule>
    <cfRule type="expression" dxfId="1762" priority="33">
      <formula>ERROR.TYPE(C134)=2</formula>
    </cfRule>
    <cfRule type="expression" dxfId="1761" priority="34">
      <formula>ISNA(C134)</formula>
    </cfRule>
  </conditionalFormatting>
  <conditionalFormatting sqref="C146:C149">
    <cfRule type="expression" dxfId="1760" priority="134">
      <formula>"error.type(c3)=5"</formula>
    </cfRule>
    <cfRule type="expression" dxfId="1759" priority="135">
      <formula>ERROR.TYPE(C146)=2</formula>
    </cfRule>
    <cfRule type="expression" dxfId="1758" priority="136">
      <formula>ISNA(C146)</formula>
    </cfRule>
  </conditionalFormatting>
  <conditionalFormatting sqref="C154">
    <cfRule type="expression" dxfId="1757" priority="131">
      <formula>"error.type(c3)=5"</formula>
    </cfRule>
    <cfRule type="expression" dxfId="1756" priority="132">
      <formula>ERROR.TYPE(C154)=2</formula>
    </cfRule>
    <cfRule type="expression" dxfId="1755" priority="133">
      <formula>ISNA(C154)</formula>
    </cfRule>
  </conditionalFormatting>
  <conditionalFormatting sqref="C168">
    <cfRule type="expression" dxfId="1754" priority="128">
      <formula>"error.type(c3)=5"</formula>
    </cfRule>
    <cfRule type="expression" dxfId="1753" priority="129">
      <formula>ERROR.TYPE(C168)=2</formula>
    </cfRule>
    <cfRule type="expression" dxfId="1752" priority="130">
      <formula>ISNA(C168)</formula>
    </cfRule>
  </conditionalFormatting>
  <conditionalFormatting sqref="C212">
    <cfRule type="expression" dxfId="1751" priority="38">
      <formula>"error.type(c3)=5"</formula>
    </cfRule>
    <cfRule type="expression" dxfId="1750" priority="39">
      <formula>ERROR.TYPE(C212)=2</formula>
    </cfRule>
    <cfRule type="expression" dxfId="1749" priority="40">
      <formula>ISNA(C212)</formula>
    </cfRule>
  </conditionalFormatting>
  <conditionalFormatting sqref="C214:C221">
    <cfRule type="expression" dxfId="1748" priority="47">
      <formula>"error.type(c3)=5"</formula>
    </cfRule>
    <cfRule type="expression" dxfId="1747" priority="48">
      <formula>ERROR.TYPE(C214)=2</formula>
    </cfRule>
    <cfRule type="expression" dxfId="1746" priority="49">
      <formula>ISNA(C214)</formula>
    </cfRule>
  </conditionalFormatting>
  <conditionalFormatting sqref="C225:C230">
    <cfRule type="expression" dxfId="1745" priority="29">
      <formula>"error.type(c3)=5"</formula>
    </cfRule>
    <cfRule type="expression" dxfId="1744" priority="30">
      <formula>ERROR.TYPE(C225)=2</formula>
    </cfRule>
    <cfRule type="expression" dxfId="1743" priority="31">
      <formula>ISNA(C225)</formula>
    </cfRule>
  </conditionalFormatting>
  <conditionalFormatting sqref="C237:C240">
    <cfRule type="expression" dxfId="1742" priority="101">
      <formula>"error.type(c3)=5"</formula>
    </cfRule>
    <cfRule type="expression" dxfId="1741" priority="102">
      <formula>ERROR.TYPE(C237)=2</formula>
    </cfRule>
    <cfRule type="expression" dxfId="1740" priority="103">
      <formula>ISNA(C237)</formula>
    </cfRule>
  </conditionalFormatting>
  <conditionalFormatting sqref="C245">
    <cfRule type="expression" dxfId="1739" priority="98">
      <formula>"error.type(c3)=5"</formula>
    </cfRule>
    <cfRule type="expression" dxfId="1738" priority="99">
      <formula>ERROR.TYPE(C245)=2</formula>
    </cfRule>
    <cfRule type="expression" dxfId="1737" priority="100">
      <formula>ISNA(C245)</formula>
    </cfRule>
  </conditionalFormatting>
  <conditionalFormatting sqref="C259">
    <cfRule type="expression" dxfId="1736" priority="95">
      <formula>"error.type(c3)=5"</formula>
    </cfRule>
    <cfRule type="expression" dxfId="1735" priority="96">
      <formula>ERROR.TYPE(C259)=2</formula>
    </cfRule>
    <cfRule type="expression" dxfId="1734" priority="97">
      <formula>ISNA(C259)</formula>
    </cfRule>
  </conditionalFormatting>
  <conditionalFormatting sqref="C277 C280">
    <cfRule type="expression" dxfId="1733" priority="56">
      <formula>"error.type(c3)=5"</formula>
    </cfRule>
    <cfRule type="expression" dxfId="1732" priority="57">
      <formula>ERROR.TYPE(C277)=2</formula>
    </cfRule>
    <cfRule type="expression" dxfId="1731" priority="58">
      <formula>ISNA(C277)</formula>
    </cfRule>
  </conditionalFormatting>
  <conditionalFormatting sqref="C282:C287">
    <cfRule type="expression" dxfId="1730" priority="15">
      <formula>"error.type(c3)=5"</formula>
    </cfRule>
    <cfRule type="expression" dxfId="1729" priority="16">
      <formula>ERROR.TYPE(C282)=2</formula>
    </cfRule>
    <cfRule type="expression" dxfId="1728" priority="17">
      <formula>ISNA(C282)</formula>
    </cfRule>
  </conditionalFormatting>
  <conditionalFormatting sqref="C293 C299">
    <cfRule type="expression" dxfId="1727" priority="59">
      <formula>"error.type(c3)=5"</formula>
    </cfRule>
    <cfRule type="expression" dxfId="1726" priority="60">
      <formula>ERROR.TYPE(C293)=2</formula>
    </cfRule>
    <cfRule type="expression" dxfId="1725" priority="61">
      <formula>ISNA(C293)</formula>
    </cfRule>
  </conditionalFormatting>
  <conditionalFormatting sqref="C309:C311">
    <cfRule type="expression" dxfId="1724" priority="35">
      <formula>"error.type(c3)=5"</formula>
    </cfRule>
    <cfRule type="expression" dxfId="1723" priority="36">
      <formula>ERROR.TYPE(C309)=2</formula>
    </cfRule>
    <cfRule type="expression" dxfId="1722" priority="37">
      <formula>ISNA(C309)</formula>
    </cfRule>
  </conditionalFormatting>
  <conditionalFormatting sqref="C315:C320">
    <cfRule type="expression" dxfId="1721" priority="26">
      <formula>"error.type(c3)=5"</formula>
    </cfRule>
    <cfRule type="expression" dxfId="1720" priority="27">
      <formula>ERROR.TYPE(C315)=2</formula>
    </cfRule>
    <cfRule type="expression" dxfId="1719" priority="28">
      <formula>ISNA(C315)</formula>
    </cfRule>
  </conditionalFormatting>
  <conditionalFormatting sqref="C327:C330">
    <cfRule type="expression" dxfId="1718" priority="80">
      <formula>"error.type(c3)=5"</formula>
    </cfRule>
    <cfRule type="expression" dxfId="1717" priority="81">
      <formula>ERROR.TYPE(C327)=2</formula>
    </cfRule>
    <cfRule type="expression" dxfId="1716" priority="82">
      <formula>ISNA(C327)</formula>
    </cfRule>
  </conditionalFormatting>
  <conditionalFormatting sqref="C335">
    <cfRule type="expression" dxfId="1715" priority="77">
      <formula>"error.type(c3)=5"</formula>
    </cfRule>
    <cfRule type="expression" dxfId="1714" priority="78">
      <formula>ERROR.TYPE(C335)=2</formula>
    </cfRule>
    <cfRule type="expression" dxfId="1713" priority="79">
      <formula>ISNA(C335)</formula>
    </cfRule>
  </conditionalFormatting>
  <conditionalFormatting sqref="C349">
    <cfRule type="expression" dxfId="1712" priority="74">
      <formula>"error.type(c3)=5"</formula>
    </cfRule>
    <cfRule type="expression" dxfId="1711" priority="75">
      <formula>ERROR.TYPE(C349)=2</formula>
    </cfRule>
    <cfRule type="expression" dxfId="1710" priority="76">
      <formula>ISNA(C349)</formula>
    </cfRule>
  </conditionalFormatting>
  <conditionalFormatting sqref="C101:E101">
    <cfRule type="expression" dxfId="1709" priority="119">
      <formula>"error.type(c3)=5"</formula>
    </cfRule>
    <cfRule type="expression" dxfId="1708" priority="120">
      <formula>ERROR.TYPE(C101)=2</formula>
    </cfRule>
    <cfRule type="expression" dxfId="1707" priority="121">
      <formula>ISNA(C101)</formula>
    </cfRule>
  </conditionalFormatting>
  <conditionalFormatting sqref="G28:G29">
    <cfRule type="cellIs" dxfId="1706" priority="24" operator="greaterThan">
      <formula>0</formula>
    </cfRule>
  </conditionalFormatting>
  <conditionalFormatting sqref="G91:AK91">
    <cfRule type="cellIs" dxfId="1705" priority="5" operator="lessThan">
      <formula>0</formula>
    </cfRule>
  </conditionalFormatting>
  <conditionalFormatting sqref="G181:AK181">
    <cfRule type="cellIs" dxfId="1704" priority="4" operator="lessThan">
      <formula>0</formula>
    </cfRule>
  </conditionalFormatting>
  <conditionalFormatting sqref="G272:AK272">
    <cfRule type="cellIs" dxfId="1703" priority="2" operator="lessThan">
      <formula>0</formula>
    </cfRule>
  </conditionalFormatting>
  <conditionalFormatting sqref="G362:AK362">
    <cfRule type="cellIs" dxfId="1702" priority="1" operator="lessThan">
      <formula>0</formula>
    </cfRule>
  </conditionalFormatting>
  <conditionalFormatting sqref="H29:CI29">
    <cfRule type="cellIs" dxfId="1701" priority="12" operator="greaterThan">
      <formula>0</formula>
    </cfRule>
  </conditionalFormatting>
  <conditionalFormatting sqref="I210">
    <cfRule type="cellIs" dxfId="1700" priority="3" operator="greaterThan">
      <formula>0</formula>
    </cfRule>
  </conditionalFormatting>
  <conditionalFormatting sqref="I181:AK181">
    <cfRule type="cellIs" dxfId="1699" priority="7" operator="lessThan">
      <formula>0</formula>
    </cfRule>
  </conditionalFormatting>
  <conditionalFormatting sqref="I362:AK362">
    <cfRule type="cellIs" dxfId="1698" priority="6" operator="lessThan">
      <formula>0</formula>
    </cfRule>
  </conditionalFormatting>
  <hyperlinks>
    <hyperlink ref="B3" location="ESWNCT!B22" display="Table 3a: DYAA - Baseline" xr:uid="{A04F7D9A-EF8B-4F0C-94C5-DE3988728F62}"/>
    <hyperlink ref="C22" location="ESWNCT!$A$1" display="Back to top of sheet" xr:uid="{928A5F0E-779B-4C1F-BA57-7FF55C8D0543}"/>
    <hyperlink ref="B4" location="ESWNCT!B93" display="Table 3b: DYAA - Final plan Options" xr:uid="{D7C40058-8BF0-4BC9-B67F-71A8253D3989}"/>
    <hyperlink ref="C93" location="ESWNCT!$A$1" display="Back to top of sheet" xr:uid="{12E98CB9-7259-448C-8837-B1214BF91149}"/>
    <hyperlink ref="B5" location="ESWNCT!B120" display="Table 3c: DYAA - Final plan" xr:uid="{EA983C22-0389-480C-BC3A-6ED9E8FB6CFB}"/>
    <hyperlink ref="C120" location="ESWNCT!$A$1" display="Back to top of sheet" xr:uid="{77F09E41-62DC-4472-A6BE-B10EA7367971}"/>
    <hyperlink ref="B6" location="ESWNCT!B203" display="Table 3d: DYCP - Baseline" xr:uid="{827C1BA6-05B1-4722-ABC2-685F24C8E067}"/>
    <hyperlink ref="C203" location="ESWNCT!$A$1" display="Back to top of sheet" xr:uid="{6037B019-0D81-4ADD-9D0B-0B914346CFA1}"/>
    <hyperlink ref="B7" location="ESWNCT!B274" display="Table 3e: DYCP - Final plan Options" xr:uid="{1817189F-C8FA-4F04-8F90-5A3040F756B3}"/>
    <hyperlink ref="C274" location="ESWNCT!$A$1" display="Back to top of sheet" xr:uid="{78CDCFCB-5BE9-4A41-A1D2-23BA7C003EC6}"/>
    <hyperlink ref="B8" location="ESWNCT!B301" display="Table 3f: DYCP - Final plan" xr:uid="{C9F77008-F628-4D65-AC54-39FDCAFB3E76}"/>
    <hyperlink ref="C301" location="ESWNCT!$A$1" display="Back to top of sheet" xr:uid="{A18B8A21-6D9D-402D-B341-C0EE7A82C51C}"/>
  </hyperlinks>
  <pageMargins left="0.7" right="0.7" top="0.75" bottom="0.75" header="0.3" footer="0.3"/>
  <pageSetup paperSize="9" orientation="portrait" r:id="rId1"/>
  <drawing r:id="rId2"/>
  <legacyDrawing r:id="rId3"/>
  <tableParts count="6">
    <tablePart r:id="rId4"/>
    <tablePart r:id="rId5"/>
    <tablePart r:id="rId6"/>
    <tablePart r:id="rId7"/>
    <tablePart r:id="rId8"/>
    <tablePart r:id="rId9"/>
  </tableParts>
  <extLst>
    <ext xmlns:x14="http://schemas.microsoft.com/office/spreadsheetml/2009/9/main" uri="{05C60535-1F16-4fd2-B633-F4F36F0B64E0}">
      <x14:sparklineGroups xmlns:xm="http://schemas.microsoft.com/office/excel/2006/main">
        <x14:sparklineGroup displayEmptyCellsAs="gap" high="1" low="1" negative="1" xr2:uid="{2854B471-ADB1-44B2-B651-8E9A11220AAF}">
          <x14:colorSeries rgb="FF376092"/>
          <x14:colorNegative rgb="FFD00000"/>
          <x14:colorAxis rgb="FF000000"/>
          <x14:colorMarkers rgb="FFD00000"/>
          <x14:colorFirst rgb="FFD00000"/>
          <x14:colorLast rgb="FFD00000"/>
          <x14:colorHigh rgb="FFD00000"/>
          <x14:colorLow rgb="FFD00000"/>
          <x14:sparklines>
            <x14:sparkline>
              <xm:f>ESWNCT!G66:CJ66</xm:f>
              <xm:sqref>F66</xm:sqref>
            </x14:sparkline>
            <x14:sparkline>
              <xm:f>ESWNCT!G67:CJ67</xm:f>
              <xm:sqref>F67</xm:sqref>
            </x14:sparkline>
            <x14:sparkline>
              <xm:f>ESWNCT!G68:CJ68</xm:f>
              <xm:sqref>F68</xm:sqref>
            </x14:sparkline>
            <x14:sparkline>
              <xm:f>ESWNCT!G69:CJ69</xm:f>
              <xm:sqref>F69</xm:sqref>
            </x14:sparkline>
            <x14:sparkline>
              <xm:f>ESWNCT!G70:CJ70</xm:f>
              <xm:sqref>F70</xm:sqref>
            </x14:sparkline>
            <x14:sparkline>
              <xm:f>ESWNCT!G71:CJ71</xm:f>
              <xm:sqref>F71</xm:sqref>
            </x14:sparkline>
            <x14:sparkline>
              <xm:f>ESWNCT!G72:CJ72</xm:f>
              <xm:sqref>F72</xm:sqref>
            </x14:sparkline>
          </x14:sparklines>
        </x14:sparklineGroup>
        <x14:sparklineGroup displayEmptyCellsAs="gap" high="1" low="1" negative="1" xr2:uid="{42EB947E-7DEA-41E3-AF91-099B51A3BCFD}">
          <x14:colorSeries rgb="FF376092"/>
          <x14:colorNegative rgb="FFD00000"/>
          <x14:colorAxis rgb="FF000000"/>
          <x14:colorMarkers rgb="FFD00000"/>
          <x14:colorFirst rgb="FFD00000"/>
          <x14:colorLast rgb="FFD00000"/>
          <x14:colorHigh rgb="FFD00000"/>
          <x14:colorLow rgb="FFD00000"/>
          <x14:sparklines>
            <x14:sparkline>
              <xm:f>ESWNCT!G156:CJ156</xm:f>
              <xm:sqref>F156</xm:sqref>
            </x14:sparkline>
            <x14:sparkline>
              <xm:f>ESWNCT!G157:CJ157</xm:f>
              <xm:sqref>F157</xm:sqref>
            </x14:sparkline>
            <x14:sparkline>
              <xm:f>ESWNCT!G158:CJ158</xm:f>
              <xm:sqref>F158</xm:sqref>
            </x14:sparkline>
            <x14:sparkline>
              <xm:f>ESWNCT!G159:CJ159</xm:f>
              <xm:sqref>F159</xm:sqref>
            </x14:sparkline>
            <x14:sparkline>
              <xm:f>ESWNCT!G160:CJ160</xm:f>
              <xm:sqref>F160</xm:sqref>
            </x14:sparkline>
            <x14:sparkline>
              <xm:f>ESWNCT!G161:CJ161</xm:f>
              <xm:sqref>F161</xm:sqref>
            </x14:sparkline>
            <x14:sparkline>
              <xm:f>ESWNCT!G162:CJ162</xm:f>
              <xm:sqref>F162</xm:sqref>
            </x14:sparkline>
          </x14:sparklines>
        </x14:sparklineGroup>
        <x14:sparklineGroup displayEmptyCellsAs="gap" high="1" low="1" negative="1" xr2:uid="{A74B77B5-AFFA-491B-87AA-86296433E6C6}">
          <x14:colorSeries rgb="FF376092"/>
          <x14:colorNegative rgb="FFD00000"/>
          <x14:colorAxis rgb="FF000000"/>
          <x14:colorMarkers rgb="FFD00000"/>
          <x14:colorFirst rgb="FFD00000"/>
          <x14:colorLast rgb="FFD00000"/>
          <x14:colorHigh rgb="FFD00000"/>
          <x14:colorLow rgb="FFD00000"/>
          <x14:sparklines>
            <x14:sparkline>
              <xm:f>ESWNCT!G337:CI337</xm:f>
              <xm:sqref>F337</xm:sqref>
            </x14:sparkline>
            <x14:sparkline>
              <xm:f>ESWNCT!G338:CI338</xm:f>
              <xm:sqref>F338</xm:sqref>
            </x14:sparkline>
            <x14:sparkline>
              <xm:f>ESWNCT!G339:CI339</xm:f>
              <xm:sqref>F339</xm:sqref>
            </x14:sparkline>
            <x14:sparkline>
              <xm:f>ESWNCT!G340:CI340</xm:f>
              <xm:sqref>F340</xm:sqref>
            </x14:sparkline>
            <x14:sparkline>
              <xm:f>ESWNCT!G341:CI341</xm:f>
              <xm:sqref>F341</xm:sqref>
            </x14:sparkline>
            <x14:sparkline>
              <xm:f>ESWNCT!G342:CI342</xm:f>
              <xm:sqref>F342</xm:sqref>
            </x14:sparkline>
            <x14:sparkline>
              <xm:f>ESWNCT!G343:CI343</xm:f>
              <xm:sqref>F343</xm:sqref>
            </x14:sparkline>
          </x14:sparklines>
        </x14:sparklineGroup>
      </x14:sparklineGroup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dimension ref="A1:CR315"/>
  <sheetViews>
    <sheetView showOutlineSymbols="0" showWhiteSpace="0" workbookViewId="0">
      <selection activeCell="D5" sqref="D5"/>
    </sheetView>
  </sheetViews>
  <sheetFormatPr defaultColWidth="24.109375" defaultRowHeight="14.25" x14ac:dyDescent="0.2"/>
  <cols>
    <col min="1" max="1" width="5.109375" style="1706" customWidth="1"/>
    <col min="2" max="2" width="22.6640625" style="1706" customWidth="1"/>
    <col min="3" max="3" width="19.109375" style="1706" customWidth="1"/>
    <col min="4" max="4" width="25.6640625" style="1706" customWidth="1"/>
    <col min="5" max="5" width="21.6640625" style="1706" customWidth="1"/>
    <col min="6" max="6" width="16.44140625" style="1706" customWidth="1"/>
    <col min="7" max="7" width="25.109375" style="1706" customWidth="1"/>
    <col min="8" max="8" width="13.21875" style="1706" customWidth="1"/>
    <col min="9" max="9" width="19" style="1706" customWidth="1"/>
    <col min="10" max="10" width="23.109375" style="1706" customWidth="1"/>
    <col min="11" max="11" width="21.109375" style="1706" customWidth="1"/>
    <col min="12" max="12" width="19" style="1706" customWidth="1"/>
    <col min="13" max="13" width="22.109375" style="1706" customWidth="1"/>
    <col min="14" max="14" width="22.6640625" style="1706" customWidth="1"/>
    <col min="15" max="16" width="20.6640625" style="1706" customWidth="1"/>
    <col min="17" max="18" width="11.6640625" style="1706" customWidth="1"/>
    <col min="19" max="19" width="100.6640625" style="1706" customWidth="1"/>
    <col min="20" max="20" width="17.5546875" style="1706" customWidth="1"/>
    <col min="21" max="21" width="15.109375" style="1706" customWidth="1"/>
    <col min="22" max="22" width="21.6640625" style="1706" customWidth="1"/>
    <col min="23" max="23" width="22.6640625" style="1706" customWidth="1"/>
    <col min="24" max="24" width="24" style="1706" customWidth="1"/>
    <col min="25" max="25" width="21.5546875" style="1706" customWidth="1"/>
    <col min="26" max="26" width="24" style="1706" customWidth="1"/>
    <col min="27" max="27" width="23.6640625" style="1706" customWidth="1"/>
    <col min="28" max="28" width="22.6640625" style="1706" customWidth="1"/>
    <col min="29" max="29" width="22.109375" style="1706" customWidth="1"/>
    <col min="30" max="32" width="23.109375" style="1706" customWidth="1"/>
    <col min="33" max="33" width="19" style="1706" customWidth="1"/>
    <col min="34" max="34" width="21.5546875" style="1706" customWidth="1"/>
    <col min="35" max="35" width="15.21875" style="1706" customWidth="1"/>
    <col min="36" max="36" width="20.5546875" style="1706" bestFit="1" customWidth="1"/>
    <col min="37" max="37" width="24" style="1706" bestFit="1" customWidth="1"/>
    <col min="38" max="38" width="19.5546875" style="1706" bestFit="1" customWidth="1"/>
    <col min="39" max="39" width="24" style="1706" bestFit="1" customWidth="1"/>
    <col min="40" max="40" width="19.5546875" style="1706" bestFit="1" customWidth="1"/>
    <col min="41" max="41" width="24" style="1706" bestFit="1" customWidth="1"/>
    <col min="42" max="42" width="19.5546875" style="1706" bestFit="1" customWidth="1"/>
    <col min="43" max="43" width="24" style="1706" bestFit="1" customWidth="1"/>
    <col min="44" max="44" width="19.5546875" style="1706" bestFit="1" customWidth="1"/>
    <col min="45" max="45" width="24" style="1706" bestFit="1" customWidth="1"/>
    <col min="46" max="46" width="19.5546875" style="1706" bestFit="1" customWidth="1"/>
    <col min="47" max="47" width="24" style="1706" bestFit="1" customWidth="1"/>
    <col min="48" max="48" width="19.5546875" style="1706" bestFit="1" customWidth="1"/>
    <col min="49" max="53" width="15.6640625" style="1706" bestFit="1" customWidth="1"/>
    <col min="54" max="16384" width="24.109375" style="1706"/>
  </cols>
  <sheetData>
    <row r="1" spans="1:55" s="1" customFormat="1" ht="15.75" thickBot="1" x14ac:dyDescent="0.25">
      <c r="A1" s="62"/>
      <c r="B1" s="63"/>
      <c r="C1" s="62"/>
      <c r="D1" s="62"/>
      <c r="E1" s="62"/>
      <c r="F1" s="62"/>
      <c r="G1" s="62"/>
      <c r="H1" s="62"/>
      <c r="I1" s="62"/>
      <c r="J1" s="62"/>
      <c r="K1" s="62"/>
      <c r="L1" s="62"/>
      <c r="M1" s="62"/>
      <c r="N1" s="62"/>
      <c r="O1" s="62"/>
      <c r="P1" s="62"/>
      <c r="Q1" s="62"/>
      <c r="R1" s="62"/>
      <c r="U1" s="62"/>
      <c r="V1" s="62"/>
      <c r="W1" s="62"/>
      <c r="X1" s="62"/>
      <c r="Y1" s="62"/>
      <c r="Z1" s="62"/>
      <c r="AA1" s="62"/>
      <c r="AB1" s="62"/>
      <c r="AC1" s="62"/>
      <c r="AD1" s="62"/>
      <c r="AE1" s="62"/>
      <c r="AF1" s="1638"/>
      <c r="AG1" s="1638"/>
      <c r="AH1" s="1638"/>
      <c r="AI1" s="62"/>
      <c r="AJ1" s="62"/>
      <c r="AK1" s="62"/>
      <c r="AL1" s="62"/>
      <c r="AM1" s="62"/>
      <c r="AN1" s="62"/>
      <c r="AO1" s="62"/>
      <c r="AP1" s="62"/>
      <c r="AQ1" s="62"/>
      <c r="AR1" s="62"/>
      <c r="AS1" s="62"/>
      <c r="AT1" s="62"/>
      <c r="AU1" s="62"/>
      <c r="AV1" s="62"/>
      <c r="AW1" s="62"/>
      <c r="AX1" s="62"/>
    </row>
    <row r="2" spans="1:55" s="1" customFormat="1" ht="15.75" thickBot="1" x14ac:dyDescent="0.25">
      <c r="A2" s="62"/>
      <c r="B2" s="395" t="s">
        <v>64</v>
      </c>
      <c r="C2" s="396" t="str">
        <f>'TITLE PAGE'!$D$18</f>
        <v>Essex &amp; Suffolk Water</v>
      </c>
      <c r="D2" s="395" t="s">
        <v>197</v>
      </c>
      <c r="E2" s="396">
        <f>'TITLE PAGE'!D21</f>
        <v>16</v>
      </c>
      <c r="F2" s="62"/>
      <c r="G2" s="1151" t="s">
        <v>63</v>
      </c>
      <c r="H2" s="62"/>
      <c r="I2" s="62"/>
      <c r="J2" s="62"/>
      <c r="K2" s="62"/>
      <c r="L2" s="62"/>
      <c r="M2" s="62"/>
      <c r="N2" s="62"/>
      <c r="O2" s="62"/>
      <c r="P2" s="62"/>
      <c r="Q2" s="62"/>
      <c r="R2" s="62"/>
      <c r="U2" s="62"/>
      <c r="V2" s="62"/>
      <c r="W2" s="62"/>
      <c r="X2" s="62"/>
      <c r="Y2" s="62"/>
      <c r="Z2" s="62"/>
      <c r="AA2" s="62"/>
      <c r="AB2" s="62"/>
      <c r="AC2" s="62"/>
      <c r="AD2" s="62"/>
      <c r="AE2" s="62"/>
      <c r="AF2" s="62"/>
      <c r="AG2" s="62"/>
      <c r="AH2" s="62"/>
      <c r="AI2" s="62"/>
      <c r="AJ2" s="62"/>
      <c r="AK2" s="62"/>
      <c r="AL2" s="62"/>
      <c r="AM2" s="62"/>
      <c r="AN2" s="62"/>
      <c r="AO2" s="62"/>
      <c r="AP2" s="62"/>
      <c r="AQ2" s="62"/>
      <c r="AR2" s="62"/>
      <c r="AS2" s="62"/>
      <c r="AT2" s="62"/>
      <c r="AU2" s="62"/>
      <c r="AV2" s="62"/>
      <c r="AW2" s="62"/>
      <c r="AX2" s="62"/>
    </row>
    <row r="3" spans="1:55" s="1" customFormat="1" ht="15.75" thickBot="1" x14ac:dyDescent="0.25">
      <c r="A3" s="62"/>
      <c r="B3" s="63"/>
      <c r="C3" s="62"/>
      <c r="D3" s="62"/>
      <c r="E3" s="62"/>
      <c r="F3" s="62"/>
      <c r="G3" s="62"/>
      <c r="H3" s="62"/>
      <c r="I3" s="62"/>
      <c r="J3" s="62"/>
      <c r="K3" s="62"/>
      <c r="L3" s="62"/>
      <c r="M3" s="62"/>
      <c r="N3" s="62"/>
      <c r="O3" s="62"/>
      <c r="P3" s="62"/>
      <c r="Q3" s="62"/>
      <c r="R3" s="62"/>
      <c r="U3" s="62"/>
      <c r="V3" s="62"/>
      <c r="W3" s="62"/>
      <c r="X3" s="62"/>
      <c r="Y3" s="62"/>
      <c r="Z3" s="62"/>
      <c r="AA3" s="62"/>
      <c r="AB3" s="62"/>
      <c r="AC3" s="62"/>
      <c r="AD3" s="1619"/>
      <c r="AE3" s="62"/>
      <c r="AF3" s="62"/>
      <c r="AG3" s="62"/>
      <c r="AH3" s="62"/>
      <c r="AI3" s="1549"/>
      <c r="AJ3" s="62"/>
      <c r="AK3" s="62"/>
      <c r="AL3" s="62"/>
      <c r="AM3" s="62"/>
      <c r="AN3" s="62"/>
      <c r="AO3" s="62"/>
      <c r="AP3" s="62"/>
      <c r="AQ3" s="62"/>
      <c r="AR3" s="62"/>
      <c r="AS3" s="62"/>
      <c r="AT3" s="62"/>
      <c r="AU3" s="62"/>
      <c r="AV3" s="62"/>
      <c r="AW3" s="62"/>
      <c r="AX3" s="62"/>
    </row>
    <row r="4" spans="1:55" s="1" customFormat="1" ht="30.75" thickBot="1" x14ac:dyDescent="0.25">
      <c r="A4" s="62"/>
      <c r="B4" s="193" t="s">
        <v>799</v>
      </c>
      <c r="C4" s="62"/>
      <c r="D4" s="62"/>
      <c r="E4" s="62"/>
      <c r="F4" s="62"/>
      <c r="G4" s="62"/>
      <c r="H4" s="62"/>
      <c r="I4" s="62"/>
      <c r="J4" s="62"/>
      <c r="K4" s="62"/>
      <c r="L4" s="62"/>
      <c r="M4" s="62"/>
      <c r="N4" s="62"/>
      <c r="O4" s="62"/>
      <c r="P4" s="62"/>
      <c r="Q4" s="62"/>
      <c r="R4" s="62"/>
      <c r="U4" s="62"/>
      <c r="V4" s="62"/>
      <c r="W4" s="62"/>
      <c r="X4" s="62"/>
      <c r="Y4" s="62"/>
      <c r="Z4" s="62"/>
      <c r="AA4" s="62"/>
      <c r="AB4" s="62"/>
      <c r="AC4" s="62"/>
      <c r="AD4" s="62"/>
      <c r="AE4" s="62"/>
      <c r="AF4" s="62"/>
      <c r="AG4" s="62"/>
      <c r="AH4" s="62"/>
      <c r="AI4" s="62"/>
      <c r="AJ4" s="1245" t="s">
        <v>800</v>
      </c>
      <c r="AK4" s="1828" t="s">
        <v>801</v>
      </c>
      <c r="AL4" s="1829"/>
      <c r="AM4" s="1828" t="s">
        <v>802</v>
      </c>
      <c r="AN4" s="1829"/>
      <c r="AO4" s="1828" t="s">
        <v>803</v>
      </c>
      <c r="AP4" s="1829"/>
      <c r="AQ4" s="1828" t="s">
        <v>804</v>
      </c>
      <c r="AR4" s="1829"/>
      <c r="AS4" s="1828" t="s">
        <v>805</v>
      </c>
      <c r="AT4" s="1829"/>
      <c r="AU4" s="1828" t="s">
        <v>806</v>
      </c>
      <c r="AV4" s="1829"/>
      <c r="AW4" s="62"/>
      <c r="AX4" s="62"/>
    </row>
    <row r="5" spans="1:55" s="1" customFormat="1" ht="133.35" customHeight="1" x14ac:dyDescent="0.2">
      <c r="A5" s="62"/>
      <c r="B5" s="1412" t="s">
        <v>70</v>
      </c>
      <c r="C5" s="1413" t="s">
        <v>807</v>
      </c>
      <c r="D5" s="1413" t="s">
        <v>808</v>
      </c>
      <c r="E5" s="1413" t="s">
        <v>809</v>
      </c>
      <c r="F5" s="1413" t="s">
        <v>810</v>
      </c>
      <c r="G5" s="1413" t="s">
        <v>811</v>
      </c>
      <c r="H5" s="1413" t="s">
        <v>812</v>
      </c>
      <c r="I5" s="1413" t="s">
        <v>813</v>
      </c>
      <c r="J5" s="1413" t="s">
        <v>814</v>
      </c>
      <c r="K5" s="1413" t="s">
        <v>815</v>
      </c>
      <c r="L5" s="1413" t="s">
        <v>816</v>
      </c>
      <c r="M5" s="1413" t="s">
        <v>817</v>
      </c>
      <c r="N5" s="1413" t="s">
        <v>818</v>
      </c>
      <c r="O5" s="1413" t="s">
        <v>819</v>
      </c>
      <c r="P5" s="1413" t="s">
        <v>820</v>
      </c>
      <c r="Q5" s="1413" t="s">
        <v>821</v>
      </c>
      <c r="R5" s="1413" t="s">
        <v>822</v>
      </c>
      <c r="S5" s="1413" t="s">
        <v>823</v>
      </c>
      <c r="T5" s="1413" t="s">
        <v>824</v>
      </c>
      <c r="U5" s="1413" t="s">
        <v>825</v>
      </c>
      <c r="V5" s="1413" t="s">
        <v>826</v>
      </c>
      <c r="W5" s="1413" t="s">
        <v>827</v>
      </c>
      <c r="X5" s="1413" t="s">
        <v>828</v>
      </c>
      <c r="Y5" s="1413" t="s">
        <v>829</v>
      </c>
      <c r="Z5" s="1413" t="s">
        <v>830</v>
      </c>
      <c r="AA5" s="1413" t="s">
        <v>831</v>
      </c>
      <c r="AB5" s="1413" t="s">
        <v>832</v>
      </c>
      <c r="AC5" s="1413" t="s">
        <v>833</v>
      </c>
      <c r="AD5" s="1482" t="s">
        <v>834</v>
      </c>
      <c r="AE5" s="1482" t="s">
        <v>835</v>
      </c>
      <c r="AF5" s="1482" t="s">
        <v>836</v>
      </c>
      <c r="AG5" s="1482" t="s">
        <v>837</v>
      </c>
      <c r="AH5" s="1483" t="s">
        <v>838</v>
      </c>
      <c r="AI5" s="1483" t="s">
        <v>839</v>
      </c>
      <c r="AJ5" s="1484" t="s">
        <v>840</v>
      </c>
      <c r="AK5" s="1485" t="s">
        <v>841</v>
      </c>
      <c r="AL5" s="1486" t="s">
        <v>842</v>
      </c>
      <c r="AM5" s="1485" t="s">
        <v>843</v>
      </c>
      <c r="AN5" s="1486" t="s">
        <v>844</v>
      </c>
      <c r="AO5" s="1485" t="s">
        <v>845</v>
      </c>
      <c r="AP5" s="1486" t="s">
        <v>846</v>
      </c>
      <c r="AQ5" s="1485" t="s">
        <v>847</v>
      </c>
      <c r="AR5" s="1486" t="s">
        <v>848</v>
      </c>
      <c r="AS5" s="1485" t="s">
        <v>849</v>
      </c>
      <c r="AT5" s="1486" t="s">
        <v>850</v>
      </c>
      <c r="AU5" s="1485" t="s">
        <v>851</v>
      </c>
      <c r="AV5" s="1486" t="s">
        <v>852</v>
      </c>
      <c r="AW5" s="1413" t="s">
        <v>853</v>
      </c>
      <c r="AX5" s="1413" t="s">
        <v>854</v>
      </c>
      <c r="AY5" s="1487" t="s">
        <v>855</v>
      </c>
      <c r="AZ5" s="1487" t="s">
        <v>856</v>
      </c>
      <c r="BA5" s="1488" t="s">
        <v>857</v>
      </c>
    </row>
    <row r="6" spans="1:55" s="1" customFormat="1" x14ac:dyDescent="0.2">
      <c r="A6" s="62"/>
      <c r="B6" s="116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51cF</v>
      </c>
      <c r="C6" s="1330" t="s">
        <v>858</v>
      </c>
      <c r="D6" s="1330" t="s">
        <v>859</v>
      </c>
      <c r="E6" s="1641" t="s">
        <v>860</v>
      </c>
      <c r="F6" s="1330" t="str">
        <f>VLOOKUP(TBL4_OptApp[[#This Row],[Option type
Defined List]],'Option Typs_Grps'!B$2:C$47, 2, FALSE)</f>
        <v>Distribution Options</v>
      </c>
      <c r="G6" s="1330" t="s">
        <v>861</v>
      </c>
      <c r="H6" s="1330" t="s">
        <v>862</v>
      </c>
      <c r="I6" s="1330" t="s">
        <v>863</v>
      </c>
      <c r="J6" s="1330" t="s">
        <v>109</v>
      </c>
      <c r="K6" s="1330" t="s">
        <v>109</v>
      </c>
      <c r="L6" s="1330" t="s">
        <v>863</v>
      </c>
      <c r="M6" s="1330" t="s">
        <v>863</v>
      </c>
      <c r="N6" s="1330" t="s">
        <v>863</v>
      </c>
      <c r="O6" s="1330" t="s">
        <v>863</v>
      </c>
      <c r="P6" s="1330" t="s">
        <v>863</v>
      </c>
      <c r="Q6" s="1330" t="s">
        <v>863</v>
      </c>
      <c r="R6" s="1330" t="s">
        <v>863</v>
      </c>
      <c r="S6" s="1490" t="s">
        <v>864</v>
      </c>
      <c r="T6" s="1642" t="s">
        <v>109</v>
      </c>
      <c r="U6" s="1642" t="s">
        <v>109</v>
      </c>
      <c r="V6" s="1643">
        <v>6.9479498425229416</v>
      </c>
      <c r="W6" s="1490">
        <v>0</v>
      </c>
      <c r="X6" s="1490">
        <v>2025</v>
      </c>
      <c r="Y6" s="1490">
        <v>0</v>
      </c>
      <c r="Z6" s="1490">
        <v>4.93</v>
      </c>
      <c r="AA6" s="1490">
        <v>4.93</v>
      </c>
      <c r="AB6" s="1644">
        <v>6.9479498425229416</v>
      </c>
      <c r="AC6" s="1644">
        <v>6.9479498425229416</v>
      </c>
      <c r="AD6" s="1640" t="s">
        <v>109</v>
      </c>
      <c r="AE6" s="1640" t="s">
        <v>109</v>
      </c>
      <c r="AF6" s="1640" t="s">
        <v>109</v>
      </c>
      <c r="AG6" s="1640">
        <v>0</v>
      </c>
      <c r="AH6" s="1417">
        <f>IFERROR(TBL4_OptApp[[#This Row],[Total NPC (£m)]]/TBL4_OptApp[[#This Row],[Maximum option utilisation across the planning period (Ml/d)]],"N/A")</f>
        <v>37.907585110654942</v>
      </c>
      <c r="AI6" s="1640">
        <v>263.38</v>
      </c>
      <c r="AJ6" s="1330" t="s">
        <v>109</v>
      </c>
      <c r="AK6" s="1490" t="s">
        <v>109</v>
      </c>
      <c r="AL6" s="1490" t="s">
        <v>109</v>
      </c>
      <c r="AM6" s="1490" t="s">
        <v>109</v>
      </c>
      <c r="AN6" s="1490" t="s">
        <v>109</v>
      </c>
      <c r="AO6" s="1490" t="s">
        <v>109</v>
      </c>
      <c r="AP6" s="1490" t="s">
        <v>109</v>
      </c>
      <c r="AQ6" s="1490" t="s">
        <v>109</v>
      </c>
      <c r="AR6" s="1490" t="s">
        <v>109</v>
      </c>
      <c r="AS6" s="1490" t="s">
        <v>109</v>
      </c>
      <c r="AT6" s="1490" t="s">
        <v>109</v>
      </c>
      <c r="AU6" s="1490" t="s">
        <v>109</v>
      </c>
      <c r="AV6" s="1490" t="s">
        <v>109</v>
      </c>
      <c r="AW6" s="1490"/>
      <c r="AX6" s="1490"/>
      <c r="AY6" s="1490"/>
      <c r="AZ6" s="1490"/>
      <c r="BA6" s="1162"/>
      <c r="BB6" s="62"/>
      <c r="BC6" s="62"/>
    </row>
    <row r="7" spans="1:55" s="1" customFormat="1" x14ac:dyDescent="0.2">
      <c r="A7" s="62"/>
      <c r="B7" s="116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51cF</v>
      </c>
      <c r="C7" s="1163" t="s">
        <v>865</v>
      </c>
      <c r="D7" s="1163" t="s">
        <v>866</v>
      </c>
      <c r="E7" s="1536" t="s">
        <v>860</v>
      </c>
      <c r="F7" s="1163" t="str">
        <f>VLOOKUP(TBL4_OptApp[[#This Row],[Option type
Defined List]],'Option Typs_Grps'!B$2:C$47, 2, FALSE)</f>
        <v>Distribution Options</v>
      </c>
      <c r="G7" s="1163" t="s">
        <v>861</v>
      </c>
      <c r="H7" s="1163" t="s">
        <v>862</v>
      </c>
      <c r="I7" s="1163" t="s">
        <v>863</v>
      </c>
      <c r="J7" s="1163" t="s">
        <v>109</v>
      </c>
      <c r="K7" s="1163" t="s">
        <v>109</v>
      </c>
      <c r="L7" s="1163" t="s">
        <v>863</v>
      </c>
      <c r="M7" s="1163" t="s">
        <v>863</v>
      </c>
      <c r="N7" s="1163" t="s">
        <v>863</v>
      </c>
      <c r="O7" s="1163" t="s">
        <v>863</v>
      </c>
      <c r="P7" s="1163" t="s">
        <v>863</v>
      </c>
      <c r="Q7" s="1163" t="s">
        <v>863</v>
      </c>
      <c r="R7" s="1163" t="s">
        <v>863</v>
      </c>
      <c r="S7" s="1162" t="s">
        <v>867</v>
      </c>
      <c r="T7" s="1489" t="s">
        <v>109</v>
      </c>
      <c r="U7" s="1489" t="s">
        <v>109</v>
      </c>
      <c r="V7" s="1633">
        <v>20.304784453582023</v>
      </c>
      <c r="W7" s="1162">
        <v>0</v>
      </c>
      <c r="X7" s="1162">
        <v>2025</v>
      </c>
      <c r="Y7" s="1162">
        <v>0</v>
      </c>
      <c r="Z7" s="1162">
        <v>16.93</v>
      </c>
      <c r="AA7" s="1162">
        <v>16.93</v>
      </c>
      <c r="AB7" s="1491">
        <v>20.304784453582023</v>
      </c>
      <c r="AC7" s="1491">
        <v>20.304784453582023</v>
      </c>
      <c r="AD7" s="1417" t="s">
        <v>109</v>
      </c>
      <c r="AE7" s="1417" t="s">
        <v>109</v>
      </c>
      <c r="AF7" s="1417" t="s">
        <v>109</v>
      </c>
      <c r="AG7" s="1417">
        <v>0</v>
      </c>
      <c r="AH7" s="1417">
        <f>IFERROR(TBL4_OptApp[[#This Row],[Total NPC (£m)]]/TBL4_OptApp[[#This Row],[Maximum option utilisation across the planning period (Ml/d)]],"N/A")</f>
        <v>44.827365790599536</v>
      </c>
      <c r="AI7" s="1417">
        <v>910.21</v>
      </c>
      <c r="AJ7" s="1163" t="s">
        <v>109</v>
      </c>
      <c r="AK7" s="1162" t="s">
        <v>109</v>
      </c>
      <c r="AL7" s="1162" t="s">
        <v>109</v>
      </c>
      <c r="AM7" s="1162" t="s">
        <v>109</v>
      </c>
      <c r="AN7" s="1162" t="s">
        <v>109</v>
      </c>
      <c r="AO7" s="1162" t="s">
        <v>109</v>
      </c>
      <c r="AP7" s="1162" t="s">
        <v>109</v>
      </c>
      <c r="AQ7" s="1162" t="s">
        <v>109</v>
      </c>
      <c r="AR7" s="1162" t="s">
        <v>109</v>
      </c>
      <c r="AS7" s="1162" t="s">
        <v>109</v>
      </c>
      <c r="AT7" s="1162" t="s">
        <v>109</v>
      </c>
      <c r="AU7" s="1162" t="s">
        <v>109</v>
      </c>
      <c r="AV7" s="1162" t="s">
        <v>109</v>
      </c>
      <c r="AW7" s="1162"/>
      <c r="AX7" s="1162"/>
      <c r="AY7" s="1162"/>
      <c r="AZ7" s="1162"/>
      <c r="BA7" s="1162"/>
      <c r="BB7" s="62"/>
      <c r="BC7" s="62"/>
    </row>
    <row r="8" spans="1:55" ht="71.25" x14ac:dyDescent="0.2">
      <c r="A8" s="1702"/>
      <c r="B8" s="17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8" s="1703" t="s">
        <v>868</v>
      </c>
      <c r="D8" s="1703" t="s">
        <v>869</v>
      </c>
      <c r="E8" s="1704" t="s">
        <v>870</v>
      </c>
      <c r="F8" s="1703" t="str">
        <f>VLOOKUP(TBL4_OptApp[[#This Row],[Option type
Defined List]],'Option Typs_Grps'!B$2:C$47, 2, FALSE)</f>
        <v>Resource Options</v>
      </c>
      <c r="G8" s="1703" t="s">
        <v>93</v>
      </c>
      <c r="H8" s="1703" t="s">
        <v>871</v>
      </c>
      <c r="I8" s="1703" t="s">
        <v>863</v>
      </c>
      <c r="J8" s="1703" t="s">
        <v>109</v>
      </c>
      <c r="K8" s="1703" t="s">
        <v>109</v>
      </c>
      <c r="L8" s="1703" t="s">
        <v>863</v>
      </c>
      <c r="M8" s="1703" t="s">
        <v>863</v>
      </c>
      <c r="N8" s="1703" t="s">
        <v>863</v>
      </c>
      <c r="O8" s="1703" t="s">
        <v>863</v>
      </c>
      <c r="P8" s="1703" t="s">
        <v>863</v>
      </c>
      <c r="Q8" s="1703" t="s">
        <v>863</v>
      </c>
      <c r="R8" s="1703" t="s">
        <v>863</v>
      </c>
      <c r="S8" s="1703" t="s">
        <v>872</v>
      </c>
      <c r="T8" s="1705" t="s">
        <v>109</v>
      </c>
      <c r="U8" s="1705" t="s">
        <v>109</v>
      </c>
      <c r="V8" s="1705">
        <v>0.25</v>
      </c>
      <c r="W8" s="1703" t="s">
        <v>109</v>
      </c>
      <c r="X8" s="1703" t="s">
        <v>109</v>
      </c>
      <c r="Y8" s="1703" t="s">
        <v>109</v>
      </c>
      <c r="Z8" s="1703" t="s">
        <v>109</v>
      </c>
      <c r="AA8" s="1703" t="s">
        <v>109</v>
      </c>
      <c r="AB8" s="1703" t="s">
        <v>109</v>
      </c>
      <c r="AC8" s="1703" t="s">
        <v>109</v>
      </c>
      <c r="AD8" s="1703" t="s">
        <v>109</v>
      </c>
      <c r="AE8" s="1705" t="s">
        <v>109</v>
      </c>
      <c r="AF8" s="1703" t="s">
        <v>109</v>
      </c>
      <c r="AG8" s="1703"/>
      <c r="AH8" s="1703" t="s">
        <v>109</v>
      </c>
      <c r="AI8" s="1703" t="s">
        <v>109</v>
      </c>
      <c r="AJ8" s="1703"/>
      <c r="AK8" s="1705"/>
      <c r="AL8" s="1705"/>
      <c r="AM8" s="1705"/>
      <c r="AN8" s="1705"/>
      <c r="AO8" s="1705"/>
      <c r="AP8" s="1705"/>
      <c r="AQ8" s="1705"/>
      <c r="AR8" s="1705"/>
      <c r="AS8" s="1705"/>
      <c r="AT8" s="1705"/>
      <c r="AU8" s="1705"/>
      <c r="AV8" s="1705"/>
      <c r="AW8" s="1705"/>
      <c r="AX8" s="1705"/>
      <c r="AY8" s="1705"/>
      <c r="AZ8" s="1705"/>
      <c r="BA8" s="1705"/>
      <c r="BB8" s="1702"/>
      <c r="BC8" s="1702"/>
    </row>
    <row r="9" spans="1:55" x14ac:dyDescent="0.2">
      <c r="A9" s="1702"/>
      <c r="B9" s="17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51aP</v>
      </c>
      <c r="C9" s="1707" t="s">
        <v>873</v>
      </c>
      <c r="D9" s="1707" t="s">
        <v>874</v>
      </c>
      <c r="E9" s="1708" t="s">
        <v>875</v>
      </c>
      <c r="F9" s="1707" t="str">
        <f>VLOOKUP(TBL4_OptApp[[#This Row],[Option type
Defined List]],'Option Typs_Grps'!B$2:C$47, 2, FALSE)</f>
        <v>Resource Options</v>
      </c>
      <c r="G9" s="1707" t="s">
        <v>88</v>
      </c>
      <c r="H9" s="1707" t="s">
        <v>876</v>
      </c>
      <c r="I9" s="1709" t="s">
        <v>863</v>
      </c>
      <c r="J9" s="1703" t="s">
        <v>109</v>
      </c>
      <c r="K9" s="1703" t="s">
        <v>109</v>
      </c>
      <c r="L9" s="1703" t="s">
        <v>877</v>
      </c>
      <c r="M9" s="1703" t="s">
        <v>877</v>
      </c>
      <c r="N9" s="1703" t="s">
        <v>877</v>
      </c>
      <c r="O9" s="1703" t="s">
        <v>877</v>
      </c>
      <c r="P9" s="1703" t="s">
        <v>877</v>
      </c>
      <c r="Q9" s="1703" t="s">
        <v>877</v>
      </c>
      <c r="R9" s="1703" t="s">
        <v>877</v>
      </c>
      <c r="S9" s="1707" t="s">
        <v>109</v>
      </c>
      <c r="T9" s="1707" t="s">
        <v>109</v>
      </c>
      <c r="U9" s="1707" t="s">
        <v>109</v>
      </c>
      <c r="V9" s="1707">
        <v>10</v>
      </c>
      <c r="W9" s="1705">
        <v>3</v>
      </c>
      <c r="X9" s="1707">
        <v>2028</v>
      </c>
      <c r="Y9" s="1710">
        <v>34.200000000000003</v>
      </c>
      <c r="Z9" s="1710">
        <v>1.44</v>
      </c>
      <c r="AA9" s="1710">
        <v>0.52</v>
      </c>
      <c r="AB9" s="1710">
        <v>3.35</v>
      </c>
      <c r="AC9" s="1710">
        <v>10</v>
      </c>
      <c r="AD9" s="1711">
        <f>(1509043+5299760)/1000</f>
        <v>6808.8029999999999</v>
      </c>
      <c r="AE9" s="1703">
        <v>82.94</v>
      </c>
      <c r="AF9" s="1712">
        <f>(TBL4_OptApp[[#This Row],[Average option utilisation used for average totex expenditure and operational carbon forecasts (Ml/d)]]/TBL4_OptApp[[#This Row],[Maximum option utilisation across the planning period (Ml/d)]])*TBL4_OptApp[[#This Row],[Operational carbon emissions under maximum utilisation scenario
(tCO2 equivalent per annum)]]</f>
        <v>27.7849</v>
      </c>
      <c r="AG9" s="1713">
        <v>0.33710068837378082</v>
      </c>
      <c r="AH9" s="1713">
        <f>IFERROR(TBL4_OptApp[[#This Row],[Total NPC (£m)]]/TBL4_OptApp[[#This Row],[Maximum option utilisation across the planning period (Ml/d)]],"N/A")</f>
        <v>5.0449999999999999</v>
      </c>
      <c r="AI9" s="1707">
        <v>50.45</v>
      </c>
      <c r="AJ9" s="1703">
        <v>-10380</v>
      </c>
      <c r="AK9" s="1705">
        <v>0</v>
      </c>
      <c r="AL9" s="1705"/>
      <c r="AM9" s="1705"/>
      <c r="AN9" s="1705"/>
      <c r="AO9" s="1705"/>
      <c r="AP9" s="1705"/>
      <c r="AQ9" s="1705"/>
      <c r="AR9" s="1705"/>
      <c r="AS9" s="1705"/>
      <c r="AT9" s="1705"/>
      <c r="AU9" s="1705"/>
      <c r="AV9" s="1705"/>
      <c r="AW9" s="1705"/>
      <c r="AX9" s="1705"/>
      <c r="AY9" s="1705"/>
      <c r="AZ9" s="1705"/>
      <c r="BA9" s="1705"/>
      <c r="BB9" s="1702"/>
      <c r="BC9" s="1702"/>
    </row>
    <row r="10" spans="1:55" x14ac:dyDescent="0.2">
      <c r="A10" s="1702"/>
      <c r="B10" s="17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51aP</v>
      </c>
      <c r="C10" s="1707" t="s">
        <v>878</v>
      </c>
      <c r="D10" s="1707" t="s">
        <v>879</v>
      </c>
      <c r="E10" s="1714" t="s">
        <v>875</v>
      </c>
      <c r="F10" s="1707" t="str">
        <f>VLOOKUP(TBL4_OptApp[[#This Row],[Option type
Defined List]],'Option Typs_Grps'!B$2:C$47, 2, FALSE)</f>
        <v>Resource Options</v>
      </c>
      <c r="G10" s="1707" t="s">
        <v>88</v>
      </c>
      <c r="H10" s="1707" t="s">
        <v>876</v>
      </c>
      <c r="I10" s="1709" t="s">
        <v>863</v>
      </c>
      <c r="J10" s="1703" t="s">
        <v>109</v>
      </c>
      <c r="K10" s="1703" t="s">
        <v>109</v>
      </c>
      <c r="L10" s="1703" t="s">
        <v>877</v>
      </c>
      <c r="M10" s="1703" t="s">
        <v>877</v>
      </c>
      <c r="N10" s="1703" t="s">
        <v>877</v>
      </c>
      <c r="O10" s="1703" t="s">
        <v>877</v>
      </c>
      <c r="P10" s="1703" t="s">
        <v>877</v>
      </c>
      <c r="Q10" s="1703" t="s">
        <v>877</v>
      </c>
      <c r="R10" s="1703" t="s">
        <v>877</v>
      </c>
      <c r="S10" s="1707" t="s">
        <v>109</v>
      </c>
      <c r="T10" s="1707" t="s">
        <v>109</v>
      </c>
      <c r="U10" s="1707" t="s">
        <v>109</v>
      </c>
      <c r="V10" s="1707">
        <v>0.5</v>
      </c>
      <c r="W10" s="1705">
        <v>3</v>
      </c>
      <c r="X10" s="1707">
        <v>2028</v>
      </c>
      <c r="Y10" s="1707">
        <v>0</v>
      </c>
      <c r="Z10" s="1707">
        <v>0</v>
      </c>
      <c r="AA10" s="1707">
        <v>0</v>
      </c>
      <c r="AB10" s="1707">
        <v>0</v>
      </c>
      <c r="AC10" s="1707">
        <v>0</v>
      </c>
      <c r="AD10" s="1707">
        <v>0</v>
      </c>
      <c r="AE10" s="1707">
        <v>0</v>
      </c>
      <c r="AF10" s="1707">
        <v>0</v>
      </c>
      <c r="AG10" s="1713">
        <v>0</v>
      </c>
      <c r="AH10" s="1703">
        <v>0</v>
      </c>
      <c r="AI10" s="1707">
        <v>0</v>
      </c>
      <c r="AJ10" s="1703"/>
      <c r="AK10" s="1705"/>
      <c r="AL10" s="1705"/>
      <c r="AM10" s="1705"/>
      <c r="AN10" s="1705"/>
      <c r="AO10" s="1705"/>
      <c r="AP10" s="1705"/>
      <c r="AQ10" s="1705"/>
      <c r="AR10" s="1705"/>
      <c r="AS10" s="1705"/>
      <c r="AT10" s="1705"/>
      <c r="AU10" s="1705"/>
      <c r="AV10" s="1705"/>
      <c r="AW10" s="1705"/>
      <c r="AX10" s="1705"/>
      <c r="AY10" s="1705"/>
      <c r="AZ10" s="1705"/>
      <c r="BA10" s="1705"/>
      <c r="BB10" s="1702"/>
      <c r="BC10" s="1702"/>
    </row>
    <row r="11" spans="1:55" ht="28.5" x14ac:dyDescent="0.2">
      <c r="A11" s="1702"/>
      <c r="B11" s="17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51aP</v>
      </c>
      <c r="C11" s="1703" t="s">
        <v>880</v>
      </c>
      <c r="D11" s="1707" t="s">
        <v>881</v>
      </c>
      <c r="E11" s="1714" t="s">
        <v>882</v>
      </c>
      <c r="F11" s="1703" t="str">
        <f>VLOOKUP(TBL4_OptApp[[#This Row],[Option type
Defined List]],'Option Typs_Grps'!B$2:C$47, 2, FALSE)</f>
        <v>Resource Options</v>
      </c>
      <c r="G11" s="1707" t="s">
        <v>88</v>
      </c>
      <c r="H11" s="1707" t="s">
        <v>876</v>
      </c>
      <c r="I11" s="1709" t="s">
        <v>863</v>
      </c>
      <c r="J11" s="1703" t="s">
        <v>109</v>
      </c>
      <c r="K11" s="1703" t="s">
        <v>109</v>
      </c>
      <c r="L11" s="1703" t="s">
        <v>877</v>
      </c>
      <c r="M11" s="1703" t="s">
        <v>877</v>
      </c>
      <c r="N11" s="1703" t="s">
        <v>877</v>
      </c>
      <c r="O11" s="1703" t="s">
        <v>877</v>
      </c>
      <c r="P11" s="1703" t="s">
        <v>877</v>
      </c>
      <c r="Q11" s="1703" t="s">
        <v>877</v>
      </c>
      <c r="R11" s="1703" t="s">
        <v>877</v>
      </c>
      <c r="S11" s="1707" t="s">
        <v>109</v>
      </c>
      <c r="T11" s="1707" t="s">
        <v>109</v>
      </c>
      <c r="U11" s="1707" t="s">
        <v>109</v>
      </c>
      <c r="V11" s="1705">
        <v>-3.5</v>
      </c>
      <c r="W11" s="1705">
        <v>3</v>
      </c>
      <c r="X11" s="1707">
        <v>2028</v>
      </c>
      <c r="Y11" s="1707">
        <v>0</v>
      </c>
      <c r="Z11" s="1707">
        <v>0</v>
      </c>
      <c r="AA11" s="1707">
        <v>0</v>
      </c>
      <c r="AB11" s="1707">
        <v>0</v>
      </c>
      <c r="AC11" s="1707">
        <v>0</v>
      </c>
      <c r="AD11" s="1707">
        <v>0</v>
      </c>
      <c r="AE11" s="1707">
        <v>0</v>
      </c>
      <c r="AF11" s="1707">
        <v>0</v>
      </c>
      <c r="AG11" s="1713">
        <v>0</v>
      </c>
      <c r="AH11" s="1703">
        <v>0</v>
      </c>
      <c r="AI11" s="1707">
        <v>0</v>
      </c>
      <c r="AJ11" s="1703"/>
      <c r="AK11" s="1705"/>
      <c r="AL11" s="1705"/>
      <c r="AM11" s="1705"/>
      <c r="AN11" s="1705"/>
      <c r="AO11" s="1705"/>
      <c r="AP11" s="1705"/>
      <c r="AQ11" s="1705"/>
      <c r="AR11" s="1705"/>
      <c r="AS11" s="1705"/>
      <c r="AT11" s="1705"/>
      <c r="AU11" s="1705"/>
      <c r="AV11" s="1705"/>
      <c r="AW11" s="1705"/>
      <c r="AX11" s="1705"/>
      <c r="AY11" s="1705"/>
      <c r="AZ11" s="1705"/>
      <c r="BA11" s="1705"/>
      <c r="BB11" s="1702"/>
      <c r="BC11" s="1702"/>
    </row>
    <row r="12" spans="1:55" x14ac:dyDescent="0.2">
      <c r="A12" s="1702"/>
      <c r="B12" s="17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51bP</v>
      </c>
      <c r="C12" s="1707" t="s">
        <v>883</v>
      </c>
      <c r="D12" s="1707" t="s">
        <v>884</v>
      </c>
      <c r="E12" s="1708" t="s">
        <v>885</v>
      </c>
      <c r="F12" s="1707" t="str">
        <f>VLOOKUP(TBL4_OptApp[[#This Row],[Option type
Defined List]],'Option Typs_Grps'!B$2:C$47, 2, FALSE)</f>
        <v>Production Options</v>
      </c>
      <c r="G12" s="1707" t="s">
        <v>105</v>
      </c>
      <c r="H12" s="1707" t="s">
        <v>876</v>
      </c>
      <c r="I12" s="1707" t="s">
        <v>863</v>
      </c>
      <c r="J12" s="1703" t="s">
        <v>109</v>
      </c>
      <c r="K12" s="1703" t="s">
        <v>109</v>
      </c>
      <c r="L12" s="1703" t="s">
        <v>877</v>
      </c>
      <c r="M12" s="1703" t="s">
        <v>877</v>
      </c>
      <c r="N12" s="1703" t="s">
        <v>877</v>
      </c>
      <c r="O12" s="1703" t="s">
        <v>877</v>
      </c>
      <c r="P12" s="1703" t="s">
        <v>877</v>
      </c>
      <c r="Q12" s="1703" t="s">
        <v>877</v>
      </c>
      <c r="R12" s="1703" t="s">
        <v>877</v>
      </c>
      <c r="S12" s="1707" t="s">
        <v>109</v>
      </c>
      <c r="T12" s="1707" t="s">
        <v>109</v>
      </c>
      <c r="U12" s="1707" t="s">
        <v>109</v>
      </c>
      <c r="V12" s="1707">
        <v>2.15</v>
      </c>
      <c r="W12" s="1705">
        <v>5</v>
      </c>
      <c r="X12" s="1707">
        <v>2029</v>
      </c>
      <c r="Y12" s="1710">
        <v>14.73</v>
      </c>
      <c r="Z12" s="1710">
        <v>0.97</v>
      </c>
      <c r="AA12" s="1710">
        <v>0.44</v>
      </c>
      <c r="AB12" s="1710">
        <v>0.82</v>
      </c>
      <c r="AC12" s="1710">
        <v>1.86</v>
      </c>
      <c r="AD12" s="1711">
        <f>(17473+2524252)/1000</f>
        <v>2541.7249999999999</v>
      </c>
      <c r="AE12" s="1703">
        <v>51.51</v>
      </c>
      <c r="AF12" s="1712">
        <f>(TBL4_OptApp[[#This Row],[Average option utilisation used for average totex expenditure and operational carbon forecasts (Ml/d)]]/TBL4_OptApp[[#This Row],[Maximum option utilisation across the planning period (Ml/d)]])*TBL4_OptApp[[#This Row],[Operational carbon emissions under maximum utilisation scenario
(tCO2 equivalent per annum)]]</f>
        <v>22.70870967741935</v>
      </c>
      <c r="AG12" s="1715">
        <v>4.3332442286807046E-3</v>
      </c>
      <c r="AH12" s="1713">
        <f>IFERROR(TBL4_OptApp[[#This Row],[Total NPC (£m)]]/TBL4_OptApp[[#This Row],[Maximum option utilisation across the planning period (Ml/d)]],"N/A")</f>
        <v>12.677419354838708</v>
      </c>
      <c r="AI12" s="1707">
        <v>23.58</v>
      </c>
      <c r="AJ12" s="1703">
        <v>-16890</v>
      </c>
      <c r="AK12" s="1705">
        <v>0</v>
      </c>
      <c r="AL12" s="1705"/>
      <c r="AM12" s="1705"/>
      <c r="AN12" s="1705"/>
      <c r="AO12" s="1705"/>
      <c r="AP12" s="1705"/>
      <c r="AQ12" s="1705"/>
      <c r="AR12" s="1705"/>
      <c r="AS12" s="1705"/>
      <c r="AT12" s="1705"/>
      <c r="AU12" s="1705"/>
      <c r="AV12" s="1705"/>
      <c r="AW12" s="1705"/>
      <c r="AX12" s="1705"/>
      <c r="AY12" s="1705"/>
      <c r="AZ12" s="1705"/>
      <c r="BA12" s="1705"/>
      <c r="BB12" s="1702"/>
      <c r="BC12" s="1702"/>
    </row>
    <row r="13" spans="1:55" x14ac:dyDescent="0.2">
      <c r="A13" s="1702"/>
      <c r="B13" s="17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51bP</v>
      </c>
      <c r="C13" s="1707" t="s">
        <v>886</v>
      </c>
      <c r="D13" s="1707" t="s">
        <v>887</v>
      </c>
      <c r="E13" s="1708" t="s">
        <v>885</v>
      </c>
      <c r="F13" s="1707" t="str">
        <f>VLOOKUP(TBL4_OptApp[[#This Row],[Option type
Defined List]],'Option Typs_Grps'!B$2:C$47, 2, FALSE)</f>
        <v>Production Options</v>
      </c>
      <c r="G13" s="1707" t="s">
        <v>88</v>
      </c>
      <c r="H13" s="1707" t="s">
        <v>876</v>
      </c>
      <c r="I13" s="1707" t="s">
        <v>863</v>
      </c>
      <c r="J13" s="1703" t="s">
        <v>109</v>
      </c>
      <c r="K13" s="1703" t="s">
        <v>109</v>
      </c>
      <c r="L13" s="1703" t="s">
        <v>877</v>
      </c>
      <c r="M13" s="1703" t="s">
        <v>877</v>
      </c>
      <c r="N13" s="1703" t="s">
        <v>877</v>
      </c>
      <c r="O13" s="1703" t="s">
        <v>877</v>
      </c>
      <c r="P13" s="1703" t="s">
        <v>877</v>
      </c>
      <c r="Q13" s="1703" t="s">
        <v>877</v>
      </c>
      <c r="R13" s="1703" t="s">
        <v>877</v>
      </c>
      <c r="S13" s="1707" t="s">
        <v>109</v>
      </c>
      <c r="T13" s="1707" t="s">
        <v>109</v>
      </c>
      <c r="U13" s="1707" t="s">
        <v>109</v>
      </c>
      <c r="V13" s="1707">
        <v>2.75</v>
      </c>
      <c r="W13" s="1705">
        <v>5</v>
      </c>
      <c r="X13" s="1707">
        <v>2029</v>
      </c>
      <c r="Y13" s="1710">
        <v>28.26</v>
      </c>
      <c r="Z13" s="1710">
        <v>1.0900000000000001</v>
      </c>
      <c r="AA13" s="1710">
        <v>0.06</v>
      </c>
      <c r="AB13" s="1710">
        <v>0.13</v>
      </c>
      <c r="AC13" s="1710">
        <v>2.75</v>
      </c>
      <c r="AD13" s="1711">
        <f>(426025+1846253)/1000</f>
        <v>2272.2779999999998</v>
      </c>
      <c r="AE13" s="1703">
        <v>62.74</v>
      </c>
      <c r="AF13" s="1712">
        <f>(TBL4_OptApp[[#This Row],[Average option utilisation used for average totex expenditure and operational carbon forecasts (Ml/d)]]/TBL4_OptApp[[#This Row],[Maximum option utilisation across the planning period (Ml/d)]])*TBL4_OptApp[[#This Row],[Operational carbon emissions under maximum utilisation scenario
(tCO2 equivalent per annum)]]</f>
        <v>2.9658909090909091</v>
      </c>
      <c r="AG13" s="1713">
        <v>0.10565431346181368</v>
      </c>
      <c r="AH13" s="1713">
        <f>IFERROR(TBL4_OptApp[[#This Row],[Total NPC (£m)]]/TBL4_OptApp[[#This Row],[Maximum option utilisation across the planning period (Ml/d)]],"N/A")</f>
        <v>13.196363636363635</v>
      </c>
      <c r="AI13" s="1707">
        <v>36.29</v>
      </c>
      <c r="AJ13" s="1703">
        <v>-20520</v>
      </c>
      <c r="AK13" s="1705">
        <v>0</v>
      </c>
      <c r="AL13" s="1705"/>
      <c r="AM13" s="1705"/>
      <c r="AN13" s="1705"/>
      <c r="AO13" s="1705"/>
      <c r="AP13" s="1705"/>
      <c r="AQ13" s="1705"/>
      <c r="AR13" s="1705"/>
      <c r="AS13" s="1705"/>
      <c r="AT13" s="1705"/>
      <c r="AU13" s="1705"/>
      <c r="AV13" s="1705"/>
      <c r="AW13" s="1705"/>
      <c r="AX13" s="1705"/>
      <c r="AY13" s="1705"/>
      <c r="AZ13" s="1705"/>
      <c r="BA13" s="1705"/>
      <c r="BB13" s="1702"/>
      <c r="BC13" s="1702"/>
    </row>
    <row r="14" spans="1:55" x14ac:dyDescent="0.2">
      <c r="A14" s="1702"/>
      <c r="B14" s="17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51bP</v>
      </c>
      <c r="C14" s="1707" t="s">
        <v>888</v>
      </c>
      <c r="D14" s="1707" t="s">
        <v>889</v>
      </c>
      <c r="E14" s="1708" t="s">
        <v>885</v>
      </c>
      <c r="F14" s="1707" t="str">
        <f>VLOOKUP(TBL4_OptApp[[#This Row],[Option type
Defined List]],'Option Typs_Grps'!B$2:C$47, 2, FALSE)</f>
        <v>Production Options</v>
      </c>
      <c r="G14" s="1707" t="s">
        <v>88</v>
      </c>
      <c r="H14" s="1707" t="s">
        <v>876</v>
      </c>
      <c r="I14" s="1707" t="s">
        <v>863</v>
      </c>
      <c r="J14" s="1703" t="s">
        <v>109</v>
      </c>
      <c r="K14" s="1703" t="s">
        <v>109</v>
      </c>
      <c r="L14" s="1703" t="s">
        <v>877</v>
      </c>
      <c r="M14" s="1703" t="s">
        <v>877</v>
      </c>
      <c r="N14" s="1703" t="s">
        <v>877</v>
      </c>
      <c r="O14" s="1703" t="s">
        <v>877</v>
      </c>
      <c r="P14" s="1703" t="s">
        <v>877</v>
      </c>
      <c r="Q14" s="1703" t="s">
        <v>877</v>
      </c>
      <c r="R14" s="1703" t="s">
        <v>877</v>
      </c>
      <c r="S14" s="1707" t="s">
        <v>109</v>
      </c>
      <c r="T14" s="1707" t="s">
        <v>109</v>
      </c>
      <c r="U14" s="1707" t="s">
        <v>109</v>
      </c>
      <c r="V14" s="1707">
        <v>0.9</v>
      </c>
      <c r="W14" s="1705">
        <v>5</v>
      </c>
      <c r="X14" s="1707">
        <v>2029</v>
      </c>
      <c r="Y14" s="1710">
        <v>36.869999999999997</v>
      </c>
      <c r="Z14" s="1710">
        <v>1.31</v>
      </c>
      <c r="AA14" s="1710">
        <v>0.06</v>
      </c>
      <c r="AB14" s="1710">
        <v>0.04</v>
      </c>
      <c r="AC14" s="1710">
        <v>0.9</v>
      </c>
      <c r="AD14" s="1711">
        <f>(240672+3971438)/1000</f>
        <v>4212.1099999999997</v>
      </c>
      <c r="AE14" s="1703">
        <v>37.869999999999997</v>
      </c>
      <c r="AF14" s="1712">
        <f>(TBL4_OptApp[[#This Row],[Average option utilisation used for average totex expenditure and operational carbon forecasts (Ml/d)]]/TBL4_OptApp[[#This Row],[Maximum option utilisation across the planning period (Ml/d)]])*TBL4_OptApp[[#This Row],[Operational carbon emissions under maximum utilisation scenario
(tCO2 equivalent per annum)]]</f>
        <v>1.683111111111111</v>
      </c>
      <c r="AG14" s="1713">
        <v>5.9686646993100563E-2</v>
      </c>
      <c r="AH14" s="1713">
        <f>IFERROR(TBL4_OptApp[[#This Row],[Total NPC (£m)]]/TBL4_OptApp[[#This Row],[Maximum option utilisation across the planning period (Ml/d)]],"N/A")</f>
        <v>51.166666666666664</v>
      </c>
      <c r="AI14" s="1707">
        <v>46.05</v>
      </c>
      <c r="AJ14" s="1703">
        <v>-26760</v>
      </c>
      <c r="AK14" s="1705">
        <v>0</v>
      </c>
      <c r="AL14" s="1705"/>
      <c r="AM14" s="1705"/>
      <c r="AN14" s="1705"/>
      <c r="AO14" s="1705"/>
      <c r="AP14" s="1705"/>
      <c r="AQ14" s="1705"/>
      <c r="AR14" s="1705"/>
      <c r="AS14" s="1705"/>
      <c r="AT14" s="1705"/>
      <c r="AU14" s="1705"/>
      <c r="AV14" s="1705"/>
      <c r="AW14" s="1705"/>
      <c r="AX14" s="1705"/>
      <c r="AY14" s="1705"/>
      <c r="AZ14" s="1705"/>
      <c r="BA14" s="1705"/>
      <c r="BB14" s="1702"/>
      <c r="BC14" s="1702"/>
    </row>
    <row r="15" spans="1:55" ht="28.5" x14ac:dyDescent="0.2">
      <c r="A15" s="1702"/>
      <c r="B15" s="17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51bP</v>
      </c>
      <c r="C15" s="1707" t="s">
        <v>890</v>
      </c>
      <c r="D15" s="1707" t="s">
        <v>891</v>
      </c>
      <c r="E15" s="1708" t="s">
        <v>892</v>
      </c>
      <c r="F15" s="1707" t="str">
        <f>VLOOKUP(TBL4_OptApp[[#This Row],[Option type
Defined List]],'Option Typs_Grps'!B$2:C$47, 2, FALSE)</f>
        <v>Production Options</v>
      </c>
      <c r="G15" s="1707" t="s">
        <v>88</v>
      </c>
      <c r="H15" s="1707" t="s">
        <v>876</v>
      </c>
      <c r="I15" s="1707" t="s">
        <v>863</v>
      </c>
      <c r="J15" s="1703" t="s">
        <v>109</v>
      </c>
      <c r="K15" s="1703" t="s">
        <v>109</v>
      </c>
      <c r="L15" s="1703" t="s">
        <v>877</v>
      </c>
      <c r="M15" s="1703" t="s">
        <v>877</v>
      </c>
      <c r="N15" s="1703" t="s">
        <v>877</v>
      </c>
      <c r="O15" s="1703" t="s">
        <v>877</v>
      </c>
      <c r="P15" s="1703" t="s">
        <v>877</v>
      </c>
      <c r="Q15" s="1703" t="s">
        <v>877</v>
      </c>
      <c r="R15" s="1703" t="s">
        <v>877</v>
      </c>
      <c r="S15" s="1707" t="s">
        <v>109</v>
      </c>
      <c r="T15" s="1707" t="s">
        <v>109</v>
      </c>
      <c r="U15" s="1707" t="s">
        <v>109</v>
      </c>
      <c r="V15" s="1707">
        <v>8</v>
      </c>
      <c r="W15" s="1705">
        <v>2</v>
      </c>
      <c r="X15" s="1707">
        <v>2030</v>
      </c>
      <c r="Y15" s="1710">
        <v>8.65</v>
      </c>
      <c r="Z15" s="1710">
        <v>1.73</v>
      </c>
      <c r="AA15" s="1710">
        <v>0.31</v>
      </c>
      <c r="AB15" s="1710">
        <v>1.1399999999999999</v>
      </c>
      <c r="AC15" s="1716">
        <v>8</v>
      </c>
      <c r="AD15" s="1711">
        <f>47779/1000</f>
        <v>47.779000000000003</v>
      </c>
      <c r="AE15" s="1703">
        <v>28.99</v>
      </c>
      <c r="AF15" s="1712">
        <f>(TBL4_OptApp[[#This Row],[Average option utilisation used for average totex expenditure and operational carbon forecasts (Ml/d)]]/TBL4_OptApp[[#This Row],[Maximum option utilisation across the planning period (Ml/d)]])*TBL4_OptApp[[#This Row],[Operational carbon emissions under maximum utilisation scenario
(tCO2 equivalent per annum)]]</f>
        <v>4.1310749999999992</v>
      </c>
      <c r="AG15" s="1713">
        <v>6.2390953551354729</v>
      </c>
      <c r="AH15" s="1713">
        <f>IFERROR(TBL4_OptApp[[#This Row],[Total NPC (£m)]]/TBL4_OptApp[[#This Row],[Maximum option utilisation across the planning period (Ml/d)]],"N/A")</f>
        <v>3.4024999999999999</v>
      </c>
      <c r="AI15" s="1707">
        <v>27.22</v>
      </c>
      <c r="AJ15" s="1703">
        <v>-12690</v>
      </c>
      <c r="AK15" s="1705">
        <v>0</v>
      </c>
      <c r="AL15" s="1705"/>
      <c r="AM15" s="1705"/>
      <c r="AN15" s="1705"/>
      <c r="AO15" s="1705"/>
      <c r="AP15" s="1705"/>
      <c r="AQ15" s="1705"/>
      <c r="AR15" s="1705"/>
      <c r="AS15" s="1705"/>
      <c r="AT15" s="1705"/>
      <c r="AU15" s="1705"/>
      <c r="AV15" s="1705"/>
      <c r="AW15" s="1705"/>
      <c r="AX15" s="1705"/>
      <c r="AY15" s="1705"/>
      <c r="AZ15" s="1705"/>
      <c r="BA15" s="1705"/>
      <c r="BB15" s="1702"/>
      <c r="BC15" s="1702"/>
    </row>
    <row r="16" spans="1:55" ht="28.35" customHeight="1" x14ac:dyDescent="0.2">
      <c r="A16" s="1702"/>
      <c r="B16" s="17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51bP</v>
      </c>
      <c r="C16" s="1707" t="s">
        <v>893</v>
      </c>
      <c r="D16" s="1707" t="s">
        <v>894</v>
      </c>
      <c r="E16" s="1708" t="s">
        <v>885</v>
      </c>
      <c r="F16" s="1707" t="str">
        <f>VLOOKUP(TBL4_OptApp[[#This Row],[Option type
Defined List]],'Option Typs_Grps'!B$2:C$47, 2, FALSE)</f>
        <v>Production Options</v>
      </c>
      <c r="G16" s="1707" t="s">
        <v>88</v>
      </c>
      <c r="H16" s="1707" t="s">
        <v>876</v>
      </c>
      <c r="I16" s="1707" t="s">
        <v>863</v>
      </c>
      <c r="J16" s="1703" t="s">
        <v>109</v>
      </c>
      <c r="K16" s="1703" t="s">
        <v>109</v>
      </c>
      <c r="L16" s="1703" t="s">
        <v>877</v>
      </c>
      <c r="M16" s="1703" t="s">
        <v>877</v>
      </c>
      <c r="N16" s="1703" t="s">
        <v>877</v>
      </c>
      <c r="O16" s="1703" t="s">
        <v>877</v>
      </c>
      <c r="P16" s="1703" t="s">
        <v>877</v>
      </c>
      <c r="Q16" s="1703" t="s">
        <v>877</v>
      </c>
      <c r="R16" s="1703" t="s">
        <v>877</v>
      </c>
      <c r="S16" s="1707" t="s">
        <v>109</v>
      </c>
      <c r="T16" s="1707" t="s">
        <v>109</v>
      </c>
      <c r="U16" s="1707" t="s">
        <v>109</v>
      </c>
      <c r="V16" s="1707">
        <v>0.2</v>
      </c>
      <c r="W16" s="1705">
        <v>5</v>
      </c>
      <c r="X16" s="1707">
        <v>2029</v>
      </c>
      <c r="Y16" s="1710">
        <v>6.58</v>
      </c>
      <c r="Z16" s="1710">
        <v>0.19</v>
      </c>
      <c r="AA16" s="1710">
        <v>0.01</v>
      </c>
      <c r="AB16" s="1710">
        <v>0.01</v>
      </c>
      <c r="AC16" s="1710">
        <v>0.2</v>
      </c>
      <c r="AD16" s="1711">
        <f>61923/1000</f>
        <v>61.923000000000002</v>
      </c>
      <c r="AE16" s="1703">
        <v>24.97</v>
      </c>
      <c r="AF16" s="1712">
        <f>(TBL4_OptApp[[#This Row],[Average option utilisation used for average totex expenditure and operational carbon forecasts (Ml/d)]]/TBL4_OptApp[[#This Row],[Maximum option utilisation across the planning period (Ml/d)]])*TBL4_OptApp[[#This Row],[Operational carbon emissions under maximum utilisation scenario
(tCO2 equivalent per annum)]]</f>
        <v>1.2484999999999999</v>
      </c>
      <c r="AG16" s="1713">
        <v>1.5356870816688552E-2</v>
      </c>
      <c r="AH16" s="1713">
        <f>IFERROR(TBL4_OptApp[[#This Row],[Total NPC (£m)]]/TBL4_OptApp[[#This Row],[Maximum option utilisation across the planning period (Ml/d)]],"N/A")</f>
        <v>38.65</v>
      </c>
      <c r="AI16" s="1707">
        <v>7.73</v>
      </c>
      <c r="AJ16" s="1703">
        <v>-9090</v>
      </c>
      <c r="AK16" s="1705">
        <v>0</v>
      </c>
      <c r="AL16" s="1705"/>
      <c r="AM16" s="1705"/>
      <c r="AN16" s="1705"/>
      <c r="AO16" s="1705"/>
      <c r="AP16" s="1705"/>
      <c r="AQ16" s="1705"/>
      <c r="AR16" s="1705"/>
      <c r="AS16" s="1705"/>
      <c r="AT16" s="1705"/>
      <c r="AU16" s="1705"/>
      <c r="AV16" s="1705"/>
      <c r="AW16" s="1705"/>
      <c r="AX16" s="1705"/>
      <c r="AY16" s="1705"/>
      <c r="AZ16" s="1705"/>
      <c r="BA16" s="1705"/>
      <c r="BB16" s="1702"/>
      <c r="BC16" s="1702"/>
    </row>
    <row r="17" spans="1:55" ht="28.5" x14ac:dyDescent="0.2">
      <c r="A17" s="1702"/>
      <c r="B17" s="17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51aF</v>
      </c>
      <c r="C17" s="1703" t="s">
        <v>895</v>
      </c>
      <c r="D17" s="1703" t="s">
        <v>896</v>
      </c>
      <c r="E17" s="1703" t="s">
        <v>897</v>
      </c>
      <c r="F17" s="1703" t="str">
        <f>VLOOKUP(TBL4_OptApp[[#This Row],[Option type
Defined List]],'Option Typs_Grps'!B$2:C$47, 2, FALSE)</f>
        <v>Resource Options</v>
      </c>
      <c r="G17" s="1703" t="s">
        <v>88</v>
      </c>
      <c r="H17" s="1703" t="s">
        <v>862</v>
      </c>
      <c r="I17" s="1703" t="s">
        <v>863</v>
      </c>
      <c r="J17" s="1703" t="s">
        <v>109</v>
      </c>
      <c r="K17" s="1703" t="s">
        <v>109</v>
      </c>
      <c r="L17" s="1703" t="s">
        <v>863</v>
      </c>
      <c r="M17" s="1703" t="s">
        <v>863</v>
      </c>
      <c r="N17" s="1703" t="s">
        <v>863</v>
      </c>
      <c r="O17" s="1703" t="s">
        <v>863</v>
      </c>
      <c r="P17" s="1703" t="s">
        <v>863</v>
      </c>
      <c r="Q17" s="1703" t="s">
        <v>863</v>
      </c>
      <c r="R17" s="1703" t="s">
        <v>863</v>
      </c>
      <c r="S17" s="1703"/>
      <c r="T17" s="1705" t="s">
        <v>109</v>
      </c>
      <c r="U17" s="1705" t="s">
        <v>109</v>
      </c>
      <c r="V17" s="1703">
        <v>2.4</v>
      </c>
      <c r="W17" s="1703">
        <v>10</v>
      </c>
      <c r="X17" s="1703" t="s">
        <v>109</v>
      </c>
      <c r="Y17" s="1703" t="s">
        <v>109</v>
      </c>
      <c r="Z17" s="1703" t="s">
        <v>109</v>
      </c>
      <c r="AA17" s="1703" t="s">
        <v>109</v>
      </c>
      <c r="AB17" s="1703" t="s">
        <v>109</v>
      </c>
      <c r="AC17" s="1703">
        <v>2.4</v>
      </c>
      <c r="AD17" s="1703" t="s">
        <v>109</v>
      </c>
      <c r="AE17" s="1705" t="s">
        <v>109</v>
      </c>
      <c r="AF17" s="1703" t="s">
        <v>109</v>
      </c>
      <c r="AG17" s="1713">
        <v>1.3427334659500125E-4</v>
      </c>
      <c r="AH17" s="1713" t="str">
        <f>IFERROR(TBL4_OptApp[[#This Row],[Total NPC (£m)]]/TBL4_OptApp[[#This Row],[Maximum option utilisation across the planning period (Ml/d)]],"N/A")</f>
        <v>N/A</v>
      </c>
      <c r="AI17" s="1703" t="s">
        <v>109</v>
      </c>
      <c r="AJ17" s="1703"/>
      <c r="AK17" s="1705"/>
      <c r="AL17" s="1705"/>
      <c r="AM17" s="1705"/>
      <c r="AN17" s="1705"/>
      <c r="AO17" s="1705"/>
      <c r="AP17" s="1705"/>
      <c r="AQ17" s="1705"/>
      <c r="AR17" s="1705"/>
      <c r="AS17" s="1705"/>
      <c r="AT17" s="1705"/>
      <c r="AU17" s="1705"/>
      <c r="AV17" s="1705"/>
      <c r="AW17" s="1705"/>
      <c r="AX17" s="1705"/>
      <c r="AY17" s="1705"/>
      <c r="AZ17" s="1705"/>
      <c r="BA17" s="1705"/>
      <c r="BB17" s="1702"/>
      <c r="BC17" s="1702"/>
    </row>
    <row r="18" spans="1:55" ht="28.5" x14ac:dyDescent="0.2">
      <c r="A18" s="1702"/>
      <c r="B18" s="17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51aF</v>
      </c>
      <c r="C18" s="1703" t="s">
        <v>898</v>
      </c>
      <c r="D18" s="1703" t="s">
        <v>899</v>
      </c>
      <c r="E18" s="1703" t="s">
        <v>897</v>
      </c>
      <c r="F18" s="1703" t="str">
        <f>VLOOKUP(TBL4_OptApp[[#This Row],[Option type
Defined List]],'Option Typs_Grps'!B$2:C$47, 2, FALSE)</f>
        <v>Resource Options</v>
      </c>
      <c r="G18" s="1703" t="s">
        <v>88</v>
      </c>
      <c r="H18" s="1703" t="s">
        <v>862</v>
      </c>
      <c r="I18" s="1703" t="s">
        <v>863</v>
      </c>
      <c r="J18" s="1703" t="s">
        <v>109</v>
      </c>
      <c r="K18" s="1703" t="s">
        <v>109</v>
      </c>
      <c r="L18" s="1703" t="s">
        <v>863</v>
      </c>
      <c r="M18" s="1703" t="s">
        <v>863</v>
      </c>
      <c r="N18" s="1703" t="s">
        <v>863</v>
      </c>
      <c r="O18" s="1703" t="s">
        <v>863</v>
      </c>
      <c r="P18" s="1703" t="s">
        <v>863</v>
      </c>
      <c r="Q18" s="1703" t="s">
        <v>863</v>
      </c>
      <c r="R18" s="1703" t="s">
        <v>863</v>
      </c>
      <c r="S18" s="1703"/>
      <c r="T18" s="1705" t="s">
        <v>109</v>
      </c>
      <c r="U18" s="1705" t="s">
        <v>109</v>
      </c>
      <c r="V18" s="1703">
        <v>2.4</v>
      </c>
      <c r="W18" s="1703">
        <v>10</v>
      </c>
      <c r="X18" s="1703" t="s">
        <v>109</v>
      </c>
      <c r="Y18" s="1703" t="s">
        <v>109</v>
      </c>
      <c r="Z18" s="1703" t="s">
        <v>109</v>
      </c>
      <c r="AA18" s="1703" t="s">
        <v>109</v>
      </c>
      <c r="AB18" s="1703" t="s">
        <v>109</v>
      </c>
      <c r="AC18" s="1703">
        <v>2.4</v>
      </c>
      <c r="AD18" s="1703" t="s">
        <v>109</v>
      </c>
      <c r="AE18" s="1705" t="s">
        <v>109</v>
      </c>
      <c r="AF18" s="1705" t="s">
        <v>109</v>
      </c>
      <c r="AG18" s="1713">
        <v>0.25153957767821755</v>
      </c>
      <c r="AH18" s="1713" t="str">
        <f>IFERROR(TBL4_OptApp[[#This Row],[Total NPC (£m)]]/TBL4_OptApp[[#This Row],[Maximum option utilisation across the planning period (Ml/d)]],"N/A")</f>
        <v>N/A</v>
      </c>
      <c r="AI18" s="1703" t="s">
        <v>109</v>
      </c>
      <c r="AJ18" s="1703"/>
      <c r="AK18" s="1705"/>
      <c r="AL18" s="1705"/>
      <c r="AM18" s="1705"/>
      <c r="AN18" s="1705"/>
      <c r="AO18" s="1705"/>
      <c r="AP18" s="1705"/>
      <c r="AQ18" s="1705"/>
      <c r="AR18" s="1705"/>
      <c r="AS18" s="1705"/>
      <c r="AT18" s="1705"/>
      <c r="AU18" s="1705"/>
      <c r="AV18" s="1705"/>
      <c r="AW18" s="1705"/>
      <c r="AX18" s="1705"/>
      <c r="AY18" s="1705"/>
      <c r="AZ18" s="1705"/>
      <c r="BA18" s="1705"/>
      <c r="BB18" s="1702"/>
      <c r="BC18" s="1702"/>
    </row>
    <row r="19" spans="1:55" ht="42.75" x14ac:dyDescent="0.2">
      <c r="A19" s="1702"/>
      <c r="B19" s="17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51cF</v>
      </c>
      <c r="C19" s="1703" t="s">
        <v>900</v>
      </c>
      <c r="D19" s="1703" t="s">
        <v>901</v>
      </c>
      <c r="E19" s="1704" t="s">
        <v>902</v>
      </c>
      <c r="F19" s="1703" t="str">
        <f>VLOOKUP(TBL4_OptApp[[#This Row],[Option type
Defined List]],'Option Typs_Grps'!B$2:C$47, 2, FALSE)</f>
        <v>Distribution Options</v>
      </c>
      <c r="G19" s="1703" t="s">
        <v>105</v>
      </c>
      <c r="H19" s="1703" t="s">
        <v>862</v>
      </c>
      <c r="I19" s="1703" t="s">
        <v>877</v>
      </c>
      <c r="J19" s="1703" t="s">
        <v>109</v>
      </c>
      <c r="K19" s="1703" t="s">
        <v>903</v>
      </c>
      <c r="L19" s="1703" t="s">
        <v>863</v>
      </c>
      <c r="M19" s="1703" t="s">
        <v>863</v>
      </c>
      <c r="N19" s="1703" t="s">
        <v>863</v>
      </c>
      <c r="O19" s="1703" t="s">
        <v>863</v>
      </c>
      <c r="P19" s="1703" t="s">
        <v>863</v>
      </c>
      <c r="Q19" s="1703" t="s">
        <v>863</v>
      </c>
      <c r="R19" s="1703" t="s">
        <v>863</v>
      </c>
      <c r="S19" s="1705"/>
      <c r="T19" s="1705" t="s">
        <v>904</v>
      </c>
      <c r="U19" s="1705" t="s">
        <v>105</v>
      </c>
      <c r="V19" s="1707">
        <v>44</v>
      </c>
      <c r="W19" s="1705">
        <v>3</v>
      </c>
      <c r="X19" s="1703">
        <v>2030</v>
      </c>
      <c r="Y19" s="1705">
        <v>40.49</v>
      </c>
      <c r="Z19" s="1705">
        <v>1.26</v>
      </c>
      <c r="AA19" s="1703" t="s">
        <v>109</v>
      </c>
      <c r="AB19" s="1703" t="s">
        <v>109</v>
      </c>
      <c r="AC19" s="1705">
        <v>44</v>
      </c>
      <c r="AD19" s="1713">
        <v>54047.9</v>
      </c>
      <c r="AE19" s="1713">
        <v>1245.222</v>
      </c>
      <c r="AF19" s="1712" t="s">
        <v>109</v>
      </c>
      <c r="AG19" s="1713">
        <v>15.410175512117855</v>
      </c>
      <c r="AH19" s="1713">
        <f>IFERROR(TBL4_OptApp[[#This Row],[Total NPC (£m)]]/TBL4_OptApp[[#This Row],[Maximum option utilisation across the planning period (Ml/d)]],"N/A")</f>
        <v>1.0779536412771094</v>
      </c>
      <c r="AI19" s="1713">
        <v>47.429960216192811</v>
      </c>
      <c r="AJ19" s="1703"/>
      <c r="AK19" s="1703"/>
      <c r="AL19" s="1703"/>
      <c r="AM19" s="1703"/>
      <c r="AN19" s="1703"/>
      <c r="AO19" s="1703"/>
      <c r="AP19" s="1703"/>
      <c r="AQ19" s="1703"/>
      <c r="AR19" s="1703"/>
      <c r="AS19" s="1703"/>
      <c r="AT19" s="1703"/>
      <c r="AU19" s="1703"/>
      <c r="AV19" s="1703"/>
      <c r="AW19" s="1703"/>
      <c r="AX19" s="1703"/>
      <c r="AY19" s="1703"/>
      <c r="AZ19" s="1705"/>
      <c r="BA19" s="1705"/>
      <c r="BB19" s="1702"/>
      <c r="BC19" s="1702"/>
    </row>
    <row r="20" spans="1:55" ht="28.5" x14ac:dyDescent="0.2">
      <c r="A20" s="1702"/>
      <c r="B20" s="17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51cF</v>
      </c>
      <c r="C20" s="1703" t="s">
        <v>905</v>
      </c>
      <c r="D20" s="1703" t="s">
        <v>906</v>
      </c>
      <c r="E20" s="1704" t="s">
        <v>907</v>
      </c>
      <c r="F20" s="1703" t="str">
        <f>VLOOKUP(TBL4_OptApp[[#This Row],[Option type
Defined List]],'Option Typs_Grps'!B$2:C$47, 2, FALSE)</f>
        <v>Distribution Options</v>
      </c>
      <c r="G20" s="1703" t="s">
        <v>102</v>
      </c>
      <c r="H20" s="1703" t="s">
        <v>862</v>
      </c>
      <c r="I20" s="1703" t="s">
        <v>863</v>
      </c>
      <c r="J20" s="1703" t="s">
        <v>109</v>
      </c>
      <c r="K20" s="1703" t="s">
        <v>908</v>
      </c>
      <c r="L20" s="1703" t="s">
        <v>863</v>
      </c>
      <c r="M20" s="1703" t="s">
        <v>863</v>
      </c>
      <c r="N20" s="1703" t="s">
        <v>863</v>
      </c>
      <c r="O20" s="1703" t="s">
        <v>863</v>
      </c>
      <c r="P20" s="1703" t="s">
        <v>863</v>
      </c>
      <c r="Q20" s="1703" t="s">
        <v>863</v>
      </c>
      <c r="R20" s="1703" t="s">
        <v>863</v>
      </c>
      <c r="S20" s="1705"/>
      <c r="T20" s="1705" t="s">
        <v>105</v>
      </c>
      <c r="U20" s="1705" t="s">
        <v>102</v>
      </c>
      <c r="V20" s="1707">
        <v>8.5</v>
      </c>
      <c r="W20" s="1705">
        <v>3</v>
      </c>
      <c r="X20" s="1703">
        <v>2030</v>
      </c>
      <c r="Y20" s="1717">
        <v>59.02</v>
      </c>
      <c r="Z20" s="1717">
        <v>0.65</v>
      </c>
      <c r="AA20" s="1703" t="s">
        <v>109</v>
      </c>
      <c r="AB20" s="1703" t="s">
        <v>109</v>
      </c>
      <c r="AC20" s="1705">
        <v>8.5</v>
      </c>
      <c r="AD20" s="1713" t="s">
        <v>109</v>
      </c>
      <c r="AE20" s="1712" t="s">
        <v>109</v>
      </c>
      <c r="AF20" s="1712" t="s">
        <v>109</v>
      </c>
      <c r="AG20" s="1713">
        <v>14.970763368026759</v>
      </c>
      <c r="AH20" s="1713">
        <f>IFERROR(TBL4_OptApp[[#This Row],[Total NPC (£m)]]/TBL4_OptApp[[#This Row],[Maximum option utilisation across the planning period (Ml/d)]],"N/A")</f>
        <v>4.0252868682173233</v>
      </c>
      <c r="AI20" s="1713">
        <v>34.214938379847247</v>
      </c>
      <c r="AJ20" s="1703" t="s">
        <v>909</v>
      </c>
      <c r="AK20" s="1705" t="s">
        <v>909</v>
      </c>
      <c r="AL20" s="1705"/>
      <c r="AM20" s="1705" t="s">
        <v>909</v>
      </c>
      <c r="AN20" s="1705"/>
      <c r="AO20" s="1705" t="s">
        <v>909</v>
      </c>
      <c r="AP20" s="1705"/>
      <c r="AQ20" s="1705" t="s">
        <v>909</v>
      </c>
      <c r="AR20" s="1705"/>
      <c r="AS20" s="1705" t="s">
        <v>909</v>
      </c>
      <c r="AT20" s="1705"/>
      <c r="AU20" s="1705" t="s">
        <v>909</v>
      </c>
      <c r="AV20" s="1705"/>
      <c r="AW20" s="1705" t="s">
        <v>909</v>
      </c>
      <c r="AX20" s="1705" t="s">
        <v>909</v>
      </c>
      <c r="AY20" s="1705" t="s">
        <v>909</v>
      </c>
      <c r="AZ20" s="1705"/>
      <c r="BA20" s="1705"/>
      <c r="BB20" s="1702"/>
      <c r="BC20" s="1702"/>
    </row>
    <row r="21" spans="1:55" ht="28.5" x14ac:dyDescent="0.2">
      <c r="A21" s="1702"/>
      <c r="B21" s="17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51cF</v>
      </c>
      <c r="C21" s="1703" t="s">
        <v>908</v>
      </c>
      <c r="D21" s="1703" t="s">
        <v>910</v>
      </c>
      <c r="E21" s="1704" t="s">
        <v>907</v>
      </c>
      <c r="F21" s="1703" t="str">
        <f>VLOOKUP(TBL4_OptApp[[#This Row],[Option type
Defined List]],'Option Typs_Grps'!B$2:C$47, 2, FALSE)</f>
        <v>Distribution Options</v>
      </c>
      <c r="G21" s="1703" t="s">
        <v>93</v>
      </c>
      <c r="H21" s="1703" t="s">
        <v>862</v>
      </c>
      <c r="I21" s="1703" t="s">
        <v>863</v>
      </c>
      <c r="J21" s="1703" t="s">
        <v>109</v>
      </c>
      <c r="K21" s="1703" t="s">
        <v>905</v>
      </c>
      <c r="L21" s="1703" t="s">
        <v>863</v>
      </c>
      <c r="M21" s="1703" t="s">
        <v>863</v>
      </c>
      <c r="N21" s="1703" t="s">
        <v>863</v>
      </c>
      <c r="O21" s="1703" t="s">
        <v>863</v>
      </c>
      <c r="P21" s="1703" t="s">
        <v>863</v>
      </c>
      <c r="Q21" s="1703" t="s">
        <v>863</v>
      </c>
      <c r="R21" s="1703" t="s">
        <v>863</v>
      </c>
      <c r="S21" s="1705"/>
      <c r="T21" s="1705" t="s">
        <v>105</v>
      </c>
      <c r="U21" s="1705" t="s">
        <v>93</v>
      </c>
      <c r="V21" s="1707">
        <v>8</v>
      </c>
      <c r="W21" s="1705">
        <v>3</v>
      </c>
      <c r="X21" s="1703">
        <v>2030</v>
      </c>
      <c r="Y21" s="1717">
        <v>45.83</v>
      </c>
      <c r="Z21" s="1717">
        <v>0.06</v>
      </c>
      <c r="AA21" s="1703" t="s">
        <v>109</v>
      </c>
      <c r="AB21" s="1703" t="s">
        <v>109</v>
      </c>
      <c r="AC21" s="1705">
        <v>8</v>
      </c>
      <c r="AD21" s="1713">
        <v>43624.197</v>
      </c>
      <c r="AE21" s="1713">
        <v>215.23400000000001</v>
      </c>
      <c r="AF21" s="1712" t="s">
        <v>109</v>
      </c>
      <c r="AG21" s="1713">
        <v>13.352315875577121</v>
      </c>
      <c r="AH21" s="1713">
        <f>IFERROR(TBL4_OptApp[[#This Row],[Total NPC (£m)]]/TBL4_OptApp[[#This Row],[Maximum option utilisation across the planning period (Ml/d)]],"N/A")</f>
        <v>3.1530748851848349</v>
      </c>
      <c r="AI21" s="1713">
        <v>25.224599081478679</v>
      </c>
      <c r="AJ21" s="1703" t="s">
        <v>909</v>
      </c>
      <c r="AK21" s="1703" t="s">
        <v>909</v>
      </c>
      <c r="AL21" s="1703"/>
      <c r="AM21" s="1703" t="s">
        <v>909</v>
      </c>
      <c r="AN21" s="1703"/>
      <c r="AO21" s="1703" t="s">
        <v>909</v>
      </c>
      <c r="AP21" s="1703"/>
      <c r="AQ21" s="1703" t="s">
        <v>909</v>
      </c>
      <c r="AR21" s="1703"/>
      <c r="AS21" s="1703" t="s">
        <v>909</v>
      </c>
      <c r="AT21" s="1703"/>
      <c r="AU21" s="1703" t="s">
        <v>909</v>
      </c>
      <c r="AV21" s="1703"/>
      <c r="AW21" s="1703" t="s">
        <v>909</v>
      </c>
      <c r="AX21" s="1703" t="s">
        <v>909</v>
      </c>
      <c r="AY21" s="1703" t="s">
        <v>909</v>
      </c>
      <c r="AZ21" s="1705"/>
      <c r="BA21" s="1705"/>
      <c r="BB21" s="1702"/>
      <c r="BC21" s="1702"/>
    </row>
    <row r="22" spans="1:55" x14ac:dyDescent="0.2">
      <c r="A22" s="1702"/>
      <c r="B22" s="17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51aF</v>
      </c>
      <c r="C22" s="1703" t="s">
        <v>911</v>
      </c>
      <c r="D22" s="1703" t="s">
        <v>912</v>
      </c>
      <c r="E22" s="1704" t="s">
        <v>913</v>
      </c>
      <c r="F22" s="1703" t="str">
        <f>VLOOKUP(TBL4_OptApp[[#This Row],[Option type
Defined List]],'Option Typs_Grps'!B$2:C$47, 2, FALSE)</f>
        <v>Resource Options</v>
      </c>
      <c r="G22" s="1703" t="s">
        <v>105</v>
      </c>
      <c r="H22" s="1707" t="s">
        <v>862</v>
      </c>
      <c r="I22" s="1703" t="s">
        <v>863</v>
      </c>
      <c r="J22" s="1703" t="s">
        <v>109</v>
      </c>
      <c r="K22" s="1703" t="s">
        <v>109</v>
      </c>
      <c r="L22" s="1703" t="s">
        <v>863</v>
      </c>
      <c r="M22" s="1703" t="s">
        <v>863</v>
      </c>
      <c r="N22" s="1703" t="s">
        <v>863</v>
      </c>
      <c r="O22" s="1703" t="s">
        <v>877</v>
      </c>
      <c r="P22" s="1703" t="s">
        <v>877</v>
      </c>
      <c r="Q22" s="1703" t="s">
        <v>877</v>
      </c>
      <c r="R22" s="1703" t="s">
        <v>877</v>
      </c>
      <c r="S22" s="1703"/>
      <c r="T22" s="1705" t="s">
        <v>109</v>
      </c>
      <c r="U22" s="1705" t="s">
        <v>109</v>
      </c>
      <c r="V22" s="1707">
        <v>16.399999999999999</v>
      </c>
      <c r="W22" s="1705">
        <v>5</v>
      </c>
      <c r="X22" s="1703">
        <v>2040</v>
      </c>
      <c r="Y22" s="1717">
        <v>67.73</v>
      </c>
      <c r="Z22" s="1717">
        <v>4.4800000000000004</v>
      </c>
      <c r="AA22" s="1703" t="s">
        <v>109</v>
      </c>
      <c r="AB22" s="1703" t="s">
        <v>109</v>
      </c>
      <c r="AC22" s="1705">
        <v>16.399999999999999</v>
      </c>
      <c r="AD22" s="1713" t="s">
        <v>109</v>
      </c>
      <c r="AE22" s="1712" t="s">
        <v>109</v>
      </c>
      <c r="AF22" s="1713" t="s">
        <v>109</v>
      </c>
      <c r="AG22" s="1713">
        <v>5.2742538958259582</v>
      </c>
      <c r="AH22" s="1713">
        <f>IFERROR(TBL4_OptApp[[#This Row],[Total NPC (£m)]]/TBL4_OptApp[[#This Row],[Maximum option utilisation across the planning period (Ml/d)]],"N/A")</f>
        <v>3.6713414634146346</v>
      </c>
      <c r="AI22" s="1713">
        <v>60.21</v>
      </c>
      <c r="AJ22" s="1703"/>
      <c r="AK22" s="1705"/>
      <c r="AL22" s="1705"/>
      <c r="AM22" s="1705"/>
      <c r="AN22" s="1705"/>
      <c r="AO22" s="1705"/>
      <c r="AP22" s="1705"/>
      <c r="AQ22" s="1705"/>
      <c r="AR22" s="1705"/>
      <c r="AS22" s="1705"/>
      <c r="AT22" s="1705"/>
      <c r="AU22" s="1705"/>
      <c r="AV22" s="1705"/>
      <c r="AW22" s="1705"/>
      <c r="AX22" s="1705"/>
      <c r="AY22" s="1705"/>
      <c r="AZ22" s="1705"/>
      <c r="BA22" s="1705"/>
      <c r="BB22" s="1702"/>
      <c r="BC22" s="1702"/>
    </row>
    <row r="23" spans="1:55" ht="28.5" x14ac:dyDescent="0.2">
      <c r="A23" s="1702"/>
      <c r="B23" s="17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51aF</v>
      </c>
      <c r="C23" s="1707" t="s">
        <v>914</v>
      </c>
      <c r="D23" s="1707" t="s">
        <v>915</v>
      </c>
      <c r="E23" s="1704" t="s">
        <v>916</v>
      </c>
      <c r="F23" s="1703" t="str">
        <f>VLOOKUP(TBL4_OptApp[[#This Row],[Option type
Defined List]],'Option Typs_Grps'!B$2:C$47, 2, FALSE)</f>
        <v>Resource Options</v>
      </c>
      <c r="G23" s="1703" t="s">
        <v>105</v>
      </c>
      <c r="H23" s="1703" t="s">
        <v>862</v>
      </c>
      <c r="I23" s="1703" t="s">
        <v>863</v>
      </c>
      <c r="J23" s="1703" t="s">
        <v>109</v>
      </c>
      <c r="K23" s="1703" t="s">
        <v>109</v>
      </c>
      <c r="L23" s="1703" t="s">
        <v>863</v>
      </c>
      <c r="M23" s="1703" t="s">
        <v>863</v>
      </c>
      <c r="N23" s="1703" t="s">
        <v>863</v>
      </c>
      <c r="O23" s="1703" t="s">
        <v>863</v>
      </c>
      <c r="P23" s="1703" t="s">
        <v>863</v>
      </c>
      <c r="Q23" s="1703" t="s">
        <v>863</v>
      </c>
      <c r="R23" s="1703" t="s">
        <v>863</v>
      </c>
      <c r="S23" s="1705"/>
      <c r="T23" s="1705" t="s">
        <v>109</v>
      </c>
      <c r="U23" s="1705" t="s">
        <v>109</v>
      </c>
      <c r="V23" s="1707">
        <v>25.1</v>
      </c>
      <c r="W23" s="1705">
        <v>5</v>
      </c>
      <c r="X23" s="1703">
        <v>2032</v>
      </c>
      <c r="Y23" s="1717">
        <v>115.32</v>
      </c>
      <c r="Z23" s="1717">
        <v>11.56</v>
      </c>
      <c r="AA23" s="1703" t="s">
        <v>109</v>
      </c>
      <c r="AB23" s="1703" t="s">
        <v>109</v>
      </c>
      <c r="AC23" s="1703">
        <v>25.1</v>
      </c>
      <c r="AD23" s="1713">
        <f>(8474142+62708169)/1000</f>
        <v>71182.311000000002</v>
      </c>
      <c r="AE23" s="1713">
        <v>9965.1239999999998</v>
      </c>
      <c r="AF23" s="1712">
        <v>0</v>
      </c>
      <c r="AG23" s="1713">
        <v>6.1335270870414274</v>
      </c>
      <c r="AH23" s="1713">
        <f>IFERROR(TBL4_OptApp[[#This Row],[Total NPC (£m)]]/TBL4_OptApp[[#This Row],[Maximum option utilisation across the planning period (Ml/d)]],"N/A")</f>
        <v>10.129083665338646</v>
      </c>
      <c r="AI23" s="1713">
        <v>254.24</v>
      </c>
      <c r="AJ23" s="1703"/>
      <c r="AK23" s="1705"/>
      <c r="AL23" s="1705"/>
      <c r="AM23" s="1705"/>
      <c r="AN23" s="1705"/>
      <c r="AO23" s="1705"/>
      <c r="AP23" s="1705"/>
      <c r="AQ23" s="1705"/>
      <c r="AR23" s="1705"/>
      <c r="AS23" s="1705"/>
      <c r="AT23" s="1705"/>
      <c r="AU23" s="1705"/>
      <c r="AV23" s="1705"/>
      <c r="AW23" s="1705"/>
      <c r="AX23" s="1705"/>
      <c r="AY23" s="1705"/>
      <c r="AZ23" s="1705"/>
      <c r="BA23" s="1705"/>
      <c r="BB23" s="1702"/>
      <c r="BC23" s="1702"/>
    </row>
    <row r="24" spans="1:55" x14ac:dyDescent="0.2">
      <c r="A24" s="1702"/>
      <c r="B24" s="17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24" s="1703" t="s">
        <v>917</v>
      </c>
      <c r="D24" s="1703" t="s">
        <v>918</v>
      </c>
      <c r="E24" s="1704" t="s">
        <v>916</v>
      </c>
      <c r="F24" s="1703" t="str">
        <f>VLOOKUP(TBL4_OptApp[[#This Row],[Option type
Defined List]],'Option Typs_Grps'!B$2:C$47, 2, FALSE)</f>
        <v>Resource Options</v>
      </c>
      <c r="G24" s="1703" t="s">
        <v>88</v>
      </c>
      <c r="H24" s="1703" t="s">
        <v>871</v>
      </c>
      <c r="I24" s="1703" t="s">
        <v>863</v>
      </c>
      <c r="J24" s="1703" t="s">
        <v>109</v>
      </c>
      <c r="K24" s="1703" t="s">
        <v>109</v>
      </c>
      <c r="L24" s="1703" t="s">
        <v>863</v>
      </c>
      <c r="M24" s="1703" t="s">
        <v>863</v>
      </c>
      <c r="N24" s="1703" t="s">
        <v>863</v>
      </c>
      <c r="O24" s="1703" t="s">
        <v>863</v>
      </c>
      <c r="P24" s="1703" t="s">
        <v>863</v>
      </c>
      <c r="Q24" s="1703" t="s">
        <v>863</v>
      </c>
      <c r="R24" s="1703" t="s">
        <v>863</v>
      </c>
      <c r="S24" s="1703" t="s">
        <v>919</v>
      </c>
      <c r="T24" s="1705" t="s">
        <v>109</v>
      </c>
      <c r="U24" s="1705" t="s">
        <v>109</v>
      </c>
      <c r="V24" s="1707">
        <v>25</v>
      </c>
      <c r="W24" s="1703" t="s">
        <v>109</v>
      </c>
      <c r="X24" s="1703" t="s">
        <v>109</v>
      </c>
      <c r="Y24" s="1703" t="s">
        <v>109</v>
      </c>
      <c r="Z24" s="1703" t="s">
        <v>109</v>
      </c>
      <c r="AA24" s="1703" t="s">
        <v>109</v>
      </c>
      <c r="AB24" s="1703" t="s">
        <v>109</v>
      </c>
      <c r="AC24" s="1703" t="s">
        <v>109</v>
      </c>
      <c r="AD24" s="1713" t="s">
        <v>109</v>
      </c>
      <c r="AE24" s="1712"/>
      <c r="AF24" s="1712"/>
      <c r="AG24" s="1713"/>
      <c r="AH24" s="1713" t="s">
        <v>109</v>
      </c>
      <c r="AI24" s="1713" t="s">
        <v>109</v>
      </c>
      <c r="AJ24" s="1703"/>
      <c r="AK24" s="1705"/>
      <c r="AL24" s="1705"/>
      <c r="AM24" s="1705"/>
      <c r="AN24" s="1705"/>
      <c r="AO24" s="1705"/>
      <c r="AP24" s="1705"/>
      <c r="AQ24" s="1705"/>
      <c r="AR24" s="1705"/>
      <c r="AS24" s="1705"/>
      <c r="AT24" s="1705"/>
      <c r="AU24" s="1705"/>
      <c r="AV24" s="1705"/>
      <c r="AW24" s="1705"/>
      <c r="AX24" s="1705"/>
      <c r="AY24" s="1705"/>
      <c r="AZ24" s="1705"/>
      <c r="BA24" s="1705"/>
      <c r="BB24" s="1702"/>
      <c r="BC24" s="1702"/>
    </row>
    <row r="25" spans="1:55" x14ac:dyDescent="0.2">
      <c r="A25" s="1702"/>
      <c r="B25" s="17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25" s="1703" t="s">
        <v>920</v>
      </c>
      <c r="D25" s="1703" t="s">
        <v>918</v>
      </c>
      <c r="E25" s="1704" t="s">
        <v>916</v>
      </c>
      <c r="F25" s="1703" t="str">
        <f>VLOOKUP(TBL4_OptApp[[#This Row],[Option type
Defined List]],'Option Typs_Grps'!B$2:C$47, 2, FALSE)</f>
        <v>Resource Options</v>
      </c>
      <c r="G25" s="1703" t="s">
        <v>88</v>
      </c>
      <c r="H25" s="1703" t="s">
        <v>871</v>
      </c>
      <c r="I25" s="1703" t="s">
        <v>863</v>
      </c>
      <c r="J25" s="1703" t="s">
        <v>109</v>
      </c>
      <c r="K25" s="1703" t="s">
        <v>109</v>
      </c>
      <c r="L25" s="1703" t="s">
        <v>863</v>
      </c>
      <c r="M25" s="1703" t="s">
        <v>863</v>
      </c>
      <c r="N25" s="1703" t="s">
        <v>863</v>
      </c>
      <c r="O25" s="1703" t="s">
        <v>863</v>
      </c>
      <c r="P25" s="1703" t="s">
        <v>863</v>
      </c>
      <c r="Q25" s="1703" t="s">
        <v>863</v>
      </c>
      <c r="R25" s="1703" t="s">
        <v>863</v>
      </c>
      <c r="S25" s="1703" t="s">
        <v>919</v>
      </c>
      <c r="T25" s="1705" t="s">
        <v>109</v>
      </c>
      <c r="U25" s="1705" t="s">
        <v>109</v>
      </c>
      <c r="V25" s="1707">
        <v>50</v>
      </c>
      <c r="W25" s="1703" t="s">
        <v>109</v>
      </c>
      <c r="X25" s="1703" t="s">
        <v>109</v>
      </c>
      <c r="Y25" s="1703" t="s">
        <v>109</v>
      </c>
      <c r="Z25" s="1703" t="s">
        <v>109</v>
      </c>
      <c r="AA25" s="1703" t="s">
        <v>109</v>
      </c>
      <c r="AB25" s="1703" t="s">
        <v>109</v>
      </c>
      <c r="AC25" s="1703" t="s">
        <v>109</v>
      </c>
      <c r="AD25" s="1713" t="s">
        <v>109</v>
      </c>
      <c r="AE25" s="1712"/>
      <c r="AF25" s="1712"/>
      <c r="AG25" s="1713"/>
      <c r="AH25" s="1713" t="s">
        <v>109</v>
      </c>
      <c r="AI25" s="1713" t="s">
        <v>109</v>
      </c>
      <c r="AJ25" s="1703"/>
      <c r="AK25" s="1705"/>
      <c r="AL25" s="1705"/>
      <c r="AM25" s="1705"/>
      <c r="AN25" s="1705"/>
      <c r="AO25" s="1705"/>
      <c r="AP25" s="1705"/>
      <c r="AQ25" s="1705"/>
      <c r="AR25" s="1705"/>
      <c r="AS25" s="1705"/>
      <c r="AT25" s="1705"/>
      <c r="AU25" s="1705"/>
      <c r="AV25" s="1705"/>
      <c r="AW25" s="1705"/>
      <c r="AX25" s="1705"/>
      <c r="AY25" s="1705"/>
      <c r="AZ25" s="1705"/>
      <c r="BA25" s="1705"/>
      <c r="BB25" s="1702"/>
      <c r="BC25" s="1702"/>
    </row>
    <row r="26" spans="1:55" x14ac:dyDescent="0.2">
      <c r="A26" s="1702"/>
      <c r="B26" s="17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26" s="1703" t="s">
        <v>921</v>
      </c>
      <c r="D26" s="1703" t="s">
        <v>918</v>
      </c>
      <c r="E26" s="1704" t="s">
        <v>916</v>
      </c>
      <c r="F26" s="1703" t="str">
        <f>VLOOKUP(TBL4_OptApp[[#This Row],[Option type
Defined List]],'Option Typs_Grps'!B$2:C$47, 2, FALSE)</f>
        <v>Resource Options</v>
      </c>
      <c r="G26" s="1703" t="s">
        <v>88</v>
      </c>
      <c r="H26" s="1703" t="s">
        <v>871</v>
      </c>
      <c r="I26" s="1703" t="s">
        <v>863</v>
      </c>
      <c r="J26" s="1703" t="s">
        <v>109</v>
      </c>
      <c r="K26" s="1703" t="s">
        <v>109</v>
      </c>
      <c r="L26" s="1703" t="s">
        <v>863</v>
      </c>
      <c r="M26" s="1703" t="s">
        <v>863</v>
      </c>
      <c r="N26" s="1703" t="s">
        <v>863</v>
      </c>
      <c r="O26" s="1703" t="s">
        <v>863</v>
      </c>
      <c r="P26" s="1703" t="s">
        <v>863</v>
      </c>
      <c r="Q26" s="1703" t="s">
        <v>863</v>
      </c>
      <c r="R26" s="1703" t="s">
        <v>863</v>
      </c>
      <c r="S26" s="1703" t="s">
        <v>919</v>
      </c>
      <c r="T26" s="1705" t="s">
        <v>109</v>
      </c>
      <c r="U26" s="1705" t="s">
        <v>109</v>
      </c>
      <c r="V26" s="1707">
        <v>100</v>
      </c>
      <c r="W26" s="1703" t="s">
        <v>109</v>
      </c>
      <c r="X26" s="1703" t="s">
        <v>109</v>
      </c>
      <c r="Y26" s="1703" t="s">
        <v>109</v>
      </c>
      <c r="Z26" s="1703" t="s">
        <v>109</v>
      </c>
      <c r="AA26" s="1703" t="s">
        <v>109</v>
      </c>
      <c r="AB26" s="1703" t="s">
        <v>109</v>
      </c>
      <c r="AC26" s="1703" t="s">
        <v>109</v>
      </c>
      <c r="AD26" s="1713" t="s">
        <v>109</v>
      </c>
      <c r="AE26" s="1712"/>
      <c r="AF26" s="1712"/>
      <c r="AG26" s="1713"/>
      <c r="AH26" s="1713" t="s">
        <v>109</v>
      </c>
      <c r="AI26" s="1713" t="s">
        <v>109</v>
      </c>
      <c r="AJ26" s="1703"/>
      <c r="AK26" s="1705"/>
      <c r="AL26" s="1705"/>
      <c r="AM26" s="1705"/>
      <c r="AN26" s="1705"/>
      <c r="AO26" s="1705"/>
      <c r="AP26" s="1705"/>
      <c r="AQ26" s="1705"/>
      <c r="AR26" s="1705"/>
      <c r="AS26" s="1705"/>
      <c r="AT26" s="1705"/>
      <c r="AU26" s="1705"/>
      <c r="AV26" s="1705"/>
      <c r="AW26" s="1705"/>
      <c r="AX26" s="1705"/>
      <c r="AY26" s="1705"/>
      <c r="AZ26" s="1705"/>
      <c r="BA26" s="1705"/>
      <c r="BB26" s="1702"/>
      <c r="BC26" s="1702"/>
    </row>
    <row r="27" spans="1:55" x14ac:dyDescent="0.2">
      <c r="A27" s="1702"/>
      <c r="B27" s="17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27" s="1703" t="s">
        <v>922</v>
      </c>
      <c r="D27" s="1703" t="s">
        <v>918</v>
      </c>
      <c r="E27" s="1704" t="s">
        <v>916</v>
      </c>
      <c r="F27" s="1703" t="str">
        <f>VLOOKUP(TBL4_OptApp[[#This Row],[Option type
Defined List]],'Option Typs_Grps'!B$2:C$47, 2, FALSE)</f>
        <v>Resource Options</v>
      </c>
      <c r="G27" s="1703" t="s">
        <v>88</v>
      </c>
      <c r="H27" s="1703" t="s">
        <v>871</v>
      </c>
      <c r="I27" s="1703" t="s">
        <v>863</v>
      </c>
      <c r="J27" s="1703" t="s">
        <v>109</v>
      </c>
      <c r="K27" s="1703" t="s">
        <v>109</v>
      </c>
      <c r="L27" s="1703" t="s">
        <v>863</v>
      </c>
      <c r="M27" s="1703" t="s">
        <v>863</v>
      </c>
      <c r="N27" s="1703" t="s">
        <v>863</v>
      </c>
      <c r="O27" s="1703" t="s">
        <v>863</v>
      </c>
      <c r="P27" s="1703" t="s">
        <v>863</v>
      </c>
      <c r="Q27" s="1703" t="s">
        <v>863</v>
      </c>
      <c r="R27" s="1703" t="s">
        <v>863</v>
      </c>
      <c r="S27" s="1703" t="s">
        <v>919</v>
      </c>
      <c r="T27" s="1705" t="s">
        <v>109</v>
      </c>
      <c r="U27" s="1705" t="s">
        <v>109</v>
      </c>
      <c r="V27" s="1707">
        <v>145</v>
      </c>
      <c r="W27" s="1703" t="s">
        <v>109</v>
      </c>
      <c r="X27" s="1703" t="s">
        <v>109</v>
      </c>
      <c r="Y27" s="1703" t="s">
        <v>109</v>
      </c>
      <c r="Z27" s="1703" t="s">
        <v>109</v>
      </c>
      <c r="AA27" s="1703" t="s">
        <v>109</v>
      </c>
      <c r="AB27" s="1703" t="s">
        <v>109</v>
      </c>
      <c r="AC27" s="1703" t="s">
        <v>109</v>
      </c>
      <c r="AD27" s="1713">
        <v>97973.6</v>
      </c>
      <c r="AE27" s="1712"/>
      <c r="AF27" s="1712"/>
      <c r="AG27" s="1713"/>
      <c r="AH27" s="1713" t="s">
        <v>109</v>
      </c>
      <c r="AI27" s="1713" t="s">
        <v>109</v>
      </c>
      <c r="AJ27" s="1703"/>
      <c r="AK27" s="1705"/>
      <c r="AL27" s="1705"/>
      <c r="AM27" s="1705"/>
      <c r="AN27" s="1705"/>
      <c r="AO27" s="1705"/>
      <c r="AP27" s="1705"/>
      <c r="AQ27" s="1705"/>
      <c r="AR27" s="1705"/>
      <c r="AS27" s="1705"/>
      <c r="AT27" s="1705"/>
      <c r="AU27" s="1705"/>
      <c r="AV27" s="1705"/>
      <c r="AW27" s="1705"/>
      <c r="AX27" s="1705"/>
      <c r="AY27" s="1705"/>
      <c r="AZ27" s="1705"/>
      <c r="BA27" s="1705"/>
      <c r="BB27" s="1702"/>
      <c r="BC27" s="1702"/>
    </row>
    <row r="28" spans="1:55" ht="28.5" x14ac:dyDescent="0.2">
      <c r="A28" s="1702"/>
      <c r="B28" s="17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51aF</v>
      </c>
      <c r="C28" s="1707" t="s">
        <v>923</v>
      </c>
      <c r="D28" s="1707" t="s">
        <v>924</v>
      </c>
      <c r="E28" s="1704" t="s">
        <v>916</v>
      </c>
      <c r="F28" s="1703" t="str">
        <f>VLOOKUP(TBL4_OptApp[[#This Row],[Option type
Defined List]],'Option Typs_Grps'!B$2:C$47, 2, FALSE)</f>
        <v>Resource Options</v>
      </c>
      <c r="G28" s="1703" t="s">
        <v>105</v>
      </c>
      <c r="H28" s="1703" t="s">
        <v>862</v>
      </c>
      <c r="I28" s="1703" t="s">
        <v>863</v>
      </c>
      <c r="J28" s="1703" t="s">
        <v>109</v>
      </c>
      <c r="K28" s="1703" t="s">
        <v>109</v>
      </c>
      <c r="L28" s="1703" t="s">
        <v>863</v>
      </c>
      <c r="M28" s="1703" t="s">
        <v>863</v>
      </c>
      <c r="N28" s="1703" t="s">
        <v>863</v>
      </c>
      <c r="O28" s="1703" t="s">
        <v>863</v>
      </c>
      <c r="P28" s="1703" t="s">
        <v>863</v>
      </c>
      <c r="Q28" s="1703" t="s">
        <v>863</v>
      </c>
      <c r="R28" s="1703" t="s">
        <v>877</v>
      </c>
      <c r="S28" s="1705"/>
      <c r="T28" s="1705" t="s">
        <v>109</v>
      </c>
      <c r="U28" s="1705" t="s">
        <v>109</v>
      </c>
      <c r="V28" s="1707">
        <v>14</v>
      </c>
      <c r="W28" s="1705">
        <v>5</v>
      </c>
      <c r="X28" s="1703">
        <v>2032</v>
      </c>
      <c r="Y28" s="1717">
        <v>82.73</v>
      </c>
      <c r="Z28" s="1717">
        <v>6.57</v>
      </c>
      <c r="AA28" s="1703" t="s">
        <v>109</v>
      </c>
      <c r="AB28" s="1703" t="s">
        <v>109</v>
      </c>
      <c r="AC28" s="1703">
        <v>14</v>
      </c>
      <c r="AD28" s="1713">
        <v>60156.347559632588</v>
      </c>
      <c r="AE28" s="1713">
        <v>5557.0929999999998</v>
      </c>
      <c r="AF28" s="1712">
        <v>0</v>
      </c>
      <c r="AG28" s="1713">
        <v>3.5076178282333004</v>
      </c>
      <c r="AH28" s="1713">
        <f>IFERROR(TBL4_OptApp[[#This Row],[Total NPC (£m)]]/TBL4_OptApp[[#This Row],[Maximum option utilisation across the planning period (Ml/d)]],"N/A")</f>
        <v>12.017857142857142</v>
      </c>
      <c r="AI28" s="1713">
        <v>168.25</v>
      </c>
      <c r="AJ28" s="1718">
        <v>-2318.5</v>
      </c>
      <c r="AK28" s="1712">
        <v>110.53</v>
      </c>
      <c r="AL28" s="1705"/>
      <c r="AM28" s="1705"/>
      <c r="AN28" s="1705"/>
      <c r="AO28" s="1705"/>
      <c r="AP28" s="1705"/>
      <c r="AQ28" s="1705"/>
      <c r="AR28" s="1705"/>
      <c r="AS28" s="1705"/>
      <c r="AT28" s="1705"/>
      <c r="AU28" s="1705"/>
      <c r="AV28" s="1705"/>
      <c r="AW28" s="1705"/>
      <c r="AX28" s="1705"/>
      <c r="AY28" s="1705"/>
      <c r="AZ28" s="1705"/>
      <c r="BA28" s="1705"/>
      <c r="BB28" s="1702"/>
      <c r="BC28" s="1702"/>
    </row>
    <row r="29" spans="1:55" ht="28.5" x14ac:dyDescent="0.2">
      <c r="A29" s="1702"/>
      <c r="B29" s="17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51aF</v>
      </c>
      <c r="C29" s="1703" t="s">
        <v>925</v>
      </c>
      <c r="D29" s="1703" t="s">
        <v>926</v>
      </c>
      <c r="E29" s="1704" t="s">
        <v>916</v>
      </c>
      <c r="F29" s="1703" t="str">
        <f>VLOOKUP(TBL4_OptApp[[#This Row],[Option type
Defined List]],'Option Typs_Grps'!B$2:C$47, 2, FALSE)</f>
        <v>Resource Options</v>
      </c>
      <c r="G29" s="1703" t="s">
        <v>88</v>
      </c>
      <c r="H29" s="1703" t="s">
        <v>862</v>
      </c>
      <c r="I29" s="1703" t="s">
        <v>863</v>
      </c>
      <c r="J29" s="1703" t="s">
        <v>109</v>
      </c>
      <c r="K29" s="1703" t="s">
        <v>109</v>
      </c>
      <c r="L29" s="1703" t="s">
        <v>863</v>
      </c>
      <c r="M29" s="1703" t="s">
        <v>863</v>
      </c>
      <c r="N29" s="1703" t="s">
        <v>863</v>
      </c>
      <c r="O29" s="1703" t="s">
        <v>863</v>
      </c>
      <c r="P29" s="1703" t="s">
        <v>863</v>
      </c>
      <c r="Q29" s="1703" t="s">
        <v>863</v>
      </c>
      <c r="R29" s="1703" t="s">
        <v>863</v>
      </c>
      <c r="S29" s="1705"/>
      <c r="T29" s="1705" t="s">
        <v>109</v>
      </c>
      <c r="U29" s="1705" t="s">
        <v>109</v>
      </c>
      <c r="V29" s="1707">
        <v>10</v>
      </c>
      <c r="W29" s="1705">
        <v>5</v>
      </c>
      <c r="X29" s="1707">
        <v>2032</v>
      </c>
      <c r="Y29" s="1707">
        <v>146.32</v>
      </c>
      <c r="Z29" s="1707">
        <v>5.01</v>
      </c>
      <c r="AA29" s="1707" t="s">
        <v>109</v>
      </c>
      <c r="AB29" s="1707" t="s">
        <v>109</v>
      </c>
      <c r="AC29" s="1707">
        <v>10</v>
      </c>
      <c r="AD29" s="1713">
        <f>(6110631+28919603)/1000</f>
        <v>35030.233999999997</v>
      </c>
      <c r="AE29" s="1713">
        <f>[2]Summary!$Q$14/1000</f>
        <v>3962.4528684325273</v>
      </c>
      <c r="AF29" s="1712">
        <v>0</v>
      </c>
      <c r="AG29" s="1713" t="s">
        <v>927</v>
      </c>
      <c r="AH29" s="1713">
        <f>IFERROR(TBL4_OptApp[[#This Row],[Total NPC (£m)]]/TBL4_OptApp[[#This Row],[Maximum option utilisation across the planning period (Ml/d)]],"N/A")</f>
        <v>16.286999999999999</v>
      </c>
      <c r="AI29" s="1713">
        <v>162.87</v>
      </c>
      <c r="AJ29" s="1703"/>
      <c r="AK29" s="1705"/>
      <c r="AL29" s="1705"/>
      <c r="AM29" s="1705"/>
      <c r="AN29" s="1705"/>
      <c r="AO29" s="1705"/>
      <c r="AP29" s="1705"/>
      <c r="AQ29" s="1705"/>
      <c r="AR29" s="1705"/>
      <c r="AS29" s="1705"/>
      <c r="AT29" s="1705"/>
      <c r="AU29" s="1705"/>
      <c r="AV29" s="1705"/>
      <c r="AW29" s="1705"/>
      <c r="AX29" s="1705"/>
      <c r="AY29" s="1705"/>
      <c r="AZ29" s="1705"/>
      <c r="BA29" s="1705"/>
      <c r="BB29" s="1702"/>
      <c r="BC29" s="1702"/>
    </row>
    <row r="30" spans="1:55" ht="52.5" customHeight="1" x14ac:dyDescent="0.2">
      <c r="A30" s="1702"/>
      <c r="B30" s="17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51aF</v>
      </c>
      <c r="C30" s="1703" t="s">
        <v>928</v>
      </c>
      <c r="D30" s="1703" t="s">
        <v>926</v>
      </c>
      <c r="E30" s="1704" t="s">
        <v>916</v>
      </c>
      <c r="F30" s="1703" t="str">
        <f>VLOOKUP(TBL4_OptApp[[#This Row],[Option type
Defined List]],'Option Typs_Grps'!B$2:C$47, 2, FALSE)</f>
        <v>Resource Options</v>
      </c>
      <c r="G30" s="1703" t="s">
        <v>88</v>
      </c>
      <c r="H30" s="1703" t="s">
        <v>862</v>
      </c>
      <c r="I30" s="1703" t="s">
        <v>863</v>
      </c>
      <c r="J30" s="1703" t="s">
        <v>109</v>
      </c>
      <c r="K30" s="1703" t="s">
        <v>109</v>
      </c>
      <c r="L30" s="1703" t="s">
        <v>863</v>
      </c>
      <c r="M30" s="1703" t="s">
        <v>863</v>
      </c>
      <c r="N30" s="1703" t="s">
        <v>863</v>
      </c>
      <c r="O30" s="1703" t="s">
        <v>863</v>
      </c>
      <c r="P30" s="1703" t="s">
        <v>863</v>
      </c>
      <c r="Q30" s="1703" t="s">
        <v>863</v>
      </c>
      <c r="R30" s="1703" t="s">
        <v>863</v>
      </c>
      <c r="S30" s="1705"/>
      <c r="T30" s="1705" t="s">
        <v>109</v>
      </c>
      <c r="U30" s="1705" t="s">
        <v>109</v>
      </c>
      <c r="V30" s="1707">
        <v>15</v>
      </c>
      <c r="W30" s="1705">
        <v>5</v>
      </c>
      <c r="X30" s="1707">
        <v>2032</v>
      </c>
      <c r="Y30" s="1707">
        <v>164.94</v>
      </c>
      <c r="Z30" s="1707">
        <v>7.44</v>
      </c>
      <c r="AA30" s="1707" t="s">
        <v>109</v>
      </c>
      <c r="AB30" s="1707" t="s">
        <v>109</v>
      </c>
      <c r="AC30" s="1707">
        <v>15</v>
      </c>
      <c r="AD30" s="1713">
        <f>(8118004+30492874)/1000</f>
        <v>38610.877999999997</v>
      </c>
      <c r="AE30" s="1713">
        <f>5943820/1000</f>
        <v>5943.82</v>
      </c>
      <c r="AF30" s="1712">
        <v>0</v>
      </c>
      <c r="AG30" s="1713" t="s">
        <v>927</v>
      </c>
      <c r="AH30" s="1713">
        <f>IFERROR(TBL4_OptApp[[#This Row],[Total NPC (£m)]]/TBL4_OptApp[[#This Row],[Maximum option utilisation across the planning period (Ml/d)]],"N/A")</f>
        <v>13.429333333333334</v>
      </c>
      <c r="AI30" s="1713">
        <v>201.44</v>
      </c>
      <c r="AJ30" s="1703"/>
      <c r="AK30" s="1705"/>
      <c r="AL30" s="1705"/>
      <c r="AM30" s="1705"/>
      <c r="AN30" s="1705"/>
      <c r="AO30" s="1705"/>
      <c r="AP30" s="1705"/>
      <c r="AQ30" s="1705"/>
      <c r="AR30" s="1705"/>
      <c r="AS30" s="1705"/>
      <c r="AT30" s="1705"/>
      <c r="AU30" s="1705"/>
      <c r="AV30" s="1705"/>
      <c r="AW30" s="1705"/>
      <c r="AX30" s="1705"/>
      <c r="AY30" s="1705"/>
      <c r="AZ30" s="1705"/>
      <c r="BA30" s="1705"/>
      <c r="BB30" s="1702"/>
      <c r="BC30" s="1702"/>
    </row>
    <row r="31" spans="1:55" ht="28.5" x14ac:dyDescent="0.2">
      <c r="A31" s="1702"/>
      <c r="B31" s="17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51aF</v>
      </c>
      <c r="C31" s="1703" t="s">
        <v>929</v>
      </c>
      <c r="D31" s="1703" t="s">
        <v>926</v>
      </c>
      <c r="E31" s="1704" t="s">
        <v>916</v>
      </c>
      <c r="F31" s="1703" t="str">
        <f>VLOOKUP(TBL4_OptApp[[#This Row],[Option type
Defined List]],'Option Typs_Grps'!B$2:C$47, 2, FALSE)</f>
        <v>Resource Options</v>
      </c>
      <c r="G31" s="1703" t="s">
        <v>88</v>
      </c>
      <c r="H31" s="1703" t="s">
        <v>862</v>
      </c>
      <c r="I31" s="1703" t="s">
        <v>863</v>
      </c>
      <c r="J31" s="1703" t="s">
        <v>109</v>
      </c>
      <c r="K31" s="1703" t="s">
        <v>109</v>
      </c>
      <c r="L31" s="1703" t="s">
        <v>863</v>
      </c>
      <c r="M31" s="1703" t="s">
        <v>863</v>
      </c>
      <c r="N31" s="1703" t="s">
        <v>863</v>
      </c>
      <c r="O31" s="1703" t="s">
        <v>863</v>
      </c>
      <c r="P31" s="1703" t="s">
        <v>863</v>
      </c>
      <c r="Q31" s="1703" t="s">
        <v>863</v>
      </c>
      <c r="R31" s="1703" t="s">
        <v>863</v>
      </c>
      <c r="S31" s="1705"/>
      <c r="T31" s="1705" t="s">
        <v>109</v>
      </c>
      <c r="U31" s="1705" t="s">
        <v>109</v>
      </c>
      <c r="V31" s="1707">
        <v>20</v>
      </c>
      <c r="W31" s="1705">
        <v>5</v>
      </c>
      <c r="X31" s="1707">
        <v>2032</v>
      </c>
      <c r="Y31" s="1707">
        <v>189.54</v>
      </c>
      <c r="Z31" s="1707">
        <v>9.83</v>
      </c>
      <c r="AA31" s="1707" t="s">
        <v>109</v>
      </c>
      <c r="AB31" s="1707" t="s">
        <v>109</v>
      </c>
      <c r="AC31" s="1707">
        <v>20</v>
      </c>
      <c r="AD31" s="1713">
        <f>(10274258+32549251)/1000</f>
        <v>42823.508999999998</v>
      </c>
      <c r="AE31" s="1713">
        <f>7925188/1000</f>
        <v>7925.1880000000001</v>
      </c>
      <c r="AF31" s="1712">
        <v>0</v>
      </c>
      <c r="AG31" s="1713" t="s">
        <v>927</v>
      </c>
      <c r="AH31" s="1713">
        <f>IFERROR(TBL4_OptApp[[#This Row],[Total NPC (£m)]]/TBL4_OptApp[[#This Row],[Maximum option utilisation across the planning period (Ml/d)]],"N/A")</f>
        <v>12.2125</v>
      </c>
      <c r="AI31" s="1713">
        <v>244.25</v>
      </c>
      <c r="AJ31" s="1703"/>
      <c r="AK31" s="1705"/>
      <c r="AL31" s="1705"/>
      <c r="AM31" s="1705"/>
      <c r="AN31" s="1705"/>
      <c r="AO31" s="1705"/>
      <c r="AP31" s="1705"/>
      <c r="AQ31" s="1705"/>
      <c r="AR31" s="1705"/>
      <c r="AS31" s="1705"/>
      <c r="AT31" s="1705"/>
      <c r="AU31" s="1705"/>
      <c r="AV31" s="1705"/>
      <c r="AW31" s="1705"/>
      <c r="AX31" s="1705"/>
      <c r="AY31" s="1705"/>
      <c r="AZ31" s="1705"/>
      <c r="BA31" s="1705"/>
      <c r="BB31" s="1702"/>
      <c r="BC31" s="1702"/>
    </row>
    <row r="32" spans="1:55" ht="28.5" x14ac:dyDescent="0.2">
      <c r="A32" s="1702"/>
      <c r="B32" s="17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32" s="1703" t="s">
        <v>930</v>
      </c>
      <c r="D32" s="1703" t="s">
        <v>931</v>
      </c>
      <c r="E32" s="1704" t="s">
        <v>916</v>
      </c>
      <c r="F32" s="1703" t="str">
        <f>VLOOKUP(TBL4_OptApp[[#This Row],[Option type
Defined List]],'Option Typs_Grps'!B$2:C$47, 2, FALSE)</f>
        <v>Resource Options</v>
      </c>
      <c r="G32" s="1703" t="s">
        <v>88</v>
      </c>
      <c r="H32" s="1703" t="s">
        <v>871</v>
      </c>
      <c r="I32" s="1703" t="s">
        <v>863</v>
      </c>
      <c r="J32" s="1703" t="s">
        <v>109</v>
      </c>
      <c r="K32" s="1703" t="s">
        <v>109</v>
      </c>
      <c r="L32" s="1703" t="s">
        <v>863</v>
      </c>
      <c r="M32" s="1703" t="s">
        <v>863</v>
      </c>
      <c r="N32" s="1703" t="s">
        <v>863</v>
      </c>
      <c r="O32" s="1703" t="s">
        <v>863</v>
      </c>
      <c r="P32" s="1703" t="s">
        <v>863</v>
      </c>
      <c r="Q32" s="1703" t="s">
        <v>863</v>
      </c>
      <c r="R32" s="1703" t="s">
        <v>863</v>
      </c>
      <c r="S32" s="1703" t="s">
        <v>932</v>
      </c>
      <c r="T32" s="1705" t="s">
        <v>109</v>
      </c>
      <c r="U32" s="1705" t="s">
        <v>109</v>
      </c>
      <c r="V32" s="1707">
        <v>25</v>
      </c>
      <c r="W32" s="1703" t="s">
        <v>109</v>
      </c>
      <c r="X32" s="1703" t="s">
        <v>109</v>
      </c>
      <c r="Y32" s="1703" t="s">
        <v>109</v>
      </c>
      <c r="Z32" s="1703" t="s">
        <v>109</v>
      </c>
      <c r="AA32" s="1703" t="s">
        <v>109</v>
      </c>
      <c r="AB32" s="1703" t="s">
        <v>109</v>
      </c>
      <c r="AC32" s="1703" t="s">
        <v>109</v>
      </c>
      <c r="AD32" s="1713" t="s">
        <v>109</v>
      </c>
      <c r="AE32" s="1712"/>
      <c r="AF32" s="1712"/>
      <c r="AG32" s="1713"/>
      <c r="AH32" s="1713" t="s">
        <v>109</v>
      </c>
      <c r="AI32" s="1713" t="s">
        <v>109</v>
      </c>
      <c r="AJ32" s="1703"/>
      <c r="AK32" s="1705"/>
      <c r="AL32" s="1705"/>
      <c r="AM32" s="1705"/>
      <c r="AN32" s="1705"/>
      <c r="AO32" s="1705"/>
      <c r="AP32" s="1705"/>
      <c r="AQ32" s="1705"/>
      <c r="AR32" s="1705"/>
      <c r="AS32" s="1705"/>
      <c r="AT32" s="1705"/>
      <c r="AU32" s="1705"/>
      <c r="AV32" s="1705"/>
      <c r="AW32" s="1705"/>
      <c r="AX32" s="1705"/>
      <c r="AY32" s="1705"/>
      <c r="AZ32" s="1705"/>
      <c r="BA32" s="1705"/>
      <c r="BB32" s="1702"/>
      <c r="BC32" s="1702"/>
    </row>
    <row r="33" spans="1:55" ht="28.5" x14ac:dyDescent="0.2">
      <c r="A33" s="1702"/>
      <c r="B33" s="17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33" s="1703" t="s">
        <v>933</v>
      </c>
      <c r="D33" s="1703" t="s">
        <v>931</v>
      </c>
      <c r="E33" s="1704" t="s">
        <v>916</v>
      </c>
      <c r="F33" s="1703" t="str">
        <f>VLOOKUP(TBL4_OptApp[[#This Row],[Option type
Defined List]],'Option Typs_Grps'!B$2:C$47, 2, FALSE)</f>
        <v>Resource Options</v>
      </c>
      <c r="G33" s="1703" t="s">
        <v>88</v>
      </c>
      <c r="H33" s="1703" t="s">
        <v>871</v>
      </c>
      <c r="I33" s="1703" t="s">
        <v>863</v>
      </c>
      <c r="J33" s="1703" t="s">
        <v>109</v>
      </c>
      <c r="K33" s="1703" t="s">
        <v>109</v>
      </c>
      <c r="L33" s="1703" t="s">
        <v>863</v>
      </c>
      <c r="M33" s="1703" t="s">
        <v>863</v>
      </c>
      <c r="N33" s="1703" t="s">
        <v>863</v>
      </c>
      <c r="O33" s="1703" t="s">
        <v>863</v>
      </c>
      <c r="P33" s="1703" t="s">
        <v>863</v>
      </c>
      <c r="Q33" s="1703" t="s">
        <v>863</v>
      </c>
      <c r="R33" s="1703" t="s">
        <v>863</v>
      </c>
      <c r="S33" s="1703" t="s">
        <v>932</v>
      </c>
      <c r="T33" s="1705" t="s">
        <v>109</v>
      </c>
      <c r="U33" s="1705" t="s">
        <v>109</v>
      </c>
      <c r="V33" s="1707">
        <v>50</v>
      </c>
      <c r="W33" s="1703" t="s">
        <v>109</v>
      </c>
      <c r="X33" s="1703" t="s">
        <v>109</v>
      </c>
      <c r="Y33" s="1703" t="s">
        <v>109</v>
      </c>
      <c r="Z33" s="1703" t="s">
        <v>109</v>
      </c>
      <c r="AA33" s="1703" t="s">
        <v>109</v>
      </c>
      <c r="AB33" s="1703" t="s">
        <v>109</v>
      </c>
      <c r="AC33" s="1703" t="s">
        <v>109</v>
      </c>
      <c r="AD33" s="1713" t="s">
        <v>109</v>
      </c>
      <c r="AE33" s="1712"/>
      <c r="AF33" s="1712"/>
      <c r="AG33" s="1713"/>
      <c r="AH33" s="1713" t="s">
        <v>109</v>
      </c>
      <c r="AI33" s="1713" t="s">
        <v>109</v>
      </c>
      <c r="AJ33" s="1703"/>
      <c r="AK33" s="1705"/>
      <c r="AL33" s="1705"/>
      <c r="AM33" s="1705"/>
      <c r="AN33" s="1705"/>
      <c r="AO33" s="1705"/>
      <c r="AP33" s="1705"/>
      <c r="AQ33" s="1705"/>
      <c r="AR33" s="1705"/>
      <c r="AS33" s="1705"/>
      <c r="AT33" s="1705"/>
      <c r="AU33" s="1705"/>
      <c r="AV33" s="1705"/>
      <c r="AW33" s="1705"/>
      <c r="AX33" s="1705"/>
      <c r="AY33" s="1705"/>
      <c r="AZ33" s="1705"/>
      <c r="BA33" s="1705"/>
      <c r="BB33" s="1702"/>
      <c r="BC33" s="1702"/>
    </row>
    <row r="34" spans="1:55" ht="28.5" x14ac:dyDescent="0.2">
      <c r="A34" s="1702"/>
      <c r="B34" s="17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34" s="1703" t="s">
        <v>934</v>
      </c>
      <c r="D34" s="1703" t="s">
        <v>931</v>
      </c>
      <c r="E34" s="1704" t="s">
        <v>916</v>
      </c>
      <c r="F34" s="1703" t="str">
        <f>VLOOKUP(TBL4_OptApp[[#This Row],[Option type
Defined List]],'Option Typs_Grps'!B$2:C$47, 2, FALSE)</f>
        <v>Resource Options</v>
      </c>
      <c r="G34" s="1703" t="s">
        <v>88</v>
      </c>
      <c r="H34" s="1703" t="s">
        <v>871</v>
      </c>
      <c r="I34" s="1703" t="s">
        <v>863</v>
      </c>
      <c r="J34" s="1703" t="s">
        <v>109</v>
      </c>
      <c r="K34" s="1703" t="s">
        <v>109</v>
      </c>
      <c r="L34" s="1703" t="s">
        <v>863</v>
      </c>
      <c r="M34" s="1703" t="s">
        <v>863</v>
      </c>
      <c r="N34" s="1703" t="s">
        <v>863</v>
      </c>
      <c r="O34" s="1703" t="s">
        <v>863</v>
      </c>
      <c r="P34" s="1703" t="s">
        <v>863</v>
      </c>
      <c r="Q34" s="1703" t="s">
        <v>863</v>
      </c>
      <c r="R34" s="1703" t="s">
        <v>863</v>
      </c>
      <c r="S34" s="1703" t="s">
        <v>932</v>
      </c>
      <c r="T34" s="1705" t="s">
        <v>109</v>
      </c>
      <c r="U34" s="1705" t="s">
        <v>109</v>
      </c>
      <c r="V34" s="1707">
        <v>100</v>
      </c>
      <c r="W34" s="1703" t="s">
        <v>109</v>
      </c>
      <c r="X34" s="1703" t="s">
        <v>109</v>
      </c>
      <c r="Y34" s="1703" t="s">
        <v>109</v>
      </c>
      <c r="Z34" s="1703" t="s">
        <v>109</v>
      </c>
      <c r="AA34" s="1703" t="s">
        <v>109</v>
      </c>
      <c r="AB34" s="1703" t="s">
        <v>109</v>
      </c>
      <c r="AC34" s="1703" t="s">
        <v>109</v>
      </c>
      <c r="AD34" s="1713" t="s">
        <v>109</v>
      </c>
      <c r="AE34" s="1712"/>
      <c r="AF34" s="1712"/>
      <c r="AG34" s="1713"/>
      <c r="AH34" s="1713" t="s">
        <v>109</v>
      </c>
      <c r="AI34" s="1713" t="s">
        <v>109</v>
      </c>
      <c r="AJ34" s="1703"/>
      <c r="AK34" s="1705"/>
      <c r="AL34" s="1705"/>
      <c r="AM34" s="1705"/>
      <c r="AN34" s="1705"/>
      <c r="AO34" s="1705"/>
      <c r="AP34" s="1705"/>
      <c r="AQ34" s="1705"/>
      <c r="AR34" s="1705"/>
      <c r="AS34" s="1705"/>
      <c r="AT34" s="1705"/>
      <c r="AU34" s="1705"/>
      <c r="AV34" s="1705"/>
      <c r="AW34" s="1705"/>
      <c r="AX34" s="1705"/>
      <c r="AY34" s="1705"/>
      <c r="AZ34" s="1705"/>
      <c r="BA34" s="1705"/>
      <c r="BB34" s="1702"/>
      <c r="BC34" s="1702"/>
    </row>
    <row r="35" spans="1:55" ht="28.5" x14ac:dyDescent="0.2">
      <c r="A35" s="1702"/>
      <c r="B35" s="17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35" s="1703" t="s">
        <v>935</v>
      </c>
      <c r="D35" s="1703" t="s">
        <v>931</v>
      </c>
      <c r="E35" s="1704" t="s">
        <v>916</v>
      </c>
      <c r="F35" s="1703" t="str">
        <f>VLOOKUP(TBL4_OptApp[[#This Row],[Option type
Defined List]],'Option Typs_Grps'!B$2:C$47, 2, FALSE)</f>
        <v>Resource Options</v>
      </c>
      <c r="G35" s="1703" t="s">
        <v>88</v>
      </c>
      <c r="H35" s="1703" t="s">
        <v>871</v>
      </c>
      <c r="I35" s="1703" t="s">
        <v>863</v>
      </c>
      <c r="J35" s="1703" t="s">
        <v>109</v>
      </c>
      <c r="K35" s="1703" t="s">
        <v>109</v>
      </c>
      <c r="L35" s="1703" t="s">
        <v>863</v>
      </c>
      <c r="M35" s="1703" t="s">
        <v>863</v>
      </c>
      <c r="N35" s="1703" t="s">
        <v>863</v>
      </c>
      <c r="O35" s="1703" t="s">
        <v>863</v>
      </c>
      <c r="P35" s="1703" t="s">
        <v>863</v>
      </c>
      <c r="Q35" s="1703" t="s">
        <v>863</v>
      </c>
      <c r="R35" s="1703" t="s">
        <v>863</v>
      </c>
      <c r="S35" s="1703" t="s">
        <v>932</v>
      </c>
      <c r="T35" s="1705" t="s">
        <v>109</v>
      </c>
      <c r="U35" s="1705" t="s">
        <v>109</v>
      </c>
      <c r="V35" s="1707">
        <v>250</v>
      </c>
      <c r="W35" s="1703" t="s">
        <v>109</v>
      </c>
      <c r="X35" s="1703" t="s">
        <v>109</v>
      </c>
      <c r="Y35" s="1703" t="s">
        <v>109</v>
      </c>
      <c r="Z35" s="1703" t="s">
        <v>109</v>
      </c>
      <c r="AA35" s="1703" t="s">
        <v>109</v>
      </c>
      <c r="AB35" s="1703" t="s">
        <v>109</v>
      </c>
      <c r="AC35" s="1703" t="s">
        <v>109</v>
      </c>
      <c r="AD35" s="1713">
        <v>86146.5</v>
      </c>
      <c r="AE35" s="1712"/>
      <c r="AF35" s="1712"/>
      <c r="AG35" s="1713"/>
      <c r="AH35" s="1713" t="s">
        <v>109</v>
      </c>
      <c r="AI35" s="1713" t="s">
        <v>109</v>
      </c>
      <c r="AJ35" s="1703"/>
      <c r="AK35" s="1705"/>
      <c r="AL35" s="1705"/>
      <c r="AM35" s="1705"/>
      <c r="AN35" s="1705"/>
      <c r="AO35" s="1705"/>
      <c r="AP35" s="1705"/>
      <c r="AQ35" s="1705"/>
      <c r="AR35" s="1705"/>
      <c r="AS35" s="1705"/>
      <c r="AT35" s="1705"/>
      <c r="AU35" s="1705"/>
      <c r="AV35" s="1705"/>
      <c r="AW35" s="1705"/>
      <c r="AX35" s="1705"/>
      <c r="AY35" s="1705"/>
      <c r="AZ35" s="1705"/>
      <c r="BA35" s="1705"/>
      <c r="BB35" s="1702"/>
      <c r="BC35" s="1702"/>
    </row>
    <row r="36" spans="1:55" ht="71.25" x14ac:dyDescent="0.2">
      <c r="A36" s="1702"/>
      <c r="B36" s="17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36" s="1703" t="s">
        <v>936</v>
      </c>
      <c r="D36" s="1703" t="s">
        <v>937</v>
      </c>
      <c r="E36" s="1704" t="s">
        <v>916</v>
      </c>
      <c r="F36" s="1703" t="str">
        <f>VLOOKUP(TBL4_OptApp[[#This Row],[Option type
Defined List]],'Option Typs_Grps'!B$2:C$47, 2, FALSE)</f>
        <v>Resource Options</v>
      </c>
      <c r="G36" s="1703" t="s">
        <v>88</v>
      </c>
      <c r="H36" s="1703" t="s">
        <v>871</v>
      </c>
      <c r="I36" s="1703" t="s">
        <v>863</v>
      </c>
      <c r="J36" s="1703" t="s">
        <v>109</v>
      </c>
      <c r="K36" s="1703" t="s">
        <v>109</v>
      </c>
      <c r="L36" s="1703" t="s">
        <v>863</v>
      </c>
      <c r="M36" s="1703" t="s">
        <v>863</v>
      </c>
      <c r="N36" s="1703" t="s">
        <v>863</v>
      </c>
      <c r="O36" s="1703" t="s">
        <v>863</v>
      </c>
      <c r="P36" s="1703" t="s">
        <v>863</v>
      </c>
      <c r="Q36" s="1703" t="s">
        <v>863</v>
      </c>
      <c r="R36" s="1703" t="s">
        <v>863</v>
      </c>
      <c r="S36" s="1703" t="s">
        <v>938</v>
      </c>
      <c r="T36" s="1705" t="s">
        <v>109</v>
      </c>
      <c r="U36" s="1705" t="s">
        <v>109</v>
      </c>
      <c r="V36" s="1707">
        <v>25</v>
      </c>
      <c r="W36" s="1705">
        <v>5</v>
      </c>
      <c r="X36" s="1703">
        <v>2032</v>
      </c>
      <c r="Y36" s="1703">
        <v>106.97</v>
      </c>
      <c r="Z36" s="1703">
        <v>13.31</v>
      </c>
      <c r="AA36" s="1703" t="s">
        <v>109</v>
      </c>
      <c r="AB36" s="1703" t="s">
        <v>109</v>
      </c>
      <c r="AC36" s="1703">
        <v>25</v>
      </c>
      <c r="AD36" s="1713">
        <f>1862.132+30754.515</f>
        <v>32616.647000000001</v>
      </c>
      <c r="AE36" s="1713">
        <v>7929.7219999999998</v>
      </c>
      <c r="AF36" s="1712">
        <v>0</v>
      </c>
      <c r="AG36" s="1713">
        <v>0</v>
      </c>
      <c r="AH36" s="1713">
        <f>IFERROR(TBL4_OptApp[[#This Row],[Total NPC (£m)]]/TBL4_OptApp[[#This Row],[Maximum option utilisation across the planning period (Ml/d)]],"N/A")</f>
        <v>8.6308000000000007</v>
      </c>
      <c r="AI36" s="1713">
        <v>215.77</v>
      </c>
      <c r="AJ36" s="1703"/>
      <c r="AK36" s="1705"/>
      <c r="AL36" s="1705"/>
      <c r="AM36" s="1705"/>
      <c r="AN36" s="1705"/>
      <c r="AO36" s="1705"/>
      <c r="AP36" s="1705"/>
      <c r="AQ36" s="1705"/>
      <c r="AR36" s="1705"/>
      <c r="AS36" s="1705"/>
      <c r="AT36" s="1705"/>
      <c r="AU36" s="1705"/>
      <c r="AV36" s="1705"/>
      <c r="AW36" s="1705"/>
      <c r="AX36" s="1705"/>
      <c r="AY36" s="1705"/>
      <c r="AZ36" s="1705"/>
      <c r="BA36" s="1705"/>
      <c r="BB36" s="1702"/>
      <c r="BC36" s="1702"/>
    </row>
    <row r="37" spans="1:55" ht="71.25" x14ac:dyDescent="0.2">
      <c r="A37" s="1702"/>
      <c r="B37" s="17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37" s="1703" t="s">
        <v>939</v>
      </c>
      <c r="D37" s="1703" t="s">
        <v>937</v>
      </c>
      <c r="E37" s="1704" t="s">
        <v>916</v>
      </c>
      <c r="F37" s="1703" t="str">
        <f>VLOOKUP(TBL4_OptApp[[#This Row],[Option type
Defined List]],'Option Typs_Grps'!B$2:C$47, 2, FALSE)</f>
        <v>Resource Options</v>
      </c>
      <c r="G37" s="1703" t="s">
        <v>88</v>
      </c>
      <c r="H37" s="1703" t="s">
        <v>871</v>
      </c>
      <c r="I37" s="1703" t="s">
        <v>863</v>
      </c>
      <c r="J37" s="1703" t="s">
        <v>109</v>
      </c>
      <c r="K37" s="1703" t="s">
        <v>109</v>
      </c>
      <c r="L37" s="1703" t="s">
        <v>863</v>
      </c>
      <c r="M37" s="1703" t="s">
        <v>863</v>
      </c>
      <c r="N37" s="1703" t="s">
        <v>863</v>
      </c>
      <c r="O37" s="1703" t="s">
        <v>863</v>
      </c>
      <c r="P37" s="1703" t="s">
        <v>863</v>
      </c>
      <c r="Q37" s="1703" t="s">
        <v>863</v>
      </c>
      <c r="R37" s="1703" t="s">
        <v>863</v>
      </c>
      <c r="S37" s="1703" t="s">
        <v>938</v>
      </c>
      <c r="T37" s="1705" t="s">
        <v>109</v>
      </c>
      <c r="U37" s="1705" t="s">
        <v>109</v>
      </c>
      <c r="V37" s="1707">
        <v>50</v>
      </c>
      <c r="W37" s="1705">
        <v>5</v>
      </c>
      <c r="X37" s="1703">
        <v>2032</v>
      </c>
      <c r="Y37" s="1703">
        <v>135.11000000000001</v>
      </c>
      <c r="Z37" s="1703">
        <v>35.25</v>
      </c>
      <c r="AA37" s="1703" t="s">
        <v>109</v>
      </c>
      <c r="AB37" s="1703" t="s">
        <v>109</v>
      </c>
      <c r="AC37" s="1703">
        <v>50</v>
      </c>
      <c r="AD37" s="1713">
        <f>2373.341+35585.261</f>
        <v>37958.601999999999</v>
      </c>
      <c r="AE37" s="1713">
        <v>13834.833000000001</v>
      </c>
      <c r="AF37" s="1712">
        <v>0</v>
      </c>
      <c r="AG37" s="1713">
        <v>0</v>
      </c>
      <c r="AH37" s="1713">
        <f>IFERROR(TBL4_OptApp[[#This Row],[Total NPC (£m)]]/TBL4_OptApp[[#This Row],[Maximum option utilisation across the planning period (Ml/d)]],"N/A")</f>
        <v>9.1462000000000003</v>
      </c>
      <c r="AI37" s="1713">
        <v>457.31</v>
      </c>
      <c r="AJ37" s="1703"/>
      <c r="AK37" s="1705"/>
      <c r="AL37" s="1705"/>
      <c r="AM37" s="1705"/>
      <c r="AN37" s="1705"/>
      <c r="AO37" s="1705"/>
      <c r="AP37" s="1705"/>
      <c r="AQ37" s="1705"/>
      <c r="AR37" s="1705"/>
      <c r="AS37" s="1705"/>
      <c r="AT37" s="1705"/>
      <c r="AU37" s="1705"/>
      <c r="AV37" s="1705"/>
      <c r="AW37" s="1705"/>
      <c r="AX37" s="1705"/>
      <c r="AY37" s="1705"/>
      <c r="AZ37" s="1705"/>
      <c r="BA37" s="1705"/>
      <c r="BB37" s="1702"/>
      <c r="BC37" s="1702"/>
    </row>
    <row r="38" spans="1:55" ht="71.25" x14ac:dyDescent="0.2">
      <c r="A38" s="1702"/>
      <c r="B38" s="17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38" s="1703" t="s">
        <v>940</v>
      </c>
      <c r="D38" s="1703" t="s">
        <v>937</v>
      </c>
      <c r="E38" s="1704" t="s">
        <v>916</v>
      </c>
      <c r="F38" s="1703" t="str">
        <f>VLOOKUP(TBL4_OptApp[[#This Row],[Option type
Defined List]],'Option Typs_Grps'!B$2:C$47, 2, FALSE)</f>
        <v>Resource Options</v>
      </c>
      <c r="G38" s="1703" t="s">
        <v>88</v>
      </c>
      <c r="H38" s="1703" t="s">
        <v>871</v>
      </c>
      <c r="I38" s="1703" t="s">
        <v>863</v>
      </c>
      <c r="J38" s="1703" t="s">
        <v>109</v>
      </c>
      <c r="K38" s="1703" t="s">
        <v>109</v>
      </c>
      <c r="L38" s="1703" t="s">
        <v>863</v>
      </c>
      <c r="M38" s="1703" t="s">
        <v>863</v>
      </c>
      <c r="N38" s="1703" t="s">
        <v>863</v>
      </c>
      <c r="O38" s="1703" t="s">
        <v>863</v>
      </c>
      <c r="P38" s="1703" t="s">
        <v>863</v>
      </c>
      <c r="Q38" s="1703" t="s">
        <v>863</v>
      </c>
      <c r="R38" s="1703" t="s">
        <v>863</v>
      </c>
      <c r="S38" s="1703" t="s">
        <v>938</v>
      </c>
      <c r="T38" s="1705" t="s">
        <v>109</v>
      </c>
      <c r="U38" s="1705" t="s">
        <v>109</v>
      </c>
      <c r="V38" s="1707">
        <v>100</v>
      </c>
      <c r="W38" s="1705">
        <v>5</v>
      </c>
      <c r="X38" s="1703">
        <v>2032</v>
      </c>
      <c r="Y38" s="1703">
        <v>233.96</v>
      </c>
      <c r="Z38" s="1703">
        <v>50.09</v>
      </c>
      <c r="AA38" s="1703" t="s">
        <v>109</v>
      </c>
      <c r="AB38" s="1703" t="s">
        <v>109</v>
      </c>
      <c r="AC38" s="1703">
        <v>100</v>
      </c>
      <c r="AD38" s="1713">
        <f>4637.157+44459.784</f>
        <v>49096.940999999999</v>
      </c>
      <c r="AE38" s="1713">
        <v>25645.054</v>
      </c>
      <c r="AF38" s="1712">
        <v>0</v>
      </c>
      <c r="AG38" s="1713">
        <v>0</v>
      </c>
      <c r="AH38" s="1713">
        <f>IFERROR(TBL4_OptApp[[#This Row],[Total NPC (£m)]]/TBL4_OptApp[[#This Row],[Maximum option utilisation across the planning period (Ml/d)]],"N/A")</f>
        <v>6.8211000000000004</v>
      </c>
      <c r="AI38" s="1713">
        <v>682.11</v>
      </c>
      <c r="AJ38" s="1703"/>
      <c r="AK38" s="1705"/>
      <c r="AL38" s="1705"/>
      <c r="AM38" s="1705"/>
      <c r="AN38" s="1705"/>
      <c r="AO38" s="1705"/>
      <c r="AP38" s="1705"/>
      <c r="AQ38" s="1705"/>
      <c r="AR38" s="1705"/>
      <c r="AS38" s="1705"/>
      <c r="AT38" s="1705"/>
      <c r="AU38" s="1705"/>
      <c r="AV38" s="1705"/>
      <c r="AW38" s="1705"/>
      <c r="AX38" s="1705"/>
      <c r="AY38" s="1705"/>
      <c r="AZ38" s="1705"/>
      <c r="BA38" s="1705"/>
      <c r="BB38" s="1702"/>
      <c r="BC38" s="1702"/>
    </row>
    <row r="39" spans="1:55" ht="71.25" x14ac:dyDescent="0.2">
      <c r="A39" s="1702"/>
      <c r="B39" s="17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39" s="1703" t="s">
        <v>941</v>
      </c>
      <c r="D39" s="1703" t="s">
        <v>937</v>
      </c>
      <c r="E39" s="1704" t="s">
        <v>916</v>
      </c>
      <c r="F39" s="1703" t="str">
        <f>VLOOKUP(TBL4_OptApp[[#This Row],[Option type
Defined List]],'Option Typs_Grps'!B$2:C$47, 2, FALSE)</f>
        <v>Resource Options</v>
      </c>
      <c r="G39" s="1703" t="s">
        <v>88</v>
      </c>
      <c r="H39" s="1703" t="s">
        <v>871</v>
      </c>
      <c r="I39" s="1703" t="s">
        <v>863</v>
      </c>
      <c r="J39" s="1703" t="s">
        <v>109</v>
      </c>
      <c r="K39" s="1703" t="s">
        <v>109</v>
      </c>
      <c r="L39" s="1703" t="s">
        <v>863</v>
      </c>
      <c r="M39" s="1703" t="s">
        <v>863</v>
      </c>
      <c r="N39" s="1703" t="s">
        <v>863</v>
      </c>
      <c r="O39" s="1703" t="s">
        <v>863</v>
      </c>
      <c r="P39" s="1703" t="s">
        <v>863</v>
      </c>
      <c r="Q39" s="1703" t="s">
        <v>863</v>
      </c>
      <c r="R39" s="1703" t="s">
        <v>863</v>
      </c>
      <c r="S39" s="1703" t="s">
        <v>938</v>
      </c>
      <c r="T39" s="1705" t="s">
        <v>109</v>
      </c>
      <c r="U39" s="1705" t="s">
        <v>109</v>
      </c>
      <c r="V39" s="1707">
        <v>250</v>
      </c>
      <c r="W39" s="1705">
        <v>5</v>
      </c>
      <c r="X39" s="1703">
        <v>2032</v>
      </c>
      <c r="Y39" s="1703">
        <v>454.09</v>
      </c>
      <c r="Z39" s="1703">
        <v>113.98</v>
      </c>
      <c r="AA39" s="1703" t="s">
        <v>109</v>
      </c>
      <c r="AB39" s="1703" t="s">
        <v>109</v>
      </c>
      <c r="AC39" s="1703">
        <v>250</v>
      </c>
      <c r="AD39" s="1713">
        <f>10813.094+60555.958</f>
        <v>71369.051999999996</v>
      </c>
      <c r="AE39" s="1713">
        <v>61075.718000000001</v>
      </c>
      <c r="AF39" s="1712">
        <v>0</v>
      </c>
      <c r="AG39" s="1713">
        <v>0</v>
      </c>
      <c r="AH39" s="1713">
        <f>IFERROR(TBL4_OptApp[[#This Row],[Total NPC (£m)]]/TBL4_OptApp[[#This Row],[Maximum option utilisation across the planning period (Ml/d)]],"N/A")</f>
        <v>5.9675600000000006</v>
      </c>
      <c r="AI39" s="1713">
        <v>1491.89</v>
      </c>
      <c r="AJ39" s="1703"/>
      <c r="AK39" s="1705"/>
      <c r="AL39" s="1705"/>
      <c r="AM39" s="1705"/>
      <c r="AN39" s="1705"/>
      <c r="AO39" s="1705"/>
      <c r="AP39" s="1705"/>
      <c r="AQ39" s="1705"/>
      <c r="AR39" s="1705"/>
      <c r="AS39" s="1705"/>
      <c r="AT39" s="1705"/>
      <c r="AU39" s="1705"/>
      <c r="AV39" s="1705"/>
      <c r="AW39" s="1705"/>
      <c r="AX39" s="1705"/>
      <c r="AY39" s="1705"/>
      <c r="AZ39" s="1705"/>
      <c r="BA39" s="1705"/>
      <c r="BB39" s="1702"/>
      <c r="BC39" s="1702"/>
    </row>
    <row r="40" spans="1:55" ht="28.5" x14ac:dyDescent="0.2">
      <c r="A40" s="1702"/>
      <c r="B40" s="17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51aF</v>
      </c>
      <c r="C40" s="1703" t="s">
        <v>942</v>
      </c>
      <c r="D40" s="1703" t="s">
        <v>926</v>
      </c>
      <c r="E40" s="1704" t="s">
        <v>916</v>
      </c>
      <c r="F40" s="1703" t="str">
        <f>VLOOKUP(TBL4_OptApp[[#This Row],[Option type
Defined List]],'Option Typs_Grps'!B$2:C$47, 2, FALSE)</f>
        <v>Resource Options</v>
      </c>
      <c r="G40" s="1703" t="s">
        <v>88</v>
      </c>
      <c r="H40" s="1703" t="s">
        <v>862</v>
      </c>
      <c r="I40" s="1703" t="s">
        <v>863</v>
      </c>
      <c r="J40" s="1703" t="s">
        <v>109</v>
      </c>
      <c r="K40" s="1703" t="s">
        <v>109</v>
      </c>
      <c r="L40" s="1703" t="s">
        <v>863</v>
      </c>
      <c r="M40" s="1703" t="s">
        <v>863</v>
      </c>
      <c r="N40" s="1703" t="s">
        <v>863</v>
      </c>
      <c r="O40" s="1703" t="s">
        <v>863</v>
      </c>
      <c r="P40" s="1703" t="s">
        <v>863</v>
      </c>
      <c r="Q40" s="1703" t="s">
        <v>863</v>
      </c>
      <c r="R40" s="1703" t="s">
        <v>863</v>
      </c>
      <c r="S40" s="1705"/>
      <c r="T40" s="1705" t="s">
        <v>109</v>
      </c>
      <c r="U40" s="1705" t="s">
        <v>109</v>
      </c>
      <c r="V40" s="1707">
        <v>25</v>
      </c>
      <c r="W40" s="1705">
        <v>5</v>
      </c>
      <c r="X40" s="1707">
        <v>2032</v>
      </c>
      <c r="Y40" s="1707">
        <v>205.82</v>
      </c>
      <c r="Z40" s="1707">
        <v>12.44</v>
      </c>
      <c r="AA40" s="1707" t="s">
        <v>109</v>
      </c>
      <c r="AB40" s="1707" t="s">
        <v>109</v>
      </c>
      <c r="AC40" s="1707">
        <v>25</v>
      </c>
      <c r="AD40" s="1713">
        <f>(12375246+32579570)/1000</f>
        <v>44954.815999999999</v>
      </c>
      <c r="AE40" s="1713">
        <f>9906555/1000</f>
        <v>9906.5550000000003</v>
      </c>
      <c r="AF40" s="1712">
        <v>0</v>
      </c>
      <c r="AG40" s="1713">
        <v>3.2310476412288613</v>
      </c>
      <c r="AH40" s="1713">
        <f>IFERROR(TBL4_OptApp[[#This Row],[Total NPC (£m)]]/TBL4_OptApp[[#This Row],[Maximum option utilisation across the planning period (Ml/d)]],"N/A")</f>
        <v>11.313599999999999</v>
      </c>
      <c r="AI40" s="1713">
        <v>282.83999999999997</v>
      </c>
      <c r="AJ40" s="1703"/>
      <c r="AK40" s="1705"/>
      <c r="AL40" s="1705"/>
      <c r="AM40" s="1705"/>
      <c r="AN40" s="1705"/>
      <c r="AO40" s="1705"/>
      <c r="AP40" s="1705"/>
      <c r="AQ40" s="1705"/>
      <c r="AR40" s="1705"/>
      <c r="AS40" s="1705"/>
      <c r="AT40" s="1705"/>
      <c r="AU40" s="1705"/>
      <c r="AV40" s="1705"/>
      <c r="AW40" s="1705"/>
      <c r="AX40" s="1705"/>
      <c r="AY40" s="1705"/>
      <c r="AZ40" s="1705"/>
      <c r="BA40" s="1705"/>
      <c r="BB40" s="1702"/>
      <c r="BC40" s="1702"/>
    </row>
    <row r="41" spans="1:55" ht="28.5" x14ac:dyDescent="0.2">
      <c r="A41" s="1702"/>
      <c r="B41" s="17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51aF</v>
      </c>
      <c r="C41" s="1703" t="s">
        <v>943</v>
      </c>
      <c r="D41" s="1703" t="s">
        <v>926</v>
      </c>
      <c r="E41" s="1704" t="s">
        <v>916</v>
      </c>
      <c r="F41" s="1703" t="str">
        <f>VLOOKUP(TBL4_OptApp[[#This Row],[Option type
Defined List]],'Option Typs_Grps'!B$2:C$47, 2, FALSE)</f>
        <v>Resource Options</v>
      </c>
      <c r="G41" s="1703" t="s">
        <v>88</v>
      </c>
      <c r="H41" s="1703" t="s">
        <v>862</v>
      </c>
      <c r="I41" s="1703" t="s">
        <v>863</v>
      </c>
      <c r="J41" s="1703" t="s">
        <v>109</v>
      </c>
      <c r="K41" s="1703" t="s">
        <v>109</v>
      </c>
      <c r="L41" s="1703" t="s">
        <v>863</v>
      </c>
      <c r="M41" s="1703" t="s">
        <v>863</v>
      </c>
      <c r="N41" s="1703" t="s">
        <v>863</v>
      </c>
      <c r="O41" s="1703" t="s">
        <v>863</v>
      </c>
      <c r="P41" s="1703" t="s">
        <v>863</v>
      </c>
      <c r="Q41" s="1703" t="s">
        <v>863</v>
      </c>
      <c r="R41" s="1703" t="s">
        <v>863</v>
      </c>
      <c r="S41" s="1705"/>
      <c r="T41" s="1705" t="s">
        <v>109</v>
      </c>
      <c r="U41" s="1705" t="s">
        <v>109</v>
      </c>
      <c r="V41" s="1707">
        <v>50</v>
      </c>
      <c r="W41" s="1705">
        <v>5</v>
      </c>
      <c r="X41" s="1707">
        <v>2032</v>
      </c>
      <c r="Y41" s="1707">
        <v>295.73</v>
      </c>
      <c r="Z41" s="1707">
        <v>24.75</v>
      </c>
      <c r="AA41" s="1707" t="s">
        <v>109</v>
      </c>
      <c r="AB41" s="1707" t="s">
        <v>109</v>
      </c>
      <c r="AC41" s="1707">
        <v>50</v>
      </c>
      <c r="AD41" s="1713">
        <f>(25085219+38626299)/1000</f>
        <v>63711.517999999996</v>
      </c>
      <c r="AE41" s="1713">
        <f>19813393/1000</f>
        <v>19813.393</v>
      </c>
      <c r="AF41" s="1712">
        <v>0</v>
      </c>
      <c r="AG41" s="1713">
        <v>4.5437684448494755</v>
      </c>
      <c r="AH41" s="1713">
        <f>IFERROR(TBL4_OptApp[[#This Row],[Total NPC (£m)]]/TBL4_OptApp[[#This Row],[Maximum option utilisation across the planning period (Ml/d)]],"N/A")</f>
        <v>9.5036000000000005</v>
      </c>
      <c r="AI41" s="1713">
        <v>475.18</v>
      </c>
      <c r="AJ41" s="1703"/>
      <c r="AK41" s="1705"/>
      <c r="AL41" s="1705"/>
      <c r="AM41" s="1705"/>
      <c r="AN41" s="1705"/>
      <c r="AO41" s="1705"/>
      <c r="AP41" s="1705"/>
      <c r="AQ41" s="1705"/>
      <c r="AR41" s="1705"/>
      <c r="AS41" s="1705"/>
      <c r="AT41" s="1705"/>
      <c r="AU41" s="1705"/>
      <c r="AV41" s="1705"/>
      <c r="AW41" s="1705"/>
      <c r="AX41" s="1705"/>
      <c r="AY41" s="1705"/>
      <c r="AZ41" s="1705"/>
      <c r="BA41" s="1705"/>
      <c r="BB41" s="1702"/>
      <c r="BC41" s="1702"/>
    </row>
    <row r="42" spans="1:55" ht="99.75" x14ac:dyDescent="0.2">
      <c r="A42" s="1702"/>
      <c r="B42" s="17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42" s="1703" t="s">
        <v>944</v>
      </c>
      <c r="D42" s="1703" t="s">
        <v>945</v>
      </c>
      <c r="E42" s="1704" t="s">
        <v>916</v>
      </c>
      <c r="F42" s="1703" t="str">
        <f>VLOOKUP(TBL4_OptApp[[#This Row],[Option type
Defined List]],'Option Typs_Grps'!B$2:C$47, 2, FALSE)</f>
        <v>Resource Options</v>
      </c>
      <c r="G42" s="1703" t="s">
        <v>105</v>
      </c>
      <c r="H42" s="1703" t="s">
        <v>871</v>
      </c>
      <c r="I42" s="1703" t="s">
        <v>863</v>
      </c>
      <c r="J42" s="1703" t="s">
        <v>109</v>
      </c>
      <c r="K42" s="1703" t="s">
        <v>109</v>
      </c>
      <c r="L42" s="1703" t="s">
        <v>863</v>
      </c>
      <c r="M42" s="1703" t="s">
        <v>863</v>
      </c>
      <c r="N42" s="1703" t="s">
        <v>863</v>
      </c>
      <c r="O42" s="1703" t="s">
        <v>863</v>
      </c>
      <c r="P42" s="1703" t="s">
        <v>863</v>
      </c>
      <c r="Q42" s="1703" t="s">
        <v>863</v>
      </c>
      <c r="R42" s="1703" t="s">
        <v>863</v>
      </c>
      <c r="S42" s="1703" t="s">
        <v>946</v>
      </c>
      <c r="T42" s="1705" t="s">
        <v>109</v>
      </c>
      <c r="U42" s="1705" t="s">
        <v>109</v>
      </c>
      <c r="V42" s="1707" t="s">
        <v>947</v>
      </c>
      <c r="W42" s="1703" t="s">
        <v>109</v>
      </c>
      <c r="X42" s="1703" t="s">
        <v>109</v>
      </c>
      <c r="Y42" s="1703" t="s">
        <v>109</v>
      </c>
      <c r="Z42" s="1703" t="s">
        <v>109</v>
      </c>
      <c r="AA42" s="1703" t="s">
        <v>109</v>
      </c>
      <c r="AB42" s="1703" t="s">
        <v>109</v>
      </c>
      <c r="AC42" s="1703" t="s">
        <v>109</v>
      </c>
      <c r="AD42" s="1713" t="s">
        <v>109</v>
      </c>
      <c r="AE42" s="1712"/>
      <c r="AF42" s="1712"/>
      <c r="AG42" s="1713"/>
      <c r="AH42" s="1713" t="s">
        <v>109</v>
      </c>
      <c r="AI42" s="1713" t="s">
        <v>109</v>
      </c>
      <c r="AJ42" s="1703"/>
      <c r="AK42" s="1705"/>
      <c r="AL42" s="1705"/>
      <c r="AM42" s="1705"/>
      <c r="AN42" s="1705"/>
      <c r="AO42" s="1705"/>
      <c r="AP42" s="1705"/>
      <c r="AQ42" s="1705"/>
      <c r="AR42" s="1705"/>
      <c r="AS42" s="1705"/>
      <c r="AT42" s="1705"/>
      <c r="AU42" s="1705"/>
      <c r="AV42" s="1705"/>
      <c r="AW42" s="1705"/>
      <c r="AX42" s="1705"/>
      <c r="AY42" s="1705"/>
      <c r="AZ42" s="1705"/>
      <c r="BA42" s="1705"/>
      <c r="BB42" s="1702"/>
      <c r="BC42" s="1702"/>
    </row>
    <row r="43" spans="1:55" ht="28.5" x14ac:dyDescent="0.2">
      <c r="A43" s="1702"/>
      <c r="B43" s="17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51aF</v>
      </c>
      <c r="C43" s="1703" t="s">
        <v>948</v>
      </c>
      <c r="D43" s="1703" t="s">
        <v>926</v>
      </c>
      <c r="E43" s="1704" t="s">
        <v>916</v>
      </c>
      <c r="F43" s="1703" t="str">
        <f>VLOOKUP(TBL4_OptApp[[#This Row],[Option type
Defined List]],'Option Typs_Grps'!B$2:C$47, 2, FALSE)</f>
        <v>Resource Options</v>
      </c>
      <c r="G43" s="1703" t="s">
        <v>88</v>
      </c>
      <c r="H43" s="1703" t="s">
        <v>862</v>
      </c>
      <c r="I43" s="1703" t="s">
        <v>863</v>
      </c>
      <c r="J43" s="1703" t="s">
        <v>109</v>
      </c>
      <c r="K43" s="1703" t="s">
        <v>109</v>
      </c>
      <c r="L43" s="1703" t="s">
        <v>863</v>
      </c>
      <c r="M43" s="1703" t="s">
        <v>863</v>
      </c>
      <c r="N43" s="1703" t="s">
        <v>863</v>
      </c>
      <c r="O43" s="1703" t="s">
        <v>863</v>
      </c>
      <c r="P43" s="1703" t="s">
        <v>863</v>
      </c>
      <c r="Q43" s="1703" t="s">
        <v>863</v>
      </c>
      <c r="R43" s="1703" t="s">
        <v>863</v>
      </c>
      <c r="S43" s="1705"/>
      <c r="T43" s="1705" t="s">
        <v>109</v>
      </c>
      <c r="U43" s="1705" t="s">
        <v>109</v>
      </c>
      <c r="V43" s="1707">
        <v>100</v>
      </c>
      <c r="W43" s="1705">
        <v>5</v>
      </c>
      <c r="X43" s="1707">
        <v>2032</v>
      </c>
      <c r="Y43" s="1707">
        <v>487.57</v>
      </c>
      <c r="Z43" s="1707">
        <v>49.02</v>
      </c>
      <c r="AA43" s="1707" t="s">
        <v>109</v>
      </c>
      <c r="AB43" s="1707" t="s">
        <v>109</v>
      </c>
      <c r="AC43" s="1707">
        <v>100</v>
      </c>
      <c r="AD43" s="1713">
        <f>(52535972+64389051)/1000</f>
        <v>116925.023</v>
      </c>
      <c r="AE43" s="1713">
        <f>39627068/1000</f>
        <v>39627.067999999999</v>
      </c>
      <c r="AF43" s="1712">
        <v>0</v>
      </c>
      <c r="AG43" s="1713">
        <v>5.8995157150704305</v>
      </c>
      <c r="AH43" s="1713">
        <f>IFERROR(TBL4_OptApp[[#This Row],[Total NPC (£m)]]/TBL4_OptApp[[#This Row],[Maximum option utilisation across the planning period (Ml/d)]],"N/A")</f>
        <v>8.6539999999999999</v>
      </c>
      <c r="AI43" s="1713">
        <v>865.4</v>
      </c>
      <c r="AJ43" s="1703"/>
      <c r="AK43" s="1705"/>
      <c r="AL43" s="1705"/>
      <c r="AM43" s="1705"/>
      <c r="AN43" s="1705"/>
      <c r="AO43" s="1705"/>
      <c r="AP43" s="1705"/>
      <c r="AQ43" s="1705"/>
      <c r="AR43" s="1705"/>
      <c r="AS43" s="1705"/>
      <c r="AT43" s="1705"/>
      <c r="AU43" s="1705"/>
      <c r="AV43" s="1705"/>
      <c r="AW43" s="1705"/>
      <c r="AX43" s="1705"/>
      <c r="AY43" s="1705"/>
      <c r="AZ43" s="1705"/>
      <c r="BA43" s="1705"/>
      <c r="BB43" s="1702"/>
      <c r="BC43" s="1702"/>
    </row>
    <row r="44" spans="1:55" ht="28.5" x14ac:dyDescent="0.2">
      <c r="A44" s="1702"/>
      <c r="B44" s="17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51aF</v>
      </c>
      <c r="C44" s="1703" t="s">
        <v>949</v>
      </c>
      <c r="D44" s="1703" t="s">
        <v>926</v>
      </c>
      <c r="E44" s="1704" t="s">
        <v>916</v>
      </c>
      <c r="F44" s="1703" t="str">
        <f>VLOOKUP(TBL4_OptApp[[#This Row],[Option type
Defined List]],'Option Typs_Grps'!B$2:C$47, 2, FALSE)</f>
        <v>Resource Options</v>
      </c>
      <c r="G44" s="1703" t="s">
        <v>88</v>
      </c>
      <c r="H44" s="1703" t="s">
        <v>862</v>
      </c>
      <c r="I44" s="1703" t="s">
        <v>863</v>
      </c>
      <c r="J44" s="1703" t="s">
        <v>109</v>
      </c>
      <c r="K44" s="1703" t="s">
        <v>109</v>
      </c>
      <c r="L44" s="1703" t="s">
        <v>863</v>
      </c>
      <c r="M44" s="1703" t="s">
        <v>863</v>
      </c>
      <c r="N44" s="1703" t="s">
        <v>863</v>
      </c>
      <c r="O44" s="1703" t="s">
        <v>863</v>
      </c>
      <c r="P44" s="1703" t="s">
        <v>863</v>
      </c>
      <c r="Q44" s="1703" t="s">
        <v>877</v>
      </c>
      <c r="R44" s="1703" t="s">
        <v>863</v>
      </c>
      <c r="S44" s="1705"/>
      <c r="T44" s="1705" t="s">
        <v>109</v>
      </c>
      <c r="U44" s="1705" t="s">
        <v>109</v>
      </c>
      <c r="V44" s="1707">
        <v>190</v>
      </c>
      <c r="W44" s="1705">
        <v>5</v>
      </c>
      <c r="X44" s="1707">
        <v>2032</v>
      </c>
      <c r="Y44" s="1707">
        <v>897.28</v>
      </c>
      <c r="Z44" s="1707">
        <v>93.37</v>
      </c>
      <c r="AA44" s="1707" t="s">
        <v>109</v>
      </c>
      <c r="AB44" s="1707" t="s">
        <v>109</v>
      </c>
      <c r="AC44" s="1707">
        <v>190</v>
      </c>
      <c r="AD44" s="1713">
        <f>([2]Summary!$P$28+[2]Summary!$P$29)/1000</f>
        <v>173095.35288459953</v>
      </c>
      <c r="AE44" s="1713">
        <v>75291.683000000005</v>
      </c>
      <c r="AF44" s="1712">
        <v>0</v>
      </c>
      <c r="AG44" s="1713">
        <v>7.2392911393090964</v>
      </c>
      <c r="AH44" s="1713">
        <f>IFERROR(TBL4_OptApp[[#This Row],[Total NPC (£m)]]/TBL4_OptApp[[#This Row],[Maximum option utilisation across the planning period (Ml/d)]],"N/A")</f>
        <v>8.5478421052631575</v>
      </c>
      <c r="AI44" s="1713">
        <v>1624.09</v>
      </c>
      <c r="AJ44" s="1703"/>
      <c r="AK44" s="1705"/>
      <c r="AL44" s="1705"/>
      <c r="AM44" s="1705"/>
      <c r="AN44" s="1705"/>
      <c r="AO44" s="1705"/>
      <c r="AP44" s="1705"/>
      <c r="AQ44" s="1705"/>
      <c r="AR44" s="1705"/>
      <c r="AS44" s="1705"/>
      <c r="AT44" s="1705"/>
      <c r="AU44" s="1705"/>
      <c r="AV44" s="1705"/>
      <c r="AW44" s="1705"/>
      <c r="AX44" s="1705"/>
      <c r="AY44" s="1705"/>
      <c r="AZ44" s="1705"/>
      <c r="BA44" s="1705"/>
      <c r="BB44" s="1702"/>
      <c r="BC44" s="1702"/>
    </row>
    <row r="45" spans="1:55" x14ac:dyDescent="0.2">
      <c r="A45" s="1702"/>
      <c r="B45" s="17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51aF</v>
      </c>
      <c r="C45" s="1703" t="s">
        <v>950</v>
      </c>
      <c r="D45" s="1703" t="s">
        <v>951</v>
      </c>
      <c r="E45" s="1704" t="s">
        <v>913</v>
      </c>
      <c r="F45" s="1703" t="str">
        <f>VLOOKUP(TBL4_OptApp[[#This Row],[Option type
Defined List]],'Option Typs_Grps'!B$2:C$47, 2, FALSE)</f>
        <v>Resource Options</v>
      </c>
      <c r="G45" s="1703" t="s">
        <v>88</v>
      </c>
      <c r="H45" s="1703" t="s">
        <v>862</v>
      </c>
      <c r="I45" s="1703" t="s">
        <v>863</v>
      </c>
      <c r="J45" s="1703" t="s">
        <v>109</v>
      </c>
      <c r="K45" s="1703" t="s">
        <v>109</v>
      </c>
      <c r="L45" s="1703" t="s">
        <v>863</v>
      </c>
      <c r="M45" s="1703" t="s">
        <v>863</v>
      </c>
      <c r="N45" s="1703" t="s">
        <v>863</v>
      </c>
      <c r="O45" s="1703" t="s">
        <v>863</v>
      </c>
      <c r="P45" s="1703" t="s">
        <v>863</v>
      </c>
      <c r="Q45" s="1703" t="s">
        <v>863</v>
      </c>
      <c r="R45" s="1703" t="s">
        <v>863</v>
      </c>
      <c r="S45" s="1703"/>
      <c r="T45" s="1705" t="s">
        <v>109</v>
      </c>
      <c r="U45" s="1705" t="s">
        <v>109</v>
      </c>
      <c r="V45" s="1707">
        <v>15</v>
      </c>
      <c r="W45" s="1705">
        <v>5</v>
      </c>
      <c r="X45" s="1703">
        <v>2032</v>
      </c>
      <c r="Y45" s="1703">
        <v>53.38</v>
      </c>
      <c r="Z45" s="1703">
        <v>4.22</v>
      </c>
      <c r="AA45" s="1703" t="s">
        <v>109</v>
      </c>
      <c r="AB45" s="1703" t="s">
        <v>109</v>
      </c>
      <c r="AC45" s="1703">
        <v>15</v>
      </c>
      <c r="AD45" s="1713">
        <v>11523.86</v>
      </c>
      <c r="AE45" s="1713">
        <v>2426.5659999999998</v>
      </c>
      <c r="AF45" s="1712" t="s">
        <v>109</v>
      </c>
      <c r="AG45" s="1713">
        <v>2.0011075473186151</v>
      </c>
      <c r="AH45" s="1713">
        <f>IFERROR(TBL4_OptApp[[#This Row],[Total NPC (£m)]]/TBL4_OptApp[[#This Row],[Maximum option utilisation across the planning period (Ml/d)]],"N/A")</f>
        <v>5.5600000000000005</v>
      </c>
      <c r="AI45" s="1713">
        <v>83.4</v>
      </c>
      <c r="AJ45" s="1703"/>
      <c r="AK45" s="1705"/>
      <c r="AL45" s="1705"/>
      <c r="AM45" s="1705"/>
      <c r="AN45" s="1705"/>
      <c r="AO45" s="1705"/>
      <c r="AP45" s="1705"/>
      <c r="AQ45" s="1705"/>
      <c r="AR45" s="1705"/>
      <c r="AS45" s="1705"/>
      <c r="AT45" s="1705"/>
      <c r="AU45" s="1705"/>
      <c r="AV45" s="1705"/>
      <c r="AW45" s="1705"/>
      <c r="AX45" s="1705"/>
      <c r="AY45" s="1705"/>
      <c r="AZ45" s="1705"/>
      <c r="BA45" s="1705"/>
      <c r="BB45" s="1702"/>
      <c r="BC45" s="1702"/>
    </row>
    <row r="46" spans="1:55" ht="41.1" customHeight="1" x14ac:dyDescent="0.2">
      <c r="A46" s="1702"/>
      <c r="B46" s="17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51aP</v>
      </c>
      <c r="C46" s="1703" t="s">
        <v>952</v>
      </c>
      <c r="D46" s="1703" t="s">
        <v>953</v>
      </c>
      <c r="E46" s="1704" t="s">
        <v>913</v>
      </c>
      <c r="F46" s="1703" t="str">
        <f>VLOOKUP(TBL4_OptApp[[#This Row],[Option type
Defined List]],'Option Typs_Grps'!B$2:C$47, 2, FALSE)</f>
        <v>Resource Options</v>
      </c>
      <c r="G46" s="1703" t="s">
        <v>105</v>
      </c>
      <c r="H46" s="1703" t="s">
        <v>876</v>
      </c>
      <c r="I46" s="1703" t="s">
        <v>863</v>
      </c>
      <c r="J46" s="1703" t="s">
        <v>109</v>
      </c>
      <c r="K46" s="1703" t="s">
        <v>954</v>
      </c>
      <c r="L46" s="1703" t="s">
        <v>877</v>
      </c>
      <c r="M46" s="1703" t="s">
        <v>877</v>
      </c>
      <c r="N46" s="1703" t="s">
        <v>877</v>
      </c>
      <c r="O46" s="1703" t="s">
        <v>863</v>
      </c>
      <c r="P46" s="1703" t="s">
        <v>877</v>
      </c>
      <c r="Q46" s="1703" t="s">
        <v>877</v>
      </c>
      <c r="R46" s="1703" t="s">
        <v>877</v>
      </c>
      <c r="S46" s="1703"/>
      <c r="T46" s="1705" t="s">
        <v>109</v>
      </c>
      <c r="U46" s="1705" t="s">
        <v>109</v>
      </c>
      <c r="V46" s="1707">
        <v>11</v>
      </c>
      <c r="W46" s="1705">
        <v>5</v>
      </c>
      <c r="X46" s="1707">
        <v>2032</v>
      </c>
      <c r="Y46" s="1707">
        <v>73.27</v>
      </c>
      <c r="Z46" s="1707">
        <v>3.29</v>
      </c>
      <c r="AA46" s="1707">
        <v>3.15</v>
      </c>
      <c r="AB46" s="1707">
        <v>5.17</v>
      </c>
      <c r="AC46" s="1707">
        <v>11</v>
      </c>
      <c r="AD46" s="1719">
        <v>26345.55</v>
      </c>
      <c r="AE46" s="1719">
        <v>1779.4649999999999</v>
      </c>
      <c r="AF46" s="1719">
        <f>(TBL4_OptApp[[#This Row],[Average option utilisation used for average totex expenditure and operational carbon forecasts (Ml/d)]]/TBL4_OptApp[[#This Row],[Maximum option utilisation across the planning period (Ml/d)]])*TBL4_OptApp[[#This Row],[Operational carbon emissions under maximum utilisation scenario
(tCO2 equivalent per annum)]]</f>
        <v>836.34854999999993</v>
      </c>
      <c r="AG46" s="1719">
        <v>2.0011075473186151</v>
      </c>
      <c r="AH46" s="1719">
        <f>IFERROR(TBL4_OptApp[[#This Row],[Total NPC (£m)]]/TBL4_OptApp[[#This Row],[Maximum option utilisation across the planning period (Ml/d)]],"N/A")</f>
        <v>8.6772727272727277</v>
      </c>
      <c r="AI46" s="1719">
        <v>95.45</v>
      </c>
      <c r="AJ46" s="1720">
        <v>-39840</v>
      </c>
      <c r="AK46" s="1712">
        <v>20.67400999653972</v>
      </c>
      <c r="AL46" s="1705"/>
      <c r="AM46" s="1705"/>
      <c r="AN46" s="1705"/>
      <c r="AO46" s="1705"/>
      <c r="AP46" s="1721" t="s">
        <v>955</v>
      </c>
      <c r="AQ46" s="1705" t="s">
        <v>956</v>
      </c>
      <c r="AR46" s="1705"/>
      <c r="AS46" s="1705">
        <v>0</v>
      </c>
      <c r="AT46" s="1705"/>
      <c r="AU46" s="1705" t="s">
        <v>957</v>
      </c>
      <c r="AV46" s="1705"/>
      <c r="AW46" s="1705"/>
      <c r="AX46" s="1705"/>
      <c r="AY46" s="1705"/>
      <c r="AZ46" s="1705"/>
      <c r="BA46" s="1705"/>
      <c r="BB46" s="1702"/>
      <c r="BC46" s="1702"/>
    </row>
    <row r="47" spans="1:55" ht="28.5" x14ac:dyDescent="0.2">
      <c r="A47" s="1702"/>
      <c r="B47" s="17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51aF</v>
      </c>
      <c r="C47" s="1703" t="s">
        <v>958</v>
      </c>
      <c r="D47" s="1703" t="s">
        <v>959</v>
      </c>
      <c r="E47" s="1704" t="s">
        <v>916</v>
      </c>
      <c r="F47" s="1703" t="str">
        <f>VLOOKUP(TBL4_OptApp[[#This Row],[Option type
Defined List]],'Option Typs_Grps'!B$2:C$47, 2, FALSE)</f>
        <v>Resource Options</v>
      </c>
      <c r="G47" s="1703" t="s">
        <v>105</v>
      </c>
      <c r="H47" s="1703" t="s">
        <v>862</v>
      </c>
      <c r="I47" s="1703" t="s">
        <v>863</v>
      </c>
      <c r="J47" s="1703" t="s">
        <v>109</v>
      </c>
      <c r="K47" s="1703" t="s">
        <v>903</v>
      </c>
      <c r="L47" s="1703" t="s">
        <v>863</v>
      </c>
      <c r="M47" s="1703" t="s">
        <v>863</v>
      </c>
      <c r="N47" s="1703" t="s">
        <v>863</v>
      </c>
      <c r="O47" s="1703" t="s">
        <v>863</v>
      </c>
      <c r="P47" s="1703" t="s">
        <v>877</v>
      </c>
      <c r="Q47" s="1703" t="s">
        <v>877</v>
      </c>
      <c r="R47" s="1703" t="s">
        <v>863</v>
      </c>
      <c r="S47" s="1705"/>
      <c r="T47" s="1705" t="s">
        <v>109</v>
      </c>
      <c r="U47" s="1705" t="s">
        <v>109</v>
      </c>
      <c r="V47" s="1707">
        <v>10.1</v>
      </c>
      <c r="W47" s="1705">
        <v>5</v>
      </c>
      <c r="X47" s="1703">
        <v>2032</v>
      </c>
      <c r="Y47" s="1717">
        <v>99.99</v>
      </c>
      <c r="Z47" s="1717">
        <v>5</v>
      </c>
      <c r="AA47" s="1703" t="s">
        <v>109</v>
      </c>
      <c r="AB47" s="1703" t="s">
        <v>109</v>
      </c>
      <c r="AC47" s="1705">
        <v>10.1</v>
      </c>
      <c r="AD47" s="1713">
        <v>40180.51</v>
      </c>
      <c r="AE47" s="1713">
        <v>3985.88</v>
      </c>
      <c r="AF47" s="1712">
        <v>0</v>
      </c>
      <c r="AG47" s="1713">
        <v>2.5982438668725818</v>
      </c>
      <c r="AH47" s="1713">
        <f>IFERROR(TBL4_OptApp[[#This Row],[Total NPC (£m)]]/TBL4_OptApp[[#This Row],[Maximum option utilisation across the planning period (Ml/d)]],"N/A")</f>
        <v>12.427722772277228</v>
      </c>
      <c r="AI47" s="1713">
        <v>125.52</v>
      </c>
      <c r="AJ47" s="1703"/>
      <c r="AK47" s="1705"/>
      <c r="AL47" s="1705"/>
      <c r="AM47" s="1705"/>
      <c r="AN47" s="1705"/>
      <c r="AO47" s="1705"/>
      <c r="AP47" s="1705"/>
      <c r="AQ47" s="1705"/>
      <c r="AR47" s="1705"/>
      <c r="AS47" s="1705"/>
      <c r="AT47" s="1705"/>
      <c r="AU47" s="1705"/>
      <c r="AV47" s="1705"/>
      <c r="AW47" s="1705"/>
      <c r="AX47" s="1705"/>
      <c r="AY47" s="1705"/>
      <c r="AZ47" s="1705"/>
      <c r="BA47" s="1705"/>
      <c r="BB47" s="1702"/>
      <c r="BC47" s="1702"/>
    </row>
    <row r="48" spans="1:55" ht="28.5" x14ac:dyDescent="0.2">
      <c r="A48" s="1702"/>
      <c r="B48" s="17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48" s="1703" t="s">
        <v>960</v>
      </c>
      <c r="D48" s="1703" t="s">
        <v>961</v>
      </c>
      <c r="E48" s="1704" t="s">
        <v>913</v>
      </c>
      <c r="F48" s="1703" t="str">
        <f>VLOOKUP(TBL4_OptApp[[#This Row],[Option type
Defined List]],'Option Typs_Grps'!B$2:C$47, 2, FALSE)</f>
        <v>Resource Options</v>
      </c>
      <c r="G48" s="1703" t="s">
        <v>88</v>
      </c>
      <c r="H48" s="1703" t="s">
        <v>871</v>
      </c>
      <c r="I48" s="1703" t="s">
        <v>863</v>
      </c>
      <c r="J48" s="1703" t="s">
        <v>109</v>
      </c>
      <c r="K48" s="1703" t="s">
        <v>109</v>
      </c>
      <c r="L48" s="1703" t="s">
        <v>863</v>
      </c>
      <c r="M48" s="1703" t="s">
        <v>863</v>
      </c>
      <c r="N48" s="1703" t="s">
        <v>863</v>
      </c>
      <c r="O48" s="1703" t="s">
        <v>863</v>
      </c>
      <c r="P48" s="1703" t="s">
        <v>863</v>
      </c>
      <c r="Q48" s="1703" t="s">
        <v>863</v>
      </c>
      <c r="R48" s="1703" t="s">
        <v>863</v>
      </c>
      <c r="S48" s="1703" t="s">
        <v>962</v>
      </c>
      <c r="T48" s="1705" t="s">
        <v>109</v>
      </c>
      <c r="U48" s="1705" t="s">
        <v>109</v>
      </c>
      <c r="V48" s="1707">
        <v>19</v>
      </c>
      <c r="W48" s="1705">
        <v>5</v>
      </c>
      <c r="X48" s="1703">
        <v>2032</v>
      </c>
      <c r="Y48" s="1703">
        <v>97.3</v>
      </c>
      <c r="Z48" s="1703">
        <v>5.81</v>
      </c>
      <c r="AA48" s="1703" t="s">
        <v>109</v>
      </c>
      <c r="AB48" s="1703" t="s">
        <v>109</v>
      </c>
      <c r="AC48" s="1703">
        <v>19</v>
      </c>
      <c r="AD48" s="1722">
        <v>55724.21</v>
      </c>
      <c r="AE48" s="1713">
        <v>3073.6660000000002</v>
      </c>
      <c r="AF48" s="1712">
        <v>0</v>
      </c>
      <c r="AG48" s="1713">
        <v>0</v>
      </c>
      <c r="AH48" s="1713">
        <f>IFERROR(TBL4_OptApp[[#This Row],[Total NPC (£m)]]/TBL4_OptApp[[#This Row],[Maximum option utilisation across the planning period (Ml/d)]],"N/A")</f>
        <v>7.0121052631578946</v>
      </c>
      <c r="AI48" s="1713">
        <v>133.22999999999999</v>
      </c>
      <c r="AJ48" s="1703"/>
      <c r="AK48" s="1705"/>
      <c r="AL48" s="1705"/>
      <c r="AM48" s="1705"/>
      <c r="AN48" s="1705"/>
      <c r="AO48" s="1705"/>
      <c r="AP48" s="1705"/>
      <c r="AQ48" s="1705"/>
      <c r="AR48" s="1705"/>
      <c r="AS48" s="1705"/>
      <c r="AT48" s="1705"/>
      <c r="AU48" s="1705"/>
      <c r="AV48" s="1705"/>
      <c r="AW48" s="1705"/>
      <c r="AX48" s="1705"/>
      <c r="AY48" s="1705"/>
      <c r="AZ48" s="1705"/>
      <c r="BA48" s="1705"/>
      <c r="BB48" s="1702"/>
      <c r="BC48" s="1702"/>
    </row>
    <row r="49" spans="1:55" ht="28.5" x14ac:dyDescent="0.2">
      <c r="A49" s="1702"/>
      <c r="B49" s="17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49" s="1703" t="s">
        <v>963</v>
      </c>
      <c r="D49" s="1703" t="s">
        <v>964</v>
      </c>
      <c r="E49" s="1704" t="s">
        <v>913</v>
      </c>
      <c r="F49" s="1703" t="str">
        <f>VLOOKUP(TBL4_OptApp[[#This Row],[Option type
Defined List]],'Option Typs_Grps'!B$2:C$47, 2, FALSE)</f>
        <v>Resource Options</v>
      </c>
      <c r="G49" s="1703" t="s">
        <v>88</v>
      </c>
      <c r="H49" s="1703" t="s">
        <v>871</v>
      </c>
      <c r="I49" s="1703" t="s">
        <v>863</v>
      </c>
      <c r="J49" s="1703" t="s">
        <v>109</v>
      </c>
      <c r="K49" s="1703" t="s">
        <v>109</v>
      </c>
      <c r="L49" s="1703" t="s">
        <v>863</v>
      </c>
      <c r="M49" s="1703" t="s">
        <v>863</v>
      </c>
      <c r="N49" s="1703" t="s">
        <v>863</v>
      </c>
      <c r="O49" s="1703" t="s">
        <v>863</v>
      </c>
      <c r="P49" s="1703" t="s">
        <v>863</v>
      </c>
      <c r="Q49" s="1703" t="s">
        <v>863</v>
      </c>
      <c r="R49" s="1703" t="s">
        <v>863</v>
      </c>
      <c r="S49" s="1703" t="s">
        <v>965</v>
      </c>
      <c r="T49" s="1705" t="s">
        <v>109</v>
      </c>
      <c r="U49" s="1705" t="s">
        <v>109</v>
      </c>
      <c r="V49" s="1707">
        <v>2.8</v>
      </c>
      <c r="W49" s="1703" t="s">
        <v>109</v>
      </c>
      <c r="X49" s="1703" t="s">
        <v>109</v>
      </c>
      <c r="Y49" s="1703" t="s">
        <v>109</v>
      </c>
      <c r="Z49" s="1703" t="s">
        <v>109</v>
      </c>
      <c r="AA49" s="1703" t="s">
        <v>109</v>
      </c>
      <c r="AB49" s="1703" t="s">
        <v>109</v>
      </c>
      <c r="AC49" s="1703" t="s">
        <v>109</v>
      </c>
      <c r="AD49" s="1713" t="s">
        <v>109</v>
      </c>
      <c r="AE49" s="1712"/>
      <c r="AF49" s="1712"/>
      <c r="AG49" s="1713"/>
      <c r="AH49" s="1713" t="s">
        <v>109</v>
      </c>
      <c r="AI49" s="1713" t="s">
        <v>109</v>
      </c>
      <c r="AJ49" s="1703"/>
      <c r="AK49" s="1705"/>
      <c r="AL49" s="1705"/>
      <c r="AM49" s="1705"/>
      <c r="AN49" s="1705"/>
      <c r="AO49" s="1705"/>
      <c r="AP49" s="1705"/>
      <c r="AQ49" s="1705"/>
      <c r="AR49" s="1705"/>
      <c r="AS49" s="1705"/>
      <c r="AT49" s="1705"/>
      <c r="AU49" s="1705"/>
      <c r="AV49" s="1705"/>
      <c r="AW49" s="1705"/>
      <c r="AX49" s="1705"/>
      <c r="AY49" s="1705"/>
      <c r="AZ49" s="1705"/>
      <c r="BA49" s="1705"/>
      <c r="BB49" s="1702"/>
      <c r="BC49" s="1702"/>
    </row>
    <row r="50" spans="1:55" ht="28.5" x14ac:dyDescent="0.2">
      <c r="A50" s="1702"/>
      <c r="B50" s="17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51aU</v>
      </c>
      <c r="C50" s="1703" t="s">
        <v>966</v>
      </c>
      <c r="D50" s="1703" t="s">
        <v>967</v>
      </c>
      <c r="E50" s="1704" t="s">
        <v>913</v>
      </c>
      <c r="F50" s="1703" t="str">
        <f>VLOOKUP(TBL4_OptApp[[#This Row],[Option type
Defined List]],'Option Typs_Grps'!B$2:C$47, 2, FALSE)</f>
        <v>Resource Options</v>
      </c>
      <c r="G50" s="1703" t="s">
        <v>88</v>
      </c>
      <c r="H50" s="1703" t="s">
        <v>871</v>
      </c>
      <c r="I50" s="1703" t="s">
        <v>863</v>
      </c>
      <c r="J50" s="1703" t="s">
        <v>109</v>
      </c>
      <c r="K50" s="1703" t="s">
        <v>109</v>
      </c>
      <c r="L50" s="1703" t="s">
        <v>863</v>
      </c>
      <c r="M50" s="1703" t="s">
        <v>863</v>
      </c>
      <c r="N50" s="1703" t="s">
        <v>863</v>
      </c>
      <c r="O50" s="1703" t="s">
        <v>863</v>
      </c>
      <c r="P50" s="1703" t="s">
        <v>863</v>
      </c>
      <c r="Q50" s="1703" t="s">
        <v>863</v>
      </c>
      <c r="R50" s="1703" t="s">
        <v>863</v>
      </c>
      <c r="S50" s="1703" t="s">
        <v>968</v>
      </c>
      <c r="T50" s="1705" t="s">
        <v>109</v>
      </c>
      <c r="U50" s="1705" t="s">
        <v>109</v>
      </c>
      <c r="V50" s="1707">
        <v>2.2999999999999998</v>
      </c>
      <c r="W50" s="1703" t="s">
        <v>109</v>
      </c>
      <c r="X50" s="1703" t="s">
        <v>109</v>
      </c>
      <c r="Y50" s="1703" t="s">
        <v>109</v>
      </c>
      <c r="Z50" s="1703" t="s">
        <v>109</v>
      </c>
      <c r="AA50" s="1703" t="s">
        <v>109</v>
      </c>
      <c r="AB50" s="1703" t="s">
        <v>109</v>
      </c>
      <c r="AC50" s="1703" t="s">
        <v>109</v>
      </c>
      <c r="AD50" s="1713" t="s">
        <v>109</v>
      </c>
      <c r="AE50" s="1712"/>
      <c r="AF50" s="1712"/>
      <c r="AG50" s="1713"/>
      <c r="AH50" s="1713" t="s">
        <v>109</v>
      </c>
      <c r="AI50" s="1713" t="s">
        <v>109</v>
      </c>
      <c r="AJ50" s="1703"/>
      <c r="AK50" s="1705"/>
      <c r="AL50" s="1705"/>
      <c r="AM50" s="1705"/>
      <c r="AN50" s="1705"/>
      <c r="AO50" s="1705"/>
      <c r="AP50" s="1705"/>
      <c r="AQ50" s="1705"/>
      <c r="AR50" s="1705"/>
      <c r="AS50" s="1705"/>
      <c r="AT50" s="1705"/>
      <c r="AU50" s="1705"/>
      <c r="AV50" s="1705"/>
      <c r="AW50" s="1705"/>
      <c r="AX50" s="1705"/>
      <c r="AY50" s="1705"/>
      <c r="AZ50" s="1705"/>
      <c r="BA50" s="1705"/>
      <c r="BB50" s="1702"/>
      <c r="BC50" s="1702"/>
    </row>
    <row r="51" spans="1:55" ht="28.5" x14ac:dyDescent="0.2">
      <c r="A51" s="1702"/>
      <c r="B51" s="17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51aF</v>
      </c>
      <c r="C51" s="1703" t="s">
        <v>969</v>
      </c>
      <c r="D51" s="1703" t="s">
        <v>970</v>
      </c>
      <c r="E51" s="1704" t="s">
        <v>916</v>
      </c>
      <c r="F51" s="1703" t="str">
        <f>VLOOKUP(TBL4_OptApp[[#This Row],[Option type
Defined List]],'Option Typs_Grps'!B$2:C$47, 2, FALSE)</f>
        <v>Resource Options</v>
      </c>
      <c r="G51" s="1703" t="s">
        <v>105</v>
      </c>
      <c r="H51" s="1703" t="s">
        <v>862</v>
      </c>
      <c r="I51" s="1703" t="s">
        <v>863</v>
      </c>
      <c r="J51" s="1703" t="s">
        <v>109</v>
      </c>
      <c r="K51" s="1703" t="s">
        <v>903</v>
      </c>
      <c r="L51" s="1703" t="s">
        <v>863</v>
      </c>
      <c r="M51" s="1703" t="s">
        <v>863</v>
      </c>
      <c r="N51" s="1703" t="s">
        <v>863</v>
      </c>
      <c r="O51" s="1703" t="s">
        <v>863</v>
      </c>
      <c r="P51" s="1703" t="s">
        <v>863</v>
      </c>
      <c r="Q51" s="1703" t="s">
        <v>863</v>
      </c>
      <c r="R51" s="1703" t="s">
        <v>863</v>
      </c>
      <c r="S51" s="1705"/>
      <c r="T51" s="1705" t="s">
        <v>109</v>
      </c>
      <c r="U51" s="1705" t="s">
        <v>109</v>
      </c>
      <c r="V51" s="1707">
        <v>5.6</v>
      </c>
      <c r="W51" s="1705">
        <v>5</v>
      </c>
      <c r="X51" s="1703">
        <v>2032</v>
      </c>
      <c r="Y51" s="1717">
        <v>83.17</v>
      </c>
      <c r="Z51" s="1717">
        <v>2.9</v>
      </c>
      <c r="AA51" s="1703" t="s">
        <v>109</v>
      </c>
      <c r="AB51" s="1703" t="s">
        <v>109</v>
      </c>
      <c r="AC51" s="1705">
        <v>5.6</v>
      </c>
      <c r="AD51" s="1713">
        <v>23874.679268631968</v>
      </c>
      <c r="AE51" s="1713">
        <v>2222.0030000000002</v>
      </c>
      <c r="AF51" s="1712">
        <v>0</v>
      </c>
      <c r="AG51" s="1713">
        <v>1.5806129913678837</v>
      </c>
      <c r="AH51" s="1713">
        <f>IFERROR(TBL4_OptApp[[#This Row],[Total NPC (£m)]]/TBL4_OptApp[[#This Row],[Maximum option utilisation across the planning period (Ml/d)]],"N/A")</f>
        <v>16.328571428571429</v>
      </c>
      <c r="AI51" s="1713">
        <v>91.44</v>
      </c>
      <c r="AJ51" s="1703"/>
      <c r="AK51" s="1705"/>
      <c r="AL51" s="1705"/>
      <c r="AM51" s="1705"/>
      <c r="AN51" s="1705"/>
      <c r="AO51" s="1705"/>
      <c r="AP51" s="1705"/>
      <c r="AQ51" s="1705"/>
      <c r="AR51" s="1705"/>
      <c r="AS51" s="1705"/>
      <c r="AT51" s="1705"/>
      <c r="AU51" s="1705"/>
      <c r="AV51" s="1705"/>
      <c r="AW51" s="1705"/>
      <c r="AX51" s="1705"/>
      <c r="AY51" s="1705"/>
      <c r="AZ51" s="1705"/>
      <c r="BA51" s="1705"/>
      <c r="BB51" s="1702"/>
      <c r="BC51" s="1702"/>
    </row>
    <row r="52" spans="1:55" ht="28.5" x14ac:dyDescent="0.2">
      <c r="A52" s="1702"/>
      <c r="B52" s="17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51dF</v>
      </c>
      <c r="C52" s="1703" t="s">
        <v>971</v>
      </c>
      <c r="D52" s="1703" t="s">
        <v>972</v>
      </c>
      <c r="E52" s="1723" t="s">
        <v>973</v>
      </c>
      <c r="F52" s="1703" t="str">
        <f>VLOOKUP(TBL4_OptApp[[#This Row],[Option type
Defined List]],'Option Typs_Grps'!B$2:C$47, 2, FALSE)</f>
        <v>Customer Options</v>
      </c>
      <c r="G52" s="1703" t="s">
        <v>974</v>
      </c>
      <c r="H52" s="1703" t="s">
        <v>862</v>
      </c>
      <c r="I52" s="1703" t="s">
        <v>863</v>
      </c>
      <c r="J52" s="1703" t="s">
        <v>109</v>
      </c>
      <c r="K52" s="1703" t="s">
        <v>109</v>
      </c>
      <c r="L52" s="1703" t="s">
        <v>863</v>
      </c>
      <c r="M52" s="1703" t="s">
        <v>863</v>
      </c>
      <c r="N52" s="1703" t="s">
        <v>863</v>
      </c>
      <c r="O52" s="1703" t="s">
        <v>863</v>
      </c>
      <c r="P52" s="1703" t="s">
        <v>975</v>
      </c>
      <c r="Q52" s="1703" t="s">
        <v>863</v>
      </c>
      <c r="R52" s="1703" t="s">
        <v>863</v>
      </c>
      <c r="S52" s="1705" t="s">
        <v>976</v>
      </c>
      <c r="T52" s="1705" t="s">
        <v>109</v>
      </c>
      <c r="U52" s="1705" t="s">
        <v>109</v>
      </c>
      <c r="V52" s="1719">
        <v>52.54</v>
      </c>
      <c r="W52" s="1705">
        <v>0</v>
      </c>
      <c r="X52" s="1705">
        <v>2021</v>
      </c>
      <c r="Y52" s="1705">
        <v>0</v>
      </c>
      <c r="Z52" s="1705">
        <v>0</v>
      </c>
      <c r="AA52" s="1705">
        <v>0</v>
      </c>
      <c r="AB52" s="1712">
        <v>52.54</v>
      </c>
      <c r="AC52" s="1712">
        <v>52.54</v>
      </c>
      <c r="AD52" s="1713" t="s">
        <v>109</v>
      </c>
      <c r="AE52" s="1712" t="s">
        <v>109</v>
      </c>
      <c r="AF52" s="1712" t="s">
        <v>109</v>
      </c>
      <c r="AG52" s="1713">
        <v>0</v>
      </c>
      <c r="AH52" s="1713">
        <f>IFERROR(TBL4_OptApp[[#This Row],[Total NPC (£m)]]/TBL4_OptApp[[#This Row],[Maximum option utilisation across the planning period (Ml/d)]],"N/A")</f>
        <v>0</v>
      </c>
      <c r="AI52" s="1713">
        <v>0</v>
      </c>
      <c r="AJ52" s="1703" t="s">
        <v>109</v>
      </c>
      <c r="AK52" s="1705" t="s">
        <v>109</v>
      </c>
      <c r="AL52" s="1705" t="s">
        <v>109</v>
      </c>
      <c r="AM52" s="1705" t="s">
        <v>109</v>
      </c>
      <c r="AN52" s="1705" t="s">
        <v>109</v>
      </c>
      <c r="AO52" s="1705" t="s">
        <v>109</v>
      </c>
      <c r="AP52" s="1705" t="s">
        <v>109</v>
      </c>
      <c r="AQ52" s="1705" t="s">
        <v>109</v>
      </c>
      <c r="AR52" s="1705" t="s">
        <v>109</v>
      </c>
      <c r="AS52" s="1705" t="s">
        <v>109</v>
      </c>
      <c r="AT52" s="1705" t="s">
        <v>109</v>
      </c>
      <c r="AU52" s="1705" t="s">
        <v>109</v>
      </c>
      <c r="AV52" s="1705" t="s">
        <v>109</v>
      </c>
      <c r="AW52" s="1705"/>
      <c r="AX52" s="1705"/>
      <c r="AY52" s="1705"/>
      <c r="AZ52" s="1705"/>
      <c r="BA52" s="1705"/>
      <c r="BB52" s="1702"/>
      <c r="BC52" s="1702"/>
    </row>
    <row r="53" spans="1:55" ht="28.5" x14ac:dyDescent="0.2">
      <c r="A53" s="1702"/>
      <c r="B53" s="17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51dF</v>
      </c>
      <c r="C53" s="1703" t="s">
        <v>977</v>
      </c>
      <c r="D53" s="1703" t="s">
        <v>978</v>
      </c>
      <c r="E53" s="1723" t="s">
        <v>973</v>
      </c>
      <c r="F53" s="1703" t="str">
        <f>VLOOKUP(TBL4_OptApp[[#This Row],[Option type
Defined List]],'Option Typs_Grps'!B$2:C$47, 2, FALSE)</f>
        <v>Customer Options</v>
      </c>
      <c r="G53" s="1703" t="s">
        <v>974</v>
      </c>
      <c r="H53" s="1703" t="s">
        <v>862</v>
      </c>
      <c r="I53" s="1703" t="s">
        <v>863</v>
      </c>
      <c r="J53" s="1703" t="s">
        <v>109</v>
      </c>
      <c r="K53" s="1703" t="s">
        <v>109</v>
      </c>
      <c r="L53" s="1703" t="s">
        <v>863</v>
      </c>
      <c r="M53" s="1703" t="s">
        <v>863</v>
      </c>
      <c r="N53" s="1703" t="s">
        <v>863</v>
      </c>
      <c r="O53" s="1703" t="s">
        <v>863</v>
      </c>
      <c r="P53" s="1703" t="s">
        <v>863</v>
      </c>
      <c r="Q53" s="1703" t="s">
        <v>863</v>
      </c>
      <c r="R53" s="1703" t="s">
        <v>863</v>
      </c>
      <c r="S53" s="1705" t="s">
        <v>976</v>
      </c>
      <c r="T53" s="1705" t="s">
        <v>109</v>
      </c>
      <c r="U53" s="1705" t="s">
        <v>109</v>
      </c>
      <c r="V53" s="1719">
        <v>70.66</v>
      </c>
      <c r="W53" s="1705">
        <v>0</v>
      </c>
      <c r="X53" s="1705">
        <v>2021</v>
      </c>
      <c r="Y53" s="1705">
        <v>0</v>
      </c>
      <c r="Z53" s="1705">
        <v>0</v>
      </c>
      <c r="AA53" s="1705">
        <v>0</v>
      </c>
      <c r="AB53" s="1712">
        <v>70.66</v>
      </c>
      <c r="AC53" s="1712">
        <v>70.66</v>
      </c>
      <c r="AD53" s="1713" t="s">
        <v>109</v>
      </c>
      <c r="AE53" s="1712" t="s">
        <v>109</v>
      </c>
      <c r="AF53" s="1712" t="s">
        <v>109</v>
      </c>
      <c r="AG53" s="1713">
        <v>0</v>
      </c>
      <c r="AH53" s="1713">
        <f>IFERROR(TBL4_OptApp[[#This Row],[Total NPC (£m)]]/TBL4_OptApp[[#This Row],[Maximum option utilisation across the planning period (Ml/d)]],"N/A")</f>
        <v>0</v>
      </c>
      <c r="AI53" s="1713">
        <v>0</v>
      </c>
      <c r="AJ53" s="1703" t="s">
        <v>109</v>
      </c>
      <c r="AK53" s="1705" t="s">
        <v>109</v>
      </c>
      <c r="AL53" s="1705" t="s">
        <v>109</v>
      </c>
      <c r="AM53" s="1705" t="s">
        <v>109</v>
      </c>
      <c r="AN53" s="1705" t="s">
        <v>109</v>
      </c>
      <c r="AO53" s="1705" t="s">
        <v>109</v>
      </c>
      <c r="AP53" s="1705" t="s">
        <v>109</v>
      </c>
      <c r="AQ53" s="1705" t="s">
        <v>109</v>
      </c>
      <c r="AR53" s="1705" t="s">
        <v>109</v>
      </c>
      <c r="AS53" s="1705" t="s">
        <v>109</v>
      </c>
      <c r="AT53" s="1705" t="s">
        <v>109</v>
      </c>
      <c r="AU53" s="1705" t="s">
        <v>109</v>
      </c>
      <c r="AV53" s="1705" t="s">
        <v>109</v>
      </c>
      <c r="AW53" s="1705"/>
      <c r="AX53" s="1705"/>
      <c r="AY53" s="1705"/>
      <c r="AZ53" s="1705"/>
      <c r="BA53" s="1705"/>
      <c r="BB53" s="1702"/>
      <c r="BC53" s="1702"/>
    </row>
    <row r="54" spans="1:55" ht="28.5" x14ac:dyDescent="0.2">
      <c r="A54" s="1702"/>
      <c r="B54" s="17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51aP</v>
      </c>
      <c r="C54" s="1703" t="s">
        <v>979</v>
      </c>
      <c r="D54" s="1703" t="s">
        <v>980</v>
      </c>
      <c r="E54" s="1704" t="s">
        <v>981</v>
      </c>
      <c r="F54" s="1703" t="str">
        <f>VLOOKUP(TBL4_OptApp[[#This Row],[Option type
Defined List]],'Option Typs_Grps'!B$2:C$47, 2, FALSE)</f>
        <v>Resource Options</v>
      </c>
      <c r="G54" s="1703" t="s">
        <v>105</v>
      </c>
      <c r="H54" s="1707" t="s">
        <v>876</v>
      </c>
      <c r="I54" s="1703" t="s">
        <v>863</v>
      </c>
      <c r="J54" s="1703" t="s">
        <v>109</v>
      </c>
      <c r="K54" s="1703" t="s">
        <v>954</v>
      </c>
      <c r="L54" s="1703" t="s">
        <v>877</v>
      </c>
      <c r="M54" s="1703" t="s">
        <v>877</v>
      </c>
      <c r="N54" s="1703" t="s">
        <v>863</v>
      </c>
      <c r="O54" s="1703" t="s">
        <v>863</v>
      </c>
      <c r="P54" s="1703" t="s">
        <v>863</v>
      </c>
      <c r="Q54" s="1703" t="s">
        <v>863</v>
      </c>
      <c r="R54" s="1703" t="s">
        <v>863</v>
      </c>
      <c r="S54" s="1703"/>
      <c r="T54" s="1705" t="s">
        <v>109</v>
      </c>
      <c r="U54" s="1705" t="s">
        <v>109</v>
      </c>
      <c r="V54" s="1707">
        <v>19.899999999999999</v>
      </c>
      <c r="W54" s="1705">
        <v>5</v>
      </c>
      <c r="X54" s="1707">
        <v>2040</v>
      </c>
      <c r="Y54" s="1707">
        <v>221.91</v>
      </c>
      <c r="Z54" s="1707">
        <v>0.92</v>
      </c>
      <c r="AA54" s="1707">
        <v>0.56999999999999995</v>
      </c>
      <c r="AB54" s="1707">
        <v>4.9800000000000004</v>
      </c>
      <c r="AC54" s="1707">
        <v>19.899999999999999</v>
      </c>
      <c r="AD54" s="1719">
        <v>34965.314860203362</v>
      </c>
      <c r="AE54" s="1724" t="s">
        <v>109</v>
      </c>
      <c r="AF54" s="1724" t="s">
        <v>109</v>
      </c>
      <c r="AG54" s="1719">
        <v>13.352315875577121</v>
      </c>
      <c r="AH54" s="1719">
        <f>IFERROR(TBL4_OptApp[[#This Row],[Total NPC (£m)]]/TBL4_OptApp[[#This Row],[Maximum option utilisation across the planning period (Ml/d)]],"N/A")</f>
        <v>7.2547738693467343</v>
      </c>
      <c r="AI54" s="1719">
        <v>144.37</v>
      </c>
      <c r="AJ54" s="1703">
        <v>-1167120</v>
      </c>
      <c r="AK54" s="1705">
        <v>0</v>
      </c>
      <c r="AL54" s="1705"/>
      <c r="AM54" s="1705"/>
      <c r="AN54" s="1705"/>
      <c r="AO54" s="1705"/>
      <c r="AP54" s="1705"/>
      <c r="AQ54" s="1705"/>
      <c r="AR54" s="1705"/>
      <c r="AS54" s="1705"/>
      <c r="AT54" s="1705"/>
      <c r="AU54" s="1705"/>
      <c r="AV54" s="1705"/>
      <c r="AW54" s="1705"/>
      <c r="AX54" s="1705"/>
      <c r="AY54" s="1705"/>
      <c r="AZ54" s="1705"/>
      <c r="BA54" s="1705"/>
      <c r="BB54" s="1702"/>
      <c r="BC54" s="1702"/>
    </row>
    <row r="55" spans="1:55" ht="28.5" x14ac:dyDescent="0.2">
      <c r="A55" s="1702"/>
      <c r="B55" s="17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51cP</v>
      </c>
      <c r="C55" s="1707" t="s">
        <v>982</v>
      </c>
      <c r="D55" s="1707" t="s">
        <v>983</v>
      </c>
      <c r="E55" s="1704" t="s">
        <v>907</v>
      </c>
      <c r="F55" s="1703" t="str">
        <f>VLOOKUP(TBL4_OptApp[[#This Row],[Option type
Defined List]],'Option Typs_Grps'!B$2:C$47, 2, FALSE)</f>
        <v>Distribution Options</v>
      </c>
      <c r="G55" s="1703" t="s">
        <v>93</v>
      </c>
      <c r="H55" s="1703" t="s">
        <v>876</v>
      </c>
      <c r="I55" s="1703" t="s">
        <v>863</v>
      </c>
      <c r="J55" s="1703" t="s">
        <v>109</v>
      </c>
      <c r="K55" s="1703" t="s">
        <v>984</v>
      </c>
      <c r="L55" s="1703" t="s">
        <v>877</v>
      </c>
      <c r="M55" s="1703" t="s">
        <v>877</v>
      </c>
      <c r="N55" s="1703" t="s">
        <v>877</v>
      </c>
      <c r="O55" s="1703" t="s">
        <v>877</v>
      </c>
      <c r="P55" s="1703" t="s">
        <v>877</v>
      </c>
      <c r="Q55" s="1703" t="s">
        <v>877</v>
      </c>
      <c r="R55" s="1703" t="s">
        <v>877</v>
      </c>
      <c r="S55" s="1705"/>
      <c r="T55" s="1705" t="s">
        <v>105</v>
      </c>
      <c r="U55" s="1705" t="s">
        <v>93</v>
      </c>
      <c r="V55" s="1707">
        <v>15</v>
      </c>
      <c r="W55" s="1705">
        <v>3</v>
      </c>
      <c r="X55" s="1703">
        <v>2029</v>
      </c>
      <c r="Y55" s="1717">
        <v>50.63</v>
      </c>
      <c r="Z55" s="1717">
        <v>0.11</v>
      </c>
      <c r="AA55" s="1717">
        <v>0.03</v>
      </c>
      <c r="AB55" s="1725">
        <v>3.5</v>
      </c>
      <c r="AC55" s="1717">
        <v>5.35</v>
      </c>
      <c r="AD55" s="1713">
        <v>48638.76</v>
      </c>
      <c r="AE55" s="1713">
        <v>215.23400000000001</v>
      </c>
      <c r="AF55" s="1712">
        <f>(TBL4_OptApp[[#This Row],[Average option utilisation used for average totex expenditure and operational carbon forecasts (Ml/d)]]/TBL4_OptApp[[#This Row],[Maximum option utilisation across the planning period (Ml/d)]])*TBL4_OptApp[[#This Row],[Operational carbon emissions under maximum utilisation scenario
(tCO2 equivalent per annum)]]</f>
        <v>140.8072897196262</v>
      </c>
      <c r="AG55" s="1713">
        <v>1.0639121374831648</v>
      </c>
      <c r="AH55" s="1713">
        <f>IFERROR(TBL4_OptApp[[#This Row],[Total NPC (£m)]]/TBL4_OptApp[[#This Row],[Maximum option utilisation across the planning period (Ml/d)]],"N/A")</f>
        <v>8.6074766355140184</v>
      </c>
      <c r="AI55" s="1719">
        <v>46.05</v>
      </c>
      <c r="AJ55" s="1703">
        <v>-21930</v>
      </c>
      <c r="AK55" s="1713">
        <v>40.912888968251053</v>
      </c>
      <c r="AL55" s="1703"/>
      <c r="AM55" s="1703"/>
      <c r="AN55" s="1703"/>
      <c r="AO55" s="1703"/>
      <c r="AP55" s="1703"/>
      <c r="AQ55" s="1703"/>
      <c r="AR55" s="1703"/>
      <c r="AS55" s="1703"/>
      <c r="AT55" s="1703"/>
      <c r="AU55" s="1703"/>
      <c r="AV55" s="1703"/>
      <c r="AW55" s="1703"/>
      <c r="AX55" s="1703"/>
      <c r="AY55" s="1703"/>
      <c r="AZ55" s="1705"/>
      <c r="BA55" s="1705"/>
      <c r="BB55" s="1702"/>
      <c r="BC55" s="1702"/>
    </row>
    <row r="56" spans="1:55" ht="15" x14ac:dyDescent="0.25">
      <c r="A56" s="1702"/>
      <c r="B56" s="17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51dF</v>
      </c>
      <c r="C56" s="1703" t="s">
        <v>985</v>
      </c>
      <c r="D56" s="1707" t="s">
        <v>986</v>
      </c>
      <c r="E56" s="1714" t="s">
        <v>987</v>
      </c>
      <c r="F56" s="1703" t="str">
        <f>VLOOKUP(TBL4_OptApp[[#This Row],[Option type
Defined List]],'Option Typs_Grps'!B$2:C$47, 2, FALSE)</f>
        <v>Customer Options</v>
      </c>
      <c r="G56" s="1703" t="s">
        <v>861</v>
      </c>
      <c r="H56" s="1703" t="s">
        <v>862</v>
      </c>
      <c r="I56" s="1703" t="s">
        <v>863</v>
      </c>
      <c r="J56" s="1703" t="s">
        <v>109</v>
      </c>
      <c r="K56" s="1703" t="s">
        <v>109</v>
      </c>
      <c r="L56" s="1703" t="s">
        <v>863</v>
      </c>
      <c r="M56" s="1703" t="s">
        <v>863</v>
      </c>
      <c r="N56" s="1703" t="s">
        <v>863</v>
      </c>
      <c r="O56" s="1703" t="s">
        <v>863</v>
      </c>
      <c r="P56" s="1703" t="s">
        <v>863</v>
      </c>
      <c r="Q56" s="1703" t="s">
        <v>863</v>
      </c>
      <c r="R56" s="1703" t="s">
        <v>863</v>
      </c>
      <c r="S56" s="1705" t="s">
        <v>988</v>
      </c>
      <c r="T56" s="1705" t="s">
        <v>109</v>
      </c>
      <c r="U56" s="1705" t="s">
        <v>109</v>
      </c>
      <c r="V56" s="1719">
        <v>2.2206371237309925</v>
      </c>
      <c r="W56" s="1705">
        <v>0</v>
      </c>
      <c r="X56" s="1705" t="s">
        <v>109</v>
      </c>
      <c r="Y56" s="1705">
        <v>0</v>
      </c>
      <c r="Z56" s="1705">
        <v>2.1621382268870639E-2</v>
      </c>
      <c r="AA56" s="1705">
        <v>2.1621382268870639E-2</v>
      </c>
      <c r="AB56" s="1712">
        <v>2.2206371237309925</v>
      </c>
      <c r="AC56" s="1712">
        <v>2.2206371237309925</v>
      </c>
      <c r="AD56" s="1713" t="s">
        <v>109</v>
      </c>
      <c r="AE56" s="1712" t="s">
        <v>109</v>
      </c>
      <c r="AF56" s="1712" t="s">
        <v>109</v>
      </c>
      <c r="AG56" s="1713">
        <v>0</v>
      </c>
      <c r="AH56" s="1713">
        <f>IFERROR(TBL4_OptApp[[#This Row],[Total NPC (£m)]]/TBL4_OptApp[[#This Row],[Maximum option utilisation across the planning period (Ml/d)]],"N/A")</f>
        <v>0.20721219964525814</v>
      </c>
      <c r="AI56" s="1713">
        <v>0.46014310302221823</v>
      </c>
      <c r="AJ56" s="1703" t="s">
        <v>109</v>
      </c>
      <c r="AK56" s="1705" t="s">
        <v>109</v>
      </c>
      <c r="AL56" s="1705" t="s">
        <v>109</v>
      </c>
      <c r="AM56" s="1705" t="s">
        <v>109</v>
      </c>
      <c r="AN56" s="1705" t="s">
        <v>109</v>
      </c>
      <c r="AO56" s="1705" t="s">
        <v>109</v>
      </c>
      <c r="AP56" s="1705" t="s">
        <v>109</v>
      </c>
      <c r="AQ56" s="1705" t="s">
        <v>109</v>
      </c>
      <c r="AR56" s="1705" t="s">
        <v>109</v>
      </c>
      <c r="AS56" s="1705" t="s">
        <v>109</v>
      </c>
      <c r="AT56" s="1705" t="s">
        <v>109</v>
      </c>
      <c r="AU56" s="1705" t="s">
        <v>109</v>
      </c>
      <c r="AV56" s="1705" t="s">
        <v>109</v>
      </c>
      <c r="AW56" s="1705"/>
      <c r="AX56" s="1705"/>
      <c r="AY56" s="1705"/>
      <c r="AZ56" s="1705"/>
      <c r="BA56" s="1705"/>
      <c r="BB56" s="1702"/>
      <c r="BC56" s="1702"/>
    </row>
    <row r="57" spans="1:55" ht="42.75" x14ac:dyDescent="0.2">
      <c r="A57" s="1702"/>
      <c r="B57" s="17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51cU</v>
      </c>
      <c r="C57" s="1703" t="s">
        <v>989</v>
      </c>
      <c r="D57" s="1703" t="s">
        <v>990</v>
      </c>
      <c r="E57" s="1704" t="s">
        <v>902</v>
      </c>
      <c r="F57" s="1703" t="str">
        <f>VLOOKUP(TBL4_OptApp[[#This Row],[Option type
Defined List]],'Option Typs_Grps'!B$2:C$47, 2, FALSE)</f>
        <v>Distribution Options</v>
      </c>
      <c r="G57" s="1703" t="s">
        <v>102</v>
      </c>
      <c r="H57" s="1703" t="s">
        <v>871</v>
      </c>
      <c r="I57" s="1703" t="s">
        <v>863</v>
      </c>
      <c r="J57" s="1703" t="s">
        <v>109</v>
      </c>
      <c r="K57" s="1703" t="s">
        <v>109</v>
      </c>
      <c r="L57" s="1703" t="s">
        <v>863</v>
      </c>
      <c r="M57" s="1703" t="s">
        <v>863</v>
      </c>
      <c r="N57" s="1703" t="s">
        <v>863</v>
      </c>
      <c r="O57" s="1703" t="s">
        <v>863</v>
      </c>
      <c r="P57" s="1703" t="s">
        <v>863</v>
      </c>
      <c r="Q57" s="1703" t="s">
        <v>863</v>
      </c>
      <c r="R57" s="1703" t="s">
        <v>863</v>
      </c>
      <c r="S57" s="1703" t="s">
        <v>991</v>
      </c>
      <c r="T57" s="1705" t="s">
        <v>992</v>
      </c>
      <c r="U57" s="1705" t="s">
        <v>102</v>
      </c>
      <c r="V57" s="1707">
        <v>10</v>
      </c>
      <c r="W57" s="1703" t="s">
        <v>109</v>
      </c>
      <c r="X57" s="1703" t="s">
        <v>109</v>
      </c>
      <c r="Y57" s="1703" t="s">
        <v>109</v>
      </c>
      <c r="Z57" s="1703" t="s">
        <v>109</v>
      </c>
      <c r="AA57" s="1703" t="s">
        <v>109</v>
      </c>
      <c r="AB57" s="1703" t="s">
        <v>109</v>
      </c>
      <c r="AC57" s="1703" t="s">
        <v>109</v>
      </c>
      <c r="AD57" s="1713" t="s">
        <v>109</v>
      </c>
      <c r="AE57" s="1712" t="s">
        <v>109</v>
      </c>
      <c r="AF57" s="1713" t="s">
        <v>109</v>
      </c>
      <c r="AG57" s="1713"/>
      <c r="AH57" s="1713" t="s">
        <v>109</v>
      </c>
      <c r="AI57" s="1713" t="s">
        <v>109</v>
      </c>
      <c r="AJ57" s="1703" t="s">
        <v>909</v>
      </c>
      <c r="AK57" s="1703" t="s">
        <v>909</v>
      </c>
      <c r="AL57" s="1703"/>
      <c r="AM57" s="1703" t="s">
        <v>909</v>
      </c>
      <c r="AN57" s="1703"/>
      <c r="AO57" s="1703" t="s">
        <v>909</v>
      </c>
      <c r="AP57" s="1703"/>
      <c r="AQ57" s="1703" t="s">
        <v>909</v>
      </c>
      <c r="AR57" s="1703"/>
      <c r="AS57" s="1703" t="s">
        <v>909</v>
      </c>
      <c r="AT57" s="1703"/>
      <c r="AU57" s="1703" t="s">
        <v>909</v>
      </c>
      <c r="AV57" s="1703"/>
      <c r="AW57" s="1703" t="s">
        <v>909</v>
      </c>
      <c r="AX57" s="1703" t="s">
        <v>909</v>
      </c>
      <c r="AY57" s="1703" t="s">
        <v>909</v>
      </c>
      <c r="AZ57" s="1705"/>
      <c r="BA57" s="1705"/>
      <c r="BB57" s="1702"/>
      <c r="BC57" s="1702"/>
    </row>
    <row r="58" spans="1:55" ht="42.75" x14ac:dyDescent="0.2">
      <c r="A58" s="1702"/>
      <c r="B58" s="17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51cU</v>
      </c>
      <c r="C58" s="1703" t="s">
        <v>993</v>
      </c>
      <c r="D58" s="1703" t="s">
        <v>994</v>
      </c>
      <c r="E58" s="1704" t="s">
        <v>902</v>
      </c>
      <c r="F58" s="1703" t="str">
        <f>VLOOKUP(TBL4_OptApp[[#This Row],[Option type
Defined List]],'Option Typs_Grps'!B$2:C$47, 2, FALSE)</f>
        <v>Distribution Options</v>
      </c>
      <c r="G58" s="1703" t="s">
        <v>102</v>
      </c>
      <c r="H58" s="1703" t="s">
        <v>871</v>
      </c>
      <c r="I58" s="1703" t="s">
        <v>863</v>
      </c>
      <c r="J58" s="1703" t="s">
        <v>109</v>
      </c>
      <c r="K58" s="1703" t="s">
        <v>109</v>
      </c>
      <c r="L58" s="1703" t="s">
        <v>863</v>
      </c>
      <c r="M58" s="1703" t="s">
        <v>863</v>
      </c>
      <c r="N58" s="1703" t="s">
        <v>863</v>
      </c>
      <c r="O58" s="1703" t="s">
        <v>863</v>
      </c>
      <c r="P58" s="1703" t="s">
        <v>863</v>
      </c>
      <c r="Q58" s="1703" t="s">
        <v>863</v>
      </c>
      <c r="R58" s="1703" t="s">
        <v>863</v>
      </c>
      <c r="S58" s="1703" t="s">
        <v>995</v>
      </c>
      <c r="T58" s="1705" t="s">
        <v>992</v>
      </c>
      <c r="U58" s="1705" t="s">
        <v>102</v>
      </c>
      <c r="V58" s="1707">
        <v>37.5</v>
      </c>
      <c r="W58" s="1703" t="s">
        <v>109</v>
      </c>
      <c r="X58" s="1703" t="s">
        <v>109</v>
      </c>
      <c r="Y58" s="1703" t="s">
        <v>109</v>
      </c>
      <c r="Z58" s="1703" t="s">
        <v>109</v>
      </c>
      <c r="AA58" s="1703" t="s">
        <v>109</v>
      </c>
      <c r="AB58" s="1703" t="s">
        <v>109</v>
      </c>
      <c r="AC58" s="1703" t="s">
        <v>109</v>
      </c>
      <c r="AD58" s="1713" t="s">
        <v>109</v>
      </c>
      <c r="AE58" s="1712" t="s">
        <v>109</v>
      </c>
      <c r="AF58" s="1713" t="s">
        <v>109</v>
      </c>
      <c r="AG58" s="1713"/>
      <c r="AH58" s="1713" t="s">
        <v>109</v>
      </c>
      <c r="AI58" s="1713" t="s">
        <v>109</v>
      </c>
      <c r="AJ58" s="1703"/>
      <c r="AK58" s="1703"/>
      <c r="AL58" s="1703"/>
      <c r="AM58" s="1703"/>
      <c r="AN58" s="1703"/>
      <c r="AO58" s="1703"/>
      <c r="AP58" s="1703"/>
      <c r="AQ58" s="1703"/>
      <c r="AR58" s="1703"/>
      <c r="AS58" s="1703"/>
      <c r="AT58" s="1703"/>
      <c r="AU58" s="1703"/>
      <c r="AV58" s="1703"/>
      <c r="AW58" s="1703"/>
      <c r="AX58" s="1703"/>
      <c r="AY58" s="1703"/>
      <c r="AZ58" s="1705"/>
      <c r="BA58" s="1705"/>
      <c r="BB58" s="1702"/>
      <c r="BC58" s="1702"/>
    </row>
    <row r="59" spans="1:55" ht="57" x14ac:dyDescent="0.2">
      <c r="A59" s="1702"/>
      <c r="B59" s="17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51cU</v>
      </c>
      <c r="C59" s="1703" t="s">
        <v>996</v>
      </c>
      <c r="D59" s="1703" t="s">
        <v>997</v>
      </c>
      <c r="E59" s="1704" t="s">
        <v>902</v>
      </c>
      <c r="F59" s="1703" t="str">
        <f>VLOOKUP(TBL4_OptApp[[#This Row],[Option type
Defined List]],'Option Typs_Grps'!B$2:C$47, 2, FALSE)</f>
        <v>Distribution Options</v>
      </c>
      <c r="G59" s="1703" t="s">
        <v>102</v>
      </c>
      <c r="H59" s="1703" t="s">
        <v>871</v>
      </c>
      <c r="I59" s="1703" t="s">
        <v>863</v>
      </c>
      <c r="J59" s="1703" t="s">
        <v>109</v>
      </c>
      <c r="K59" s="1703" t="s">
        <v>109</v>
      </c>
      <c r="L59" s="1703" t="s">
        <v>863</v>
      </c>
      <c r="M59" s="1703" t="s">
        <v>863</v>
      </c>
      <c r="N59" s="1703" t="s">
        <v>863</v>
      </c>
      <c r="O59" s="1703" t="s">
        <v>863</v>
      </c>
      <c r="P59" s="1703" t="s">
        <v>863</v>
      </c>
      <c r="Q59" s="1703" t="s">
        <v>863</v>
      </c>
      <c r="R59" s="1703" t="s">
        <v>863</v>
      </c>
      <c r="S59" s="1703" t="s">
        <v>995</v>
      </c>
      <c r="T59" s="1705" t="s">
        <v>992</v>
      </c>
      <c r="U59" s="1705" t="s">
        <v>102</v>
      </c>
      <c r="V59" s="1707">
        <v>44</v>
      </c>
      <c r="W59" s="1703" t="s">
        <v>109</v>
      </c>
      <c r="X59" s="1703" t="s">
        <v>109</v>
      </c>
      <c r="Y59" s="1703" t="s">
        <v>109</v>
      </c>
      <c r="Z59" s="1703" t="s">
        <v>109</v>
      </c>
      <c r="AA59" s="1703" t="s">
        <v>109</v>
      </c>
      <c r="AB59" s="1703" t="s">
        <v>109</v>
      </c>
      <c r="AC59" s="1703" t="s">
        <v>109</v>
      </c>
      <c r="AD59" s="1713" t="s">
        <v>109</v>
      </c>
      <c r="AE59" s="1712" t="s">
        <v>109</v>
      </c>
      <c r="AF59" s="1713" t="s">
        <v>109</v>
      </c>
      <c r="AG59" s="1713"/>
      <c r="AH59" s="1713" t="s">
        <v>109</v>
      </c>
      <c r="AI59" s="1713" t="s">
        <v>109</v>
      </c>
      <c r="AJ59" s="1703"/>
      <c r="AK59" s="1703"/>
      <c r="AL59" s="1703"/>
      <c r="AM59" s="1703"/>
      <c r="AN59" s="1703"/>
      <c r="AO59" s="1703"/>
      <c r="AP59" s="1703"/>
      <c r="AQ59" s="1703"/>
      <c r="AR59" s="1703"/>
      <c r="AS59" s="1703"/>
      <c r="AT59" s="1703"/>
      <c r="AU59" s="1703"/>
      <c r="AV59" s="1703"/>
      <c r="AW59" s="1703"/>
      <c r="AX59" s="1703"/>
      <c r="AY59" s="1703"/>
      <c r="AZ59" s="1705"/>
      <c r="BA59" s="1705"/>
      <c r="BB59" s="1702"/>
      <c r="BC59" s="1702"/>
    </row>
    <row r="60" spans="1:55" ht="15" x14ac:dyDescent="0.2">
      <c r="A60" s="1702"/>
      <c r="B60" s="17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51cU</v>
      </c>
      <c r="C60" s="1703" t="s">
        <v>998</v>
      </c>
      <c r="D60" s="1703" t="s">
        <v>999</v>
      </c>
      <c r="E60" s="1704" t="s">
        <v>907</v>
      </c>
      <c r="F60" s="1703" t="str">
        <f>VLOOKUP(TBL4_OptApp[[#This Row],[Option type
Defined List]],'Option Typs_Grps'!B$2:C$47, 2, FALSE)</f>
        <v>Distribution Options</v>
      </c>
      <c r="G60" s="1703" t="s">
        <v>102</v>
      </c>
      <c r="H60" s="1703" t="s">
        <v>871</v>
      </c>
      <c r="I60" s="1703" t="s">
        <v>863</v>
      </c>
      <c r="J60" s="1703" t="s">
        <v>109</v>
      </c>
      <c r="K60" s="1703" t="s">
        <v>109</v>
      </c>
      <c r="L60" s="1703" t="s">
        <v>863</v>
      </c>
      <c r="M60" s="1703" t="s">
        <v>863</v>
      </c>
      <c r="N60" s="1703" t="s">
        <v>863</v>
      </c>
      <c r="O60" s="1703" t="s">
        <v>863</v>
      </c>
      <c r="P60" s="1703" t="s">
        <v>863</v>
      </c>
      <c r="Q60" s="1703" t="s">
        <v>863</v>
      </c>
      <c r="R60" s="1703" t="s">
        <v>863</v>
      </c>
      <c r="S60" s="1703" t="s">
        <v>1000</v>
      </c>
      <c r="T60" s="1705" t="s">
        <v>88</v>
      </c>
      <c r="U60" s="1705" t="s">
        <v>102</v>
      </c>
      <c r="V60" s="1707">
        <v>10</v>
      </c>
      <c r="W60" s="1703" t="s">
        <v>109</v>
      </c>
      <c r="X60" s="1703" t="s">
        <v>109</v>
      </c>
      <c r="Y60" s="1703" t="s">
        <v>109</v>
      </c>
      <c r="Z60" s="1703" t="s">
        <v>109</v>
      </c>
      <c r="AA60" s="1703" t="s">
        <v>109</v>
      </c>
      <c r="AB60" s="1703" t="s">
        <v>109</v>
      </c>
      <c r="AC60" s="1703" t="s">
        <v>109</v>
      </c>
      <c r="AD60" s="1713" t="s">
        <v>109</v>
      </c>
      <c r="AE60" s="1712" t="s">
        <v>109</v>
      </c>
      <c r="AF60" s="1713" t="s">
        <v>109</v>
      </c>
      <c r="AG60" s="1713"/>
      <c r="AH60" s="1713" t="s">
        <v>109</v>
      </c>
      <c r="AI60" s="1713" t="s">
        <v>109</v>
      </c>
      <c r="AJ60" s="1703"/>
      <c r="AK60" s="1703"/>
      <c r="AL60" s="1703"/>
      <c r="AM60" s="1703"/>
      <c r="AN60" s="1703"/>
      <c r="AO60" s="1703"/>
      <c r="AP60" s="1703"/>
      <c r="AQ60" s="1703"/>
      <c r="AR60" s="1703"/>
      <c r="AS60" s="1703"/>
      <c r="AT60" s="1703"/>
      <c r="AU60" s="1703"/>
      <c r="AV60" s="1703"/>
      <c r="AW60" s="1703"/>
      <c r="AX60" s="1703"/>
      <c r="AY60" s="1703"/>
      <c r="AZ60" s="1705"/>
      <c r="BA60" s="1705"/>
      <c r="BB60" s="1702"/>
      <c r="BC60" s="1702"/>
    </row>
    <row r="61" spans="1:55" ht="28.5" x14ac:dyDescent="0.2">
      <c r="A61" s="1702"/>
      <c r="B61" s="17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51cU</v>
      </c>
      <c r="C61" s="1703" t="s">
        <v>1001</v>
      </c>
      <c r="D61" s="1703" t="s">
        <v>1002</v>
      </c>
      <c r="E61" s="1704" t="s">
        <v>907</v>
      </c>
      <c r="F61" s="1703" t="str">
        <f>VLOOKUP(TBL4_OptApp[[#This Row],[Option type
Defined List]],'Option Typs_Grps'!B$2:C$47, 2, FALSE)</f>
        <v>Distribution Options</v>
      </c>
      <c r="G61" s="1703" t="s">
        <v>105</v>
      </c>
      <c r="H61" s="1703" t="s">
        <v>871</v>
      </c>
      <c r="I61" s="1703" t="s">
        <v>863</v>
      </c>
      <c r="J61" s="1703" t="s">
        <v>109</v>
      </c>
      <c r="K61" s="1703" t="s">
        <v>109</v>
      </c>
      <c r="L61" s="1703" t="s">
        <v>863</v>
      </c>
      <c r="M61" s="1703" t="s">
        <v>863</v>
      </c>
      <c r="N61" s="1703" t="s">
        <v>863</v>
      </c>
      <c r="O61" s="1703" t="s">
        <v>863</v>
      </c>
      <c r="P61" s="1703" t="s">
        <v>863</v>
      </c>
      <c r="Q61" s="1703" t="s">
        <v>863</v>
      </c>
      <c r="R61" s="1703" t="s">
        <v>863</v>
      </c>
      <c r="S61" s="1703" t="s">
        <v>1003</v>
      </c>
      <c r="T61" s="1705" t="s">
        <v>109</v>
      </c>
      <c r="U61" s="1705" t="s">
        <v>109</v>
      </c>
      <c r="V61" s="1707">
        <v>10</v>
      </c>
      <c r="W61" s="1703" t="s">
        <v>109</v>
      </c>
      <c r="X61" s="1703" t="s">
        <v>109</v>
      </c>
      <c r="Y61" s="1703" t="s">
        <v>109</v>
      </c>
      <c r="Z61" s="1703" t="s">
        <v>109</v>
      </c>
      <c r="AA61" s="1703" t="s">
        <v>109</v>
      </c>
      <c r="AB61" s="1703" t="s">
        <v>109</v>
      </c>
      <c r="AC61" s="1703" t="s">
        <v>109</v>
      </c>
      <c r="AD61" s="1713" t="s">
        <v>109</v>
      </c>
      <c r="AE61" s="1712" t="s">
        <v>109</v>
      </c>
      <c r="AF61" s="1713" t="s">
        <v>109</v>
      </c>
      <c r="AG61" s="1713"/>
      <c r="AH61" s="1713" t="s">
        <v>109</v>
      </c>
      <c r="AI61" s="1713" t="s">
        <v>109</v>
      </c>
      <c r="AJ61" s="1703"/>
      <c r="AK61" s="1703"/>
      <c r="AL61" s="1703"/>
      <c r="AM61" s="1703"/>
      <c r="AN61" s="1703"/>
      <c r="AO61" s="1703"/>
      <c r="AP61" s="1703"/>
      <c r="AQ61" s="1703"/>
      <c r="AR61" s="1703"/>
      <c r="AS61" s="1703"/>
      <c r="AT61" s="1703"/>
      <c r="AU61" s="1703"/>
      <c r="AV61" s="1703"/>
      <c r="AW61" s="1703"/>
      <c r="AX61" s="1703"/>
      <c r="AY61" s="1703"/>
      <c r="AZ61" s="1705"/>
      <c r="BA61" s="1705"/>
      <c r="BB61" s="1702"/>
      <c r="BC61" s="1702"/>
    </row>
    <row r="62" spans="1:55" ht="30" x14ac:dyDescent="0.25">
      <c r="A62" s="1702"/>
      <c r="B62" s="17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51dF</v>
      </c>
      <c r="C62" s="1703" t="s">
        <v>1004</v>
      </c>
      <c r="D62" s="1707" t="s">
        <v>1005</v>
      </c>
      <c r="E62" s="1714" t="s">
        <v>1006</v>
      </c>
      <c r="F62" s="1703" t="str">
        <f>VLOOKUP(TBL4_OptApp[[#This Row],[Option type
Defined List]],'Option Typs_Grps'!B$2:C$47, 2, FALSE)</f>
        <v>Customer Options</v>
      </c>
      <c r="G62" s="1703" t="s">
        <v>861</v>
      </c>
      <c r="H62" s="1703" t="s">
        <v>862</v>
      </c>
      <c r="I62" s="1703" t="s">
        <v>863</v>
      </c>
      <c r="J62" s="1703" t="s">
        <v>109</v>
      </c>
      <c r="K62" s="1703" t="s">
        <v>109</v>
      </c>
      <c r="L62" s="1703" t="s">
        <v>863</v>
      </c>
      <c r="M62" s="1703" t="s">
        <v>863</v>
      </c>
      <c r="N62" s="1703" t="s">
        <v>863</v>
      </c>
      <c r="O62" s="1703" t="s">
        <v>863</v>
      </c>
      <c r="P62" s="1703" t="s">
        <v>863</v>
      </c>
      <c r="Q62" s="1703" t="s">
        <v>863</v>
      </c>
      <c r="R62" s="1703" t="s">
        <v>863</v>
      </c>
      <c r="S62" s="1705" t="s">
        <v>988</v>
      </c>
      <c r="T62" s="1705" t="s">
        <v>109</v>
      </c>
      <c r="U62" s="1705" t="s">
        <v>109</v>
      </c>
      <c r="V62" s="1719">
        <v>2.7757964046637409</v>
      </c>
      <c r="W62" s="1705">
        <v>0</v>
      </c>
      <c r="X62" s="1705" t="s">
        <v>109</v>
      </c>
      <c r="Y62" s="1705">
        <v>0</v>
      </c>
      <c r="Z62" s="1705">
        <v>2.2522273196740248E-2</v>
      </c>
      <c r="AA62" s="1705">
        <v>2.2522273196740248E-2</v>
      </c>
      <c r="AB62" s="1712">
        <v>2.7757964046637409</v>
      </c>
      <c r="AC62" s="1712">
        <v>2.7757964046637409</v>
      </c>
      <c r="AD62" s="1713" t="s">
        <v>109</v>
      </c>
      <c r="AE62" s="1712" t="s">
        <v>109</v>
      </c>
      <c r="AF62" s="1712" t="s">
        <v>109</v>
      </c>
      <c r="AG62" s="1713">
        <v>0</v>
      </c>
      <c r="AH62" s="1713">
        <f>IFERROR(TBL4_OptApp[[#This Row],[Total NPC (£m)]]/TBL4_OptApp[[#This Row],[Maximum option utilisation across the planning period (Ml/d)]],"N/A")</f>
        <v>0.17267683303771514</v>
      </c>
      <c r="AI62" s="1713">
        <v>0.47931573231481073</v>
      </c>
      <c r="AJ62" s="1703" t="s">
        <v>109</v>
      </c>
      <c r="AK62" s="1705" t="s">
        <v>109</v>
      </c>
      <c r="AL62" s="1705" t="s">
        <v>109</v>
      </c>
      <c r="AM62" s="1705" t="s">
        <v>109</v>
      </c>
      <c r="AN62" s="1705" t="s">
        <v>109</v>
      </c>
      <c r="AO62" s="1705" t="s">
        <v>109</v>
      </c>
      <c r="AP62" s="1705" t="s">
        <v>109</v>
      </c>
      <c r="AQ62" s="1705" t="s">
        <v>109</v>
      </c>
      <c r="AR62" s="1705" t="s">
        <v>109</v>
      </c>
      <c r="AS62" s="1705" t="s">
        <v>109</v>
      </c>
      <c r="AT62" s="1705" t="s">
        <v>109</v>
      </c>
      <c r="AU62" s="1705" t="s">
        <v>109</v>
      </c>
      <c r="AV62" s="1705" t="s">
        <v>109</v>
      </c>
      <c r="AW62" s="1705"/>
      <c r="AX62" s="1705"/>
      <c r="AY62" s="1705"/>
      <c r="AZ62" s="1705"/>
      <c r="BA62" s="1705"/>
      <c r="BB62" s="1702"/>
      <c r="BC62" s="1702"/>
    </row>
    <row r="63" spans="1:55" ht="15" x14ac:dyDescent="0.2">
      <c r="A63" s="1702"/>
      <c r="B63" s="17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51cU</v>
      </c>
      <c r="C63" s="1703" t="s">
        <v>1007</v>
      </c>
      <c r="D63" s="1703" t="s">
        <v>1008</v>
      </c>
      <c r="E63" s="1704" t="s">
        <v>907</v>
      </c>
      <c r="F63" s="1703" t="str">
        <f>VLOOKUP(TBL4_OptApp[[#This Row],[Option type
Defined List]],'Option Typs_Grps'!B$2:C$47, 2, FALSE)</f>
        <v>Distribution Options</v>
      </c>
      <c r="G63" s="1703" t="s">
        <v>93</v>
      </c>
      <c r="H63" s="1703" t="s">
        <v>871</v>
      </c>
      <c r="I63" s="1703" t="s">
        <v>863</v>
      </c>
      <c r="J63" s="1703" t="s">
        <v>109</v>
      </c>
      <c r="K63" s="1703" t="s">
        <v>109</v>
      </c>
      <c r="L63" s="1703" t="s">
        <v>863</v>
      </c>
      <c r="M63" s="1703" t="s">
        <v>863</v>
      </c>
      <c r="N63" s="1703" t="s">
        <v>863</v>
      </c>
      <c r="O63" s="1703" t="s">
        <v>863</v>
      </c>
      <c r="P63" s="1703" t="s">
        <v>863</v>
      </c>
      <c r="Q63" s="1703" t="s">
        <v>863</v>
      </c>
      <c r="R63" s="1703" t="s">
        <v>863</v>
      </c>
      <c r="S63" s="1703" t="s">
        <v>1009</v>
      </c>
      <c r="T63" s="1705" t="s">
        <v>93</v>
      </c>
      <c r="U63" s="1705" t="s">
        <v>93</v>
      </c>
      <c r="V63" s="1707">
        <v>2.5</v>
      </c>
      <c r="W63" s="1703" t="s">
        <v>109</v>
      </c>
      <c r="X63" s="1703" t="s">
        <v>109</v>
      </c>
      <c r="Y63" s="1703" t="s">
        <v>109</v>
      </c>
      <c r="Z63" s="1703" t="s">
        <v>109</v>
      </c>
      <c r="AA63" s="1703" t="s">
        <v>109</v>
      </c>
      <c r="AB63" s="1703" t="s">
        <v>109</v>
      </c>
      <c r="AC63" s="1703" t="s">
        <v>109</v>
      </c>
      <c r="AD63" s="1713" t="s">
        <v>109</v>
      </c>
      <c r="AE63" s="1712" t="s">
        <v>109</v>
      </c>
      <c r="AF63" s="1713" t="s">
        <v>109</v>
      </c>
      <c r="AG63" s="1713"/>
      <c r="AH63" s="1713" t="s">
        <v>109</v>
      </c>
      <c r="AI63" s="1713" t="s">
        <v>109</v>
      </c>
      <c r="AJ63" s="1703"/>
      <c r="AK63" s="1703"/>
      <c r="AL63" s="1703"/>
      <c r="AM63" s="1703"/>
      <c r="AN63" s="1703"/>
      <c r="AO63" s="1703"/>
      <c r="AP63" s="1703"/>
      <c r="AQ63" s="1703"/>
      <c r="AR63" s="1703"/>
      <c r="AS63" s="1703"/>
      <c r="AT63" s="1703"/>
      <c r="AU63" s="1703"/>
      <c r="AV63" s="1703"/>
      <c r="AW63" s="1703"/>
      <c r="AX63" s="1703"/>
      <c r="AY63" s="1703"/>
      <c r="AZ63" s="1705"/>
      <c r="BA63" s="1705"/>
      <c r="BB63" s="1702"/>
      <c r="BC63" s="1702"/>
    </row>
    <row r="64" spans="1:55" ht="15" x14ac:dyDescent="0.2">
      <c r="A64" s="1702"/>
      <c r="B64" s="17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51cU</v>
      </c>
      <c r="C64" s="1703" t="s">
        <v>1010</v>
      </c>
      <c r="D64" s="1703" t="s">
        <v>1011</v>
      </c>
      <c r="E64" s="1704" t="s">
        <v>907</v>
      </c>
      <c r="F64" s="1703" t="str">
        <f>VLOOKUP(TBL4_OptApp[[#This Row],[Option type
Defined List]],'Option Typs_Grps'!B$2:C$47, 2, FALSE)</f>
        <v>Distribution Options</v>
      </c>
      <c r="G64" s="1703" t="s">
        <v>102</v>
      </c>
      <c r="H64" s="1703" t="s">
        <v>871</v>
      </c>
      <c r="I64" s="1703" t="s">
        <v>863</v>
      </c>
      <c r="J64" s="1703" t="s">
        <v>109</v>
      </c>
      <c r="K64" s="1703" t="s">
        <v>109</v>
      </c>
      <c r="L64" s="1703" t="s">
        <v>863</v>
      </c>
      <c r="M64" s="1703" t="s">
        <v>863</v>
      </c>
      <c r="N64" s="1703" t="s">
        <v>863</v>
      </c>
      <c r="O64" s="1703" t="s">
        <v>863</v>
      </c>
      <c r="P64" s="1703" t="s">
        <v>863</v>
      </c>
      <c r="Q64" s="1703" t="s">
        <v>863</v>
      </c>
      <c r="R64" s="1703" t="s">
        <v>863</v>
      </c>
      <c r="S64" s="1703" t="s">
        <v>1000</v>
      </c>
      <c r="T64" s="1705" t="s">
        <v>88</v>
      </c>
      <c r="U64" s="1705" t="s">
        <v>992</v>
      </c>
      <c r="V64" s="1707">
        <v>10</v>
      </c>
      <c r="W64" s="1703" t="s">
        <v>109</v>
      </c>
      <c r="X64" s="1703" t="s">
        <v>109</v>
      </c>
      <c r="Y64" s="1703" t="s">
        <v>109</v>
      </c>
      <c r="Z64" s="1703" t="s">
        <v>109</v>
      </c>
      <c r="AA64" s="1703" t="s">
        <v>109</v>
      </c>
      <c r="AB64" s="1703" t="s">
        <v>109</v>
      </c>
      <c r="AC64" s="1703" t="s">
        <v>109</v>
      </c>
      <c r="AD64" s="1713" t="s">
        <v>109</v>
      </c>
      <c r="AE64" s="1712" t="s">
        <v>109</v>
      </c>
      <c r="AF64" s="1713" t="s">
        <v>109</v>
      </c>
      <c r="AG64" s="1713"/>
      <c r="AH64" s="1713" t="s">
        <v>109</v>
      </c>
      <c r="AI64" s="1713" t="s">
        <v>109</v>
      </c>
      <c r="AJ64" s="1703"/>
      <c r="AK64" s="1703"/>
      <c r="AL64" s="1703"/>
      <c r="AM64" s="1703"/>
      <c r="AN64" s="1703"/>
      <c r="AO64" s="1703"/>
      <c r="AP64" s="1703"/>
      <c r="AQ64" s="1703"/>
      <c r="AR64" s="1703"/>
      <c r="AS64" s="1703"/>
      <c r="AT64" s="1703"/>
      <c r="AU64" s="1703"/>
      <c r="AV64" s="1703"/>
      <c r="AW64" s="1703"/>
      <c r="AX64" s="1703"/>
      <c r="AY64" s="1703"/>
      <c r="AZ64" s="1705"/>
      <c r="BA64" s="1705"/>
      <c r="BB64" s="1702"/>
      <c r="BC64" s="1702"/>
    </row>
    <row r="65" spans="1:55" ht="28.5" x14ac:dyDescent="0.2">
      <c r="A65" s="1702"/>
      <c r="B65" s="17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51cF</v>
      </c>
      <c r="C65" s="1703" t="s">
        <v>1012</v>
      </c>
      <c r="D65" s="1703" t="s">
        <v>1013</v>
      </c>
      <c r="E65" s="1704" t="s">
        <v>907</v>
      </c>
      <c r="F65" s="1703" t="str">
        <f>VLOOKUP(TBL4_OptApp[[#This Row],[Option type
Defined List]],'Option Typs_Grps'!B$2:C$47, 2, FALSE)</f>
        <v>Distribution Options</v>
      </c>
      <c r="G65" s="1703" t="s">
        <v>105</v>
      </c>
      <c r="H65" s="1703" t="s">
        <v>862</v>
      </c>
      <c r="I65" s="1703" t="s">
        <v>863</v>
      </c>
      <c r="J65" s="1703" t="s">
        <v>109</v>
      </c>
      <c r="K65" s="1703" t="s">
        <v>109</v>
      </c>
      <c r="L65" s="1703" t="s">
        <v>863</v>
      </c>
      <c r="M65" s="1703" t="s">
        <v>863</v>
      </c>
      <c r="N65" s="1703" t="s">
        <v>863</v>
      </c>
      <c r="O65" s="1703" t="s">
        <v>863</v>
      </c>
      <c r="P65" s="1703" t="s">
        <v>863</v>
      </c>
      <c r="Q65" s="1703" t="s">
        <v>863</v>
      </c>
      <c r="R65" s="1703" t="s">
        <v>863</v>
      </c>
      <c r="S65" s="1705"/>
      <c r="T65" s="1705" t="s">
        <v>102</v>
      </c>
      <c r="U65" s="1705" t="s">
        <v>105</v>
      </c>
      <c r="V65" s="1707">
        <v>26.5</v>
      </c>
      <c r="W65" s="1705">
        <v>3</v>
      </c>
      <c r="X65" s="1703">
        <v>2030</v>
      </c>
      <c r="Y65" s="1717">
        <v>46.07</v>
      </c>
      <c r="Z65" s="1717">
        <v>1.08</v>
      </c>
      <c r="AA65" s="1703" t="s">
        <v>109</v>
      </c>
      <c r="AB65" s="1703" t="s">
        <v>109</v>
      </c>
      <c r="AC65" s="1705">
        <v>26.5</v>
      </c>
      <c r="AD65" s="1713">
        <v>57775.906999999999</v>
      </c>
      <c r="AE65" s="1713">
        <v>1053.1980000000001</v>
      </c>
      <c r="AF65" s="1712" t="s">
        <v>109</v>
      </c>
      <c r="AG65" s="1713">
        <v>16.314836861023487</v>
      </c>
      <c r="AH65" s="1713">
        <f>IFERROR(TBL4_OptApp[[#This Row],[Total NPC (£m)]]/TBL4_OptApp[[#This Row],[Maximum option utilisation across the planning period (Ml/d)]],"N/A")</f>
        <v>1.8407252828182075</v>
      </c>
      <c r="AI65" s="1713">
        <v>48.779219994682499</v>
      </c>
      <c r="AJ65" s="1703"/>
      <c r="AK65" s="1703"/>
      <c r="AL65" s="1703"/>
      <c r="AM65" s="1703"/>
      <c r="AN65" s="1703"/>
      <c r="AO65" s="1703"/>
      <c r="AP65" s="1703"/>
      <c r="AQ65" s="1703"/>
      <c r="AR65" s="1703"/>
      <c r="AS65" s="1703"/>
      <c r="AT65" s="1703"/>
      <c r="AU65" s="1703"/>
      <c r="AV65" s="1703"/>
      <c r="AW65" s="1703"/>
      <c r="AX65" s="1703"/>
      <c r="AY65" s="1703"/>
      <c r="AZ65" s="1705"/>
      <c r="BA65" s="1705"/>
      <c r="BB65" s="1702"/>
      <c r="BC65" s="1702"/>
    </row>
    <row r="66" spans="1:55" ht="28.5" x14ac:dyDescent="0.2">
      <c r="A66" s="1702"/>
      <c r="B66" s="17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51cF</v>
      </c>
      <c r="C66" s="1703" t="s">
        <v>1014</v>
      </c>
      <c r="D66" s="1703" t="s">
        <v>1015</v>
      </c>
      <c r="E66" s="1704" t="s">
        <v>907</v>
      </c>
      <c r="F66" s="1703" t="str">
        <f>VLOOKUP(TBL4_OptApp[[#This Row],[Option type
Defined List]],'Option Typs_Grps'!B$2:C$47, 2, FALSE)</f>
        <v>Distribution Options</v>
      </c>
      <c r="G66" s="1703" t="s">
        <v>93</v>
      </c>
      <c r="H66" s="1703" t="s">
        <v>862</v>
      </c>
      <c r="I66" s="1703" t="s">
        <v>863</v>
      </c>
      <c r="J66" s="1703" t="s">
        <v>109</v>
      </c>
      <c r="K66" s="1703" t="s">
        <v>109</v>
      </c>
      <c r="L66" s="1703" t="s">
        <v>863</v>
      </c>
      <c r="M66" s="1703" t="s">
        <v>863</v>
      </c>
      <c r="N66" s="1703" t="s">
        <v>863</v>
      </c>
      <c r="O66" s="1703" t="s">
        <v>863</v>
      </c>
      <c r="P66" s="1703" t="s">
        <v>863</v>
      </c>
      <c r="Q66" s="1703" t="s">
        <v>863</v>
      </c>
      <c r="R66" s="1703" t="s">
        <v>863</v>
      </c>
      <c r="S66" s="1705"/>
      <c r="T66" s="1705" t="s">
        <v>102</v>
      </c>
      <c r="U66" s="1705" t="s">
        <v>102</v>
      </c>
      <c r="V66" s="1707">
        <v>8</v>
      </c>
      <c r="W66" s="1705">
        <v>3</v>
      </c>
      <c r="X66" s="1703">
        <v>2030</v>
      </c>
      <c r="Y66" s="1717">
        <v>30.55</v>
      </c>
      <c r="Z66" s="1717">
        <v>0.32</v>
      </c>
      <c r="AA66" s="1703" t="s">
        <v>109</v>
      </c>
      <c r="AB66" s="1703" t="s">
        <v>109</v>
      </c>
      <c r="AC66" s="1705">
        <v>8</v>
      </c>
      <c r="AD66" s="1713">
        <v>44986.175999999999</v>
      </c>
      <c r="AE66" s="1713">
        <v>290.97399999999999</v>
      </c>
      <c r="AF66" s="1712" t="s">
        <v>109</v>
      </c>
      <c r="AG66" s="1713">
        <v>12.401947878613903</v>
      </c>
      <c r="AH66" s="1713">
        <f>IFERROR(TBL4_OptApp[[#This Row],[Total NPC (£m)]]/TBL4_OptApp[[#This Row],[Maximum option utilisation across the planning period (Ml/d)]],"N/A")</f>
        <v>3.4992076154670726</v>
      </c>
      <c r="AI66" s="1713">
        <v>27.993660923736581</v>
      </c>
      <c r="AJ66" s="1703"/>
      <c r="AK66" s="1703"/>
      <c r="AL66" s="1703"/>
      <c r="AM66" s="1703"/>
      <c r="AN66" s="1703"/>
      <c r="AO66" s="1703"/>
      <c r="AP66" s="1703"/>
      <c r="AQ66" s="1703"/>
      <c r="AR66" s="1703"/>
      <c r="AS66" s="1703"/>
      <c r="AT66" s="1703"/>
      <c r="AU66" s="1703"/>
      <c r="AV66" s="1703"/>
      <c r="AW66" s="1703"/>
      <c r="AX66" s="1703"/>
      <c r="AY66" s="1703"/>
      <c r="AZ66" s="1705"/>
      <c r="BA66" s="1705"/>
      <c r="BB66" s="1702"/>
      <c r="BC66" s="1702"/>
    </row>
    <row r="67" spans="1:55" ht="15" x14ac:dyDescent="0.25">
      <c r="A67" s="1702"/>
      <c r="B67" s="17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51dF</v>
      </c>
      <c r="C67" s="1703" t="s">
        <v>1016</v>
      </c>
      <c r="D67" s="1707" t="s">
        <v>1017</v>
      </c>
      <c r="E67" s="1714" t="s">
        <v>987</v>
      </c>
      <c r="F67" s="1703" t="str">
        <f>VLOOKUP(TBL4_OptApp[[#This Row],[Option type
Defined List]],'Option Typs_Grps'!B$2:C$47, 2, FALSE)</f>
        <v>Customer Options</v>
      </c>
      <c r="G67" s="1703" t="s">
        <v>861</v>
      </c>
      <c r="H67" s="1703" t="s">
        <v>862</v>
      </c>
      <c r="I67" s="1703" t="s">
        <v>863</v>
      </c>
      <c r="J67" s="1703" t="s">
        <v>109</v>
      </c>
      <c r="K67" s="1703" t="s">
        <v>109</v>
      </c>
      <c r="L67" s="1703" t="s">
        <v>863</v>
      </c>
      <c r="M67" s="1703" t="s">
        <v>863</v>
      </c>
      <c r="N67" s="1703" t="s">
        <v>863</v>
      </c>
      <c r="O67" s="1703" t="s">
        <v>863</v>
      </c>
      <c r="P67" s="1703" t="s">
        <v>877</v>
      </c>
      <c r="Q67" s="1703" t="s">
        <v>863</v>
      </c>
      <c r="R67" s="1703" t="s">
        <v>863</v>
      </c>
      <c r="S67" s="1705" t="s">
        <v>1018</v>
      </c>
      <c r="T67" s="1705" t="s">
        <v>109</v>
      </c>
      <c r="U67" s="1705" t="s">
        <v>109</v>
      </c>
      <c r="V67" s="1719">
        <v>4.8997862354474231</v>
      </c>
      <c r="W67" s="1705">
        <v>0</v>
      </c>
      <c r="X67" s="1705" t="s">
        <v>109</v>
      </c>
      <c r="Y67" s="1705">
        <v>0</v>
      </c>
      <c r="Z67" s="1705">
        <v>0.13513363918044147</v>
      </c>
      <c r="AA67" s="1705">
        <v>0.13513363918044147</v>
      </c>
      <c r="AB67" s="1712">
        <v>4.8997862354474231</v>
      </c>
      <c r="AC67" s="1712">
        <v>4.8997862354474231</v>
      </c>
      <c r="AD67" s="1713" t="s">
        <v>109</v>
      </c>
      <c r="AE67" s="1712" t="s">
        <v>109</v>
      </c>
      <c r="AF67" s="1712" t="s">
        <v>109</v>
      </c>
      <c r="AG67" s="1713">
        <v>0</v>
      </c>
      <c r="AH67" s="1713">
        <f>IFERROR(TBL4_OptApp[[#This Row],[Total NPC (£m)]]/TBL4_OptApp[[#This Row],[Maximum option utilisation across the planning period (Ml/d)]],"N/A")</f>
        <v>0.57391114954919664</v>
      </c>
      <c r="AI67" s="1713">
        <v>2.8120419509309613</v>
      </c>
      <c r="AJ67" s="1703" t="s">
        <v>109</v>
      </c>
      <c r="AK67" s="1705" t="s">
        <v>109</v>
      </c>
      <c r="AL67" s="1705" t="s">
        <v>109</v>
      </c>
      <c r="AM67" s="1705" t="s">
        <v>109</v>
      </c>
      <c r="AN67" s="1705" t="s">
        <v>109</v>
      </c>
      <c r="AO67" s="1705" t="s">
        <v>109</v>
      </c>
      <c r="AP67" s="1705" t="s">
        <v>109</v>
      </c>
      <c r="AQ67" s="1705" t="s">
        <v>109</v>
      </c>
      <c r="AR67" s="1705" t="s">
        <v>109</v>
      </c>
      <c r="AS67" s="1705" t="s">
        <v>109</v>
      </c>
      <c r="AT67" s="1705" t="s">
        <v>109</v>
      </c>
      <c r="AU67" s="1705" t="s">
        <v>109</v>
      </c>
      <c r="AV67" s="1705" t="s">
        <v>109</v>
      </c>
      <c r="AW67" s="1705"/>
      <c r="AX67" s="1705"/>
      <c r="AY67" s="1705"/>
      <c r="AZ67" s="1705"/>
      <c r="BA67" s="1705"/>
      <c r="BB67" s="1702"/>
      <c r="BC67" s="1702"/>
    </row>
    <row r="68" spans="1:55" ht="15" x14ac:dyDescent="0.25">
      <c r="A68" s="1702"/>
      <c r="B68" s="17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51dF</v>
      </c>
      <c r="C68" s="1703" t="s">
        <v>1019</v>
      </c>
      <c r="D68" s="1707" t="s">
        <v>1017</v>
      </c>
      <c r="E68" s="1714" t="s">
        <v>987</v>
      </c>
      <c r="F68" s="1703" t="str">
        <f>VLOOKUP(TBL4_OptApp[[#This Row],[Option type
Defined List]],'Option Typs_Grps'!B$2:C$47, 2, FALSE)</f>
        <v>Customer Options</v>
      </c>
      <c r="G68" s="1703" t="s">
        <v>861</v>
      </c>
      <c r="H68" s="1703" t="s">
        <v>862</v>
      </c>
      <c r="I68" s="1703" t="s">
        <v>863</v>
      </c>
      <c r="J68" s="1703" t="s">
        <v>109</v>
      </c>
      <c r="K68" s="1703" t="s">
        <v>109</v>
      </c>
      <c r="L68" s="1703" t="s">
        <v>863</v>
      </c>
      <c r="M68" s="1703" t="s">
        <v>863</v>
      </c>
      <c r="N68" s="1703" t="s">
        <v>863</v>
      </c>
      <c r="O68" s="1703" t="s">
        <v>863</v>
      </c>
      <c r="P68" s="1703" t="s">
        <v>863</v>
      </c>
      <c r="Q68" s="1703" t="s">
        <v>863</v>
      </c>
      <c r="R68" s="1703" t="s">
        <v>863</v>
      </c>
      <c r="S68" s="1705" t="s">
        <v>988</v>
      </c>
      <c r="T68" s="1705" t="s">
        <v>109</v>
      </c>
      <c r="U68" s="1705" t="s">
        <v>109</v>
      </c>
      <c r="V68" s="1719">
        <v>4.7743698160216343</v>
      </c>
      <c r="W68" s="1705">
        <v>0</v>
      </c>
      <c r="X68" s="1705" t="s">
        <v>109</v>
      </c>
      <c r="Y68" s="1705">
        <v>0</v>
      </c>
      <c r="Z68" s="1705">
        <v>0.16216036701652978</v>
      </c>
      <c r="AA68" s="1705">
        <v>0.16216036701652978</v>
      </c>
      <c r="AB68" s="1712">
        <v>4.7743698160216343</v>
      </c>
      <c r="AC68" s="1712">
        <v>4.7743698160216343</v>
      </c>
      <c r="AD68" s="1713" t="s">
        <v>109</v>
      </c>
      <c r="AE68" s="1712" t="s">
        <v>109</v>
      </c>
      <c r="AF68" s="1712" t="s">
        <v>109</v>
      </c>
      <c r="AG68" s="1713">
        <v>0</v>
      </c>
      <c r="AH68" s="1713">
        <f>IFERROR(TBL4_OptApp[[#This Row],[Total NPC (£m)]]/TBL4_OptApp[[#This Row],[Maximum option utilisation across the planning period (Ml/d)]],"N/A")</f>
        <v>0.72283325457648229</v>
      </c>
      <c r="AI68" s="1713">
        <v>3.4510732726666387</v>
      </c>
      <c r="AJ68" s="1703" t="s">
        <v>109</v>
      </c>
      <c r="AK68" s="1705" t="s">
        <v>109</v>
      </c>
      <c r="AL68" s="1705" t="s">
        <v>109</v>
      </c>
      <c r="AM68" s="1705" t="s">
        <v>109</v>
      </c>
      <c r="AN68" s="1705" t="s">
        <v>109</v>
      </c>
      <c r="AO68" s="1705" t="s">
        <v>109</v>
      </c>
      <c r="AP68" s="1705" t="s">
        <v>109</v>
      </c>
      <c r="AQ68" s="1705" t="s">
        <v>109</v>
      </c>
      <c r="AR68" s="1705" t="s">
        <v>109</v>
      </c>
      <c r="AS68" s="1705" t="s">
        <v>109</v>
      </c>
      <c r="AT68" s="1705" t="s">
        <v>109</v>
      </c>
      <c r="AU68" s="1705" t="s">
        <v>109</v>
      </c>
      <c r="AV68" s="1705" t="s">
        <v>109</v>
      </c>
      <c r="AW68" s="1705"/>
      <c r="AX68" s="1705"/>
      <c r="AY68" s="1705"/>
      <c r="AZ68" s="1705"/>
      <c r="BA68" s="1705"/>
      <c r="BB68" s="1702"/>
      <c r="BC68" s="1702"/>
    </row>
    <row r="69" spans="1:55" ht="15" x14ac:dyDescent="0.25">
      <c r="A69" s="1702"/>
      <c r="B69" s="17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51dF</v>
      </c>
      <c r="C69" s="1703" t="s">
        <v>1020</v>
      </c>
      <c r="D69" s="1703" t="s">
        <v>1021</v>
      </c>
      <c r="E69" s="1723" t="s">
        <v>987</v>
      </c>
      <c r="F69" s="1703" t="str">
        <f>VLOOKUP(TBL4_OptApp[[#This Row],[Option type
Defined List]],'Option Typs_Grps'!B$2:C$47, 2, FALSE)</f>
        <v>Customer Options</v>
      </c>
      <c r="G69" s="1703" t="s">
        <v>861</v>
      </c>
      <c r="H69" s="1703" t="s">
        <v>862</v>
      </c>
      <c r="I69" s="1703" t="s">
        <v>863</v>
      </c>
      <c r="J69" s="1703" t="s">
        <v>109</v>
      </c>
      <c r="K69" s="1703" t="s">
        <v>109</v>
      </c>
      <c r="L69" s="1703" t="s">
        <v>863</v>
      </c>
      <c r="M69" s="1703" t="s">
        <v>863</v>
      </c>
      <c r="N69" s="1703" t="s">
        <v>863</v>
      </c>
      <c r="O69" s="1703" t="s">
        <v>863</v>
      </c>
      <c r="P69" s="1703" t="s">
        <v>863</v>
      </c>
      <c r="Q69" s="1703" t="s">
        <v>863</v>
      </c>
      <c r="R69" s="1703" t="s">
        <v>863</v>
      </c>
      <c r="S69" s="1705" t="s">
        <v>988</v>
      </c>
      <c r="T69" s="1705" t="s">
        <v>109</v>
      </c>
      <c r="U69" s="1705" t="s">
        <v>109</v>
      </c>
      <c r="V69" s="1719">
        <v>36.955931838616131</v>
      </c>
      <c r="W69" s="1705">
        <v>0</v>
      </c>
      <c r="X69" s="1705">
        <v>2025</v>
      </c>
      <c r="Y69" s="1705">
        <v>0</v>
      </c>
      <c r="Z69" s="1712">
        <v>1.1107044682206684</v>
      </c>
      <c r="AA69" s="1712">
        <v>1.1107044682206684</v>
      </c>
      <c r="AB69" s="1712">
        <v>36.955931838616131</v>
      </c>
      <c r="AC69" s="1712">
        <v>36.955931838616131</v>
      </c>
      <c r="AD69" s="1713" t="s">
        <v>109</v>
      </c>
      <c r="AE69" s="1712" t="s">
        <v>109</v>
      </c>
      <c r="AF69" s="1712" t="s">
        <v>109</v>
      </c>
      <c r="AG69" s="1713">
        <v>0</v>
      </c>
      <c r="AH69" s="1713">
        <f>IFERROR(TBL4_OptApp[[#This Row],[Total NPC (£m)]]/TBL4_OptApp[[#This Row],[Maximum option utilisation across the planning period (Ml/d)]],"N/A")</f>
        <v>0.64590136871016535</v>
      </c>
      <c r="AI69" s="1713">
        <v>23.869886956521736</v>
      </c>
      <c r="AJ69" s="1703" t="s">
        <v>109</v>
      </c>
      <c r="AK69" s="1705" t="s">
        <v>109</v>
      </c>
      <c r="AL69" s="1705" t="s">
        <v>109</v>
      </c>
      <c r="AM69" s="1705" t="s">
        <v>109</v>
      </c>
      <c r="AN69" s="1705" t="s">
        <v>109</v>
      </c>
      <c r="AO69" s="1705" t="s">
        <v>109</v>
      </c>
      <c r="AP69" s="1705" t="s">
        <v>109</v>
      </c>
      <c r="AQ69" s="1705" t="s">
        <v>109</v>
      </c>
      <c r="AR69" s="1705" t="s">
        <v>109</v>
      </c>
      <c r="AS69" s="1705" t="s">
        <v>109</v>
      </c>
      <c r="AT69" s="1705" t="s">
        <v>109</v>
      </c>
      <c r="AU69" s="1705" t="s">
        <v>109</v>
      </c>
      <c r="AV69" s="1705" t="s">
        <v>109</v>
      </c>
      <c r="AW69" s="1705"/>
      <c r="AX69" s="1705"/>
      <c r="AY69" s="1705"/>
      <c r="AZ69" s="1705"/>
      <c r="BA69" s="1705"/>
      <c r="BB69" s="1702"/>
      <c r="BC69" s="1702"/>
    </row>
    <row r="70" spans="1:55" ht="15" x14ac:dyDescent="0.25">
      <c r="A70" s="1702"/>
      <c r="B70" s="17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51dF</v>
      </c>
      <c r="C70" s="1703" t="s">
        <v>1022</v>
      </c>
      <c r="D70" s="1707" t="s">
        <v>1023</v>
      </c>
      <c r="E70" s="1714" t="s">
        <v>987</v>
      </c>
      <c r="F70" s="1703" t="str">
        <f>VLOOKUP(TBL4_OptApp[[#This Row],[Option type
Defined List]],'Option Typs_Grps'!B$2:C$47, 2, FALSE)</f>
        <v>Customer Options</v>
      </c>
      <c r="G70" s="1703" t="s">
        <v>861</v>
      </c>
      <c r="H70" s="1703" t="s">
        <v>862</v>
      </c>
      <c r="I70" s="1703" t="s">
        <v>863</v>
      </c>
      <c r="J70" s="1703" t="s">
        <v>109</v>
      </c>
      <c r="K70" s="1703" t="s">
        <v>109</v>
      </c>
      <c r="L70" s="1703" t="s">
        <v>863</v>
      </c>
      <c r="M70" s="1703" t="s">
        <v>863</v>
      </c>
      <c r="N70" s="1703" t="s">
        <v>863</v>
      </c>
      <c r="O70" s="1703" t="s">
        <v>863</v>
      </c>
      <c r="P70" s="1703" t="s">
        <v>863</v>
      </c>
      <c r="Q70" s="1703" t="s">
        <v>863</v>
      </c>
      <c r="R70" s="1703" t="s">
        <v>863</v>
      </c>
      <c r="S70" s="1705" t="s">
        <v>988</v>
      </c>
      <c r="T70" s="1705" t="s">
        <v>109</v>
      </c>
      <c r="U70" s="1705" t="s">
        <v>109</v>
      </c>
      <c r="V70" s="1719">
        <v>4.7743698160216343</v>
      </c>
      <c r="W70" s="1705">
        <v>0</v>
      </c>
      <c r="X70" s="1705" t="s">
        <v>109</v>
      </c>
      <c r="Y70" s="1705">
        <v>0</v>
      </c>
      <c r="Z70" s="1705">
        <v>5.4053455672176598E-3</v>
      </c>
      <c r="AA70" s="1705">
        <v>5.4053455672176598E-3</v>
      </c>
      <c r="AB70" s="1712">
        <v>4.7743698160216343</v>
      </c>
      <c r="AC70" s="1712">
        <v>4.7743698160216343</v>
      </c>
      <c r="AD70" s="1713" t="s">
        <v>109</v>
      </c>
      <c r="AE70" s="1712" t="s">
        <v>109</v>
      </c>
      <c r="AF70" s="1712" t="s">
        <v>109</v>
      </c>
      <c r="AG70" s="1713">
        <v>0</v>
      </c>
      <c r="AH70" s="1713">
        <f>IFERROR(TBL4_OptApp[[#This Row],[Total NPC (£m)]]/TBL4_OptApp[[#This Row],[Maximum option utilisation across the planning period (Ml/d)]],"N/A")</f>
        <v>2.4094441819216061E-2</v>
      </c>
      <c r="AI70" s="1713">
        <v>0.11503577575555456</v>
      </c>
      <c r="AJ70" s="1703" t="s">
        <v>109</v>
      </c>
      <c r="AK70" s="1705" t="s">
        <v>109</v>
      </c>
      <c r="AL70" s="1705" t="s">
        <v>109</v>
      </c>
      <c r="AM70" s="1705" t="s">
        <v>109</v>
      </c>
      <c r="AN70" s="1705" t="s">
        <v>109</v>
      </c>
      <c r="AO70" s="1705" t="s">
        <v>109</v>
      </c>
      <c r="AP70" s="1705" t="s">
        <v>109</v>
      </c>
      <c r="AQ70" s="1705" t="s">
        <v>109</v>
      </c>
      <c r="AR70" s="1705" t="s">
        <v>109</v>
      </c>
      <c r="AS70" s="1705" t="s">
        <v>109</v>
      </c>
      <c r="AT70" s="1705" t="s">
        <v>109</v>
      </c>
      <c r="AU70" s="1705" t="s">
        <v>109</v>
      </c>
      <c r="AV70" s="1705" t="s">
        <v>109</v>
      </c>
      <c r="AW70" s="1705"/>
      <c r="AX70" s="1705"/>
      <c r="AY70" s="1705"/>
      <c r="AZ70" s="1705"/>
      <c r="BA70" s="1705"/>
      <c r="BB70" s="1702"/>
      <c r="BC70" s="1702"/>
    </row>
    <row r="71" spans="1:55" ht="15" x14ac:dyDescent="0.25">
      <c r="A71" s="1702"/>
      <c r="B71" s="17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51dF</v>
      </c>
      <c r="C71" s="1703" t="s">
        <v>1024</v>
      </c>
      <c r="D71" s="1707" t="s">
        <v>1025</v>
      </c>
      <c r="E71" s="1714" t="s">
        <v>987</v>
      </c>
      <c r="F71" s="1703" t="str">
        <f>VLOOKUP(TBL4_OptApp[[#This Row],[Option type
Defined List]],'Option Typs_Grps'!B$2:C$47, 2, FALSE)</f>
        <v>Customer Options</v>
      </c>
      <c r="G71" s="1703" t="s">
        <v>861</v>
      </c>
      <c r="H71" s="1703" t="s">
        <v>862</v>
      </c>
      <c r="I71" s="1703" t="s">
        <v>863</v>
      </c>
      <c r="J71" s="1703" t="s">
        <v>109</v>
      </c>
      <c r="K71" s="1703" t="s">
        <v>109</v>
      </c>
      <c r="L71" s="1703" t="s">
        <v>863</v>
      </c>
      <c r="M71" s="1703" t="s">
        <v>863</v>
      </c>
      <c r="N71" s="1703" t="s">
        <v>863</v>
      </c>
      <c r="O71" s="1703" t="s">
        <v>863</v>
      </c>
      <c r="P71" s="1703" t="s">
        <v>877</v>
      </c>
      <c r="Q71" s="1703" t="s">
        <v>863</v>
      </c>
      <c r="R71" s="1703" t="s">
        <v>863</v>
      </c>
      <c r="S71" s="1705" t="s">
        <v>1018</v>
      </c>
      <c r="T71" s="1705" t="s">
        <v>109</v>
      </c>
      <c r="U71" s="1705" t="s">
        <v>109</v>
      </c>
      <c r="V71" s="1719">
        <v>11.759486965073815</v>
      </c>
      <c r="W71" s="1705">
        <v>0</v>
      </c>
      <c r="X71" s="1705" t="s">
        <v>109</v>
      </c>
      <c r="Y71" s="1705">
        <v>0</v>
      </c>
      <c r="Z71" s="1705">
        <v>0.19459244041983573</v>
      </c>
      <c r="AA71" s="1705">
        <v>0.19459244041983573</v>
      </c>
      <c r="AB71" s="1712">
        <v>11.759486965073815</v>
      </c>
      <c r="AC71" s="1712">
        <v>11.759486965073815</v>
      </c>
      <c r="AD71" s="1713" t="s">
        <v>109</v>
      </c>
      <c r="AE71" s="1712" t="s">
        <v>109</v>
      </c>
      <c r="AF71" s="1712" t="s">
        <v>109</v>
      </c>
      <c r="AG71" s="1713">
        <v>0</v>
      </c>
      <c r="AH71" s="1713">
        <f>IFERROR(TBL4_OptApp[[#This Row],[Total NPC (£m)]]/TBL4_OptApp[[#This Row],[Maximum option utilisation across the planning period (Ml/d)]],"N/A")</f>
        <v>0.33495904513547342</v>
      </c>
      <c r="AI71" s="1713">
        <v>3.9389465251041718</v>
      </c>
      <c r="AJ71" s="1703" t="s">
        <v>109</v>
      </c>
      <c r="AK71" s="1705" t="s">
        <v>109</v>
      </c>
      <c r="AL71" s="1705" t="s">
        <v>109</v>
      </c>
      <c r="AM71" s="1705" t="s">
        <v>109</v>
      </c>
      <c r="AN71" s="1705" t="s">
        <v>109</v>
      </c>
      <c r="AO71" s="1705" t="s">
        <v>109</v>
      </c>
      <c r="AP71" s="1705" t="s">
        <v>109</v>
      </c>
      <c r="AQ71" s="1705" t="s">
        <v>109</v>
      </c>
      <c r="AR71" s="1705" t="s">
        <v>109</v>
      </c>
      <c r="AS71" s="1705" t="s">
        <v>109</v>
      </c>
      <c r="AT71" s="1705" t="s">
        <v>109</v>
      </c>
      <c r="AU71" s="1705" t="s">
        <v>109</v>
      </c>
      <c r="AV71" s="1705" t="s">
        <v>109</v>
      </c>
      <c r="AW71" s="1705"/>
      <c r="AX71" s="1705"/>
      <c r="AY71" s="1705"/>
      <c r="AZ71" s="1705"/>
      <c r="BA71" s="1705"/>
      <c r="BB71" s="1702"/>
      <c r="BC71" s="1702"/>
    </row>
    <row r="72" spans="1:55" ht="28.5" x14ac:dyDescent="0.25">
      <c r="A72" s="1702"/>
      <c r="B72" s="17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51dF</v>
      </c>
      <c r="C72" s="1703" t="s">
        <v>1026</v>
      </c>
      <c r="D72" s="1707" t="s">
        <v>1027</v>
      </c>
      <c r="E72" s="1714" t="s">
        <v>987</v>
      </c>
      <c r="F72" s="1703" t="str">
        <f>VLOOKUP(TBL4_OptApp[[#This Row],[Option type
Defined List]],'Option Typs_Grps'!B$2:C$47, 2, FALSE)</f>
        <v>Customer Options</v>
      </c>
      <c r="G72" s="1703" t="s">
        <v>861</v>
      </c>
      <c r="H72" s="1703" t="s">
        <v>862</v>
      </c>
      <c r="I72" s="1703" t="s">
        <v>863</v>
      </c>
      <c r="J72" s="1703" t="s">
        <v>109</v>
      </c>
      <c r="K72" s="1703" t="s">
        <v>109</v>
      </c>
      <c r="L72" s="1703" t="s">
        <v>863</v>
      </c>
      <c r="M72" s="1703" t="s">
        <v>863</v>
      </c>
      <c r="N72" s="1703" t="s">
        <v>863</v>
      </c>
      <c r="O72" s="1703" t="s">
        <v>863</v>
      </c>
      <c r="P72" s="1703" t="s">
        <v>863</v>
      </c>
      <c r="Q72" s="1703" t="s">
        <v>863</v>
      </c>
      <c r="R72" s="1703" t="s">
        <v>863</v>
      </c>
      <c r="S72" s="1705" t="s">
        <v>988</v>
      </c>
      <c r="T72" s="1705" t="s">
        <v>109</v>
      </c>
      <c r="U72" s="1705" t="s">
        <v>109</v>
      </c>
      <c r="V72" s="1719">
        <v>6.0475351002940698</v>
      </c>
      <c r="W72" s="1705">
        <v>0</v>
      </c>
      <c r="X72" s="1705" t="s">
        <v>109</v>
      </c>
      <c r="Y72" s="1705">
        <v>0</v>
      </c>
      <c r="Z72" s="1705">
        <v>0</v>
      </c>
      <c r="AA72" s="1705">
        <v>0</v>
      </c>
      <c r="AB72" s="1712">
        <v>6.0475351002940698</v>
      </c>
      <c r="AC72" s="1712">
        <v>6.0475351002940698</v>
      </c>
      <c r="AD72" s="1713">
        <v>0</v>
      </c>
      <c r="AE72" s="1713">
        <v>0</v>
      </c>
      <c r="AF72" s="1713">
        <v>0</v>
      </c>
      <c r="AG72" s="1713">
        <v>0</v>
      </c>
      <c r="AH72" s="1713">
        <v>0</v>
      </c>
      <c r="AI72" s="1713">
        <v>0</v>
      </c>
      <c r="AJ72" s="1703" t="s">
        <v>109</v>
      </c>
      <c r="AK72" s="1705" t="s">
        <v>109</v>
      </c>
      <c r="AL72" s="1705" t="s">
        <v>109</v>
      </c>
      <c r="AM72" s="1705" t="s">
        <v>109</v>
      </c>
      <c r="AN72" s="1705" t="s">
        <v>109</v>
      </c>
      <c r="AO72" s="1705" t="s">
        <v>109</v>
      </c>
      <c r="AP72" s="1705" t="s">
        <v>109</v>
      </c>
      <c r="AQ72" s="1705" t="s">
        <v>109</v>
      </c>
      <c r="AR72" s="1705" t="s">
        <v>109</v>
      </c>
      <c r="AS72" s="1705" t="s">
        <v>109</v>
      </c>
      <c r="AT72" s="1705" t="s">
        <v>109</v>
      </c>
      <c r="AU72" s="1705" t="s">
        <v>109</v>
      </c>
      <c r="AV72" s="1705" t="s">
        <v>109</v>
      </c>
      <c r="AW72" s="1705"/>
      <c r="AX72" s="1705"/>
      <c r="AY72" s="1705"/>
      <c r="AZ72" s="1705"/>
      <c r="BA72" s="1705"/>
      <c r="BB72" s="1702"/>
      <c r="BC72" s="1702"/>
    </row>
    <row r="73" spans="1:55" ht="42.75" x14ac:dyDescent="0.25">
      <c r="A73" s="1702"/>
      <c r="B73" s="17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51dF</v>
      </c>
      <c r="C73" s="1703" t="s">
        <v>1028</v>
      </c>
      <c r="D73" s="1707" t="s">
        <v>1029</v>
      </c>
      <c r="E73" s="1714" t="s">
        <v>987</v>
      </c>
      <c r="F73" s="1703" t="str">
        <f>VLOOKUP(TBL4_OptApp[[#This Row],[Option type
Defined List]],'Option Typs_Grps'!B$2:C$47, 2, FALSE)</f>
        <v>Customer Options</v>
      </c>
      <c r="G73" s="1703" t="s">
        <v>861</v>
      </c>
      <c r="H73" s="1703" t="s">
        <v>862</v>
      </c>
      <c r="I73" s="1703" t="s">
        <v>863</v>
      </c>
      <c r="J73" s="1703" t="s">
        <v>109</v>
      </c>
      <c r="K73" s="1703" t="s">
        <v>109</v>
      </c>
      <c r="L73" s="1703" t="s">
        <v>863</v>
      </c>
      <c r="M73" s="1703" t="s">
        <v>863</v>
      </c>
      <c r="N73" s="1703" t="s">
        <v>863</v>
      </c>
      <c r="O73" s="1703" t="s">
        <v>863</v>
      </c>
      <c r="P73" s="1703" t="s">
        <v>863</v>
      </c>
      <c r="Q73" s="1703" t="s">
        <v>863</v>
      </c>
      <c r="R73" s="1703" t="s">
        <v>863</v>
      </c>
      <c r="S73" s="1705" t="s">
        <v>988</v>
      </c>
      <c r="T73" s="1705" t="s">
        <v>109</v>
      </c>
      <c r="U73" s="1705" t="s">
        <v>109</v>
      </c>
      <c r="V73" s="1719">
        <v>1.1140196237383813</v>
      </c>
      <c r="W73" s="1705">
        <v>0</v>
      </c>
      <c r="X73" s="1705" t="s">
        <v>109</v>
      </c>
      <c r="Y73" s="1705">
        <v>0</v>
      </c>
      <c r="Z73" s="1705">
        <v>2.2702451382314172E-2</v>
      </c>
      <c r="AA73" s="1705">
        <v>2.2702451382314172E-2</v>
      </c>
      <c r="AB73" s="1712">
        <v>1.1140196237383813</v>
      </c>
      <c r="AC73" s="1712">
        <v>1.1140196237383813</v>
      </c>
      <c r="AD73" s="1713" t="s">
        <v>109</v>
      </c>
      <c r="AE73" s="1712" t="s">
        <v>109</v>
      </c>
      <c r="AF73" s="1712" t="s">
        <v>109</v>
      </c>
      <c r="AG73" s="1713">
        <v>0</v>
      </c>
      <c r="AH73" s="1713">
        <f>IFERROR(TBL4_OptApp[[#This Row],[Total NPC (£m)]]/TBL4_OptApp[[#This Row],[Maximum option utilisation across the planning period (Ml/d)]],"N/A")</f>
        <v>0.43369995274588924</v>
      </c>
      <c r="AI73" s="1713">
        <v>0.48315025817332924</v>
      </c>
      <c r="AJ73" s="1703" t="s">
        <v>109</v>
      </c>
      <c r="AK73" s="1705" t="s">
        <v>109</v>
      </c>
      <c r="AL73" s="1705" t="s">
        <v>109</v>
      </c>
      <c r="AM73" s="1705" t="s">
        <v>109</v>
      </c>
      <c r="AN73" s="1705" t="s">
        <v>109</v>
      </c>
      <c r="AO73" s="1705" t="s">
        <v>109</v>
      </c>
      <c r="AP73" s="1705" t="s">
        <v>109</v>
      </c>
      <c r="AQ73" s="1705" t="s">
        <v>109</v>
      </c>
      <c r="AR73" s="1705" t="s">
        <v>109</v>
      </c>
      <c r="AS73" s="1705" t="s">
        <v>109</v>
      </c>
      <c r="AT73" s="1705" t="s">
        <v>109</v>
      </c>
      <c r="AU73" s="1705" t="s">
        <v>109</v>
      </c>
      <c r="AV73" s="1705" t="s">
        <v>109</v>
      </c>
      <c r="AW73" s="1705"/>
      <c r="AX73" s="1705"/>
      <c r="AY73" s="1705"/>
      <c r="AZ73" s="1705"/>
      <c r="BA73" s="1705"/>
      <c r="BB73" s="1702"/>
      <c r="BC73" s="1702"/>
    </row>
    <row r="74" spans="1:55" ht="28.5" x14ac:dyDescent="0.2">
      <c r="A74" s="1702"/>
      <c r="B74" s="17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51cU</v>
      </c>
      <c r="C74" s="1703" t="s">
        <v>1030</v>
      </c>
      <c r="D74" s="1703" t="s">
        <v>1031</v>
      </c>
      <c r="E74" s="1704" t="s">
        <v>907</v>
      </c>
      <c r="F74" s="1703" t="str">
        <f>VLOOKUP(TBL4_OptApp[[#This Row],[Option type
Defined List]],'Option Typs_Grps'!B$2:C$47, 2, FALSE)</f>
        <v>Distribution Options</v>
      </c>
      <c r="G74" s="1703" t="s">
        <v>93</v>
      </c>
      <c r="H74" s="1703" t="s">
        <v>871</v>
      </c>
      <c r="I74" s="1703" t="s">
        <v>863</v>
      </c>
      <c r="J74" s="1703" t="s">
        <v>109</v>
      </c>
      <c r="K74" s="1703" t="s">
        <v>109</v>
      </c>
      <c r="L74" s="1703" t="s">
        <v>863</v>
      </c>
      <c r="M74" s="1703" t="s">
        <v>863</v>
      </c>
      <c r="N74" s="1703" t="s">
        <v>863</v>
      </c>
      <c r="O74" s="1703" t="s">
        <v>863</v>
      </c>
      <c r="P74" s="1703" t="s">
        <v>863</v>
      </c>
      <c r="Q74" s="1703" t="s">
        <v>863</v>
      </c>
      <c r="R74" s="1703" t="s">
        <v>863</v>
      </c>
      <c r="S74" s="1703" t="s">
        <v>1009</v>
      </c>
      <c r="T74" s="1705" t="s">
        <v>93</v>
      </c>
      <c r="U74" s="1705" t="s">
        <v>93</v>
      </c>
      <c r="V74" s="1707">
        <v>2.5</v>
      </c>
      <c r="W74" s="1703" t="s">
        <v>109</v>
      </c>
      <c r="X74" s="1703" t="s">
        <v>109</v>
      </c>
      <c r="Y74" s="1703" t="s">
        <v>109</v>
      </c>
      <c r="Z74" s="1703" t="s">
        <v>109</v>
      </c>
      <c r="AA74" s="1703" t="s">
        <v>109</v>
      </c>
      <c r="AB74" s="1703" t="s">
        <v>109</v>
      </c>
      <c r="AC74" s="1703" t="s">
        <v>109</v>
      </c>
      <c r="AD74" s="1713" t="s">
        <v>109</v>
      </c>
      <c r="AE74" s="1712" t="s">
        <v>109</v>
      </c>
      <c r="AF74" s="1713" t="s">
        <v>109</v>
      </c>
      <c r="AG74" s="1713"/>
      <c r="AH74" s="1713" t="s">
        <v>109</v>
      </c>
      <c r="AI74" s="1713" t="s">
        <v>109</v>
      </c>
      <c r="AJ74" s="1703"/>
      <c r="AK74" s="1705"/>
      <c r="AL74" s="1705"/>
      <c r="AM74" s="1705"/>
      <c r="AN74" s="1705"/>
      <c r="AO74" s="1705"/>
      <c r="AP74" s="1705"/>
      <c r="AQ74" s="1705"/>
      <c r="AR74" s="1705"/>
      <c r="AS74" s="1705"/>
      <c r="AT74" s="1705"/>
      <c r="AU74" s="1705"/>
      <c r="AV74" s="1705"/>
      <c r="AW74" s="1705"/>
      <c r="AX74" s="1705"/>
      <c r="AY74" s="1705"/>
      <c r="AZ74" s="1705"/>
      <c r="BA74" s="1705"/>
      <c r="BB74" s="1702"/>
      <c r="BC74" s="1702"/>
    </row>
    <row r="75" spans="1:55" ht="15" x14ac:dyDescent="0.25">
      <c r="A75" s="1702"/>
      <c r="B75" s="17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51dF</v>
      </c>
      <c r="C75" s="1703" t="s">
        <v>1032</v>
      </c>
      <c r="D75" s="1703" t="s">
        <v>1033</v>
      </c>
      <c r="E75" s="1723" t="s">
        <v>987</v>
      </c>
      <c r="F75" s="1703" t="str">
        <f>VLOOKUP(TBL4_OptApp[[#This Row],[Option type
Defined List]],'Option Typs_Grps'!B$2:C$47, 2, FALSE)</f>
        <v>Customer Options</v>
      </c>
      <c r="G75" s="1703" t="s">
        <v>861</v>
      </c>
      <c r="H75" s="1703" t="s">
        <v>862</v>
      </c>
      <c r="I75" s="1703" t="s">
        <v>863</v>
      </c>
      <c r="J75" s="1703" t="s">
        <v>109</v>
      </c>
      <c r="K75" s="1703" t="s">
        <v>109</v>
      </c>
      <c r="L75" s="1703" t="s">
        <v>863</v>
      </c>
      <c r="M75" s="1703" t="s">
        <v>863</v>
      </c>
      <c r="N75" s="1703" t="s">
        <v>863</v>
      </c>
      <c r="O75" s="1703" t="s">
        <v>863</v>
      </c>
      <c r="P75" s="1703" t="s">
        <v>877</v>
      </c>
      <c r="Q75" s="1703" t="s">
        <v>863</v>
      </c>
      <c r="R75" s="1703" t="s">
        <v>863</v>
      </c>
      <c r="S75" s="1705" t="s">
        <v>1018</v>
      </c>
      <c r="T75" s="1705" t="s">
        <v>109</v>
      </c>
      <c r="U75" s="1705" t="s">
        <v>109</v>
      </c>
      <c r="V75" s="1719">
        <v>20.806999223086038</v>
      </c>
      <c r="W75" s="1705">
        <v>0</v>
      </c>
      <c r="X75" s="1705">
        <v>2025</v>
      </c>
      <c r="Y75" s="1705">
        <v>0</v>
      </c>
      <c r="Z75" s="1712">
        <v>0.5758983274499917</v>
      </c>
      <c r="AA75" s="1712">
        <v>0.5758983274499917</v>
      </c>
      <c r="AB75" s="1712">
        <v>20.806999223086038</v>
      </c>
      <c r="AC75" s="1712">
        <v>20.806999223086038</v>
      </c>
      <c r="AD75" s="1713" t="s">
        <v>109</v>
      </c>
      <c r="AE75" s="1712" t="s">
        <v>109</v>
      </c>
      <c r="AF75" s="1712" t="s">
        <v>109</v>
      </c>
      <c r="AG75" s="1713">
        <v>0</v>
      </c>
      <c r="AH75" s="1713">
        <f>IFERROR(TBL4_OptApp[[#This Row],[Total NPC (£m)]]/TBL4_OptApp[[#This Row],[Maximum option utilisation across the planning period (Ml/d)]],"N/A")</f>
        <v>0.57596296039981165</v>
      </c>
      <c r="AI75" s="1713">
        <v>11.984060869565216</v>
      </c>
      <c r="AJ75" s="1703" t="s">
        <v>109</v>
      </c>
      <c r="AK75" s="1705" t="s">
        <v>109</v>
      </c>
      <c r="AL75" s="1705" t="s">
        <v>109</v>
      </c>
      <c r="AM75" s="1705" t="s">
        <v>109</v>
      </c>
      <c r="AN75" s="1705" t="s">
        <v>109</v>
      </c>
      <c r="AO75" s="1705" t="s">
        <v>109</v>
      </c>
      <c r="AP75" s="1705" t="s">
        <v>109</v>
      </c>
      <c r="AQ75" s="1705" t="s">
        <v>109</v>
      </c>
      <c r="AR75" s="1705" t="s">
        <v>109</v>
      </c>
      <c r="AS75" s="1705" t="s">
        <v>109</v>
      </c>
      <c r="AT75" s="1705" t="s">
        <v>109</v>
      </c>
      <c r="AU75" s="1705" t="s">
        <v>109</v>
      </c>
      <c r="AV75" s="1705" t="s">
        <v>109</v>
      </c>
      <c r="AW75" s="1705"/>
      <c r="AX75" s="1705"/>
      <c r="AY75" s="1705"/>
      <c r="AZ75" s="1705"/>
      <c r="BA75" s="1705"/>
      <c r="BB75" s="1702"/>
      <c r="BC75" s="1702"/>
    </row>
    <row r="76" spans="1:55" ht="28.5" x14ac:dyDescent="0.2">
      <c r="A76" s="1702"/>
      <c r="B76" s="17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51cP</v>
      </c>
      <c r="C76" s="1703" t="s">
        <v>984</v>
      </c>
      <c r="D76" s="1703" t="s">
        <v>1034</v>
      </c>
      <c r="E76" s="1704" t="s">
        <v>907</v>
      </c>
      <c r="F76" s="1703" t="str">
        <f>VLOOKUP(TBL4_OptApp[[#This Row],[Option type
Defined List]],'Option Typs_Grps'!B$2:C$47, 2, FALSE)</f>
        <v>Distribution Options</v>
      </c>
      <c r="G76" s="1703" t="s">
        <v>102</v>
      </c>
      <c r="H76" s="1703" t="s">
        <v>876</v>
      </c>
      <c r="I76" s="1703" t="s">
        <v>863</v>
      </c>
      <c r="J76" s="1703" t="s">
        <v>109</v>
      </c>
      <c r="K76" s="1703" t="s">
        <v>982</v>
      </c>
      <c r="L76" s="1703" t="s">
        <v>877</v>
      </c>
      <c r="M76" s="1703" t="s">
        <v>877</v>
      </c>
      <c r="N76" s="1703" t="s">
        <v>877</v>
      </c>
      <c r="O76" s="1703" t="s">
        <v>877</v>
      </c>
      <c r="P76" s="1703" t="s">
        <v>877</v>
      </c>
      <c r="Q76" s="1703" t="s">
        <v>877</v>
      </c>
      <c r="R76" s="1703" t="s">
        <v>877</v>
      </c>
      <c r="S76" s="1705" t="s">
        <v>109</v>
      </c>
      <c r="T76" s="1705" t="s">
        <v>105</v>
      </c>
      <c r="U76" s="1705" t="s">
        <v>102</v>
      </c>
      <c r="V76" s="1707">
        <v>8.5</v>
      </c>
      <c r="W76" s="1705">
        <v>3</v>
      </c>
      <c r="X76" s="1703">
        <v>2029</v>
      </c>
      <c r="Y76" s="1717">
        <v>57.61</v>
      </c>
      <c r="Z76" s="1717">
        <v>0.46</v>
      </c>
      <c r="AA76" s="1717">
        <v>0.33</v>
      </c>
      <c r="AB76" s="1725">
        <v>5.4</v>
      </c>
      <c r="AC76" s="1717">
        <v>7.53</v>
      </c>
      <c r="AD76" s="1713">
        <v>39148</v>
      </c>
      <c r="AE76" s="1713">
        <v>225.791</v>
      </c>
      <c r="AF76" s="1712">
        <f>(TBL4_OptApp[[#This Row],[Average option utilisation used for average totex expenditure and operational carbon forecasts (Ml/d)]]/TBL4_OptApp[[#This Row],[Maximum option utilisation across the planning period (Ml/d)]])*TBL4_OptApp[[#This Row],[Operational carbon emissions under maximum utilisation scenario
(tCO2 equivalent per annum)]]</f>
        <v>161.92183266932273</v>
      </c>
      <c r="AG76" s="1713">
        <v>10.940619983572583</v>
      </c>
      <c r="AH76" s="1713">
        <f>IFERROR(TBL4_OptApp[[#This Row],[Total NPC (£m)]]/TBL4_OptApp[[#This Row],[Maximum option utilisation across the planning period (Ml/d)]],"N/A")</f>
        <v>7.5498007968127485</v>
      </c>
      <c r="AI76" s="1726">
        <v>56.85</v>
      </c>
      <c r="AJ76" s="1720">
        <v>-10320</v>
      </c>
      <c r="AK76" s="1712">
        <v>29.215258472573169</v>
      </c>
      <c r="AL76" s="1705"/>
      <c r="AM76" s="1705"/>
      <c r="AN76" s="1705"/>
      <c r="AO76" s="1705"/>
      <c r="AP76" s="1721" t="s">
        <v>1035</v>
      </c>
      <c r="AQ76" s="1705" t="s">
        <v>956</v>
      </c>
      <c r="AR76" s="1705"/>
      <c r="AS76" s="1705">
        <v>0</v>
      </c>
      <c r="AT76" s="1705"/>
      <c r="AU76" s="1705"/>
      <c r="AV76" s="1705"/>
      <c r="AW76" s="1705"/>
      <c r="AX76" s="1705"/>
      <c r="AY76" s="1705"/>
      <c r="AZ76" s="1705"/>
      <c r="BA76" s="1705"/>
      <c r="BB76" s="1702"/>
      <c r="BC76" s="1702"/>
    </row>
    <row r="77" spans="1:55" ht="30" x14ac:dyDescent="0.2">
      <c r="A77" s="1702"/>
      <c r="B77" s="17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51cU</v>
      </c>
      <c r="C77" s="1703" t="s">
        <v>1036</v>
      </c>
      <c r="D77" s="1703" t="s">
        <v>1037</v>
      </c>
      <c r="E77" s="1704" t="s">
        <v>902</v>
      </c>
      <c r="F77" s="1703" t="str">
        <f>VLOOKUP(TBL4_OptApp[[#This Row],[Option type
Defined List]],'Option Typs_Grps'!B$2:C$47, 2, FALSE)</f>
        <v>Distribution Options</v>
      </c>
      <c r="G77" s="1703" t="s">
        <v>105</v>
      </c>
      <c r="H77" s="1703" t="s">
        <v>871</v>
      </c>
      <c r="I77" s="1703" t="s">
        <v>863</v>
      </c>
      <c r="J77" s="1703" t="s">
        <v>109</v>
      </c>
      <c r="K77" s="1703" t="s">
        <v>109</v>
      </c>
      <c r="L77" s="1703" t="s">
        <v>863</v>
      </c>
      <c r="M77" s="1703" t="s">
        <v>863</v>
      </c>
      <c r="N77" s="1703" t="s">
        <v>863</v>
      </c>
      <c r="O77" s="1703" t="s">
        <v>863</v>
      </c>
      <c r="P77" s="1703" t="s">
        <v>863</v>
      </c>
      <c r="Q77" s="1703" t="s">
        <v>863</v>
      </c>
      <c r="R77" s="1703" t="s">
        <v>863</v>
      </c>
      <c r="S77" s="1703" t="s">
        <v>1038</v>
      </c>
      <c r="T77" s="1705" t="s">
        <v>904</v>
      </c>
      <c r="U77" s="1705" t="s">
        <v>105</v>
      </c>
      <c r="V77" s="1707">
        <v>44</v>
      </c>
      <c r="W77" s="1703" t="s">
        <v>109</v>
      </c>
      <c r="X77" s="1703" t="s">
        <v>109</v>
      </c>
      <c r="Y77" s="1703" t="s">
        <v>109</v>
      </c>
      <c r="Z77" s="1703" t="s">
        <v>109</v>
      </c>
      <c r="AA77" s="1703" t="s">
        <v>109</v>
      </c>
      <c r="AB77" s="1703" t="s">
        <v>109</v>
      </c>
      <c r="AC77" s="1703" t="s">
        <v>109</v>
      </c>
      <c r="AD77" s="1713" t="s">
        <v>109</v>
      </c>
      <c r="AE77" s="1712" t="s">
        <v>109</v>
      </c>
      <c r="AF77" s="1713" t="s">
        <v>109</v>
      </c>
      <c r="AG77" s="1713"/>
      <c r="AH77" s="1713" t="s">
        <v>109</v>
      </c>
      <c r="AI77" s="1713" t="s">
        <v>109</v>
      </c>
      <c r="AJ77" s="1703"/>
      <c r="AK77" s="1705"/>
      <c r="AL77" s="1705"/>
      <c r="AM77" s="1705"/>
      <c r="AN77" s="1705"/>
      <c r="AO77" s="1705"/>
      <c r="AP77" s="1705"/>
      <c r="AQ77" s="1705"/>
      <c r="AR77" s="1705"/>
      <c r="AS77" s="1705"/>
      <c r="AT77" s="1705"/>
      <c r="AU77" s="1705"/>
      <c r="AV77" s="1705"/>
      <c r="AW77" s="1705"/>
      <c r="AX77" s="1705"/>
      <c r="AY77" s="1705"/>
      <c r="AZ77" s="1705"/>
      <c r="BA77" s="1705"/>
      <c r="BB77" s="1702"/>
      <c r="BC77" s="1702"/>
    </row>
    <row r="78" spans="1:55" ht="42.75" x14ac:dyDescent="0.2">
      <c r="A78" s="1702"/>
      <c r="B78" s="17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51aP</v>
      </c>
      <c r="C78" s="1707" t="s">
        <v>1039</v>
      </c>
      <c r="D78" s="1707" t="s">
        <v>1040</v>
      </c>
      <c r="E78" s="1708" t="s">
        <v>1041</v>
      </c>
      <c r="F78" s="1707" t="str">
        <f>VLOOKUP(TBL4_OptApp[[#This Row],[Option type
Defined List]],'Option Typs_Grps'!B$2:C$47, 2, FALSE)</f>
        <v>Resource Options</v>
      </c>
      <c r="G78" s="1707" t="s">
        <v>105</v>
      </c>
      <c r="H78" s="1707" t="s">
        <v>876</v>
      </c>
      <c r="I78" s="1707" t="s">
        <v>863</v>
      </c>
      <c r="J78" s="1703" t="s">
        <v>109</v>
      </c>
      <c r="K78" s="1703" t="s">
        <v>109</v>
      </c>
      <c r="L78" s="1703" t="s">
        <v>877</v>
      </c>
      <c r="M78" s="1703" t="s">
        <v>877</v>
      </c>
      <c r="N78" s="1703" t="s">
        <v>877</v>
      </c>
      <c r="O78" s="1703" t="s">
        <v>877</v>
      </c>
      <c r="P78" s="1703" t="s">
        <v>877</v>
      </c>
      <c r="Q78" s="1703" t="s">
        <v>877</v>
      </c>
      <c r="R78" s="1703" t="s">
        <v>877</v>
      </c>
      <c r="S78" s="1707" t="s">
        <v>109</v>
      </c>
      <c r="T78" s="1703" t="s">
        <v>105</v>
      </c>
      <c r="U78" s="1703" t="s">
        <v>105</v>
      </c>
      <c r="V78" s="1707">
        <v>1</v>
      </c>
      <c r="W78" s="1705">
        <v>3</v>
      </c>
      <c r="X78" s="1707">
        <v>2030</v>
      </c>
      <c r="Y78" s="1707">
        <v>12.71</v>
      </c>
      <c r="Z78" s="1707">
        <v>0.09</v>
      </c>
      <c r="AA78" s="1707">
        <v>0.09</v>
      </c>
      <c r="AB78" s="1707">
        <v>0.8</v>
      </c>
      <c r="AC78" s="1727">
        <v>1</v>
      </c>
      <c r="AD78" s="1719">
        <f>3952.64+3335.918</f>
        <v>7288.558</v>
      </c>
      <c r="AE78" s="1719">
        <f>10.898+77.201</f>
        <v>88.09899999999999</v>
      </c>
      <c r="AF78" s="1719">
        <f>(TBL4_OptApp[[#This Row],[Average option utilisation used for average totex expenditure and operational carbon forecasts (Ml/d)]]/TBL4_OptApp[[#This Row],[Maximum option utilisation across the planning period (Ml/d)]])*TBL4_OptApp[[#This Row],[Operational carbon emissions under maximum utilisation scenario
(tCO2 equivalent per annum)]]</f>
        <v>70.479199999999992</v>
      </c>
      <c r="AG78" s="1719">
        <v>0.82730770494222594</v>
      </c>
      <c r="AH78" s="1719">
        <f>IFERROR(TBL4_OptApp[[#This Row],[Total NPC (£m)]]/TBL4_OptApp[[#This Row],[Maximum option utilisation across the planning period (Ml/d)]],"N/A")</f>
        <v>12.06</v>
      </c>
      <c r="AI78" s="1719">
        <v>12.06</v>
      </c>
      <c r="AJ78" s="1720">
        <v>-13500</v>
      </c>
      <c r="AK78" s="1712">
        <v>0</v>
      </c>
      <c r="AL78" s="1705"/>
      <c r="AM78" s="1705"/>
      <c r="AN78" s="1705"/>
      <c r="AO78" s="1705"/>
      <c r="AP78" s="1721" t="s">
        <v>1042</v>
      </c>
      <c r="AQ78" s="1705" t="s">
        <v>956</v>
      </c>
      <c r="AR78" s="1705"/>
      <c r="AS78" s="1705">
        <v>0</v>
      </c>
      <c r="AT78" s="1705"/>
      <c r="AU78" s="1705"/>
      <c r="AV78" s="1705"/>
      <c r="AW78" s="1705"/>
      <c r="AX78" s="1705"/>
      <c r="AY78" s="1705"/>
      <c r="AZ78" s="1705"/>
      <c r="BA78" s="1705"/>
      <c r="BB78" s="1702"/>
      <c r="BC78" s="1702"/>
    </row>
    <row r="79" spans="1:55" ht="28.5" x14ac:dyDescent="0.2">
      <c r="A79" s="1702"/>
      <c r="B79" s="17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51cP</v>
      </c>
      <c r="C79" s="1707" t="s">
        <v>1043</v>
      </c>
      <c r="D79" s="1707" t="s">
        <v>1034</v>
      </c>
      <c r="E79" s="1707" t="s">
        <v>907</v>
      </c>
      <c r="F79" s="1703" t="str">
        <f>VLOOKUP(TBL4_OptApp[[#This Row],[Option type
Defined List]],'Option Typs_Grps'!B$2:C$47, 2, FALSE)</f>
        <v>Distribution Options</v>
      </c>
      <c r="G79" s="1703" t="s">
        <v>102</v>
      </c>
      <c r="H79" s="1703" t="s">
        <v>876</v>
      </c>
      <c r="I79" s="1703" t="s">
        <v>863</v>
      </c>
      <c r="J79" s="1703" t="s">
        <v>109</v>
      </c>
      <c r="K79" s="1703" t="s">
        <v>982</v>
      </c>
      <c r="L79" s="1703" t="s">
        <v>877</v>
      </c>
      <c r="M79" s="1703" t="s">
        <v>877</v>
      </c>
      <c r="N79" s="1703" t="s">
        <v>877</v>
      </c>
      <c r="O79" s="1703" t="s">
        <v>877</v>
      </c>
      <c r="P79" s="1703" t="s">
        <v>877</v>
      </c>
      <c r="Q79" s="1703" t="s">
        <v>877</v>
      </c>
      <c r="R79" s="1703" t="s">
        <v>877</v>
      </c>
      <c r="S79" s="1705" t="s">
        <v>109</v>
      </c>
      <c r="T79" s="1705" t="s">
        <v>105</v>
      </c>
      <c r="U79" s="1705" t="s">
        <v>102</v>
      </c>
      <c r="V79" s="1719">
        <v>0.18</v>
      </c>
      <c r="W79" s="1705">
        <v>3</v>
      </c>
      <c r="X79" s="1703">
        <v>2030</v>
      </c>
      <c r="Y79" s="1705">
        <v>35.21</v>
      </c>
      <c r="Z79" s="1705">
        <v>0.25</v>
      </c>
      <c r="AA79" s="1705">
        <v>1.94</v>
      </c>
      <c r="AB79" s="1712">
        <v>6.13</v>
      </c>
      <c r="AC79" s="1712">
        <v>8.5</v>
      </c>
      <c r="AD79" s="1713">
        <v>39148</v>
      </c>
      <c r="AE79" s="1713">
        <v>225.791</v>
      </c>
      <c r="AF79" s="1712" t="s">
        <v>109</v>
      </c>
      <c r="AG79" s="1713">
        <v>10.940619983572583</v>
      </c>
      <c r="AH79" s="1713">
        <f>IFERROR(TBL4_OptApp[[#This Row],[Total NPC (£m)]]/TBL4_OptApp[[#This Row],[Maximum option utilisation across the planning period (Ml/d)]],"N/A")</f>
        <v>6.6882352941176473</v>
      </c>
      <c r="AI79" s="1726">
        <v>56.85</v>
      </c>
      <c r="AJ79" s="1720">
        <v>-344.35</v>
      </c>
      <c r="AK79" s="1712">
        <v>29.215258472573169</v>
      </c>
      <c r="AL79" s="1705" t="s">
        <v>109</v>
      </c>
      <c r="AM79" s="1705" t="s">
        <v>109</v>
      </c>
      <c r="AN79" s="1705" t="s">
        <v>109</v>
      </c>
      <c r="AO79" s="1705" t="s">
        <v>109</v>
      </c>
      <c r="AP79" s="1721" t="s">
        <v>1035</v>
      </c>
      <c r="AQ79" s="1705" t="s">
        <v>956</v>
      </c>
      <c r="AR79" s="1705"/>
      <c r="AS79" s="1705">
        <v>0</v>
      </c>
      <c r="AT79" s="1705" t="s">
        <v>109</v>
      </c>
      <c r="AU79" s="1705" t="s">
        <v>109</v>
      </c>
      <c r="AV79" s="1705" t="s">
        <v>109</v>
      </c>
      <c r="AW79" s="1705"/>
      <c r="AX79" s="1705"/>
      <c r="AY79" s="1705"/>
      <c r="AZ79" s="1705"/>
      <c r="BA79" s="1705"/>
      <c r="BB79" s="1702"/>
      <c r="BC79" s="1702"/>
    </row>
    <row r="80" spans="1:55" x14ac:dyDescent="0.2">
      <c r="A80" s="1702"/>
      <c r="B80" s="17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80" s="1703" t="s">
        <v>1044</v>
      </c>
      <c r="D80" s="1703" t="s">
        <v>1045</v>
      </c>
      <c r="E80" s="1723" t="s">
        <v>973</v>
      </c>
      <c r="F80" s="1703" t="str">
        <f>VLOOKUP(TBL4_OptApp[[#This Row],[Option type
Defined List]],'Option Typs_Grps'!B$2:C$47, 2, FALSE)</f>
        <v>Customer Options</v>
      </c>
      <c r="G80" s="1703" t="s">
        <v>88</v>
      </c>
      <c r="H80" s="1703" t="s">
        <v>876</v>
      </c>
      <c r="I80" s="1703" t="s">
        <v>863</v>
      </c>
      <c r="J80" s="1703" t="s">
        <v>109</v>
      </c>
      <c r="K80" s="1703" t="s">
        <v>109</v>
      </c>
      <c r="L80" s="1703" t="s">
        <v>877</v>
      </c>
      <c r="M80" s="1703" t="s">
        <v>877</v>
      </c>
      <c r="N80" s="1703" t="s">
        <v>877</v>
      </c>
      <c r="O80" s="1703" t="s">
        <v>877</v>
      </c>
      <c r="P80" s="1703" t="s">
        <v>877</v>
      </c>
      <c r="Q80" s="1703" t="s">
        <v>877</v>
      </c>
      <c r="R80" s="1703" t="s">
        <v>877</v>
      </c>
      <c r="S80" s="1705" t="s">
        <v>109</v>
      </c>
      <c r="T80" s="1705" t="s">
        <v>109</v>
      </c>
      <c r="U80" s="1705" t="s">
        <v>109</v>
      </c>
      <c r="V80" s="1719">
        <v>16.2</v>
      </c>
      <c r="W80" s="1705">
        <v>0</v>
      </c>
      <c r="X80" s="1705">
        <v>2025</v>
      </c>
      <c r="Y80" s="1705">
        <v>0</v>
      </c>
      <c r="Z80" s="1705">
        <v>0</v>
      </c>
      <c r="AA80" s="1705">
        <v>0</v>
      </c>
      <c r="AB80" s="1712">
        <v>16.2</v>
      </c>
      <c r="AC80" s="1712">
        <v>16.2</v>
      </c>
      <c r="AD80" s="1713" t="s">
        <v>109</v>
      </c>
      <c r="AE80" s="1712" t="s">
        <v>109</v>
      </c>
      <c r="AF80" s="1713" t="s">
        <v>109</v>
      </c>
      <c r="AG80" s="1713">
        <v>0</v>
      </c>
      <c r="AH80" s="1713">
        <f>IFERROR(TBL4_OptApp[[#This Row],[Total NPC (£m)]]/TBL4_OptApp[[#This Row],[Maximum option utilisation across the planning period (Ml/d)]],"N/A")</f>
        <v>0</v>
      </c>
      <c r="AI80" s="1713">
        <v>0</v>
      </c>
      <c r="AJ80" s="1703" t="s">
        <v>109</v>
      </c>
      <c r="AK80" s="1705" t="s">
        <v>109</v>
      </c>
      <c r="AL80" s="1705" t="s">
        <v>109</v>
      </c>
      <c r="AM80" s="1705" t="s">
        <v>109</v>
      </c>
      <c r="AN80" s="1705" t="s">
        <v>109</v>
      </c>
      <c r="AO80" s="1705" t="s">
        <v>109</v>
      </c>
      <c r="AP80" s="1705" t="s">
        <v>109</v>
      </c>
      <c r="AQ80" s="1705" t="s">
        <v>109</v>
      </c>
      <c r="AR80" s="1705" t="s">
        <v>109</v>
      </c>
      <c r="AS80" s="1705" t="s">
        <v>109</v>
      </c>
      <c r="AT80" s="1705" t="s">
        <v>109</v>
      </c>
      <c r="AU80" s="1705" t="s">
        <v>109</v>
      </c>
      <c r="AV80" s="1705" t="s">
        <v>109</v>
      </c>
      <c r="AW80" s="1705"/>
      <c r="AX80" s="1705"/>
      <c r="AY80" s="1705"/>
      <c r="AZ80" s="1705"/>
      <c r="BA80" s="1705"/>
      <c r="BB80" s="1702"/>
      <c r="BC80" s="1702"/>
    </row>
    <row r="81" spans="1:55" s="1729" customFormat="1" ht="28.5" x14ac:dyDescent="0.2">
      <c r="A81" s="1728"/>
      <c r="B81" s="17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51bP</v>
      </c>
      <c r="C81" s="1707" t="s">
        <v>1046</v>
      </c>
      <c r="D81" s="1707" t="s">
        <v>1047</v>
      </c>
      <c r="E81" s="1708" t="s">
        <v>885</v>
      </c>
      <c r="F81" s="1703" t="str">
        <f>VLOOKUP(TBL4_OptApp[[#This Row],[Option type
Defined List]],'Option Typs_Grps'!B$2:C$47, 2, FALSE)</f>
        <v>Production Options</v>
      </c>
      <c r="G81" s="1703" t="s">
        <v>88</v>
      </c>
      <c r="H81" s="1703" t="s">
        <v>876</v>
      </c>
      <c r="I81" s="1703" t="s">
        <v>863</v>
      </c>
      <c r="J81" s="1703" t="s">
        <v>109</v>
      </c>
      <c r="K81" s="1703" t="s">
        <v>109</v>
      </c>
      <c r="L81" s="1703" t="s">
        <v>877</v>
      </c>
      <c r="M81" s="1703" t="s">
        <v>877</v>
      </c>
      <c r="N81" s="1703" t="s">
        <v>877</v>
      </c>
      <c r="O81" s="1703" t="s">
        <v>877</v>
      </c>
      <c r="P81" s="1703" t="s">
        <v>877</v>
      </c>
      <c r="Q81" s="1703" t="s">
        <v>877</v>
      </c>
      <c r="R81" s="1703" t="s">
        <v>877</v>
      </c>
      <c r="S81" s="1705" t="s">
        <v>109</v>
      </c>
      <c r="T81" s="1705" t="s">
        <v>109</v>
      </c>
      <c r="U81" s="1705" t="s">
        <v>109</v>
      </c>
      <c r="V81" s="1707">
        <v>5.7</v>
      </c>
      <c r="W81" s="1705">
        <v>0</v>
      </c>
      <c r="X81" s="1705">
        <v>2021</v>
      </c>
      <c r="Y81" s="1705">
        <v>0</v>
      </c>
      <c r="Z81" s="1705">
        <v>0</v>
      </c>
      <c r="AA81" s="1705">
        <v>0</v>
      </c>
      <c r="AB81" s="1705">
        <v>5.7</v>
      </c>
      <c r="AC81" s="1705">
        <v>5.7</v>
      </c>
      <c r="AD81" s="1713" t="s">
        <v>109</v>
      </c>
      <c r="AE81" s="1712" t="s">
        <v>109</v>
      </c>
      <c r="AF81" s="1712" t="s">
        <v>109</v>
      </c>
      <c r="AG81" s="1713">
        <v>0</v>
      </c>
      <c r="AH81" s="1713">
        <f>IFERROR(TBL4_OptApp[[#This Row],[Total NPC (£m)]]/TBL4_OptApp[[#This Row],[Maximum option utilisation across the planning period (Ml/d)]],"N/A")</f>
        <v>0</v>
      </c>
      <c r="AI81" s="1713">
        <v>0</v>
      </c>
      <c r="AJ81" s="1703" t="s">
        <v>109</v>
      </c>
      <c r="AK81" s="1705" t="s">
        <v>109</v>
      </c>
      <c r="AL81" s="1705" t="s">
        <v>109</v>
      </c>
      <c r="AM81" s="1705" t="s">
        <v>109</v>
      </c>
      <c r="AN81" s="1705" t="s">
        <v>109</v>
      </c>
      <c r="AO81" s="1705" t="s">
        <v>109</v>
      </c>
      <c r="AP81" s="1705" t="s">
        <v>109</v>
      </c>
      <c r="AQ81" s="1705" t="s">
        <v>109</v>
      </c>
      <c r="AR81" s="1705" t="s">
        <v>109</v>
      </c>
      <c r="AS81" s="1705" t="s">
        <v>109</v>
      </c>
      <c r="AT81" s="1705" t="s">
        <v>109</v>
      </c>
      <c r="AU81" s="1705" t="s">
        <v>109</v>
      </c>
      <c r="AV81" s="1705" t="s">
        <v>109</v>
      </c>
      <c r="AW81" s="1705"/>
      <c r="AX81" s="1705"/>
      <c r="AY81" s="1705"/>
      <c r="AZ81" s="1705"/>
      <c r="BA81" s="1705"/>
      <c r="BB81" s="1728"/>
      <c r="BC81" s="1728"/>
    </row>
    <row r="82" spans="1:55" s="1733" customFormat="1" ht="30.75" thickBot="1" x14ac:dyDescent="0.3">
      <c r="A82" s="1730"/>
      <c r="B82" s="1731"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51aP</v>
      </c>
      <c r="C82" s="1703" t="s">
        <v>1048</v>
      </c>
      <c r="D82" s="1707" t="s">
        <v>1048</v>
      </c>
      <c r="E82" s="1714" t="s">
        <v>875</v>
      </c>
      <c r="F82" s="1703" t="str">
        <f>VLOOKUP(TBL4_OptApp[[#This Row],[Option type
Defined List]],'Option Typs_Grps'!B$2:C$47, 2, FALSE)</f>
        <v>Resource Options</v>
      </c>
      <c r="G82" s="1703" t="s">
        <v>102</v>
      </c>
      <c r="H82" s="1703" t="s">
        <v>876</v>
      </c>
      <c r="I82" s="1703" t="s">
        <v>863</v>
      </c>
      <c r="J82" s="1703" t="s">
        <v>109</v>
      </c>
      <c r="K82" s="1703" t="s">
        <v>109</v>
      </c>
      <c r="L82" s="1703" t="s">
        <v>877</v>
      </c>
      <c r="M82" s="1703" t="s">
        <v>877</v>
      </c>
      <c r="N82" s="1703" t="s">
        <v>877</v>
      </c>
      <c r="O82" s="1703" t="s">
        <v>877</v>
      </c>
      <c r="P82" s="1703" t="s">
        <v>877</v>
      </c>
      <c r="Q82" s="1703" t="s">
        <v>877</v>
      </c>
      <c r="R82" s="1703" t="s">
        <v>877</v>
      </c>
      <c r="S82" s="1705" t="s">
        <v>109</v>
      </c>
      <c r="T82" s="1705" t="s">
        <v>109</v>
      </c>
      <c r="U82" s="1705" t="s">
        <v>109</v>
      </c>
      <c r="V82" s="1719">
        <v>4.6306319747453601</v>
      </c>
      <c r="W82" s="1705">
        <v>0</v>
      </c>
      <c r="X82" s="1705">
        <v>2025</v>
      </c>
      <c r="Y82" s="1705" t="s">
        <v>109</v>
      </c>
      <c r="Z82" s="1705" t="s">
        <v>109</v>
      </c>
      <c r="AA82" s="1705" t="s">
        <v>109</v>
      </c>
      <c r="AB82" s="1705">
        <v>2.27</v>
      </c>
      <c r="AC82" s="1705">
        <v>2.27</v>
      </c>
      <c r="AD82" s="1713" t="s">
        <v>109</v>
      </c>
      <c r="AE82" s="1712" t="s">
        <v>109</v>
      </c>
      <c r="AF82" s="1712" t="s">
        <v>109</v>
      </c>
      <c r="AG82" s="1713">
        <v>0</v>
      </c>
      <c r="AH82" s="1713">
        <v>0</v>
      </c>
      <c r="AI82" s="1713">
        <v>0</v>
      </c>
      <c r="AJ82" s="1703" t="s">
        <v>109</v>
      </c>
      <c r="AK82" s="1705" t="s">
        <v>109</v>
      </c>
      <c r="AL82" s="1705" t="s">
        <v>109</v>
      </c>
      <c r="AM82" s="1705" t="s">
        <v>109</v>
      </c>
      <c r="AN82" s="1705" t="s">
        <v>109</v>
      </c>
      <c r="AO82" s="1705" t="s">
        <v>109</v>
      </c>
      <c r="AP82" s="1705" t="s">
        <v>109</v>
      </c>
      <c r="AQ82" s="1705" t="s">
        <v>109</v>
      </c>
      <c r="AR82" s="1705" t="s">
        <v>109</v>
      </c>
      <c r="AS82" s="1705" t="s">
        <v>109</v>
      </c>
      <c r="AT82" s="1705" t="s">
        <v>109</v>
      </c>
      <c r="AU82" s="1705" t="s">
        <v>109</v>
      </c>
      <c r="AV82" s="1705" t="s">
        <v>109</v>
      </c>
      <c r="AW82" s="1705"/>
      <c r="AX82" s="1705"/>
      <c r="AY82" s="1705"/>
      <c r="AZ82" s="1705"/>
      <c r="BA82" s="1732"/>
      <c r="BB82" s="1730"/>
      <c r="BC82" s="1730"/>
    </row>
    <row r="83" spans="1:55" ht="28.5" x14ac:dyDescent="0.2">
      <c r="A83" s="1702"/>
      <c r="B83" s="17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51aF</v>
      </c>
      <c r="C83" s="1703" t="s">
        <v>1049</v>
      </c>
      <c r="D83" s="1703" t="s">
        <v>1050</v>
      </c>
      <c r="E83" s="1704" t="s">
        <v>913</v>
      </c>
      <c r="F83" s="1703" t="str">
        <f>VLOOKUP(TBL4_OptApp[[#This Row],[Option type
Defined List]],'Option Typs_Grps'!B$2:C$47, 2, FALSE)</f>
        <v>Resource Options</v>
      </c>
      <c r="G83" s="1703" t="s">
        <v>105</v>
      </c>
      <c r="H83" s="1703" t="s">
        <v>862</v>
      </c>
      <c r="I83" s="1703" t="s">
        <v>863</v>
      </c>
      <c r="J83" s="1703" t="s">
        <v>109</v>
      </c>
      <c r="K83" s="1703" t="s">
        <v>109</v>
      </c>
      <c r="L83" s="1703" t="s">
        <v>863</v>
      </c>
      <c r="M83" s="1703" t="s">
        <v>863</v>
      </c>
      <c r="N83" s="1703" t="s">
        <v>863</v>
      </c>
      <c r="O83" s="1703" t="s">
        <v>863</v>
      </c>
      <c r="P83" s="1703" t="s">
        <v>863</v>
      </c>
      <c r="Q83" s="1703" t="s">
        <v>863</v>
      </c>
      <c r="R83" s="1703" t="s">
        <v>863</v>
      </c>
      <c r="S83" s="1703"/>
      <c r="T83" s="1705" t="s">
        <v>109</v>
      </c>
      <c r="U83" s="1705" t="s">
        <v>109</v>
      </c>
      <c r="V83" s="1707">
        <v>11</v>
      </c>
      <c r="W83" s="1705">
        <v>5</v>
      </c>
      <c r="X83" s="1703">
        <v>2032</v>
      </c>
      <c r="Y83" s="1705">
        <v>65.430000000000007</v>
      </c>
      <c r="Z83" s="1705">
        <v>3.06</v>
      </c>
      <c r="AA83" s="1703" t="s">
        <v>109</v>
      </c>
      <c r="AB83" s="1703" t="s">
        <v>109</v>
      </c>
      <c r="AC83" s="1705">
        <v>11</v>
      </c>
      <c r="AD83" s="1713">
        <v>26363</v>
      </c>
      <c r="AE83" s="1713">
        <v>1779.4649999999999</v>
      </c>
      <c r="AF83" s="1712">
        <v>0</v>
      </c>
      <c r="AG83" s="1713">
        <v>1.6715724594105665</v>
      </c>
      <c r="AH83" s="1713">
        <f>IFERROR(TBL4_OptApp[[#This Row],[Total NPC (£m)]]/TBL4_OptApp[[#This Row],[Maximum option utilisation across the planning period (Ml/d)]],"N/A")</f>
        <v>7.3772727272727279</v>
      </c>
      <c r="AI83" s="1713">
        <v>81.150000000000006</v>
      </c>
      <c r="AJ83" s="1703"/>
      <c r="AK83" s="1705"/>
      <c r="AL83" s="1705"/>
      <c r="AM83" s="1705"/>
      <c r="AN83" s="1705"/>
      <c r="AO83" s="1705"/>
      <c r="AP83" s="1705"/>
      <c r="AQ83" s="1705"/>
      <c r="AR83" s="1705"/>
      <c r="AS83" s="1705"/>
      <c r="AT83" s="1705"/>
      <c r="AU83" s="1705"/>
      <c r="AV83" s="1705"/>
      <c r="AW83" s="1705"/>
      <c r="AX83" s="1705"/>
      <c r="AY83" s="1705"/>
      <c r="AZ83" s="1705"/>
      <c r="BA83" s="1705"/>
      <c r="BB83" s="1702"/>
      <c r="BC83" s="1702"/>
    </row>
    <row r="84" spans="1:55" ht="42.75" x14ac:dyDescent="0.25">
      <c r="A84" s="1702"/>
      <c r="B84" s="17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51aP</v>
      </c>
      <c r="C84" s="1703" t="s">
        <v>190</v>
      </c>
      <c r="D84" s="1707" t="s">
        <v>190</v>
      </c>
      <c r="E84" s="1714" t="s">
        <v>1041</v>
      </c>
      <c r="F84" s="1703" t="str">
        <f>VLOOKUP(TBL4_OptApp[[#This Row],[Option type
Defined List]],'Option Typs_Grps'!B$2:C$47, 2, FALSE)</f>
        <v>Resource Options</v>
      </c>
      <c r="G84" s="1703" t="s">
        <v>93</v>
      </c>
      <c r="H84" s="1703" t="s">
        <v>876</v>
      </c>
      <c r="I84" s="1703" t="s">
        <v>863</v>
      </c>
      <c r="J84" s="1703" t="s">
        <v>109</v>
      </c>
      <c r="K84" s="1703" t="s">
        <v>109</v>
      </c>
      <c r="L84" s="1703" t="s">
        <v>877</v>
      </c>
      <c r="M84" s="1703" t="s">
        <v>877</v>
      </c>
      <c r="N84" s="1703" t="s">
        <v>877</v>
      </c>
      <c r="O84" s="1703" t="s">
        <v>877</v>
      </c>
      <c r="P84" s="1703" t="s">
        <v>877</v>
      </c>
      <c r="Q84" s="1703" t="s">
        <v>877</v>
      </c>
      <c r="R84" s="1703" t="s">
        <v>877</v>
      </c>
      <c r="S84" s="1705" t="s">
        <v>109</v>
      </c>
      <c r="T84" s="1705" t="s">
        <v>109</v>
      </c>
      <c r="U84" s="1705" t="s">
        <v>105</v>
      </c>
      <c r="V84" s="1707">
        <v>0.66</v>
      </c>
      <c r="W84" s="1705">
        <v>0</v>
      </c>
      <c r="X84" s="1705">
        <v>2026</v>
      </c>
      <c r="Y84" s="1705">
        <v>0</v>
      </c>
      <c r="Z84" s="1705">
        <v>0</v>
      </c>
      <c r="AA84" s="1705">
        <v>0</v>
      </c>
      <c r="AB84" s="1705">
        <v>0.64</v>
      </c>
      <c r="AC84" s="1705">
        <v>0.66</v>
      </c>
      <c r="AD84" s="1713" t="s">
        <v>109</v>
      </c>
      <c r="AE84" s="1712" t="s">
        <v>109</v>
      </c>
      <c r="AF84" s="1712" t="s">
        <v>109</v>
      </c>
      <c r="AG84" s="1713">
        <v>0</v>
      </c>
      <c r="AH84" s="1713">
        <v>0</v>
      </c>
      <c r="AI84" s="1713">
        <v>0</v>
      </c>
      <c r="AJ84" s="1703" t="s">
        <v>109</v>
      </c>
      <c r="AK84" s="1705" t="s">
        <v>109</v>
      </c>
      <c r="AL84" s="1705" t="s">
        <v>109</v>
      </c>
      <c r="AM84" s="1705" t="s">
        <v>109</v>
      </c>
      <c r="AN84" s="1705" t="s">
        <v>109</v>
      </c>
      <c r="AO84" s="1705" t="s">
        <v>109</v>
      </c>
      <c r="AP84" s="1705" t="s">
        <v>109</v>
      </c>
      <c r="AQ84" s="1705" t="s">
        <v>109</v>
      </c>
      <c r="AR84" s="1705" t="s">
        <v>109</v>
      </c>
      <c r="AS84" s="1705" t="s">
        <v>109</v>
      </c>
      <c r="AT84" s="1705" t="s">
        <v>109</v>
      </c>
      <c r="AU84" s="1705" t="s">
        <v>109</v>
      </c>
      <c r="AV84" s="1705" t="s">
        <v>109</v>
      </c>
      <c r="AW84" s="1705"/>
      <c r="AX84" s="1705"/>
      <c r="AY84" s="1705"/>
      <c r="AZ84" s="1705"/>
      <c r="BA84" s="1705"/>
      <c r="BB84" s="1702"/>
      <c r="BC84" s="1702"/>
    </row>
    <row r="85" spans="1:55" ht="30" x14ac:dyDescent="0.2">
      <c r="A85" s="1702"/>
      <c r="B85" s="1734"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85" s="1707" t="s">
        <v>1051</v>
      </c>
      <c r="D85" s="1707" t="s">
        <v>1052</v>
      </c>
      <c r="E85" s="1708" t="s">
        <v>1053</v>
      </c>
      <c r="F85" s="1703" t="str">
        <f>VLOOKUP(TBL4_OptApp[[#This Row],[Option type
Defined List]],'Option Typs_Grps'!B$2:C$47, 2, FALSE)</f>
        <v>Customer Options</v>
      </c>
      <c r="G85" s="1703" t="s">
        <v>861</v>
      </c>
      <c r="H85" s="1703" t="s">
        <v>876</v>
      </c>
      <c r="I85" s="1703" t="s">
        <v>863</v>
      </c>
      <c r="J85" s="1703" t="s">
        <v>109</v>
      </c>
      <c r="K85" s="1703" t="s">
        <v>109</v>
      </c>
      <c r="L85" s="1703" t="s">
        <v>877</v>
      </c>
      <c r="M85" s="1703" t="s">
        <v>877</v>
      </c>
      <c r="N85" s="1703" t="s">
        <v>877</v>
      </c>
      <c r="O85" s="1703" t="s">
        <v>877</v>
      </c>
      <c r="P85" s="1703" t="s">
        <v>877</v>
      </c>
      <c r="Q85" s="1703" t="s">
        <v>877</v>
      </c>
      <c r="R85" s="1703" t="s">
        <v>877</v>
      </c>
      <c r="S85" s="1705" t="s">
        <v>109</v>
      </c>
      <c r="T85" s="1705" t="s">
        <v>109</v>
      </c>
      <c r="U85" s="1705" t="s">
        <v>109</v>
      </c>
      <c r="V85" s="1719">
        <v>20.25</v>
      </c>
      <c r="W85" s="1705">
        <v>0</v>
      </c>
      <c r="X85" s="1705">
        <v>2024</v>
      </c>
      <c r="Y85" s="1705">
        <v>0</v>
      </c>
      <c r="Z85" s="1705">
        <v>0</v>
      </c>
      <c r="AA85" s="1705">
        <v>0</v>
      </c>
      <c r="AB85" s="1712">
        <v>19.309999999999999</v>
      </c>
      <c r="AC85" s="1712">
        <v>20.25</v>
      </c>
      <c r="AD85" s="1713" t="s">
        <v>109</v>
      </c>
      <c r="AE85" s="1712" t="s">
        <v>109</v>
      </c>
      <c r="AF85" s="1712" t="s">
        <v>109</v>
      </c>
      <c r="AG85" s="1713">
        <v>0</v>
      </c>
      <c r="AH85" s="1713">
        <f>IFERROR(TBL4_OptApp[[#This Row],[Total NPC (£m)]]/TBL4_OptApp[[#This Row],[Maximum option utilisation across the planning period (Ml/d)]],"N/A")</f>
        <v>0</v>
      </c>
      <c r="AI85" s="1713">
        <v>0</v>
      </c>
      <c r="AJ85" s="1703" t="s">
        <v>109</v>
      </c>
      <c r="AK85" s="1705" t="s">
        <v>109</v>
      </c>
      <c r="AL85" s="1705" t="s">
        <v>109</v>
      </c>
      <c r="AM85" s="1705" t="s">
        <v>109</v>
      </c>
      <c r="AN85" s="1705" t="s">
        <v>109</v>
      </c>
      <c r="AO85" s="1705" t="s">
        <v>109</v>
      </c>
      <c r="AP85" s="1705" t="s">
        <v>109</v>
      </c>
      <c r="AQ85" s="1705" t="s">
        <v>109</v>
      </c>
      <c r="AR85" s="1705" t="s">
        <v>109</v>
      </c>
      <c r="AS85" s="1705" t="s">
        <v>109</v>
      </c>
      <c r="AT85" s="1705" t="s">
        <v>109</v>
      </c>
      <c r="AU85" s="1705" t="s">
        <v>109</v>
      </c>
      <c r="AV85" s="1705" t="s">
        <v>109</v>
      </c>
      <c r="AW85" s="1705"/>
      <c r="AX85" s="1705"/>
      <c r="AY85" s="1705"/>
      <c r="AZ85" s="1705"/>
      <c r="BA85" s="1735"/>
      <c r="BB85" s="1702"/>
      <c r="BC85" s="1702"/>
    </row>
    <row r="86" spans="1:55" ht="30" x14ac:dyDescent="0.2">
      <c r="A86" s="1702"/>
      <c r="B86" s="1734"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86" s="1707" t="s">
        <v>1054</v>
      </c>
      <c r="D86" s="1707" t="s">
        <v>1055</v>
      </c>
      <c r="E86" s="1708" t="s">
        <v>1053</v>
      </c>
      <c r="F86" s="1703" t="str">
        <f>VLOOKUP(TBL4_OptApp[[#This Row],[Option type
Defined List]],'Option Typs_Grps'!B$2:C$47, 2, FALSE)</f>
        <v>Customer Options</v>
      </c>
      <c r="G86" s="1703" t="s">
        <v>861</v>
      </c>
      <c r="H86" s="1703" t="s">
        <v>876</v>
      </c>
      <c r="I86" s="1703" t="s">
        <v>863</v>
      </c>
      <c r="J86" s="1703" t="s">
        <v>109</v>
      </c>
      <c r="K86" s="1703" t="s">
        <v>109</v>
      </c>
      <c r="L86" s="1703" t="s">
        <v>877</v>
      </c>
      <c r="M86" s="1703" t="s">
        <v>877</v>
      </c>
      <c r="N86" s="1703" t="s">
        <v>877</v>
      </c>
      <c r="O86" s="1703" t="s">
        <v>877</v>
      </c>
      <c r="P86" s="1703" t="s">
        <v>877</v>
      </c>
      <c r="Q86" s="1703" t="s">
        <v>877</v>
      </c>
      <c r="R86" s="1703" t="s">
        <v>877</v>
      </c>
      <c r="S86" s="1705" t="s">
        <v>109</v>
      </c>
      <c r="T86" s="1705" t="s">
        <v>109</v>
      </c>
      <c r="U86" s="1705" t="s">
        <v>109</v>
      </c>
      <c r="V86" s="1719">
        <v>20.25</v>
      </c>
      <c r="W86" s="1705">
        <v>0</v>
      </c>
      <c r="X86" s="1705">
        <v>2024</v>
      </c>
      <c r="Y86" s="1705">
        <v>0</v>
      </c>
      <c r="Z86" s="1705">
        <v>0</v>
      </c>
      <c r="AA86" s="1705">
        <v>0</v>
      </c>
      <c r="AB86" s="1712">
        <v>19.309999999999999</v>
      </c>
      <c r="AC86" s="1712">
        <v>20.25</v>
      </c>
      <c r="AD86" s="1713" t="s">
        <v>109</v>
      </c>
      <c r="AE86" s="1712" t="s">
        <v>109</v>
      </c>
      <c r="AF86" s="1712" t="s">
        <v>109</v>
      </c>
      <c r="AG86" s="1713">
        <v>0</v>
      </c>
      <c r="AH86" s="1713">
        <f>IFERROR(TBL4_OptApp[[#This Row],[Total NPC (£m)]]/TBL4_OptApp[[#This Row],[Maximum option utilisation across the planning period (Ml/d)]],"N/A")</f>
        <v>0</v>
      </c>
      <c r="AI86" s="1713">
        <v>0</v>
      </c>
      <c r="AJ86" s="1703" t="s">
        <v>109</v>
      </c>
      <c r="AK86" s="1705" t="s">
        <v>109</v>
      </c>
      <c r="AL86" s="1705" t="s">
        <v>109</v>
      </c>
      <c r="AM86" s="1705" t="s">
        <v>109</v>
      </c>
      <c r="AN86" s="1705" t="s">
        <v>109</v>
      </c>
      <c r="AO86" s="1705" t="s">
        <v>109</v>
      </c>
      <c r="AP86" s="1705" t="s">
        <v>109</v>
      </c>
      <c r="AQ86" s="1705" t="s">
        <v>109</v>
      </c>
      <c r="AR86" s="1705" t="s">
        <v>109</v>
      </c>
      <c r="AS86" s="1705" t="s">
        <v>109</v>
      </c>
      <c r="AT86" s="1705" t="s">
        <v>109</v>
      </c>
      <c r="AU86" s="1705" t="s">
        <v>109</v>
      </c>
      <c r="AV86" s="1705" t="s">
        <v>109</v>
      </c>
      <c r="AW86" s="1705"/>
      <c r="AX86" s="1705"/>
      <c r="AY86" s="1705"/>
      <c r="AZ86" s="1705"/>
      <c r="BA86" s="1735"/>
      <c r="BB86" s="1702"/>
      <c r="BC86" s="1702"/>
    </row>
    <row r="87" spans="1:55" ht="28.5" x14ac:dyDescent="0.2">
      <c r="A87" s="1702"/>
      <c r="B87" s="1734"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51dF</v>
      </c>
      <c r="C87" s="1703" t="s">
        <v>1056</v>
      </c>
      <c r="D87" s="1703" t="s">
        <v>1057</v>
      </c>
      <c r="E87" s="1703" t="s">
        <v>1058</v>
      </c>
      <c r="F87" s="1703" t="str">
        <f>VLOOKUP(TBL4_OptApp[[#This Row],[Option type
Defined List]],'Option Typs_Grps'!B$2:C$47, 2, FALSE)</f>
        <v>Customer Options</v>
      </c>
      <c r="G87" s="1703" t="s">
        <v>861</v>
      </c>
      <c r="H87" s="1703" t="s">
        <v>862</v>
      </c>
      <c r="I87" s="1703" t="s">
        <v>863</v>
      </c>
      <c r="J87" s="1703" t="s">
        <v>109</v>
      </c>
      <c r="K87" s="1703" t="s">
        <v>109</v>
      </c>
      <c r="L87" s="1703" t="s">
        <v>863</v>
      </c>
      <c r="M87" s="1703" t="s">
        <v>863</v>
      </c>
      <c r="N87" s="1703" t="s">
        <v>863</v>
      </c>
      <c r="O87" s="1703" t="s">
        <v>863</v>
      </c>
      <c r="P87" s="1703" t="s">
        <v>863</v>
      </c>
      <c r="Q87" s="1703" t="s">
        <v>863</v>
      </c>
      <c r="R87" s="1703" t="s">
        <v>863</v>
      </c>
      <c r="S87" s="1703" t="s">
        <v>1059</v>
      </c>
      <c r="T87" s="1707" t="s">
        <v>109</v>
      </c>
      <c r="U87" s="1707" t="s">
        <v>109</v>
      </c>
      <c r="V87" s="1719">
        <v>10.350441768434022</v>
      </c>
      <c r="W87" s="1703">
        <v>0</v>
      </c>
      <c r="X87" s="1703">
        <v>2025</v>
      </c>
      <c r="Y87" s="1703">
        <v>0</v>
      </c>
      <c r="Z87" s="1703">
        <v>4.55</v>
      </c>
      <c r="AA87" s="1703">
        <v>4.55</v>
      </c>
      <c r="AB87" s="1713">
        <v>10.350441768434022</v>
      </c>
      <c r="AC87" s="1713">
        <v>10.350441768434022</v>
      </c>
      <c r="AD87" s="1713" t="s">
        <v>109</v>
      </c>
      <c r="AE87" s="1712" t="s">
        <v>109</v>
      </c>
      <c r="AF87" s="1712" t="s">
        <v>109</v>
      </c>
      <c r="AG87" s="1713">
        <v>0</v>
      </c>
      <c r="AH87" s="1713">
        <f>IFERROR(TBL4_OptApp[[#This Row],[Total NPC (£m)]]/TBL4_OptApp[[#This Row],[Maximum option utilisation across the planning period (Ml/d)]],"N/A")</f>
        <v>3.7486322678834094</v>
      </c>
      <c r="AI87" s="1713">
        <v>38.799999999999997</v>
      </c>
      <c r="AJ87" s="1703" t="s">
        <v>109</v>
      </c>
      <c r="AK87" s="1705" t="s">
        <v>109</v>
      </c>
      <c r="AL87" s="1705" t="s">
        <v>109</v>
      </c>
      <c r="AM87" s="1705" t="s">
        <v>109</v>
      </c>
      <c r="AN87" s="1705" t="s">
        <v>109</v>
      </c>
      <c r="AO87" s="1705" t="s">
        <v>109</v>
      </c>
      <c r="AP87" s="1705" t="s">
        <v>109</v>
      </c>
      <c r="AQ87" s="1705" t="s">
        <v>109</v>
      </c>
      <c r="AR87" s="1705" t="s">
        <v>109</v>
      </c>
      <c r="AS87" s="1705" t="s">
        <v>109</v>
      </c>
      <c r="AT87" s="1705" t="s">
        <v>109</v>
      </c>
      <c r="AU87" s="1705" t="s">
        <v>109</v>
      </c>
      <c r="AV87" s="1705" t="s">
        <v>109</v>
      </c>
      <c r="AW87" s="1703" t="s">
        <v>909</v>
      </c>
      <c r="AX87" s="1703" t="s">
        <v>909</v>
      </c>
      <c r="AY87" s="1703" t="s">
        <v>909</v>
      </c>
      <c r="AZ87" s="1703" t="s">
        <v>909</v>
      </c>
      <c r="BA87" s="1734" t="s">
        <v>909</v>
      </c>
      <c r="BB87" s="1702"/>
      <c r="BC87" s="1702"/>
    </row>
    <row r="88" spans="1:55" ht="28.5" x14ac:dyDescent="0.2">
      <c r="A88" s="1702"/>
      <c r="B88" s="17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51dF</v>
      </c>
      <c r="C88" s="1703" t="s">
        <v>1060</v>
      </c>
      <c r="D88" s="1703" t="s">
        <v>1061</v>
      </c>
      <c r="E88" s="1703" t="s">
        <v>1058</v>
      </c>
      <c r="F88" s="1703" t="str">
        <f>VLOOKUP(TBL4_OptApp[[#This Row],[Option type
Defined List]],'Option Typs_Grps'!B$2:C$47, 2, FALSE)</f>
        <v>Customer Options</v>
      </c>
      <c r="G88" s="1703" t="s">
        <v>861</v>
      </c>
      <c r="H88" s="1703" t="s">
        <v>862</v>
      </c>
      <c r="I88" s="1703" t="s">
        <v>863</v>
      </c>
      <c r="J88" s="1703" t="s">
        <v>109</v>
      </c>
      <c r="K88" s="1703" t="s">
        <v>109</v>
      </c>
      <c r="L88" s="1703" t="s">
        <v>863</v>
      </c>
      <c r="M88" s="1703" t="s">
        <v>863</v>
      </c>
      <c r="N88" s="1703" t="s">
        <v>863</v>
      </c>
      <c r="O88" s="1703" t="s">
        <v>863</v>
      </c>
      <c r="P88" s="1703" t="s">
        <v>863</v>
      </c>
      <c r="Q88" s="1703" t="s">
        <v>863</v>
      </c>
      <c r="R88" s="1703" t="s">
        <v>863</v>
      </c>
      <c r="S88" s="1703" t="s">
        <v>1059</v>
      </c>
      <c r="T88" s="1707" t="s">
        <v>109</v>
      </c>
      <c r="U88" s="1707" t="s">
        <v>109</v>
      </c>
      <c r="V88" s="1719">
        <v>35.045589308230703</v>
      </c>
      <c r="W88" s="1703">
        <v>1</v>
      </c>
      <c r="X88" s="1703">
        <v>2025</v>
      </c>
      <c r="Y88" s="1703">
        <v>0</v>
      </c>
      <c r="Z88" s="1703">
        <v>14.72</v>
      </c>
      <c r="AA88" s="1703">
        <v>14.72</v>
      </c>
      <c r="AB88" s="1713">
        <v>35.045589308230703</v>
      </c>
      <c r="AC88" s="1713">
        <v>35.045589308230703</v>
      </c>
      <c r="AD88" s="1713" t="s">
        <v>109</v>
      </c>
      <c r="AE88" s="1712" t="s">
        <v>109</v>
      </c>
      <c r="AF88" s="1712" t="s">
        <v>109</v>
      </c>
      <c r="AG88" s="1713">
        <v>0</v>
      </c>
      <c r="AH88" s="1713">
        <f>IFERROR(TBL4_OptApp[[#This Row],[Total NPC (£m)]]/TBL4_OptApp[[#This Row],[Maximum option utilisation across the planning period (Ml/d)]],"N/A")</f>
        <v>4.255599718649143</v>
      </c>
      <c r="AI88" s="1713">
        <v>149.13999999999999</v>
      </c>
      <c r="AJ88" s="1703" t="s">
        <v>109</v>
      </c>
      <c r="AK88" s="1705" t="s">
        <v>109</v>
      </c>
      <c r="AL88" s="1705" t="s">
        <v>109</v>
      </c>
      <c r="AM88" s="1705" t="s">
        <v>109</v>
      </c>
      <c r="AN88" s="1705" t="s">
        <v>109</v>
      </c>
      <c r="AO88" s="1705" t="s">
        <v>109</v>
      </c>
      <c r="AP88" s="1705" t="s">
        <v>109</v>
      </c>
      <c r="AQ88" s="1705" t="s">
        <v>109</v>
      </c>
      <c r="AR88" s="1705" t="s">
        <v>109</v>
      </c>
      <c r="AS88" s="1705" t="s">
        <v>109</v>
      </c>
      <c r="AT88" s="1705" t="s">
        <v>109</v>
      </c>
      <c r="AU88" s="1705" t="s">
        <v>109</v>
      </c>
      <c r="AV88" s="1705" t="s">
        <v>109</v>
      </c>
      <c r="AW88" s="1703" t="s">
        <v>909</v>
      </c>
      <c r="AX88" s="1703" t="s">
        <v>909</v>
      </c>
      <c r="AY88" s="1703" t="s">
        <v>909</v>
      </c>
      <c r="AZ88" s="1703" t="s">
        <v>909</v>
      </c>
      <c r="BA88" s="1703" t="s">
        <v>909</v>
      </c>
      <c r="BB88" s="1702"/>
      <c r="BC88" s="1702"/>
    </row>
    <row r="89" spans="1:55" ht="28.5" x14ac:dyDescent="0.2">
      <c r="A89" s="1702"/>
      <c r="B89" s="17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51dF</v>
      </c>
      <c r="C89" s="1703" t="s">
        <v>1062</v>
      </c>
      <c r="D89" s="1703" t="s">
        <v>1063</v>
      </c>
      <c r="E89" s="1703" t="s">
        <v>1058</v>
      </c>
      <c r="F89" s="1703" t="str">
        <f>VLOOKUP(TBL4_OptApp[[#This Row],[Option type
Defined List]],'Option Typs_Grps'!B$2:C$47, 2, FALSE)</f>
        <v>Customer Options</v>
      </c>
      <c r="G89" s="1703" t="s">
        <v>861</v>
      </c>
      <c r="H89" s="1703" t="s">
        <v>862</v>
      </c>
      <c r="I89" s="1703" t="s">
        <v>863</v>
      </c>
      <c r="J89" s="1703" t="s">
        <v>109</v>
      </c>
      <c r="K89" s="1703" t="s">
        <v>109</v>
      </c>
      <c r="L89" s="1703" t="s">
        <v>863</v>
      </c>
      <c r="M89" s="1703" t="s">
        <v>863</v>
      </c>
      <c r="N89" s="1703" t="s">
        <v>863</v>
      </c>
      <c r="O89" s="1703" t="s">
        <v>863</v>
      </c>
      <c r="P89" s="1703" t="s">
        <v>863</v>
      </c>
      <c r="Q89" s="1703" t="s">
        <v>863</v>
      </c>
      <c r="R89" s="1703" t="s">
        <v>863</v>
      </c>
      <c r="S89" s="1703" t="s">
        <v>1059</v>
      </c>
      <c r="T89" s="1707" t="s">
        <v>109</v>
      </c>
      <c r="U89" s="1707" t="s">
        <v>109</v>
      </c>
      <c r="V89" s="1719">
        <v>46.415756602238588</v>
      </c>
      <c r="W89" s="1703">
        <v>1</v>
      </c>
      <c r="X89" s="1703">
        <v>2025</v>
      </c>
      <c r="Y89" s="1703">
        <v>0</v>
      </c>
      <c r="Z89" s="1703">
        <v>25.05</v>
      </c>
      <c r="AA89" s="1703">
        <v>25.05</v>
      </c>
      <c r="AB89" s="1713">
        <v>46.415756602238588</v>
      </c>
      <c r="AC89" s="1713">
        <v>46.415756602238588</v>
      </c>
      <c r="AD89" s="1713" t="s">
        <v>109</v>
      </c>
      <c r="AE89" s="1712" t="s">
        <v>109</v>
      </c>
      <c r="AF89" s="1712" t="s">
        <v>109</v>
      </c>
      <c r="AG89" s="1713">
        <v>0</v>
      </c>
      <c r="AH89" s="1713">
        <f>IFERROR(TBL4_OptApp[[#This Row],[Total NPC (£m)]]/TBL4_OptApp[[#This Row],[Maximum option utilisation across the planning period (Ml/d)]],"N/A")</f>
        <v>3.2792743486736371</v>
      </c>
      <c r="AI89" s="1713">
        <v>152.21</v>
      </c>
      <c r="AJ89" s="1703" t="s">
        <v>109</v>
      </c>
      <c r="AK89" s="1705" t="s">
        <v>109</v>
      </c>
      <c r="AL89" s="1705" t="s">
        <v>109</v>
      </c>
      <c r="AM89" s="1705" t="s">
        <v>109</v>
      </c>
      <c r="AN89" s="1705" t="s">
        <v>109</v>
      </c>
      <c r="AO89" s="1705" t="s">
        <v>109</v>
      </c>
      <c r="AP89" s="1705" t="s">
        <v>109</v>
      </c>
      <c r="AQ89" s="1705" t="s">
        <v>109</v>
      </c>
      <c r="AR89" s="1705" t="s">
        <v>109</v>
      </c>
      <c r="AS89" s="1705" t="s">
        <v>109</v>
      </c>
      <c r="AT89" s="1705" t="s">
        <v>109</v>
      </c>
      <c r="AU89" s="1705" t="s">
        <v>109</v>
      </c>
      <c r="AV89" s="1705" t="s">
        <v>109</v>
      </c>
      <c r="AW89" s="1703" t="s">
        <v>909</v>
      </c>
      <c r="AX89" s="1703" t="s">
        <v>909</v>
      </c>
      <c r="AY89" s="1703" t="s">
        <v>909</v>
      </c>
      <c r="AZ89" s="1703" t="s">
        <v>909</v>
      </c>
      <c r="BA89" s="1703" t="s">
        <v>909</v>
      </c>
      <c r="BB89" s="1702"/>
      <c r="BC89" s="1702"/>
    </row>
    <row r="90" spans="1:55" ht="28.5" x14ac:dyDescent="0.2">
      <c r="A90" s="1702"/>
      <c r="B90" s="17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51dF</v>
      </c>
      <c r="C90" s="1703" t="s">
        <v>1064</v>
      </c>
      <c r="D90" s="1703" t="s">
        <v>1065</v>
      </c>
      <c r="E90" s="1703" t="s">
        <v>1058</v>
      </c>
      <c r="F90" s="1703" t="str">
        <f>VLOOKUP(TBL4_OptApp[[#This Row],[Option type
Defined List]],'Option Typs_Grps'!B$2:C$47, 2, FALSE)</f>
        <v>Customer Options</v>
      </c>
      <c r="G90" s="1703" t="s">
        <v>861</v>
      </c>
      <c r="H90" s="1703" t="s">
        <v>862</v>
      </c>
      <c r="I90" s="1703" t="s">
        <v>863</v>
      </c>
      <c r="J90" s="1703" t="s">
        <v>109</v>
      </c>
      <c r="K90" s="1703" t="s">
        <v>109</v>
      </c>
      <c r="L90" s="1703" t="s">
        <v>863</v>
      </c>
      <c r="M90" s="1703" t="s">
        <v>863</v>
      </c>
      <c r="N90" s="1703" t="s">
        <v>863</v>
      </c>
      <c r="O90" s="1703" t="s">
        <v>863</v>
      </c>
      <c r="P90" s="1703" t="s">
        <v>863</v>
      </c>
      <c r="Q90" s="1703" t="s">
        <v>863</v>
      </c>
      <c r="R90" s="1703" t="s">
        <v>863</v>
      </c>
      <c r="S90" s="1703" t="s">
        <v>1059</v>
      </c>
      <c r="T90" s="1707" t="s">
        <v>109</v>
      </c>
      <c r="U90" s="1707" t="s">
        <v>109</v>
      </c>
      <c r="V90" s="1719">
        <v>46.415756602238588</v>
      </c>
      <c r="W90" s="1703">
        <v>1</v>
      </c>
      <c r="X90" s="1703">
        <v>2025</v>
      </c>
      <c r="Y90" s="1703">
        <v>0</v>
      </c>
      <c r="Z90" s="1703">
        <v>25.16</v>
      </c>
      <c r="AA90" s="1703">
        <v>25.16</v>
      </c>
      <c r="AB90" s="1713">
        <v>46.415756602238588</v>
      </c>
      <c r="AC90" s="1713">
        <v>46.415756602238588</v>
      </c>
      <c r="AD90" s="1713" t="s">
        <v>109</v>
      </c>
      <c r="AE90" s="1712" t="s">
        <v>109</v>
      </c>
      <c r="AF90" s="1712" t="s">
        <v>109</v>
      </c>
      <c r="AG90" s="1713">
        <v>0</v>
      </c>
      <c r="AH90" s="1713">
        <f>IFERROR(TBL4_OptApp[[#This Row],[Total NPC (£m)]]/TBL4_OptApp[[#This Row],[Maximum option utilisation across the planning period (Ml/d)]],"N/A")</f>
        <v>3.2803515690759339</v>
      </c>
      <c r="AI90" s="1713">
        <v>152.26</v>
      </c>
      <c r="AJ90" s="1703" t="s">
        <v>109</v>
      </c>
      <c r="AK90" s="1705" t="s">
        <v>109</v>
      </c>
      <c r="AL90" s="1705" t="s">
        <v>109</v>
      </c>
      <c r="AM90" s="1705" t="s">
        <v>109</v>
      </c>
      <c r="AN90" s="1705" t="s">
        <v>109</v>
      </c>
      <c r="AO90" s="1705" t="s">
        <v>109</v>
      </c>
      <c r="AP90" s="1705" t="s">
        <v>109</v>
      </c>
      <c r="AQ90" s="1705" t="s">
        <v>109</v>
      </c>
      <c r="AR90" s="1705" t="s">
        <v>109</v>
      </c>
      <c r="AS90" s="1705" t="s">
        <v>109</v>
      </c>
      <c r="AT90" s="1705" t="s">
        <v>109</v>
      </c>
      <c r="AU90" s="1705" t="s">
        <v>109</v>
      </c>
      <c r="AV90" s="1705" t="s">
        <v>109</v>
      </c>
      <c r="AW90" s="1703" t="s">
        <v>909</v>
      </c>
      <c r="AX90" s="1703" t="s">
        <v>909</v>
      </c>
      <c r="AY90" s="1703" t="s">
        <v>909</v>
      </c>
      <c r="AZ90" s="1703" t="s">
        <v>909</v>
      </c>
      <c r="BA90" s="1703" t="s">
        <v>909</v>
      </c>
      <c r="BB90" s="1702"/>
      <c r="BC90" s="1702"/>
    </row>
    <row r="91" spans="1:55" ht="15" x14ac:dyDescent="0.25">
      <c r="A91" s="1702"/>
      <c r="B91" s="17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91" s="1703" t="s">
        <v>1066</v>
      </c>
      <c r="D91" s="1703" t="s">
        <v>1067</v>
      </c>
      <c r="E91" s="1723" t="s">
        <v>1068</v>
      </c>
      <c r="F91" s="1703" t="str">
        <f>VLOOKUP(TBL4_OptApp[[#This Row],[Option type
Defined List]],'Option Typs_Grps'!B$2:C$47, 2, FALSE)</f>
        <v>Customer Options</v>
      </c>
      <c r="G91" s="1703" t="s">
        <v>861</v>
      </c>
      <c r="H91" s="1703" t="s">
        <v>876</v>
      </c>
      <c r="I91" s="1703" t="s">
        <v>863</v>
      </c>
      <c r="J91" s="1703" t="s">
        <v>109</v>
      </c>
      <c r="K91" s="1703" t="s">
        <v>109</v>
      </c>
      <c r="L91" s="1703" t="s">
        <v>877</v>
      </c>
      <c r="M91" s="1703" t="s">
        <v>877</v>
      </c>
      <c r="N91" s="1703" t="s">
        <v>877</v>
      </c>
      <c r="O91" s="1703" t="s">
        <v>877</v>
      </c>
      <c r="P91" s="1703" t="s">
        <v>877</v>
      </c>
      <c r="Q91" s="1703" t="s">
        <v>877</v>
      </c>
      <c r="R91" s="1703" t="s">
        <v>877</v>
      </c>
      <c r="S91" s="1703" t="s">
        <v>109</v>
      </c>
      <c r="T91" s="1707" t="s">
        <v>109</v>
      </c>
      <c r="U91" s="1707" t="s">
        <v>109</v>
      </c>
      <c r="V91" s="1719">
        <v>55.609746543120792</v>
      </c>
      <c r="W91" s="1703">
        <v>0</v>
      </c>
      <c r="X91" s="1703">
        <v>2025</v>
      </c>
      <c r="Y91" s="1703">
        <v>0</v>
      </c>
      <c r="Z91" s="1703">
        <v>26.72</v>
      </c>
      <c r="AA91" s="1703">
        <v>26.72</v>
      </c>
      <c r="AB91" s="1713">
        <v>55.609746543120792</v>
      </c>
      <c r="AC91" s="1713">
        <v>55.609746543120792</v>
      </c>
      <c r="AD91" s="1736">
        <v>42467.91551512749</v>
      </c>
      <c r="AE91" s="1737">
        <v>4246.7915515127488</v>
      </c>
      <c r="AF91" s="1737">
        <v>4246.7915515127488</v>
      </c>
      <c r="AG91" s="1713">
        <v>0</v>
      </c>
      <c r="AH91" s="1713">
        <f>IFERROR(TBL4_OptApp[[#This Row],[Total NPC (£m)]]/TBL4_OptApp[[#This Row],[Maximum option utilisation across the planning period (Ml/d)]],"N/A")</f>
        <v>3.1828952837026696</v>
      </c>
      <c r="AI91" s="1713">
        <v>177</v>
      </c>
      <c r="AJ91" s="1703" t="s">
        <v>109</v>
      </c>
      <c r="AK91" s="1705" t="s">
        <v>109</v>
      </c>
      <c r="AL91" s="1705" t="s">
        <v>109</v>
      </c>
      <c r="AM91" s="1705" t="s">
        <v>109</v>
      </c>
      <c r="AN91" s="1705" t="s">
        <v>109</v>
      </c>
      <c r="AO91" s="1705" t="s">
        <v>109</v>
      </c>
      <c r="AP91" s="1705" t="s">
        <v>109</v>
      </c>
      <c r="AQ91" s="1705" t="s">
        <v>109</v>
      </c>
      <c r="AR91" s="1705" t="s">
        <v>109</v>
      </c>
      <c r="AS91" s="1705" t="s">
        <v>109</v>
      </c>
      <c r="AT91" s="1705" t="s">
        <v>109</v>
      </c>
      <c r="AU91" s="1705" t="s">
        <v>109</v>
      </c>
      <c r="AV91" s="1705" t="s">
        <v>109</v>
      </c>
      <c r="AW91" s="1703"/>
      <c r="AX91" s="1703"/>
      <c r="AY91" s="1703"/>
      <c r="AZ91" s="1703"/>
      <c r="BA91" s="1703"/>
      <c r="BB91" s="1702"/>
      <c r="BC91" s="1702"/>
    </row>
    <row r="92" spans="1:55" ht="57" x14ac:dyDescent="0.25">
      <c r="A92" s="1702"/>
      <c r="B92" s="17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51dF</v>
      </c>
      <c r="C92" s="1703" t="s">
        <v>1069</v>
      </c>
      <c r="D92" s="1703" t="s">
        <v>1070</v>
      </c>
      <c r="E92" s="1723" t="s">
        <v>1068</v>
      </c>
      <c r="F92" s="1703" t="str">
        <f>VLOOKUP(TBL4_OptApp[[#This Row],[Option type
Defined List]],'Option Typs_Grps'!B$2:C$47, 2, FALSE)</f>
        <v>Customer Options</v>
      </c>
      <c r="G92" s="1703" t="s">
        <v>861</v>
      </c>
      <c r="H92" s="1703" t="s">
        <v>862</v>
      </c>
      <c r="I92" s="1703" t="s">
        <v>863</v>
      </c>
      <c r="J92" s="1703" t="s">
        <v>109</v>
      </c>
      <c r="K92" s="1703" t="s">
        <v>109</v>
      </c>
      <c r="L92" s="1703" t="s">
        <v>863</v>
      </c>
      <c r="M92" s="1703" t="s">
        <v>863</v>
      </c>
      <c r="N92" s="1703" t="s">
        <v>863</v>
      </c>
      <c r="O92" s="1703" t="s">
        <v>863</v>
      </c>
      <c r="P92" s="1703" t="s">
        <v>863</v>
      </c>
      <c r="Q92" s="1703" t="s">
        <v>863</v>
      </c>
      <c r="R92" s="1703" t="s">
        <v>863</v>
      </c>
      <c r="S92" s="1703" t="s">
        <v>1071</v>
      </c>
      <c r="T92" s="1707" t="s">
        <v>109</v>
      </c>
      <c r="U92" s="1707" t="s">
        <v>109</v>
      </c>
      <c r="V92" s="1719">
        <v>62.047758150752415</v>
      </c>
      <c r="W92" s="1703">
        <v>0</v>
      </c>
      <c r="X92" s="1703">
        <v>2025</v>
      </c>
      <c r="Y92" s="1703">
        <v>0</v>
      </c>
      <c r="Z92" s="1703">
        <v>52.21</v>
      </c>
      <c r="AA92" s="1703">
        <v>52.21</v>
      </c>
      <c r="AB92" s="1713">
        <v>62.047758150752415</v>
      </c>
      <c r="AC92" s="1713">
        <v>62.047758150752415</v>
      </c>
      <c r="AD92" s="1713" t="s">
        <v>109</v>
      </c>
      <c r="AE92" s="1712" t="s">
        <v>109</v>
      </c>
      <c r="AF92" s="1712" t="s">
        <v>109</v>
      </c>
      <c r="AG92" s="1713">
        <v>0</v>
      </c>
      <c r="AH92" s="1713">
        <f>IFERROR(TBL4_OptApp[[#This Row],[Total NPC (£m)]]/TBL4_OptApp[[#This Row],[Maximum option utilisation across the planning period (Ml/d)]],"N/A")</f>
        <v>5.7184983079956337</v>
      </c>
      <c r="AI92" s="1713">
        <v>354.82</v>
      </c>
      <c r="AJ92" s="1703" t="s">
        <v>109</v>
      </c>
      <c r="AK92" s="1705" t="s">
        <v>109</v>
      </c>
      <c r="AL92" s="1705" t="s">
        <v>109</v>
      </c>
      <c r="AM92" s="1705" t="s">
        <v>109</v>
      </c>
      <c r="AN92" s="1705" t="s">
        <v>109</v>
      </c>
      <c r="AO92" s="1705" t="s">
        <v>109</v>
      </c>
      <c r="AP92" s="1705" t="s">
        <v>109</v>
      </c>
      <c r="AQ92" s="1705" t="s">
        <v>109</v>
      </c>
      <c r="AR92" s="1705" t="s">
        <v>109</v>
      </c>
      <c r="AS92" s="1705" t="s">
        <v>109</v>
      </c>
      <c r="AT92" s="1705" t="s">
        <v>109</v>
      </c>
      <c r="AU92" s="1705" t="s">
        <v>109</v>
      </c>
      <c r="AV92" s="1705" t="s">
        <v>109</v>
      </c>
      <c r="AW92" s="1703"/>
      <c r="AX92" s="1703"/>
      <c r="AY92" s="1703"/>
      <c r="AZ92" s="1703"/>
      <c r="BA92" s="1703"/>
      <c r="BB92" s="1702"/>
      <c r="BC92" s="1702"/>
    </row>
    <row r="93" spans="1:55" ht="30" x14ac:dyDescent="0.25">
      <c r="B93" s="17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51dF</v>
      </c>
      <c r="C93" s="1703" t="s">
        <v>1072</v>
      </c>
      <c r="D93" s="1707" t="s">
        <v>1073</v>
      </c>
      <c r="E93" s="1714" t="s">
        <v>1006</v>
      </c>
      <c r="F93" s="1703" t="str">
        <f>VLOOKUP(TBL4_OptApp[[#This Row],[Option type
Defined List]],'Option Typs_Grps'!B$2:C$47, 2, FALSE)</f>
        <v>Customer Options</v>
      </c>
      <c r="G93" s="1703" t="s">
        <v>861</v>
      </c>
      <c r="H93" s="1703" t="s">
        <v>862</v>
      </c>
      <c r="I93" s="1703" t="s">
        <v>863</v>
      </c>
      <c r="J93" s="1703" t="s">
        <v>109</v>
      </c>
      <c r="K93" s="1703" t="s">
        <v>109</v>
      </c>
      <c r="L93" s="1703" t="s">
        <v>863</v>
      </c>
      <c r="M93" s="1703" t="s">
        <v>863</v>
      </c>
      <c r="N93" s="1703" t="s">
        <v>863</v>
      </c>
      <c r="O93" s="1703" t="s">
        <v>863</v>
      </c>
      <c r="P93" s="1703" t="s">
        <v>863</v>
      </c>
      <c r="Q93" s="1703" t="s">
        <v>863</v>
      </c>
      <c r="R93" s="1703" t="s">
        <v>863</v>
      </c>
      <c r="S93" s="1705" t="s">
        <v>988</v>
      </c>
      <c r="T93" s="1705" t="s">
        <v>109</v>
      </c>
      <c r="U93" s="1705" t="s">
        <v>109</v>
      </c>
      <c r="V93" s="1719">
        <v>2.5850584799827399</v>
      </c>
      <c r="W93" s="1705">
        <v>0</v>
      </c>
      <c r="X93" s="1705" t="s">
        <v>109</v>
      </c>
      <c r="Y93" s="1705">
        <v>0</v>
      </c>
      <c r="Z93" s="1705">
        <v>9.0089092786960999E-3</v>
      </c>
      <c r="AA93" s="1705">
        <v>9.0089092786960999E-3</v>
      </c>
      <c r="AB93" s="1712">
        <v>2.5850584799827399</v>
      </c>
      <c r="AC93" s="1712">
        <v>2.5850584799827399</v>
      </c>
      <c r="AD93" s="1713" t="s">
        <v>109</v>
      </c>
      <c r="AE93" s="1712" t="s">
        <v>109</v>
      </c>
      <c r="AF93" s="1712" t="s">
        <v>109</v>
      </c>
      <c r="AG93" s="1713">
        <v>0</v>
      </c>
      <c r="AH93" s="1713">
        <f>IFERROR(TBL4_OptApp[[#This Row],[Total NPC (£m)]]/TBL4_OptApp[[#This Row],[Maximum option utilisation across the planning period (Ml/d)]],"N/A")</f>
        <v>7.4167100825976093E-2</v>
      </c>
      <c r="AI93" s="1713">
        <v>0.19172629292592436</v>
      </c>
      <c r="AJ93" s="1703" t="s">
        <v>109</v>
      </c>
      <c r="AK93" s="1705" t="s">
        <v>109</v>
      </c>
      <c r="AL93" s="1705" t="s">
        <v>109</v>
      </c>
      <c r="AM93" s="1705" t="s">
        <v>109</v>
      </c>
      <c r="AN93" s="1705" t="s">
        <v>109</v>
      </c>
      <c r="AO93" s="1705" t="s">
        <v>109</v>
      </c>
      <c r="AP93" s="1705" t="s">
        <v>109</v>
      </c>
      <c r="AQ93" s="1705" t="s">
        <v>109</v>
      </c>
      <c r="AR93" s="1705" t="s">
        <v>109</v>
      </c>
      <c r="AS93" s="1705" t="s">
        <v>109</v>
      </c>
      <c r="AT93" s="1705" t="s">
        <v>109</v>
      </c>
      <c r="AU93" s="1705" t="s">
        <v>109</v>
      </c>
      <c r="AV93" s="1705" t="s">
        <v>109</v>
      </c>
      <c r="AW93" s="1705"/>
      <c r="AX93" s="1705"/>
      <c r="AY93" s="1705"/>
      <c r="AZ93" s="1705"/>
      <c r="BA93" s="1705"/>
    </row>
    <row r="94" spans="1:55" ht="15" x14ac:dyDescent="0.25">
      <c r="B94" s="17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94" s="1703" t="s">
        <v>1074</v>
      </c>
      <c r="D94" s="1703" t="s">
        <v>1075</v>
      </c>
      <c r="E94" s="1723" t="s">
        <v>987</v>
      </c>
      <c r="F94" s="1703" t="str">
        <f>VLOOKUP(TBL4_OptApp[[#This Row],[Option type
Defined List]],'Option Typs_Grps'!B$2:C$47, 2, FALSE)</f>
        <v>Customer Options</v>
      </c>
      <c r="G94" s="1703" t="s">
        <v>861</v>
      </c>
      <c r="H94" s="1703" t="s">
        <v>876</v>
      </c>
      <c r="I94" s="1703" t="s">
        <v>863</v>
      </c>
      <c r="J94" s="1703" t="s">
        <v>109</v>
      </c>
      <c r="K94" s="1703" t="s">
        <v>109</v>
      </c>
      <c r="L94" s="1703" t="s">
        <v>877</v>
      </c>
      <c r="M94" s="1703" t="s">
        <v>877</v>
      </c>
      <c r="N94" s="1703" t="s">
        <v>877</v>
      </c>
      <c r="O94" s="1703" t="s">
        <v>877</v>
      </c>
      <c r="P94" s="1703" t="s">
        <v>863</v>
      </c>
      <c r="Q94" s="1703" t="s">
        <v>877</v>
      </c>
      <c r="R94" s="1703" t="s">
        <v>877</v>
      </c>
      <c r="S94" s="1705" t="s">
        <v>109</v>
      </c>
      <c r="T94" s="1705" t="s">
        <v>109</v>
      </c>
      <c r="U94" s="1705" t="s">
        <v>109</v>
      </c>
      <c r="V94" s="1719">
        <v>34.920050167913097</v>
      </c>
      <c r="W94" s="1705">
        <v>0</v>
      </c>
      <c r="X94" s="1705">
        <v>2025</v>
      </c>
      <c r="Y94" s="1705">
        <v>0</v>
      </c>
      <c r="Z94" s="1712">
        <v>0.912901289054597</v>
      </c>
      <c r="AA94" s="1712">
        <v>0.912901289054597</v>
      </c>
      <c r="AB94" s="1712">
        <v>34.920050167913097</v>
      </c>
      <c r="AC94" s="1712">
        <v>34.920050167913097</v>
      </c>
      <c r="AD94" s="1736">
        <v>928.37060099738517</v>
      </c>
      <c r="AE94" s="1712">
        <v>37.134824039895406</v>
      </c>
      <c r="AF94" s="1712">
        <v>37.134824039895406</v>
      </c>
      <c r="AG94" s="1713">
        <v>0</v>
      </c>
      <c r="AH94" s="1713">
        <f>IFERROR(TBL4_OptApp[[#This Row],[Total NPC (£m)]]/TBL4_OptApp[[#This Row],[Maximum option utilisation across the planning period (Ml/d)]],"N/A")</f>
        <v>0.55636311877855316</v>
      </c>
      <c r="AI94" s="1713">
        <v>19.428228019323669</v>
      </c>
      <c r="AJ94" s="1703" t="s">
        <v>109</v>
      </c>
      <c r="AK94" s="1705" t="s">
        <v>109</v>
      </c>
      <c r="AL94" s="1705" t="s">
        <v>109</v>
      </c>
      <c r="AM94" s="1705" t="s">
        <v>109</v>
      </c>
      <c r="AN94" s="1705" t="s">
        <v>109</v>
      </c>
      <c r="AO94" s="1705" t="s">
        <v>109</v>
      </c>
      <c r="AP94" s="1705" t="s">
        <v>109</v>
      </c>
      <c r="AQ94" s="1705" t="s">
        <v>109</v>
      </c>
      <c r="AR94" s="1705" t="s">
        <v>109</v>
      </c>
      <c r="AS94" s="1705" t="s">
        <v>109</v>
      </c>
      <c r="AT94" s="1705" t="s">
        <v>109</v>
      </c>
      <c r="AU94" s="1705" t="s">
        <v>109</v>
      </c>
      <c r="AV94" s="1705" t="s">
        <v>109</v>
      </c>
      <c r="AW94" s="1705"/>
      <c r="AX94" s="1705"/>
      <c r="AY94" s="1705"/>
      <c r="AZ94" s="1705"/>
      <c r="BA94" s="1705"/>
    </row>
    <row r="95" spans="1:55" ht="15" x14ac:dyDescent="0.25">
      <c r="B95" s="17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51dF</v>
      </c>
      <c r="C95" s="1703" t="s">
        <v>1076</v>
      </c>
      <c r="D95" s="1707" t="s">
        <v>1077</v>
      </c>
      <c r="E95" s="1714" t="s">
        <v>987</v>
      </c>
      <c r="F95" s="1703" t="str">
        <f>VLOOKUP(TBL4_OptApp[[#This Row],[Option type
Defined List]],'Option Typs_Grps'!B$2:C$47, 2, FALSE)</f>
        <v>Customer Options</v>
      </c>
      <c r="G95" s="1703" t="s">
        <v>861</v>
      </c>
      <c r="H95" s="1703" t="s">
        <v>862</v>
      </c>
      <c r="I95" s="1703" t="s">
        <v>863</v>
      </c>
      <c r="J95" s="1703" t="s">
        <v>109</v>
      </c>
      <c r="K95" s="1703" t="s">
        <v>109</v>
      </c>
      <c r="L95" s="1703" t="s">
        <v>863</v>
      </c>
      <c r="M95" s="1703" t="s">
        <v>863</v>
      </c>
      <c r="N95" s="1703" t="s">
        <v>863</v>
      </c>
      <c r="O95" s="1703" t="s">
        <v>863</v>
      </c>
      <c r="P95" s="1703" t="s">
        <v>877</v>
      </c>
      <c r="Q95" s="1703" t="s">
        <v>863</v>
      </c>
      <c r="R95" s="1703" t="s">
        <v>863</v>
      </c>
      <c r="S95" s="1705" t="s">
        <v>1018</v>
      </c>
      <c r="T95" s="1705" t="s">
        <v>109</v>
      </c>
      <c r="U95" s="1705" t="s">
        <v>109</v>
      </c>
      <c r="V95" s="1719">
        <v>0.30993996652132544</v>
      </c>
      <c r="W95" s="1705">
        <v>0</v>
      </c>
      <c r="X95" s="1705" t="s">
        <v>109</v>
      </c>
      <c r="Y95" s="1705">
        <v>0</v>
      </c>
      <c r="Z95" s="1705">
        <v>9.189087464270022E-3</v>
      </c>
      <c r="AA95" s="1705">
        <v>9.189087464270022E-3</v>
      </c>
      <c r="AB95" s="1712">
        <v>0.30993996652132544</v>
      </c>
      <c r="AC95" s="1712">
        <v>0.30993996652132544</v>
      </c>
      <c r="AD95" s="1713" t="s">
        <v>109</v>
      </c>
      <c r="AE95" s="1712" t="s">
        <v>109</v>
      </c>
      <c r="AF95" s="1712" t="s">
        <v>109</v>
      </c>
      <c r="AG95" s="1713">
        <v>0</v>
      </c>
      <c r="AH95" s="1713">
        <f>IFERROR(TBL4_OptApp[[#This Row],[Total NPC (£m)]]/TBL4_OptApp[[#This Row],[Maximum option utilisation across the planning period (Ml/d)]],"N/A")</f>
        <v>0.61695448576538625</v>
      </c>
      <c r="AI95" s="1713">
        <v>0.19121885266330535</v>
      </c>
      <c r="AJ95" s="1703" t="s">
        <v>109</v>
      </c>
      <c r="AK95" s="1705" t="s">
        <v>109</v>
      </c>
      <c r="AL95" s="1705" t="s">
        <v>109</v>
      </c>
      <c r="AM95" s="1705" t="s">
        <v>109</v>
      </c>
      <c r="AN95" s="1705" t="s">
        <v>109</v>
      </c>
      <c r="AO95" s="1705" t="s">
        <v>109</v>
      </c>
      <c r="AP95" s="1705" t="s">
        <v>109</v>
      </c>
      <c r="AQ95" s="1705" t="s">
        <v>109</v>
      </c>
      <c r="AR95" s="1705" t="s">
        <v>109</v>
      </c>
      <c r="AS95" s="1705" t="s">
        <v>109</v>
      </c>
      <c r="AT95" s="1705" t="s">
        <v>109</v>
      </c>
      <c r="AU95" s="1705" t="s">
        <v>109</v>
      </c>
      <c r="AV95" s="1705" t="s">
        <v>109</v>
      </c>
      <c r="AW95" s="1705"/>
      <c r="AX95" s="1705"/>
      <c r="AY95" s="1705"/>
      <c r="AZ95" s="1705"/>
      <c r="BA95" s="1705"/>
    </row>
    <row r="96" spans="1:55" ht="15" x14ac:dyDescent="0.25">
      <c r="B96" s="17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96" s="1703" t="s">
        <v>1078</v>
      </c>
      <c r="D96" s="1703" t="s">
        <v>1079</v>
      </c>
      <c r="E96" s="1723" t="s">
        <v>987</v>
      </c>
      <c r="F96" s="1703" t="str">
        <f>VLOOKUP(TBL4_OptApp[[#This Row],[Option type
Defined List]],'Option Typs_Grps'!B$2:C$47, 2, FALSE)</f>
        <v>Customer Options</v>
      </c>
      <c r="G96" s="1703" t="s">
        <v>861</v>
      </c>
      <c r="H96" s="1703" t="s">
        <v>876</v>
      </c>
      <c r="I96" s="1703" t="s">
        <v>863</v>
      </c>
      <c r="J96" s="1703" t="s">
        <v>109</v>
      </c>
      <c r="K96" s="1703" t="s">
        <v>109</v>
      </c>
      <c r="L96" s="1703" t="s">
        <v>877</v>
      </c>
      <c r="M96" s="1703" t="s">
        <v>877</v>
      </c>
      <c r="N96" s="1703" t="s">
        <v>877</v>
      </c>
      <c r="O96" s="1703" t="s">
        <v>877</v>
      </c>
      <c r="P96" s="1703" t="s">
        <v>877</v>
      </c>
      <c r="Q96" s="1703" t="s">
        <v>877</v>
      </c>
      <c r="R96" s="1703" t="s">
        <v>877</v>
      </c>
      <c r="S96" s="1705" t="s">
        <v>109</v>
      </c>
      <c r="T96" s="1705" t="s">
        <v>109</v>
      </c>
      <c r="U96" s="1705" t="s">
        <v>109</v>
      </c>
      <c r="V96" s="1719">
        <v>20.728894937013798</v>
      </c>
      <c r="W96" s="1705">
        <v>6</v>
      </c>
      <c r="X96" s="1705">
        <v>2026</v>
      </c>
      <c r="Y96" s="1705">
        <v>0</v>
      </c>
      <c r="Z96" s="1712">
        <v>0</v>
      </c>
      <c r="AA96" s="1712">
        <v>0</v>
      </c>
      <c r="AB96" s="1712">
        <v>20.728894937013798</v>
      </c>
      <c r="AC96" s="1712">
        <v>20.728894937013798</v>
      </c>
      <c r="AD96" s="1713" t="s">
        <v>109</v>
      </c>
      <c r="AE96" s="1712" t="s">
        <v>109</v>
      </c>
      <c r="AF96" s="1712" t="s">
        <v>109</v>
      </c>
      <c r="AG96" s="1713">
        <v>0</v>
      </c>
      <c r="AH96" s="1713">
        <f>IFERROR(TBL4_OptApp[[#This Row],[Total NPC (£m)]]/TBL4_OptApp[[#This Row],[Maximum option utilisation across the planning period (Ml/d)]],"N/A")</f>
        <v>0</v>
      </c>
      <c r="AI96" s="1713">
        <v>0</v>
      </c>
      <c r="AJ96" s="1703" t="s">
        <v>109</v>
      </c>
      <c r="AK96" s="1705" t="s">
        <v>109</v>
      </c>
      <c r="AL96" s="1705" t="s">
        <v>109</v>
      </c>
      <c r="AM96" s="1705" t="s">
        <v>109</v>
      </c>
      <c r="AN96" s="1705" t="s">
        <v>109</v>
      </c>
      <c r="AO96" s="1705" t="s">
        <v>109</v>
      </c>
      <c r="AP96" s="1705" t="s">
        <v>109</v>
      </c>
      <c r="AQ96" s="1705" t="s">
        <v>109</v>
      </c>
      <c r="AR96" s="1705" t="s">
        <v>109</v>
      </c>
      <c r="AS96" s="1705" t="s">
        <v>109</v>
      </c>
      <c r="AT96" s="1705" t="s">
        <v>109</v>
      </c>
      <c r="AU96" s="1705" t="s">
        <v>109</v>
      </c>
      <c r="AV96" s="1705" t="s">
        <v>109</v>
      </c>
      <c r="AW96" s="1705"/>
      <c r="AX96" s="1705"/>
      <c r="AY96" s="1705"/>
      <c r="AZ96" s="1705"/>
      <c r="BA96" s="1705"/>
    </row>
    <row r="97" spans="2:53" x14ac:dyDescent="0.2">
      <c r="B97" s="17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51dF</v>
      </c>
      <c r="C97" s="1703" t="s">
        <v>1080</v>
      </c>
      <c r="D97" s="1707" t="s">
        <v>1077</v>
      </c>
      <c r="E97" s="1714" t="s">
        <v>987</v>
      </c>
      <c r="F97" s="1703" t="str">
        <f>VLOOKUP(TBL4_OptApp[[#This Row],[Option type
Defined List]],'Option Typs_Grps'!B$2:C$47, 2, FALSE)</f>
        <v>Customer Options</v>
      </c>
      <c r="G97" s="1703" t="s">
        <v>861</v>
      </c>
      <c r="H97" s="1703" t="s">
        <v>862</v>
      </c>
      <c r="I97" s="1703" t="s">
        <v>863</v>
      </c>
      <c r="J97" s="1703" t="s">
        <v>109</v>
      </c>
      <c r="K97" s="1703" t="s">
        <v>109</v>
      </c>
      <c r="L97" s="1703" t="s">
        <v>863</v>
      </c>
      <c r="M97" s="1703" t="s">
        <v>863</v>
      </c>
      <c r="N97" s="1703" t="s">
        <v>863</v>
      </c>
      <c r="O97" s="1703" t="s">
        <v>863</v>
      </c>
      <c r="P97" s="1703" t="s">
        <v>863</v>
      </c>
      <c r="Q97" s="1703" t="s">
        <v>863</v>
      </c>
      <c r="R97" s="1703" t="s">
        <v>863</v>
      </c>
      <c r="S97" s="1705" t="s">
        <v>988</v>
      </c>
      <c r="T97" s="1705" t="s">
        <v>109</v>
      </c>
      <c r="U97" s="1705" t="s">
        <v>109</v>
      </c>
      <c r="V97" s="1719">
        <v>0.62918051839044797</v>
      </c>
      <c r="W97" s="1705">
        <v>0</v>
      </c>
      <c r="X97" s="1705" t="s">
        <v>109</v>
      </c>
      <c r="Y97" s="1705">
        <v>0</v>
      </c>
      <c r="Z97" s="1705">
        <v>2.2972718660675056E-2</v>
      </c>
      <c r="AA97" s="1705">
        <v>2.2972718660675056E-2</v>
      </c>
      <c r="AB97" s="1712">
        <v>0.62918051839044797</v>
      </c>
      <c r="AC97" s="1712">
        <v>0.62918051839044797</v>
      </c>
      <c r="AD97" s="1713" t="s">
        <v>109</v>
      </c>
      <c r="AE97" s="1712" t="s">
        <v>109</v>
      </c>
      <c r="AF97" s="1712" t="s">
        <v>109</v>
      </c>
      <c r="AG97" s="1713">
        <v>0</v>
      </c>
      <c r="AH97" s="1713">
        <f>IFERROR(TBL4_OptApp[[#This Row],[Total NPC (£m)]]/TBL4_OptApp[[#This Row],[Maximum option utilisation across the planning period (Ml/d)]],"N/A")</f>
        <v>0.77704574866971843</v>
      </c>
      <c r="AI97" s="1713">
        <v>0.48890204696110717</v>
      </c>
      <c r="AJ97" s="1703" t="s">
        <v>109</v>
      </c>
      <c r="AK97" s="1705" t="s">
        <v>109</v>
      </c>
      <c r="AL97" s="1705" t="s">
        <v>109</v>
      </c>
      <c r="AM97" s="1705" t="s">
        <v>109</v>
      </c>
      <c r="AN97" s="1705" t="s">
        <v>109</v>
      </c>
      <c r="AO97" s="1705" t="s">
        <v>109</v>
      </c>
      <c r="AP97" s="1705" t="s">
        <v>109</v>
      </c>
      <c r="AQ97" s="1705" t="s">
        <v>109</v>
      </c>
      <c r="AR97" s="1705" t="s">
        <v>109</v>
      </c>
      <c r="AS97" s="1705" t="s">
        <v>109</v>
      </c>
      <c r="AT97" s="1705" t="s">
        <v>109</v>
      </c>
      <c r="AU97" s="1705" t="s">
        <v>109</v>
      </c>
      <c r="AV97" s="1705" t="s">
        <v>109</v>
      </c>
      <c r="AW97" s="1705"/>
      <c r="AX97" s="1705"/>
      <c r="AY97" s="1705"/>
      <c r="AZ97" s="1705"/>
      <c r="BA97" s="1705"/>
    </row>
    <row r="98" spans="2:53" x14ac:dyDescent="0.2">
      <c r="B98" s="17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51cP</v>
      </c>
      <c r="C98" s="1703" t="s">
        <v>1081</v>
      </c>
      <c r="D98" s="1703" t="s">
        <v>1082</v>
      </c>
      <c r="E98" s="1723" t="s">
        <v>860</v>
      </c>
      <c r="F98" s="1703" t="str">
        <f>VLOOKUP(TBL4_OptApp[[#This Row],[Option type
Defined List]],'Option Typs_Grps'!B$2:C$47, 2, FALSE)</f>
        <v>Distribution Options</v>
      </c>
      <c r="G98" s="1703" t="s">
        <v>861</v>
      </c>
      <c r="H98" s="1703" t="s">
        <v>876</v>
      </c>
      <c r="I98" s="1703" t="s">
        <v>863</v>
      </c>
      <c r="J98" s="1703" t="s">
        <v>109</v>
      </c>
      <c r="K98" s="1703" t="s">
        <v>109</v>
      </c>
      <c r="L98" s="1703" t="s">
        <v>877</v>
      </c>
      <c r="M98" s="1703" t="s">
        <v>877</v>
      </c>
      <c r="N98" s="1703" t="s">
        <v>877</v>
      </c>
      <c r="O98" s="1703" t="s">
        <v>877</v>
      </c>
      <c r="P98" s="1703" t="s">
        <v>877</v>
      </c>
      <c r="Q98" s="1703" t="s">
        <v>877</v>
      </c>
      <c r="R98" s="1703" t="s">
        <v>877</v>
      </c>
      <c r="S98" s="1705" t="s">
        <v>109</v>
      </c>
      <c r="T98" s="1738" t="s">
        <v>109</v>
      </c>
      <c r="U98" s="1738" t="s">
        <v>109</v>
      </c>
      <c r="V98" s="1739">
        <v>8.927500116763186</v>
      </c>
      <c r="W98" s="1705">
        <v>0</v>
      </c>
      <c r="X98" s="1705">
        <v>2025</v>
      </c>
      <c r="Y98" s="1705">
        <v>0</v>
      </c>
      <c r="Z98" s="1705">
        <v>8.5500000000000007</v>
      </c>
      <c r="AA98" s="1705">
        <v>8.5500000000000007</v>
      </c>
      <c r="AB98" s="1740">
        <v>8.927500116763186</v>
      </c>
      <c r="AC98" s="1740">
        <v>8.927500116763186</v>
      </c>
      <c r="AD98" s="1736">
        <v>228557.2989041938</v>
      </c>
      <c r="AE98" s="1713">
        <v>9160.0385774162714</v>
      </c>
      <c r="AF98" s="1713">
        <v>9160.0385774162714</v>
      </c>
      <c r="AG98" s="1713">
        <v>0</v>
      </c>
      <c r="AH98" s="1713">
        <f>IFERROR(TBL4_OptApp[[#This Row],[Total NPC (£m)]]/TBL4_OptApp[[#This Row],[Maximum option utilisation across the planning period (Ml/d)]],"N/A")</f>
        <v>51.419769699923144</v>
      </c>
      <c r="AI98" s="1713">
        <v>459.05</v>
      </c>
      <c r="AJ98" s="1703" t="s">
        <v>109</v>
      </c>
      <c r="AK98" s="1705" t="s">
        <v>109</v>
      </c>
      <c r="AL98" s="1705" t="s">
        <v>109</v>
      </c>
      <c r="AM98" s="1705" t="s">
        <v>109</v>
      </c>
      <c r="AN98" s="1705" t="s">
        <v>109</v>
      </c>
      <c r="AO98" s="1705" t="s">
        <v>109</v>
      </c>
      <c r="AP98" s="1705" t="s">
        <v>109</v>
      </c>
      <c r="AQ98" s="1705" t="s">
        <v>109</v>
      </c>
      <c r="AR98" s="1705" t="s">
        <v>109</v>
      </c>
      <c r="AS98" s="1705" t="s">
        <v>109</v>
      </c>
      <c r="AT98" s="1705" t="s">
        <v>109</v>
      </c>
      <c r="AU98" s="1705" t="s">
        <v>109</v>
      </c>
      <c r="AV98" s="1705" t="s">
        <v>109</v>
      </c>
      <c r="AW98" s="1705"/>
      <c r="AX98" s="1705"/>
      <c r="AY98" s="1705"/>
      <c r="AZ98" s="1705"/>
      <c r="BA98" s="1705"/>
    </row>
    <row r="99" spans="2:53" x14ac:dyDescent="0.2">
      <c r="B99" s="17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51dF</v>
      </c>
      <c r="C99" s="1703" t="s">
        <v>1083</v>
      </c>
      <c r="D99" s="1707" t="s">
        <v>1084</v>
      </c>
      <c r="E99" s="1714" t="s">
        <v>987</v>
      </c>
      <c r="F99" s="1703" t="str">
        <f>VLOOKUP(TBL4_OptApp[[#This Row],[Option type
Defined List]],'Option Typs_Grps'!B$2:C$47, 2, FALSE)</f>
        <v>Customer Options</v>
      </c>
      <c r="G99" s="1703" t="s">
        <v>861</v>
      </c>
      <c r="H99" s="1703" t="s">
        <v>862</v>
      </c>
      <c r="I99" s="1703" t="s">
        <v>863</v>
      </c>
      <c r="J99" s="1703" t="s">
        <v>109</v>
      </c>
      <c r="K99" s="1703" t="s">
        <v>109</v>
      </c>
      <c r="L99" s="1703" t="s">
        <v>863</v>
      </c>
      <c r="M99" s="1703" t="s">
        <v>863</v>
      </c>
      <c r="N99" s="1703" t="s">
        <v>863</v>
      </c>
      <c r="O99" s="1703" t="s">
        <v>863</v>
      </c>
      <c r="P99" s="1703" t="s">
        <v>877</v>
      </c>
      <c r="Q99" s="1703" t="s">
        <v>863</v>
      </c>
      <c r="R99" s="1703" t="s">
        <v>863</v>
      </c>
      <c r="S99" s="1705" t="s">
        <v>1018</v>
      </c>
      <c r="T99" s="1705" t="s">
        <v>109</v>
      </c>
      <c r="U99" s="1705" t="s">
        <v>109</v>
      </c>
      <c r="V99" s="1719">
        <v>1.3817142704809928</v>
      </c>
      <c r="W99" s="1705">
        <v>0</v>
      </c>
      <c r="X99" s="1705">
        <v>2025</v>
      </c>
      <c r="Y99" s="1705">
        <v>0</v>
      </c>
      <c r="Z99" s="1705">
        <v>6.9457269097644672E-2</v>
      </c>
      <c r="AA99" s="1705">
        <v>6.9457269097644672E-2</v>
      </c>
      <c r="AB99" s="1712">
        <v>1.3817142704809928</v>
      </c>
      <c r="AC99" s="1712">
        <v>1.3817142704809928</v>
      </c>
      <c r="AD99" s="1713" t="s">
        <v>109</v>
      </c>
      <c r="AE99" s="1712" t="s">
        <v>109</v>
      </c>
      <c r="AF99" s="1712" t="s">
        <v>109</v>
      </c>
      <c r="AG99" s="1713">
        <v>0</v>
      </c>
      <c r="AH99" s="1713">
        <f>IFERROR(TBL4_OptApp[[#This Row],[Total NPC (£m)]]/TBL4_OptApp[[#This Row],[Maximum option utilisation across the planning period (Ml/d)]],"N/A")</f>
        <v>1.0769372201098406</v>
      </c>
      <c r="AI99" s="1713">
        <v>1.4880195254378967</v>
      </c>
      <c r="AJ99" s="1703" t="s">
        <v>109</v>
      </c>
      <c r="AK99" s="1705" t="s">
        <v>109</v>
      </c>
      <c r="AL99" s="1705" t="s">
        <v>109</v>
      </c>
      <c r="AM99" s="1705" t="s">
        <v>109</v>
      </c>
      <c r="AN99" s="1705" t="s">
        <v>109</v>
      </c>
      <c r="AO99" s="1705" t="s">
        <v>109</v>
      </c>
      <c r="AP99" s="1705" t="s">
        <v>109</v>
      </c>
      <c r="AQ99" s="1705" t="s">
        <v>109</v>
      </c>
      <c r="AR99" s="1705" t="s">
        <v>109</v>
      </c>
      <c r="AS99" s="1705" t="s">
        <v>109</v>
      </c>
      <c r="AT99" s="1705" t="s">
        <v>109</v>
      </c>
      <c r="AU99" s="1705" t="s">
        <v>109</v>
      </c>
      <c r="AV99" s="1705" t="s">
        <v>109</v>
      </c>
      <c r="AW99" s="1705"/>
      <c r="AX99" s="1705"/>
      <c r="AY99" s="1705"/>
      <c r="AZ99" s="1705"/>
      <c r="BA99" s="1705"/>
    </row>
    <row r="100" spans="2:53" ht="28.5" x14ac:dyDescent="0.2">
      <c r="B100" s="17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51aF</v>
      </c>
      <c r="C100" s="1703" t="s">
        <v>1085</v>
      </c>
      <c r="D100" s="1703" t="s">
        <v>1086</v>
      </c>
      <c r="E100" s="1704" t="s">
        <v>981</v>
      </c>
      <c r="F100" s="1703" t="str">
        <f>VLOOKUP(TBL4_OptApp[[#This Row],[Option type
Defined List]],'Option Typs_Grps'!B$2:C$47, 2, FALSE)</f>
        <v>Resource Options</v>
      </c>
      <c r="G100" s="1703" t="s">
        <v>105</v>
      </c>
      <c r="H100" s="1707" t="s">
        <v>862</v>
      </c>
      <c r="I100" s="1703" t="s">
        <v>863</v>
      </c>
      <c r="J100" s="1703" t="s">
        <v>109</v>
      </c>
      <c r="K100" s="1703" t="s">
        <v>903</v>
      </c>
      <c r="L100" s="1703" t="s">
        <v>863</v>
      </c>
      <c r="M100" s="1703" t="s">
        <v>863</v>
      </c>
      <c r="N100" s="1703" t="s">
        <v>863</v>
      </c>
      <c r="O100" s="1703" t="s">
        <v>877</v>
      </c>
      <c r="P100" s="1703" t="s">
        <v>863</v>
      </c>
      <c r="Q100" s="1703" t="s">
        <v>863</v>
      </c>
      <c r="R100" s="1703" t="s">
        <v>863</v>
      </c>
      <c r="S100" s="1741" t="s">
        <v>1087</v>
      </c>
      <c r="T100" s="1705" t="s">
        <v>109</v>
      </c>
      <c r="U100" s="1705" t="s">
        <v>109</v>
      </c>
      <c r="V100" s="1707">
        <v>16.2</v>
      </c>
      <c r="W100" s="1705">
        <v>5</v>
      </c>
      <c r="X100" s="1703">
        <v>2045</v>
      </c>
      <c r="Y100" s="1717">
        <v>191.07</v>
      </c>
      <c r="Z100" s="1717">
        <v>0.9</v>
      </c>
      <c r="AA100" s="1703" t="s">
        <v>109</v>
      </c>
      <c r="AB100" s="1703" t="s">
        <v>109</v>
      </c>
      <c r="AC100" s="1705">
        <v>16.2</v>
      </c>
      <c r="AD100" s="1713">
        <v>30258.639999999999</v>
      </c>
      <c r="AE100" s="1724" t="s">
        <v>109</v>
      </c>
      <c r="AF100" s="1724" t="s">
        <v>109</v>
      </c>
      <c r="AG100" s="1713">
        <v>7.3711892703818283</v>
      </c>
      <c r="AH100" s="1713">
        <f>IFERROR(TBL4_OptApp[[#This Row],[Total NPC (£m)]]/TBL4_OptApp[[#This Row],[Maximum option utilisation across the planning period (Ml/d)]],"N/A")</f>
        <v>3.8777777777777778</v>
      </c>
      <c r="AI100" s="1713">
        <v>62.82</v>
      </c>
      <c r="AJ100" s="1703"/>
      <c r="AK100" s="1705"/>
      <c r="AL100" s="1705"/>
      <c r="AM100" s="1705"/>
      <c r="AN100" s="1705"/>
      <c r="AO100" s="1705"/>
      <c r="AP100" s="1705"/>
      <c r="AQ100" s="1705"/>
      <c r="AR100" s="1705"/>
      <c r="AS100" s="1705"/>
      <c r="AT100" s="1705"/>
      <c r="AU100" s="1705"/>
      <c r="AV100" s="1705"/>
      <c r="AW100" s="1705"/>
      <c r="AX100" s="1705"/>
      <c r="AY100" s="1705"/>
      <c r="AZ100" s="1705"/>
      <c r="BA100" s="1705"/>
    </row>
    <row r="101" spans="2:53" ht="28.5" x14ac:dyDescent="0.2">
      <c r="B101" s="17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101" s="1703" t="s">
        <v>1088</v>
      </c>
      <c r="D101" s="1703" t="s">
        <v>972</v>
      </c>
      <c r="E101" s="1723" t="s">
        <v>973</v>
      </c>
      <c r="F101" s="1703" t="str">
        <f>VLOOKUP(TBL4_OptApp[[#This Row],[Option type
Defined List]],'Option Typs_Grps'!B$2:C$47, 2, FALSE)</f>
        <v>Customer Options</v>
      </c>
      <c r="G101" s="1703" t="s">
        <v>102</v>
      </c>
      <c r="H101" s="1703" t="s">
        <v>876</v>
      </c>
      <c r="I101" s="1703" t="s">
        <v>863</v>
      </c>
      <c r="J101" s="1703" t="s">
        <v>109</v>
      </c>
      <c r="K101" s="1703" t="s">
        <v>109</v>
      </c>
      <c r="L101" s="1703" t="s">
        <v>877</v>
      </c>
      <c r="M101" s="1703" t="s">
        <v>877</v>
      </c>
      <c r="N101" s="1703" t="s">
        <v>877</v>
      </c>
      <c r="O101" s="1703" t="s">
        <v>877</v>
      </c>
      <c r="P101" s="1703" t="s">
        <v>877</v>
      </c>
      <c r="Q101" s="1703" t="s">
        <v>877</v>
      </c>
      <c r="R101" s="1703" t="s">
        <v>877</v>
      </c>
      <c r="S101" s="1705" t="s">
        <v>109</v>
      </c>
      <c r="T101" s="1705" t="s">
        <v>109</v>
      </c>
      <c r="U101" s="1705" t="s">
        <v>109</v>
      </c>
      <c r="V101" s="1719">
        <v>39.681222100066861</v>
      </c>
      <c r="W101" s="1705">
        <v>0</v>
      </c>
      <c r="X101" s="1705">
        <v>2021</v>
      </c>
      <c r="Y101" s="1705">
        <v>0</v>
      </c>
      <c r="Z101" s="1705">
        <v>0</v>
      </c>
      <c r="AA101" s="1705">
        <v>0</v>
      </c>
      <c r="AB101" s="1742">
        <v>39.681222100066861</v>
      </c>
      <c r="AC101" s="1742">
        <v>39.681222100066861</v>
      </c>
      <c r="AD101" s="1713" t="s">
        <v>109</v>
      </c>
      <c r="AE101" s="1712" t="s">
        <v>109</v>
      </c>
      <c r="AF101" s="1712" t="s">
        <v>109</v>
      </c>
      <c r="AG101" s="1713">
        <v>0</v>
      </c>
      <c r="AH101" s="1713">
        <f>IFERROR(TBL4_OptApp[[#This Row],[Total NPC (£m)]]/TBL4_OptApp[[#This Row],[Maximum option utilisation across the planning period (Ml/d)]],"N/A")</f>
        <v>0</v>
      </c>
      <c r="AI101" s="1713">
        <v>0</v>
      </c>
      <c r="AJ101" s="1703" t="s">
        <v>109</v>
      </c>
      <c r="AK101" s="1705" t="s">
        <v>109</v>
      </c>
      <c r="AL101" s="1705" t="s">
        <v>109</v>
      </c>
      <c r="AM101" s="1705" t="s">
        <v>109</v>
      </c>
      <c r="AN101" s="1705" t="s">
        <v>109</v>
      </c>
      <c r="AO101" s="1705" t="s">
        <v>109</v>
      </c>
      <c r="AP101" s="1705" t="s">
        <v>109</v>
      </c>
      <c r="AQ101" s="1705" t="s">
        <v>109</v>
      </c>
      <c r="AR101" s="1705" t="s">
        <v>109</v>
      </c>
      <c r="AS101" s="1705" t="s">
        <v>109</v>
      </c>
      <c r="AT101" s="1705" t="s">
        <v>109</v>
      </c>
      <c r="AU101" s="1705" t="s">
        <v>109</v>
      </c>
      <c r="AV101" s="1705" t="s">
        <v>109</v>
      </c>
      <c r="AW101" s="1705"/>
      <c r="AX101" s="1705"/>
      <c r="AY101" s="1705"/>
      <c r="AZ101" s="1705"/>
      <c r="BA101" s="1705"/>
    </row>
    <row r="102" spans="2:53" ht="28.5" x14ac:dyDescent="0.2">
      <c r="B102" s="17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51aF</v>
      </c>
      <c r="C102" s="1703" t="s">
        <v>1089</v>
      </c>
      <c r="D102" s="1703" t="s">
        <v>1090</v>
      </c>
      <c r="E102" s="1704" t="s">
        <v>981</v>
      </c>
      <c r="F102" s="1703" t="str">
        <f>VLOOKUP(TBL4_OptApp[[#This Row],[Option type
Defined List]],'Option Typs_Grps'!B$2:C$47, 2, FALSE)</f>
        <v>Resource Options</v>
      </c>
      <c r="G102" s="1703" t="s">
        <v>105</v>
      </c>
      <c r="H102" s="1707" t="s">
        <v>862</v>
      </c>
      <c r="I102" s="1703" t="s">
        <v>863</v>
      </c>
      <c r="J102" s="1703" t="s">
        <v>109</v>
      </c>
      <c r="K102" s="1703" t="s">
        <v>903</v>
      </c>
      <c r="L102" s="1703" t="s">
        <v>863</v>
      </c>
      <c r="M102" s="1703" t="s">
        <v>863</v>
      </c>
      <c r="N102" s="1703" t="s">
        <v>863</v>
      </c>
      <c r="O102" s="1703" t="s">
        <v>863</v>
      </c>
      <c r="P102" s="1703" t="s">
        <v>863</v>
      </c>
      <c r="Q102" s="1703" t="s">
        <v>863</v>
      </c>
      <c r="R102" s="1703" t="s">
        <v>863</v>
      </c>
      <c r="S102" s="1703"/>
      <c r="T102" s="1705" t="s">
        <v>109</v>
      </c>
      <c r="U102" s="1705" t="s">
        <v>109</v>
      </c>
      <c r="V102" s="1707">
        <v>18.5</v>
      </c>
      <c r="W102" s="1705">
        <v>5</v>
      </c>
      <c r="X102" s="1703">
        <v>2035</v>
      </c>
      <c r="Y102" s="1717">
        <v>199.51</v>
      </c>
      <c r="Z102" s="1717">
        <v>0.89</v>
      </c>
      <c r="AA102" s="1703" t="s">
        <v>109</v>
      </c>
      <c r="AB102" s="1703" t="s">
        <v>109</v>
      </c>
      <c r="AC102" s="1705">
        <v>18.5</v>
      </c>
      <c r="AD102" s="1713">
        <v>31600.076242541632</v>
      </c>
      <c r="AE102" s="1724" t="s">
        <v>109</v>
      </c>
      <c r="AF102" s="1724" t="s">
        <v>109</v>
      </c>
      <c r="AG102" s="1713">
        <v>7.7075548534893157</v>
      </c>
      <c r="AH102" s="1713">
        <f>IFERROR(TBL4_OptApp[[#This Row],[Total NPC (£m)]]/TBL4_OptApp[[#This Row],[Maximum option utilisation across the planning period (Ml/d)]],"N/A")</f>
        <v>7.0320768731363215</v>
      </c>
      <c r="AI102" s="1713">
        <v>130.09342215302195</v>
      </c>
      <c r="AJ102" s="1703"/>
      <c r="AK102" s="1705"/>
      <c r="AL102" s="1705"/>
      <c r="AM102" s="1705"/>
      <c r="AN102" s="1705"/>
      <c r="AO102" s="1705"/>
      <c r="AP102" s="1705"/>
      <c r="AQ102" s="1705"/>
      <c r="AR102" s="1705"/>
      <c r="AS102" s="1705"/>
      <c r="AT102" s="1705"/>
      <c r="AU102" s="1705"/>
      <c r="AV102" s="1705"/>
      <c r="AW102" s="1705"/>
      <c r="AX102" s="1705"/>
      <c r="AY102" s="1705"/>
      <c r="AZ102" s="1705"/>
      <c r="BA102" s="1705"/>
    </row>
    <row r="103" spans="2:53" x14ac:dyDescent="0.2">
      <c r="B103" s="17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103" s="1707" t="s">
        <v>1091</v>
      </c>
      <c r="D103" s="1707" t="s">
        <v>1092</v>
      </c>
      <c r="E103" s="1714" t="s">
        <v>1058</v>
      </c>
      <c r="F103" s="1703" t="str">
        <f>VLOOKUP(TBL4_OptApp[[#This Row],[Option type
Defined List]],'Option Typs_Grps'!B$2:C$47, 2, FALSE)</f>
        <v>Customer Options</v>
      </c>
      <c r="G103" s="1703" t="s">
        <v>861</v>
      </c>
      <c r="H103" s="1703" t="s">
        <v>876</v>
      </c>
      <c r="I103" s="1703" t="s">
        <v>863</v>
      </c>
      <c r="J103" s="1703" t="s">
        <v>109</v>
      </c>
      <c r="K103" s="1703" t="s">
        <v>109</v>
      </c>
      <c r="L103" s="1703" t="s">
        <v>877</v>
      </c>
      <c r="M103" s="1703" t="s">
        <v>877</v>
      </c>
      <c r="N103" s="1703" t="s">
        <v>877</v>
      </c>
      <c r="O103" s="1703" t="s">
        <v>877</v>
      </c>
      <c r="P103" s="1703" t="s">
        <v>877</v>
      </c>
      <c r="Q103" s="1703" t="s">
        <v>877</v>
      </c>
      <c r="R103" s="1703" t="s">
        <v>877</v>
      </c>
      <c r="S103" s="1705" t="s">
        <v>109</v>
      </c>
      <c r="T103" s="1705" t="s">
        <v>109</v>
      </c>
      <c r="U103" s="1705" t="s">
        <v>109</v>
      </c>
      <c r="V103" s="1719">
        <v>90.255848842474506</v>
      </c>
      <c r="W103" s="1705">
        <v>0</v>
      </c>
      <c r="X103" s="1705">
        <v>2025</v>
      </c>
      <c r="Y103" s="1705">
        <v>0</v>
      </c>
      <c r="Z103" s="1703">
        <v>26.72</v>
      </c>
      <c r="AA103" s="1703">
        <v>26.72</v>
      </c>
      <c r="AB103" s="1712">
        <v>90.255848842474506</v>
      </c>
      <c r="AC103" s="1712">
        <v>90.255848842474506</v>
      </c>
      <c r="AD103" s="1713">
        <v>42467.91551512749</v>
      </c>
      <c r="AE103" s="1713">
        <v>4246.7915515127488</v>
      </c>
      <c r="AF103" s="1713">
        <v>4246.7915515127488</v>
      </c>
      <c r="AG103" s="1713">
        <v>0</v>
      </c>
      <c r="AH103" s="1713">
        <f>IFERROR(TBL4_OptApp[[#This Row],[Total NPC (£m)]]/TBL4_OptApp[[#This Row],[Maximum option utilisation across the planning period (Ml/d)]],"N/A")</f>
        <v>1.961091743859414</v>
      </c>
      <c r="AI103" s="1713">
        <v>177</v>
      </c>
      <c r="AJ103" s="1703" t="s">
        <v>109</v>
      </c>
      <c r="AK103" s="1705" t="s">
        <v>109</v>
      </c>
      <c r="AL103" s="1705" t="s">
        <v>109</v>
      </c>
      <c r="AM103" s="1705" t="s">
        <v>109</v>
      </c>
      <c r="AN103" s="1705" t="s">
        <v>109</v>
      </c>
      <c r="AO103" s="1705" t="s">
        <v>109</v>
      </c>
      <c r="AP103" s="1705" t="s">
        <v>109</v>
      </c>
      <c r="AQ103" s="1705" t="s">
        <v>109</v>
      </c>
      <c r="AR103" s="1705" t="s">
        <v>109</v>
      </c>
      <c r="AS103" s="1705" t="s">
        <v>109</v>
      </c>
      <c r="AT103" s="1705" t="s">
        <v>109</v>
      </c>
      <c r="AU103" s="1705" t="s">
        <v>109</v>
      </c>
      <c r="AV103" s="1705" t="s">
        <v>109</v>
      </c>
      <c r="AW103" s="1705"/>
      <c r="AX103" s="1705"/>
      <c r="AY103" s="1705"/>
      <c r="AZ103" s="1705"/>
      <c r="BA103" s="1705"/>
    </row>
    <row r="104" spans="2:53" ht="28.5" x14ac:dyDescent="0.2">
      <c r="B104" s="17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104" s="1707" t="s">
        <v>1093</v>
      </c>
      <c r="D104" s="1707" t="s">
        <v>1094</v>
      </c>
      <c r="E104" s="1714" t="s">
        <v>987</v>
      </c>
      <c r="F104" s="1703" t="str">
        <f>VLOOKUP(TBL4_OptApp[[#This Row],[Option type
Defined List]],'Option Typs_Grps'!B$2:C$47, 2, FALSE)</f>
        <v>Customer Options</v>
      </c>
      <c r="G104" s="1703" t="s">
        <v>861</v>
      </c>
      <c r="H104" s="1703" t="s">
        <v>876</v>
      </c>
      <c r="I104" s="1703" t="s">
        <v>863</v>
      </c>
      <c r="J104" s="1703" t="s">
        <v>109</v>
      </c>
      <c r="K104" s="1703" t="s">
        <v>109</v>
      </c>
      <c r="L104" s="1703" t="s">
        <v>877</v>
      </c>
      <c r="M104" s="1703" t="s">
        <v>877</v>
      </c>
      <c r="N104" s="1703" t="s">
        <v>877</v>
      </c>
      <c r="O104" s="1703" t="s">
        <v>877</v>
      </c>
      <c r="P104" s="1703" t="s">
        <v>877</v>
      </c>
      <c r="Q104" s="1703" t="s">
        <v>877</v>
      </c>
      <c r="R104" s="1703" t="s">
        <v>877</v>
      </c>
      <c r="S104" s="1705" t="s">
        <v>109</v>
      </c>
      <c r="T104" s="1705" t="s">
        <v>109</v>
      </c>
      <c r="U104" s="1705" t="s">
        <v>109</v>
      </c>
      <c r="V104" s="1719">
        <v>26.545124115718778</v>
      </c>
      <c r="W104" s="1705">
        <v>6</v>
      </c>
      <c r="X104" s="1705">
        <v>2026</v>
      </c>
      <c r="Y104" s="1705">
        <v>0</v>
      </c>
      <c r="Z104" s="1712">
        <v>0</v>
      </c>
      <c r="AA104" s="1712">
        <v>0</v>
      </c>
      <c r="AB104" s="1712">
        <v>26.545124115718778</v>
      </c>
      <c r="AC104" s="1712">
        <v>26.545124115718778</v>
      </c>
      <c r="AD104" s="1713" t="s">
        <v>109</v>
      </c>
      <c r="AE104" s="1712" t="s">
        <v>109</v>
      </c>
      <c r="AF104" s="1712" t="s">
        <v>109</v>
      </c>
      <c r="AG104" s="1713">
        <v>0</v>
      </c>
      <c r="AH104" s="1713">
        <f>IFERROR(TBL4_OptApp[[#This Row],[Total NPC (£m)]]/TBL4_OptApp[[#This Row],[Maximum option utilisation across the planning period (Ml/d)]],"N/A")</f>
        <v>0</v>
      </c>
      <c r="AI104" s="1713">
        <v>0</v>
      </c>
      <c r="AJ104" s="1703" t="s">
        <v>109</v>
      </c>
      <c r="AK104" s="1705" t="s">
        <v>109</v>
      </c>
      <c r="AL104" s="1705" t="s">
        <v>109</v>
      </c>
      <c r="AM104" s="1705" t="s">
        <v>109</v>
      </c>
      <c r="AN104" s="1705" t="s">
        <v>109</v>
      </c>
      <c r="AO104" s="1705" t="s">
        <v>109</v>
      </c>
      <c r="AP104" s="1705" t="s">
        <v>109</v>
      </c>
      <c r="AQ104" s="1705" t="s">
        <v>109</v>
      </c>
      <c r="AR104" s="1705" t="s">
        <v>109</v>
      </c>
      <c r="AS104" s="1705" t="s">
        <v>109</v>
      </c>
      <c r="AT104" s="1705" t="s">
        <v>109</v>
      </c>
      <c r="AU104" s="1705" t="s">
        <v>109</v>
      </c>
      <c r="AV104" s="1705" t="s">
        <v>109</v>
      </c>
      <c r="AW104" s="1705"/>
      <c r="AX104" s="1705"/>
      <c r="AY104" s="1705"/>
      <c r="AZ104" s="1705"/>
      <c r="BA104" s="1705"/>
    </row>
    <row r="105" spans="2:53" ht="28.5" x14ac:dyDescent="0.2">
      <c r="B105" s="17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51cP</v>
      </c>
      <c r="C105" s="1703" t="s">
        <v>1095</v>
      </c>
      <c r="D105" s="1707" t="s">
        <v>1096</v>
      </c>
      <c r="E105" s="1714" t="s">
        <v>860</v>
      </c>
      <c r="F105" s="1703" t="str">
        <f>VLOOKUP(TBL4_OptApp[[#This Row],[Option type
Defined List]],'Option Typs_Grps'!B$2:C$47, 2, FALSE)</f>
        <v>Distribution Options</v>
      </c>
      <c r="G105" s="1703" t="s">
        <v>861</v>
      </c>
      <c r="H105" s="1703" t="s">
        <v>876</v>
      </c>
      <c r="I105" s="1703" t="s">
        <v>863</v>
      </c>
      <c r="J105" s="1703" t="s">
        <v>109</v>
      </c>
      <c r="K105" s="1703" t="s">
        <v>109</v>
      </c>
      <c r="L105" s="1703" t="s">
        <v>877</v>
      </c>
      <c r="M105" s="1703" t="s">
        <v>877</v>
      </c>
      <c r="N105" s="1703" t="s">
        <v>877</v>
      </c>
      <c r="O105" s="1703" t="s">
        <v>877</v>
      </c>
      <c r="P105" s="1703" t="s">
        <v>877</v>
      </c>
      <c r="Q105" s="1703" t="s">
        <v>877</v>
      </c>
      <c r="R105" s="1703" t="s">
        <v>877</v>
      </c>
      <c r="S105" s="1705" t="s">
        <v>109</v>
      </c>
      <c r="T105" s="1738" t="s">
        <v>109</v>
      </c>
      <c r="U105" s="1738" t="s">
        <v>109</v>
      </c>
      <c r="V105" s="1719">
        <v>8.927500116763186</v>
      </c>
      <c r="W105" s="1705">
        <v>0</v>
      </c>
      <c r="X105" s="1705">
        <v>2025</v>
      </c>
      <c r="Y105" s="1705">
        <v>0</v>
      </c>
      <c r="Z105" s="1705">
        <f>Z98</f>
        <v>8.5500000000000007</v>
      </c>
      <c r="AA105" s="1705">
        <f>AA98</f>
        <v>8.5500000000000007</v>
      </c>
      <c r="AB105" s="1712">
        <v>8.927500116763186</v>
      </c>
      <c r="AC105" s="1712">
        <v>8.927500116763186</v>
      </c>
      <c r="AD105" s="1713">
        <v>228557.2989041938</v>
      </c>
      <c r="AE105" s="1713">
        <v>9160.0385774162714</v>
      </c>
      <c r="AF105" s="1713">
        <v>9160.0385774162714</v>
      </c>
      <c r="AG105" s="1713">
        <v>0</v>
      </c>
      <c r="AH105" s="1713">
        <f>IFERROR(TBL4_OptApp[[#This Row],[Total NPC (£m)]]/TBL4_OptApp[[#This Row],[Maximum option utilisation across the planning period (Ml/d)]],"N/A")</f>
        <v>51.419769699923144</v>
      </c>
      <c r="AI105" s="1713">
        <f>AI98</f>
        <v>459.05</v>
      </c>
      <c r="AJ105" s="1703" t="s">
        <v>109</v>
      </c>
      <c r="AK105" s="1705" t="s">
        <v>109</v>
      </c>
      <c r="AL105" s="1705" t="s">
        <v>109</v>
      </c>
      <c r="AM105" s="1705" t="s">
        <v>109</v>
      </c>
      <c r="AN105" s="1705" t="s">
        <v>109</v>
      </c>
      <c r="AO105" s="1705" t="s">
        <v>109</v>
      </c>
      <c r="AP105" s="1705" t="s">
        <v>109</v>
      </c>
      <c r="AQ105" s="1705" t="s">
        <v>109</v>
      </c>
      <c r="AR105" s="1705" t="s">
        <v>109</v>
      </c>
      <c r="AS105" s="1705" t="s">
        <v>109</v>
      </c>
      <c r="AT105" s="1705" t="s">
        <v>109</v>
      </c>
      <c r="AU105" s="1705" t="s">
        <v>109</v>
      </c>
      <c r="AV105" s="1705" t="s">
        <v>109</v>
      </c>
      <c r="AW105" s="1705"/>
      <c r="AX105" s="1705"/>
      <c r="AY105" s="1705"/>
      <c r="AZ105" s="1705"/>
      <c r="BA105" s="1705"/>
    </row>
    <row r="106" spans="2:53" ht="30" x14ac:dyDescent="0.25">
      <c r="B106" s="17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106" s="1703" t="s">
        <v>1097</v>
      </c>
      <c r="D106" s="1703" t="s">
        <v>1098</v>
      </c>
      <c r="E106" s="1723" t="s">
        <v>1099</v>
      </c>
      <c r="F106" s="1703" t="str">
        <f>VLOOKUP(TBL4_OptApp[[#This Row],[Option type
Defined List]],'Option Typs_Grps'!B$2:C$47, 2, FALSE)</f>
        <v>Customer Options</v>
      </c>
      <c r="G106" s="1703" t="s">
        <v>861</v>
      </c>
      <c r="H106" s="1703" t="s">
        <v>876</v>
      </c>
      <c r="I106" s="1703" t="s">
        <v>863</v>
      </c>
      <c r="J106" s="1703" t="s">
        <v>109</v>
      </c>
      <c r="K106" s="1703" t="s">
        <v>1066</v>
      </c>
      <c r="L106" s="1703" t="s">
        <v>877</v>
      </c>
      <c r="M106" s="1703" t="s">
        <v>877</v>
      </c>
      <c r="N106" s="1703" t="s">
        <v>877</v>
      </c>
      <c r="O106" s="1703" t="s">
        <v>877</v>
      </c>
      <c r="P106" s="1703" t="s">
        <v>877</v>
      </c>
      <c r="Q106" s="1703" t="s">
        <v>877</v>
      </c>
      <c r="R106" s="1703" t="s">
        <v>877</v>
      </c>
      <c r="S106" s="1705" t="s">
        <v>109</v>
      </c>
      <c r="T106" s="1705" t="s">
        <v>109</v>
      </c>
      <c r="U106" s="1738" t="s">
        <v>109</v>
      </c>
      <c r="V106" s="1719">
        <v>4.7224998832368188</v>
      </c>
      <c r="W106" s="1705">
        <v>0</v>
      </c>
      <c r="X106" s="1705">
        <v>2025</v>
      </c>
      <c r="Y106" s="1705">
        <v>0</v>
      </c>
      <c r="Z106" s="1705">
        <f>Z115</f>
        <v>2.13</v>
      </c>
      <c r="AA106" s="1705">
        <f>AA115</f>
        <v>2.13</v>
      </c>
      <c r="AB106" s="1712">
        <v>4.7224998832368188</v>
      </c>
      <c r="AC106" s="1712">
        <v>4.7224998832368188</v>
      </c>
      <c r="AD106" s="1713" t="s">
        <v>109</v>
      </c>
      <c r="AE106" s="1713" t="s">
        <v>109</v>
      </c>
      <c r="AF106" s="1713" t="s">
        <v>109</v>
      </c>
      <c r="AG106" s="1713">
        <v>0</v>
      </c>
      <c r="AH106" s="1713">
        <f>IFERROR(TBL4_OptApp[[#This Row],[Total NPC (£m)]]/TBL4_OptApp[[#This Row],[Maximum option utilisation across the planning period (Ml/d)]],"N/A")</f>
        <v>24.300688795643353</v>
      </c>
      <c r="AI106" s="1713">
        <f>AI115</f>
        <v>114.76</v>
      </c>
      <c r="AJ106" s="1703" t="s">
        <v>109</v>
      </c>
      <c r="AK106" s="1705" t="s">
        <v>109</v>
      </c>
      <c r="AL106" s="1705" t="s">
        <v>109</v>
      </c>
      <c r="AM106" s="1705" t="s">
        <v>109</v>
      </c>
      <c r="AN106" s="1705" t="s">
        <v>109</v>
      </c>
      <c r="AO106" s="1705" t="s">
        <v>109</v>
      </c>
      <c r="AP106" s="1705" t="s">
        <v>109</v>
      </c>
      <c r="AQ106" s="1705" t="s">
        <v>109</v>
      </c>
      <c r="AR106" s="1705" t="s">
        <v>109</v>
      </c>
      <c r="AS106" s="1705" t="s">
        <v>109</v>
      </c>
      <c r="AT106" s="1705" t="s">
        <v>109</v>
      </c>
      <c r="AU106" s="1705" t="s">
        <v>109</v>
      </c>
      <c r="AV106" s="1705" t="s">
        <v>109</v>
      </c>
      <c r="AW106" s="1705"/>
      <c r="AX106" s="1705"/>
      <c r="AY106" s="1705"/>
      <c r="AZ106" s="1705"/>
      <c r="BA106" s="1705"/>
    </row>
    <row r="107" spans="2:53" x14ac:dyDescent="0.2">
      <c r="B107" s="17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107" s="1707" t="s">
        <v>1100</v>
      </c>
      <c r="D107" s="1707" t="s">
        <v>1101</v>
      </c>
      <c r="E107" s="1714" t="s">
        <v>987</v>
      </c>
      <c r="F107" s="1703" t="str">
        <f>VLOOKUP(TBL4_OptApp[[#This Row],[Option type
Defined List]],'Option Typs_Grps'!B$2:C$47, 2, FALSE)</f>
        <v>Customer Options</v>
      </c>
      <c r="G107" s="1703" t="s">
        <v>861</v>
      </c>
      <c r="H107" s="1703" t="s">
        <v>876</v>
      </c>
      <c r="I107" s="1703" t="s">
        <v>863</v>
      </c>
      <c r="J107" s="1703" t="s">
        <v>109</v>
      </c>
      <c r="K107" s="1703" t="s">
        <v>109</v>
      </c>
      <c r="L107" s="1703" t="s">
        <v>877</v>
      </c>
      <c r="M107" s="1703" t="s">
        <v>877</v>
      </c>
      <c r="N107" s="1703" t="s">
        <v>877</v>
      </c>
      <c r="O107" s="1703" t="s">
        <v>877</v>
      </c>
      <c r="P107" s="1703" t="s">
        <v>863</v>
      </c>
      <c r="Q107" s="1703" t="s">
        <v>877</v>
      </c>
      <c r="R107" s="1703" t="s">
        <v>877</v>
      </c>
      <c r="S107" s="1705" t="s">
        <v>109</v>
      </c>
      <c r="T107" s="1705" t="s">
        <v>109</v>
      </c>
      <c r="U107" s="1705" t="s">
        <v>109</v>
      </c>
      <c r="V107" s="1719">
        <v>45.112019743713184</v>
      </c>
      <c r="W107" s="1705">
        <v>0</v>
      </c>
      <c r="X107" s="1705">
        <v>2025</v>
      </c>
      <c r="Y107" s="1705">
        <v>0</v>
      </c>
      <c r="Z107" s="1712">
        <v>0.912901289054597</v>
      </c>
      <c r="AA107" s="1712">
        <v>0.912901289054597</v>
      </c>
      <c r="AB107" s="1712">
        <v>45.112019743713184</v>
      </c>
      <c r="AC107" s="1712">
        <v>45.112019743713184</v>
      </c>
      <c r="AD107" s="1713">
        <v>928.37060099738517</v>
      </c>
      <c r="AE107" s="1713">
        <v>37.134824039895406</v>
      </c>
      <c r="AF107" s="1713">
        <v>37.134824039895406</v>
      </c>
      <c r="AG107" s="1713">
        <v>0</v>
      </c>
      <c r="AH107" s="1713">
        <f>IFERROR(TBL4_OptApp[[#This Row],[Total NPC (£m)]]/TBL4_OptApp[[#This Row],[Maximum option utilisation across the planning period (Ml/d)]],"N/A")</f>
        <v>0.43066633082929495</v>
      </c>
      <c r="AI107" s="1713">
        <v>19.428228019323669</v>
      </c>
      <c r="AJ107" s="1703" t="s">
        <v>109</v>
      </c>
      <c r="AK107" s="1705" t="s">
        <v>109</v>
      </c>
      <c r="AL107" s="1705" t="s">
        <v>109</v>
      </c>
      <c r="AM107" s="1705" t="s">
        <v>109</v>
      </c>
      <c r="AN107" s="1705" t="s">
        <v>109</v>
      </c>
      <c r="AO107" s="1705" t="s">
        <v>109</v>
      </c>
      <c r="AP107" s="1705" t="s">
        <v>109</v>
      </c>
      <c r="AQ107" s="1705" t="s">
        <v>109</v>
      </c>
      <c r="AR107" s="1705" t="s">
        <v>109</v>
      </c>
      <c r="AS107" s="1705" t="s">
        <v>109</v>
      </c>
      <c r="AT107" s="1705" t="s">
        <v>109</v>
      </c>
      <c r="AU107" s="1705" t="s">
        <v>109</v>
      </c>
      <c r="AV107" s="1705" t="s">
        <v>109</v>
      </c>
      <c r="AW107" s="1705"/>
      <c r="AX107" s="1705"/>
      <c r="AY107" s="1705"/>
      <c r="AZ107" s="1705"/>
      <c r="BA107" s="1705"/>
    </row>
    <row r="108" spans="2:53" x14ac:dyDescent="0.2">
      <c r="B108" s="1703" t="s">
        <v>1102</v>
      </c>
      <c r="C108" s="1703" t="s">
        <v>1103</v>
      </c>
      <c r="D108" s="1707" t="s">
        <v>1104</v>
      </c>
      <c r="E108" s="1714" t="s">
        <v>987</v>
      </c>
      <c r="F108" s="1703" t="str">
        <f>VLOOKUP(TBL4_OptApp[[#This Row],[Option type
Defined List]],'Option Typs_Grps'!B$2:C$47, 2, FALSE)</f>
        <v>Customer Options</v>
      </c>
      <c r="G108" s="1703" t="s">
        <v>861</v>
      </c>
      <c r="H108" s="1703" t="s">
        <v>876</v>
      </c>
      <c r="I108" s="1703" t="s">
        <v>863</v>
      </c>
      <c r="J108" s="1703" t="s">
        <v>109</v>
      </c>
      <c r="K108" s="1703" t="s">
        <v>1066</v>
      </c>
      <c r="L108" s="1703" t="s">
        <v>877</v>
      </c>
      <c r="M108" s="1703" t="s">
        <v>877</v>
      </c>
      <c r="N108" s="1703" t="s">
        <v>877</v>
      </c>
      <c r="O108" s="1703" t="s">
        <v>877</v>
      </c>
      <c r="P108" s="1703" t="s">
        <v>863</v>
      </c>
      <c r="Q108" s="1703" t="s">
        <v>877</v>
      </c>
      <c r="R108" s="1703" t="s">
        <v>877</v>
      </c>
      <c r="S108" s="1705" t="s">
        <v>109</v>
      </c>
      <c r="T108" s="1705" t="s">
        <v>109</v>
      </c>
      <c r="U108" s="1705" t="s">
        <v>109</v>
      </c>
      <c r="V108" s="1719">
        <v>9.2222448156608792</v>
      </c>
      <c r="W108" s="1705">
        <v>0</v>
      </c>
      <c r="X108" s="1705">
        <v>2025</v>
      </c>
      <c r="Y108" s="1705">
        <v>0</v>
      </c>
      <c r="Z108" s="1705">
        <v>0.81215227599999995</v>
      </c>
      <c r="AA108" s="1705">
        <v>0.71018570000000003</v>
      </c>
      <c r="AB108" s="1712">
        <v>9.2222448156608792</v>
      </c>
      <c r="AC108" s="1712">
        <v>9.2222448156608792</v>
      </c>
      <c r="AD108" s="1713" t="s">
        <v>109</v>
      </c>
      <c r="AE108" s="1712" t="s">
        <v>109</v>
      </c>
      <c r="AF108" s="1712" t="s">
        <v>109</v>
      </c>
      <c r="AG108" s="1713">
        <v>0</v>
      </c>
      <c r="AH108" s="1713">
        <f>IFERROR(TBL4_OptApp[[#This Row],[Total NPC (£m)]]/TBL4_OptApp[[#This Row],[Maximum option utilisation across the planning period (Ml/d)]],"N/A")</f>
        <v>0.71294897147325687</v>
      </c>
      <c r="AI108" s="1713">
        <v>6.5749899559999996</v>
      </c>
      <c r="AJ108" s="1703" t="s">
        <v>109</v>
      </c>
      <c r="AK108" s="1705" t="s">
        <v>109</v>
      </c>
      <c r="AL108" s="1705" t="s">
        <v>109</v>
      </c>
      <c r="AM108" s="1705" t="s">
        <v>109</v>
      </c>
      <c r="AN108" s="1705" t="s">
        <v>109</v>
      </c>
      <c r="AO108" s="1705" t="s">
        <v>109</v>
      </c>
      <c r="AP108" s="1705" t="s">
        <v>109</v>
      </c>
      <c r="AQ108" s="1705" t="s">
        <v>109</v>
      </c>
      <c r="AR108" s="1705" t="s">
        <v>109</v>
      </c>
      <c r="AS108" s="1705" t="s">
        <v>109</v>
      </c>
      <c r="AT108" s="1705" t="s">
        <v>109</v>
      </c>
      <c r="AU108" s="1705" t="s">
        <v>109</v>
      </c>
      <c r="AV108" s="1705" t="s">
        <v>109</v>
      </c>
      <c r="AW108" s="1705"/>
      <c r="AX108" s="1705"/>
      <c r="AY108" s="1705"/>
      <c r="AZ108" s="1705"/>
      <c r="BA108" s="1705"/>
    </row>
    <row r="109" spans="2:53" x14ac:dyDescent="0.2">
      <c r="B109" s="17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109" s="1707" t="s">
        <v>1105</v>
      </c>
      <c r="D109" s="1707" t="s">
        <v>1106</v>
      </c>
      <c r="E109" s="1714" t="s">
        <v>987</v>
      </c>
      <c r="F109" s="1703" t="str">
        <f>VLOOKUP(TBL4_OptApp[[#This Row],[Option type
Defined List]],'Option Typs_Grps'!B$2:C$47, 2, FALSE)</f>
        <v>Customer Options</v>
      </c>
      <c r="G109" s="1703" t="s">
        <v>861</v>
      </c>
      <c r="H109" s="1703" t="s">
        <v>876</v>
      </c>
      <c r="I109" s="1703" t="s">
        <v>863</v>
      </c>
      <c r="J109" s="1703" t="s">
        <v>109</v>
      </c>
      <c r="K109" s="1703" t="s">
        <v>109</v>
      </c>
      <c r="L109" s="1703" t="s">
        <v>877</v>
      </c>
      <c r="M109" s="1703" t="s">
        <v>877</v>
      </c>
      <c r="N109" s="1703" t="s">
        <v>877</v>
      </c>
      <c r="O109" s="1703" t="s">
        <v>877</v>
      </c>
      <c r="P109" s="1703" t="s">
        <v>877</v>
      </c>
      <c r="Q109" s="1703" t="s">
        <v>877</v>
      </c>
      <c r="R109" s="1703" t="s">
        <v>877</v>
      </c>
      <c r="S109" s="1705" t="s">
        <v>109</v>
      </c>
      <c r="T109" s="1705" t="s">
        <v>109</v>
      </c>
      <c r="U109" s="1705" t="s">
        <v>109</v>
      </c>
      <c r="V109" s="1719">
        <v>6.7567423852244737</v>
      </c>
      <c r="W109" s="1705">
        <v>0</v>
      </c>
      <c r="X109" s="1705">
        <v>2025</v>
      </c>
      <c r="Y109" s="1705">
        <v>0</v>
      </c>
      <c r="Z109" s="1705">
        <v>0.31571485953474854</v>
      </c>
      <c r="AA109" s="1705">
        <v>0.31571485953474854</v>
      </c>
      <c r="AB109" s="1712">
        <v>6.7567423852244737</v>
      </c>
      <c r="AC109" s="1712">
        <v>6.7567423852244737</v>
      </c>
      <c r="AD109" s="1713" t="s">
        <v>109</v>
      </c>
      <c r="AE109" s="1712" t="s">
        <v>109</v>
      </c>
      <c r="AF109" s="1712" t="s">
        <v>109</v>
      </c>
      <c r="AG109" s="1713">
        <v>0</v>
      </c>
      <c r="AH109" s="1713">
        <f>IFERROR(TBL4_OptApp[[#This Row],[Total NPC (£m)]]/TBL4_OptApp[[#This Row],[Maximum option utilisation across the planning period (Ml/d)]],"N/A")</f>
        <v>1.0010334462976713</v>
      </c>
      <c r="AI109" s="1713">
        <v>6.7637251156268032</v>
      </c>
      <c r="AJ109" s="1703" t="s">
        <v>109</v>
      </c>
      <c r="AK109" s="1705" t="s">
        <v>109</v>
      </c>
      <c r="AL109" s="1705" t="s">
        <v>109</v>
      </c>
      <c r="AM109" s="1705" t="s">
        <v>109</v>
      </c>
      <c r="AN109" s="1705" t="s">
        <v>109</v>
      </c>
      <c r="AO109" s="1705" t="s">
        <v>109</v>
      </c>
      <c r="AP109" s="1705" t="s">
        <v>109</v>
      </c>
      <c r="AQ109" s="1705" t="s">
        <v>109</v>
      </c>
      <c r="AR109" s="1705" t="s">
        <v>109</v>
      </c>
      <c r="AS109" s="1705" t="s">
        <v>109</v>
      </c>
      <c r="AT109" s="1705" t="s">
        <v>109</v>
      </c>
      <c r="AU109" s="1705" t="s">
        <v>109</v>
      </c>
      <c r="AV109" s="1705" t="s">
        <v>109</v>
      </c>
      <c r="AW109" s="1705"/>
      <c r="AX109" s="1705"/>
      <c r="AY109" s="1705"/>
      <c r="AZ109" s="1705"/>
      <c r="BA109" s="1705"/>
    </row>
    <row r="110" spans="2:53" ht="28.5" x14ac:dyDescent="0.2">
      <c r="B110" s="17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110" s="1703" t="s">
        <v>1107</v>
      </c>
      <c r="D110" s="1703" t="s">
        <v>1108</v>
      </c>
      <c r="E110" s="1723" t="s">
        <v>973</v>
      </c>
      <c r="F110" s="1703" t="str">
        <f>VLOOKUP(TBL4_OptApp[[#This Row],[Option type
Defined List]],'Option Typs_Grps'!B$2:C$47, 2, FALSE)</f>
        <v>Customer Options</v>
      </c>
      <c r="G110" s="1703" t="s">
        <v>102</v>
      </c>
      <c r="H110" s="1703" t="s">
        <v>876</v>
      </c>
      <c r="I110" s="1703" t="s">
        <v>863</v>
      </c>
      <c r="J110" s="1703" t="s">
        <v>109</v>
      </c>
      <c r="K110" s="1703" t="s">
        <v>109</v>
      </c>
      <c r="L110" s="1703" t="s">
        <v>877</v>
      </c>
      <c r="M110" s="1703" t="s">
        <v>877</v>
      </c>
      <c r="N110" s="1703" t="s">
        <v>877</v>
      </c>
      <c r="O110" s="1703" t="s">
        <v>877</v>
      </c>
      <c r="P110" s="1703" t="s">
        <v>877</v>
      </c>
      <c r="Q110" s="1703" t="s">
        <v>877</v>
      </c>
      <c r="R110" s="1703" t="s">
        <v>877</v>
      </c>
      <c r="S110" s="1705" t="s">
        <v>109</v>
      </c>
      <c r="T110" s="1705" t="s">
        <v>109</v>
      </c>
      <c r="U110" s="1705" t="s">
        <v>109</v>
      </c>
      <c r="V110" s="1719">
        <v>39.681222100066805</v>
      </c>
      <c r="W110" s="1705">
        <v>0</v>
      </c>
      <c r="X110" s="1705">
        <v>2021</v>
      </c>
      <c r="Y110" s="1705">
        <v>0</v>
      </c>
      <c r="Z110" s="1705">
        <v>0</v>
      </c>
      <c r="AA110" s="1705">
        <v>0</v>
      </c>
      <c r="AB110" s="1719">
        <v>39.681222100066805</v>
      </c>
      <c r="AC110" s="1719">
        <v>39.681222100066805</v>
      </c>
      <c r="AD110" s="1713" t="s">
        <v>109</v>
      </c>
      <c r="AE110" s="1712" t="s">
        <v>109</v>
      </c>
      <c r="AF110" s="1712" t="s">
        <v>109</v>
      </c>
      <c r="AG110" s="1713">
        <v>0</v>
      </c>
      <c r="AH110" s="1713">
        <f>IFERROR(TBL4_OptApp[[#This Row],[Total NPC (£m)]]/TBL4_OptApp[[#This Row],[Maximum option utilisation across the planning period (Ml/d)]],"N/A")</f>
        <v>0</v>
      </c>
      <c r="AI110" s="1713">
        <v>0</v>
      </c>
      <c r="AJ110" s="1703" t="s">
        <v>109</v>
      </c>
      <c r="AK110" s="1705" t="s">
        <v>109</v>
      </c>
      <c r="AL110" s="1705" t="s">
        <v>109</v>
      </c>
      <c r="AM110" s="1705" t="s">
        <v>109</v>
      </c>
      <c r="AN110" s="1705" t="s">
        <v>109</v>
      </c>
      <c r="AO110" s="1705" t="s">
        <v>109</v>
      </c>
      <c r="AP110" s="1705" t="s">
        <v>109</v>
      </c>
      <c r="AQ110" s="1705" t="s">
        <v>109</v>
      </c>
      <c r="AR110" s="1705" t="s">
        <v>109</v>
      </c>
      <c r="AS110" s="1705" t="s">
        <v>109</v>
      </c>
      <c r="AT110" s="1705" t="s">
        <v>109</v>
      </c>
      <c r="AU110" s="1705" t="s">
        <v>109</v>
      </c>
      <c r="AV110" s="1705" t="s">
        <v>109</v>
      </c>
      <c r="AW110" s="1705"/>
      <c r="AX110" s="1705"/>
      <c r="AY110" s="1705"/>
      <c r="AZ110" s="1705"/>
      <c r="BA110" s="1705"/>
    </row>
    <row r="111" spans="2:53" x14ac:dyDescent="0.2">
      <c r="B111" s="17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51cU</v>
      </c>
      <c r="C111" s="1703" t="s">
        <v>1109</v>
      </c>
      <c r="D111" s="1707" t="s">
        <v>1110</v>
      </c>
      <c r="E111" s="1714" t="s">
        <v>860</v>
      </c>
      <c r="F111" s="1703" t="str">
        <f>VLOOKUP(TBL4_OptApp[[#This Row],[Option type
Defined List]],'Option Typs_Grps'!B$2:C$47, 2, FALSE)</f>
        <v>Distribution Options</v>
      </c>
      <c r="G111" s="1703" t="s">
        <v>861</v>
      </c>
      <c r="H111" s="1703" t="s">
        <v>871</v>
      </c>
      <c r="I111" s="1703" t="s">
        <v>863</v>
      </c>
      <c r="J111" s="1703" t="s">
        <v>109</v>
      </c>
      <c r="K111" s="1703" t="s">
        <v>109</v>
      </c>
      <c r="L111" s="1703" t="s">
        <v>863</v>
      </c>
      <c r="M111" s="1703" t="s">
        <v>863</v>
      </c>
      <c r="N111" s="1703" t="s">
        <v>863</v>
      </c>
      <c r="O111" s="1703" t="s">
        <v>863</v>
      </c>
      <c r="P111" s="1703" t="s">
        <v>863</v>
      </c>
      <c r="Q111" s="1703" t="s">
        <v>863</v>
      </c>
      <c r="R111" s="1703" t="s">
        <v>863</v>
      </c>
      <c r="S111" s="1705" t="s">
        <v>1111</v>
      </c>
      <c r="T111" s="1705" t="s">
        <v>109</v>
      </c>
      <c r="U111" s="1738" t="s">
        <v>109</v>
      </c>
      <c r="V111" s="1719" t="s">
        <v>109</v>
      </c>
      <c r="W111" s="1705">
        <v>0</v>
      </c>
      <c r="X111" s="1705">
        <v>2025</v>
      </c>
      <c r="Y111" s="1705">
        <v>0</v>
      </c>
      <c r="Z111" s="1705">
        <v>6.66</v>
      </c>
      <c r="AA111" s="1705">
        <v>6.66</v>
      </c>
      <c r="AB111" s="1712" t="s">
        <v>109</v>
      </c>
      <c r="AC111" s="1712" t="s">
        <v>109</v>
      </c>
      <c r="AD111" s="1713" t="s">
        <v>109</v>
      </c>
      <c r="AE111" s="1713" t="s">
        <v>109</v>
      </c>
      <c r="AF111" s="1713" t="s">
        <v>109</v>
      </c>
      <c r="AG111" s="1713">
        <v>0</v>
      </c>
      <c r="AH111" s="1713" t="str">
        <f>IFERROR(TBL4_OptApp[[#This Row],[Total NPC (£m)]]/TBL4_OptApp[[#This Row],[Maximum option utilisation across the planning period (Ml/d)]],"N/A")</f>
        <v>N/A</v>
      </c>
      <c r="AI111" s="1713" t="s">
        <v>109</v>
      </c>
      <c r="AJ111" s="1703" t="s">
        <v>109</v>
      </c>
      <c r="AK111" s="1705" t="s">
        <v>109</v>
      </c>
      <c r="AL111" s="1705" t="s">
        <v>109</v>
      </c>
      <c r="AM111" s="1705" t="s">
        <v>109</v>
      </c>
      <c r="AN111" s="1705" t="s">
        <v>109</v>
      </c>
      <c r="AO111" s="1705" t="s">
        <v>109</v>
      </c>
      <c r="AP111" s="1705" t="s">
        <v>109</v>
      </c>
      <c r="AQ111" s="1705" t="s">
        <v>109</v>
      </c>
      <c r="AR111" s="1705" t="s">
        <v>109</v>
      </c>
      <c r="AS111" s="1705" t="s">
        <v>109</v>
      </c>
      <c r="AT111" s="1705" t="s">
        <v>109</v>
      </c>
      <c r="AU111" s="1705" t="s">
        <v>109</v>
      </c>
      <c r="AV111" s="1705" t="s">
        <v>109</v>
      </c>
      <c r="AW111" s="1705"/>
      <c r="AX111" s="1705"/>
      <c r="AY111" s="1705"/>
      <c r="AZ111" s="1705"/>
      <c r="BA111" s="1705"/>
    </row>
    <row r="112" spans="2:53" x14ac:dyDescent="0.2">
      <c r="B112" s="17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51cU</v>
      </c>
      <c r="C112" s="1703" t="s">
        <v>1112</v>
      </c>
      <c r="D112" s="1707" t="s">
        <v>1113</v>
      </c>
      <c r="E112" s="1714" t="s">
        <v>860</v>
      </c>
      <c r="F112" s="1703" t="str">
        <f>VLOOKUP(TBL4_OptApp[[#This Row],[Option type
Defined List]],'Option Typs_Grps'!B$2:C$47, 2, FALSE)</f>
        <v>Distribution Options</v>
      </c>
      <c r="G112" s="1703" t="s">
        <v>861</v>
      </c>
      <c r="H112" s="1703" t="s">
        <v>871</v>
      </c>
      <c r="I112" s="1703" t="s">
        <v>863</v>
      </c>
      <c r="J112" s="1703" t="s">
        <v>109</v>
      </c>
      <c r="K112" s="1703" t="s">
        <v>109</v>
      </c>
      <c r="L112" s="1703" t="s">
        <v>863</v>
      </c>
      <c r="M112" s="1703" t="s">
        <v>863</v>
      </c>
      <c r="N112" s="1703" t="s">
        <v>863</v>
      </c>
      <c r="O112" s="1703" t="s">
        <v>863</v>
      </c>
      <c r="P112" s="1703" t="s">
        <v>863</v>
      </c>
      <c r="Q112" s="1703" t="s">
        <v>863</v>
      </c>
      <c r="R112" s="1703" t="s">
        <v>863</v>
      </c>
      <c r="S112" s="1705" t="s">
        <v>1111</v>
      </c>
      <c r="T112" s="1705" t="s">
        <v>109</v>
      </c>
      <c r="U112" s="1738" t="s">
        <v>109</v>
      </c>
      <c r="V112" s="1719" t="s">
        <v>109</v>
      </c>
      <c r="W112" s="1705">
        <v>0</v>
      </c>
      <c r="X112" s="1705">
        <v>2025</v>
      </c>
      <c r="Y112" s="1705">
        <v>0</v>
      </c>
      <c r="Z112" s="1705">
        <v>12.56</v>
      </c>
      <c r="AA112" s="1705">
        <v>12.56</v>
      </c>
      <c r="AB112" s="1712" t="s">
        <v>109</v>
      </c>
      <c r="AC112" s="1712" t="s">
        <v>109</v>
      </c>
      <c r="AD112" s="1713" t="s">
        <v>109</v>
      </c>
      <c r="AE112" s="1713" t="s">
        <v>109</v>
      </c>
      <c r="AF112" s="1713" t="s">
        <v>109</v>
      </c>
      <c r="AG112" s="1713">
        <v>0</v>
      </c>
      <c r="AH112" s="1713" t="str">
        <f>IFERROR(TBL4_OptApp[[#This Row],[Total NPC (£m)]]/TBL4_OptApp[[#This Row],[Maximum option utilisation across the planning period (Ml/d)]],"N/A")</f>
        <v>N/A</v>
      </c>
      <c r="AI112" s="1713" t="s">
        <v>109</v>
      </c>
      <c r="AJ112" s="1703" t="s">
        <v>109</v>
      </c>
      <c r="AK112" s="1705" t="s">
        <v>109</v>
      </c>
      <c r="AL112" s="1705" t="s">
        <v>109</v>
      </c>
      <c r="AM112" s="1705" t="s">
        <v>109</v>
      </c>
      <c r="AN112" s="1705" t="s">
        <v>109</v>
      </c>
      <c r="AO112" s="1705" t="s">
        <v>109</v>
      </c>
      <c r="AP112" s="1705" t="s">
        <v>109</v>
      </c>
      <c r="AQ112" s="1705" t="s">
        <v>109</v>
      </c>
      <c r="AR112" s="1705" t="s">
        <v>109</v>
      </c>
      <c r="AS112" s="1705" t="s">
        <v>109</v>
      </c>
      <c r="AT112" s="1705" t="s">
        <v>109</v>
      </c>
      <c r="AU112" s="1705" t="s">
        <v>109</v>
      </c>
      <c r="AV112" s="1705" t="s">
        <v>109</v>
      </c>
      <c r="AW112" s="1705"/>
      <c r="AX112" s="1705"/>
      <c r="AY112" s="1705"/>
      <c r="AZ112" s="1705"/>
      <c r="BA112" s="1705"/>
    </row>
    <row r="113" spans="2:53" x14ac:dyDescent="0.2">
      <c r="B113" s="17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51cU</v>
      </c>
      <c r="C113" s="1703" t="s">
        <v>1114</v>
      </c>
      <c r="D113" s="1707" t="s">
        <v>1115</v>
      </c>
      <c r="E113" s="1714" t="s">
        <v>860</v>
      </c>
      <c r="F113" s="1703" t="str">
        <f>VLOOKUP(TBL4_OptApp[[#This Row],[Option type
Defined List]],'Option Typs_Grps'!B$2:C$47, 2, FALSE)</f>
        <v>Distribution Options</v>
      </c>
      <c r="G113" s="1703" t="s">
        <v>861</v>
      </c>
      <c r="H113" s="1703" t="s">
        <v>871</v>
      </c>
      <c r="I113" s="1703" t="s">
        <v>863</v>
      </c>
      <c r="J113" s="1703" t="s">
        <v>109</v>
      </c>
      <c r="K113" s="1703" t="s">
        <v>109</v>
      </c>
      <c r="L113" s="1703" t="s">
        <v>863</v>
      </c>
      <c r="M113" s="1703" t="s">
        <v>863</v>
      </c>
      <c r="N113" s="1703" t="s">
        <v>863</v>
      </c>
      <c r="O113" s="1703" t="s">
        <v>863</v>
      </c>
      <c r="P113" s="1703" t="s">
        <v>863</v>
      </c>
      <c r="Q113" s="1703" t="s">
        <v>863</v>
      </c>
      <c r="R113" s="1703" t="s">
        <v>863</v>
      </c>
      <c r="S113" s="1705" t="s">
        <v>867</v>
      </c>
      <c r="T113" s="1705" t="s">
        <v>109</v>
      </c>
      <c r="U113" s="1738" t="s">
        <v>109</v>
      </c>
      <c r="V113" s="1719" t="s">
        <v>109</v>
      </c>
      <c r="W113" s="1705">
        <v>0</v>
      </c>
      <c r="X113" s="1705">
        <v>2025</v>
      </c>
      <c r="Y113" s="1705">
        <v>0</v>
      </c>
      <c r="Z113" s="1705">
        <v>19.05</v>
      </c>
      <c r="AA113" s="1705">
        <v>19.05</v>
      </c>
      <c r="AB113" s="1712" t="s">
        <v>109</v>
      </c>
      <c r="AC113" s="1712" t="s">
        <v>109</v>
      </c>
      <c r="AD113" s="1713" t="s">
        <v>109</v>
      </c>
      <c r="AE113" s="1713" t="s">
        <v>109</v>
      </c>
      <c r="AF113" s="1713" t="s">
        <v>109</v>
      </c>
      <c r="AG113" s="1713">
        <v>0</v>
      </c>
      <c r="AH113" s="1713" t="str">
        <f>IFERROR(TBL4_OptApp[[#This Row],[Total NPC (£m)]]/TBL4_OptApp[[#This Row],[Maximum option utilisation across the planning period (Ml/d)]],"N/A")</f>
        <v>N/A</v>
      </c>
      <c r="AI113" s="1713" t="s">
        <v>109</v>
      </c>
      <c r="AJ113" s="1703" t="s">
        <v>109</v>
      </c>
      <c r="AK113" s="1705" t="s">
        <v>109</v>
      </c>
      <c r="AL113" s="1705" t="s">
        <v>109</v>
      </c>
      <c r="AM113" s="1705" t="s">
        <v>109</v>
      </c>
      <c r="AN113" s="1705" t="s">
        <v>109</v>
      </c>
      <c r="AO113" s="1705" t="s">
        <v>109</v>
      </c>
      <c r="AP113" s="1705" t="s">
        <v>109</v>
      </c>
      <c r="AQ113" s="1705" t="s">
        <v>109</v>
      </c>
      <c r="AR113" s="1705" t="s">
        <v>109</v>
      </c>
      <c r="AS113" s="1705" t="s">
        <v>109</v>
      </c>
      <c r="AT113" s="1705" t="s">
        <v>109</v>
      </c>
      <c r="AU113" s="1705" t="s">
        <v>109</v>
      </c>
      <c r="AV113" s="1705" t="s">
        <v>109</v>
      </c>
      <c r="AW113" s="1705"/>
      <c r="AX113" s="1705"/>
      <c r="AY113" s="1705"/>
      <c r="AZ113" s="1705"/>
      <c r="BA113" s="1705"/>
    </row>
    <row r="114" spans="2:53" x14ac:dyDescent="0.2">
      <c r="B114" s="17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51cU</v>
      </c>
      <c r="C114" s="1703" t="s">
        <v>1116</v>
      </c>
      <c r="D114" s="1707" t="s">
        <v>1117</v>
      </c>
      <c r="E114" s="1714" t="s">
        <v>860</v>
      </c>
      <c r="F114" s="1703" t="str">
        <f>VLOOKUP(TBL4_OptApp[[#This Row],[Option type
Defined List]],'Option Typs_Grps'!B$2:C$47, 2, FALSE)</f>
        <v>Distribution Options</v>
      </c>
      <c r="G114" s="1703" t="s">
        <v>861</v>
      </c>
      <c r="H114" s="1703" t="s">
        <v>871</v>
      </c>
      <c r="I114" s="1703" t="s">
        <v>863</v>
      </c>
      <c r="J114" s="1703" t="s">
        <v>109</v>
      </c>
      <c r="K114" s="1703" t="s">
        <v>109</v>
      </c>
      <c r="L114" s="1703" t="s">
        <v>863</v>
      </c>
      <c r="M114" s="1703" t="s">
        <v>863</v>
      </c>
      <c r="N114" s="1703" t="s">
        <v>863</v>
      </c>
      <c r="O114" s="1703" t="s">
        <v>863</v>
      </c>
      <c r="P114" s="1703" t="s">
        <v>863</v>
      </c>
      <c r="Q114" s="1703" t="s">
        <v>863</v>
      </c>
      <c r="R114" s="1703" t="s">
        <v>863</v>
      </c>
      <c r="S114" s="1705" t="s">
        <v>867</v>
      </c>
      <c r="T114" s="1705" t="s">
        <v>109</v>
      </c>
      <c r="U114" s="1738" t="s">
        <v>109</v>
      </c>
      <c r="V114" s="1719" t="s">
        <v>109</v>
      </c>
      <c r="W114" s="1705">
        <v>0</v>
      </c>
      <c r="X114" s="1705">
        <v>2025</v>
      </c>
      <c r="Y114" s="1705">
        <v>0</v>
      </c>
      <c r="Z114" s="1705">
        <f>Z99*2</f>
        <v>0.13891453819528934</v>
      </c>
      <c r="AA114" s="1705">
        <f>AA99*2</f>
        <v>0.13891453819528934</v>
      </c>
      <c r="AB114" s="1712" t="s">
        <v>109</v>
      </c>
      <c r="AC114" s="1712" t="s">
        <v>109</v>
      </c>
      <c r="AD114" s="1713" t="s">
        <v>109</v>
      </c>
      <c r="AE114" s="1713" t="s">
        <v>109</v>
      </c>
      <c r="AF114" s="1713" t="s">
        <v>109</v>
      </c>
      <c r="AG114" s="1713">
        <v>0</v>
      </c>
      <c r="AH114" s="1713" t="str">
        <f>IFERROR(TBL4_OptApp[[#This Row],[Total NPC (£m)]]/TBL4_OptApp[[#This Row],[Maximum option utilisation across the planning period (Ml/d)]],"N/A")</f>
        <v>N/A</v>
      </c>
      <c r="AI114" s="1713" t="s">
        <v>109</v>
      </c>
      <c r="AJ114" s="1703" t="s">
        <v>109</v>
      </c>
      <c r="AK114" s="1705" t="s">
        <v>109</v>
      </c>
      <c r="AL114" s="1705" t="s">
        <v>109</v>
      </c>
      <c r="AM114" s="1705" t="s">
        <v>109</v>
      </c>
      <c r="AN114" s="1705" t="s">
        <v>109</v>
      </c>
      <c r="AO114" s="1705" t="s">
        <v>109</v>
      </c>
      <c r="AP114" s="1705" t="s">
        <v>109</v>
      </c>
      <c r="AQ114" s="1705" t="s">
        <v>109</v>
      </c>
      <c r="AR114" s="1705" t="s">
        <v>109</v>
      </c>
      <c r="AS114" s="1705" t="s">
        <v>109</v>
      </c>
      <c r="AT114" s="1705" t="s">
        <v>109</v>
      </c>
      <c r="AU114" s="1705" t="s">
        <v>109</v>
      </c>
      <c r="AV114" s="1705" t="s">
        <v>109</v>
      </c>
      <c r="AW114" s="1705"/>
      <c r="AX114" s="1705"/>
      <c r="AY114" s="1705"/>
      <c r="AZ114" s="1705"/>
      <c r="BA114" s="1705"/>
    </row>
    <row r="115" spans="2:53" ht="30" x14ac:dyDescent="0.25">
      <c r="B115" s="17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115" s="1703" t="s">
        <v>1118</v>
      </c>
      <c r="D115" s="1703" t="s">
        <v>1119</v>
      </c>
      <c r="E115" s="1723" t="s">
        <v>1099</v>
      </c>
      <c r="F115" s="1703" t="str">
        <f>VLOOKUP(TBL4_OptApp[[#This Row],[Option type
Defined List]],'Option Typs_Grps'!B$2:C$47, 2, FALSE)</f>
        <v>Customer Options</v>
      </c>
      <c r="G115" s="1703" t="s">
        <v>861</v>
      </c>
      <c r="H115" s="1703" t="s">
        <v>876</v>
      </c>
      <c r="I115" s="1703" t="s">
        <v>863</v>
      </c>
      <c r="J115" s="1703" t="s">
        <v>109</v>
      </c>
      <c r="K115" s="1703" t="s">
        <v>1066</v>
      </c>
      <c r="L115" s="1703" t="s">
        <v>877</v>
      </c>
      <c r="M115" s="1703" t="s">
        <v>877</v>
      </c>
      <c r="N115" s="1703" t="s">
        <v>877</v>
      </c>
      <c r="O115" s="1703" t="s">
        <v>877</v>
      </c>
      <c r="P115" s="1703" t="s">
        <v>877</v>
      </c>
      <c r="Q115" s="1703" t="s">
        <v>877</v>
      </c>
      <c r="R115" s="1703" t="s">
        <v>877</v>
      </c>
      <c r="S115" s="1705" t="s">
        <v>109</v>
      </c>
      <c r="T115" s="1738" t="s">
        <v>109</v>
      </c>
      <c r="U115" s="1738" t="s">
        <v>109</v>
      </c>
      <c r="V115" s="1719">
        <v>4.7224998832368188</v>
      </c>
      <c r="W115" s="1705" t="s">
        <v>1120</v>
      </c>
      <c r="X115" s="1705" t="s">
        <v>1121</v>
      </c>
      <c r="Y115" s="1705" t="s">
        <v>1120</v>
      </c>
      <c r="Z115" s="1705">
        <v>2.13</v>
      </c>
      <c r="AA115" s="1705">
        <v>2.13</v>
      </c>
      <c r="AB115" s="1712">
        <v>4.7224998832368188</v>
      </c>
      <c r="AC115" s="1712">
        <v>4.7224998832368188</v>
      </c>
      <c r="AD115" s="1713" t="s">
        <v>109</v>
      </c>
      <c r="AE115" s="1713" t="s">
        <v>109</v>
      </c>
      <c r="AF115" s="1713" t="s">
        <v>109</v>
      </c>
      <c r="AG115" s="1713">
        <v>0</v>
      </c>
      <c r="AH115" s="1713">
        <f>IFERROR(TBL4_OptApp[[#This Row],[Total NPC (£m)]]/TBL4_OptApp[[#This Row],[Maximum option utilisation across the planning period (Ml/d)]],"N/A")</f>
        <v>24.300688795643353</v>
      </c>
      <c r="AI115" s="1713">
        <v>114.76</v>
      </c>
      <c r="AJ115" s="1703" t="s">
        <v>109</v>
      </c>
      <c r="AK115" s="1705" t="s">
        <v>109</v>
      </c>
      <c r="AL115" s="1705" t="s">
        <v>109</v>
      </c>
      <c r="AM115" s="1705" t="s">
        <v>109</v>
      </c>
      <c r="AN115" s="1705" t="s">
        <v>109</v>
      </c>
      <c r="AO115" s="1705" t="s">
        <v>109</v>
      </c>
      <c r="AP115" s="1705" t="s">
        <v>109</v>
      </c>
      <c r="AQ115" s="1705" t="s">
        <v>109</v>
      </c>
      <c r="AR115" s="1705" t="s">
        <v>109</v>
      </c>
      <c r="AS115" s="1705" t="s">
        <v>109</v>
      </c>
      <c r="AT115" s="1705" t="s">
        <v>109</v>
      </c>
      <c r="AU115" s="1705" t="s">
        <v>109</v>
      </c>
      <c r="AV115" s="1705" t="s">
        <v>109</v>
      </c>
      <c r="AW115" s="1705"/>
      <c r="AX115" s="1705"/>
      <c r="AY115" s="1705"/>
      <c r="AZ115" s="1705"/>
      <c r="BA115" s="1705"/>
    </row>
    <row r="116" spans="2:53" x14ac:dyDescent="0.2">
      <c r="B116" s="17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116" s="1703" t="s">
        <v>1122</v>
      </c>
      <c r="D116" s="1707" t="s">
        <v>1123</v>
      </c>
      <c r="E116" s="1714" t="s">
        <v>987</v>
      </c>
      <c r="F116" s="1703" t="str">
        <f>VLOOKUP(TBL4_OptApp[[#This Row],[Option type
Defined List]],'Option Typs_Grps'!B$2:C$47, 2, FALSE)</f>
        <v>Customer Options</v>
      </c>
      <c r="G116" s="1703" t="s">
        <v>861</v>
      </c>
      <c r="H116" s="1703" t="s">
        <v>876</v>
      </c>
      <c r="I116" s="1703" t="s">
        <v>863</v>
      </c>
      <c r="J116" s="1703" t="s">
        <v>109</v>
      </c>
      <c r="K116" s="1703" t="s">
        <v>1066</v>
      </c>
      <c r="L116" s="1703" t="s">
        <v>877</v>
      </c>
      <c r="M116" s="1703" t="s">
        <v>877</v>
      </c>
      <c r="N116" s="1703" t="s">
        <v>877</v>
      </c>
      <c r="O116" s="1703" t="s">
        <v>877</v>
      </c>
      <c r="P116" s="1703" t="s">
        <v>863</v>
      </c>
      <c r="Q116" s="1703" t="s">
        <v>877</v>
      </c>
      <c r="R116" s="1703" t="s">
        <v>877</v>
      </c>
      <c r="S116" s="1705" t="s">
        <v>109</v>
      </c>
      <c r="T116" s="1705" t="s">
        <v>109</v>
      </c>
      <c r="U116" s="1705" t="s">
        <v>109</v>
      </c>
      <c r="V116" s="1719">
        <v>7.2293280942338054</v>
      </c>
      <c r="W116" s="1705">
        <v>0</v>
      </c>
      <c r="X116" s="1705">
        <v>2025</v>
      </c>
      <c r="Y116" s="1705">
        <v>0</v>
      </c>
      <c r="Z116" s="1705">
        <v>0.81215227599999995</v>
      </c>
      <c r="AA116" s="1705">
        <v>0.71018570000000003</v>
      </c>
      <c r="AB116" s="1712">
        <v>7.2293280942338054</v>
      </c>
      <c r="AC116" s="1712">
        <v>7.2293280942338054</v>
      </c>
      <c r="AD116" s="1713" t="s">
        <v>109</v>
      </c>
      <c r="AE116" s="1712" t="s">
        <v>109</v>
      </c>
      <c r="AF116" s="1712" t="s">
        <v>109</v>
      </c>
      <c r="AG116" s="1713">
        <v>0</v>
      </c>
      <c r="AH116" s="1713">
        <f>IFERROR(TBL4_OptApp[[#This Row],[Total NPC (£m)]]/TBL4_OptApp[[#This Row],[Maximum option utilisation across the planning period (Ml/d)]],"N/A")</f>
        <v>0.90948838817320887</v>
      </c>
      <c r="AI116" s="1713">
        <v>6.5749899559999996</v>
      </c>
      <c r="AJ116" s="1703" t="s">
        <v>109</v>
      </c>
      <c r="AK116" s="1705" t="s">
        <v>109</v>
      </c>
      <c r="AL116" s="1705" t="s">
        <v>109</v>
      </c>
      <c r="AM116" s="1705" t="s">
        <v>109</v>
      </c>
      <c r="AN116" s="1705" t="s">
        <v>109</v>
      </c>
      <c r="AO116" s="1705" t="s">
        <v>109</v>
      </c>
      <c r="AP116" s="1705" t="s">
        <v>109</v>
      </c>
      <c r="AQ116" s="1705" t="s">
        <v>109</v>
      </c>
      <c r="AR116" s="1705" t="s">
        <v>109</v>
      </c>
      <c r="AS116" s="1705" t="s">
        <v>109</v>
      </c>
      <c r="AT116" s="1705" t="s">
        <v>109</v>
      </c>
      <c r="AU116" s="1705" t="s">
        <v>109</v>
      </c>
      <c r="AV116" s="1705" t="s">
        <v>109</v>
      </c>
      <c r="AW116" s="1705"/>
      <c r="AX116" s="1705"/>
      <c r="AY116" s="1705"/>
      <c r="AZ116" s="1705"/>
      <c r="BA116" s="1705"/>
    </row>
    <row r="117" spans="2:53" x14ac:dyDescent="0.2">
      <c r="B117" s="17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117" s="1703" t="s">
        <v>1124</v>
      </c>
      <c r="D117" s="1707" t="s">
        <v>1125</v>
      </c>
      <c r="E117" s="1714" t="s">
        <v>987</v>
      </c>
      <c r="F117" s="1703" t="str">
        <f>VLOOKUP(TBL4_OptApp[[#This Row],[Option type
Defined List]],'Option Typs_Grps'!B$2:C$47, 2, FALSE)</f>
        <v>Customer Options</v>
      </c>
      <c r="G117" s="1703" t="s">
        <v>861</v>
      </c>
      <c r="H117" s="1703" t="s">
        <v>876</v>
      </c>
      <c r="I117" s="1703" t="s">
        <v>863</v>
      </c>
      <c r="J117" s="1703" t="s">
        <v>109</v>
      </c>
      <c r="K117" s="1703" t="s">
        <v>109</v>
      </c>
      <c r="L117" s="1703" t="s">
        <v>877</v>
      </c>
      <c r="M117" s="1703" t="s">
        <v>877</v>
      </c>
      <c r="N117" s="1703" t="s">
        <v>877</v>
      </c>
      <c r="O117" s="1703" t="s">
        <v>877</v>
      </c>
      <c r="P117" s="1703" t="s">
        <v>863</v>
      </c>
      <c r="Q117" s="1703" t="s">
        <v>877</v>
      </c>
      <c r="R117" s="1703" t="s">
        <v>877</v>
      </c>
      <c r="S117" s="1705" t="s">
        <v>109</v>
      </c>
      <c r="T117" s="1705" t="s">
        <v>109</v>
      </c>
      <c r="U117" s="1705" t="s">
        <v>109</v>
      </c>
      <c r="V117" s="1719">
        <v>6.7567423852245252</v>
      </c>
      <c r="W117" s="1705">
        <v>0</v>
      </c>
      <c r="X117" s="1705">
        <v>2025</v>
      </c>
      <c r="Y117" s="1705">
        <v>0</v>
      </c>
      <c r="Z117" s="1705">
        <v>0.31571485953474854</v>
      </c>
      <c r="AA117" s="1705">
        <v>0.31571485953474854</v>
      </c>
      <c r="AB117" s="1712">
        <v>6.7567423852245252</v>
      </c>
      <c r="AC117" s="1712">
        <v>6.7567423852245252</v>
      </c>
      <c r="AD117" s="1713" t="s">
        <v>109</v>
      </c>
      <c r="AE117" s="1712" t="s">
        <v>109</v>
      </c>
      <c r="AF117" s="1712" t="s">
        <v>109</v>
      </c>
      <c r="AG117" s="1713">
        <v>0</v>
      </c>
      <c r="AH117" s="1713">
        <f>IFERROR(TBL4_OptApp[[#This Row],[Total NPC (£m)]]/TBL4_OptApp[[#This Row],[Maximum option utilisation across the planning period (Ml/d)]],"N/A")</f>
        <v>1.0010334462976638</v>
      </c>
      <c r="AI117" s="1713">
        <v>6.7637251156268032</v>
      </c>
      <c r="AJ117" s="1703" t="s">
        <v>109</v>
      </c>
      <c r="AK117" s="1705" t="s">
        <v>109</v>
      </c>
      <c r="AL117" s="1705" t="s">
        <v>109</v>
      </c>
      <c r="AM117" s="1705" t="s">
        <v>109</v>
      </c>
      <c r="AN117" s="1705" t="s">
        <v>109</v>
      </c>
      <c r="AO117" s="1705" t="s">
        <v>109</v>
      </c>
      <c r="AP117" s="1705" t="s">
        <v>109</v>
      </c>
      <c r="AQ117" s="1705" t="s">
        <v>109</v>
      </c>
      <c r="AR117" s="1705" t="s">
        <v>109</v>
      </c>
      <c r="AS117" s="1705" t="s">
        <v>109</v>
      </c>
      <c r="AT117" s="1705" t="s">
        <v>109</v>
      </c>
      <c r="AU117" s="1705" t="s">
        <v>109</v>
      </c>
      <c r="AV117" s="1705" t="s">
        <v>109</v>
      </c>
      <c r="AW117" s="1705"/>
      <c r="AX117" s="1705"/>
      <c r="AY117" s="1705"/>
      <c r="AZ117" s="1705"/>
      <c r="BA117" s="1705"/>
    </row>
    <row r="118" spans="2:53" ht="28.5" x14ac:dyDescent="0.2">
      <c r="B118" s="17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51cF</v>
      </c>
      <c r="C118" s="1703" t="s">
        <v>1126</v>
      </c>
      <c r="D118" s="1703" t="s">
        <v>1127</v>
      </c>
      <c r="E118" s="1704" t="s">
        <v>902</v>
      </c>
      <c r="F118" s="1703" t="str">
        <f>VLOOKUP(TBL4_OptApp[[#This Row],[Option type
Defined List]],'Option Typs_Grps'!B$2:C$47, 2, FALSE)</f>
        <v>Distribution Options</v>
      </c>
      <c r="G118" s="1703" t="s">
        <v>102</v>
      </c>
      <c r="H118" s="1703" t="s">
        <v>862</v>
      </c>
      <c r="I118" s="1703" t="s">
        <v>877</v>
      </c>
      <c r="J118" s="1703" t="s">
        <v>109</v>
      </c>
      <c r="K118" s="1703" t="s">
        <v>1128</v>
      </c>
      <c r="L118" s="1703" t="s">
        <v>863</v>
      </c>
      <c r="M118" s="1703" t="s">
        <v>863</v>
      </c>
      <c r="N118" s="1703" t="s">
        <v>863</v>
      </c>
      <c r="O118" s="1703" t="s">
        <v>863</v>
      </c>
      <c r="P118" s="1703" t="s">
        <v>863</v>
      </c>
      <c r="Q118" s="1703" t="s">
        <v>863</v>
      </c>
      <c r="R118" s="1703" t="s">
        <v>863</v>
      </c>
      <c r="S118" s="1705"/>
      <c r="T118" s="1705" t="s">
        <v>904</v>
      </c>
      <c r="U118" s="1705" t="s">
        <v>102</v>
      </c>
      <c r="V118" s="1707">
        <v>10</v>
      </c>
      <c r="W118" s="1705">
        <v>3</v>
      </c>
      <c r="X118" s="1703">
        <v>2030</v>
      </c>
      <c r="Y118" s="1705">
        <v>20</v>
      </c>
      <c r="Z118" s="1705">
        <v>0.1</v>
      </c>
      <c r="AA118" s="1703" t="s">
        <v>109</v>
      </c>
      <c r="AB118" s="1703" t="s">
        <v>109</v>
      </c>
      <c r="AC118" s="1705">
        <v>10</v>
      </c>
      <c r="AD118" s="1713" t="s">
        <v>109</v>
      </c>
      <c r="AE118" s="1712" t="s">
        <v>109</v>
      </c>
      <c r="AF118" s="1712" t="s">
        <v>109</v>
      </c>
      <c r="AG118" s="1713">
        <v>22.114365749541875</v>
      </c>
      <c r="AH118" s="1713">
        <f>IFERROR(TBL4_OptApp[[#This Row],[Total NPC (£m)]]/TBL4_OptApp[[#This Row],[Maximum option utilisation across the planning period (Ml/d)]],"N/A")</f>
        <v>1.7376559549999109</v>
      </c>
      <c r="AI118" s="1713">
        <v>17.376559549999108</v>
      </c>
      <c r="AJ118" s="1703"/>
      <c r="AK118" s="1705"/>
      <c r="AL118" s="1705"/>
      <c r="AM118" s="1705"/>
      <c r="AN118" s="1705"/>
      <c r="AO118" s="1705"/>
      <c r="AP118" s="1705"/>
      <c r="AQ118" s="1705"/>
      <c r="AR118" s="1705"/>
      <c r="AS118" s="1705"/>
      <c r="AT118" s="1705"/>
      <c r="AU118" s="1705"/>
      <c r="AV118" s="1705"/>
      <c r="AW118" s="1705"/>
      <c r="AX118" s="1705"/>
      <c r="AY118" s="1705"/>
      <c r="AZ118" s="1705"/>
      <c r="BA118" s="1705"/>
    </row>
    <row r="119" spans="2:53" x14ac:dyDescent="0.2">
      <c r="B119" s="17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51dF</v>
      </c>
      <c r="C119" s="1703" t="s">
        <v>1129</v>
      </c>
      <c r="D119" s="1707" t="s">
        <v>1130</v>
      </c>
      <c r="E119" s="1714" t="s">
        <v>987</v>
      </c>
      <c r="F119" s="1703" t="str">
        <f>VLOOKUP(TBL4_OptApp[[#This Row],[Option type
Defined List]],'Option Typs_Grps'!B$2:C$47, 2, FALSE)</f>
        <v>Customer Options</v>
      </c>
      <c r="G119" s="1703" t="s">
        <v>861</v>
      </c>
      <c r="H119" s="1703" t="s">
        <v>862</v>
      </c>
      <c r="I119" s="1703" t="s">
        <v>863</v>
      </c>
      <c r="J119" s="1703" t="s">
        <v>109</v>
      </c>
      <c r="K119" s="1703" t="s">
        <v>109</v>
      </c>
      <c r="L119" s="1703" t="s">
        <v>863</v>
      </c>
      <c r="M119" s="1703" t="s">
        <v>863</v>
      </c>
      <c r="N119" s="1703" t="s">
        <v>863</v>
      </c>
      <c r="O119" s="1703" t="s">
        <v>863</v>
      </c>
      <c r="P119" s="1703" t="s">
        <v>877</v>
      </c>
      <c r="Q119" s="1703" t="s">
        <v>863</v>
      </c>
      <c r="R119" s="1703" t="s">
        <v>863</v>
      </c>
      <c r="S119" s="1705" t="s">
        <v>1018</v>
      </c>
      <c r="T119" s="1705" t="s">
        <v>109</v>
      </c>
      <c r="U119" s="1705" t="s">
        <v>109</v>
      </c>
      <c r="V119" s="1719">
        <v>0.30993996652132544</v>
      </c>
      <c r="W119" s="1705">
        <v>0</v>
      </c>
      <c r="X119" s="1705" t="s">
        <v>109</v>
      </c>
      <c r="Y119" s="1705">
        <v>0</v>
      </c>
      <c r="Z119" s="1705">
        <v>9.189087464270022E-3</v>
      </c>
      <c r="AA119" s="1705">
        <v>9.189087464270022E-3</v>
      </c>
      <c r="AB119" s="1712">
        <v>0.30993996652132544</v>
      </c>
      <c r="AC119" s="1712">
        <v>0.30993996652132544</v>
      </c>
      <c r="AD119" s="1713" t="s">
        <v>109</v>
      </c>
      <c r="AE119" s="1712" t="s">
        <v>109</v>
      </c>
      <c r="AF119" s="1712" t="s">
        <v>109</v>
      </c>
      <c r="AG119" s="1713">
        <v>0</v>
      </c>
      <c r="AH119" s="1713">
        <f>IFERROR(TBL4_OptApp[[#This Row],[Total NPC (£m)]]/TBL4_OptApp[[#This Row],[Maximum option utilisation across the planning period (Ml/d)]],"N/A")</f>
        <v>0.61695448576538625</v>
      </c>
      <c r="AI119" s="1713">
        <v>0.19121885266330535</v>
      </c>
      <c r="AJ119" s="1703" t="s">
        <v>109</v>
      </c>
      <c r="AK119" s="1705" t="s">
        <v>109</v>
      </c>
      <c r="AL119" s="1705" t="s">
        <v>109</v>
      </c>
      <c r="AM119" s="1705" t="s">
        <v>109</v>
      </c>
      <c r="AN119" s="1705" t="s">
        <v>109</v>
      </c>
      <c r="AO119" s="1705" t="s">
        <v>109</v>
      </c>
      <c r="AP119" s="1705" t="s">
        <v>109</v>
      </c>
      <c r="AQ119" s="1705" t="s">
        <v>109</v>
      </c>
      <c r="AR119" s="1705" t="s">
        <v>109</v>
      </c>
      <c r="AS119" s="1705" t="s">
        <v>109</v>
      </c>
      <c r="AT119" s="1705" t="s">
        <v>109</v>
      </c>
      <c r="AU119" s="1705" t="s">
        <v>109</v>
      </c>
      <c r="AV119" s="1705" t="s">
        <v>109</v>
      </c>
      <c r="AW119" s="1705"/>
      <c r="AX119" s="1705"/>
      <c r="AY119" s="1705"/>
      <c r="AZ119" s="1705"/>
      <c r="BA119" s="1705"/>
    </row>
    <row r="120" spans="2:53" x14ac:dyDescent="0.2">
      <c r="B120" s="17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51dF</v>
      </c>
      <c r="C120" s="1703" t="s">
        <v>1131</v>
      </c>
      <c r="D120" s="1707" t="s">
        <v>1130</v>
      </c>
      <c r="E120" s="1714" t="s">
        <v>987</v>
      </c>
      <c r="F120" s="1703" t="str">
        <f>VLOOKUP(TBL4_OptApp[[#This Row],[Option type
Defined List]],'Option Typs_Grps'!B$2:C$47, 2, FALSE)</f>
        <v>Customer Options</v>
      </c>
      <c r="G120" s="1703" t="s">
        <v>861</v>
      </c>
      <c r="H120" s="1703" t="s">
        <v>862</v>
      </c>
      <c r="I120" s="1703" t="s">
        <v>863</v>
      </c>
      <c r="J120" s="1703" t="s">
        <v>109</v>
      </c>
      <c r="K120" s="1703" t="s">
        <v>109</v>
      </c>
      <c r="L120" s="1703" t="s">
        <v>863</v>
      </c>
      <c r="M120" s="1703" t="s">
        <v>863</v>
      </c>
      <c r="N120" s="1703" t="s">
        <v>863</v>
      </c>
      <c r="O120" s="1703" t="s">
        <v>863</v>
      </c>
      <c r="P120" s="1703" t="s">
        <v>863</v>
      </c>
      <c r="Q120" s="1703" t="s">
        <v>863</v>
      </c>
      <c r="R120" s="1703" t="s">
        <v>863</v>
      </c>
      <c r="S120" s="1705" t="s">
        <v>988</v>
      </c>
      <c r="T120" s="1705" t="s">
        <v>109</v>
      </c>
      <c r="U120" s="1705" t="s">
        <v>109</v>
      </c>
      <c r="V120" s="1719">
        <v>1.510033244137075</v>
      </c>
      <c r="W120" s="1705">
        <v>0</v>
      </c>
      <c r="X120" s="1705" t="s">
        <v>109</v>
      </c>
      <c r="Y120" s="1705">
        <v>0</v>
      </c>
      <c r="Z120" s="1705">
        <v>5.5134524785620122E-2</v>
      </c>
      <c r="AA120" s="1705">
        <v>5.5134524785620122E-2</v>
      </c>
      <c r="AB120" s="1712">
        <v>1.510033244137075</v>
      </c>
      <c r="AC120" s="1712">
        <v>1.510033244137075</v>
      </c>
      <c r="AD120" s="1713" t="s">
        <v>109</v>
      </c>
      <c r="AE120" s="1712" t="s">
        <v>109</v>
      </c>
      <c r="AF120" s="1712" t="s">
        <v>109</v>
      </c>
      <c r="AG120" s="1713">
        <v>0</v>
      </c>
      <c r="AH120" s="1713">
        <f>IFERROR(TBL4_OptApp[[#This Row],[Total NPC (£m)]]/TBL4_OptApp[[#This Row],[Maximum option utilisation across the planning period (Ml/d)]],"N/A")</f>
        <v>0.77704574866971832</v>
      </c>
      <c r="AI120" s="1713">
        <v>1.173364912706657</v>
      </c>
      <c r="AJ120" s="1703" t="s">
        <v>109</v>
      </c>
      <c r="AK120" s="1705" t="s">
        <v>109</v>
      </c>
      <c r="AL120" s="1705" t="s">
        <v>109</v>
      </c>
      <c r="AM120" s="1705" t="s">
        <v>109</v>
      </c>
      <c r="AN120" s="1705" t="s">
        <v>109</v>
      </c>
      <c r="AO120" s="1705" t="s">
        <v>109</v>
      </c>
      <c r="AP120" s="1705" t="s">
        <v>109</v>
      </c>
      <c r="AQ120" s="1705" t="s">
        <v>109</v>
      </c>
      <c r="AR120" s="1705" t="s">
        <v>109</v>
      </c>
      <c r="AS120" s="1705" t="s">
        <v>109</v>
      </c>
      <c r="AT120" s="1705" t="s">
        <v>109</v>
      </c>
      <c r="AU120" s="1705" t="s">
        <v>109</v>
      </c>
      <c r="AV120" s="1705" t="s">
        <v>109</v>
      </c>
      <c r="AW120" s="1705"/>
      <c r="AX120" s="1705"/>
      <c r="AY120" s="1705"/>
      <c r="AZ120" s="1705"/>
      <c r="BA120" s="1705"/>
    </row>
    <row r="121" spans="2:53" ht="28.5" x14ac:dyDescent="0.2">
      <c r="B121" s="17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51aF</v>
      </c>
      <c r="C121" s="1703" t="s">
        <v>1132</v>
      </c>
      <c r="D121" s="1707" t="s">
        <v>1132</v>
      </c>
      <c r="E121" s="1708" t="s">
        <v>875</v>
      </c>
      <c r="F121" s="1703" t="str">
        <f>VLOOKUP(TBL4_OptApp[[#This Row],[Option type
Defined List]],'Option Typs_Grps'!B$2:C$47, 2, FALSE)</f>
        <v>Resource Options</v>
      </c>
      <c r="G121" s="1703" t="s">
        <v>105</v>
      </c>
      <c r="H121" s="1703" t="s">
        <v>862</v>
      </c>
      <c r="I121" s="1703" t="s">
        <v>863</v>
      </c>
      <c r="J121" s="1703" t="s">
        <v>109</v>
      </c>
      <c r="K121" s="1703" t="s">
        <v>109</v>
      </c>
      <c r="L121" s="1703" t="s">
        <v>863</v>
      </c>
      <c r="M121" s="1703" t="s">
        <v>863</v>
      </c>
      <c r="N121" s="1703" t="s">
        <v>863</v>
      </c>
      <c r="O121" s="1703" t="s">
        <v>863</v>
      </c>
      <c r="P121" s="1703" t="s">
        <v>863</v>
      </c>
      <c r="Q121" s="1703" t="s">
        <v>863</v>
      </c>
      <c r="R121" s="1703" t="s">
        <v>877</v>
      </c>
      <c r="S121" s="1705" t="s">
        <v>109</v>
      </c>
      <c r="T121" s="1705" t="s">
        <v>109</v>
      </c>
      <c r="U121" s="1705" t="s">
        <v>109</v>
      </c>
      <c r="V121" s="1712">
        <v>21.923285329765505</v>
      </c>
      <c r="W121" s="1705">
        <v>0</v>
      </c>
      <c r="X121" s="1705">
        <v>2026</v>
      </c>
      <c r="Y121" s="1705" t="s">
        <v>109</v>
      </c>
      <c r="Z121" s="1705" t="s">
        <v>109</v>
      </c>
      <c r="AA121" s="1705" t="s">
        <v>109</v>
      </c>
      <c r="AB121" s="1705">
        <v>15.65</v>
      </c>
      <c r="AC121" s="1712">
        <v>21.923285329765505</v>
      </c>
      <c r="AD121" s="1713" t="s">
        <v>109</v>
      </c>
      <c r="AE121" s="1712" t="s">
        <v>109</v>
      </c>
      <c r="AF121" s="1712" t="s">
        <v>109</v>
      </c>
      <c r="AG121" s="1713">
        <v>0</v>
      </c>
      <c r="AH121" s="1713" t="s">
        <v>109</v>
      </c>
      <c r="AI121" s="1713" t="s">
        <v>109</v>
      </c>
      <c r="AJ121" s="1703" t="s">
        <v>109</v>
      </c>
      <c r="AK121" s="1705" t="s">
        <v>109</v>
      </c>
      <c r="AL121" s="1705" t="s">
        <v>109</v>
      </c>
      <c r="AM121" s="1705" t="s">
        <v>109</v>
      </c>
      <c r="AN121" s="1705" t="s">
        <v>109</v>
      </c>
      <c r="AO121" s="1705" t="s">
        <v>109</v>
      </c>
      <c r="AP121" s="1705" t="s">
        <v>109</v>
      </c>
      <c r="AQ121" s="1705" t="s">
        <v>109</v>
      </c>
      <c r="AR121" s="1705" t="s">
        <v>109</v>
      </c>
      <c r="AS121" s="1705" t="s">
        <v>109</v>
      </c>
      <c r="AT121" s="1705" t="s">
        <v>109</v>
      </c>
      <c r="AU121" s="1705" t="s">
        <v>109</v>
      </c>
      <c r="AV121" s="1705" t="s">
        <v>109</v>
      </c>
      <c r="AW121" s="1705"/>
      <c r="AX121" s="1705"/>
      <c r="AY121" s="1705"/>
      <c r="AZ121" s="1705"/>
      <c r="BA121" s="1705"/>
    </row>
    <row r="122" spans="2:53" ht="28.5" x14ac:dyDescent="0.2">
      <c r="B122" s="17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51cF</v>
      </c>
      <c r="C122" s="1703" t="s">
        <v>1133</v>
      </c>
      <c r="D122" s="1703" t="s">
        <v>1134</v>
      </c>
      <c r="E122" s="1704" t="s">
        <v>907</v>
      </c>
      <c r="F122" s="1703" t="str">
        <f>VLOOKUP(TBL4_OptApp[[#This Row],[Option type
Defined List]],'Option Typs_Grps'!B$2:C$47, 2, FALSE)</f>
        <v>Distribution Options</v>
      </c>
      <c r="G122" s="1703" t="s">
        <v>105</v>
      </c>
      <c r="H122" s="1703" t="s">
        <v>862</v>
      </c>
      <c r="I122" s="1703" t="s">
        <v>863</v>
      </c>
      <c r="J122" s="1703" t="s">
        <v>109</v>
      </c>
      <c r="K122" s="1703" t="s">
        <v>109</v>
      </c>
      <c r="L122" s="1703" t="s">
        <v>863</v>
      </c>
      <c r="M122" s="1703" t="s">
        <v>863</v>
      </c>
      <c r="N122" s="1703" t="s">
        <v>863</v>
      </c>
      <c r="O122" s="1703" t="s">
        <v>863</v>
      </c>
      <c r="P122" s="1703" t="s">
        <v>863</v>
      </c>
      <c r="Q122" s="1703" t="s">
        <v>863</v>
      </c>
      <c r="R122" s="1703" t="s">
        <v>863</v>
      </c>
      <c r="S122" s="1705"/>
      <c r="T122" s="1705" t="s">
        <v>93</v>
      </c>
      <c r="U122" s="1705" t="s">
        <v>105</v>
      </c>
      <c r="V122" s="1707">
        <v>26.5</v>
      </c>
      <c r="W122" s="1705">
        <v>3</v>
      </c>
      <c r="X122" s="1703">
        <v>2030</v>
      </c>
      <c r="Y122" s="1717">
        <v>36.56</v>
      </c>
      <c r="Z122" s="1717">
        <v>1.02</v>
      </c>
      <c r="AA122" s="1703" t="s">
        <v>109</v>
      </c>
      <c r="AB122" s="1703" t="s">
        <v>109</v>
      </c>
      <c r="AC122" s="1705">
        <v>26.5</v>
      </c>
      <c r="AD122" s="1713">
        <v>51795.88</v>
      </c>
      <c r="AE122" s="1713">
        <v>1001.756</v>
      </c>
      <c r="AF122" s="1712" t="s">
        <v>109</v>
      </c>
      <c r="AG122" s="1713">
        <v>14.658973596163777</v>
      </c>
      <c r="AH122" s="1713">
        <f>IFERROR(TBL4_OptApp[[#This Row],[Total NPC (£m)]]/TBL4_OptApp[[#This Row],[Maximum option utilisation across the planning period (Ml/d)]],"N/A")</f>
        <v>1.5431548395308734</v>
      </c>
      <c r="AI122" s="1713">
        <v>40.893603247568144</v>
      </c>
      <c r="AJ122" s="1703"/>
      <c r="AK122" s="1703"/>
      <c r="AL122" s="1703"/>
      <c r="AM122" s="1703"/>
      <c r="AN122" s="1703"/>
      <c r="AO122" s="1703"/>
      <c r="AP122" s="1703"/>
      <c r="AQ122" s="1703"/>
      <c r="AR122" s="1703"/>
      <c r="AS122" s="1703"/>
      <c r="AT122" s="1703"/>
      <c r="AU122" s="1703"/>
      <c r="AV122" s="1703"/>
      <c r="AW122" s="1703"/>
      <c r="AX122" s="1703"/>
      <c r="AY122" s="1703"/>
      <c r="AZ122" s="1705"/>
      <c r="BA122" s="1705"/>
    </row>
    <row r="123" spans="2:53" ht="28.5" x14ac:dyDescent="0.2">
      <c r="B123" s="17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51cF</v>
      </c>
      <c r="C123" s="1703" t="s">
        <v>1135</v>
      </c>
      <c r="D123" s="1703" t="s">
        <v>1136</v>
      </c>
      <c r="E123" s="1704" t="s">
        <v>907</v>
      </c>
      <c r="F123" s="1703" t="str">
        <f>VLOOKUP(TBL4_OptApp[[#This Row],[Option type
Defined List]],'Option Typs_Grps'!B$2:C$47, 2, FALSE)</f>
        <v>Distribution Options</v>
      </c>
      <c r="G123" s="1703" t="s">
        <v>102</v>
      </c>
      <c r="H123" s="1703" t="s">
        <v>862</v>
      </c>
      <c r="I123" s="1703" t="s">
        <v>863</v>
      </c>
      <c r="J123" s="1703" t="s">
        <v>109</v>
      </c>
      <c r="K123" s="1703" t="s">
        <v>109</v>
      </c>
      <c r="L123" s="1703" t="s">
        <v>863</v>
      </c>
      <c r="M123" s="1703" t="s">
        <v>863</v>
      </c>
      <c r="N123" s="1703" t="s">
        <v>863</v>
      </c>
      <c r="O123" s="1703" t="s">
        <v>863</v>
      </c>
      <c r="P123" s="1703" t="s">
        <v>863</v>
      </c>
      <c r="Q123" s="1703" t="s">
        <v>863</v>
      </c>
      <c r="R123" s="1703" t="s">
        <v>863</v>
      </c>
      <c r="S123" s="1705"/>
      <c r="T123" s="1705" t="s">
        <v>93</v>
      </c>
      <c r="U123" s="1705" t="s">
        <v>102</v>
      </c>
      <c r="V123" s="1707">
        <v>9.5</v>
      </c>
      <c r="W123" s="1705">
        <v>3</v>
      </c>
      <c r="X123" s="1703">
        <v>2030</v>
      </c>
      <c r="Y123" s="1717">
        <v>31.87</v>
      </c>
      <c r="Z123" s="1717">
        <v>0.36</v>
      </c>
      <c r="AA123" s="1703" t="s">
        <v>109</v>
      </c>
      <c r="AB123" s="1703" t="s">
        <v>109</v>
      </c>
      <c r="AC123" s="1705">
        <v>9.5</v>
      </c>
      <c r="AD123" s="1713">
        <v>46717.048999999999</v>
      </c>
      <c r="AE123" s="1713">
        <v>324.50200000000001</v>
      </c>
      <c r="AF123" s="1712" t="s">
        <v>109</v>
      </c>
      <c r="AG123" s="1713">
        <v>12.891839336297048</v>
      </c>
      <c r="AH123" s="1713">
        <f>IFERROR(TBL4_OptApp[[#This Row],[Total NPC (£m)]]/TBL4_OptApp[[#This Row],[Maximum option utilisation across the planning period (Ml/d)]],"N/A")</f>
        <v>3.1017519399060758</v>
      </c>
      <c r="AI123" s="1713">
        <v>29.466643429107719</v>
      </c>
      <c r="AJ123" s="1703"/>
      <c r="AK123" s="1703"/>
      <c r="AL123" s="1703"/>
      <c r="AM123" s="1703"/>
      <c r="AN123" s="1703"/>
      <c r="AO123" s="1703"/>
      <c r="AP123" s="1703"/>
      <c r="AQ123" s="1703"/>
      <c r="AR123" s="1703"/>
      <c r="AS123" s="1703"/>
      <c r="AT123" s="1703"/>
      <c r="AU123" s="1703"/>
      <c r="AV123" s="1703"/>
      <c r="AW123" s="1703"/>
      <c r="AX123" s="1703"/>
      <c r="AY123" s="1703"/>
      <c r="AZ123" s="1705"/>
      <c r="BA123" s="1705"/>
    </row>
    <row r="124" spans="2:53" ht="28.5" x14ac:dyDescent="0.2">
      <c r="B124" s="17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51aF</v>
      </c>
      <c r="C124" s="1703" t="s">
        <v>1137</v>
      </c>
      <c r="D124" s="1703" t="s">
        <v>1138</v>
      </c>
      <c r="E124" s="1704" t="s">
        <v>916</v>
      </c>
      <c r="F124" s="1703" t="str">
        <f>VLOOKUP(TBL4_OptApp[[#This Row],[Option type
Defined List]],'Option Typs_Grps'!B$2:C$47, 2, FALSE)</f>
        <v>Resource Options</v>
      </c>
      <c r="G124" s="1703" t="s">
        <v>93</v>
      </c>
      <c r="H124" s="1703" t="s">
        <v>862</v>
      </c>
      <c r="I124" s="1703" t="s">
        <v>863</v>
      </c>
      <c r="J124" s="1703" t="s">
        <v>109</v>
      </c>
      <c r="K124" s="1703" t="s">
        <v>1139</v>
      </c>
      <c r="L124" s="1703" t="s">
        <v>863</v>
      </c>
      <c r="M124" s="1703" t="s">
        <v>863</v>
      </c>
      <c r="N124" s="1703" t="s">
        <v>863</v>
      </c>
      <c r="O124" s="1703" t="s">
        <v>863</v>
      </c>
      <c r="P124" s="1703" t="s">
        <v>863</v>
      </c>
      <c r="Q124" s="1703" t="s">
        <v>863</v>
      </c>
      <c r="R124" s="1703" t="s">
        <v>863</v>
      </c>
      <c r="S124" s="1705"/>
      <c r="T124" s="1705" t="s">
        <v>109</v>
      </c>
      <c r="U124" s="1705" t="s">
        <v>109</v>
      </c>
      <c r="V124" s="1707">
        <v>20.100000000000001</v>
      </c>
      <c r="W124" s="1705">
        <v>5</v>
      </c>
      <c r="X124" s="1703">
        <v>2032</v>
      </c>
      <c r="Y124" s="1707">
        <v>153.55000000000001</v>
      </c>
      <c r="Z124" s="1707">
        <v>9.74</v>
      </c>
      <c r="AA124" s="1703" t="s">
        <v>109</v>
      </c>
      <c r="AB124" s="1703" t="s">
        <v>109</v>
      </c>
      <c r="AC124" s="1703">
        <v>20.100000000000001</v>
      </c>
      <c r="AD124" s="1713">
        <f>(9132104+18483146)/1000</f>
        <v>27615.25</v>
      </c>
      <c r="AE124" s="1713">
        <v>7972.0429999999997</v>
      </c>
      <c r="AF124" s="1712">
        <v>0</v>
      </c>
      <c r="AG124" s="1713" t="s">
        <v>927</v>
      </c>
      <c r="AH124" s="1713">
        <f>IFERROR(TBL4_OptApp[[#This Row],[Total NPC (£m)]]/TBL4_OptApp[[#This Row],[Maximum option utilisation across the planning period (Ml/d)]],"N/A")</f>
        <v>10.150248756218906</v>
      </c>
      <c r="AI124" s="1713">
        <v>204.02</v>
      </c>
      <c r="AJ124" s="1703"/>
      <c r="AK124" s="1705"/>
      <c r="AL124" s="1705"/>
      <c r="AM124" s="1705"/>
      <c r="AN124" s="1705"/>
      <c r="AO124" s="1705"/>
      <c r="AP124" s="1705"/>
      <c r="AQ124" s="1705"/>
      <c r="AR124" s="1705"/>
      <c r="AS124" s="1705"/>
      <c r="AT124" s="1705"/>
      <c r="AU124" s="1705"/>
      <c r="AV124" s="1705"/>
      <c r="AW124" s="1705"/>
      <c r="AX124" s="1705"/>
      <c r="AY124" s="1705"/>
      <c r="AZ124" s="1705"/>
      <c r="BA124" s="1705"/>
    </row>
    <row r="125" spans="2:53" x14ac:dyDescent="0.2">
      <c r="B125" s="17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125" s="1703" t="s">
        <v>1140</v>
      </c>
      <c r="D125" s="1707" t="s">
        <v>1141</v>
      </c>
      <c r="E125" s="1714" t="s">
        <v>1142</v>
      </c>
      <c r="F125" s="1703" t="str">
        <f>VLOOKUP(TBL4_OptApp[[#This Row],[Option type
Defined List]],'Option Typs_Grps'!B$2:C$47, 2, FALSE)</f>
        <v>Customer Options</v>
      </c>
      <c r="G125" s="1703" t="s">
        <v>861</v>
      </c>
      <c r="H125" s="1703" t="s">
        <v>876</v>
      </c>
      <c r="I125" s="1703" t="s">
        <v>863</v>
      </c>
      <c r="J125" s="1703" t="s">
        <v>109</v>
      </c>
      <c r="K125" s="1703" t="s">
        <v>109</v>
      </c>
      <c r="L125" s="1703" t="s">
        <v>877</v>
      </c>
      <c r="M125" s="1703" t="s">
        <v>877</v>
      </c>
      <c r="N125" s="1703" t="s">
        <v>877</v>
      </c>
      <c r="O125" s="1703" t="s">
        <v>877</v>
      </c>
      <c r="P125" s="1703" t="s">
        <v>863</v>
      </c>
      <c r="Q125" s="1703" t="s">
        <v>877</v>
      </c>
      <c r="R125" s="1703" t="s">
        <v>877</v>
      </c>
      <c r="S125" s="1705" t="s">
        <v>109</v>
      </c>
      <c r="T125" s="1705" t="s">
        <v>109</v>
      </c>
      <c r="U125" s="1705" t="s">
        <v>109</v>
      </c>
      <c r="V125" s="1719">
        <v>4.4779699063603138</v>
      </c>
      <c r="W125" s="1705">
        <v>0</v>
      </c>
      <c r="X125" s="1705">
        <v>2025</v>
      </c>
      <c r="Y125" s="1705">
        <v>0</v>
      </c>
      <c r="Z125" s="1705">
        <v>0.34767182688343984</v>
      </c>
      <c r="AA125" s="1705">
        <v>0.34767182688343984</v>
      </c>
      <c r="AB125" s="1712">
        <v>4.4779699063603138</v>
      </c>
      <c r="AC125" s="1712">
        <v>4.4779699063603138</v>
      </c>
      <c r="AD125" s="1713" t="s">
        <v>109</v>
      </c>
      <c r="AE125" s="1712" t="s">
        <v>109</v>
      </c>
      <c r="AF125" s="1712" t="s">
        <v>109</v>
      </c>
      <c r="AG125" s="1713">
        <v>0</v>
      </c>
      <c r="AH125" s="1713">
        <f>IFERROR(TBL4_OptApp[[#This Row],[Total NPC (£m)]]/TBL4_OptApp[[#This Row],[Maximum option utilisation across the planning period (Ml/d)]],"N/A")</f>
        <v>1.6523338145010558</v>
      </c>
      <c r="AI125" s="1713">
        <v>7.3991010965972723</v>
      </c>
      <c r="AJ125" s="1703" t="s">
        <v>109</v>
      </c>
      <c r="AK125" s="1705" t="s">
        <v>109</v>
      </c>
      <c r="AL125" s="1705" t="s">
        <v>109</v>
      </c>
      <c r="AM125" s="1705" t="s">
        <v>109</v>
      </c>
      <c r="AN125" s="1705" t="s">
        <v>109</v>
      </c>
      <c r="AO125" s="1705" t="s">
        <v>109</v>
      </c>
      <c r="AP125" s="1705" t="s">
        <v>109</v>
      </c>
      <c r="AQ125" s="1705" t="s">
        <v>109</v>
      </c>
      <c r="AR125" s="1705" t="s">
        <v>109</v>
      </c>
      <c r="AS125" s="1705" t="s">
        <v>109</v>
      </c>
      <c r="AT125" s="1705" t="s">
        <v>109</v>
      </c>
      <c r="AU125" s="1705" t="s">
        <v>109</v>
      </c>
      <c r="AV125" s="1705" t="s">
        <v>109</v>
      </c>
      <c r="AW125" s="1705"/>
      <c r="AX125" s="1705"/>
      <c r="AY125" s="1705"/>
      <c r="AZ125" s="1705"/>
      <c r="BA125" s="1705"/>
    </row>
    <row r="126" spans="2:53" x14ac:dyDescent="0.2">
      <c r="B126" s="17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126" s="1703" t="s">
        <v>1143</v>
      </c>
      <c r="D126" s="1707" t="s">
        <v>1023</v>
      </c>
      <c r="E126" s="1714" t="s">
        <v>987</v>
      </c>
      <c r="F126" s="1703" t="str">
        <f>VLOOKUP(TBL4_OptApp[[#This Row],[Option type
Defined List]],'Option Typs_Grps'!B$2:C$47, 2, FALSE)</f>
        <v>Customer Options</v>
      </c>
      <c r="G126" s="1703" t="s">
        <v>861</v>
      </c>
      <c r="H126" s="1703" t="s">
        <v>876</v>
      </c>
      <c r="I126" s="1703" t="s">
        <v>863</v>
      </c>
      <c r="J126" s="1703" t="s">
        <v>109</v>
      </c>
      <c r="K126" s="1703" t="s">
        <v>109</v>
      </c>
      <c r="L126" s="1703" t="s">
        <v>877</v>
      </c>
      <c r="M126" s="1703" t="s">
        <v>877</v>
      </c>
      <c r="N126" s="1703" t="s">
        <v>877</v>
      </c>
      <c r="O126" s="1703" t="s">
        <v>877</v>
      </c>
      <c r="P126" s="1703" t="s">
        <v>863</v>
      </c>
      <c r="Q126" s="1703" t="s">
        <v>877</v>
      </c>
      <c r="R126" s="1703" t="s">
        <v>877</v>
      </c>
      <c r="S126" s="1705" t="s">
        <v>109</v>
      </c>
      <c r="T126" s="1705" t="s">
        <v>109</v>
      </c>
      <c r="U126" s="1705" t="s">
        <v>109</v>
      </c>
      <c r="V126" s="1719">
        <v>4.9894461539566111</v>
      </c>
      <c r="W126" s="1705">
        <v>0</v>
      </c>
      <c r="X126" s="1705">
        <v>2025</v>
      </c>
      <c r="Y126" s="1705">
        <v>0</v>
      </c>
      <c r="Z126" s="1705">
        <v>5.4053455672176598E-3</v>
      </c>
      <c r="AA126" s="1705">
        <v>5.4053455672176598E-3</v>
      </c>
      <c r="AB126" s="1712">
        <v>4.9894461539566111</v>
      </c>
      <c r="AC126" s="1712">
        <v>4.9894461539566111</v>
      </c>
      <c r="AD126" s="1713" t="s">
        <v>109</v>
      </c>
      <c r="AE126" s="1712" t="s">
        <v>109</v>
      </c>
      <c r="AF126" s="1712" t="s">
        <v>109</v>
      </c>
      <c r="AG126" s="1713">
        <v>0</v>
      </c>
      <c r="AH126" s="1713">
        <f>IFERROR(TBL4_OptApp[[#This Row],[Total NPC (£m)]]/TBL4_OptApp[[#This Row],[Maximum option utilisation across the planning period (Ml/d)]],"N/A")</f>
        <v>2.3055820667456574E-2</v>
      </c>
      <c r="AI126" s="1713">
        <v>0.11503577575555456</v>
      </c>
      <c r="AJ126" s="1703" t="s">
        <v>109</v>
      </c>
      <c r="AK126" s="1705" t="s">
        <v>109</v>
      </c>
      <c r="AL126" s="1705" t="s">
        <v>109</v>
      </c>
      <c r="AM126" s="1705" t="s">
        <v>109</v>
      </c>
      <c r="AN126" s="1705" t="s">
        <v>109</v>
      </c>
      <c r="AO126" s="1705" t="s">
        <v>109</v>
      </c>
      <c r="AP126" s="1705" t="s">
        <v>109</v>
      </c>
      <c r="AQ126" s="1705" t="s">
        <v>109</v>
      </c>
      <c r="AR126" s="1705" t="s">
        <v>109</v>
      </c>
      <c r="AS126" s="1705" t="s">
        <v>109</v>
      </c>
      <c r="AT126" s="1705" t="s">
        <v>109</v>
      </c>
      <c r="AU126" s="1705" t="s">
        <v>109</v>
      </c>
      <c r="AV126" s="1705" t="s">
        <v>109</v>
      </c>
      <c r="AW126" s="1705"/>
      <c r="AX126" s="1705"/>
      <c r="AY126" s="1705"/>
      <c r="AZ126" s="1705"/>
      <c r="BA126" s="1705"/>
    </row>
    <row r="127" spans="2:53" ht="42.75" x14ac:dyDescent="0.2">
      <c r="B127" s="17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127" s="1703" t="s">
        <v>1144</v>
      </c>
      <c r="D127" s="1707" t="s">
        <v>1029</v>
      </c>
      <c r="E127" s="1714" t="s">
        <v>987</v>
      </c>
      <c r="F127" s="1703" t="str">
        <f>VLOOKUP(TBL4_OptApp[[#This Row],[Option type
Defined List]],'Option Typs_Grps'!B$2:C$47, 2, FALSE)</f>
        <v>Customer Options</v>
      </c>
      <c r="G127" s="1703" t="s">
        <v>861</v>
      </c>
      <c r="H127" s="1703" t="s">
        <v>876</v>
      </c>
      <c r="I127" s="1703" t="s">
        <v>863</v>
      </c>
      <c r="J127" s="1703" t="s">
        <v>109</v>
      </c>
      <c r="K127" s="1703" t="s">
        <v>109</v>
      </c>
      <c r="L127" s="1703" t="s">
        <v>877</v>
      </c>
      <c r="M127" s="1703" t="s">
        <v>877</v>
      </c>
      <c r="N127" s="1703" t="s">
        <v>877</v>
      </c>
      <c r="O127" s="1703" t="s">
        <v>877</v>
      </c>
      <c r="P127" s="1703" t="s">
        <v>863</v>
      </c>
      <c r="Q127" s="1703" t="s">
        <v>877</v>
      </c>
      <c r="R127" s="1703" t="s">
        <v>877</v>
      </c>
      <c r="S127" s="1705" t="s">
        <v>109</v>
      </c>
      <c r="T127" s="1705" t="s">
        <v>109</v>
      </c>
      <c r="U127" s="1705" t="s">
        <v>109</v>
      </c>
      <c r="V127" s="1719">
        <v>1.1642041025898757</v>
      </c>
      <c r="W127" s="1705">
        <v>0</v>
      </c>
      <c r="X127" s="1705">
        <v>2025</v>
      </c>
      <c r="Y127" s="1705">
        <v>0</v>
      </c>
      <c r="Z127" s="1705">
        <v>2.2702451382314172E-2</v>
      </c>
      <c r="AA127" s="1705">
        <v>2.2702451382314172E-2</v>
      </c>
      <c r="AB127" s="1712">
        <v>1.1642041025898757</v>
      </c>
      <c r="AC127" s="1712">
        <v>1.1642041025898757</v>
      </c>
      <c r="AD127" s="1713" t="s">
        <v>109</v>
      </c>
      <c r="AE127" s="1712" t="s">
        <v>109</v>
      </c>
      <c r="AF127" s="1712" t="s">
        <v>109</v>
      </c>
      <c r="AG127" s="1713">
        <v>0</v>
      </c>
      <c r="AH127" s="1713">
        <f>IFERROR(TBL4_OptApp[[#This Row],[Total NPC (£m)]]/TBL4_OptApp[[#This Row],[Maximum option utilisation across the planning period (Ml/d)]],"N/A")</f>
        <v>0.41500477201421854</v>
      </c>
      <c r="AI127" s="1713">
        <v>0.48315025817332924</v>
      </c>
      <c r="AJ127" s="1703" t="s">
        <v>109</v>
      </c>
      <c r="AK127" s="1705" t="s">
        <v>109</v>
      </c>
      <c r="AL127" s="1705" t="s">
        <v>109</v>
      </c>
      <c r="AM127" s="1705" t="s">
        <v>109</v>
      </c>
      <c r="AN127" s="1705" t="s">
        <v>109</v>
      </c>
      <c r="AO127" s="1705" t="s">
        <v>109</v>
      </c>
      <c r="AP127" s="1705" t="s">
        <v>109</v>
      </c>
      <c r="AQ127" s="1705" t="s">
        <v>109</v>
      </c>
      <c r="AR127" s="1705" t="s">
        <v>109</v>
      </c>
      <c r="AS127" s="1705" t="s">
        <v>109</v>
      </c>
      <c r="AT127" s="1705" t="s">
        <v>109</v>
      </c>
      <c r="AU127" s="1705" t="s">
        <v>109</v>
      </c>
      <c r="AV127" s="1705" t="s">
        <v>109</v>
      </c>
      <c r="AW127" s="1705"/>
      <c r="AX127" s="1705"/>
      <c r="AY127" s="1705"/>
      <c r="AZ127" s="1705"/>
      <c r="BA127" s="1705"/>
    </row>
    <row r="128" spans="2:53" ht="28.5" x14ac:dyDescent="0.2">
      <c r="B128" s="17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128" s="1703" t="s">
        <v>1145</v>
      </c>
      <c r="D128" s="1707" t="s">
        <v>1027</v>
      </c>
      <c r="E128" s="1714" t="s">
        <v>987</v>
      </c>
      <c r="F128" s="1703" t="str">
        <f>VLOOKUP(TBL4_OptApp[[#This Row],[Option type
Defined List]],'Option Typs_Grps'!B$2:C$47, 2, FALSE)</f>
        <v>Customer Options</v>
      </c>
      <c r="G128" s="1703" t="s">
        <v>861</v>
      </c>
      <c r="H128" s="1703" t="s">
        <v>876</v>
      </c>
      <c r="I128" s="1703" t="s">
        <v>863</v>
      </c>
      <c r="J128" s="1703" t="s">
        <v>109</v>
      </c>
      <c r="K128" s="1703" t="s">
        <v>109</v>
      </c>
      <c r="L128" s="1703" t="s">
        <v>877</v>
      </c>
      <c r="M128" s="1703" t="s">
        <v>877</v>
      </c>
      <c r="N128" s="1703" t="s">
        <v>877</v>
      </c>
      <c r="O128" s="1703" t="s">
        <v>877</v>
      </c>
      <c r="P128" s="1703" t="s">
        <v>863</v>
      </c>
      <c r="Q128" s="1703" t="s">
        <v>877</v>
      </c>
      <c r="R128" s="1703" t="s">
        <v>877</v>
      </c>
      <c r="S128" s="1705" t="s">
        <v>109</v>
      </c>
      <c r="T128" s="1705" t="s">
        <v>109</v>
      </c>
      <c r="U128" s="1705" t="s">
        <v>109</v>
      </c>
      <c r="V128" s="1719">
        <v>6.3199651283450402</v>
      </c>
      <c r="W128" s="1705">
        <v>0</v>
      </c>
      <c r="X128" s="1705">
        <v>2025</v>
      </c>
      <c r="Y128" s="1705">
        <v>0</v>
      </c>
      <c r="Z128" s="1705">
        <v>0</v>
      </c>
      <c r="AA128" s="1705">
        <v>0</v>
      </c>
      <c r="AB128" s="1712">
        <v>6.3199651283450402</v>
      </c>
      <c r="AC128" s="1712">
        <v>6.3199651283450402</v>
      </c>
      <c r="AD128" s="1713">
        <v>0</v>
      </c>
      <c r="AE128" s="1713">
        <v>0</v>
      </c>
      <c r="AF128" s="1713">
        <v>0</v>
      </c>
      <c r="AG128" s="1713">
        <v>0</v>
      </c>
      <c r="AH128" s="1713">
        <v>0</v>
      </c>
      <c r="AI128" s="1713">
        <v>0</v>
      </c>
      <c r="AJ128" s="1703" t="s">
        <v>109</v>
      </c>
      <c r="AK128" s="1705" t="s">
        <v>109</v>
      </c>
      <c r="AL128" s="1705" t="s">
        <v>109</v>
      </c>
      <c r="AM128" s="1705" t="s">
        <v>109</v>
      </c>
      <c r="AN128" s="1705" t="s">
        <v>109</v>
      </c>
      <c r="AO128" s="1705" t="s">
        <v>109</v>
      </c>
      <c r="AP128" s="1705" t="s">
        <v>109</v>
      </c>
      <c r="AQ128" s="1705" t="s">
        <v>109</v>
      </c>
      <c r="AR128" s="1705" t="s">
        <v>109</v>
      </c>
      <c r="AS128" s="1705" t="s">
        <v>109</v>
      </c>
      <c r="AT128" s="1705" t="s">
        <v>109</v>
      </c>
      <c r="AU128" s="1705" t="s">
        <v>109</v>
      </c>
      <c r="AV128" s="1705" t="s">
        <v>109</v>
      </c>
      <c r="AW128" s="1705"/>
      <c r="AX128" s="1705"/>
      <c r="AY128" s="1705"/>
      <c r="AZ128" s="1705"/>
      <c r="BA128" s="1705"/>
    </row>
    <row r="129" spans="2:53" x14ac:dyDescent="0.2">
      <c r="B129" s="17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129" s="1703" t="s">
        <v>1146</v>
      </c>
      <c r="D129" s="1707" t="s">
        <v>1017</v>
      </c>
      <c r="E129" s="1714" t="s">
        <v>987</v>
      </c>
      <c r="F129" s="1703" t="str">
        <f>VLOOKUP(TBL4_OptApp[[#This Row],[Option type
Defined List]],'Option Typs_Grps'!B$2:C$47, 2, FALSE)</f>
        <v>Customer Options</v>
      </c>
      <c r="G129" s="1703" t="s">
        <v>861</v>
      </c>
      <c r="H129" s="1703" t="s">
        <v>876</v>
      </c>
      <c r="I129" s="1703" t="s">
        <v>863</v>
      </c>
      <c r="J129" s="1703" t="s">
        <v>109</v>
      </c>
      <c r="K129" s="1703" t="s">
        <v>109</v>
      </c>
      <c r="L129" s="1703" t="s">
        <v>877</v>
      </c>
      <c r="M129" s="1703" t="s">
        <v>877</v>
      </c>
      <c r="N129" s="1703" t="s">
        <v>877</v>
      </c>
      <c r="O129" s="1703" t="s">
        <v>877</v>
      </c>
      <c r="P129" s="1703" t="s">
        <v>863</v>
      </c>
      <c r="Q129" s="1703" t="s">
        <v>877</v>
      </c>
      <c r="R129" s="1703" t="s">
        <v>877</v>
      </c>
      <c r="S129" s="1705" t="s">
        <v>109</v>
      </c>
      <c r="T129" s="1705" t="s">
        <v>109</v>
      </c>
      <c r="U129" s="1705" t="s">
        <v>109</v>
      </c>
      <c r="V129" s="1719">
        <v>4.1578717949638433</v>
      </c>
      <c r="W129" s="1705">
        <v>0</v>
      </c>
      <c r="X129" s="1705">
        <v>2025</v>
      </c>
      <c r="Y129" s="1705">
        <v>0</v>
      </c>
      <c r="Z129" s="1705">
        <v>0.13513363918044147</v>
      </c>
      <c r="AA129" s="1705">
        <v>0.13513363918044147</v>
      </c>
      <c r="AB129" s="1712">
        <v>4.1578717949638433</v>
      </c>
      <c r="AC129" s="1712">
        <v>4.1578717949638433</v>
      </c>
      <c r="AD129" s="1713" t="s">
        <v>109</v>
      </c>
      <c r="AE129" s="1712" t="s">
        <v>109</v>
      </c>
      <c r="AF129" s="1712" t="s">
        <v>109</v>
      </c>
      <c r="AG129" s="1713">
        <v>0</v>
      </c>
      <c r="AH129" s="1713">
        <f>IFERROR(TBL4_OptApp[[#This Row],[Total NPC (£m)]]/TBL4_OptApp[[#This Row],[Maximum option utilisation across the planning period (Ml/d)]],"N/A")</f>
        <v>0.69167462002369751</v>
      </c>
      <c r="AI129" s="1713">
        <v>2.8758943938888653</v>
      </c>
      <c r="AJ129" s="1703" t="s">
        <v>109</v>
      </c>
      <c r="AK129" s="1705" t="s">
        <v>109</v>
      </c>
      <c r="AL129" s="1705" t="s">
        <v>109</v>
      </c>
      <c r="AM129" s="1705" t="s">
        <v>109</v>
      </c>
      <c r="AN129" s="1705" t="s">
        <v>109</v>
      </c>
      <c r="AO129" s="1705" t="s">
        <v>109</v>
      </c>
      <c r="AP129" s="1705" t="s">
        <v>109</v>
      </c>
      <c r="AQ129" s="1705" t="s">
        <v>109</v>
      </c>
      <c r="AR129" s="1705" t="s">
        <v>109</v>
      </c>
      <c r="AS129" s="1705" t="s">
        <v>109</v>
      </c>
      <c r="AT129" s="1705" t="s">
        <v>109</v>
      </c>
      <c r="AU129" s="1705" t="s">
        <v>109</v>
      </c>
      <c r="AV129" s="1705" t="s">
        <v>109</v>
      </c>
      <c r="AW129" s="1705"/>
      <c r="AX129" s="1705"/>
      <c r="AY129" s="1705"/>
      <c r="AZ129" s="1705"/>
      <c r="BA129" s="1705"/>
    </row>
    <row r="130" spans="2:53" ht="28.5" x14ac:dyDescent="0.2">
      <c r="B130" s="17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130" s="1703" t="s">
        <v>1147</v>
      </c>
      <c r="D130" s="1707" t="s">
        <v>1005</v>
      </c>
      <c r="E130" s="1714" t="s">
        <v>1006</v>
      </c>
      <c r="F130" s="1703" t="str">
        <f>VLOOKUP(TBL4_OptApp[[#This Row],[Option type
Defined List]],'Option Typs_Grps'!B$2:C$47, 2, FALSE)</f>
        <v>Customer Options</v>
      </c>
      <c r="G130" s="1703" t="s">
        <v>861</v>
      </c>
      <c r="H130" s="1703" t="s">
        <v>876</v>
      </c>
      <c r="I130" s="1703" t="s">
        <v>863</v>
      </c>
      <c r="J130" s="1703" t="s">
        <v>109</v>
      </c>
      <c r="K130" s="1703" t="s">
        <v>109</v>
      </c>
      <c r="L130" s="1703" t="s">
        <v>877</v>
      </c>
      <c r="M130" s="1703" t="s">
        <v>877</v>
      </c>
      <c r="N130" s="1703" t="s">
        <v>877</v>
      </c>
      <c r="O130" s="1703" t="s">
        <v>877</v>
      </c>
      <c r="P130" s="1703" t="s">
        <v>863</v>
      </c>
      <c r="Q130" s="1703" t="s">
        <v>877</v>
      </c>
      <c r="R130" s="1703" t="s">
        <v>877</v>
      </c>
      <c r="S130" s="1705" t="s">
        <v>109</v>
      </c>
      <c r="T130" s="1705" t="s">
        <v>109</v>
      </c>
      <c r="U130" s="1705" t="s">
        <v>109</v>
      </c>
      <c r="V130" s="1719">
        <v>2.9008407871840762</v>
      </c>
      <c r="W130" s="1705">
        <v>0</v>
      </c>
      <c r="X130" s="1705">
        <v>2025</v>
      </c>
      <c r="Y130" s="1705">
        <v>0</v>
      </c>
      <c r="Z130" s="1705">
        <v>2.2522273196740248E-2</v>
      </c>
      <c r="AA130" s="1705">
        <v>2.2522273196740248E-2</v>
      </c>
      <c r="AB130" s="1712">
        <v>2.9008407871840762</v>
      </c>
      <c r="AC130" s="1712">
        <v>2.9008407871840762</v>
      </c>
      <c r="AD130" s="1713" t="s">
        <v>109</v>
      </c>
      <c r="AE130" s="1712" t="s">
        <v>109</v>
      </c>
      <c r="AF130" s="1712" t="s">
        <v>109</v>
      </c>
      <c r="AG130" s="1713">
        <v>0</v>
      </c>
      <c r="AH130" s="1713">
        <f>IFERROR(TBL4_OptApp[[#This Row],[Total NPC (£m)]]/TBL4_OptApp[[#This Row],[Maximum option utilisation across the planning period (Ml/d)]],"N/A")</f>
        <v>0.16523338145010549</v>
      </c>
      <c r="AI130" s="1713">
        <v>0.47931573231481073</v>
      </c>
      <c r="AJ130" s="1703" t="s">
        <v>109</v>
      </c>
      <c r="AK130" s="1705" t="s">
        <v>109</v>
      </c>
      <c r="AL130" s="1705" t="s">
        <v>109</v>
      </c>
      <c r="AM130" s="1705" t="s">
        <v>109</v>
      </c>
      <c r="AN130" s="1705" t="s">
        <v>109</v>
      </c>
      <c r="AO130" s="1705" t="s">
        <v>109</v>
      </c>
      <c r="AP130" s="1705" t="s">
        <v>109</v>
      </c>
      <c r="AQ130" s="1705" t="s">
        <v>109</v>
      </c>
      <c r="AR130" s="1705" t="s">
        <v>109</v>
      </c>
      <c r="AS130" s="1705" t="s">
        <v>109</v>
      </c>
      <c r="AT130" s="1705" t="s">
        <v>109</v>
      </c>
      <c r="AU130" s="1705" t="s">
        <v>109</v>
      </c>
      <c r="AV130" s="1705" t="s">
        <v>109</v>
      </c>
      <c r="AW130" s="1705"/>
      <c r="AX130" s="1705"/>
      <c r="AY130" s="1705"/>
      <c r="AZ130" s="1705"/>
      <c r="BA130" s="1705"/>
    </row>
    <row r="131" spans="2:53" x14ac:dyDescent="0.2">
      <c r="B131" s="17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131" s="1703" t="s">
        <v>1148</v>
      </c>
      <c r="D131" s="1707" t="s">
        <v>1149</v>
      </c>
      <c r="E131" s="1714" t="s">
        <v>987</v>
      </c>
      <c r="F131" s="1703" t="str">
        <f>VLOOKUP(TBL4_OptApp[[#This Row],[Option type
Defined List]],'Option Typs_Grps'!B$2:C$47, 2, FALSE)</f>
        <v>Customer Options</v>
      </c>
      <c r="G131" s="1703" t="s">
        <v>861</v>
      </c>
      <c r="H131" s="1703" t="s">
        <v>876</v>
      </c>
      <c r="I131" s="1703" t="s">
        <v>863</v>
      </c>
      <c r="J131" s="1703" t="s">
        <v>109</v>
      </c>
      <c r="K131" s="1703" t="s">
        <v>109</v>
      </c>
      <c r="L131" s="1703" t="s">
        <v>877</v>
      </c>
      <c r="M131" s="1703" t="s">
        <v>877</v>
      </c>
      <c r="N131" s="1703" t="s">
        <v>877</v>
      </c>
      <c r="O131" s="1703" t="s">
        <v>877</v>
      </c>
      <c r="P131" s="1703" t="s">
        <v>863</v>
      </c>
      <c r="Q131" s="1703" t="s">
        <v>877</v>
      </c>
      <c r="R131" s="1703" t="s">
        <v>877</v>
      </c>
      <c r="S131" s="1705" t="s">
        <v>109</v>
      </c>
      <c r="T131" s="1705" t="s">
        <v>109</v>
      </c>
      <c r="U131" s="1705" t="s">
        <v>109</v>
      </c>
      <c r="V131" s="1719">
        <v>0.9978892307913223</v>
      </c>
      <c r="W131" s="1705">
        <v>0</v>
      </c>
      <c r="X131" s="1705">
        <v>2025</v>
      </c>
      <c r="Y131" s="1705">
        <v>0</v>
      </c>
      <c r="Z131" s="1705">
        <v>4.9549001032828541E-2</v>
      </c>
      <c r="AA131" s="1705">
        <v>4.9549001032828541E-2</v>
      </c>
      <c r="AB131" s="1712">
        <v>0.9978892307913223</v>
      </c>
      <c r="AC131" s="1712">
        <v>0.9978892307913223</v>
      </c>
      <c r="AD131" s="1713" t="s">
        <v>109</v>
      </c>
      <c r="AE131" s="1712" t="s">
        <v>109</v>
      </c>
      <c r="AF131" s="1712" t="s">
        <v>109</v>
      </c>
      <c r="AG131" s="1713">
        <v>0</v>
      </c>
      <c r="AH131" s="1713">
        <f>IFERROR(TBL4_OptApp[[#This Row],[Total NPC (£m)]]/TBL4_OptApp[[#This Row],[Maximum option utilisation across the planning period (Ml/d)]],"N/A")</f>
        <v>1.0567251139250937</v>
      </c>
      <c r="AI131" s="1713">
        <v>1.0544946110925841</v>
      </c>
      <c r="AJ131" s="1703" t="s">
        <v>109</v>
      </c>
      <c r="AK131" s="1705" t="s">
        <v>109</v>
      </c>
      <c r="AL131" s="1705" t="s">
        <v>109</v>
      </c>
      <c r="AM131" s="1705" t="s">
        <v>109</v>
      </c>
      <c r="AN131" s="1705" t="s">
        <v>109</v>
      </c>
      <c r="AO131" s="1705" t="s">
        <v>109</v>
      </c>
      <c r="AP131" s="1705" t="s">
        <v>109</v>
      </c>
      <c r="AQ131" s="1705" t="s">
        <v>109</v>
      </c>
      <c r="AR131" s="1705" t="s">
        <v>109</v>
      </c>
      <c r="AS131" s="1705" t="s">
        <v>109</v>
      </c>
      <c r="AT131" s="1705" t="s">
        <v>109</v>
      </c>
      <c r="AU131" s="1705" t="s">
        <v>109</v>
      </c>
      <c r="AV131" s="1705" t="s">
        <v>109</v>
      </c>
      <c r="AW131" s="1705"/>
      <c r="AX131" s="1705"/>
      <c r="AY131" s="1705"/>
      <c r="AZ131" s="1705"/>
      <c r="BA131" s="1705"/>
    </row>
    <row r="132" spans="2:53" x14ac:dyDescent="0.2">
      <c r="B132" s="17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132" s="1703" t="s">
        <v>1150</v>
      </c>
      <c r="D132" s="1707" t="s">
        <v>1077</v>
      </c>
      <c r="E132" s="1714" t="s">
        <v>987</v>
      </c>
      <c r="F132" s="1703" t="str">
        <f>VLOOKUP(TBL4_OptApp[[#This Row],[Option type
Defined List]],'Option Typs_Grps'!B$2:C$47, 2, FALSE)</f>
        <v>Customer Options</v>
      </c>
      <c r="G132" s="1703" t="s">
        <v>861</v>
      </c>
      <c r="H132" s="1703" t="s">
        <v>876</v>
      </c>
      <c r="I132" s="1703" t="s">
        <v>863</v>
      </c>
      <c r="J132" s="1703" t="s">
        <v>109</v>
      </c>
      <c r="K132" s="1703" t="s">
        <v>109</v>
      </c>
      <c r="L132" s="1703" t="s">
        <v>877</v>
      </c>
      <c r="M132" s="1703" t="s">
        <v>877</v>
      </c>
      <c r="N132" s="1703" t="s">
        <v>877</v>
      </c>
      <c r="O132" s="1703" t="s">
        <v>877</v>
      </c>
      <c r="P132" s="1703" t="s">
        <v>863</v>
      </c>
      <c r="Q132" s="1703" t="s">
        <v>877</v>
      </c>
      <c r="R132" s="1703" t="s">
        <v>877</v>
      </c>
      <c r="S132" s="1705" t="s">
        <v>109</v>
      </c>
      <c r="T132" s="1705" t="s">
        <v>109</v>
      </c>
      <c r="U132" s="1705" t="s">
        <v>109</v>
      </c>
      <c r="V132" s="1719">
        <v>0.8547810852902411</v>
      </c>
      <c r="W132" s="1705">
        <v>0</v>
      </c>
      <c r="X132" s="1705">
        <v>2025</v>
      </c>
      <c r="Y132" s="1705">
        <v>0</v>
      </c>
      <c r="Z132" s="1705">
        <v>2.9864534258877567E-2</v>
      </c>
      <c r="AA132" s="1705">
        <v>2.9864534258877567E-2</v>
      </c>
      <c r="AB132" s="1712">
        <v>0.8547810852902411</v>
      </c>
      <c r="AC132" s="1712">
        <v>0.8547810852902411</v>
      </c>
      <c r="AD132" s="1713" t="s">
        <v>109</v>
      </c>
      <c r="AE132" s="1712" t="s">
        <v>109</v>
      </c>
      <c r="AF132" s="1712" t="s">
        <v>109</v>
      </c>
      <c r="AG132" s="1713">
        <v>0</v>
      </c>
      <c r="AH132" s="1713">
        <f>IFERROR(TBL4_OptApp[[#This Row],[Total NPC (£m)]]/TBL4_OptApp[[#This Row],[Maximum option utilisation across the planning period (Ml/d)]],"N/A")</f>
        <v>0.74355021652547448</v>
      </c>
      <c r="AI132" s="1713">
        <v>0.63557266104943888</v>
      </c>
      <c r="AJ132" s="1703" t="s">
        <v>109</v>
      </c>
      <c r="AK132" s="1705" t="s">
        <v>109</v>
      </c>
      <c r="AL132" s="1705" t="s">
        <v>109</v>
      </c>
      <c r="AM132" s="1705" t="s">
        <v>109</v>
      </c>
      <c r="AN132" s="1705" t="s">
        <v>109</v>
      </c>
      <c r="AO132" s="1705" t="s">
        <v>109</v>
      </c>
      <c r="AP132" s="1705" t="s">
        <v>109</v>
      </c>
      <c r="AQ132" s="1705" t="s">
        <v>109</v>
      </c>
      <c r="AR132" s="1705" t="s">
        <v>109</v>
      </c>
      <c r="AS132" s="1705" t="s">
        <v>109</v>
      </c>
      <c r="AT132" s="1705" t="s">
        <v>109</v>
      </c>
      <c r="AU132" s="1705" t="s">
        <v>109</v>
      </c>
      <c r="AV132" s="1705" t="s">
        <v>109</v>
      </c>
      <c r="AW132" s="1705"/>
      <c r="AX132" s="1705"/>
      <c r="AY132" s="1705"/>
      <c r="AZ132" s="1705"/>
      <c r="BA132" s="1705"/>
    </row>
    <row r="133" spans="2:53" x14ac:dyDescent="0.2">
      <c r="B133" s="17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133" s="1703" t="s">
        <v>1151</v>
      </c>
      <c r="D133" s="1707" t="s">
        <v>1130</v>
      </c>
      <c r="E133" s="1714" t="s">
        <v>987</v>
      </c>
      <c r="F133" s="1703" t="str">
        <f>VLOOKUP(TBL4_OptApp[[#This Row],[Option type
Defined List]],'Option Typs_Grps'!B$2:C$47, 2, FALSE)</f>
        <v>Customer Options</v>
      </c>
      <c r="G133" s="1703" t="s">
        <v>861</v>
      </c>
      <c r="H133" s="1703" t="s">
        <v>876</v>
      </c>
      <c r="I133" s="1703" t="s">
        <v>863</v>
      </c>
      <c r="J133" s="1703" t="s">
        <v>109</v>
      </c>
      <c r="K133" s="1703" t="s">
        <v>109</v>
      </c>
      <c r="L133" s="1703" t="s">
        <v>877</v>
      </c>
      <c r="M133" s="1703" t="s">
        <v>877</v>
      </c>
      <c r="N133" s="1703" t="s">
        <v>877</v>
      </c>
      <c r="O133" s="1703" t="s">
        <v>877</v>
      </c>
      <c r="P133" s="1703" t="s">
        <v>863</v>
      </c>
      <c r="Q133" s="1703" t="s">
        <v>877</v>
      </c>
      <c r="R133" s="1703" t="s">
        <v>877</v>
      </c>
      <c r="S133" s="1705" t="s">
        <v>109</v>
      </c>
      <c r="T133" s="1705" t="s">
        <v>109</v>
      </c>
      <c r="U133" s="1705" t="s">
        <v>109</v>
      </c>
      <c r="V133" s="1719">
        <v>0.8547810852902411</v>
      </c>
      <c r="W133" s="1705">
        <v>0</v>
      </c>
      <c r="X133" s="1705">
        <v>2025</v>
      </c>
      <c r="Y133" s="1705">
        <v>0</v>
      </c>
      <c r="Z133" s="1705">
        <v>2.9864534258877567E-2</v>
      </c>
      <c r="AA133" s="1705">
        <v>2.9864534258877567E-2</v>
      </c>
      <c r="AB133" s="1712">
        <v>0.8547810852902411</v>
      </c>
      <c r="AC133" s="1712">
        <v>0.8547810852902411</v>
      </c>
      <c r="AD133" s="1713" t="s">
        <v>109</v>
      </c>
      <c r="AE133" s="1712" t="s">
        <v>109</v>
      </c>
      <c r="AF133" s="1712" t="s">
        <v>109</v>
      </c>
      <c r="AG133" s="1713">
        <v>0</v>
      </c>
      <c r="AH133" s="1713">
        <f>IFERROR(TBL4_OptApp[[#This Row],[Total NPC (£m)]]/TBL4_OptApp[[#This Row],[Maximum option utilisation across the planning period (Ml/d)]],"N/A")</f>
        <v>0.74355021652547448</v>
      </c>
      <c r="AI133" s="1713">
        <v>0.63557266104943888</v>
      </c>
      <c r="AJ133" s="1703" t="s">
        <v>109</v>
      </c>
      <c r="AK133" s="1705" t="s">
        <v>109</v>
      </c>
      <c r="AL133" s="1705" t="s">
        <v>109</v>
      </c>
      <c r="AM133" s="1705" t="s">
        <v>109</v>
      </c>
      <c r="AN133" s="1705" t="s">
        <v>109</v>
      </c>
      <c r="AO133" s="1705" t="s">
        <v>109</v>
      </c>
      <c r="AP133" s="1705" t="s">
        <v>109</v>
      </c>
      <c r="AQ133" s="1705" t="s">
        <v>109</v>
      </c>
      <c r="AR133" s="1705" t="s">
        <v>109</v>
      </c>
      <c r="AS133" s="1705" t="s">
        <v>109</v>
      </c>
      <c r="AT133" s="1705" t="s">
        <v>109</v>
      </c>
      <c r="AU133" s="1705" t="s">
        <v>109</v>
      </c>
      <c r="AV133" s="1705" t="s">
        <v>109</v>
      </c>
      <c r="AW133" s="1705"/>
      <c r="AX133" s="1705"/>
      <c r="AY133" s="1705"/>
      <c r="AZ133" s="1705"/>
      <c r="BA133" s="1705"/>
    </row>
    <row r="134" spans="2:53" ht="28.5" x14ac:dyDescent="0.2">
      <c r="B134" s="17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134" s="1703" t="s">
        <v>1152</v>
      </c>
      <c r="D134" s="1707" t="s">
        <v>1073</v>
      </c>
      <c r="E134" s="1714" t="s">
        <v>1006</v>
      </c>
      <c r="F134" s="1703" t="str">
        <f>VLOOKUP(TBL4_OptApp[[#This Row],[Option type
Defined List]],'Option Typs_Grps'!B$2:C$47, 2, FALSE)</f>
        <v>Customer Options</v>
      </c>
      <c r="G134" s="1703" t="s">
        <v>861</v>
      </c>
      <c r="H134" s="1703" t="s">
        <v>876</v>
      </c>
      <c r="I134" s="1703" t="s">
        <v>863</v>
      </c>
      <c r="J134" s="1703" t="s">
        <v>109</v>
      </c>
      <c r="K134" s="1703" t="s">
        <v>109</v>
      </c>
      <c r="L134" s="1703" t="s">
        <v>877</v>
      </c>
      <c r="M134" s="1703" t="s">
        <v>877</v>
      </c>
      <c r="N134" s="1703" t="s">
        <v>877</v>
      </c>
      <c r="O134" s="1703" t="s">
        <v>877</v>
      </c>
      <c r="P134" s="1703" t="s">
        <v>863</v>
      </c>
      <c r="Q134" s="1703" t="s">
        <v>877</v>
      </c>
      <c r="R134" s="1703" t="s">
        <v>877</v>
      </c>
      <c r="S134" s="1705" t="s">
        <v>109</v>
      </c>
      <c r="T134" s="1705" t="s">
        <v>109</v>
      </c>
      <c r="U134" s="1705" t="s">
        <v>109</v>
      </c>
      <c r="V134" s="1719">
        <v>2.7015104794396518</v>
      </c>
      <c r="W134" s="1705">
        <v>0</v>
      </c>
      <c r="X134" s="1705">
        <v>2025</v>
      </c>
      <c r="Y134" s="1705">
        <v>0</v>
      </c>
      <c r="Z134" s="1705">
        <v>9.0089092786960999E-3</v>
      </c>
      <c r="AA134" s="1705">
        <v>9.0089092786960999E-3</v>
      </c>
      <c r="AB134" s="1712">
        <v>2.7015104794396518</v>
      </c>
      <c r="AC134" s="1712">
        <v>2.7015104794396518</v>
      </c>
      <c r="AD134" s="1713" t="s">
        <v>109</v>
      </c>
      <c r="AE134" s="1712" t="s">
        <v>109</v>
      </c>
      <c r="AF134" s="1712" t="s">
        <v>109</v>
      </c>
      <c r="AG134" s="1713">
        <v>0</v>
      </c>
      <c r="AH134" s="1713">
        <f>IFERROR(TBL4_OptApp[[#This Row],[Total NPC (£m)]]/TBL4_OptApp[[#This Row],[Maximum option utilisation across the planning period (Ml/d)]],"N/A")</f>
        <v>7.0970034869415832E-2</v>
      </c>
      <c r="AI134" s="1713">
        <v>0.19172629292592436</v>
      </c>
      <c r="AJ134" s="1703" t="s">
        <v>109</v>
      </c>
      <c r="AK134" s="1705" t="s">
        <v>109</v>
      </c>
      <c r="AL134" s="1705" t="s">
        <v>109</v>
      </c>
      <c r="AM134" s="1705" t="s">
        <v>109</v>
      </c>
      <c r="AN134" s="1705" t="s">
        <v>109</v>
      </c>
      <c r="AO134" s="1705" t="s">
        <v>109</v>
      </c>
      <c r="AP134" s="1705" t="s">
        <v>109</v>
      </c>
      <c r="AQ134" s="1705" t="s">
        <v>109</v>
      </c>
      <c r="AR134" s="1705" t="s">
        <v>109</v>
      </c>
      <c r="AS134" s="1705" t="s">
        <v>109</v>
      </c>
      <c r="AT134" s="1705" t="s">
        <v>109</v>
      </c>
      <c r="AU134" s="1705" t="s">
        <v>109</v>
      </c>
      <c r="AV134" s="1705" t="s">
        <v>109</v>
      </c>
      <c r="AW134" s="1705"/>
      <c r="AX134" s="1705"/>
      <c r="AY134" s="1705"/>
      <c r="AZ134" s="1705"/>
      <c r="BA134" s="1705"/>
    </row>
    <row r="135" spans="2:53" ht="28.5" x14ac:dyDescent="0.2">
      <c r="B135" s="17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135" s="1703" t="s">
        <v>1153</v>
      </c>
      <c r="D135" s="1707" t="s">
        <v>1154</v>
      </c>
      <c r="E135" s="1714" t="s">
        <v>1142</v>
      </c>
      <c r="F135" s="1703" t="str">
        <f>VLOOKUP(TBL4_OptApp[[#This Row],[Option type
Defined List]],'Option Typs_Grps'!B$2:C$47, 2, FALSE)</f>
        <v>Customer Options</v>
      </c>
      <c r="G135" s="1703" t="s">
        <v>861</v>
      </c>
      <c r="H135" s="1703" t="s">
        <v>876</v>
      </c>
      <c r="I135" s="1703" t="s">
        <v>863</v>
      </c>
      <c r="J135" s="1703" t="s">
        <v>109</v>
      </c>
      <c r="K135" s="1703" t="s">
        <v>109</v>
      </c>
      <c r="L135" s="1703" t="s">
        <v>877</v>
      </c>
      <c r="M135" s="1703" t="s">
        <v>877</v>
      </c>
      <c r="N135" s="1703" t="s">
        <v>877</v>
      </c>
      <c r="O135" s="1703" t="s">
        <v>877</v>
      </c>
      <c r="P135" s="1703" t="s">
        <v>863</v>
      </c>
      <c r="Q135" s="1703" t="s">
        <v>877</v>
      </c>
      <c r="R135" s="1703" t="s">
        <v>877</v>
      </c>
      <c r="S135" s="1705" t="s">
        <v>109</v>
      </c>
      <c r="T135" s="1705" t="s">
        <v>109</v>
      </c>
      <c r="U135" s="1705" t="s">
        <v>109</v>
      </c>
      <c r="V135" s="1719">
        <v>3.1801177839546177</v>
      </c>
      <c r="W135" s="1705">
        <v>0</v>
      </c>
      <c r="X135" s="1705">
        <v>2025</v>
      </c>
      <c r="Y135" s="1705">
        <v>0</v>
      </c>
      <c r="Z135" s="1705">
        <v>0.24690593790762611</v>
      </c>
      <c r="AA135" s="1705">
        <v>0.24690593790762611</v>
      </c>
      <c r="AB135" s="1712">
        <v>3.1801177839546177</v>
      </c>
      <c r="AC135" s="1712">
        <v>3.1801177839546177</v>
      </c>
      <c r="AD135" s="1713" t="s">
        <v>109</v>
      </c>
      <c r="AE135" s="1712" t="s">
        <v>109</v>
      </c>
      <c r="AF135" s="1712" t="s">
        <v>109</v>
      </c>
      <c r="AG135" s="1713">
        <v>0</v>
      </c>
      <c r="AH135" s="1713">
        <f>IFERROR(TBL4_OptApp[[#This Row],[Total NPC (£m)]]/TBL4_OptApp[[#This Row],[Maximum option utilisation across the planning period (Ml/d)]],"N/A")</f>
        <v>1.6523338145010542</v>
      </c>
      <c r="AI135" s="1713">
        <v>5.2546161485243728</v>
      </c>
      <c r="AJ135" s="1703" t="s">
        <v>109</v>
      </c>
      <c r="AK135" s="1705" t="s">
        <v>109</v>
      </c>
      <c r="AL135" s="1705" t="s">
        <v>109</v>
      </c>
      <c r="AM135" s="1705" t="s">
        <v>109</v>
      </c>
      <c r="AN135" s="1705" t="s">
        <v>109</v>
      </c>
      <c r="AO135" s="1705" t="s">
        <v>109</v>
      </c>
      <c r="AP135" s="1705" t="s">
        <v>109</v>
      </c>
      <c r="AQ135" s="1705" t="s">
        <v>109</v>
      </c>
      <c r="AR135" s="1705" t="s">
        <v>109</v>
      </c>
      <c r="AS135" s="1705" t="s">
        <v>109</v>
      </c>
      <c r="AT135" s="1705" t="s">
        <v>109</v>
      </c>
      <c r="AU135" s="1705" t="s">
        <v>109</v>
      </c>
      <c r="AV135" s="1705" t="s">
        <v>109</v>
      </c>
      <c r="AW135" s="1705"/>
      <c r="AX135" s="1705"/>
      <c r="AY135" s="1705"/>
      <c r="AZ135" s="1705"/>
      <c r="BA135" s="1705"/>
    </row>
    <row r="136" spans="2:53" x14ac:dyDescent="0.2">
      <c r="B136" s="17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136" s="1703" t="s">
        <v>1155</v>
      </c>
      <c r="D136" s="1707" t="s">
        <v>986</v>
      </c>
      <c r="E136" s="1714" t="s">
        <v>987</v>
      </c>
      <c r="F136" s="1703" t="str">
        <f>VLOOKUP(TBL4_OptApp[[#This Row],[Option type
Defined List]],'Option Typs_Grps'!B$2:C$47, 2, FALSE)</f>
        <v>Customer Options</v>
      </c>
      <c r="G136" s="1703" t="s">
        <v>861</v>
      </c>
      <c r="H136" s="1703" t="s">
        <v>876</v>
      </c>
      <c r="I136" s="1703" t="s">
        <v>863</v>
      </c>
      <c r="J136" s="1703" t="s">
        <v>109</v>
      </c>
      <c r="K136" s="1703" t="s">
        <v>109</v>
      </c>
      <c r="L136" s="1703" t="s">
        <v>877</v>
      </c>
      <c r="M136" s="1703" t="s">
        <v>877</v>
      </c>
      <c r="N136" s="1703" t="s">
        <v>877</v>
      </c>
      <c r="O136" s="1703" t="s">
        <v>877</v>
      </c>
      <c r="P136" s="1703" t="s">
        <v>863</v>
      </c>
      <c r="Q136" s="1703" t="s">
        <v>877</v>
      </c>
      <c r="R136" s="1703" t="s">
        <v>877</v>
      </c>
      <c r="S136" s="1705" t="s">
        <v>109</v>
      </c>
      <c r="T136" s="1705" t="s">
        <v>109</v>
      </c>
      <c r="U136" s="1705" t="s">
        <v>109</v>
      </c>
      <c r="V136" s="1719">
        <v>2.3206726297472606</v>
      </c>
      <c r="W136" s="1705">
        <v>0</v>
      </c>
      <c r="X136" s="1705">
        <v>2025</v>
      </c>
      <c r="Y136" s="1705">
        <v>0</v>
      </c>
      <c r="Z136" s="1705">
        <v>2.1621382268870639E-2</v>
      </c>
      <c r="AA136" s="1705">
        <v>2.1621382268870639E-2</v>
      </c>
      <c r="AB136" s="1712">
        <v>2.3206726297472606</v>
      </c>
      <c r="AC136" s="1712">
        <v>2.3206726297472606</v>
      </c>
      <c r="AD136" s="1713" t="s">
        <v>109</v>
      </c>
      <c r="AE136" s="1712" t="s">
        <v>109</v>
      </c>
      <c r="AF136" s="1712" t="s">
        <v>109</v>
      </c>
      <c r="AG136" s="1713">
        <v>0</v>
      </c>
      <c r="AH136" s="1713">
        <f>IFERROR(TBL4_OptApp[[#This Row],[Total NPC (£m)]]/TBL4_OptApp[[#This Row],[Maximum option utilisation across the planning period (Ml/d)]],"N/A")</f>
        <v>0.19828005774012658</v>
      </c>
      <c r="AI136" s="1713">
        <v>0.46014310302221823</v>
      </c>
      <c r="AJ136" s="1703" t="s">
        <v>109</v>
      </c>
      <c r="AK136" s="1705" t="s">
        <v>109</v>
      </c>
      <c r="AL136" s="1705" t="s">
        <v>109</v>
      </c>
      <c r="AM136" s="1705" t="s">
        <v>109</v>
      </c>
      <c r="AN136" s="1705" t="s">
        <v>109</v>
      </c>
      <c r="AO136" s="1705" t="s">
        <v>109</v>
      </c>
      <c r="AP136" s="1705" t="s">
        <v>109</v>
      </c>
      <c r="AQ136" s="1705" t="s">
        <v>109</v>
      </c>
      <c r="AR136" s="1705" t="s">
        <v>109</v>
      </c>
      <c r="AS136" s="1705" t="s">
        <v>109</v>
      </c>
      <c r="AT136" s="1705" t="s">
        <v>109</v>
      </c>
      <c r="AU136" s="1705" t="s">
        <v>109</v>
      </c>
      <c r="AV136" s="1705" t="s">
        <v>109</v>
      </c>
      <c r="AW136" s="1705"/>
      <c r="AX136" s="1705"/>
      <c r="AY136" s="1705"/>
      <c r="AZ136" s="1705"/>
      <c r="BA136" s="1705"/>
    </row>
    <row r="137" spans="2:53" ht="28.5" x14ac:dyDescent="0.2">
      <c r="B137" s="17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51aF</v>
      </c>
      <c r="C137" s="1703" t="s">
        <v>1156</v>
      </c>
      <c r="D137" s="1703" t="s">
        <v>1157</v>
      </c>
      <c r="E137" s="1704" t="s">
        <v>916</v>
      </c>
      <c r="F137" s="1703" t="str">
        <f>VLOOKUP(TBL4_OptApp[[#This Row],[Option type
Defined List]],'Option Typs_Grps'!B$2:C$47, 2, FALSE)</f>
        <v>Resource Options</v>
      </c>
      <c r="G137" s="1703" t="s">
        <v>93</v>
      </c>
      <c r="H137" s="1703" t="s">
        <v>862</v>
      </c>
      <c r="I137" s="1703" t="s">
        <v>863</v>
      </c>
      <c r="J137" s="1703" t="s">
        <v>109</v>
      </c>
      <c r="K137" s="1703" t="s">
        <v>1139</v>
      </c>
      <c r="L137" s="1703" t="s">
        <v>863</v>
      </c>
      <c r="M137" s="1703" t="s">
        <v>863</v>
      </c>
      <c r="N137" s="1703" t="s">
        <v>863</v>
      </c>
      <c r="O137" s="1703" t="s">
        <v>863</v>
      </c>
      <c r="P137" s="1703" t="s">
        <v>863</v>
      </c>
      <c r="Q137" s="1703" t="s">
        <v>863</v>
      </c>
      <c r="R137" s="1703" t="s">
        <v>863</v>
      </c>
      <c r="S137" s="1705"/>
      <c r="T137" s="1705" t="s">
        <v>109</v>
      </c>
      <c r="U137" s="1705" t="s">
        <v>109</v>
      </c>
      <c r="V137" s="1707">
        <v>11.2</v>
      </c>
      <c r="W137" s="1705">
        <v>5</v>
      </c>
      <c r="X137" s="1703">
        <v>2032</v>
      </c>
      <c r="Y137" s="1717">
        <v>121.36</v>
      </c>
      <c r="Z137" s="1717">
        <v>5.54</v>
      </c>
      <c r="AA137" s="1703" t="s">
        <v>109</v>
      </c>
      <c r="AB137" s="1703" t="s">
        <v>109</v>
      </c>
      <c r="AC137" s="1703">
        <v>11.2</v>
      </c>
      <c r="AD137" s="1713">
        <f>(4183911+21113152)/1000</f>
        <v>25297.062999999998</v>
      </c>
      <c r="AE137" s="1713">
        <v>4445.95</v>
      </c>
      <c r="AF137" s="1712">
        <v>0</v>
      </c>
      <c r="AG137" s="1713">
        <v>2.8529935791489418</v>
      </c>
      <c r="AH137" s="1713">
        <f>IFERROR(TBL4_OptApp[[#This Row],[Total NPC (£m)]]/TBL4_OptApp[[#This Row],[Maximum option utilisation across the planning period (Ml/d)]],"N/A")</f>
        <v>12.244642857142857</v>
      </c>
      <c r="AI137" s="1713">
        <v>137.13999999999999</v>
      </c>
      <c r="AJ137" s="1720">
        <v>-1551.5</v>
      </c>
      <c r="AK137" s="1712">
        <v>55.72</v>
      </c>
      <c r="AL137" s="1705"/>
      <c r="AM137" s="1705"/>
      <c r="AN137" s="1705"/>
      <c r="AO137" s="1705"/>
      <c r="AP137" s="1705"/>
      <c r="AQ137" s="1705"/>
      <c r="AR137" s="1705"/>
      <c r="AS137" s="1705"/>
      <c r="AT137" s="1705"/>
      <c r="AU137" s="1705"/>
      <c r="AV137" s="1705"/>
      <c r="AW137" s="1705"/>
      <c r="AX137" s="1705"/>
      <c r="AY137" s="1705"/>
      <c r="AZ137" s="1705"/>
      <c r="BA137" s="1705"/>
    </row>
    <row r="138" spans="2:53" ht="15" x14ac:dyDescent="0.2">
      <c r="B138" s="17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51aF</v>
      </c>
      <c r="C138" s="1703" t="s">
        <v>1158</v>
      </c>
      <c r="D138" s="1703" t="s">
        <v>1159</v>
      </c>
      <c r="E138" s="1704" t="s">
        <v>913</v>
      </c>
      <c r="F138" s="1703" t="str">
        <f>VLOOKUP(TBL4_OptApp[[#This Row],[Option type
Defined List]],'Option Typs_Grps'!B$2:C$47, 2, FALSE)</f>
        <v>Resource Options</v>
      </c>
      <c r="G138" s="1703" t="s">
        <v>88</v>
      </c>
      <c r="H138" s="1703" t="s">
        <v>862</v>
      </c>
      <c r="I138" s="1703" t="s">
        <v>863</v>
      </c>
      <c r="J138" s="1703" t="s">
        <v>109</v>
      </c>
      <c r="K138" s="1703" t="s">
        <v>109</v>
      </c>
      <c r="L138" s="1703" t="s">
        <v>863</v>
      </c>
      <c r="M138" s="1703" t="s">
        <v>863</v>
      </c>
      <c r="N138" s="1703" t="s">
        <v>863</v>
      </c>
      <c r="O138" s="1703" t="s">
        <v>863</v>
      </c>
      <c r="P138" s="1703" t="s">
        <v>863</v>
      </c>
      <c r="Q138" s="1703" t="s">
        <v>863</v>
      </c>
      <c r="R138" s="1703" t="s">
        <v>863</v>
      </c>
      <c r="S138" s="1703"/>
      <c r="T138" s="1705" t="s">
        <v>109</v>
      </c>
      <c r="U138" s="1705" t="s">
        <v>109</v>
      </c>
      <c r="V138" s="1707">
        <v>40.5</v>
      </c>
      <c r="W138" s="1705">
        <v>5</v>
      </c>
      <c r="X138" s="1703">
        <v>2032</v>
      </c>
      <c r="Y138" s="1741">
        <v>152.87</v>
      </c>
      <c r="Z138" s="1741">
        <v>12.06</v>
      </c>
      <c r="AA138" s="1703" t="s">
        <v>109</v>
      </c>
      <c r="AB138" s="1703" t="s">
        <v>109</v>
      </c>
      <c r="AC138" s="1703">
        <v>40.5</v>
      </c>
      <c r="AD138" s="1713">
        <f>8706.158+43640.153</f>
        <v>52346.311000000002</v>
      </c>
      <c r="AE138" s="1713">
        <v>6528.0159999999996</v>
      </c>
      <c r="AF138" s="1712">
        <v>0</v>
      </c>
      <c r="AG138" s="1713">
        <v>4.9297452396508712</v>
      </c>
      <c r="AH138" s="1713">
        <f>IFERROR(TBL4_OptApp[[#This Row],[Total NPC (£m)]]/TBL4_OptApp[[#This Row],[Maximum option utilisation across the planning period (Ml/d)]],"N/A")</f>
        <v>5.8595061728395059</v>
      </c>
      <c r="AI138" s="1713">
        <v>237.31</v>
      </c>
      <c r="AJ138" s="1703"/>
      <c r="AK138" s="1705"/>
      <c r="AL138" s="1705"/>
      <c r="AM138" s="1705"/>
      <c r="AN138" s="1705"/>
      <c r="AO138" s="1705"/>
      <c r="AP138" s="1705"/>
      <c r="AQ138" s="1705"/>
      <c r="AR138" s="1705"/>
      <c r="AS138" s="1705"/>
      <c r="AT138" s="1705"/>
      <c r="AU138" s="1705"/>
      <c r="AV138" s="1705"/>
      <c r="AW138" s="1705"/>
      <c r="AX138" s="1705"/>
      <c r="AY138" s="1705"/>
      <c r="AZ138" s="1705"/>
      <c r="BA138" s="1705"/>
    </row>
    <row r="139" spans="2:53" ht="28.5" x14ac:dyDescent="0.2">
      <c r="B139" s="17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51aF</v>
      </c>
      <c r="C139" s="1703" t="s">
        <v>1160</v>
      </c>
      <c r="D139" s="1703" t="s">
        <v>1161</v>
      </c>
      <c r="E139" s="1704" t="s">
        <v>913</v>
      </c>
      <c r="F139" s="1703" t="str">
        <f>VLOOKUP(TBL4_OptApp[[#This Row],[Option type
Defined List]],'Option Typs_Grps'!B$2:C$47, 2, FALSE)</f>
        <v>Resource Options</v>
      </c>
      <c r="G139" s="1703" t="s">
        <v>88</v>
      </c>
      <c r="H139" s="1703" t="s">
        <v>862</v>
      </c>
      <c r="I139" s="1703" t="s">
        <v>863</v>
      </c>
      <c r="J139" s="1703" t="s">
        <v>109</v>
      </c>
      <c r="K139" s="1703" t="s">
        <v>109</v>
      </c>
      <c r="L139" s="1703" t="s">
        <v>863</v>
      </c>
      <c r="M139" s="1703" t="s">
        <v>863</v>
      </c>
      <c r="N139" s="1703" t="s">
        <v>863</v>
      </c>
      <c r="O139" s="1703" t="s">
        <v>863</v>
      </c>
      <c r="P139" s="1703" t="s">
        <v>877</v>
      </c>
      <c r="Q139" s="1703" t="s">
        <v>863</v>
      </c>
      <c r="R139" s="1703" t="s">
        <v>863</v>
      </c>
      <c r="S139" s="1705"/>
      <c r="T139" s="1705" t="s">
        <v>109</v>
      </c>
      <c r="U139" s="1705" t="s">
        <v>109</v>
      </c>
      <c r="V139" s="1707">
        <v>20.5</v>
      </c>
      <c r="W139" s="1705">
        <v>5</v>
      </c>
      <c r="X139" s="1703">
        <v>2032</v>
      </c>
      <c r="Y139" s="1741">
        <v>107.48</v>
      </c>
      <c r="Z139" s="1741">
        <v>7.11</v>
      </c>
      <c r="AA139" s="1703" t="s">
        <v>109</v>
      </c>
      <c r="AB139" s="1703" t="s">
        <v>109</v>
      </c>
      <c r="AC139" s="1703">
        <v>20.5</v>
      </c>
      <c r="AD139" s="1713">
        <v>49442.626504998283</v>
      </c>
      <c r="AE139" s="1713">
        <v>3307.2139999999999</v>
      </c>
      <c r="AF139" s="1712">
        <v>0</v>
      </c>
      <c r="AG139" s="1713">
        <v>1.6769149254115643</v>
      </c>
      <c r="AH139" s="1713">
        <f>IFERROR(TBL4_OptApp[[#This Row],[Total NPC (£m)]]/TBL4_OptApp[[#This Row],[Maximum option utilisation across the planning period (Ml/d)]],"N/A")</f>
        <v>7.4487804878048776</v>
      </c>
      <c r="AI139" s="1713">
        <v>152.69999999999999</v>
      </c>
      <c r="AJ139" s="1703"/>
      <c r="AK139" s="1705"/>
      <c r="AL139" s="1705"/>
      <c r="AM139" s="1705"/>
      <c r="AN139" s="1705"/>
      <c r="AO139" s="1705"/>
      <c r="AP139" s="1705"/>
      <c r="AQ139" s="1705"/>
      <c r="AR139" s="1705"/>
      <c r="AS139" s="1705"/>
      <c r="AT139" s="1705"/>
      <c r="AU139" s="1705"/>
      <c r="AV139" s="1705"/>
      <c r="AW139" s="1705"/>
      <c r="AX139" s="1705"/>
      <c r="AY139" s="1705"/>
      <c r="AZ139" s="1705"/>
      <c r="BA139" s="1705"/>
    </row>
    <row r="140" spans="2:53" x14ac:dyDescent="0.2">
      <c r="B140" s="17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51dF</v>
      </c>
      <c r="C140" s="1703" t="s">
        <v>1162</v>
      </c>
      <c r="D140" s="1707" t="s">
        <v>1149</v>
      </c>
      <c r="E140" s="1714" t="s">
        <v>987</v>
      </c>
      <c r="F140" s="1703" t="str">
        <f>VLOOKUP(TBL4_OptApp[[#This Row],[Option type
Defined List]],'Option Typs_Grps'!B$2:C$47, 2, FALSE)</f>
        <v>Customer Options</v>
      </c>
      <c r="G140" s="1703" t="s">
        <v>861</v>
      </c>
      <c r="H140" s="1703" t="s">
        <v>862</v>
      </c>
      <c r="I140" s="1703" t="s">
        <v>863</v>
      </c>
      <c r="J140" s="1703" t="s">
        <v>109</v>
      </c>
      <c r="K140" s="1703" t="s">
        <v>109</v>
      </c>
      <c r="L140" s="1703" t="s">
        <v>863</v>
      </c>
      <c r="M140" s="1703" t="s">
        <v>863</v>
      </c>
      <c r="N140" s="1703" t="s">
        <v>863</v>
      </c>
      <c r="O140" s="1703" t="s">
        <v>863</v>
      </c>
      <c r="P140" s="1703" t="s">
        <v>863</v>
      </c>
      <c r="Q140" s="1703" t="s">
        <v>863</v>
      </c>
      <c r="R140" s="1703" t="s">
        <v>863</v>
      </c>
      <c r="S140" s="1705" t="s">
        <v>988</v>
      </c>
      <c r="T140" s="1705" t="s">
        <v>109</v>
      </c>
      <c r="U140" s="1705" t="s">
        <v>109</v>
      </c>
      <c r="V140" s="1719">
        <v>1.9097479264086537</v>
      </c>
      <c r="W140" s="1705">
        <v>0</v>
      </c>
      <c r="X140" s="1705" t="s">
        <v>109</v>
      </c>
      <c r="Y140" s="1705">
        <v>0</v>
      </c>
      <c r="Z140" s="1705">
        <v>9.9098002065657081E-2</v>
      </c>
      <c r="AA140" s="1705">
        <v>9.9098002065657081E-2</v>
      </c>
      <c r="AB140" s="1712">
        <v>1.9097479264086537</v>
      </c>
      <c r="AC140" s="1712">
        <v>1.9097479264086537</v>
      </c>
      <c r="AD140" s="1713" t="s">
        <v>109</v>
      </c>
      <c r="AE140" s="1712" t="s">
        <v>109</v>
      </c>
      <c r="AF140" s="1712" t="s">
        <v>109</v>
      </c>
      <c r="AG140" s="1713">
        <v>0</v>
      </c>
      <c r="AH140" s="1713">
        <f>IFERROR(TBL4_OptApp[[#This Row],[Total NPC (£m)]]/TBL4_OptApp[[#This Row],[Maximum option utilisation across the planning period (Ml/d)]],"N/A")</f>
        <v>1.1043285833807368</v>
      </c>
      <c r="AI140" s="1713">
        <v>2.1089892221851683</v>
      </c>
      <c r="AJ140" s="1703" t="s">
        <v>109</v>
      </c>
      <c r="AK140" s="1705" t="s">
        <v>109</v>
      </c>
      <c r="AL140" s="1705" t="s">
        <v>109</v>
      </c>
      <c r="AM140" s="1705" t="s">
        <v>109</v>
      </c>
      <c r="AN140" s="1705" t="s">
        <v>109</v>
      </c>
      <c r="AO140" s="1705" t="s">
        <v>109</v>
      </c>
      <c r="AP140" s="1705" t="s">
        <v>109</v>
      </c>
      <c r="AQ140" s="1705" t="s">
        <v>109</v>
      </c>
      <c r="AR140" s="1705" t="s">
        <v>109</v>
      </c>
      <c r="AS140" s="1705" t="s">
        <v>109</v>
      </c>
      <c r="AT140" s="1705" t="s">
        <v>109</v>
      </c>
      <c r="AU140" s="1705" t="s">
        <v>109</v>
      </c>
      <c r="AV140" s="1705" t="s">
        <v>109</v>
      </c>
      <c r="AW140" s="1705"/>
      <c r="AX140" s="1705"/>
      <c r="AY140" s="1705"/>
      <c r="AZ140" s="1705"/>
      <c r="BA140" s="1705"/>
    </row>
    <row r="141" spans="2:53" x14ac:dyDescent="0.2">
      <c r="B141" s="17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51dF</v>
      </c>
      <c r="C141" s="1703" t="s">
        <v>1163</v>
      </c>
      <c r="D141" s="1707" t="s">
        <v>1141</v>
      </c>
      <c r="E141" s="1714" t="s">
        <v>1142</v>
      </c>
      <c r="F141" s="1703" t="str">
        <f>VLOOKUP(TBL4_OptApp[[#This Row],[Option type
Defined List]],'Option Typs_Grps'!B$2:C$47, 2, FALSE)</f>
        <v>Customer Options</v>
      </c>
      <c r="G141" s="1703" t="s">
        <v>861</v>
      </c>
      <c r="H141" s="1703" t="s">
        <v>862</v>
      </c>
      <c r="I141" s="1703" t="s">
        <v>863</v>
      </c>
      <c r="J141" s="1703" t="s">
        <v>109</v>
      </c>
      <c r="K141" s="1703" t="s">
        <v>109</v>
      </c>
      <c r="L141" s="1703" t="s">
        <v>863</v>
      </c>
      <c r="M141" s="1703" t="s">
        <v>863</v>
      </c>
      <c r="N141" s="1703" t="s">
        <v>863</v>
      </c>
      <c r="O141" s="1703" t="s">
        <v>863</v>
      </c>
      <c r="P141" s="1703" t="s">
        <v>877</v>
      </c>
      <c r="Q141" s="1703" t="s">
        <v>863</v>
      </c>
      <c r="R141" s="1703" t="s">
        <v>863</v>
      </c>
      <c r="S141" s="1705" t="s">
        <v>1018</v>
      </c>
      <c r="T141" s="1705" t="s">
        <v>109</v>
      </c>
      <c r="U141" s="1705" t="s">
        <v>109</v>
      </c>
      <c r="V141" s="1719">
        <v>3.2543696484739164</v>
      </c>
      <c r="W141" s="1705">
        <v>0</v>
      </c>
      <c r="X141" s="1705" t="s">
        <v>109</v>
      </c>
      <c r="Y141" s="1705">
        <v>0</v>
      </c>
      <c r="Z141" s="1705">
        <v>0.21441204083296714</v>
      </c>
      <c r="AA141" s="1705">
        <v>0.21441204083296714</v>
      </c>
      <c r="AB141" s="1712">
        <v>3.2543696484739164</v>
      </c>
      <c r="AC141" s="1712">
        <v>3.2543696484739164</v>
      </c>
      <c r="AD141" s="1713" t="s">
        <v>109</v>
      </c>
      <c r="AE141" s="1712" t="s">
        <v>109</v>
      </c>
      <c r="AF141" s="1712" t="s">
        <v>109</v>
      </c>
      <c r="AG141" s="1713">
        <v>0</v>
      </c>
      <c r="AH141" s="1713">
        <f>IFERROR(TBL4_OptApp[[#This Row],[Total NPC (£m)]]/TBL4_OptApp[[#This Row],[Maximum option utilisation across the planning period (Ml/d)]],"N/A")</f>
        <v>1.3710099683675256</v>
      </c>
      <c r="AI141" s="1713">
        <v>4.4617732288104595</v>
      </c>
      <c r="AJ141" s="1703" t="s">
        <v>109</v>
      </c>
      <c r="AK141" s="1705" t="s">
        <v>109</v>
      </c>
      <c r="AL141" s="1705" t="s">
        <v>109</v>
      </c>
      <c r="AM141" s="1705" t="s">
        <v>109</v>
      </c>
      <c r="AN141" s="1705" t="s">
        <v>109</v>
      </c>
      <c r="AO141" s="1705" t="s">
        <v>109</v>
      </c>
      <c r="AP141" s="1705" t="s">
        <v>109</v>
      </c>
      <c r="AQ141" s="1705" t="s">
        <v>109</v>
      </c>
      <c r="AR141" s="1705" t="s">
        <v>109</v>
      </c>
      <c r="AS141" s="1705" t="s">
        <v>109</v>
      </c>
      <c r="AT141" s="1705" t="s">
        <v>109</v>
      </c>
      <c r="AU141" s="1705" t="s">
        <v>109</v>
      </c>
      <c r="AV141" s="1705" t="s">
        <v>109</v>
      </c>
      <c r="AW141" s="1705"/>
      <c r="AX141" s="1705"/>
      <c r="AY141" s="1705"/>
      <c r="AZ141" s="1705"/>
      <c r="BA141" s="1705"/>
    </row>
    <row r="142" spans="2:53" x14ac:dyDescent="0.2">
      <c r="B142" s="17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51dF</v>
      </c>
      <c r="C142" s="1703" t="s">
        <v>1164</v>
      </c>
      <c r="D142" s="1707" t="s">
        <v>1141</v>
      </c>
      <c r="E142" s="1714" t="s">
        <v>1142</v>
      </c>
      <c r="F142" s="1703" t="str">
        <f>VLOOKUP(TBL4_OptApp[[#This Row],[Option type
Defined List]],'Option Typs_Grps'!B$2:C$47, 2, FALSE)</f>
        <v>Customer Options</v>
      </c>
      <c r="G142" s="1703" t="s">
        <v>861</v>
      </c>
      <c r="H142" s="1703" t="s">
        <v>862</v>
      </c>
      <c r="I142" s="1703" t="s">
        <v>863</v>
      </c>
      <c r="J142" s="1703" t="s">
        <v>109</v>
      </c>
      <c r="K142" s="1703" t="s">
        <v>109</v>
      </c>
      <c r="L142" s="1703" t="s">
        <v>863</v>
      </c>
      <c r="M142" s="1703" t="s">
        <v>863</v>
      </c>
      <c r="N142" s="1703" t="s">
        <v>863</v>
      </c>
      <c r="O142" s="1703" t="s">
        <v>863</v>
      </c>
      <c r="P142" s="1703" t="s">
        <v>863</v>
      </c>
      <c r="Q142" s="1703" t="s">
        <v>863</v>
      </c>
      <c r="R142" s="1703" t="s">
        <v>863</v>
      </c>
      <c r="S142" s="1705" t="s">
        <v>988</v>
      </c>
      <c r="T142" s="1705" t="s">
        <v>109</v>
      </c>
      <c r="U142" s="1705" t="s">
        <v>109</v>
      </c>
      <c r="V142" s="1719">
        <v>4.284941393951323</v>
      </c>
      <c r="W142" s="1705">
        <v>0</v>
      </c>
      <c r="X142" s="1705" t="s">
        <v>109</v>
      </c>
      <c r="Y142" s="1705">
        <v>0</v>
      </c>
      <c r="Z142" s="1705">
        <v>0.34767182688343984</v>
      </c>
      <c r="AA142" s="1705">
        <v>0.34767182688343984</v>
      </c>
      <c r="AB142" s="1712">
        <v>4.284941393951323</v>
      </c>
      <c r="AC142" s="1712">
        <v>4.284941393951323</v>
      </c>
      <c r="AD142" s="1713" t="s">
        <v>109</v>
      </c>
      <c r="AE142" s="1712" t="s">
        <v>109</v>
      </c>
      <c r="AF142" s="1712" t="s">
        <v>109</v>
      </c>
      <c r="AG142" s="1713">
        <v>0</v>
      </c>
      <c r="AH142" s="1713">
        <f>IFERROR(TBL4_OptApp[[#This Row],[Total NPC (£m)]]/TBL4_OptApp[[#This Row],[Maximum option utilisation across the planning period (Ml/d)]],"N/A")</f>
        <v>1.7267683303771519</v>
      </c>
      <c r="AI142" s="1713">
        <v>7.3991010965972723</v>
      </c>
      <c r="AJ142" s="1703" t="s">
        <v>109</v>
      </c>
      <c r="AK142" s="1705" t="s">
        <v>109</v>
      </c>
      <c r="AL142" s="1705" t="s">
        <v>109</v>
      </c>
      <c r="AM142" s="1705" t="s">
        <v>109</v>
      </c>
      <c r="AN142" s="1705" t="s">
        <v>109</v>
      </c>
      <c r="AO142" s="1705" t="s">
        <v>109</v>
      </c>
      <c r="AP142" s="1705" t="s">
        <v>109</v>
      </c>
      <c r="AQ142" s="1705" t="s">
        <v>109</v>
      </c>
      <c r="AR142" s="1705" t="s">
        <v>109</v>
      </c>
      <c r="AS142" s="1705" t="s">
        <v>109</v>
      </c>
      <c r="AT142" s="1705" t="s">
        <v>109</v>
      </c>
      <c r="AU142" s="1705" t="s">
        <v>109</v>
      </c>
      <c r="AV142" s="1705" t="s">
        <v>109</v>
      </c>
      <c r="AW142" s="1705"/>
      <c r="AX142" s="1705"/>
      <c r="AY142" s="1705"/>
      <c r="AZ142" s="1705"/>
      <c r="BA142" s="1705"/>
    </row>
    <row r="143" spans="2:53" ht="28.5" x14ac:dyDescent="0.2">
      <c r="B143" s="17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51cF</v>
      </c>
      <c r="C143" s="1703" t="s">
        <v>1165</v>
      </c>
      <c r="D143" s="1703" t="s">
        <v>1166</v>
      </c>
      <c r="E143" s="1704" t="s">
        <v>907</v>
      </c>
      <c r="F143" s="1703" t="str">
        <f>VLOOKUP(TBL4_OptApp[[#This Row],[Option type
Defined List]],'Option Typs_Grps'!B$2:C$47, 2, FALSE)</f>
        <v>Distribution Options</v>
      </c>
      <c r="G143" s="1703" t="s">
        <v>105</v>
      </c>
      <c r="H143" s="1707" t="s">
        <v>862</v>
      </c>
      <c r="I143" s="1703" t="s">
        <v>863</v>
      </c>
      <c r="J143" s="1703" t="s">
        <v>109</v>
      </c>
      <c r="K143" s="1703" t="s">
        <v>109</v>
      </c>
      <c r="L143" s="1703" t="s">
        <v>863</v>
      </c>
      <c r="M143" s="1703" t="s">
        <v>863</v>
      </c>
      <c r="N143" s="1703" t="s">
        <v>863</v>
      </c>
      <c r="O143" s="1703" t="s">
        <v>863</v>
      </c>
      <c r="P143" s="1703" t="s">
        <v>863</v>
      </c>
      <c r="Q143" s="1703" t="s">
        <v>863</v>
      </c>
      <c r="R143" s="1703" t="s">
        <v>863</v>
      </c>
      <c r="S143" s="1717" t="s">
        <v>1167</v>
      </c>
      <c r="T143" s="1705" t="s">
        <v>105</v>
      </c>
      <c r="U143" s="1705" t="s">
        <v>105</v>
      </c>
      <c r="V143" s="1707">
        <v>1</v>
      </c>
      <c r="W143" s="1705">
        <v>3</v>
      </c>
      <c r="X143" s="1703">
        <v>2030</v>
      </c>
      <c r="Y143" s="1705">
        <v>4.5</v>
      </c>
      <c r="Z143" s="1705">
        <v>0.01</v>
      </c>
      <c r="AA143" s="1705" t="s">
        <v>109</v>
      </c>
      <c r="AB143" s="1705" t="s">
        <v>109</v>
      </c>
      <c r="AC143" s="1705">
        <v>1</v>
      </c>
      <c r="AD143" s="1713">
        <v>3952.64</v>
      </c>
      <c r="AE143" s="1713">
        <v>10.898</v>
      </c>
      <c r="AF143" s="1712" t="s">
        <v>109</v>
      </c>
      <c r="AG143" s="1713">
        <v>0.82730770494222594</v>
      </c>
      <c r="AH143" s="1713">
        <f>IFERROR(TBL4_OptApp[[#This Row],[Total NPC (£m)]]/TBL4_OptApp[[#This Row],[Maximum option utilisation across the planning period (Ml/d)]],"N/A")</f>
        <v>3.8</v>
      </c>
      <c r="AI143" s="1713">
        <v>3.8</v>
      </c>
      <c r="AJ143" s="1720">
        <v>-95.32</v>
      </c>
      <c r="AK143" s="1712">
        <v>22.39</v>
      </c>
      <c r="AL143" s="1705"/>
      <c r="AM143" s="1705"/>
      <c r="AN143" s="1705"/>
      <c r="AO143" s="1705"/>
      <c r="AP143" s="1721" t="s">
        <v>1042</v>
      </c>
      <c r="AQ143" s="1705" t="s">
        <v>956</v>
      </c>
      <c r="AR143" s="1705"/>
      <c r="AS143" s="1705">
        <v>0</v>
      </c>
      <c r="AT143" s="1705"/>
      <c r="AU143" s="1705"/>
      <c r="AV143" s="1705"/>
      <c r="AW143" s="1705"/>
      <c r="AX143" s="1705"/>
      <c r="AY143" s="1705"/>
      <c r="AZ143" s="1705"/>
      <c r="BA143" s="1705"/>
    </row>
    <row r="144" spans="2:53" ht="28.5" x14ac:dyDescent="0.2">
      <c r="B144" s="17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51dF</v>
      </c>
      <c r="C144" s="1703" t="s">
        <v>1168</v>
      </c>
      <c r="D144" s="1707" t="s">
        <v>1154</v>
      </c>
      <c r="E144" s="1714" t="s">
        <v>1142</v>
      </c>
      <c r="F144" s="1703" t="str">
        <f>VLOOKUP(TBL4_OptApp[[#This Row],[Option type
Defined List]],'Option Typs_Grps'!B$2:C$47, 2, FALSE)</f>
        <v>Customer Options</v>
      </c>
      <c r="G144" s="1703" t="s">
        <v>861</v>
      </c>
      <c r="H144" s="1703" t="s">
        <v>862</v>
      </c>
      <c r="I144" s="1703" t="s">
        <v>863</v>
      </c>
      <c r="J144" s="1703" t="s">
        <v>109</v>
      </c>
      <c r="K144" s="1703" t="s">
        <v>109</v>
      </c>
      <c r="L144" s="1703" t="s">
        <v>863</v>
      </c>
      <c r="M144" s="1703" t="s">
        <v>863</v>
      </c>
      <c r="N144" s="1703" t="s">
        <v>863</v>
      </c>
      <c r="O144" s="1703" t="s">
        <v>863</v>
      </c>
      <c r="P144" s="1703" t="s">
        <v>877</v>
      </c>
      <c r="Q144" s="1703" t="s">
        <v>863</v>
      </c>
      <c r="R144" s="1703" t="s">
        <v>863</v>
      </c>
      <c r="S144" s="1705" t="s">
        <v>1018</v>
      </c>
      <c r="T144" s="1705" t="s">
        <v>109</v>
      </c>
      <c r="U144" s="1705" t="s">
        <v>109</v>
      </c>
      <c r="V144" s="1719">
        <v>0.27347644104822827</v>
      </c>
      <c r="W144" s="1705">
        <v>0</v>
      </c>
      <c r="X144" s="1705" t="s">
        <v>109</v>
      </c>
      <c r="Y144" s="1705">
        <v>0</v>
      </c>
      <c r="Z144" s="1705">
        <v>1.80178185573922E-2</v>
      </c>
      <c r="AA144" s="1705">
        <v>1.80178185573922E-2</v>
      </c>
      <c r="AB144" s="1712">
        <v>0.27347644104822827</v>
      </c>
      <c r="AC144" s="1712">
        <v>0.27347644104822827</v>
      </c>
      <c r="AD144" s="1713" t="s">
        <v>109</v>
      </c>
      <c r="AE144" s="1712" t="s">
        <v>109</v>
      </c>
      <c r="AF144" s="1712" t="s">
        <v>109</v>
      </c>
      <c r="AG144" s="1713">
        <v>0</v>
      </c>
      <c r="AH144" s="1713">
        <f>IFERROR(TBL4_OptApp[[#This Row],[Total NPC (£m)]]/TBL4_OptApp[[#This Row],[Maximum option utilisation across the planning period (Ml/d)]],"N/A")</f>
        <v>1.3710099683675256</v>
      </c>
      <c r="AI144" s="1713">
        <v>0.37493892679079494</v>
      </c>
      <c r="AJ144" s="1703" t="s">
        <v>109</v>
      </c>
      <c r="AK144" s="1705" t="s">
        <v>109</v>
      </c>
      <c r="AL144" s="1705" t="s">
        <v>109</v>
      </c>
      <c r="AM144" s="1705" t="s">
        <v>109</v>
      </c>
      <c r="AN144" s="1705" t="s">
        <v>109</v>
      </c>
      <c r="AO144" s="1705" t="s">
        <v>109</v>
      </c>
      <c r="AP144" s="1705" t="s">
        <v>109</v>
      </c>
      <c r="AQ144" s="1705" t="s">
        <v>109</v>
      </c>
      <c r="AR144" s="1705" t="s">
        <v>109</v>
      </c>
      <c r="AS144" s="1705" t="s">
        <v>109</v>
      </c>
      <c r="AT144" s="1705" t="s">
        <v>109</v>
      </c>
      <c r="AU144" s="1705" t="s">
        <v>109</v>
      </c>
      <c r="AV144" s="1705" t="s">
        <v>109</v>
      </c>
      <c r="AW144" s="1705"/>
      <c r="AX144" s="1705"/>
      <c r="AY144" s="1705"/>
      <c r="AZ144" s="1705"/>
      <c r="BA144" s="1705"/>
    </row>
    <row r="145" spans="2:53" ht="28.5" x14ac:dyDescent="0.2">
      <c r="B145" s="17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51dF</v>
      </c>
      <c r="C145" s="1703" t="s">
        <v>1169</v>
      </c>
      <c r="D145" s="1707" t="s">
        <v>1154</v>
      </c>
      <c r="E145" s="1714" t="s">
        <v>1142</v>
      </c>
      <c r="F145" s="1703" t="str">
        <f>VLOOKUP(TBL4_OptApp[[#This Row],[Option type
Defined List]],'Option Typs_Grps'!B$2:C$47, 2, FALSE)</f>
        <v>Customer Options</v>
      </c>
      <c r="G145" s="1703" t="s">
        <v>861</v>
      </c>
      <c r="H145" s="1703" t="s">
        <v>862</v>
      </c>
      <c r="I145" s="1703" t="s">
        <v>863</v>
      </c>
      <c r="J145" s="1703" t="s">
        <v>109</v>
      </c>
      <c r="K145" s="1703" t="s">
        <v>109</v>
      </c>
      <c r="L145" s="1703" t="s">
        <v>863</v>
      </c>
      <c r="M145" s="1703" t="s">
        <v>863</v>
      </c>
      <c r="N145" s="1703" t="s">
        <v>863</v>
      </c>
      <c r="O145" s="1703" t="s">
        <v>863</v>
      </c>
      <c r="P145" s="1703" t="s">
        <v>863</v>
      </c>
      <c r="Q145" s="1703" t="s">
        <v>863</v>
      </c>
      <c r="R145" s="1703" t="s">
        <v>863</v>
      </c>
      <c r="S145" s="1705" t="s">
        <v>988</v>
      </c>
      <c r="T145" s="1705" t="s">
        <v>109</v>
      </c>
      <c r="U145" s="1705" t="s">
        <v>109</v>
      </c>
      <c r="V145" s="1719">
        <v>4.3302423912754353</v>
      </c>
      <c r="W145" s="1705">
        <v>0</v>
      </c>
      <c r="X145" s="1705" t="s">
        <v>109</v>
      </c>
      <c r="Y145" s="1705">
        <v>0</v>
      </c>
      <c r="Z145" s="1705">
        <v>0.35134746186914789</v>
      </c>
      <c r="AA145" s="1705">
        <v>0.35134746186914789</v>
      </c>
      <c r="AB145" s="1712">
        <v>4.3302423912754353</v>
      </c>
      <c r="AC145" s="1712">
        <v>4.3302423912754353</v>
      </c>
      <c r="AD145" s="1713" t="s">
        <v>109</v>
      </c>
      <c r="AE145" s="1712" t="s">
        <v>109</v>
      </c>
      <c r="AF145" s="1712" t="s">
        <v>109</v>
      </c>
      <c r="AG145" s="1713">
        <v>0</v>
      </c>
      <c r="AH145" s="1713">
        <f>IFERROR(TBL4_OptApp[[#This Row],[Total NPC (£m)]]/TBL4_OptApp[[#This Row],[Maximum option utilisation across the planning period (Ml/d)]],"N/A")</f>
        <v>1.7267683303771515</v>
      </c>
      <c r="AI145" s="1713">
        <v>7.4773254241110472</v>
      </c>
      <c r="AJ145" s="1703" t="s">
        <v>109</v>
      </c>
      <c r="AK145" s="1705" t="s">
        <v>109</v>
      </c>
      <c r="AL145" s="1705" t="s">
        <v>109</v>
      </c>
      <c r="AM145" s="1705" t="s">
        <v>109</v>
      </c>
      <c r="AN145" s="1705" t="s">
        <v>109</v>
      </c>
      <c r="AO145" s="1705" t="s">
        <v>109</v>
      </c>
      <c r="AP145" s="1705" t="s">
        <v>109</v>
      </c>
      <c r="AQ145" s="1705" t="s">
        <v>109</v>
      </c>
      <c r="AR145" s="1705" t="s">
        <v>109</v>
      </c>
      <c r="AS145" s="1705" t="s">
        <v>109</v>
      </c>
      <c r="AT145" s="1705" t="s">
        <v>109</v>
      </c>
      <c r="AU145" s="1705" t="s">
        <v>109</v>
      </c>
      <c r="AV145" s="1705" t="s">
        <v>109</v>
      </c>
      <c r="AW145" s="1705"/>
      <c r="AX145" s="1705"/>
      <c r="AY145" s="1705"/>
      <c r="AZ145" s="1705"/>
      <c r="BA145" s="1705"/>
    </row>
    <row r="146" spans="2:53" ht="71.25" x14ac:dyDescent="0.2">
      <c r="B146" s="17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51cF</v>
      </c>
      <c r="C146" s="1703" t="s">
        <v>1170</v>
      </c>
      <c r="D146" s="1703" t="s">
        <v>1171</v>
      </c>
      <c r="E146" s="1704" t="s">
        <v>902</v>
      </c>
      <c r="F146" s="1703" t="str">
        <f>VLOOKUP(TBL4_OptApp[[#This Row],[Option type
Defined List]],'Option Typs_Grps'!B$2:C$47, 2, FALSE)</f>
        <v>Distribution Options</v>
      </c>
      <c r="G146" s="1703" t="s">
        <v>93</v>
      </c>
      <c r="H146" s="1703" t="s">
        <v>862</v>
      </c>
      <c r="I146" s="1703" t="s">
        <v>877</v>
      </c>
      <c r="J146" s="1703" t="s">
        <v>109</v>
      </c>
      <c r="K146" s="1703" t="s">
        <v>1139</v>
      </c>
      <c r="L146" s="1703" t="s">
        <v>863</v>
      </c>
      <c r="M146" s="1703" t="s">
        <v>863</v>
      </c>
      <c r="N146" s="1703" t="s">
        <v>863</v>
      </c>
      <c r="O146" s="1703" t="s">
        <v>863</v>
      </c>
      <c r="P146" s="1703" t="s">
        <v>863</v>
      </c>
      <c r="Q146" s="1703" t="s">
        <v>863</v>
      </c>
      <c r="R146" s="1703" t="s">
        <v>863</v>
      </c>
      <c r="S146" s="1705"/>
      <c r="T146" s="1705" t="s">
        <v>1172</v>
      </c>
      <c r="U146" s="1705" t="s">
        <v>93</v>
      </c>
      <c r="V146" s="1707">
        <v>44</v>
      </c>
      <c r="W146" s="1705">
        <v>3</v>
      </c>
      <c r="X146" s="1703">
        <v>2030</v>
      </c>
      <c r="Y146" s="1705">
        <v>73.040000000000006</v>
      </c>
      <c r="Z146" s="1705">
        <v>2.13</v>
      </c>
      <c r="AA146" s="1703" t="s">
        <v>109</v>
      </c>
      <c r="AB146" s="1703" t="s">
        <v>109</v>
      </c>
      <c r="AC146" s="1705">
        <v>44</v>
      </c>
      <c r="AD146" s="1713">
        <v>96703.648000000001</v>
      </c>
      <c r="AE146" s="1713">
        <v>2801.364</v>
      </c>
      <c r="AF146" s="1712" t="s">
        <v>109</v>
      </c>
      <c r="AG146" s="1713">
        <v>27.488716991123912</v>
      </c>
      <c r="AH146" s="1713">
        <f>IFERROR(TBL4_OptApp[[#This Row],[Total NPC (£m)]]/TBL4_OptApp[[#This Row],[Maximum option utilisation across the planning period (Ml/d)]],"N/A")</f>
        <v>1.9046554264994198</v>
      </c>
      <c r="AI146" s="1713">
        <v>83.804838765974466</v>
      </c>
      <c r="AJ146" s="1703"/>
      <c r="AK146" s="1703"/>
      <c r="AL146" s="1703"/>
      <c r="AM146" s="1703"/>
      <c r="AN146" s="1703"/>
      <c r="AO146" s="1703"/>
      <c r="AP146" s="1703"/>
      <c r="AQ146" s="1703"/>
      <c r="AR146" s="1703"/>
      <c r="AS146" s="1703"/>
      <c r="AT146" s="1703"/>
      <c r="AU146" s="1703"/>
      <c r="AV146" s="1703"/>
      <c r="AW146" s="1703"/>
      <c r="AX146" s="1703"/>
      <c r="AY146" s="1703"/>
      <c r="AZ146" s="1705"/>
      <c r="BA146" s="1705"/>
    </row>
    <row r="147" spans="2:53" ht="57" x14ac:dyDescent="0.2">
      <c r="B147" s="17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51cF</v>
      </c>
      <c r="C147" s="1703" t="s">
        <v>1173</v>
      </c>
      <c r="D147" s="1703" t="s">
        <v>1174</v>
      </c>
      <c r="E147" s="1704" t="s">
        <v>902</v>
      </c>
      <c r="F147" s="1703" t="str">
        <f>VLOOKUP(TBL4_OptApp[[#This Row],[Option type
Defined List]],'Option Typs_Grps'!B$2:C$47, 2, FALSE)</f>
        <v>Distribution Options</v>
      </c>
      <c r="G147" s="1703" t="s">
        <v>93</v>
      </c>
      <c r="H147" s="1703" t="s">
        <v>862</v>
      </c>
      <c r="I147" s="1703" t="s">
        <v>877</v>
      </c>
      <c r="J147" s="1703" t="s">
        <v>109</v>
      </c>
      <c r="K147" s="1703" t="s">
        <v>1139</v>
      </c>
      <c r="L147" s="1703" t="s">
        <v>863</v>
      </c>
      <c r="M147" s="1703" t="s">
        <v>863</v>
      </c>
      <c r="N147" s="1703" t="s">
        <v>863</v>
      </c>
      <c r="O147" s="1703" t="s">
        <v>863</v>
      </c>
      <c r="P147" s="1703" t="s">
        <v>863</v>
      </c>
      <c r="Q147" s="1703" t="s">
        <v>863</v>
      </c>
      <c r="R147" s="1703" t="s">
        <v>863</v>
      </c>
      <c r="S147" s="1705"/>
      <c r="T147" s="1705" t="s">
        <v>1172</v>
      </c>
      <c r="U147" s="1705" t="s">
        <v>93</v>
      </c>
      <c r="V147" s="1707">
        <v>40.5</v>
      </c>
      <c r="W147" s="1705">
        <v>3</v>
      </c>
      <c r="X147" s="1703">
        <v>2030</v>
      </c>
      <c r="Y147" s="1705">
        <v>73.03</v>
      </c>
      <c r="Z147" s="1705">
        <v>1.69</v>
      </c>
      <c r="AA147" s="1703" t="s">
        <v>109</v>
      </c>
      <c r="AB147" s="1703" t="s">
        <v>109</v>
      </c>
      <c r="AC147" s="1705">
        <v>40.5</v>
      </c>
      <c r="AD147" s="1713">
        <v>95829.034</v>
      </c>
      <c r="AE147" s="1713">
        <v>1628.914</v>
      </c>
      <c r="AF147" s="1712" t="s">
        <v>109</v>
      </c>
      <c r="AG147" s="1713">
        <v>26.993154330369844</v>
      </c>
      <c r="AH147" s="1713">
        <f>IFERROR(TBL4_OptApp[[#This Row],[Total NPC (£m)]]/TBL4_OptApp[[#This Row],[Maximum option utilisation across the planning period (Ml/d)]],"N/A")</f>
        <v>1.9460546948212838</v>
      </c>
      <c r="AI147" s="1713">
        <v>78.815215140261998</v>
      </c>
      <c r="AJ147" s="1703"/>
      <c r="AK147" s="1703"/>
      <c r="AL147" s="1703"/>
      <c r="AM147" s="1703"/>
      <c r="AN147" s="1703"/>
      <c r="AO147" s="1703"/>
      <c r="AP147" s="1703"/>
      <c r="AQ147" s="1703"/>
      <c r="AR147" s="1703"/>
      <c r="AS147" s="1703"/>
      <c r="AT147" s="1703"/>
      <c r="AU147" s="1703"/>
      <c r="AV147" s="1703"/>
      <c r="AW147" s="1703"/>
      <c r="AX147" s="1703"/>
      <c r="AY147" s="1703"/>
      <c r="AZ147" s="1705"/>
      <c r="BA147" s="1705"/>
    </row>
    <row r="148" spans="2:53" ht="42.75" x14ac:dyDescent="0.2">
      <c r="B148" s="17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51cF</v>
      </c>
      <c r="C148" s="1703" t="s">
        <v>1175</v>
      </c>
      <c r="D148" s="1703" t="s">
        <v>1176</v>
      </c>
      <c r="E148" s="1704" t="s">
        <v>902</v>
      </c>
      <c r="F148" s="1703" t="str">
        <f>VLOOKUP(TBL4_OptApp[[#This Row],[Option type
Defined List]],'Option Typs_Grps'!B$2:C$47, 2, FALSE)</f>
        <v>Distribution Options</v>
      </c>
      <c r="G148" s="1703" t="s">
        <v>93</v>
      </c>
      <c r="H148" s="1703" t="s">
        <v>862</v>
      </c>
      <c r="I148" s="1703" t="s">
        <v>877</v>
      </c>
      <c r="J148" s="1703" t="s">
        <v>109</v>
      </c>
      <c r="K148" s="1703" t="s">
        <v>1139</v>
      </c>
      <c r="L148" s="1703" t="s">
        <v>863</v>
      </c>
      <c r="M148" s="1703" t="s">
        <v>863</v>
      </c>
      <c r="N148" s="1703" t="s">
        <v>863</v>
      </c>
      <c r="O148" s="1703" t="s">
        <v>863</v>
      </c>
      <c r="P148" s="1703" t="s">
        <v>863</v>
      </c>
      <c r="Q148" s="1703" t="s">
        <v>863</v>
      </c>
      <c r="R148" s="1703" t="s">
        <v>863</v>
      </c>
      <c r="S148" s="1705"/>
      <c r="T148" s="1705" t="s">
        <v>1172</v>
      </c>
      <c r="U148" s="1705" t="s">
        <v>992</v>
      </c>
      <c r="V148" s="1707">
        <v>10</v>
      </c>
      <c r="W148" s="1705">
        <v>3</v>
      </c>
      <c r="X148" s="1703">
        <v>2030</v>
      </c>
      <c r="Y148" s="1705">
        <v>49.23</v>
      </c>
      <c r="Z148" s="1705">
        <v>0.53</v>
      </c>
      <c r="AA148" s="1703" t="s">
        <v>109</v>
      </c>
      <c r="AB148" s="1703" t="s">
        <v>109</v>
      </c>
      <c r="AC148" s="1705">
        <v>10</v>
      </c>
      <c r="AD148" s="1713">
        <v>70685.430999999997</v>
      </c>
      <c r="AE148" s="1713">
        <v>479.84800000000001</v>
      </c>
      <c r="AF148" s="1712" t="s">
        <v>109</v>
      </c>
      <c r="AG148" s="1713">
        <v>19.4997078869646</v>
      </c>
      <c r="AH148" s="1713">
        <f>IFERROR(TBL4_OptApp[[#This Row],[Total NPC (£m)]]/TBL4_OptApp[[#This Row],[Maximum option utilisation across the planning period (Ml/d)]],"N/A")</f>
        <v>4.6089714464244649</v>
      </c>
      <c r="AI148" s="1713">
        <v>46.089714464244651</v>
      </c>
      <c r="AJ148" s="1703"/>
      <c r="AK148" s="1703"/>
      <c r="AL148" s="1703"/>
      <c r="AM148" s="1703"/>
      <c r="AN148" s="1703"/>
      <c r="AO148" s="1703"/>
      <c r="AP148" s="1703"/>
      <c r="AQ148" s="1703"/>
      <c r="AR148" s="1703"/>
      <c r="AS148" s="1703"/>
      <c r="AT148" s="1703"/>
      <c r="AU148" s="1703"/>
      <c r="AV148" s="1703"/>
      <c r="AW148" s="1703"/>
      <c r="AX148" s="1703"/>
      <c r="AY148" s="1703"/>
      <c r="AZ148" s="1705"/>
      <c r="BA148" s="1705"/>
    </row>
    <row r="149" spans="2:53" ht="71.25" x14ac:dyDescent="0.2">
      <c r="B149" s="17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149" s="1703" t="s">
        <v>1177</v>
      </c>
      <c r="D149" s="1707" t="s">
        <v>1178</v>
      </c>
      <c r="E149" s="1714" t="s">
        <v>987</v>
      </c>
      <c r="F149" s="1703" t="str">
        <f>VLOOKUP(TBL4_OptApp[[#This Row],[Option type
Defined List]],'Option Typs_Grps'!B$2:C$47, 2, FALSE)</f>
        <v>Customer Options</v>
      </c>
      <c r="G149" s="1703" t="s">
        <v>861</v>
      </c>
      <c r="H149" s="1703" t="s">
        <v>871</v>
      </c>
      <c r="I149" s="1703" t="s">
        <v>863</v>
      </c>
      <c r="J149" s="1703" t="s">
        <v>109</v>
      </c>
      <c r="K149" s="1703" t="s">
        <v>109</v>
      </c>
      <c r="L149" s="1703" t="s">
        <v>863</v>
      </c>
      <c r="M149" s="1703" t="s">
        <v>863</v>
      </c>
      <c r="N149" s="1703" t="s">
        <v>863</v>
      </c>
      <c r="O149" s="1703" t="s">
        <v>863</v>
      </c>
      <c r="P149" s="1703" t="s">
        <v>863</v>
      </c>
      <c r="Q149" s="1703" t="s">
        <v>863</v>
      </c>
      <c r="R149" s="1703" t="s">
        <v>863</v>
      </c>
      <c r="S149" s="1705" t="s">
        <v>1179</v>
      </c>
      <c r="T149" s="1705" t="s">
        <v>109</v>
      </c>
      <c r="U149" s="1705" t="s">
        <v>109</v>
      </c>
      <c r="V149" s="1719" t="s">
        <v>109</v>
      </c>
      <c r="W149" s="1705">
        <v>0</v>
      </c>
      <c r="X149" s="1705" t="s">
        <v>109</v>
      </c>
      <c r="Y149" s="1705">
        <v>0</v>
      </c>
      <c r="Z149" s="1705" t="s">
        <v>109</v>
      </c>
      <c r="AA149" s="1705" t="s">
        <v>109</v>
      </c>
      <c r="AB149" s="1712" t="s">
        <v>109</v>
      </c>
      <c r="AC149" s="1712" t="s">
        <v>109</v>
      </c>
      <c r="AD149" s="1713" t="s">
        <v>109</v>
      </c>
      <c r="AE149" s="1712" t="s">
        <v>109</v>
      </c>
      <c r="AF149" s="1712" t="s">
        <v>109</v>
      </c>
      <c r="AG149" s="1713">
        <v>0</v>
      </c>
      <c r="AH149" s="1713" t="str">
        <f>IFERROR(TBL4_OptApp[[#This Row],[Total NPC (£m)]]/TBL4_OptApp[[#This Row],[Maximum option utilisation across the planning period (Ml/d)]],"N/A")</f>
        <v>N/A</v>
      </c>
      <c r="AI149" s="1713" t="s">
        <v>109</v>
      </c>
      <c r="AJ149" s="1703" t="s">
        <v>109</v>
      </c>
      <c r="AK149" s="1705" t="s">
        <v>109</v>
      </c>
      <c r="AL149" s="1705" t="s">
        <v>109</v>
      </c>
      <c r="AM149" s="1705" t="s">
        <v>109</v>
      </c>
      <c r="AN149" s="1705" t="s">
        <v>109</v>
      </c>
      <c r="AO149" s="1705" t="s">
        <v>109</v>
      </c>
      <c r="AP149" s="1705" t="s">
        <v>109</v>
      </c>
      <c r="AQ149" s="1705" t="s">
        <v>109</v>
      </c>
      <c r="AR149" s="1705" t="s">
        <v>109</v>
      </c>
      <c r="AS149" s="1705" t="s">
        <v>109</v>
      </c>
      <c r="AT149" s="1705" t="s">
        <v>109</v>
      </c>
      <c r="AU149" s="1705" t="s">
        <v>109</v>
      </c>
      <c r="AV149" s="1705" t="s">
        <v>109</v>
      </c>
      <c r="AW149" s="1705"/>
      <c r="AX149" s="1705"/>
      <c r="AY149" s="1705"/>
      <c r="AZ149" s="1705"/>
      <c r="BA149" s="1705"/>
    </row>
    <row r="150" spans="2:53" ht="71.25" x14ac:dyDescent="0.2">
      <c r="B150" s="17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150" s="1703" t="s">
        <v>1180</v>
      </c>
      <c r="D150" s="1707" t="s">
        <v>1181</v>
      </c>
      <c r="E150" s="1714" t="s">
        <v>987</v>
      </c>
      <c r="F150" s="1703" t="str">
        <f>VLOOKUP(TBL4_OptApp[[#This Row],[Option type
Defined List]],'Option Typs_Grps'!B$2:C$47, 2, FALSE)</f>
        <v>Customer Options</v>
      </c>
      <c r="G150" s="1703" t="s">
        <v>861</v>
      </c>
      <c r="H150" s="1703" t="s">
        <v>871</v>
      </c>
      <c r="I150" s="1703" t="s">
        <v>863</v>
      </c>
      <c r="J150" s="1703" t="s">
        <v>109</v>
      </c>
      <c r="K150" s="1703" t="s">
        <v>109</v>
      </c>
      <c r="L150" s="1703" t="s">
        <v>863</v>
      </c>
      <c r="M150" s="1703" t="s">
        <v>863</v>
      </c>
      <c r="N150" s="1703" t="s">
        <v>863</v>
      </c>
      <c r="O150" s="1703" t="s">
        <v>863</v>
      </c>
      <c r="P150" s="1703" t="s">
        <v>863</v>
      </c>
      <c r="Q150" s="1703" t="s">
        <v>863</v>
      </c>
      <c r="R150" s="1703" t="s">
        <v>863</v>
      </c>
      <c r="S150" s="1705" t="s">
        <v>1179</v>
      </c>
      <c r="T150" s="1705" t="s">
        <v>109</v>
      </c>
      <c r="U150" s="1705" t="s">
        <v>109</v>
      </c>
      <c r="V150" s="1719" t="s">
        <v>109</v>
      </c>
      <c r="W150" s="1705">
        <v>0</v>
      </c>
      <c r="X150" s="1705" t="s">
        <v>109</v>
      </c>
      <c r="Y150" s="1705">
        <v>0</v>
      </c>
      <c r="Z150" s="1705" t="s">
        <v>109</v>
      </c>
      <c r="AA150" s="1705" t="s">
        <v>109</v>
      </c>
      <c r="AB150" s="1712" t="s">
        <v>109</v>
      </c>
      <c r="AC150" s="1712" t="s">
        <v>109</v>
      </c>
      <c r="AD150" s="1713" t="s">
        <v>109</v>
      </c>
      <c r="AE150" s="1712" t="s">
        <v>109</v>
      </c>
      <c r="AF150" s="1712" t="s">
        <v>109</v>
      </c>
      <c r="AG150" s="1713">
        <v>0</v>
      </c>
      <c r="AH150" s="1713" t="str">
        <f>IFERROR(TBL4_OptApp[[#This Row],[Total NPC (£m)]]/TBL4_OptApp[[#This Row],[Maximum option utilisation across the planning period (Ml/d)]],"N/A")</f>
        <v>N/A</v>
      </c>
      <c r="AI150" s="1713" t="s">
        <v>109</v>
      </c>
      <c r="AJ150" s="1703" t="s">
        <v>109</v>
      </c>
      <c r="AK150" s="1705" t="s">
        <v>109</v>
      </c>
      <c r="AL150" s="1705" t="s">
        <v>109</v>
      </c>
      <c r="AM150" s="1705" t="s">
        <v>109</v>
      </c>
      <c r="AN150" s="1705" t="s">
        <v>109</v>
      </c>
      <c r="AO150" s="1705" t="s">
        <v>109</v>
      </c>
      <c r="AP150" s="1705" t="s">
        <v>109</v>
      </c>
      <c r="AQ150" s="1705" t="s">
        <v>109</v>
      </c>
      <c r="AR150" s="1705" t="s">
        <v>109</v>
      </c>
      <c r="AS150" s="1705" t="s">
        <v>109</v>
      </c>
      <c r="AT150" s="1705" t="s">
        <v>109</v>
      </c>
      <c r="AU150" s="1705" t="s">
        <v>109</v>
      </c>
      <c r="AV150" s="1705" t="s">
        <v>109</v>
      </c>
      <c r="AW150" s="1705"/>
      <c r="AX150" s="1705"/>
      <c r="AY150" s="1705"/>
      <c r="AZ150" s="1705"/>
      <c r="BA150" s="1705"/>
    </row>
    <row r="151" spans="2:53" ht="71.25" x14ac:dyDescent="0.2">
      <c r="B151" s="17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151" s="1703" t="s">
        <v>1182</v>
      </c>
      <c r="D151" s="1707" t="s">
        <v>1183</v>
      </c>
      <c r="E151" s="1714" t="s">
        <v>987</v>
      </c>
      <c r="F151" s="1703" t="str">
        <f>VLOOKUP(TBL4_OptApp[[#This Row],[Option type
Defined List]],'Option Typs_Grps'!B$2:C$47, 2, FALSE)</f>
        <v>Customer Options</v>
      </c>
      <c r="G151" s="1703" t="s">
        <v>861</v>
      </c>
      <c r="H151" s="1703" t="s">
        <v>871</v>
      </c>
      <c r="I151" s="1703" t="s">
        <v>863</v>
      </c>
      <c r="J151" s="1703" t="s">
        <v>109</v>
      </c>
      <c r="K151" s="1703" t="s">
        <v>109</v>
      </c>
      <c r="L151" s="1703" t="s">
        <v>863</v>
      </c>
      <c r="M151" s="1703" t="s">
        <v>863</v>
      </c>
      <c r="N151" s="1703" t="s">
        <v>863</v>
      </c>
      <c r="O151" s="1703" t="s">
        <v>863</v>
      </c>
      <c r="P151" s="1703" t="s">
        <v>863</v>
      </c>
      <c r="Q151" s="1703" t="s">
        <v>863</v>
      </c>
      <c r="R151" s="1703" t="s">
        <v>863</v>
      </c>
      <c r="S151" s="1705" t="s">
        <v>1179</v>
      </c>
      <c r="T151" s="1705" t="s">
        <v>109</v>
      </c>
      <c r="U151" s="1705" t="s">
        <v>109</v>
      </c>
      <c r="V151" s="1719" t="s">
        <v>109</v>
      </c>
      <c r="W151" s="1705">
        <v>0</v>
      </c>
      <c r="X151" s="1705" t="s">
        <v>109</v>
      </c>
      <c r="Y151" s="1705">
        <v>0</v>
      </c>
      <c r="Z151" s="1705" t="s">
        <v>109</v>
      </c>
      <c r="AA151" s="1705" t="s">
        <v>109</v>
      </c>
      <c r="AB151" s="1712" t="s">
        <v>109</v>
      </c>
      <c r="AC151" s="1712" t="s">
        <v>109</v>
      </c>
      <c r="AD151" s="1713" t="s">
        <v>109</v>
      </c>
      <c r="AE151" s="1712" t="s">
        <v>109</v>
      </c>
      <c r="AF151" s="1712" t="s">
        <v>109</v>
      </c>
      <c r="AG151" s="1713">
        <v>0</v>
      </c>
      <c r="AH151" s="1713" t="str">
        <f>IFERROR(TBL4_OptApp[[#This Row],[Total NPC (£m)]]/TBL4_OptApp[[#This Row],[Maximum option utilisation across the planning period (Ml/d)]],"N/A")</f>
        <v>N/A</v>
      </c>
      <c r="AI151" s="1713" t="s">
        <v>109</v>
      </c>
      <c r="AJ151" s="1703" t="s">
        <v>109</v>
      </c>
      <c r="AK151" s="1705" t="s">
        <v>109</v>
      </c>
      <c r="AL151" s="1705" t="s">
        <v>109</v>
      </c>
      <c r="AM151" s="1705" t="s">
        <v>109</v>
      </c>
      <c r="AN151" s="1705" t="s">
        <v>109</v>
      </c>
      <c r="AO151" s="1705" t="s">
        <v>109</v>
      </c>
      <c r="AP151" s="1705" t="s">
        <v>109</v>
      </c>
      <c r="AQ151" s="1705" t="s">
        <v>109</v>
      </c>
      <c r="AR151" s="1705" t="s">
        <v>109</v>
      </c>
      <c r="AS151" s="1705" t="s">
        <v>109</v>
      </c>
      <c r="AT151" s="1705" t="s">
        <v>109</v>
      </c>
      <c r="AU151" s="1705" t="s">
        <v>109</v>
      </c>
      <c r="AV151" s="1705" t="s">
        <v>109</v>
      </c>
      <c r="AW151" s="1705"/>
      <c r="AX151" s="1705"/>
      <c r="AY151" s="1705"/>
      <c r="AZ151" s="1705"/>
      <c r="BA151" s="1705"/>
    </row>
    <row r="152" spans="2:53" ht="71.25" x14ac:dyDescent="0.2">
      <c r="B152" s="17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152" s="1703" t="s">
        <v>1184</v>
      </c>
      <c r="D152" s="1707" t="s">
        <v>1185</v>
      </c>
      <c r="E152" s="1714" t="s">
        <v>1186</v>
      </c>
      <c r="F152" s="1703" t="str">
        <f>VLOOKUP(TBL4_OptApp[[#This Row],[Option type
Defined List]],'Option Typs_Grps'!B$2:C$47, 2, FALSE)</f>
        <v>Customer Options</v>
      </c>
      <c r="G152" s="1703" t="s">
        <v>861</v>
      </c>
      <c r="H152" s="1703" t="s">
        <v>871</v>
      </c>
      <c r="I152" s="1703" t="s">
        <v>863</v>
      </c>
      <c r="J152" s="1703" t="s">
        <v>109</v>
      </c>
      <c r="K152" s="1703" t="s">
        <v>109</v>
      </c>
      <c r="L152" s="1703" t="s">
        <v>863</v>
      </c>
      <c r="M152" s="1703" t="s">
        <v>863</v>
      </c>
      <c r="N152" s="1703" t="s">
        <v>863</v>
      </c>
      <c r="O152" s="1703" t="s">
        <v>863</v>
      </c>
      <c r="P152" s="1703" t="s">
        <v>863</v>
      </c>
      <c r="Q152" s="1703" t="s">
        <v>863</v>
      </c>
      <c r="R152" s="1703" t="s">
        <v>863</v>
      </c>
      <c r="S152" s="1705" t="s">
        <v>1179</v>
      </c>
      <c r="T152" s="1705" t="s">
        <v>109</v>
      </c>
      <c r="U152" s="1705" t="s">
        <v>109</v>
      </c>
      <c r="V152" s="1719" t="s">
        <v>109</v>
      </c>
      <c r="W152" s="1705">
        <v>0</v>
      </c>
      <c r="X152" s="1705" t="s">
        <v>109</v>
      </c>
      <c r="Y152" s="1705">
        <v>0</v>
      </c>
      <c r="Z152" s="1705" t="s">
        <v>109</v>
      </c>
      <c r="AA152" s="1705" t="s">
        <v>109</v>
      </c>
      <c r="AB152" s="1712" t="s">
        <v>109</v>
      </c>
      <c r="AC152" s="1712" t="s">
        <v>109</v>
      </c>
      <c r="AD152" s="1713" t="s">
        <v>109</v>
      </c>
      <c r="AE152" s="1712" t="s">
        <v>109</v>
      </c>
      <c r="AF152" s="1712" t="s">
        <v>109</v>
      </c>
      <c r="AG152" s="1713">
        <v>0</v>
      </c>
      <c r="AH152" s="1713" t="str">
        <f>IFERROR(TBL4_OptApp[[#This Row],[Total NPC (£m)]]/TBL4_OptApp[[#This Row],[Maximum option utilisation across the planning period (Ml/d)]],"N/A")</f>
        <v>N/A</v>
      </c>
      <c r="AI152" s="1713" t="s">
        <v>109</v>
      </c>
      <c r="AJ152" s="1703" t="s">
        <v>109</v>
      </c>
      <c r="AK152" s="1705" t="s">
        <v>109</v>
      </c>
      <c r="AL152" s="1705" t="s">
        <v>109</v>
      </c>
      <c r="AM152" s="1705" t="s">
        <v>109</v>
      </c>
      <c r="AN152" s="1705" t="s">
        <v>109</v>
      </c>
      <c r="AO152" s="1705" t="s">
        <v>109</v>
      </c>
      <c r="AP152" s="1705" t="s">
        <v>109</v>
      </c>
      <c r="AQ152" s="1705" t="s">
        <v>109</v>
      </c>
      <c r="AR152" s="1705" t="s">
        <v>109</v>
      </c>
      <c r="AS152" s="1705" t="s">
        <v>109</v>
      </c>
      <c r="AT152" s="1705" t="s">
        <v>109</v>
      </c>
      <c r="AU152" s="1705" t="s">
        <v>109</v>
      </c>
      <c r="AV152" s="1705" t="s">
        <v>109</v>
      </c>
      <c r="AW152" s="1705"/>
      <c r="AX152" s="1705"/>
      <c r="AY152" s="1705"/>
      <c r="AZ152" s="1705"/>
      <c r="BA152" s="1705"/>
    </row>
    <row r="153" spans="2:53" ht="71.25" x14ac:dyDescent="0.2">
      <c r="B153" s="17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153" s="1703" t="s">
        <v>1187</v>
      </c>
      <c r="D153" s="1707" t="s">
        <v>1188</v>
      </c>
      <c r="E153" s="1714" t="s">
        <v>987</v>
      </c>
      <c r="F153" s="1703" t="str">
        <f>VLOOKUP(TBL4_OptApp[[#This Row],[Option type
Defined List]],'Option Typs_Grps'!B$2:C$47, 2, FALSE)</f>
        <v>Customer Options</v>
      </c>
      <c r="G153" s="1703" t="s">
        <v>861</v>
      </c>
      <c r="H153" s="1703" t="s">
        <v>871</v>
      </c>
      <c r="I153" s="1703" t="s">
        <v>863</v>
      </c>
      <c r="J153" s="1703" t="s">
        <v>109</v>
      </c>
      <c r="K153" s="1703" t="s">
        <v>109</v>
      </c>
      <c r="L153" s="1703" t="s">
        <v>863</v>
      </c>
      <c r="M153" s="1703" t="s">
        <v>863</v>
      </c>
      <c r="N153" s="1703" t="s">
        <v>863</v>
      </c>
      <c r="O153" s="1703" t="s">
        <v>863</v>
      </c>
      <c r="P153" s="1703" t="s">
        <v>863</v>
      </c>
      <c r="Q153" s="1703" t="s">
        <v>863</v>
      </c>
      <c r="R153" s="1703" t="s">
        <v>863</v>
      </c>
      <c r="S153" s="1705" t="s">
        <v>1179</v>
      </c>
      <c r="T153" s="1705" t="s">
        <v>109</v>
      </c>
      <c r="U153" s="1705" t="s">
        <v>109</v>
      </c>
      <c r="V153" s="1719" t="s">
        <v>109</v>
      </c>
      <c r="W153" s="1705">
        <v>0</v>
      </c>
      <c r="X153" s="1705" t="s">
        <v>109</v>
      </c>
      <c r="Y153" s="1705">
        <v>0</v>
      </c>
      <c r="Z153" s="1705" t="s">
        <v>109</v>
      </c>
      <c r="AA153" s="1705" t="s">
        <v>109</v>
      </c>
      <c r="AB153" s="1712" t="s">
        <v>109</v>
      </c>
      <c r="AC153" s="1712" t="s">
        <v>109</v>
      </c>
      <c r="AD153" s="1713" t="s">
        <v>109</v>
      </c>
      <c r="AE153" s="1712" t="s">
        <v>109</v>
      </c>
      <c r="AF153" s="1712" t="s">
        <v>109</v>
      </c>
      <c r="AG153" s="1713">
        <v>0</v>
      </c>
      <c r="AH153" s="1713" t="str">
        <f>IFERROR(TBL4_OptApp[[#This Row],[Total NPC (£m)]]/TBL4_OptApp[[#This Row],[Maximum option utilisation across the planning period (Ml/d)]],"N/A")</f>
        <v>N/A</v>
      </c>
      <c r="AI153" s="1713" t="s">
        <v>109</v>
      </c>
      <c r="AJ153" s="1703" t="s">
        <v>109</v>
      </c>
      <c r="AK153" s="1705" t="s">
        <v>109</v>
      </c>
      <c r="AL153" s="1705" t="s">
        <v>109</v>
      </c>
      <c r="AM153" s="1705" t="s">
        <v>109</v>
      </c>
      <c r="AN153" s="1705" t="s">
        <v>109</v>
      </c>
      <c r="AO153" s="1705" t="s">
        <v>109</v>
      </c>
      <c r="AP153" s="1705" t="s">
        <v>109</v>
      </c>
      <c r="AQ153" s="1705" t="s">
        <v>109</v>
      </c>
      <c r="AR153" s="1705" t="s">
        <v>109</v>
      </c>
      <c r="AS153" s="1705" t="s">
        <v>109</v>
      </c>
      <c r="AT153" s="1705" t="s">
        <v>109</v>
      </c>
      <c r="AU153" s="1705" t="s">
        <v>109</v>
      </c>
      <c r="AV153" s="1705" t="s">
        <v>109</v>
      </c>
      <c r="AW153" s="1705"/>
      <c r="AX153" s="1705"/>
      <c r="AY153" s="1705"/>
      <c r="AZ153" s="1705"/>
      <c r="BA153" s="1705"/>
    </row>
    <row r="154" spans="2:53" ht="71.25" x14ac:dyDescent="0.2">
      <c r="B154" s="17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154" s="1703" t="s">
        <v>1189</v>
      </c>
      <c r="D154" s="1707" t="s">
        <v>1190</v>
      </c>
      <c r="E154" s="1714" t="s">
        <v>987</v>
      </c>
      <c r="F154" s="1703" t="str">
        <f>VLOOKUP(TBL4_OptApp[[#This Row],[Option type
Defined List]],'Option Typs_Grps'!B$2:C$47, 2, FALSE)</f>
        <v>Customer Options</v>
      </c>
      <c r="G154" s="1703" t="s">
        <v>861</v>
      </c>
      <c r="H154" s="1703" t="s">
        <v>871</v>
      </c>
      <c r="I154" s="1703" t="s">
        <v>863</v>
      </c>
      <c r="J154" s="1703" t="s">
        <v>109</v>
      </c>
      <c r="K154" s="1703" t="s">
        <v>109</v>
      </c>
      <c r="L154" s="1703" t="s">
        <v>863</v>
      </c>
      <c r="M154" s="1703" t="s">
        <v>863</v>
      </c>
      <c r="N154" s="1703" t="s">
        <v>863</v>
      </c>
      <c r="O154" s="1703" t="s">
        <v>863</v>
      </c>
      <c r="P154" s="1703" t="s">
        <v>863</v>
      </c>
      <c r="Q154" s="1703" t="s">
        <v>863</v>
      </c>
      <c r="R154" s="1703" t="s">
        <v>863</v>
      </c>
      <c r="S154" s="1705" t="s">
        <v>1179</v>
      </c>
      <c r="T154" s="1705" t="s">
        <v>109</v>
      </c>
      <c r="U154" s="1705" t="s">
        <v>109</v>
      </c>
      <c r="V154" s="1719" t="s">
        <v>109</v>
      </c>
      <c r="W154" s="1705">
        <v>0</v>
      </c>
      <c r="X154" s="1705" t="s">
        <v>109</v>
      </c>
      <c r="Y154" s="1705">
        <v>0</v>
      </c>
      <c r="Z154" s="1705" t="s">
        <v>109</v>
      </c>
      <c r="AA154" s="1705" t="s">
        <v>109</v>
      </c>
      <c r="AB154" s="1712" t="s">
        <v>109</v>
      </c>
      <c r="AC154" s="1712" t="s">
        <v>109</v>
      </c>
      <c r="AD154" s="1713" t="s">
        <v>109</v>
      </c>
      <c r="AE154" s="1712" t="s">
        <v>109</v>
      </c>
      <c r="AF154" s="1712" t="s">
        <v>109</v>
      </c>
      <c r="AG154" s="1713">
        <v>0</v>
      </c>
      <c r="AH154" s="1713" t="str">
        <f>IFERROR(TBL4_OptApp[[#This Row],[Total NPC (£m)]]/TBL4_OptApp[[#This Row],[Maximum option utilisation across the planning period (Ml/d)]],"N/A")</f>
        <v>N/A</v>
      </c>
      <c r="AI154" s="1713" t="s">
        <v>109</v>
      </c>
      <c r="AJ154" s="1703" t="s">
        <v>109</v>
      </c>
      <c r="AK154" s="1705" t="s">
        <v>109</v>
      </c>
      <c r="AL154" s="1705" t="s">
        <v>109</v>
      </c>
      <c r="AM154" s="1705" t="s">
        <v>109</v>
      </c>
      <c r="AN154" s="1705" t="s">
        <v>109</v>
      </c>
      <c r="AO154" s="1705" t="s">
        <v>109</v>
      </c>
      <c r="AP154" s="1705" t="s">
        <v>109</v>
      </c>
      <c r="AQ154" s="1705" t="s">
        <v>109</v>
      </c>
      <c r="AR154" s="1705" t="s">
        <v>109</v>
      </c>
      <c r="AS154" s="1705" t="s">
        <v>109</v>
      </c>
      <c r="AT154" s="1705" t="s">
        <v>109</v>
      </c>
      <c r="AU154" s="1705" t="s">
        <v>109</v>
      </c>
      <c r="AV154" s="1705" t="s">
        <v>109</v>
      </c>
      <c r="AW154" s="1705"/>
      <c r="AX154" s="1705"/>
      <c r="AY154" s="1705"/>
      <c r="AZ154" s="1705"/>
      <c r="BA154" s="1705"/>
    </row>
    <row r="155" spans="2:53" ht="71.25" x14ac:dyDescent="0.2">
      <c r="B155" s="17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155" s="1703" t="s">
        <v>1191</v>
      </c>
      <c r="D155" s="1707" t="s">
        <v>1192</v>
      </c>
      <c r="E155" s="1714" t="s">
        <v>987</v>
      </c>
      <c r="F155" s="1703" t="str">
        <f>VLOOKUP(TBL4_OptApp[[#This Row],[Option type
Defined List]],'Option Typs_Grps'!B$2:C$47, 2, FALSE)</f>
        <v>Customer Options</v>
      </c>
      <c r="G155" s="1703" t="s">
        <v>861</v>
      </c>
      <c r="H155" s="1703" t="s">
        <v>871</v>
      </c>
      <c r="I155" s="1703" t="s">
        <v>863</v>
      </c>
      <c r="J155" s="1703" t="s">
        <v>109</v>
      </c>
      <c r="K155" s="1703" t="s">
        <v>109</v>
      </c>
      <c r="L155" s="1703" t="s">
        <v>863</v>
      </c>
      <c r="M155" s="1703" t="s">
        <v>863</v>
      </c>
      <c r="N155" s="1703" t="s">
        <v>863</v>
      </c>
      <c r="O155" s="1703" t="s">
        <v>863</v>
      </c>
      <c r="P155" s="1703" t="s">
        <v>863</v>
      </c>
      <c r="Q155" s="1703" t="s">
        <v>863</v>
      </c>
      <c r="R155" s="1703" t="s">
        <v>863</v>
      </c>
      <c r="S155" s="1705" t="s">
        <v>1179</v>
      </c>
      <c r="T155" s="1705" t="s">
        <v>109</v>
      </c>
      <c r="U155" s="1705" t="s">
        <v>109</v>
      </c>
      <c r="V155" s="1719" t="s">
        <v>109</v>
      </c>
      <c r="W155" s="1705">
        <v>0</v>
      </c>
      <c r="X155" s="1705" t="s">
        <v>109</v>
      </c>
      <c r="Y155" s="1705">
        <v>0</v>
      </c>
      <c r="Z155" s="1705" t="s">
        <v>109</v>
      </c>
      <c r="AA155" s="1705" t="s">
        <v>109</v>
      </c>
      <c r="AB155" s="1712" t="s">
        <v>109</v>
      </c>
      <c r="AC155" s="1712" t="s">
        <v>109</v>
      </c>
      <c r="AD155" s="1713" t="s">
        <v>109</v>
      </c>
      <c r="AE155" s="1712" t="s">
        <v>109</v>
      </c>
      <c r="AF155" s="1712" t="s">
        <v>109</v>
      </c>
      <c r="AG155" s="1713">
        <v>0</v>
      </c>
      <c r="AH155" s="1713" t="str">
        <f>IFERROR(TBL4_OptApp[[#This Row],[Total NPC (£m)]]/TBL4_OptApp[[#This Row],[Maximum option utilisation across the planning period (Ml/d)]],"N/A")</f>
        <v>N/A</v>
      </c>
      <c r="AI155" s="1713" t="s">
        <v>109</v>
      </c>
      <c r="AJ155" s="1703" t="s">
        <v>109</v>
      </c>
      <c r="AK155" s="1705" t="s">
        <v>109</v>
      </c>
      <c r="AL155" s="1705" t="s">
        <v>109</v>
      </c>
      <c r="AM155" s="1705" t="s">
        <v>109</v>
      </c>
      <c r="AN155" s="1705" t="s">
        <v>109</v>
      </c>
      <c r="AO155" s="1705" t="s">
        <v>109</v>
      </c>
      <c r="AP155" s="1705" t="s">
        <v>109</v>
      </c>
      <c r="AQ155" s="1705" t="s">
        <v>109</v>
      </c>
      <c r="AR155" s="1705" t="s">
        <v>109</v>
      </c>
      <c r="AS155" s="1705" t="s">
        <v>109</v>
      </c>
      <c r="AT155" s="1705" t="s">
        <v>109</v>
      </c>
      <c r="AU155" s="1705" t="s">
        <v>109</v>
      </c>
      <c r="AV155" s="1705" t="s">
        <v>109</v>
      </c>
      <c r="AW155" s="1705"/>
      <c r="AX155" s="1705"/>
      <c r="AY155" s="1705"/>
      <c r="AZ155" s="1705"/>
      <c r="BA155" s="1705"/>
    </row>
    <row r="156" spans="2:53" ht="71.25" x14ac:dyDescent="0.2">
      <c r="B156" s="17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156" s="1703" t="s">
        <v>1193</v>
      </c>
      <c r="D156" s="1707" t="s">
        <v>1194</v>
      </c>
      <c r="E156" s="1714" t="s">
        <v>1142</v>
      </c>
      <c r="F156" s="1703" t="str">
        <f>VLOOKUP(TBL4_OptApp[[#This Row],[Option type
Defined List]],'Option Typs_Grps'!B$2:C$47, 2, FALSE)</f>
        <v>Customer Options</v>
      </c>
      <c r="G156" s="1703" t="s">
        <v>861</v>
      </c>
      <c r="H156" s="1703" t="s">
        <v>871</v>
      </c>
      <c r="I156" s="1703" t="s">
        <v>863</v>
      </c>
      <c r="J156" s="1703" t="s">
        <v>109</v>
      </c>
      <c r="K156" s="1703" t="s">
        <v>109</v>
      </c>
      <c r="L156" s="1703" t="s">
        <v>863</v>
      </c>
      <c r="M156" s="1703" t="s">
        <v>863</v>
      </c>
      <c r="N156" s="1703" t="s">
        <v>863</v>
      </c>
      <c r="O156" s="1703" t="s">
        <v>863</v>
      </c>
      <c r="P156" s="1703" t="s">
        <v>863</v>
      </c>
      <c r="Q156" s="1703" t="s">
        <v>863</v>
      </c>
      <c r="R156" s="1703" t="s">
        <v>863</v>
      </c>
      <c r="S156" s="1705" t="s">
        <v>1179</v>
      </c>
      <c r="T156" s="1705" t="s">
        <v>109</v>
      </c>
      <c r="U156" s="1705" t="s">
        <v>109</v>
      </c>
      <c r="V156" s="1719" t="s">
        <v>109</v>
      </c>
      <c r="W156" s="1705">
        <v>0</v>
      </c>
      <c r="X156" s="1705" t="s">
        <v>109</v>
      </c>
      <c r="Y156" s="1705">
        <v>0</v>
      </c>
      <c r="Z156" s="1705" t="s">
        <v>109</v>
      </c>
      <c r="AA156" s="1705" t="s">
        <v>109</v>
      </c>
      <c r="AB156" s="1712" t="s">
        <v>109</v>
      </c>
      <c r="AC156" s="1712" t="s">
        <v>109</v>
      </c>
      <c r="AD156" s="1713" t="s">
        <v>109</v>
      </c>
      <c r="AE156" s="1712" t="s">
        <v>109</v>
      </c>
      <c r="AF156" s="1712" t="s">
        <v>109</v>
      </c>
      <c r="AG156" s="1713">
        <v>0</v>
      </c>
      <c r="AH156" s="1713" t="str">
        <f>IFERROR(TBL4_OptApp[[#This Row],[Total NPC (£m)]]/TBL4_OptApp[[#This Row],[Maximum option utilisation across the planning period (Ml/d)]],"N/A")</f>
        <v>N/A</v>
      </c>
      <c r="AI156" s="1713" t="s">
        <v>109</v>
      </c>
      <c r="AJ156" s="1703" t="s">
        <v>109</v>
      </c>
      <c r="AK156" s="1705" t="s">
        <v>109</v>
      </c>
      <c r="AL156" s="1705" t="s">
        <v>109</v>
      </c>
      <c r="AM156" s="1705" t="s">
        <v>109</v>
      </c>
      <c r="AN156" s="1705" t="s">
        <v>109</v>
      </c>
      <c r="AO156" s="1705" t="s">
        <v>109</v>
      </c>
      <c r="AP156" s="1705" t="s">
        <v>109</v>
      </c>
      <c r="AQ156" s="1705" t="s">
        <v>109</v>
      </c>
      <c r="AR156" s="1705" t="s">
        <v>109</v>
      </c>
      <c r="AS156" s="1705" t="s">
        <v>109</v>
      </c>
      <c r="AT156" s="1705" t="s">
        <v>109</v>
      </c>
      <c r="AU156" s="1705" t="s">
        <v>109</v>
      </c>
      <c r="AV156" s="1705" t="s">
        <v>109</v>
      </c>
      <c r="AW156" s="1705"/>
      <c r="AX156" s="1705"/>
      <c r="AY156" s="1705"/>
      <c r="AZ156" s="1705"/>
      <c r="BA156" s="1705"/>
    </row>
    <row r="157" spans="2:53" ht="71.25" x14ac:dyDescent="0.2">
      <c r="B157" s="17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157" s="1703" t="s">
        <v>1195</v>
      </c>
      <c r="D157" s="1707" t="s">
        <v>1196</v>
      </c>
      <c r="E157" s="1714" t="s">
        <v>987</v>
      </c>
      <c r="F157" s="1703" t="str">
        <f>VLOOKUP(TBL4_OptApp[[#This Row],[Option type
Defined List]],'Option Typs_Grps'!B$2:C$47, 2, FALSE)</f>
        <v>Customer Options</v>
      </c>
      <c r="G157" s="1703" t="s">
        <v>861</v>
      </c>
      <c r="H157" s="1703" t="s">
        <v>871</v>
      </c>
      <c r="I157" s="1703" t="s">
        <v>863</v>
      </c>
      <c r="J157" s="1703" t="s">
        <v>109</v>
      </c>
      <c r="K157" s="1703" t="s">
        <v>109</v>
      </c>
      <c r="L157" s="1703" t="s">
        <v>863</v>
      </c>
      <c r="M157" s="1703" t="s">
        <v>863</v>
      </c>
      <c r="N157" s="1703" t="s">
        <v>863</v>
      </c>
      <c r="O157" s="1703" t="s">
        <v>863</v>
      </c>
      <c r="P157" s="1703" t="s">
        <v>863</v>
      </c>
      <c r="Q157" s="1703" t="s">
        <v>863</v>
      </c>
      <c r="R157" s="1703" t="s">
        <v>863</v>
      </c>
      <c r="S157" s="1705" t="s">
        <v>1179</v>
      </c>
      <c r="T157" s="1705" t="s">
        <v>109</v>
      </c>
      <c r="U157" s="1705" t="s">
        <v>109</v>
      </c>
      <c r="V157" s="1719" t="s">
        <v>109</v>
      </c>
      <c r="W157" s="1705">
        <v>0</v>
      </c>
      <c r="X157" s="1705" t="s">
        <v>109</v>
      </c>
      <c r="Y157" s="1705">
        <v>0</v>
      </c>
      <c r="Z157" s="1705" t="s">
        <v>109</v>
      </c>
      <c r="AA157" s="1705" t="s">
        <v>109</v>
      </c>
      <c r="AB157" s="1712" t="s">
        <v>109</v>
      </c>
      <c r="AC157" s="1712" t="s">
        <v>109</v>
      </c>
      <c r="AD157" s="1713" t="s">
        <v>109</v>
      </c>
      <c r="AE157" s="1712" t="s">
        <v>109</v>
      </c>
      <c r="AF157" s="1712" t="s">
        <v>109</v>
      </c>
      <c r="AG157" s="1713">
        <v>0</v>
      </c>
      <c r="AH157" s="1713" t="str">
        <f>IFERROR(TBL4_OptApp[[#This Row],[Total NPC (£m)]]/TBL4_OptApp[[#This Row],[Maximum option utilisation across the planning period (Ml/d)]],"N/A")</f>
        <v>N/A</v>
      </c>
      <c r="AI157" s="1713" t="s">
        <v>109</v>
      </c>
      <c r="AJ157" s="1703" t="s">
        <v>109</v>
      </c>
      <c r="AK157" s="1705" t="s">
        <v>109</v>
      </c>
      <c r="AL157" s="1705" t="s">
        <v>109</v>
      </c>
      <c r="AM157" s="1705" t="s">
        <v>109</v>
      </c>
      <c r="AN157" s="1705" t="s">
        <v>109</v>
      </c>
      <c r="AO157" s="1705" t="s">
        <v>109</v>
      </c>
      <c r="AP157" s="1705" t="s">
        <v>109</v>
      </c>
      <c r="AQ157" s="1705" t="s">
        <v>109</v>
      </c>
      <c r="AR157" s="1705" t="s">
        <v>109</v>
      </c>
      <c r="AS157" s="1705" t="s">
        <v>109</v>
      </c>
      <c r="AT157" s="1705" t="s">
        <v>109</v>
      </c>
      <c r="AU157" s="1705" t="s">
        <v>109</v>
      </c>
      <c r="AV157" s="1705" t="s">
        <v>109</v>
      </c>
      <c r="AW157" s="1705"/>
      <c r="AX157" s="1705"/>
      <c r="AY157" s="1705"/>
      <c r="AZ157" s="1705"/>
      <c r="BA157" s="1705"/>
    </row>
    <row r="158" spans="2:53" ht="71.25" x14ac:dyDescent="0.2">
      <c r="B158" s="17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158" s="1703" t="s">
        <v>1197</v>
      </c>
      <c r="D158" s="1707" t="s">
        <v>1198</v>
      </c>
      <c r="E158" s="1714" t="s">
        <v>1186</v>
      </c>
      <c r="F158" s="1703" t="str">
        <f>VLOOKUP(TBL4_OptApp[[#This Row],[Option type
Defined List]],'Option Typs_Grps'!B$2:C$47, 2, FALSE)</f>
        <v>Customer Options</v>
      </c>
      <c r="G158" s="1703" t="s">
        <v>861</v>
      </c>
      <c r="H158" s="1703" t="s">
        <v>871</v>
      </c>
      <c r="I158" s="1703" t="s">
        <v>863</v>
      </c>
      <c r="J158" s="1703" t="s">
        <v>109</v>
      </c>
      <c r="K158" s="1703" t="s">
        <v>109</v>
      </c>
      <c r="L158" s="1703" t="s">
        <v>863</v>
      </c>
      <c r="M158" s="1703" t="s">
        <v>863</v>
      </c>
      <c r="N158" s="1703" t="s">
        <v>863</v>
      </c>
      <c r="O158" s="1703" t="s">
        <v>863</v>
      </c>
      <c r="P158" s="1703" t="s">
        <v>863</v>
      </c>
      <c r="Q158" s="1703" t="s">
        <v>863</v>
      </c>
      <c r="R158" s="1703" t="s">
        <v>863</v>
      </c>
      <c r="S158" s="1705" t="s">
        <v>1179</v>
      </c>
      <c r="T158" s="1705" t="s">
        <v>109</v>
      </c>
      <c r="U158" s="1705" t="s">
        <v>109</v>
      </c>
      <c r="V158" s="1719" t="s">
        <v>109</v>
      </c>
      <c r="W158" s="1705">
        <v>0</v>
      </c>
      <c r="X158" s="1705" t="s">
        <v>109</v>
      </c>
      <c r="Y158" s="1705">
        <v>0</v>
      </c>
      <c r="Z158" s="1705" t="s">
        <v>109</v>
      </c>
      <c r="AA158" s="1705" t="s">
        <v>109</v>
      </c>
      <c r="AB158" s="1712" t="s">
        <v>109</v>
      </c>
      <c r="AC158" s="1712" t="s">
        <v>109</v>
      </c>
      <c r="AD158" s="1713" t="s">
        <v>109</v>
      </c>
      <c r="AE158" s="1712" t="s">
        <v>109</v>
      </c>
      <c r="AF158" s="1712" t="s">
        <v>109</v>
      </c>
      <c r="AG158" s="1713">
        <v>0</v>
      </c>
      <c r="AH158" s="1713" t="str">
        <f>IFERROR(TBL4_OptApp[[#This Row],[Total NPC (£m)]]/TBL4_OptApp[[#This Row],[Maximum option utilisation across the planning period (Ml/d)]],"N/A")</f>
        <v>N/A</v>
      </c>
      <c r="AI158" s="1713" t="s">
        <v>109</v>
      </c>
      <c r="AJ158" s="1703" t="s">
        <v>109</v>
      </c>
      <c r="AK158" s="1705" t="s">
        <v>109</v>
      </c>
      <c r="AL158" s="1705" t="s">
        <v>109</v>
      </c>
      <c r="AM158" s="1705" t="s">
        <v>109</v>
      </c>
      <c r="AN158" s="1705" t="s">
        <v>109</v>
      </c>
      <c r="AO158" s="1705" t="s">
        <v>109</v>
      </c>
      <c r="AP158" s="1705" t="s">
        <v>109</v>
      </c>
      <c r="AQ158" s="1705" t="s">
        <v>109</v>
      </c>
      <c r="AR158" s="1705" t="s">
        <v>109</v>
      </c>
      <c r="AS158" s="1705" t="s">
        <v>109</v>
      </c>
      <c r="AT158" s="1705" t="s">
        <v>109</v>
      </c>
      <c r="AU158" s="1705" t="s">
        <v>109</v>
      </c>
      <c r="AV158" s="1705" t="s">
        <v>109</v>
      </c>
      <c r="AW158" s="1705"/>
      <c r="AX158" s="1705"/>
      <c r="AY158" s="1705"/>
      <c r="AZ158" s="1705"/>
      <c r="BA158" s="1705"/>
    </row>
    <row r="159" spans="2:53" ht="71.25" x14ac:dyDescent="0.2">
      <c r="B159" s="17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159" s="1703" t="s">
        <v>1199</v>
      </c>
      <c r="D159" s="1707" t="s">
        <v>1200</v>
      </c>
      <c r="E159" s="1714" t="s">
        <v>987</v>
      </c>
      <c r="F159" s="1703" t="str">
        <f>VLOOKUP(TBL4_OptApp[[#This Row],[Option type
Defined List]],'Option Typs_Grps'!B$2:C$47, 2, FALSE)</f>
        <v>Customer Options</v>
      </c>
      <c r="G159" s="1703" t="s">
        <v>861</v>
      </c>
      <c r="H159" s="1703" t="s">
        <v>871</v>
      </c>
      <c r="I159" s="1703" t="s">
        <v>863</v>
      </c>
      <c r="J159" s="1703" t="s">
        <v>109</v>
      </c>
      <c r="K159" s="1703" t="s">
        <v>109</v>
      </c>
      <c r="L159" s="1703" t="s">
        <v>863</v>
      </c>
      <c r="M159" s="1703" t="s">
        <v>863</v>
      </c>
      <c r="N159" s="1703" t="s">
        <v>863</v>
      </c>
      <c r="O159" s="1703" t="s">
        <v>863</v>
      </c>
      <c r="P159" s="1703" t="s">
        <v>863</v>
      </c>
      <c r="Q159" s="1703" t="s">
        <v>863</v>
      </c>
      <c r="R159" s="1703" t="s">
        <v>863</v>
      </c>
      <c r="S159" s="1705" t="s">
        <v>1179</v>
      </c>
      <c r="T159" s="1705" t="s">
        <v>109</v>
      </c>
      <c r="U159" s="1705" t="s">
        <v>109</v>
      </c>
      <c r="V159" s="1719" t="s">
        <v>109</v>
      </c>
      <c r="W159" s="1705">
        <v>0</v>
      </c>
      <c r="X159" s="1705" t="s">
        <v>109</v>
      </c>
      <c r="Y159" s="1705">
        <v>0</v>
      </c>
      <c r="Z159" s="1705" t="s">
        <v>109</v>
      </c>
      <c r="AA159" s="1705" t="s">
        <v>109</v>
      </c>
      <c r="AB159" s="1712" t="s">
        <v>109</v>
      </c>
      <c r="AC159" s="1712" t="s">
        <v>109</v>
      </c>
      <c r="AD159" s="1713" t="s">
        <v>109</v>
      </c>
      <c r="AE159" s="1712" t="s">
        <v>109</v>
      </c>
      <c r="AF159" s="1712" t="s">
        <v>109</v>
      </c>
      <c r="AG159" s="1713">
        <v>0</v>
      </c>
      <c r="AH159" s="1713" t="str">
        <f>IFERROR(TBL4_OptApp[[#This Row],[Total NPC (£m)]]/TBL4_OptApp[[#This Row],[Maximum option utilisation across the planning period (Ml/d)]],"N/A")</f>
        <v>N/A</v>
      </c>
      <c r="AI159" s="1713" t="s">
        <v>109</v>
      </c>
      <c r="AJ159" s="1703" t="s">
        <v>109</v>
      </c>
      <c r="AK159" s="1705" t="s">
        <v>109</v>
      </c>
      <c r="AL159" s="1705" t="s">
        <v>109</v>
      </c>
      <c r="AM159" s="1705" t="s">
        <v>109</v>
      </c>
      <c r="AN159" s="1705" t="s">
        <v>109</v>
      </c>
      <c r="AO159" s="1705" t="s">
        <v>109</v>
      </c>
      <c r="AP159" s="1705" t="s">
        <v>109</v>
      </c>
      <c r="AQ159" s="1705" t="s">
        <v>109</v>
      </c>
      <c r="AR159" s="1705" t="s">
        <v>109</v>
      </c>
      <c r="AS159" s="1705" t="s">
        <v>109</v>
      </c>
      <c r="AT159" s="1705" t="s">
        <v>109</v>
      </c>
      <c r="AU159" s="1705" t="s">
        <v>109</v>
      </c>
      <c r="AV159" s="1705" t="s">
        <v>109</v>
      </c>
      <c r="AW159" s="1705"/>
      <c r="AX159" s="1705"/>
      <c r="AY159" s="1705"/>
      <c r="AZ159" s="1705"/>
      <c r="BA159" s="1705"/>
    </row>
    <row r="160" spans="2:53" ht="71.25" x14ac:dyDescent="0.2">
      <c r="B160" s="17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160" s="1703" t="s">
        <v>1201</v>
      </c>
      <c r="D160" s="1707" t="s">
        <v>1202</v>
      </c>
      <c r="E160" s="1714" t="s">
        <v>987</v>
      </c>
      <c r="F160" s="1703" t="str">
        <f>VLOOKUP(TBL4_OptApp[[#This Row],[Option type
Defined List]],'Option Typs_Grps'!B$2:C$47, 2, FALSE)</f>
        <v>Customer Options</v>
      </c>
      <c r="G160" s="1703" t="s">
        <v>861</v>
      </c>
      <c r="H160" s="1703" t="s">
        <v>871</v>
      </c>
      <c r="I160" s="1703" t="s">
        <v>863</v>
      </c>
      <c r="J160" s="1703" t="s">
        <v>109</v>
      </c>
      <c r="K160" s="1703" t="s">
        <v>109</v>
      </c>
      <c r="L160" s="1703" t="s">
        <v>863</v>
      </c>
      <c r="M160" s="1703" t="s">
        <v>863</v>
      </c>
      <c r="N160" s="1703" t="s">
        <v>863</v>
      </c>
      <c r="O160" s="1703" t="s">
        <v>863</v>
      </c>
      <c r="P160" s="1703" t="s">
        <v>863</v>
      </c>
      <c r="Q160" s="1703" t="s">
        <v>863</v>
      </c>
      <c r="R160" s="1703" t="s">
        <v>863</v>
      </c>
      <c r="S160" s="1705" t="s">
        <v>1179</v>
      </c>
      <c r="T160" s="1705" t="s">
        <v>109</v>
      </c>
      <c r="U160" s="1705" t="s">
        <v>109</v>
      </c>
      <c r="V160" s="1719" t="s">
        <v>109</v>
      </c>
      <c r="W160" s="1705">
        <v>0</v>
      </c>
      <c r="X160" s="1705" t="s">
        <v>109</v>
      </c>
      <c r="Y160" s="1705">
        <v>0</v>
      </c>
      <c r="Z160" s="1705" t="s">
        <v>109</v>
      </c>
      <c r="AA160" s="1705" t="s">
        <v>109</v>
      </c>
      <c r="AB160" s="1712" t="s">
        <v>109</v>
      </c>
      <c r="AC160" s="1712" t="s">
        <v>109</v>
      </c>
      <c r="AD160" s="1713" t="s">
        <v>109</v>
      </c>
      <c r="AE160" s="1712" t="s">
        <v>109</v>
      </c>
      <c r="AF160" s="1712" t="s">
        <v>109</v>
      </c>
      <c r="AG160" s="1713">
        <v>0</v>
      </c>
      <c r="AH160" s="1713" t="str">
        <f>IFERROR(TBL4_OptApp[[#This Row],[Total NPC (£m)]]/TBL4_OptApp[[#This Row],[Maximum option utilisation across the planning period (Ml/d)]],"N/A")</f>
        <v>N/A</v>
      </c>
      <c r="AI160" s="1713" t="s">
        <v>109</v>
      </c>
      <c r="AJ160" s="1703" t="s">
        <v>109</v>
      </c>
      <c r="AK160" s="1705" t="s">
        <v>109</v>
      </c>
      <c r="AL160" s="1705" t="s">
        <v>109</v>
      </c>
      <c r="AM160" s="1705" t="s">
        <v>109</v>
      </c>
      <c r="AN160" s="1705" t="s">
        <v>109</v>
      </c>
      <c r="AO160" s="1705" t="s">
        <v>109</v>
      </c>
      <c r="AP160" s="1705" t="s">
        <v>109</v>
      </c>
      <c r="AQ160" s="1705" t="s">
        <v>109</v>
      </c>
      <c r="AR160" s="1705" t="s">
        <v>109</v>
      </c>
      <c r="AS160" s="1705" t="s">
        <v>109</v>
      </c>
      <c r="AT160" s="1705" t="s">
        <v>109</v>
      </c>
      <c r="AU160" s="1705" t="s">
        <v>109</v>
      </c>
      <c r="AV160" s="1705" t="s">
        <v>109</v>
      </c>
      <c r="AW160" s="1705"/>
      <c r="AX160" s="1705"/>
      <c r="AY160" s="1705"/>
      <c r="AZ160" s="1705"/>
      <c r="BA160" s="1705"/>
    </row>
    <row r="161" spans="2:96" ht="71.25" x14ac:dyDescent="0.2">
      <c r="B161" s="17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161" s="1703" t="s">
        <v>1203</v>
      </c>
      <c r="D161" s="1707" t="s">
        <v>1204</v>
      </c>
      <c r="E161" s="1714" t="s">
        <v>987</v>
      </c>
      <c r="F161" s="1703" t="str">
        <f>VLOOKUP(TBL4_OptApp[[#This Row],[Option type
Defined List]],'Option Typs_Grps'!B$2:C$47, 2, FALSE)</f>
        <v>Customer Options</v>
      </c>
      <c r="G161" s="1703" t="s">
        <v>861</v>
      </c>
      <c r="H161" s="1703" t="s">
        <v>871</v>
      </c>
      <c r="I161" s="1703" t="s">
        <v>863</v>
      </c>
      <c r="J161" s="1703" t="s">
        <v>109</v>
      </c>
      <c r="K161" s="1703" t="s">
        <v>109</v>
      </c>
      <c r="L161" s="1703" t="s">
        <v>863</v>
      </c>
      <c r="M161" s="1703" t="s">
        <v>863</v>
      </c>
      <c r="N161" s="1703" t="s">
        <v>863</v>
      </c>
      <c r="O161" s="1703" t="s">
        <v>863</v>
      </c>
      <c r="P161" s="1703" t="s">
        <v>863</v>
      </c>
      <c r="Q161" s="1703" t="s">
        <v>863</v>
      </c>
      <c r="R161" s="1703" t="s">
        <v>863</v>
      </c>
      <c r="S161" s="1705" t="s">
        <v>1179</v>
      </c>
      <c r="T161" s="1705" t="s">
        <v>109</v>
      </c>
      <c r="U161" s="1705" t="s">
        <v>109</v>
      </c>
      <c r="V161" s="1719" t="s">
        <v>109</v>
      </c>
      <c r="W161" s="1705">
        <v>0</v>
      </c>
      <c r="X161" s="1705" t="s">
        <v>109</v>
      </c>
      <c r="Y161" s="1705">
        <v>0</v>
      </c>
      <c r="Z161" s="1705" t="s">
        <v>109</v>
      </c>
      <c r="AA161" s="1705" t="s">
        <v>109</v>
      </c>
      <c r="AB161" s="1712" t="s">
        <v>109</v>
      </c>
      <c r="AC161" s="1712" t="s">
        <v>109</v>
      </c>
      <c r="AD161" s="1713" t="s">
        <v>109</v>
      </c>
      <c r="AE161" s="1712" t="s">
        <v>109</v>
      </c>
      <c r="AF161" s="1712" t="s">
        <v>109</v>
      </c>
      <c r="AG161" s="1713">
        <v>0</v>
      </c>
      <c r="AH161" s="1713" t="str">
        <f>IFERROR(TBL4_OptApp[[#This Row],[Total NPC (£m)]]/TBL4_OptApp[[#This Row],[Maximum option utilisation across the planning period (Ml/d)]],"N/A")</f>
        <v>N/A</v>
      </c>
      <c r="AI161" s="1713" t="s">
        <v>109</v>
      </c>
      <c r="AJ161" s="1703" t="s">
        <v>109</v>
      </c>
      <c r="AK161" s="1705" t="s">
        <v>109</v>
      </c>
      <c r="AL161" s="1705" t="s">
        <v>109</v>
      </c>
      <c r="AM161" s="1705" t="s">
        <v>109</v>
      </c>
      <c r="AN161" s="1705" t="s">
        <v>109</v>
      </c>
      <c r="AO161" s="1705" t="s">
        <v>109</v>
      </c>
      <c r="AP161" s="1705" t="s">
        <v>109</v>
      </c>
      <c r="AQ161" s="1705" t="s">
        <v>109</v>
      </c>
      <c r="AR161" s="1705" t="s">
        <v>109</v>
      </c>
      <c r="AS161" s="1705" t="s">
        <v>109</v>
      </c>
      <c r="AT161" s="1705" t="s">
        <v>109</v>
      </c>
      <c r="AU161" s="1705" t="s">
        <v>109</v>
      </c>
      <c r="AV161" s="1705" t="s">
        <v>109</v>
      </c>
      <c r="AW161" s="1705"/>
      <c r="AX161" s="1705"/>
      <c r="AY161" s="1705"/>
      <c r="AZ161" s="1705"/>
      <c r="BA161" s="1705"/>
    </row>
    <row r="162" spans="2:96" ht="71.25" x14ac:dyDescent="0.2">
      <c r="B162" s="17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162" s="1703" t="s">
        <v>1205</v>
      </c>
      <c r="D162" s="1707" t="s">
        <v>1206</v>
      </c>
      <c r="E162" s="1714" t="s">
        <v>1142</v>
      </c>
      <c r="F162" s="1703" t="str">
        <f>VLOOKUP(TBL4_OptApp[[#This Row],[Option type
Defined List]],'Option Typs_Grps'!B$2:C$47, 2, FALSE)</f>
        <v>Customer Options</v>
      </c>
      <c r="G162" s="1703" t="s">
        <v>861</v>
      </c>
      <c r="H162" s="1703" t="s">
        <v>871</v>
      </c>
      <c r="I162" s="1703" t="s">
        <v>863</v>
      </c>
      <c r="J162" s="1703" t="s">
        <v>109</v>
      </c>
      <c r="K162" s="1703" t="s">
        <v>109</v>
      </c>
      <c r="L162" s="1703" t="s">
        <v>863</v>
      </c>
      <c r="M162" s="1703" t="s">
        <v>863</v>
      </c>
      <c r="N162" s="1703" t="s">
        <v>863</v>
      </c>
      <c r="O162" s="1703" t="s">
        <v>863</v>
      </c>
      <c r="P162" s="1703" t="s">
        <v>863</v>
      </c>
      <c r="Q162" s="1703" t="s">
        <v>863</v>
      </c>
      <c r="R162" s="1703" t="s">
        <v>863</v>
      </c>
      <c r="S162" s="1705" t="s">
        <v>1179</v>
      </c>
      <c r="T162" s="1705" t="s">
        <v>109</v>
      </c>
      <c r="U162" s="1705" t="s">
        <v>109</v>
      </c>
      <c r="V162" s="1719" t="s">
        <v>109</v>
      </c>
      <c r="W162" s="1705">
        <v>0</v>
      </c>
      <c r="X162" s="1705" t="s">
        <v>109</v>
      </c>
      <c r="Y162" s="1705">
        <v>0</v>
      </c>
      <c r="Z162" s="1705" t="s">
        <v>109</v>
      </c>
      <c r="AA162" s="1705" t="s">
        <v>109</v>
      </c>
      <c r="AB162" s="1712" t="s">
        <v>109</v>
      </c>
      <c r="AC162" s="1712" t="s">
        <v>109</v>
      </c>
      <c r="AD162" s="1713" t="s">
        <v>109</v>
      </c>
      <c r="AE162" s="1712" t="s">
        <v>109</v>
      </c>
      <c r="AF162" s="1712" t="s">
        <v>109</v>
      </c>
      <c r="AG162" s="1713">
        <v>0</v>
      </c>
      <c r="AH162" s="1713" t="str">
        <f>IFERROR(TBL4_OptApp[[#This Row],[Total NPC (£m)]]/TBL4_OptApp[[#This Row],[Maximum option utilisation across the planning period (Ml/d)]],"N/A")</f>
        <v>N/A</v>
      </c>
      <c r="AI162" s="1713" t="s">
        <v>109</v>
      </c>
      <c r="AJ162" s="1703" t="s">
        <v>109</v>
      </c>
      <c r="AK162" s="1705" t="s">
        <v>109</v>
      </c>
      <c r="AL162" s="1705" t="s">
        <v>109</v>
      </c>
      <c r="AM162" s="1705" t="s">
        <v>109</v>
      </c>
      <c r="AN162" s="1705" t="s">
        <v>109</v>
      </c>
      <c r="AO162" s="1705" t="s">
        <v>109</v>
      </c>
      <c r="AP162" s="1705" t="s">
        <v>109</v>
      </c>
      <c r="AQ162" s="1705" t="s">
        <v>109</v>
      </c>
      <c r="AR162" s="1705" t="s">
        <v>109</v>
      </c>
      <c r="AS162" s="1705" t="s">
        <v>109</v>
      </c>
      <c r="AT162" s="1705" t="s">
        <v>109</v>
      </c>
      <c r="AU162" s="1705" t="s">
        <v>109</v>
      </c>
      <c r="AV162" s="1705" t="s">
        <v>109</v>
      </c>
      <c r="AW162" s="1705"/>
      <c r="AX162" s="1705"/>
      <c r="AY162" s="1705"/>
      <c r="AZ162" s="1705"/>
      <c r="BA162" s="1705"/>
    </row>
    <row r="163" spans="2:96" ht="71.25" x14ac:dyDescent="0.2">
      <c r="B163" s="17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163" s="1703" t="s">
        <v>1207</v>
      </c>
      <c r="D163" s="1707" t="s">
        <v>1208</v>
      </c>
      <c r="E163" s="1714" t="s">
        <v>1142</v>
      </c>
      <c r="F163" s="1703" t="str">
        <f>VLOOKUP(TBL4_OptApp[[#This Row],[Option type
Defined List]],'Option Typs_Grps'!B$2:C$47, 2, FALSE)</f>
        <v>Customer Options</v>
      </c>
      <c r="G163" s="1703" t="s">
        <v>861</v>
      </c>
      <c r="H163" s="1703" t="s">
        <v>871</v>
      </c>
      <c r="I163" s="1703" t="s">
        <v>863</v>
      </c>
      <c r="J163" s="1703" t="s">
        <v>109</v>
      </c>
      <c r="K163" s="1703" t="s">
        <v>109</v>
      </c>
      <c r="L163" s="1703" t="s">
        <v>863</v>
      </c>
      <c r="M163" s="1703" t="s">
        <v>863</v>
      </c>
      <c r="N163" s="1703" t="s">
        <v>863</v>
      </c>
      <c r="O163" s="1703" t="s">
        <v>863</v>
      </c>
      <c r="P163" s="1703" t="s">
        <v>863</v>
      </c>
      <c r="Q163" s="1703" t="s">
        <v>863</v>
      </c>
      <c r="R163" s="1703" t="s">
        <v>863</v>
      </c>
      <c r="S163" s="1705" t="s">
        <v>1179</v>
      </c>
      <c r="T163" s="1705" t="s">
        <v>109</v>
      </c>
      <c r="U163" s="1705" t="s">
        <v>109</v>
      </c>
      <c r="V163" s="1719" t="s">
        <v>109</v>
      </c>
      <c r="W163" s="1705">
        <v>0</v>
      </c>
      <c r="X163" s="1705" t="s">
        <v>109</v>
      </c>
      <c r="Y163" s="1705">
        <v>0</v>
      </c>
      <c r="Z163" s="1705" t="s">
        <v>109</v>
      </c>
      <c r="AA163" s="1705" t="s">
        <v>109</v>
      </c>
      <c r="AB163" s="1712" t="s">
        <v>109</v>
      </c>
      <c r="AC163" s="1712" t="s">
        <v>109</v>
      </c>
      <c r="AD163" s="1713" t="s">
        <v>109</v>
      </c>
      <c r="AE163" s="1712" t="s">
        <v>109</v>
      </c>
      <c r="AF163" s="1712" t="s">
        <v>109</v>
      </c>
      <c r="AG163" s="1713">
        <v>0</v>
      </c>
      <c r="AH163" s="1713" t="str">
        <f>IFERROR(TBL4_OptApp[[#This Row],[Total NPC (£m)]]/TBL4_OptApp[[#This Row],[Maximum option utilisation across the planning period (Ml/d)]],"N/A")</f>
        <v>N/A</v>
      </c>
      <c r="AI163" s="1713" t="s">
        <v>109</v>
      </c>
      <c r="AJ163" s="1703" t="s">
        <v>109</v>
      </c>
      <c r="AK163" s="1705" t="s">
        <v>109</v>
      </c>
      <c r="AL163" s="1705" t="s">
        <v>109</v>
      </c>
      <c r="AM163" s="1705" t="s">
        <v>109</v>
      </c>
      <c r="AN163" s="1705" t="s">
        <v>109</v>
      </c>
      <c r="AO163" s="1705" t="s">
        <v>109</v>
      </c>
      <c r="AP163" s="1705" t="s">
        <v>109</v>
      </c>
      <c r="AQ163" s="1705" t="s">
        <v>109</v>
      </c>
      <c r="AR163" s="1705" t="s">
        <v>109</v>
      </c>
      <c r="AS163" s="1705" t="s">
        <v>109</v>
      </c>
      <c r="AT163" s="1705" t="s">
        <v>109</v>
      </c>
      <c r="AU163" s="1705" t="s">
        <v>109</v>
      </c>
      <c r="AV163" s="1705" t="s">
        <v>109</v>
      </c>
      <c r="AW163" s="1705"/>
      <c r="AX163" s="1705"/>
      <c r="AY163" s="1705"/>
      <c r="AZ163" s="1705"/>
      <c r="BA163" s="1705"/>
    </row>
    <row r="164" spans="2:96" ht="71.25" x14ac:dyDescent="0.2">
      <c r="B164" s="17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164" s="1703" t="s">
        <v>1209</v>
      </c>
      <c r="D164" s="1707" t="s">
        <v>1210</v>
      </c>
      <c r="E164" s="1714" t="s">
        <v>1142</v>
      </c>
      <c r="F164" s="1703" t="str">
        <f>VLOOKUP(TBL4_OptApp[[#This Row],[Option type
Defined List]],'Option Typs_Grps'!B$2:C$47, 2, FALSE)</f>
        <v>Customer Options</v>
      </c>
      <c r="G164" s="1703" t="s">
        <v>861</v>
      </c>
      <c r="H164" s="1703" t="s">
        <v>871</v>
      </c>
      <c r="I164" s="1703" t="s">
        <v>863</v>
      </c>
      <c r="J164" s="1703" t="s">
        <v>109</v>
      </c>
      <c r="K164" s="1703" t="s">
        <v>109</v>
      </c>
      <c r="L164" s="1703" t="s">
        <v>863</v>
      </c>
      <c r="M164" s="1703" t="s">
        <v>863</v>
      </c>
      <c r="N164" s="1703" t="s">
        <v>863</v>
      </c>
      <c r="O164" s="1703" t="s">
        <v>863</v>
      </c>
      <c r="P164" s="1703" t="s">
        <v>863</v>
      </c>
      <c r="Q164" s="1703" t="s">
        <v>863</v>
      </c>
      <c r="R164" s="1703" t="s">
        <v>863</v>
      </c>
      <c r="S164" s="1705" t="s">
        <v>1179</v>
      </c>
      <c r="T164" s="1705" t="s">
        <v>109</v>
      </c>
      <c r="U164" s="1705" t="s">
        <v>109</v>
      </c>
      <c r="V164" s="1719" t="s">
        <v>109</v>
      </c>
      <c r="W164" s="1705">
        <v>0</v>
      </c>
      <c r="X164" s="1705" t="s">
        <v>109</v>
      </c>
      <c r="Y164" s="1705">
        <v>0</v>
      </c>
      <c r="Z164" s="1705" t="s">
        <v>109</v>
      </c>
      <c r="AA164" s="1705" t="s">
        <v>109</v>
      </c>
      <c r="AB164" s="1712" t="s">
        <v>109</v>
      </c>
      <c r="AC164" s="1712" t="s">
        <v>109</v>
      </c>
      <c r="AD164" s="1713" t="s">
        <v>109</v>
      </c>
      <c r="AE164" s="1712" t="s">
        <v>109</v>
      </c>
      <c r="AF164" s="1712" t="s">
        <v>109</v>
      </c>
      <c r="AG164" s="1713">
        <v>0</v>
      </c>
      <c r="AH164" s="1713" t="str">
        <f>IFERROR(TBL4_OptApp[[#This Row],[Total NPC (£m)]]/TBL4_OptApp[[#This Row],[Maximum option utilisation across the planning period (Ml/d)]],"N/A")</f>
        <v>N/A</v>
      </c>
      <c r="AI164" s="1713" t="s">
        <v>109</v>
      </c>
      <c r="AJ164" s="1703" t="s">
        <v>109</v>
      </c>
      <c r="AK164" s="1705" t="s">
        <v>109</v>
      </c>
      <c r="AL164" s="1705" t="s">
        <v>109</v>
      </c>
      <c r="AM164" s="1705" t="s">
        <v>109</v>
      </c>
      <c r="AN164" s="1705" t="s">
        <v>109</v>
      </c>
      <c r="AO164" s="1705" t="s">
        <v>109</v>
      </c>
      <c r="AP164" s="1705" t="s">
        <v>109</v>
      </c>
      <c r="AQ164" s="1705" t="s">
        <v>109</v>
      </c>
      <c r="AR164" s="1705" t="s">
        <v>109</v>
      </c>
      <c r="AS164" s="1705" t="s">
        <v>109</v>
      </c>
      <c r="AT164" s="1705" t="s">
        <v>109</v>
      </c>
      <c r="AU164" s="1705" t="s">
        <v>109</v>
      </c>
      <c r="AV164" s="1705" t="s">
        <v>109</v>
      </c>
      <c r="AW164" s="1705"/>
      <c r="AX164" s="1705"/>
      <c r="AY164" s="1705"/>
      <c r="AZ164" s="1705"/>
      <c r="BA164" s="1705"/>
    </row>
    <row r="165" spans="2:96" ht="71.25" x14ac:dyDescent="0.2">
      <c r="B165" s="17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165" s="1703" t="s">
        <v>1211</v>
      </c>
      <c r="D165" s="1707" t="s">
        <v>1212</v>
      </c>
      <c r="E165" s="1714" t="s">
        <v>1142</v>
      </c>
      <c r="F165" s="1703" t="str">
        <f>VLOOKUP(TBL4_OptApp[[#This Row],[Option type
Defined List]],'Option Typs_Grps'!B$2:C$47, 2, FALSE)</f>
        <v>Customer Options</v>
      </c>
      <c r="G165" s="1703" t="s">
        <v>861</v>
      </c>
      <c r="H165" s="1703" t="s">
        <v>871</v>
      </c>
      <c r="I165" s="1703" t="s">
        <v>863</v>
      </c>
      <c r="J165" s="1703" t="s">
        <v>109</v>
      </c>
      <c r="K165" s="1703" t="s">
        <v>109</v>
      </c>
      <c r="L165" s="1703" t="s">
        <v>863</v>
      </c>
      <c r="M165" s="1703" t="s">
        <v>863</v>
      </c>
      <c r="N165" s="1703" t="s">
        <v>863</v>
      </c>
      <c r="O165" s="1703" t="s">
        <v>863</v>
      </c>
      <c r="P165" s="1703" t="s">
        <v>863</v>
      </c>
      <c r="Q165" s="1703" t="s">
        <v>863</v>
      </c>
      <c r="R165" s="1703" t="s">
        <v>863</v>
      </c>
      <c r="S165" s="1705" t="s">
        <v>1179</v>
      </c>
      <c r="T165" s="1705" t="s">
        <v>109</v>
      </c>
      <c r="U165" s="1705" t="s">
        <v>109</v>
      </c>
      <c r="V165" s="1719" t="s">
        <v>109</v>
      </c>
      <c r="W165" s="1705">
        <v>0</v>
      </c>
      <c r="X165" s="1705" t="s">
        <v>109</v>
      </c>
      <c r="Y165" s="1705">
        <v>0</v>
      </c>
      <c r="Z165" s="1705" t="s">
        <v>109</v>
      </c>
      <c r="AA165" s="1705" t="s">
        <v>109</v>
      </c>
      <c r="AB165" s="1712" t="s">
        <v>109</v>
      </c>
      <c r="AC165" s="1712" t="s">
        <v>109</v>
      </c>
      <c r="AD165" s="1713" t="s">
        <v>109</v>
      </c>
      <c r="AE165" s="1712" t="s">
        <v>109</v>
      </c>
      <c r="AF165" s="1712" t="s">
        <v>109</v>
      </c>
      <c r="AG165" s="1713">
        <v>0</v>
      </c>
      <c r="AH165" s="1713" t="str">
        <f>IFERROR(TBL4_OptApp[[#This Row],[Total NPC (£m)]]/TBL4_OptApp[[#This Row],[Maximum option utilisation across the planning period (Ml/d)]],"N/A")</f>
        <v>N/A</v>
      </c>
      <c r="AI165" s="1713" t="s">
        <v>109</v>
      </c>
      <c r="AJ165" s="1703" t="s">
        <v>109</v>
      </c>
      <c r="AK165" s="1705" t="s">
        <v>109</v>
      </c>
      <c r="AL165" s="1705" t="s">
        <v>109</v>
      </c>
      <c r="AM165" s="1705" t="s">
        <v>109</v>
      </c>
      <c r="AN165" s="1705" t="s">
        <v>109</v>
      </c>
      <c r="AO165" s="1705" t="s">
        <v>109</v>
      </c>
      <c r="AP165" s="1705" t="s">
        <v>109</v>
      </c>
      <c r="AQ165" s="1705" t="s">
        <v>109</v>
      </c>
      <c r="AR165" s="1705" t="s">
        <v>109</v>
      </c>
      <c r="AS165" s="1705" t="s">
        <v>109</v>
      </c>
      <c r="AT165" s="1705" t="s">
        <v>109</v>
      </c>
      <c r="AU165" s="1705" t="s">
        <v>109</v>
      </c>
      <c r="AV165" s="1705" t="s">
        <v>109</v>
      </c>
      <c r="AW165" s="1705"/>
      <c r="AX165" s="1705"/>
      <c r="AY165" s="1705"/>
      <c r="AZ165" s="1705"/>
      <c r="BA165" s="1705"/>
    </row>
    <row r="166" spans="2:96" ht="71.25" x14ac:dyDescent="0.2">
      <c r="B166" s="17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166" s="1703" t="s">
        <v>1213</v>
      </c>
      <c r="D166" s="1707" t="s">
        <v>1214</v>
      </c>
      <c r="E166" s="1714" t="s">
        <v>1142</v>
      </c>
      <c r="F166" s="1703" t="str">
        <f>VLOOKUP(TBL4_OptApp[[#This Row],[Option type
Defined List]],'Option Typs_Grps'!B$2:C$47, 2, FALSE)</f>
        <v>Customer Options</v>
      </c>
      <c r="G166" s="1703" t="s">
        <v>861</v>
      </c>
      <c r="H166" s="1703" t="s">
        <v>871</v>
      </c>
      <c r="I166" s="1703" t="s">
        <v>863</v>
      </c>
      <c r="J166" s="1703" t="s">
        <v>109</v>
      </c>
      <c r="K166" s="1703" t="s">
        <v>109</v>
      </c>
      <c r="L166" s="1703" t="s">
        <v>863</v>
      </c>
      <c r="M166" s="1703" t="s">
        <v>863</v>
      </c>
      <c r="N166" s="1703" t="s">
        <v>863</v>
      </c>
      <c r="O166" s="1703" t="s">
        <v>863</v>
      </c>
      <c r="P166" s="1703" t="s">
        <v>863</v>
      </c>
      <c r="Q166" s="1703" t="s">
        <v>863</v>
      </c>
      <c r="R166" s="1703" t="s">
        <v>863</v>
      </c>
      <c r="S166" s="1705" t="s">
        <v>1179</v>
      </c>
      <c r="T166" s="1705" t="s">
        <v>109</v>
      </c>
      <c r="U166" s="1705" t="s">
        <v>109</v>
      </c>
      <c r="V166" s="1719" t="s">
        <v>109</v>
      </c>
      <c r="W166" s="1705">
        <v>0</v>
      </c>
      <c r="X166" s="1705" t="s">
        <v>109</v>
      </c>
      <c r="Y166" s="1705">
        <v>0</v>
      </c>
      <c r="Z166" s="1705" t="s">
        <v>109</v>
      </c>
      <c r="AA166" s="1705" t="s">
        <v>109</v>
      </c>
      <c r="AB166" s="1712" t="s">
        <v>109</v>
      </c>
      <c r="AC166" s="1712" t="s">
        <v>109</v>
      </c>
      <c r="AD166" s="1713" t="s">
        <v>109</v>
      </c>
      <c r="AE166" s="1712" t="s">
        <v>109</v>
      </c>
      <c r="AF166" s="1712" t="s">
        <v>109</v>
      </c>
      <c r="AG166" s="1713">
        <v>0</v>
      </c>
      <c r="AH166" s="1713" t="str">
        <f>IFERROR(TBL4_OptApp[[#This Row],[Total NPC (£m)]]/TBL4_OptApp[[#This Row],[Maximum option utilisation across the planning period (Ml/d)]],"N/A")</f>
        <v>N/A</v>
      </c>
      <c r="AI166" s="1713" t="s">
        <v>109</v>
      </c>
      <c r="AJ166" s="1703" t="s">
        <v>109</v>
      </c>
      <c r="AK166" s="1705" t="s">
        <v>109</v>
      </c>
      <c r="AL166" s="1705" t="s">
        <v>109</v>
      </c>
      <c r="AM166" s="1705" t="s">
        <v>109</v>
      </c>
      <c r="AN166" s="1705" t="s">
        <v>109</v>
      </c>
      <c r="AO166" s="1705" t="s">
        <v>109</v>
      </c>
      <c r="AP166" s="1705" t="s">
        <v>109</v>
      </c>
      <c r="AQ166" s="1705" t="s">
        <v>109</v>
      </c>
      <c r="AR166" s="1705" t="s">
        <v>109</v>
      </c>
      <c r="AS166" s="1705" t="s">
        <v>109</v>
      </c>
      <c r="AT166" s="1705" t="s">
        <v>109</v>
      </c>
      <c r="AU166" s="1705" t="s">
        <v>109</v>
      </c>
      <c r="AV166" s="1705" t="s">
        <v>109</v>
      </c>
      <c r="AW166" s="1705"/>
      <c r="AX166" s="1705"/>
      <c r="AY166" s="1705"/>
      <c r="AZ166" s="1705"/>
      <c r="BA166" s="1705"/>
    </row>
    <row r="167" spans="2:96" ht="71.25" x14ac:dyDescent="0.2">
      <c r="B167" s="17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167" s="1703" t="s">
        <v>1215</v>
      </c>
      <c r="D167" s="1707" t="s">
        <v>1216</v>
      </c>
      <c r="E167" s="1714" t="s">
        <v>1142</v>
      </c>
      <c r="F167" s="1703" t="str">
        <f>VLOOKUP(TBL4_OptApp[[#This Row],[Option type
Defined List]],'Option Typs_Grps'!B$2:C$47, 2, FALSE)</f>
        <v>Customer Options</v>
      </c>
      <c r="G167" s="1703" t="s">
        <v>861</v>
      </c>
      <c r="H167" s="1703" t="s">
        <v>871</v>
      </c>
      <c r="I167" s="1703" t="s">
        <v>863</v>
      </c>
      <c r="J167" s="1703" t="s">
        <v>109</v>
      </c>
      <c r="K167" s="1703" t="s">
        <v>109</v>
      </c>
      <c r="L167" s="1703" t="s">
        <v>863</v>
      </c>
      <c r="M167" s="1703" t="s">
        <v>863</v>
      </c>
      <c r="N167" s="1703" t="s">
        <v>863</v>
      </c>
      <c r="O167" s="1703" t="s">
        <v>863</v>
      </c>
      <c r="P167" s="1703" t="s">
        <v>863</v>
      </c>
      <c r="Q167" s="1703" t="s">
        <v>863</v>
      </c>
      <c r="R167" s="1703" t="s">
        <v>863</v>
      </c>
      <c r="S167" s="1705" t="s">
        <v>1179</v>
      </c>
      <c r="T167" s="1705" t="s">
        <v>109</v>
      </c>
      <c r="U167" s="1705" t="s">
        <v>109</v>
      </c>
      <c r="V167" s="1719" t="s">
        <v>109</v>
      </c>
      <c r="W167" s="1705">
        <v>0</v>
      </c>
      <c r="X167" s="1705" t="s">
        <v>109</v>
      </c>
      <c r="Y167" s="1705">
        <v>0</v>
      </c>
      <c r="Z167" s="1705" t="s">
        <v>109</v>
      </c>
      <c r="AA167" s="1705" t="s">
        <v>109</v>
      </c>
      <c r="AB167" s="1712" t="s">
        <v>109</v>
      </c>
      <c r="AC167" s="1712" t="s">
        <v>109</v>
      </c>
      <c r="AD167" s="1713" t="s">
        <v>109</v>
      </c>
      <c r="AE167" s="1712" t="s">
        <v>109</v>
      </c>
      <c r="AF167" s="1712" t="s">
        <v>109</v>
      </c>
      <c r="AG167" s="1713">
        <v>0</v>
      </c>
      <c r="AH167" s="1713" t="str">
        <f>IFERROR(TBL4_OptApp[[#This Row],[Total NPC (£m)]]/TBL4_OptApp[[#This Row],[Maximum option utilisation across the planning period (Ml/d)]],"N/A")</f>
        <v>N/A</v>
      </c>
      <c r="AI167" s="1713" t="s">
        <v>109</v>
      </c>
      <c r="AJ167" s="1703" t="s">
        <v>109</v>
      </c>
      <c r="AK167" s="1705" t="s">
        <v>109</v>
      </c>
      <c r="AL167" s="1705" t="s">
        <v>109</v>
      </c>
      <c r="AM167" s="1705" t="s">
        <v>109</v>
      </c>
      <c r="AN167" s="1705" t="s">
        <v>109</v>
      </c>
      <c r="AO167" s="1705" t="s">
        <v>109</v>
      </c>
      <c r="AP167" s="1705" t="s">
        <v>109</v>
      </c>
      <c r="AQ167" s="1705" t="s">
        <v>109</v>
      </c>
      <c r="AR167" s="1705" t="s">
        <v>109</v>
      </c>
      <c r="AS167" s="1705" t="s">
        <v>109</v>
      </c>
      <c r="AT167" s="1705" t="s">
        <v>109</v>
      </c>
      <c r="AU167" s="1705" t="s">
        <v>109</v>
      </c>
      <c r="AV167" s="1705" t="s">
        <v>109</v>
      </c>
      <c r="AW167" s="1705"/>
      <c r="AX167" s="1705"/>
      <c r="AY167" s="1705"/>
      <c r="AZ167" s="1705"/>
      <c r="BA167" s="1705"/>
    </row>
    <row r="168" spans="2:96" ht="71.25" x14ac:dyDescent="0.2">
      <c r="B168" s="17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168" s="1703" t="s">
        <v>1217</v>
      </c>
      <c r="D168" s="1707" t="s">
        <v>1218</v>
      </c>
      <c r="E168" s="1714" t="s">
        <v>1142</v>
      </c>
      <c r="F168" s="1703" t="str">
        <f>VLOOKUP(TBL4_OptApp[[#This Row],[Option type
Defined List]],'Option Typs_Grps'!B$2:C$47, 2, FALSE)</f>
        <v>Customer Options</v>
      </c>
      <c r="G168" s="1703" t="s">
        <v>861</v>
      </c>
      <c r="H168" s="1703" t="s">
        <v>871</v>
      </c>
      <c r="I168" s="1703" t="s">
        <v>863</v>
      </c>
      <c r="J168" s="1703" t="s">
        <v>109</v>
      </c>
      <c r="K168" s="1703" t="s">
        <v>109</v>
      </c>
      <c r="L168" s="1703" t="s">
        <v>863</v>
      </c>
      <c r="M168" s="1703" t="s">
        <v>863</v>
      </c>
      <c r="N168" s="1703" t="s">
        <v>863</v>
      </c>
      <c r="O168" s="1703" t="s">
        <v>863</v>
      </c>
      <c r="P168" s="1703" t="s">
        <v>863</v>
      </c>
      <c r="Q168" s="1703" t="s">
        <v>863</v>
      </c>
      <c r="R168" s="1703" t="s">
        <v>863</v>
      </c>
      <c r="S168" s="1705" t="s">
        <v>1179</v>
      </c>
      <c r="T168" s="1705" t="s">
        <v>109</v>
      </c>
      <c r="U168" s="1705" t="s">
        <v>109</v>
      </c>
      <c r="V168" s="1719" t="s">
        <v>109</v>
      </c>
      <c r="W168" s="1705">
        <v>0</v>
      </c>
      <c r="X168" s="1705" t="s">
        <v>109</v>
      </c>
      <c r="Y168" s="1705">
        <v>0</v>
      </c>
      <c r="Z168" s="1705" t="s">
        <v>109</v>
      </c>
      <c r="AA168" s="1705" t="s">
        <v>109</v>
      </c>
      <c r="AB168" s="1712" t="s">
        <v>109</v>
      </c>
      <c r="AC168" s="1712" t="s">
        <v>109</v>
      </c>
      <c r="AD168" s="1713" t="s">
        <v>109</v>
      </c>
      <c r="AE168" s="1712" t="s">
        <v>109</v>
      </c>
      <c r="AF168" s="1712" t="s">
        <v>109</v>
      </c>
      <c r="AG168" s="1713">
        <v>0</v>
      </c>
      <c r="AH168" s="1713" t="str">
        <f>IFERROR(TBL4_OptApp[[#This Row],[Total NPC (£m)]]/TBL4_OptApp[[#This Row],[Maximum option utilisation across the planning period (Ml/d)]],"N/A")</f>
        <v>N/A</v>
      </c>
      <c r="AI168" s="1713" t="s">
        <v>109</v>
      </c>
      <c r="AJ168" s="1703" t="s">
        <v>109</v>
      </c>
      <c r="AK168" s="1705" t="s">
        <v>109</v>
      </c>
      <c r="AL168" s="1705" t="s">
        <v>109</v>
      </c>
      <c r="AM168" s="1705" t="s">
        <v>109</v>
      </c>
      <c r="AN168" s="1705" t="s">
        <v>109</v>
      </c>
      <c r="AO168" s="1705" t="s">
        <v>109</v>
      </c>
      <c r="AP168" s="1705" t="s">
        <v>109</v>
      </c>
      <c r="AQ168" s="1705" t="s">
        <v>109</v>
      </c>
      <c r="AR168" s="1705" t="s">
        <v>109</v>
      </c>
      <c r="AS168" s="1705" t="s">
        <v>109</v>
      </c>
      <c r="AT168" s="1705" t="s">
        <v>109</v>
      </c>
      <c r="AU168" s="1705" t="s">
        <v>109</v>
      </c>
      <c r="AV168" s="1705" t="s">
        <v>109</v>
      </c>
      <c r="AW168" s="1705"/>
      <c r="AX168" s="1705"/>
      <c r="AY168" s="1705"/>
      <c r="AZ168" s="1705"/>
      <c r="BA168" s="1705"/>
    </row>
    <row r="169" spans="2:96" ht="72" thickBot="1" x14ac:dyDescent="0.25">
      <c r="B169" s="17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169" s="1703" t="s">
        <v>1219</v>
      </c>
      <c r="D169" s="1707" t="s">
        <v>1220</v>
      </c>
      <c r="E169" s="1714" t="s">
        <v>1142</v>
      </c>
      <c r="F169" s="1703" t="str">
        <f>VLOOKUP(TBL4_OptApp[[#This Row],[Option type
Defined List]],'Option Typs_Grps'!B$2:C$47, 2, FALSE)</f>
        <v>Customer Options</v>
      </c>
      <c r="G169" s="1703" t="s">
        <v>861</v>
      </c>
      <c r="H169" s="1703" t="s">
        <v>871</v>
      </c>
      <c r="I169" s="1703" t="s">
        <v>863</v>
      </c>
      <c r="J169" s="1703" t="s">
        <v>109</v>
      </c>
      <c r="K169" s="1703" t="s">
        <v>109</v>
      </c>
      <c r="L169" s="1703" t="s">
        <v>863</v>
      </c>
      <c r="M169" s="1703" t="s">
        <v>863</v>
      </c>
      <c r="N169" s="1703" t="s">
        <v>863</v>
      </c>
      <c r="O169" s="1703" t="s">
        <v>863</v>
      </c>
      <c r="P169" s="1703" t="s">
        <v>863</v>
      </c>
      <c r="Q169" s="1703" t="s">
        <v>863</v>
      </c>
      <c r="R169" s="1703" t="s">
        <v>863</v>
      </c>
      <c r="S169" s="1705" t="s">
        <v>1179</v>
      </c>
      <c r="T169" s="1705" t="s">
        <v>109</v>
      </c>
      <c r="U169" s="1705" t="s">
        <v>109</v>
      </c>
      <c r="V169" s="1719" t="s">
        <v>109</v>
      </c>
      <c r="W169" s="1705">
        <v>0</v>
      </c>
      <c r="X169" s="1705" t="s">
        <v>109</v>
      </c>
      <c r="Y169" s="1705">
        <v>0</v>
      </c>
      <c r="Z169" s="1705" t="s">
        <v>109</v>
      </c>
      <c r="AA169" s="1705" t="s">
        <v>109</v>
      </c>
      <c r="AB169" s="1712" t="s">
        <v>109</v>
      </c>
      <c r="AC169" s="1712" t="s">
        <v>109</v>
      </c>
      <c r="AD169" s="1713" t="s">
        <v>109</v>
      </c>
      <c r="AE169" s="1712" t="s">
        <v>109</v>
      </c>
      <c r="AF169" s="1712" t="s">
        <v>109</v>
      </c>
      <c r="AG169" s="1713">
        <v>0</v>
      </c>
      <c r="AH169" s="1713" t="str">
        <f>IFERROR(TBL4_OptApp[[#This Row],[Total NPC (£m)]]/TBL4_OptApp[[#This Row],[Maximum option utilisation across the planning period (Ml/d)]],"N/A")</f>
        <v>N/A</v>
      </c>
      <c r="AI169" s="1713" t="s">
        <v>109</v>
      </c>
      <c r="AJ169" s="1703" t="s">
        <v>109</v>
      </c>
      <c r="AK169" s="1705" t="s">
        <v>109</v>
      </c>
      <c r="AL169" s="1705" t="s">
        <v>109</v>
      </c>
      <c r="AM169" s="1705" t="s">
        <v>109</v>
      </c>
      <c r="AN169" s="1705" t="s">
        <v>109</v>
      </c>
      <c r="AO169" s="1705" t="s">
        <v>109</v>
      </c>
      <c r="AP169" s="1705" t="s">
        <v>109</v>
      </c>
      <c r="AQ169" s="1705" t="s">
        <v>109</v>
      </c>
      <c r="AR169" s="1705" t="s">
        <v>109</v>
      </c>
      <c r="AS169" s="1705" t="s">
        <v>109</v>
      </c>
      <c r="AT169" s="1705" t="s">
        <v>109</v>
      </c>
      <c r="AU169" s="1705" t="s">
        <v>109</v>
      </c>
      <c r="AV169" s="1705" t="s">
        <v>109</v>
      </c>
      <c r="AW169" s="1705"/>
      <c r="AX169" s="1705"/>
      <c r="AY169" s="1705"/>
      <c r="AZ169" s="1705"/>
      <c r="BA169" s="1705"/>
    </row>
    <row r="170" spans="2:96" ht="72" thickBot="1" x14ac:dyDescent="0.25">
      <c r="B170" s="17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170" s="1703" t="s">
        <v>1221</v>
      </c>
      <c r="D170" s="1707" t="s">
        <v>1222</v>
      </c>
      <c r="E170" s="1714" t="s">
        <v>1142</v>
      </c>
      <c r="F170" s="1703" t="str">
        <f>VLOOKUP(TBL4_OptApp[[#This Row],[Option type
Defined List]],'Option Typs_Grps'!B$2:C$47, 2, FALSE)</f>
        <v>Customer Options</v>
      </c>
      <c r="G170" s="1703" t="s">
        <v>861</v>
      </c>
      <c r="H170" s="1703" t="s">
        <v>871</v>
      </c>
      <c r="I170" s="1703" t="s">
        <v>863</v>
      </c>
      <c r="J170" s="1703" t="s">
        <v>109</v>
      </c>
      <c r="K170" s="1703" t="s">
        <v>109</v>
      </c>
      <c r="L170" s="1703" t="s">
        <v>863</v>
      </c>
      <c r="M170" s="1703" t="s">
        <v>863</v>
      </c>
      <c r="N170" s="1703" t="s">
        <v>863</v>
      </c>
      <c r="O170" s="1703" t="s">
        <v>863</v>
      </c>
      <c r="P170" s="1703" t="s">
        <v>863</v>
      </c>
      <c r="Q170" s="1703" t="s">
        <v>863</v>
      </c>
      <c r="R170" s="1703" t="s">
        <v>863</v>
      </c>
      <c r="S170" s="1705" t="s">
        <v>1179</v>
      </c>
      <c r="T170" s="1705" t="s">
        <v>109</v>
      </c>
      <c r="U170" s="1705" t="s">
        <v>109</v>
      </c>
      <c r="V170" s="1719" t="s">
        <v>109</v>
      </c>
      <c r="W170" s="1705">
        <v>0</v>
      </c>
      <c r="X170" s="1705" t="s">
        <v>109</v>
      </c>
      <c r="Y170" s="1705">
        <v>0</v>
      </c>
      <c r="Z170" s="1705" t="s">
        <v>109</v>
      </c>
      <c r="AA170" s="1705" t="s">
        <v>109</v>
      </c>
      <c r="AB170" s="1712" t="s">
        <v>109</v>
      </c>
      <c r="AC170" s="1712" t="s">
        <v>109</v>
      </c>
      <c r="AD170" s="1713" t="s">
        <v>109</v>
      </c>
      <c r="AE170" s="1712" t="s">
        <v>109</v>
      </c>
      <c r="AF170" s="1712" t="s">
        <v>109</v>
      </c>
      <c r="AG170" s="1713">
        <v>0</v>
      </c>
      <c r="AH170" s="1713" t="str">
        <f>IFERROR(TBL4_OptApp[[#This Row],[Total NPC (£m)]]/TBL4_OptApp[[#This Row],[Maximum option utilisation across the planning period (Ml/d)]],"N/A")</f>
        <v>N/A</v>
      </c>
      <c r="AI170" s="1713" t="s">
        <v>109</v>
      </c>
      <c r="AJ170" s="1703" t="s">
        <v>109</v>
      </c>
      <c r="AK170" s="1705" t="s">
        <v>109</v>
      </c>
      <c r="AL170" s="1705" t="s">
        <v>109</v>
      </c>
      <c r="AM170" s="1705" t="s">
        <v>109</v>
      </c>
      <c r="AN170" s="1705" t="s">
        <v>109</v>
      </c>
      <c r="AO170" s="1705" t="s">
        <v>109</v>
      </c>
      <c r="AP170" s="1705" t="s">
        <v>109</v>
      </c>
      <c r="AQ170" s="1705" t="s">
        <v>109</v>
      </c>
      <c r="AR170" s="1705" t="s">
        <v>109</v>
      </c>
      <c r="AS170" s="1705" t="s">
        <v>109</v>
      </c>
      <c r="AT170" s="1705" t="s">
        <v>109</v>
      </c>
      <c r="AU170" s="1705" t="s">
        <v>109</v>
      </c>
      <c r="AV170" s="1705" t="s">
        <v>109</v>
      </c>
      <c r="AW170" s="1705"/>
      <c r="AX170" s="1705"/>
      <c r="AY170" s="1705"/>
      <c r="AZ170" s="1705"/>
      <c r="BA170" s="1705"/>
      <c r="BB170" s="1743"/>
      <c r="BC170" s="1743"/>
      <c r="BD170" s="1743"/>
      <c r="BE170" s="1743"/>
      <c r="BF170" s="1743"/>
      <c r="BG170" s="1743"/>
      <c r="BH170" s="1743"/>
      <c r="BI170" s="1743"/>
      <c r="BJ170" s="1743"/>
      <c r="BK170" s="1743"/>
      <c r="BL170" s="1743"/>
      <c r="BM170" s="1743"/>
      <c r="BN170" s="1743"/>
      <c r="BO170" s="1743"/>
      <c r="BP170" s="1743"/>
      <c r="BQ170" s="1743"/>
      <c r="BR170" s="1743"/>
      <c r="BS170" s="1743"/>
      <c r="BT170" s="1743"/>
      <c r="BU170" s="1743"/>
      <c r="BV170" s="1743"/>
      <c r="BW170" s="1743"/>
      <c r="BX170" s="1743"/>
      <c r="BY170" s="1743"/>
      <c r="BZ170" s="1743"/>
      <c r="CA170" s="1743"/>
      <c r="CB170" s="1743"/>
      <c r="CC170" s="1743"/>
      <c r="CD170" s="1743"/>
      <c r="CE170" s="1743"/>
      <c r="CF170" s="1743"/>
      <c r="CG170" s="1743"/>
      <c r="CH170" s="1743"/>
      <c r="CI170" s="1743"/>
      <c r="CJ170" s="1743"/>
      <c r="CK170" s="1743"/>
      <c r="CL170" s="1743"/>
      <c r="CM170" s="1743"/>
      <c r="CN170" s="1743"/>
      <c r="CO170" s="1743"/>
      <c r="CP170" s="1743"/>
      <c r="CQ170" s="1743"/>
      <c r="CR170" s="1744"/>
    </row>
    <row r="171" spans="2:96" ht="71.25" x14ac:dyDescent="0.2">
      <c r="B171" s="17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171" s="1703" t="s">
        <v>1223</v>
      </c>
      <c r="D171" s="1707" t="s">
        <v>1224</v>
      </c>
      <c r="E171" s="1714" t="s">
        <v>1142</v>
      </c>
      <c r="F171" s="1703" t="str">
        <f>VLOOKUP(TBL4_OptApp[[#This Row],[Option type
Defined List]],'Option Typs_Grps'!B$2:C$47, 2, FALSE)</f>
        <v>Customer Options</v>
      </c>
      <c r="G171" s="1703" t="s">
        <v>861</v>
      </c>
      <c r="H171" s="1703" t="s">
        <v>871</v>
      </c>
      <c r="I171" s="1703" t="s">
        <v>863</v>
      </c>
      <c r="J171" s="1703" t="s">
        <v>109</v>
      </c>
      <c r="K171" s="1703" t="s">
        <v>109</v>
      </c>
      <c r="L171" s="1703" t="s">
        <v>863</v>
      </c>
      <c r="M171" s="1703" t="s">
        <v>863</v>
      </c>
      <c r="N171" s="1703" t="s">
        <v>863</v>
      </c>
      <c r="O171" s="1703" t="s">
        <v>863</v>
      </c>
      <c r="P171" s="1703" t="s">
        <v>863</v>
      </c>
      <c r="Q171" s="1703" t="s">
        <v>863</v>
      </c>
      <c r="R171" s="1703" t="s">
        <v>863</v>
      </c>
      <c r="S171" s="1705" t="s">
        <v>1179</v>
      </c>
      <c r="T171" s="1705" t="s">
        <v>109</v>
      </c>
      <c r="U171" s="1705" t="s">
        <v>109</v>
      </c>
      <c r="V171" s="1719" t="s">
        <v>109</v>
      </c>
      <c r="W171" s="1705">
        <v>0</v>
      </c>
      <c r="X171" s="1705" t="s">
        <v>109</v>
      </c>
      <c r="Y171" s="1705">
        <v>0</v>
      </c>
      <c r="Z171" s="1705" t="s">
        <v>109</v>
      </c>
      <c r="AA171" s="1705" t="s">
        <v>109</v>
      </c>
      <c r="AB171" s="1712" t="s">
        <v>109</v>
      </c>
      <c r="AC171" s="1712" t="s">
        <v>109</v>
      </c>
      <c r="AD171" s="1713" t="s">
        <v>109</v>
      </c>
      <c r="AE171" s="1712" t="s">
        <v>109</v>
      </c>
      <c r="AF171" s="1712" t="s">
        <v>109</v>
      </c>
      <c r="AG171" s="1713">
        <v>0</v>
      </c>
      <c r="AH171" s="1713" t="str">
        <f>IFERROR(TBL4_OptApp[[#This Row],[Total NPC (£m)]]/TBL4_OptApp[[#This Row],[Maximum option utilisation across the planning period (Ml/d)]],"N/A")</f>
        <v>N/A</v>
      </c>
      <c r="AI171" s="1713" t="s">
        <v>109</v>
      </c>
      <c r="AJ171" s="1703" t="s">
        <v>109</v>
      </c>
      <c r="AK171" s="1705" t="s">
        <v>109</v>
      </c>
      <c r="AL171" s="1705" t="s">
        <v>109</v>
      </c>
      <c r="AM171" s="1705" t="s">
        <v>109</v>
      </c>
      <c r="AN171" s="1705" t="s">
        <v>109</v>
      </c>
      <c r="AO171" s="1705" t="s">
        <v>109</v>
      </c>
      <c r="AP171" s="1705" t="s">
        <v>109</v>
      </c>
      <c r="AQ171" s="1705" t="s">
        <v>109</v>
      </c>
      <c r="AR171" s="1705" t="s">
        <v>109</v>
      </c>
      <c r="AS171" s="1705" t="s">
        <v>109</v>
      </c>
      <c r="AT171" s="1705" t="s">
        <v>109</v>
      </c>
      <c r="AU171" s="1705" t="s">
        <v>109</v>
      </c>
      <c r="AV171" s="1705" t="s">
        <v>109</v>
      </c>
      <c r="AW171" s="1705"/>
      <c r="AX171" s="1705"/>
      <c r="AY171" s="1705"/>
      <c r="AZ171" s="1705"/>
      <c r="BA171" s="1705"/>
    </row>
    <row r="172" spans="2:96" ht="71.25" x14ac:dyDescent="0.2">
      <c r="B172" s="17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172" s="1703" t="s">
        <v>1225</v>
      </c>
      <c r="D172" s="1707" t="s">
        <v>1226</v>
      </c>
      <c r="E172" s="1714" t="s">
        <v>1142</v>
      </c>
      <c r="F172" s="1703" t="str">
        <f>VLOOKUP(TBL4_OptApp[[#This Row],[Option type
Defined List]],'Option Typs_Grps'!B$2:C$47, 2, FALSE)</f>
        <v>Customer Options</v>
      </c>
      <c r="G172" s="1703" t="s">
        <v>861</v>
      </c>
      <c r="H172" s="1703" t="s">
        <v>871</v>
      </c>
      <c r="I172" s="1703" t="s">
        <v>863</v>
      </c>
      <c r="J172" s="1703" t="s">
        <v>109</v>
      </c>
      <c r="K172" s="1703" t="s">
        <v>109</v>
      </c>
      <c r="L172" s="1703" t="s">
        <v>863</v>
      </c>
      <c r="M172" s="1703" t="s">
        <v>863</v>
      </c>
      <c r="N172" s="1703" t="s">
        <v>863</v>
      </c>
      <c r="O172" s="1703" t="s">
        <v>863</v>
      </c>
      <c r="P172" s="1703" t="s">
        <v>863</v>
      </c>
      <c r="Q172" s="1703" t="s">
        <v>863</v>
      </c>
      <c r="R172" s="1703" t="s">
        <v>863</v>
      </c>
      <c r="S172" s="1705" t="s">
        <v>1179</v>
      </c>
      <c r="T172" s="1705" t="s">
        <v>109</v>
      </c>
      <c r="U172" s="1705" t="s">
        <v>109</v>
      </c>
      <c r="V172" s="1719" t="s">
        <v>109</v>
      </c>
      <c r="W172" s="1705">
        <v>0</v>
      </c>
      <c r="X172" s="1705" t="s">
        <v>109</v>
      </c>
      <c r="Y172" s="1705">
        <v>0</v>
      </c>
      <c r="Z172" s="1705" t="s">
        <v>109</v>
      </c>
      <c r="AA172" s="1705" t="s">
        <v>109</v>
      </c>
      <c r="AB172" s="1712" t="s">
        <v>109</v>
      </c>
      <c r="AC172" s="1712" t="s">
        <v>109</v>
      </c>
      <c r="AD172" s="1713" t="s">
        <v>109</v>
      </c>
      <c r="AE172" s="1712" t="s">
        <v>109</v>
      </c>
      <c r="AF172" s="1712" t="s">
        <v>109</v>
      </c>
      <c r="AG172" s="1713">
        <v>0</v>
      </c>
      <c r="AH172" s="1713" t="str">
        <f>IFERROR(TBL4_OptApp[[#This Row],[Total NPC (£m)]]/TBL4_OptApp[[#This Row],[Maximum option utilisation across the planning period (Ml/d)]],"N/A")</f>
        <v>N/A</v>
      </c>
      <c r="AI172" s="1713" t="s">
        <v>109</v>
      </c>
      <c r="AJ172" s="1703" t="s">
        <v>109</v>
      </c>
      <c r="AK172" s="1705" t="s">
        <v>109</v>
      </c>
      <c r="AL172" s="1705" t="s">
        <v>109</v>
      </c>
      <c r="AM172" s="1705" t="s">
        <v>109</v>
      </c>
      <c r="AN172" s="1705" t="s">
        <v>109</v>
      </c>
      <c r="AO172" s="1705" t="s">
        <v>109</v>
      </c>
      <c r="AP172" s="1705" t="s">
        <v>109</v>
      </c>
      <c r="AQ172" s="1705" t="s">
        <v>109</v>
      </c>
      <c r="AR172" s="1705" t="s">
        <v>109</v>
      </c>
      <c r="AS172" s="1705" t="s">
        <v>109</v>
      </c>
      <c r="AT172" s="1705" t="s">
        <v>109</v>
      </c>
      <c r="AU172" s="1705" t="s">
        <v>109</v>
      </c>
      <c r="AV172" s="1705" t="s">
        <v>109</v>
      </c>
      <c r="AW172" s="1705"/>
      <c r="AX172" s="1705"/>
      <c r="AY172" s="1705"/>
      <c r="AZ172" s="1705"/>
      <c r="BA172" s="1705"/>
    </row>
    <row r="173" spans="2:96" ht="71.25" x14ac:dyDescent="0.2">
      <c r="B173" s="17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173" s="1703" t="s">
        <v>1227</v>
      </c>
      <c r="D173" s="1707" t="s">
        <v>1228</v>
      </c>
      <c r="E173" s="1714" t="s">
        <v>987</v>
      </c>
      <c r="F173" s="1703" t="str">
        <f>VLOOKUP(TBL4_OptApp[[#This Row],[Option type
Defined List]],'Option Typs_Grps'!B$2:C$47, 2, FALSE)</f>
        <v>Customer Options</v>
      </c>
      <c r="G173" s="1703" t="s">
        <v>861</v>
      </c>
      <c r="H173" s="1703" t="s">
        <v>871</v>
      </c>
      <c r="I173" s="1703" t="s">
        <v>863</v>
      </c>
      <c r="J173" s="1703" t="s">
        <v>109</v>
      </c>
      <c r="K173" s="1703" t="s">
        <v>109</v>
      </c>
      <c r="L173" s="1703" t="s">
        <v>863</v>
      </c>
      <c r="M173" s="1703" t="s">
        <v>863</v>
      </c>
      <c r="N173" s="1703" t="s">
        <v>863</v>
      </c>
      <c r="O173" s="1703" t="s">
        <v>863</v>
      </c>
      <c r="P173" s="1703" t="s">
        <v>863</v>
      </c>
      <c r="Q173" s="1703" t="s">
        <v>863</v>
      </c>
      <c r="R173" s="1703" t="s">
        <v>863</v>
      </c>
      <c r="S173" s="1705" t="s">
        <v>1179</v>
      </c>
      <c r="T173" s="1705" t="s">
        <v>109</v>
      </c>
      <c r="U173" s="1705" t="s">
        <v>109</v>
      </c>
      <c r="V173" s="1719" t="s">
        <v>109</v>
      </c>
      <c r="W173" s="1705">
        <v>0</v>
      </c>
      <c r="X173" s="1705" t="s">
        <v>109</v>
      </c>
      <c r="Y173" s="1705">
        <v>0</v>
      </c>
      <c r="Z173" s="1705" t="s">
        <v>109</v>
      </c>
      <c r="AA173" s="1705" t="s">
        <v>109</v>
      </c>
      <c r="AB173" s="1712" t="s">
        <v>109</v>
      </c>
      <c r="AC173" s="1712" t="s">
        <v>109</v>
      </c>
      <c r="AD173" s="1713" t="s">
        <v>109</v>
      </c>
      <c r="AE173" s="1712" t="s">
        <v>109</v>
      </c>
      <c r="AF173" s="1712" t="s">
        <v>109</v>
      </c>
      <c r="AG173" s="1713">
        <v>0</v>
      </c>
      <c r="AH173" s="1713" t="str">
        <f>IFERROR(TBL4_OptApp[[#This Row],[Total NPC (£m)]]/TBL4_OptApp[[#This Row],[Maximum option utilisation across the planning period (Ml/d)]],"N/A")</f>
        <v>N/A</v>
      </c>
      <c r="AI173" s="1713" t="s">
        <v>109</v>
      </c>
      <c r="AJ173" s="1703" t="s">
        <v>109</v>
      </c>
      <c r="AK173" s="1705" t="s">
        <v>109</v>
      </c>
      <c r="AL173" s="1705" t="s">
        <v>109</v>
      </c>
      <c r="AM173" s="1705" t="s">
        <v>109</v>
      </c>
      <c r="AN173" s="1705" t="s">
        <v>109</v>
      </c>
      <c r="AO173" s="1705" t="s">
        <v>109</v>
      </c>
      <c r="AP173" s="1705" t="s">
        <v>109</v>
      </c>
      <c r="AQ173" s="1705" t="s">
        <v>109</v>
      </c>
      <c r="AR173" s="1705" t="s">
        <v>109</v>
      </c>
      <c r="AS173" s="1705" t="s">
        <v>109</v>
      </c>
      <c r="AT173" s="1705" t="s">
        <v>109</v>
      </c>
      <c r="AU173" s="1705" t="s">
        <v>109</v>
      </c>
      <c r="AV173" s="1705" t="s">
        <v>109</v>
      </c>
      <c r="AW173" s="1705"/>
      <c r="AX173" s="1705"/>
      <c r="AY173" s="1705"/>
      <c r="AZ173" s="1705"/>
      <c r="BA173" s="1705"/>
    </row>
    <row r="174" spans="2:96" ht="71.25" x14ac:dyDescent="0.2">
      <c r="B174" s="17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174" s="1703" t="s">
        <v>1229</v>
      </c>
      <c r="D174" s="1707" t="s">
        <v>1230</v>
      </c>
      <c r="E174" s="1714" t="s">
        <v>987</v>
      </c>
      <c r="F174" s="1703" t="str">
        <f>VLOOKUP(TBL4_OptApp[[#This Row],[Option type
Defined List]],'Option Typs_Grps'!B$2:C$47, 2, FALSE)</f>
        <v>Customer Options</v>
      </c>
      <c r="G174" s="1703" t="s">
        <v>861</v>
      </c>
      <c r="H174" s="1703" t="s">
        <v>871</v>
      </c>
      <c r="I174" s="1703" t="s">
        <v>863</v>
      </c>
      <c r="J174" s="1703" t="s">
        <v>109</v>
      </c>
      <c r="K174" s="1703" t="s">
        <v>109</v>
      </c>
      <c r="L174" s="1703" t="s">
        <v>863</v>
      </c>
      <c r="M174" s="1703" t="s">
        <v>863</v>
      </c>
      <c r="N174" s="1703" t="s">
        <v>863</v>
      </c>
      <c r="O174" s="1703" t="s">
        <v>863</v>
      </c>
      <c r="P174" s="1703" t="s">
        <v>863</v>
      </c>
      <c r="Q174" s="1703" t="s">
        <v>863</v>
      </c>
      <c r="R174" s="1703" t="s">
        <v>863</v>
      </c>
      <c r="S174" s="1705" t="s">
        <v>1179</v>
      </c>
      <c r="T174" s="1705" t="s">
        <v>109</v>
      </c>
      <c r="U174" s="1705" t="s">
        <v>109</v>
      </c>
      <c r="V174" s="1719" t="s">
        <v>109</v>
      </c>
      <c r="W174" s="1705">
        <v>0</v>
      </c>
      <c r="X174" s="1705" t="s">
        <v>109</v>
      </c>
      <c r="Y174" s="1705">
        <v>0</v>
      </c>
      <c r="Z174" s="1705" t="s">
        <v>109</v>
      </c>
      <c r="AA174" s="1705" t="s">
        <v>109</v>
      </c>
      <c r="AB174" s="1712" t="s">
        <v>109</v>
      </c>
      <c r="AC174" s="1712" t="s">
        <v>109</v>
      </c>
      <c r="AD174" s="1713" t="s">
        <v>109</v>
      </c>
      <c r="AE174" s="1712" t="s">
        <v>109</v>
      </c>
      <c r="AF174" s="1712" t="s">
        <v>109</v>
      </c>
      <c r="AG174" s="1713">
        <v>0</v>
      </c>
      <c r="AH174" s="1713" t="str">
        <f>IFERROR(TBL4_OptApp[[#This Row],[Total NPC (£m)]]/TBL4_OptApp[[#This Row],[Maximum option utilisation across the planning period (Ml/d)]],"N/A")</f>
        <v>N/A</v>
      </c>
      <c r="AI174" s="1713" t="s">
        <v>109</v>
      </c>
      <c r="AJ174" s="1703" t="s">
        <v>109</v>
      </c>
      <c r="AK174" s="1705" t="s">
        <v>109</v>
      </c>
      <c r="AL174" s="1705" t="s">
        <v>109</v>
      </c>
      <c r="AM174" s="1705" t="s">
        <v>109</v>
      </c>
      <c r="AN174" s="1705" t="s">
        <v>109</v>
      </c>
      <c r="AO174" s="1705" t="s">
        <v>109</v>
      </c>
      <c r="AP174" s="1705" t="s">
        <v>109</v>
      </c>
      <c r="AQ174" s="1705" t="s">
        <v>109</v>
      </c>
      <c r="AR174" s="1705" t="s">
        <v>109</v>
      </c>
      <c r="AS174" s="1705" t="s">
        <v>109</v>
      </c>
      <c r="AT174" s="1705" t="s">
        <v>109</v>
      </c>
      <c r="AU174" s="1705" t="s">
        <v>109</v>
      </c>
      <c r="AV174" s="1705" t="s">
        <v>109</v>
      </c>
      <c r="AW174" s="1705"/>
      <c r="AX174" s="1705"/>
      <c r="AY174" s="1705"/>
      <c r="AZ174" s="1705"/>
      <c r="BA174" s="1705"/>
    </row>
    <row r="175" spans="2:96" ht="71.25" x14ac:dyDescent="0.2">
      <c r="B175" s="17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175" s="1703" t="s">
        <v>1231</v>
      </c>
      <c r="D175" s="1707" t="s">
        <v>1232</v>
      </c>
      <c r="E175" s="1714" t="s">
        <v>987</v>
      </c>
      <c r="F175" s="1703" t="str">
        <f>VLOOKUP(TBL4_OptApp[[#This Row],[Option type
Defined List]],'Option Typs_Grps'!B$2:C$47, 2, FALSE)</f>
        <v>Customer Options</v>
      </c>
      <c r="G175" s="1703" t="s">
        <v>861</v>
      </c>
      <c r="H175" s="1703" t="s">
        <v>871</v>
      </c>
      <c r="I175" s="1703" t="s">
        <v>863</v>
      </c>
      <c r="J175" s="1703" t="s">
        <v>109</v>
      </c>
      <c r="K175" s="1703" t="s">
        <v>109</v>
      </c>
      <c r="L175" s="1703" t="s">
        <v>863</v>
      </c>
      <c r="M175" s="1703" t="s">
        <v>863</v>
      </c>
      <c r="N175" s="1703" t="s">
        <v>863</v>
      </c>
      <c r="O175" s="1703" t="s">
        <v>863</v>
      </c>
      <c r="P175" s="1703" t="s">
        <v>863</v>
      </c>
      <c r="Q175" s="1703" t="s">
        <v>863</v>
      </c>
      <c r="R175" s="1703" t="s">
        <v>863</v>
      </c>
      <c r="S175" s="1705" t="s">
        <v>1179</v>
      </c>
      <c r="T175" s="1705" t="s">
        <v>109</v>
      </c>
      <c r="U175" s="1705" t="s">
        <v>109</v>
      </c>
      <c r="V175" s="1719" t="s">
        <v>109</v>
      </c>
      <c r="W175" s="1705">
        <v>0</v>
      </c>
      <c r="X175" s="1705" t="s">
        <v>109</v>
      </c>
      <c r="Y175" s="1705">
        <v>0</v>
      </c>
      <c r="Z175" s="1705" t="s">
        <v>109</v>
      </c>
      <c r="AA175" s="1705" t="s">
        <v>109</v>
      </c>
      <c r="AB175" s="1712" t="s">
        <v>109</v>
      </c>
      <c r="AC175" s="1712" t="s">
        <v>109</v>
      </c>
      <c r="AD175" s="1713" t="s">
        <v>109</v>
      </c>
      <c r="AE175" s="1712" t="s">
        <v>109</v>
      </c>
      <c r="AF175" s="1712" t="s">
        <v>109</v>
      </c>
      <c r="AG175" s="1713">
        <v>0</v>
      </c>
      <c r="AH175" s="1713" t="str">
        <f>IFERROR(TBL4_OptApp[[#This Row],[Total NPC (£m)]]/TBL4_OptApp[[#This Row],[Maximum option utilisation across the planning period (Ml/d)]],"N/A")</f>
        <v>N/A</v>
      </c>
      <c r="AI175" s="1713" t="s">
        <v>109</v>
      </c>
      <c r="AJ175" s="1703" t="s">
        <v>109</v>
      </c>
      <c r="AK175" s="1705" t="s">
        <v>109</v>
      </c>
      <c r="AL175" s="1705" t="s">
        <v>109</v>
      </c>
      <c r="AM175" s="1705" t="s">
        <v>109</v>
      </c>
      <c r="AN175" s="1705" t="s">
        <v>109</v>
      </c>
      <c r="AO175" s="1705" t="s">
        <v>109</v>
      </c>
      <c r="AP175" s="1705" t="s">
        <v>109</v>
      </c>
      <c r="AQ175" s="1705" t="s">
        <v>109</v>
      </c>
      <c r="AR175" s="1705" t="s">
        <v>109</v>
      </c>
      <c r="AS175" s="1705" t="s">
        <v>109</v>
      </c>
      <c r="AT175" s="1705" t="s">
        <v>109</v>
      </c>
      <c r="AU175" s="1705" t="s">
        <v>109</v>
      </c>
      <c r="AV175" s="1705" t="s">
        <v>109</v>
      </c>
      <c r="AW175" s="1705"/>
      <c r="AX175" s="1705"/>
      <c r="AY175" s="1705"/>
      <c r="AZ175" s="1705"/>
      <c r="BA175" s="1705"/>
    </row>
    <row r="176" spans="2:96" ht="71.25" x14ac:dyDescent="0.2">
      <c r="B176" s="17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176" s="1703" t="s">
        <v>1233</v>
      </c>
      <c r="D176" s="1707" t="s">
        <v>1234</v>
      </c>
      <c r="E176" s="1714" t="s">
        <v>987</v>
      </c>
      <c r="F176" s="1703" t="str">
        <f>VLOOKUP(TBL4_OptApp[[#This Row],[Option type
Defined List]],'Option Typs_Grps'!B$2:C$47, 2, FALSE)</f>
        <v>Customer Options</v>
      </c>
      <c r="G176" s="1703" t="s">
        <v>861</v>
      </c>
      <c r="H176" s="1703" t="s">
        <v>871</v>
      </c>
      <c r="I176" s="1703" t="s">
        <v>863</v>
      </c>
      <c r="J176" s="1703" t="s">
        <v>109</v>
      </c>
      <c r="K176" s="1703" t="s">
        <v>109</v>
      </c>
      <c r="L176" s="1703" t="s">
        <v>863</v>
      </c>
      <c r="M176" s="1703" t="s">
        <v>863</v>
      </c>
      <c r="N176" s="1703" t="s">
        <v>863</v>
      </c>
      <c r="O176" s="1703" t="s">
        <v>863</v>
      </c>
      <c r="P176" s="1703" t="s">
        <v>863</v>
      </c>
      <c r="Q176" s="1703" t="s">
        <v>863</v>
      </c>
      <c r="R176" s="1703" t="s">
        <v>863</v>
      </c>
      <c r="S176" s="1705" t="s">
        <v>1179</v>
      </c>
      <c r="T176" s="1705" t="s">
        <v>109</v>
      </c>
      <c r="U176" s="1705" t="s">
        <v>109</v>
      </c>
      <c r="V176" s="1719" t="s">
        <v>109</v>
      </c>
      <c r="W176" s="1705">
        <v>0</v>
      </c>
      <c r="X176" s="1705" t="s">
        <v>109</v>
      </c>
      <c r="Y176" s="1705">
        <v>0</v>
      </c>
      <c r="Z176" s="1705" t="s">
        <v>109</v>
      </c>
      <c r="AA176" s="1705" t="s">
        <v>109</v>
      </c>
      <c r="AB176" s="1712" t="s">
        <v>109</v>
      </c>
      <c r="AC176" s="1712" t="s">
        <v>109</v>
      </c>
      <c r="AD176" s="1713" t="s">
        <v>109</v>
      </c>
      <c r="AE176" s="1712" t="s">
        <v>109</v>
      </c>
      <c r="AF176" s="1712" t="s">
        <v>109</v>
      </c>
      <c r="AG176" s="1713">
        <v>0</v>
      </c>
      <c r="AH176" s="1713" t="str">
        <f>IFERROR(TBL4_OptApp[[#This Row],[Total NPC (£m)]]/TBL4_OptApp[[#This Row],[Maximum option utilisation across the planning period (Ml/d)]],"N/A")</f>
        <v>N/A</v>
      </c>
      <c r="AI176" s="1713" t="s">
        <v>109</v>
      </c>
      <c r="AJ176" s="1703" t="s">
        <v>109</v>
      </c>
      <c r="AK176" s="1705" t="s">
        <v>109</v>
      </c>
      <c r="AL176" s="1705" t="s">
        <v>109</v>
      </c>
      <c r="AM176" s="1705" t="s">
        <v>109</v>
      </c>
      <c r="AN176" s="1705" t="s">
        <v>109</v>
      </c>
      <c r="AO176" s="1705" t="s">
        <v>109</v>
      </c>
      <c r="AP176" s="1705" t="s">
        <v>109</v>
      </c>
      <c r="AQ176" s="1705" t="s">
        <v>109</v>
      </c>
      <c r="AR176" s="1705" t="s">
        <v>109</v>
      </c>
      <c r="AS176" s="1705" t="s">
        <v>109</v>
      </c>
      <c r="AT176" s="1705" t="s">
        <v>109</v>
      </c>
      <c r="AU176" s="1705" t="s">
        <v>109</v>
      </c>
      <c r="AV176" s="1705" t="s">
        <v>109</v>
      </c>
      <c r="AW176" s="1705"/>
      <c r="AX176" s="1705"/>
      <c r="AY176" s="1705"/>
      <c r="AZ176" s="1705"/>
      <c r="BA176" s="1705"/>
    </row>
    <row r="177" spans="2:53" ht="71.25" x14ac:dyDescent="0.2">
      <c r="B177" s="17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177" s="1703" t="s">
        <v>1235</v>
      </c>
      <c r="D177" s="1707" t="s">
        <v>1236</v>
      </c>
      <c r="E177" s="1714" t="s">
        <v>987</v>
      </c>
      <c r="F177" s="1703" t="str">
        <f>VLOOKUP(TBL4_OptApp[[#This Row],[Option type
Defined List]],'Option Typs_Grps'!B$2:C$47, 2, FALSE)</f>
        <v>Customer Options</v>
      </c>
      <c r="G177" s="1703" t="s">
        <v>861</v>
      </c>
      <c r="H177" s="1703" t="s">
        <v>871</v>
      </c>
      <c r="I177" s="1703" t="s">
        <v>863</v>
      </c>
      <c r="J177" s="1703" t="s">
        <v>109</v>
      </c>
      <c r="K177" s="1703" t="s">
        <v>109</v>
      </c>
      <c r="L177" s="1703" t="s">
        <v>863</v>
      </c>
      <c r="M177" s="1703" t="s">
        <v>863</v>
      </c>
      <c r="N177" s="1703" t="s">
        <v>863</v>
      </c>
      <c r="O177" s="1703" t="s">
        <v>863</v>
      </c>
      <c r="P177" s="1703" t="s">
        <v>863</v>
      </c>
      <c r="Q177" s="1703" t="s">
        <v>863</v>
      </c>
      <c r="R177" s="1703" t="s">
        <v>863</v>
      </c>
      <c r="S177" s="1705" t="s">
        <v>1179</v>
      </c>
      <c r="T177" s="1705" t="s">
        <v>109</v>
      </c>
      <c r="U177" s="1705" t="s">
        <v>109</v>
      </c>
      <c r="V177" s="1719" t="s">
        <v>109</v>
      </c>
      <c r="W177" s="1705">
        <v>0</v>
      </c>
      <c r="X177" s="1705" t="s">
        <v>109</v>
      </c>
      <c r="Y177" s="1705">
        <v>0</v>
      </c>
      <c r="Z177" s="1705" t="s">
        <v>109</v>
      </c>
      <c r="AA177" s="1705" t="s">
        <v>109</v>
      </c>
      <c r="AB177" s="1712" t="s">
        <v>109</v>
      </c>
      <c r="AC177" s="1712" t="s">
        <v>109</v>
      </c>
      <c r="AD177" s="1713" t="s">
        <v>109</v>
      </c>
      <c r="AE177" s="1712" t="s">
        <v>109</v>
      </c>
      <c r="AF177" s="1712" t="s">
        <v>109</v>
      </c>
      <c r="AG177" s="1713">
        <v>0</v>
      </c>
      <c r="AH177" s="1713" t="str">
        <f>IFERROR(TBL4_OptApp[[#This Row],[Total NPC (£m)]]/TBL4_OptApp[[#This Row],[Maximum option utilisation across the planning period (Ml/d)]],"N/A")</f>
        <v>N/A</v>
      </c>
      <c r="AI177" s="1713" t="s">
        <v>109</v>
      </c>
      <c r="AJ177" s="1703" t="s">
        <v>109</v>
      </c>
      <c r="AK177" s="1705" t="s">
        <v>109</v>
      </c>
      <c r="AL177" s="1705" t="s">
        <v>109</v>
      </c>
      <c r="AM177" s="1705" t="s">
        <v>109</v>
      </c>
      <c r="AN177" s="1705" t="s">
        <v>109</v>
      </c>
      <c r="AO177" s="1705" t="s">
        <v>109</v>
      </c>
      <c r="AP177" s="1705" t="s">
        <v>109</v>
      </c>
      <c r="AQ177" s="1705" t="s">
        <v>109</v>
      </c>
      <c r="AR177" s="1705" t="s">
        <v>109</v>
      </c>
      <c r="AS177" s="1705" t="s">
        <v>109</v>
      </c>
      <c r="AT177" s="1705" t="s">
        <v>109</v>
      </c>
      <c r="AU177" s="1705" t="s">
        <v>109</v>
      </c>
      <c r="AV177" s="1705" t="s">
        <v>109</v>
      </c>
      <c r="AW177" s="1705"/>
      <c r="AX177" s="1705"/>
      <c r="AY177" s="1705"/>
      <c r="AZ177" s="1705"/>
      <c r="BA177" s="1705"/>
    </row>
    <row r="178" spans="2:53" ht="71.25" x14ac:dyDescent="0.2">
      <c r="B178" s="17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178" s="1703" t="s">
        <v>1237</v>
      </c>
      <c r="D178" s="1707" t="s">
        <v>1238</v>
      </c>
      <c r="E178" s="1714" t="s">
        <v>987</v>
      </c>
      <c r="F178" s="1703" t="str">
        <f>VLOOKUP(TBL4_OptApp[[#This Row],[Option type
Defined List]],'Option Typs_Grps'!B$2:C$47, 2, FALSE)</f>
        <v>Customer Options</v>
      </c>
      <c r="G178" s="1703" t="s">
        <v>861</v>
      </c>
      <c r="H178" s="1703" t="s">
        <v>871</v>
      </c>
      <c r="I178" s="1703" t="s">
        <v>863</v>
      </c>
      <c r="J178" s="1703" t="s">
        <v>109</v>
      </c>
      <c r="K178" s="1703" t="s">
        <v>109</v>
      </c>
      <c r="L178" s="1703" t="s">
        <v>863</v>
      </c>
      <c r="M178" s="1703" t="s">
        <v>863</v>
      </c>
      <c r="N178" s="1703" t="s">
        <v>863</v>
      </c>
      <c r="O178" s="1703" t="s">
        <v>863</v>
      </c>
      <c r="P178" s="1703" t="s">
        <v>863</v>
      </c>
      <c r="Q178" s="1703" t="s">
        <v>863</v>
      </c>
      <c r="R178" s="1703" t="s">
        <v>863</v>
      </c>
      <c r="S178" s="1705" t="s">
        <v>1179</v>
      </c>
      <c r="T178" s="1705" t="s">
        <v>109</v>
      </c>
      <c r="U178" s="1705" t="s">
        <v>109</v>
      </c>
      <c r="V178" s="1719" t="s">
        <v>109</v>
      </c>
      <c r="W178" s="1705">
        <v>0</v>
      </c>
      <c r="X178" s="1705" t="s">
        <v>109</v>
      </c>
      <c r="Y178" s="1705">
        <v>0</v>
      </c>
      <c r="Z178" s="1705" t="s">
        <v>109</v>
      </c>
      <c r="AA178" s="1705" t="s">
        <v>109</v>
      </c>
      <c r="AB178" s="1712" t="s">
        <v>109</v>
      </c>
      <c r="AC178" s="1712" t="s">
        <v>109</v>
      </c>
      <c r="AD178" s="1713" t="s">
        <v>109</v>
      </c>
      <c r="AE178" s="1712" t="s">
        <v>109</v>
      </c>
      <c r="AF178" s="1712" t="s">
        <v>109</v>
      </c>
      <c r="AG178" s="1713">
        <v>0</v>
      </c>
      <c r="AH178" s="1713" t="str">
        <f>IFERROR(TBL4_OptApp[[#This Row],[Total NPC (£m)]]/TBL4_OptApp[[#This Row],[Maximum option utilisation across the planning period (Ml/d)]],"N/A")</f>
        <v>N/A</v>
      </c>
      <c r="AI178" s="1713" t="s">
        <v>109</v>
      </c>
      <c r="AJ178" s="1703" t="s">
        <v>109</v>
      </c>
      <c r="AK178" s="1705" t="s">
        <v>109</v>
      </c>
      <c r="AL178" s="1705" t="s">
        <v>109</v>
      </c>
      <c r="AM178" s="1705" t="s">
        <v>109</v>
      </c>
      <c r="AN178" s="1705" t="s">
        <v>109</v>
      </c>
      <c r="AO178" s="1705" t="s">
        <v>109</v>
      </c>
      <c r="AP178" s="1705" t="s">
        <v>109</v>
      </c>
      <c r="AQ178" s="1705" t="s">
        <v>109</v>
      </c>
      <c r="AR178" s="1705" t="s">
        <v>109</v>
      </c>
      <c r="AS178" s="1705" t="s">
        <v>109</v>
      </c>
      <c r="AT178" s="1705" t="s">
        <v>109</v>
      </c>
      <c r="AU178" s="1705" t="s">
        <v>109</v>
      </c>
      <c r="AV178" s="1705" t="s">
        <v>109</v>
      </c>
      <c r="AW178" s="1705"/>
      <c r="AX178" s="1705"/>
      <c r="AY178" s="1705"/>
      <c r="AZ178" s="1705"/>
      <c r="BA178" s="1705"/>
    </row>
    <row r="179" spans="2:53" ht="71.25" x14ac:dyDescent="0.2">
      <c r="B179" s="17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179" s="1703" t="s">
        <v>1239</v>
      </c>
      <c r="D179" s="1707" t="s">
        <v>1240</v>
      </c>
      <c r="E179" s="1714" t="s">
        <v>987</v>
      </c>
      <c r="F179" s="1703" t="str">
        <f>VLOOKUP(TBL4_OptApp[[#This Row],[Option type
Defined List]],'Option Typs_Grps'!B$2:C$47, 2, FALSE)</f>
        <v>Customer Options</v>
      </c>
      <c r="G179" s="1703" t="s">
        <v>861</v>
      </c>
      <c r="H179" s="1703" t="s">
        <v>871</v>
      </c>
      <c r="I179" s="1703" t="s">
        <v>863</v>
      </c>
      <c r="J179" s="1703" t="s">
        <v>109</v>
      </c>
      <c r="K179" s="1703" t="s">
        <v>109</v>
      </c>
      <c r="L179" s="1703" t="s">
        <v>863</v>
      </c>
      <c r="M179" s="1703" t="s">
        <v>863</v>
      </c>
      <c r="N179" s="1703" t="s">
        <v>863</v>
      </c>
      <c r="O179" s="1703" t="s">
        <v>863</v>
      </c>
      <c r="P179" s="1703" t="s">
        <v>863</v>
      </c>
      <c r="Q179" s="1703" t="s">
        <v>863</v>
      </c>
      <c r="R179" s="1703" t="s">
        <v>863</v>
      </c>
      <c r="S179" s="1705" t="s">
        <v>1179</v>
      </c>
      <c r="T179" s="1705" t="s">
        <v>109</v>
      </c>
      <c r="U179" s="1705" t="s">
        <v>109</v>
      </c>
      <c r="V179" s="1719" t="s">
        <v>109</v>
      </c>
      <c r="W179" s="1705">
        <v>0</v>
      </c>
      <c r="X179" s="1705" t="s">
        <v>109</v>
      </c>
      <c r="Y179" s="1705">
        <v>0</v>
      </c>
      <c r="Z179" s="1705" t="s">
        <v>109</v>
      </c>
      <c r="AA179" s="1705" t="s">
        <v>109</v>
      </c>
      <c r="AB179" s="1712" t="s">
        <v>109</v>
      </c>
      <c r="AC179" s="1712" t="s">
        <v>109</v>
      </c>
      <c r="AD179" s="1713" t="s">
        <v>109</v>
      </c>
      <c r="AE179" s="1712" t="s">
        <v>109</v>
      </c>
      <c r="AF179" s="1712" t="s">
        <v>109</v>
      </c>
      <c r="AG179" s="1713">
        <v>0</v>
      </c>
      <c r="AH179" s="1713" t="str">
        <f>IFERROR(TBL4_OptApp[[#This Row],[Total NPC (£m)]]/TBL4_OptApp[[#This Row],[Maximum option utilisation across the planning period (Ml/d)]],"N/A")</f>
        <v>N/A</v>
      </c>
      <c r="AI179" s="1713" t="s">
        <v>109</v>
      </c>
      <c r="AJ179" s="1703" t="s">
        <v>109</v>
      </c>
      <c r="AK179" s="1705" t="s">
        <v>109</v>
      </c>
      <c r="AL179" s="1705" t="s">
        <v>109</v>
      </c>
      <c r="AM179" s="1705" t="s">
        <v>109</v>
      </c>
      <c r="AN179" s="1705" t="s">
        <v>109</v>
      </c>
      <c r="AO179" s="1705" t="s">
        <v>109</v>
      </c>
      <c r="AP179" s="1705" t="s">
        <v>109</v>
      </c>
      <c r="AQ179" s="1705" t="s">
        <v>109</v>
      </c>
      <c r="AR179" s="1705" t="s">
        <v>109</v>
      </c>
      <c r="AS179" s="1705" t="s">
        <v>109</v>
      </c>
      <c r="AT179" s="1705" t="s">
        <v>109</v>
      </c>
      <c r="AU179" s="1705" t="s">
        <v>109</v>
      </c>
      <c r="AV179" s="1705" t="s">
        <v>109</v>
      </c>
      <c r="AW179" s="1705"/>
      <c r="AX179" s="1705"/>
      <c r="AY179" s="1705"/>
      <c r="AZ179" s="1705"/>
      <c r="BA179" s="1705"/>
    </row>
    <row r="180" spans="2:53" ht="71.25" x14ac:dyDescent="0.2">
      <c r="B180" s="17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180" s="1703" t="s">
        <v>1241</v>
      </c>
      <c r="D180" s="1707" t="s">
        <v>1242</v>
      </c>
      <c r="E180" s="1714" t="s">
        <v>987</v>
      </c>
      <c r="F180" s="1703" t="str">
        <f>VLOOKUP(TBL4_OptApp[[#This Row],[Option type
Defined List]],'Option Typs_Grps'!B$2:C$47, 2, FALSE)</f>
        <v>Customer Options</v>
      </c>
      <c r="G180" s="1703" t="s">
        <v>861</v>
      </c>
      <c r="H180" s="1703" t="s">
        <v>871</v>
      </c>
      <c r="I180" s="1703" t="s">
        <v>863</v>
      </c>
      <c r="J180" s="1703" t="s">
        <v>109</v>
      </c>
      <c r="K180" s="1703" t="s">
        <v>109</v>
      </c>
      <c r="L180" s="1703" t="s">
        <v>863</v>
      </c>
      <c r="M180" s="1703" t="s">
        <v>863</v>
      </c>
      <c r="N180" s="1703" t="s">
        <v>863</v>
      </c>
      <c r="O180" s="1703" t="s">
        <v>863</v>
      </c>
      <c r="P180" s="1703" t="s">
        <v>863</v>
      </c>
      <c r="Q180" s="1703" t="s">
        <v>863</v>
      </c>
      <c r="R180" s="1703" t="s">
        <v>863</v>
      </c>
      <c r="S180" s="1705" t="s">
        <v>1179</v>
      </c>
      <c r="T180" s="1705" t="s">
        <v>109</v>
      </c>
      <c r="U180" s="1705" t="s">
        <v>109</v>
      </c>
      <c r="V180" s="1719" t="s">
        <v>109</v>
      </c>
      <c r="W180" s="1705">
        <v>0</v>
      </c>
      <c r="X180" s="1705" t="s">
        <v>109</v>
      </c>
      <c r="Y180" s="1705">
        <v>0</v>
      </c>
      <c r="Z180" s="1705" t="s">
        <v>109</v>
      </c>
      <c r="AA180" s="1705" t="s">
        <v>109</v>
      </c>
      <c r="AB180" s="1712" t="s">
        <v>109</v>
      </c>
      <c r="AC180" s="1712" t="s">
        <v>109</v>
      </c>
      <c r="AD180" s="1713" t="s">
        <v>109</v>
      </c>
      <c r="AE180" s="1712" t="s">
        <v>109</v>
      </c>
      <c r="AF180" s="1712" t="s">
        <v>109</v>
      </c>
      <c r="AG180" s="1713">
        <v>0</v>
      </c>
      <c r="AH180" s="1713" t="str">
        <f>IFERROR(TBL4_OptApp[[#This Row],[Total NPC (£m)]]/TBL4_OptApp[[#This Row],[Maximum option utilisation across the planning period (Ml/d)]],"N/A")</f>
        <v>N/A</v>
      </c>
      <c r="AI180" s="1713" t="s">
        <v>109</v>
      </c>
      <c r="AJ180" s="1703" t="s">
        <v>109</v>
      </c>
      <c r="AK180" s="1705" t="s">
        <v>109</v>
      </c>
      <c r="AL180" s="1705" t="s">
        <v>109</v>
      </c>
      <c r="AM180" s="1705" t="s">
        <v>109</v>
      </c>
      <c r="AN180" s="1705" t="s">
        <v>109</v>
      </c>
      <c r="AO180" s="1705" t="s">
        <v>109</v>
      </c>
      <c r="AP180" s="1705" t="s">
        <v>109</v>
      </c>
      <c r="AQ180" s="1705" t="s">
        <v>109</v>
      </c>
      <c r="AR180" s="1705" t="s">
        <v>109</v>
      </c>
      <c r="AS180" s="1705" t="s">
        <v>109</v>
      </c>
      <c r="AT180" s="1705" t="s">
        <v>109</v>
      </c>
      <c r="AU180" s="1705" t="s">
        <v>109</v>
      </c>
      <c r="AV180" s="1705" t="s">
        <v>109</v>
      </c>
      <c r="AW180" s="1705"/>
      <c r="AX180" s="1705"/>
      <c r="AY180" s="1705"/>
      <c r="AZ180" s="1705"/>
      <c r="BA180" s="1705"/>
    </row>
    <row r="181" spans="2:53" ht="71.25" x14ac:dyDescent="0.2">
      <c r="B181" s="17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181" s="1703" t="s">
        <v>1243</v>
      </c>
      <c r="D181" s="1707" t="s">
        <v>1244</v>
      </c>
      <c r="E181" s="1714" t="s">
        <v>987</v>
      </c>
      <c r="F181" s="1703" t="str">
        <f>VLOOKUP(TBL4_OptApp[[#This Row],[Option type
Defined List]],'Option Typs_Grps'!B$2:C$47, 2, FALSE)</f>
        <v>Customer Options</v>
      </c>
      <c r="G181" s="1703" t="s">
        <v>861</v>
      </c>
      <c r="H181" s="1703" t="s">
        <v>871</v>
      </c>
      <c r="I181" s="1703" t="s">
        <v>863</v>
      </c>
      <c r="J181" s="1703" t="s">
        <v>109</v>
      </c>
      <c r="K181" s="1703" t="s">
        <v>109</v>
      </c>
      <c r="L181" s="1703" t="s">
        <v>863</v>
      </c>
      <c r="M181" s="1703" t="s">
        <v>863</v>
      </c>
      <c r="N181" s="1703" t="s">
        <v>863</v>
      </c>
      <c r="O181" s="1703" t="s">
        <v>863</v>
      </c>
      <c r="P181" s="1703" t="s">
        <v>863</v>
      </c>
      <c r="Q181" s="1703" t="s">
        <v>863</v>
      </c>
      <c r="R181" s="1703" t="s">
        <v>863</v>
      </c>
      <c r="S181" s="1705" t="s">
        <v>1179</v>
      </c>
      <c r="T181" s="1705" t="s">
        <v>109</v>
      </c>
      <c r="U181" s="1705" t="s">
        <v>109</v>
      </c>
      <c r="V181" s="1719" t="s">
        <v>109</v>
      </c>
      <c r="W181" s="1705">
        <v>0</v>
      </c>
      <c r="X181" s="1705" t="s">
        <v>109</v>
      </c>
      <c r="Y181" s="1705">
        <v>0</v>
      </c>
      <c r="Z181" s="1705" t="s">
        <v>109</v>
      </c>
      <c r="AA181" s="1705" t="s">
        <v>109</v>
      </c>
      <c r="AB181" s="1712" t="s">
        <v>109</v>
      </c>
      <c r="AC181" s="1712" t="s">
        <v>109</v>
      </c>
      <c r="AD181" s="1713" t="s">
        <v>109</v>
      </c>
      <c r="AE181" s="1712" t="s">
        <v>109</v>
      </c>
      <c r="AF181" s="1712" t="s">
        <v>109</v>
      </c>
      <c r="AG181" s="1713">
        <v>0</v>
      </c>
      <c r="AH181" s="1713" t="str">
        <f>IFERROR(TBL4_OptApp[[#This Row],[Total NPC (£m)]]/TBL4_OptApp[[#This Row],[Maximum option utilisation across the planning period (Ml/d)]],"N/A")</f>
        <v>N/A</v>
      </c>
      <c r="AI181" s="1713" t="s">
        <v>109</v>
      </c>
      <c r="AJ181" s="1703" t="s">
        <v>109</v>
      </c>
      <c r="AK181" s="1705" t="s">
        <v>109</v>
      </c>
      <c r="AL181" s="1705" t="s">
        <v>109</v>
      </c>
      <c r="AM181" s="1705" t="s">
        <v>109</v>
      </c>
      <c r="AN181" s="1705" t="s">
        <v>109</v>
      </c>
      <c r="AO181" s="1705" t="s">
        <v>109</v>
      </c>
      <c r="AP181" s="1705" t="s">
        <v>109</v>
      </c>
      <c r="AQ181" s="1705" t="s">
        <v>109</v>
      </c>
      <c r="AR181" s="1705" t="s">
        <v>109</v>
      </c>
      <c r="AS181" s="1705" t="s">
        <v>109</v>
      </c>
      <c r="AT181" s="1705" t="s">
        <v>109</v>
      </c>
      <c r="AU181" s="1705" t="s">
        <v>109</v>
      </c>
      <c r="AV181" s="1705" t="s">
        <v>109</v>
      </c>
      <c r="AW181" s="1705"/>
      <c r="AX181" s="1705"/>
      <c r="AY181" s="1705"/>
      <c r="AZ181" s="1705"/>
      <c r="BA181" s="1705"/>
    </row>
    <row r="182" spans="2:53" ht="71.25" x14ac:dyDescent="0.2">
      <c r="B182" s="17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182" s="1703" t="s">
        <v>1245</v>
      </c>
      <c r="D182" s="1707" t="s">
        <v>1246</v>
      </c>
      <c r="E182" s="1714" t="s">
        <v>1142</v>
      </c>
      <c r="F182" s="1703" t="str">
        <f>VLOOKUP(TBL4_OptApp[[#This Row],[Option type
Defined List]],'Option Typs_Grps'!B$2:C$47, 2, FALSE)</f>
        <v>Customer Options</v>
      </c>
      <c r="G182" s="1703" t="s">
        <v>861</v>
      </c>
      <c r="H182" s="1703" t="s">
        <v>871</v>
      </c>
      <c r="I182" s="1703" t="s">
        <v>863</v>
      </c>
      <c r="J182" s="1703" t="s">
        <v>109</v>
      </c>
      <c r="K182" s="1703" t="s">
        <v>109</v>
      </c>
      <c r="L182" s="1703" t="s">
        <v>863</v>
      </c>
      <c r="M182" s="1703" t="s">
        <v>863</v>
      </c>
      <c r="N182" s="1703" t="s">
        <v>863</v>
      </c>
      <c r="O182" s="1703" t="s">
        <v>863</v>
      </c>
      <c r="P182" s="1703" t="s">
        <v>863</v>
      </c>
      <c r="Q182" s="1703" t="s">
        <v>863</v>
      </c>
      <c r="R182" s="1703" t="s">
        <v>863</v>
      </c>
      <c r="S182" s="1705" t="s">
        <v>1179</v>
      </c>
      <c r="T182" s="1705" t="s">
        <v>109</v>
      </c>
      <c r="U182" s="1705" t="s">
        <v>109</v>
      </c>
      <c r="V182" s="1719" t="s">
        <v>109</v>
      </c>
      <c r="W182" s="1705">
        <v>0</v>
      </c>
      <c r="X182" s="1705" t="s">
        <v>109</v>
      </c>
      <c r="Y182" s="1705">
        <v>0</v>
      </c>
      <c r="Z182" s="1705" t="s">
        <v>109</v>
      </c>
      <c r="AA182" s="1705" t="s">
        <v>109</v>
      </c>
      <c r="AB182" s="1712" t="s">
        <v>109</v>
      </c>
      <c r="AC182" s="1712" t="s">
        <v>109</v>
      </c>
      <c r="AD182" s="1713" t="s">
        <v>109</v>
      </c>
      <c r="AE182" s="1712" t="s">
        <v>109</v>
      </c>
      <c r="AF182" s="1712" t="s">
        <v>109</v>
      </c>
      <c r="AG182" s="1713">
        <v>0</v>
      </c>
      <c r="AH182" s="1713" t="str">
        <f>IFERROR(TBL4_OptApp[[#This Row],[Total NPC (£m)]]/TBL4_OptApp[[#This Row],[Maximum option utilisation across the planning period (Ml/d)]],"N/A")</f>
        <v>N/A</v>
      </c>
      <c r="AI182" s="1713" t="s">
        <v>109</v>
      </c>
      <c r="AJ182" s="1703" t="s">
        <v>109</v>
      </c>
      <c r="AK182" s="1705" t="s">
        <v>109</v>
      </c>
      <c r="AL182" s="1705" t="s">
        <v>109</v>
      </c>
      <c r="AM182" s="1705" t="s">
        <v>109</v>
      </c>
      <c r="AN182" s="1705" t="s">
        <v>109</v>
      </c>
      <c r="AO182" s="1705" t="s">
        <v>109</v>
      </c>
      <c r="AP182" s="1705" t="s">
        <v>109</v>
      </c>
      <c r="AQ182" s="1705" t="s">
        <v>109</v>
      </c>
      <c r="AR182" s="1705" t="s">
        <v>109</v>
      </c>
      <c r="AS182" s="1705" t="s">
        <v>109</v>
      </c>
      <c r="AT182" s="1705" t="s">
        <v>109</v>
      </c>
      <c r="AU182" s="1705" t="s">
        <v>109</v>
      </c>
      <c r="AV182" s="1705" t="s">
        <v>109</v>
      </c>
      <c r="AW182" s="1705"/>
      <c r="AX182" s="1705"/>
      <c r="AY182" s="1705"/>
      <c r="AZ182" s="1705"/>
      <c r="BA182" s="1705"/>
    </row>
    <row r="183" spans="2:53" ht="71.25" x14ac:dyDescent="0.2">
      <c r="B183" s="17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183" s="1703" t="s">
        <v>1247</v>
      </c>
      <c r="D183" s="1707" t="s">
        <v>1248</v>
      </c>
      <c r="E183" s="1714" t="s">
        <v>1142</v>
      </c>
      <c r="F183" s="1703" t="str">
        <f>VLOOKUP(TBL4_OptApp[[#This Row],[Option type
Defined List]],'Option Typs_Grps'!B$2:C$47, 2, FALSE)</f>
        <v>Customer Options</v>
      </c>
      <c r="G183" s="1703" t="s">
        <v>861</v>
      </c>
      <c r="H183" s="1703" t="s">
        <v>871</v>
      </c>
      <c r="I183" s="1703" t="s">
        <v>863</v>
      </c>
      <c r="J183" s="1703" t="s">
        <v>109</v>
      </c>
      <c r="K183" s="1703" t="s">
        <v>109</v>
      </c>
      <c r="L183" s="1703" t="s">
        <v>863</v>
      </c>
      <c r="M183" s="1703" t="s">
        <v>863</v>
      </c>
      <c r="N183" s="1703" t="s">
        <v>863</v>
      </c>
      <c r="O183" s="1703" t="s">
        <v>863</v>
      </c>
      <c r="P183" s="1703" t="s">
        <v>863</v>
      </c>
      <c r="Q183" s="1703" t="s">
        <v>863</v>
      </c>
      <c r="R183" s="1703" t="s">
        <v>863</v>
      </c>
      <c r="S183" s="1705" t="s">
        <v>1179</v>
      </c>
      <c r="T183" s="1705" t="s">
        <v>109</v>
      </c>
      <c r="U183" s="1705" t="s">
        <v>109</v>
      </c>
      <c r="V183" s="1719" t="s">
        <v>109</v>
      </c>
      <c r="W183" s="1705">
        <v>0</v>
      </c>
      <c r="X183" s="1705" t="s">
        <v>109</v>
      </c>
      <c r="Y183" s="1705">
        <v>0</v>
      </c>
      <c r="Z183" s="1705" t="s">
        <v>109</v>
      </c>
      <c r="AA183" s="1705" t="s">
        <v>109</v>
      </c>
      <c r="AB183" s="1712" t="s">
        <v>109</v>
      </c>
      <c r="AC183" s="1712" t="s">
        <v>109</v>
      </c>
      <c r="AD183" s="1713" t="s">
        <v>109</v>
      </c>
      <c r="AE183" s="1712" t="s">
        <v>109</v>
      </c>
      <c r="AF183" s="1712" t="s">
        <v>109</v>
      </c>
      <c r="AG183" s="1713">
        <v>0</v>
      </c>
      <c r="AH183" s="1713" t="str">
        <f>IFERROR(TBL4_OptApp[[#This Row],[Total NPC (£m)]]/TBL4_OptApp[[#This Row],[Maximum option utilisation across the planning period (Ml/d)]],"N/A")</f>
        <v>N/A</v>
      </c>
      <c r="AI183" s="1713" t="s">
        <v>109</v>
      </c>
      <c r="AJ183" s="1703" t="s">
        <v>109</v>
      </c>
      <c r="AK183" s="1705" t="s">
        <v>109</v>
      </c>
      <c r="AL183" s="1705" t="s">
        <v>109</v>
      </c>
      <c r="AM183" s="1705" t="s">
        <v>109</v>
      </c>
      <c r="AN183" s="1705" t="s">
        <v>109</v>
      </c>
      <c r="AO183" s="1705" t="s">
        <v>109</v>
      </c>
      <c r="AP183" s="1705" t="s">
        <v>109</v>
      </c>
      <c r="AQ183" s="1705" t="s">
        <v>109</v>
      </c>
      <c r="AR183" s="1705" t="s">
        <v>109</v>
      </c>
      <c r="AS183" s="1705" t="s">
        <v>109</v>
      </c>
      <c r="AT183" s="1705" t="s">
        <v>109</v>
      </c>
      <c r="AU183" s="1705" t="s">
        <v>109</v>
      </c>
      <c r="AV183" s="1705" t="s">
        <v>109</v>
      </c>
      <c r="AW183" s="1705"/>
      <c r="AX183" s="1705"/>
      <c r="AY183" s="1705"/>
      <c r="AZ183" s="1705"/>
      <c r="BA183" s="1705"/>
    </row>
    <row r="184" spans="2:53" ht="71.25" x14ac:dyDescent="0.2">
      <c r="B184" s="17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184" s="1703" t="s">
        <v>1249</v>
      </c>
      <c r="D184" s="1707" t="s">
        <v>1250</v>
      </c>
      <c r="E184" s="1714" t="s">
        <v>987</v>
      </c>
      <c r="F184" s="1703" t="str">
        <f>VLOOKUP(TBL4_OptApp[[#This Row],[Option type
Defined List]],'Option Typs_Grps'!B$2:C$47, 2, FALSE)</f>
        <v>Customer Options</v>
      </c>
      <c r="G184" s="1703" t="s">
        <v>861</v>
      </c>
      <c r="H184" s="1703" t="s">
        <v>871</v>
      </c>
      <c r="I184" s="1703" t="s">
        <v>863</v>
      </c>
      <c r="J184" s="1703" t="s">
        <v>109</v>
      </c>
      <c r="K184" s="1703" t="s">
        <v>109</v>
      </c>
      <c r="L184" s="1703" t="s">
        <v>863</v>
      </c>
      <c r="M184" s="1703" t="s">
        <v>863</v>
      </c>
      <c r="N184" s="1703" t="s">
        <v>863</v>
      </c>
      <c r="O184" s="1703" t="s">
        <v>863</v>
      </c>
      <c r="P184" s="1703" t="s">
        <v>863</v>
      </c>
      <c r="Q184" s="1703" t="s">
        <v>863</v>
      </c>
      <c r="R184" s="1703" t="s">
        <v>863</v>
      </c>
      <c r="S184" s="1705" t="s">
        <v>1179</v>
      </c>
      <c r="T184" s="1705" t="s">
        <v>109</v>
      </c>
      <c r="U184" s="1705" t="s">
        <v>109</v>
      </c>
      <c r="V184" s="1719" t="s">
        <v>109</v>
      </c>
      <c r="W184" s="1705">
        <v>0</v>
      </c>
      <c r="X184" s="1705" t="s">
        <v>109</v>
      </c>
      <c r="Y184" s="1705">
        <v>0</v>
      </c>
      <c r="Z184" s="1705" t="s">
        <v>109</v>
      </c>
      <c r="AA184" s="1705" t="s">
        <v>109</v>
      </c>
      <c r="AB184" s="1712" t="s">
        <v>109</v>
      </c>
      <c r="AC184" s="1712" t="s">
        <v>109</v>
      </c>
      <c r="AD184" s="1713" t="s">
        <v>109</v>
      </c>
      <c r="AE184" s="1712" t="s">
        <v>109</v>
      </c>
      <c r="AF184" s="1712" t="s">
        <v>109</v>
      </c>
      <c r="AG184" s="1713">
        <v>0</v>
      </c>
      <c r="AH184" s="1713" t="str">
        <f>IFERROR(TBL4_OptApp[[#This Row],[Total NPC (£m)]]/TBL4_OptApp[[#This Row],[Maximum option utilisation across the planning period (Ml/d)]],"N/A")</f>
        <v>N/A</v>
      </c>
      <c r="AI184" s="1713" t="s">
        <v>109</v>
      </c>
      <c r="AJ184" s="1703" t="s">
        <v>109</v>
      </c>
      <c r="AK184" s="1705" t="s">
        <v>109</v>
      </c>
      <c r="AL184" s="1705" t="s">
        <v>109</v>
      </c>
      <c r="AM184" s="1705" t="s">
        <v>109</v>
      </c>
      <c r="AN184" s="1705" t="s">
        <v>109</v>
      </c>
      <c r="AO184" s="1705" t="s">
        <v>109</v>
      </c>
      <c r="AP184" s="1705" t="s">
        <v>109</v>
      </c>
      <c r="AQ184" s="1705" t="s">
        <v>109</v>
      </c>
      <c r="AR184" s="1705" t="s">
        <v>109</v>
      </c>
      <c r="AS184" s="1705" t="s">
        <v>109</v>
      </c>
      <c r="AT184" s="1705" t="s">
        <v>109</v>
      </c>
      <c r="AU184" s="1705" t="s">
        <v>109</v>
      </c>
      <c r="AV184" s="1705" t="s">
        <v>109</v>
      </c>
      <c r="AW184" s="1705"/>
      <c r="AX184" s="1705"/>
      <c r="AY184" s="1705"/>
      <c r="AZ184" s="1705"/>
      <c r="BA184" s="1705"/>
    </row>
    <row r="185" spans="2:53" ht="71.25" x14ac:dyDescent="0.2">
      <c r="B185" s="17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185" s="1703" t="s">
        <v>1251</v>
      </c>
      <c r="D185" s="1707" t="s">
        <v>1252</v>
      </c>
      <c r="E185" s="1714" t="s">
        <v>987</v>
      </c>
      <c r="F185" s="1703" t="str">
        <f>VLOOKUP(TBL4_OptApp[[#This Row],[Option type
Defined List]],'Option Typs_Grps'!B$2:C$47, 2, FALSE)</f>
        <v>Customer Options</v>
      </c>
      <c r="G185" s="1703" t="s">
        <v>861</v>
      </c>
      <c r="H185" s="1703" t="s">
        <v>871</v>
      </c>
      <c r="I185" s="1703" t="s">
        <v>863</v>
      </c>
      <c r="J185" s="1703" t="s">
        <v>109</v>
      </c>
      <c r="K185" s="1703" t="s">
        <v>109</v>
      </c>
      <c r="L185" s="1703" t="s">
        <v>863</v>
      </c>
      <c r="M185" s="1703" t="s">
        <v>863</v>
      </c>
      <c r="N185" s="1703" t="s">
        <v>863</v>
      </c>
      <c r="O185" s="1703" t="s">
        <v>863</v>
      </c>
      <c r="P185" s="1703" t="s">
        <v>863</v>
      </c>
      <c r="Q185" s="1703" t="s">
        <v>863</v>
      </c>
      <c r="R185" s="1703" t="s">
        <v>863</v>
      </c>
      <c r="S185" s="1705" t="s">
        <v>1179</v>
      </c>
      <c r="T185" s="1705" t="s">
        <v>109</v>
      </c>
      <c r="U185" s="1705" t="s">
        <v>109</v>
      </c>
      <c r="V185" s="1719" t="s">
        <v>109</v>
      </c>
      <c r="W185" s="1705">
        <v>0</v>
      </c>
      <c r="X185" s="1705" t="s">
        <v>109</v>
      </c>
      <c r="Y185" s="1705">
        <v>0</v>
      </c>
      <c r="Z185" s="1705" t="s">
        <v>109</v>
      </c>
      <c r="AA185" s="1705" t="s">
        <v>109</v>
      </c>
      <c r="AB185" s="1712" t="s">
        <v>109</v>
      </c>
      <c r="AC185" s="1712" t="s">
        <v>109</v>
      </c>
      <c r="AD185" s="1713" t="s">
        <v>109</v>
      </c>
      <c r="AE185" s="1712" t="s">
        <v>109</v>
      </c>
      <c r="AF185" s="1712" t="s">
        <v>109</v>
      </c>
      <c r="AG185" s="1713">
        <v>0</v>
      </c>
      <c r="AH185" s="1713" t="str">
        <f>IFERROR(TBL4_OptApp[[#This Row],[Total NPC (£m)]]/TBL4_OptApp[[#This Row],[Maximum option utilisation across the planning period (Ml/d)]],"N/A")</f>
        <v>N/A</v>
      </c>
      <c r="AI185" s="1713" t="s">
        <v>109</v>
      </c>
      <c r="AJ185" s="1703" t="s">
        <v>109</v>
      </c>
      <c r="AK185" s="1705" t="s">
        <v>109</v>
      </c>
      <c r="AL185" s="1705" t="s">
        <v>109</v>
      </c>
      <c r="AM185" s="1705" t="s">
        <v>109</v>
      </c>
      <c r="AN185" s="1705" t="s">
        <v>109</v>
      </c>
      <c r="AO185" s="1705" t="s">
        <v>109</v>
      </c>
      <c r="AP185" s="1705" t="s">
        <v>109</v>
      </c>
      <c r="AQ185" s="1705" t="s">
        <v>109</v>
      </c>
      <c r="AR185" s="1705" t="s">
        <v>109</v>
      </c>
      <c r="AS185" s="1705" t="s">
        <v>109</v>
      </c>
      <c r="AT185" s="1705" t="s">
        <v>109</v>
      </c>
      <c r="AU185" s="1705" t="s">
        <v>109</v>
      </c>
      <c r="AV185" s="1705" t="s">
        <v>109</v>
      </c>
      <c r="AW185" s="1705"/>
      <c r="AX185" s="1705"/>
      <c r="AY185" s="1705"/>
      <c r="AZ185" s="1705"/>
      <c r="BA185" s="1705"/>
    </row>
    <row r="186" spans="2:53" ht="71.25" x14ac:dyDescent="0.2">
      <c r="B186" s="17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186" s="1703" t="s">
        <v>1253</v>
      </c>
      <c r="D186" s="1707" t="s">
        <v>1254</v>
      </c>
      <c r="E186" s="1714" t="s">
        <v>987</v>
      </c>
      <c r="F186" s="1703" t="str">
        <f>VLOOKUP(TBL4_OptApp[[#This Row],[Option type
Defined List]],'Option Typs_Grps'!B$2:C$47, 2, FALSE)</f>
        <v>Customer Options</v>
      </c>
      <c r="G186" s="1703" t="s">
        <v>861</v>
      </c>
      <c r="H186" s="1703" t="s">
        <v>871</v>
      </c>
      <c r="I186" s="1703" t="s">
        <v>863</v>
      </c>
      <c r="J186" s="1703" t="s">
        <v>109</v>
      </c>
      <c r="K186" s="1703" t="s">
        <v>109</v>
      </c>
      <c r="L186" s="1703" t="s">
        <v>863</v>
      </c>
      <c r="M186" s="1703" t="s">
        <v>863</v>
      </c>
      <c r="N186" s="1703" t="s">
        <v>863</v>
      </c>
      <c r="O186" s="1703" t="s">
        <v>863</v>
      </c>
      <c r="P186" s="1703" t="s">
        <v>863</v>
      </c>
      <c r="Q186" s="1703" t="s">
        <v>863</v>
      </c>
      <c r="R186" s="1703" t="s">
        <v>863</v>
      </c>
      <c r="S186" s="1705" t="s">
        <v>1179</v>
      </c>
      <c r="T186" s="1705" t="s">
        <v>109</v>
      </c>
      <c r="U186" s="1705" t="s">
        <v>109</v>
      </c>
      <c r="V186" s="1719" t="s">
        <v>109</v>
      </c>
      <c r="W186" s="1705">
        <v>0</v>
      </c>
      <c r="X186" s="1705" t="s">
        <v>109</v>
      </c>
      <c r="Y186" s="1705">
        <v>0</v>
      </c>
      <c r="Z186" s="1705" t="s">
        <v>109</v>
      </c>
      <c r="AA186" s="1705" t="s">
        <v>109</v>
      </c>
      <c r="AB186" s="1712" t="s">
        <v>109</v>
      </c>
      <c r="AC186" s="1712" t="s">
        <v>109</v>
      </c>
      <c r="AD186" s="1713" t="s">
        <v>109</v>
      </c>
      <c r="AE186" s="1712" t="s">
        <v>109</v>
      </c>
      <c r="AF186" s="1712" t="s">
        <v>109</v>
      </c>
      <c r="AG186" s="1713">
        <v>0</v>
      </c>
      <c r="AH186" s="1713" t="str">
        <f>IFERROR(TBL4_OptApp[[#This Row],[Total NPC (£m)]]/TBL4_OptApp[[#This Row],[Maximum option utilisation across the planning period (Ml/d)]],"N/A")</f>
        <v>N/A</v>
      </c>
      <c r="AI186" s="1713" t="s">
        <v>109</v>
      </c>
      <c r="AJ186" s="1703" t="s">
        <v>109</v>
      </c>
      <c r="AK186" s="1705" t="s">
        <v>109</v>
      </c>
      <c r="AL186" s="1705" t="s">
        <v>109</v>
      </c>
      <c r="AM186" s="1705" t="s">
        <v>109</v>
      </c>
      <c r="AN186" s="1705" t="s">
        <v>109</v>
      </c>
      <c r="AO186" s="1705" t="s">
        <v>109</v>
      </c>
      <c r="AP186" s="1705" t="s">
        <v>109</v>
      </c>
      <c r="AQ186" s="1705" t="s">
        <v>109</v>
      </c>
      <c r="AR186" s="1705" t="s">
        <v>109</v>
      </c>
      <c r="AS186" s="1705" t="s">
        <v>109</v>
      </c>
      <c r="AT186" s="1705" t="s">
        <v>109</v>
      </c>
      <c r="AU186" s="1705" t="s">
        <v>109</v>
      </c>
      <c r="AV186" s="1705" t="s">
        <v>109</v>
      </c>
      <c r="AW186" s="1705"/>
      <c r="AX186" s="1705"/>
      <c r="AY186" s="1705"/>
      <c r="AZ186" s="1705"/>
      <c r="BA186" s="1705"/>
    </row>
    <row r="187" spans="2:53" ht="71.25" x14ac:dyDescent="0.2">
      <c r="B187" s="17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187" s="1703" t="s">
        <v>1255</v>
      </c>
      <c r="D187" s="1707" t="s">
        <v>1256</v>
      </c>
      <c r="E187" s="1714" t="s">
        <v>987</v>
      </c>
      <c r="F187" s="1703" t="str">
        <f>VLOOKUP(TBL4_OptApp[[#This Row],[Option type
Defined List]],'Option Typs_Grps'!B$2:C$47, 2, FALSE)</f>
        <v>Customer Options</v>
      </c>
      <c r="G187" s="1703" t="s">
        <v>861</v>
      </c>
      <c r="H187" s="1703" t="s">
        <v>871</v>
      </c>
      <c r="I187" s="1703" t="s">
        <v>863</v>
      </c>
      <c r="J187" s="1703" t="s">
        <v>109</v>
      </c>
      <c r="K187" s="1703" t="s">
        <v>109</v>
      </c>
      <c r="L187" s="1703" t="s">
        <v>863</v>
      </c>
      <c r="M187" s="1703" t="s">
        <v>863</v>
      </c>
      <c r="N187" s="1703" t="s">
        <v>863</v>
      </c>
      <c r="O187" s="1703" t="s">
        <v>863</v>
      </c>
      <c r="P187" s="1703" t="s">
        <v>863</v>
      </c>
      <c r="Q187" s="1703" t="s">
        <v>863</v>
      </c>
      <c r="R187" s="1703" t="s">
        <v>863</v>
      </c>
      <c r="S187" s="1705" t="s">
        <v>1179</v>
      </c>
      <c r="T187" s="1705" t="s">
        <v>109</v>
      </c>
      <c r="U187" s="1705" t="s">
        <v>109</v>
      </c>
      <c r="V187" s="1719" t="s">
        <v>109</v>
      </c>
      <c r="W187" s="1705">
        <v>0</v>
      </c>
      <c r="X187" s="1705" t="s">
        <v>109</v>
      </c>
      <c r="Y187" s="1705">
        <v>0</v>
      </c>
      <c r="Z187" s="1705" t="s">
        <v>109</v>
      </c>
      <c r="AA187" s="1705" t="s">
        <v>109</v>
      </c>
      <c r="AB187" s="1712" t="s">
        <v>109</v>
      </c>
      <c r="AC187" s="1712" t="s">
        <v>109</v>
      </c>
      <c r="AD187" s="1713" t="s">
        <v>109</v>
      </c>
      <c r="AE187" s="1712" t="s">
        <v>109</v>
      </c>
      <c r="AF187" s="1712" t="s">
        <v>109</v>
      </c>
      <c r="AG187" s="1713">
        <v>0</v>
      </c>
      <c r="AH187" s="1713" t="str">
        <f>IFERROR(TBL4_OptApp[[#This Row],[Total NPC (£m)]]/TBL4_OptApp[[#This Row],[Maximum option utilisation across the planning period (Ml/d)]],"N/A")</f>
        <v>N/A</v>
      </c>
      <c r="AI187" s="1713" t="s">
        <v>109</v>
      </c>
      <c r="AJ187" s="1703" t="s">
        <v>109</v>
      </c>
      <c r="AK187" s="1705" t="s">
        <v>109</v>
      </c>
      <c r="AL187" s="1705" t="s">
        <v>109</v>
      </c>
      <c r="AM187" s="1705" t="s">
        <v>109</v>
      </c>
      <c r="AN187" s="1705" t="s">
        <v>109</v>
      </c>
      <c r="AO187" s="1705" t="s">
        <v>109</v>
      </c>
      <c r="AP187" s="1705" t="s">
        <v>109</v>
      </c>
      <c r="AQ187" s="1705" t="s">
        <v>109</v>
      </c>
      <c r="AR187" s="1705" t="s">
        <v>109</v>
      </c>
      <c r="AS187" s="1705" t="s">
        <v>109</v>
      </c>
      <c r="AT187" s="1705" t="s">
        <v>109</v>
      </c>
      <c r="AU187" s="1705" t="s">
        <v>109</v>
      </c>
      <c r="AV187" s="1705" t="s">
        <v>109</v>
      </c>
      <c r="AW187" s="1705"/>
      <c r="AX187" s="1705"/>
      <c r="AY187" s="1705"/>
      <c r="AZ187" s="1705"/>
      <c r="BA187" s="1705"/>
    </row>
    <row r="188" spans="2:53" ht="71.25" x14ac:dyDescent="0.2">
      <c r="B188" s="17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188" s="1703" t="s">
        <v>1257</v>
      </c>
      <c r="D188" s="1707" t="s">
        <v>1258</v>
      </c>
      <c r="E188" s="1714" t="s">
        <v>987</v>
      </c>
      <c r="F188" s="1703" t="str">
        <f>VLOOKUP(TBL4_OptApp[[#This Row],[Option type
Defined List]],'Option Typs_Grps'!B$2:C$47, 2, FALSE)</f>
        <v>Customer Options</v>
      </c>
      <c r="G188" s="1703" t="s">
        <v>861</v>
      </c>
      <c r="H188" s="1703" t="s">
        <v>871</v>
      </c>
      <c r="I188" s="1703" t="s">
        <v>863</v>
      </c>
      <c r="J188" s="1703" t="s">
        <v>109</v>
      </c>
      <c r="K188" s="1703" t="s">
        <v>109</v>
      </c>
      <c r="L188" s="1703" t="s">
        <v>863</v>
      </c>
      <c r="M188" s="1703" t="s">
        <v>863</v>
      </c>
      <c r="N188" s="1703" t="s">
        <v>863</v>
      </c>
      <c r="O188" s="1703" t="s">
        <v>863</v>
      </c>
      <c r="P188" s="1703" t="s">
        <v>863</v>
      </c>
      <c r="Q188" s="1703" t="s">
        <v>863</v>
      </c>
      <c r="R188" s="1703" t="s">
        <v>863</v>
      </c>
      <c r="S188" s="1705" t="s">
        <v>1179</v>
      </c>
      <c r="T188" s="1705" t="s">
        <v>109</v>
      </c>
      <c r="U188" s="1705" t="s">
        <v>109</v>
      </c>
      <c r="V188" s="1719" t="s">
        <v>109</v>
      </c>
      <c r="W188" s="1705">
        <v>0</v>
      </c>
      <c r="X188" s="1705" t="s">
        <v>109</v>
      </c>
      <c r="Y188" s="1705">
        <v>0</v>
      </c>
      <c r="Z188" s="1705" t="s">
        <v>109</v>
      </c>
      <c r="AA188" s="1705" t="s">
        <v>109</v>
      </c>
      <c r="AB188" s="1712" t="s">
        <v>109</v>
      </c>
      <c r="AC188" s="1712" t="s">
        <v>109</v>
      </c>
      <c r="AD188" s="1713" t="s">
        <v>109</v>
      </c>
      <c r="AE188" s="1712" t="s">
        <v>109</v>
      </c>
      <c r="AF188" s="1712" t="s">
        <v>109</v>
      </c>
      <c r="AG188" s="1713">
        <v>0</v>
      </c>
      <c r="AH188" s="1713" t="str">
        <f>IFERROR(TBL4_OptApp[[#This Row],[Total NPC (£m)]]/TBL4_OptApp[[#This Row],[Maximum option utilisation across the planning period (Ml/d)]],"N/A")</f>
        <v>N/A</v>
      </c>
      <c r="AI188" s="1713" t="s">
        <v>109</v>
      </c>
      <c r="AJ188" s="1703" t="s">
        <v>109</v>
      </c>
      <c r="AK188" s="1705" t="s">
        <v>109</v>
      </c>
      <c r="AL188" s="1705" t="s">
        <v>109</v>
      </c>
      <c r="AM188" s="1705" t="s">
        <v>109</v>
      </c>
      <c r="AN188" s="1705" t="s">
        <v>109</v>
      </c>
      <c r="AO188" s="1705" t="s">
        <v>109</v>
      </c>
      <c r="AP188" s="1705" t="s">
        <v>109</v>
      </c>
      <c r="AQ188" s="1705" t="s">
        <v>109</v>
      </c>
      <c r="AR188" s="1705" t="s">
        <v>109</v>
      </c>
      <c r="AS188" s="1705" t="s">
        <v>109</v>
      </c>
      <c r="AT188" s="1705" t="s">
        <v>109</v>
      </c>
      <c r="AU188" s="1705" t="s">
        <v>109</v>
      </c>
      <c r="AV188" s="1705" t="s">
        <v>109</v>
      </c>
      <c r="AW188" s="1705"/>
      <c r="AX188" s="1705"/>
      <c r="AY188" s="1705"/>
      <c r="AZ188" s="1705"/>
      <c r="BA188" s="1705"/>
    </row>
    <row r="189" spans="2:53" ht="71.25" x14ac:dyDescent="0.2">
      <c r="B189" s="17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189" s="1703" t="s">
        <v>1259</v>
      </c>
      <c r="D189" s="1707" t="s">
        <v>1260</v>
      </c>
      <c r="E189" s="1714" t="s">
        <v>987</v>
      </c>
      <c r="F189" s="1703" t="str">
        <f>VLOOKUP(TBL4_OptApp[[#This Row],[Option type
Defined List]],'Option Typs_Grps'!B$2:C$47, 2, FALSE)</f>
        <v>Customer Options</v>
      </c>
      <c r="G189" s="1703" t="s">
        <v>861</v>
      </c>
      <c r="H189" s="1703" t="s">
        <v>871</v>
      </c>
      <c r="I189" s="1703" t="s">
        <v>863</v>
      </c>
      <c r="J189" s="1703" t="s">
        <v>109</v>
      </c>
      <c r="K189" s="1703" t="s">
        <v>109</v>
      </c>
      <c r="L189" s="1703" t="s">
        <v>863</v>
      </c>
      <c r="M189" s="1703" t="s">
        <v>863</v>
      </c>
      <c r="N189" s="1703" t="s">
        <v>863</v>
      </c>
      <c r="O189" s="1703" t="s">
        <v>863</v>
      </c>
      <c r="P189" s="1703" t="s">
        <v>863</v>
      </c>
      <c r="Q189" s="1703" t="s">
        <v>863</v>
      </c>
      <c r="R189" s="1703" t="s">
        <v>863</v>
      </c>
      <c r="S189" s="1705" t="s">
        <v>1179</v>
      </c>
      <c r="T189" s="1705" t="s">
        <v>109</v>
      </c>
      <c r="U189" s="1705" t="s">
        <v>109</v>
      </c>
      <c r="V189" s="1719" t="s">
        <v>109</v>
      </c>
      <c r="W189" s="1705">
        <v>0</v>
      </c>
      <c r="X189" s="1705" t="s">
        <v>109</v>
      </c>
      <c r="Y189" s="1705">
        <v>0</v>
      </c>
      <c r="Z189" s="1705" t="s">
        <v>109</v>
      </c>
      <c r="AA189" s="1705" t="s">
        <v>109</v>
      </c>
      <c r="AB189" s="1712" t="s">
        <v>109</v>
      </c>
      <c r="AC189" s="1712" t="s">
        <v>109</v>
      </c>
      <c r="AD189" s="1713" t="s">
        <v>109</v>
      </c>
      <c r="AE189" s="1712" t="s">
        <v>109</v>
      </c>
      <c r="AF189" s="1712" t="s">
        <v>109</v>
      </c>
      <c r="AG189" s="1713">
        <v>0</v>
      </c>
      <c r="AH189" s="1713" t="str">
        <f>IFERROR(TBL4_OptApp[[#This Row],[Total NPC (£m)]]/TBL4_OptApp[[#This Row],[Maximum option utilisation across the planning period (Ml/d)]],"N/A")</f>
        <v>N/A</v>
      </c>
      <c r="AI189" s="1713" t="s">
        <v>109</v>
      </c>
      <c r="AJ189" s="1703" t="s">
        <v>109</v>
      </c>
      <c r="AK189" s="1705" t="s">
        <v>109</v>
      </c>
      <c r="AL189" s="1705" t="s">
        <v>109</v>
      </c>
      <c r="AM189" s="1705" t="s">
        <v>109</v>
      </c>
      <c r="AN189" s="1705" t="s">
        <v>109</v>
      </c>
      <c r="AO189" s="1705" t="s">
        <v>109</v>
      </c>
      <c r="AP189" s="1705" t="s">
        <v>109</v>
      </c>
      <c r="AQ189" s="1705" t="s">
        <v>109</v>
      </c>
      <c r="AR189" s="1705" t="s">
        <v>109</v>
      </c>
      <c r="AS189" s="1705" t="s">
        <v>109</v>
      </c>
      <c r="AT189" s="1705" t="s">
        <v>109</v>
      </c>
      <c r="AU189" s="1705" t="s">
        <v>109</v>
      </c>
      <c r="AV189" s="1705" t="s">
        <v>109</v>
      </c>
      <c r="AW189" s="1705"/>
      <c r="AX189" s="1705"/>
      <c r="AY189" s="1705"/>
      <c r="AZ189" s="1705"/>
      <c r="BA189" s="1705"/>
    </row>
    <row r="190" spans="2:53" ht="71.25" x14ac:dyDescent="0.2">
      <c r="B190" s="17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190" s="1703" t="s">
        <v>1261</v>
      </c>
      <c r="D190" s="1707" t="s">
        <v>1262</v>
      </c>
      <c r="E190" s="1714" t="s">
        <v>1186</v>
      </c>
      <c r="F190" s="1703" t="str">
        <f>VLOOKUP(TBL4_OptApp[[#This Row],[Option type
Defined List]],'Option Typs_Grps'!B$2:C$47, 2, FALSE)</f>
        <v>Customer Options</v>
      </c>
      <c r="G190" s="1703" t="s">
        <v>861</v>
      </c>
      <c r="H190" s="1703" t="s">
        <v>871</v>
      </c>
      <c r="I190" s="1703" t="s">
        <v>863</v>
      </c>
      <c r="J190" s="1703" t="s">
        <v>109</v>
      </c>
      <c r="K190" s="1703" t="s">
        <v>109</v>
      </c>
      <c r="L190" s="1703" t="s">
        <v>863</v>
      </c>
      <c r="M190" s="1703" t="s">
        <v>863</v>
      </c>
      <c r="N190" s="1703" t="s">
        <v>863</v>
      </c>
      <c r="O190" s="1703" t="s">
        <v>863</v>
      </c>
      <c r="P190" s="1703" t="s">
        <v>863</v>
      </c>
      <c r="Q190" s="1703" t="s">
        <v>863</v>
      </c>
      <c r="R190" s="1703" t="s">
        <v>863</v>
      </c>
      <c r="S190" s="1705" t="s">
        <v>1179</v>
      </c>
      <c r="T190" s="1705" t="s">
        <v>109</v>
      </c>
      <c r="U190" s="1705" t="s">
        <v>109</v>
      </c>
      <c r="V190" s="1719" t="s">
        <v>109</v>
      </c>
      <c r="W190" s="1705">
        <v>0</v>
      </c>
      <c r="X190" s="1705" t="s">
        <v>109</v>
      </c>
      <c r="Y190" s="1705">
        <v>0</v>
      </c>
      <c r="Z190" s="1705" t="s">
        <v>109</v>
      </c>
      <c r="AA190" s="1705" t="s">
        <v>109</v>
      </c>
      <c r="AB190" s="1712" t="s">
        <v>109</v>
      </c>
      <c r="AC190" s="1712" t="s">
        <v>109</v>
      </c>
      <c r="AD190" s="1713" t="s">
        <v>109</v>
      </c>
      <c r="AE190" s="1712" t="s">
        <v>109</v>
      </c>
      <c r="AF190" s="1712" t="s">
        <v>109</v>
      </c>
      <c r="AG190" s="1713">
        <v>0</v>
      </c>
      <c r="AH190" s="1713" t="str">
        <f>IFERROR(TBL4_OptApp[[#This Row],[Total NPC (£m)]]/TBL4_OptApp[[#This Row],[Maximum option utilisation across the planning period (Ml/d)]],"N/A")</f>
        <v>N/A</v>
      </c>
      <c r="AI190" s="1713" t="s">
        <v>109</v>
      </c>
      <c r="AJ190" s="1703" t="s">
        <v>109</v>
      </c>
      <c r="AK190" s="1705" t="s">
        <v>109</v>
      </c>
      <c r="AL190" s="1705" t="s">
        <v>109</v>
      </c>
      <c r="AM190" s="1705" t="s">
        <v>109</v>
      </c>
      <c r="AN190" s="1705" t="s">
        <v>109</v>
      </c>
      <c r="AO190" s="1705" t="s">
        <v>109</v>
      </c>
      <c r="AP190" s="1705" t="s">
        <v>109</v>
      </c>
      <c r="AQ190" s="1705" t="s">
        <v>109</v>
      </c>
      <c r="AR190" s="1705" t="s">
        <v>109</v>
      </c>
      <c r="AS190" s="1705" t="s">
        <v>109</v>
      </c>
      <c r="AT190" s="1705" t="s">
        <v>109</v>
      </c>
      <c r="AU190" s="1705" t="s">
        <v>109</v>
      </c>
      <c r="AV190" s="1705" t="s">
        <v>109</v>
      </c>
      <c r="AW190" s="1705"/>
      <c r="AX190" s="1705"/>
      <c r="AY190" s="1705"/>
      <c r="AZ190" s="1705"/>
      <c r="BA190" s="1705"/>
    </row>
    <row r="191" spans="2:53" ht="71.25" x14ac:dyDescent="0.2">
      <c r="B191" s="17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191" s="1703" t="s">
        <v>1263</v>
      </c>
      <c r="D191" s="1707" t="s">
        <v>1264</v>
      </c>
      <c r="E191" s="1714" t="s">
        <v>987</v>
      </c>
      <c r="F191" s="1703" t="str">
        <f>VLOOKUP(TBL4_OptApp[[#This Row],[Option type
Defined List]],'Option Typs_Grps'!B$2:C$47, 2, FALSE)</f>
        <v>Customer Options</v>
      </c>
      <c r="G191" s="1703" t="s">
        <v>861</v>
      </c>
      <c r="H191" s="1703" t="s">
        <v>871</v>
      </c>
      <c r="I191" s="1703" t="s">
        <v>863</v>
      </c>
      <c r="J191" s="1703" t="s">
        <v>109</v>
      </c>
      <c r="K191" s="1703" t="s">
        <v>109</v>
      </c>
      <c r="L191" s="1703" t="s">
        <v>863</v>
      </c>
      <c r="M191" s="1703" t="s">
        <v>863</v>
      </c>
      <c r="N191" s="1703" t="s">
        <v>863</v>
      </c>
      <c r="O191" s="1703" t="s">
        <v>863</v>
      </c>
      <c r="P191" s="1703" t="s">
        <v>863</v>
      </c>
      <c r="Q191" s="1703" t="s">
        <v>863</v>
      </c>
      <c r="R191" s="1703" t="s">
        <v>863</v>
      </c>
      <c r="S191" s="1705" t="s">
        <v>1179</v>
      </c>
      <c r="T191" s="1705" t="s">
        <v>109</v>
      </c>
      <c r="U191" s="1705" t="s">
        <v>109</v>
      </c>
      <c r="V191" s="1719" t="s">
        <v>109</v>
      </c>
      <c r="W191" s="1705">
        <v>0</v>
      </c>
      <c r="X191" s="1705" t="s">
        <v>109</v>
      </c>
      <c r="Y191" s="1705">
        <v>0</v>
      </c>
      <c r="Z191" s="1705" t="s">
        <v>109</v>
      </c>
      <c r="AA191" s="1705" t="s">
        <v>109</v>
      </c>
      <c r="AB191" s="1712" t="s">
        <v>109</v>
      </c>
      <c r="AC191" s="1712" t="s">
        <v>109</v>
      </c>
      <c r="AD191" s="1713" t="s">
        <v>109</v>
      </c>
      <c r="AE191" s="1712" t="s">
        <v>109</v>
      </c>
      <c r="AF191" s="1712" t="s">
        <v>109</v>
      </c>
      <c r="AG191" s="1713">
        <v>0</v>
      </c>
      <c r="AH191" s="1713" t="str">
        <f>IFERROR(TBL4_OptApp[[#This Row],[Total NPC (£m)]]/TBL4_OptApp[[#This Row],[Maximum option utilisation across the planning period (Ml/d)]],"N/A")</f>
        <v>N/A</v>
      </c>
      <c r="AI191" s="1713" t="s">
        <v>109</v>
      </c>
      <c r="AJ191" s="1703" t="s">
        <v>109</v>
      </c>
      <c r="AK191" s="1705" t="s">
        <v>109</v>
      </c>
      <c r="AL191" s="1705" t="s">
        <v>109</v>
      </c>
      <c r="AM191" s="1705" t="s">
        <v>109</v>
      </c>
      <c r="AN191" s="1705" t="s">
        <v>109</v>
      </c>
      <c r="AO191" s="1705" t="s">
        <v>109</v>
      </c>
      <c r="AP191" s="1705" t="s">
        <v>109</v>
      </c>
      <c r="AQ191" s="1705" t="s">
        <v>109</v>
      </c>
      <c r="AR191" s="1705" t="s">
        <v>109</v>
      </c>
      <c r="AS191" s="1705" t="s">
        <v>109</v>
      </c>
      <c r="AT191" s="1705" t="s">
        <v>109</v>
      </c>
      <c r="AU191" s="1705" t="s">
        <v>109</v>
      </c>
      <c r="AV191" s="1705" t="s">
        <v>109</v>
      </c>
      <c r="AW191" s="1705"/>
      <c r="AX191" s="1705"/>
      <c r="AY191" s="1705"/>
      <c r="AZ191" s="1705"/>
      <c r="BA191" s="1705"/>
    </row>
    <row r="192" spans="2:53" ht="71.25" x14ac:dyDescent="0.2">
      <c r="B192" s="17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192" s="1703" t="s">
        <v>1265</v>
      </c>
      <c r="D192" s="1707" t="s">
        <v>1266</v>
      </c>
      <c r="E192" s="1714" t="s">
        <v>987</v>
      </c>
      <c r="F192" s="1703" t="str">
        <f>VLOOKUP(TBL4_OptApp[[#This Row],[Option type
Defined List]],'Option Typs_Grps'!B$2:C$47, 2, FALSE)</f>
        <v>Customer Options</v>
      </c>
      <c r="G192" s="1703" t="s">
        <v>861</v>
      </c>
      <c r="H192" s="1703" t="s">
        <v>871</v>
      </c>
      <c r="I192" s="1703" t="s">
        <v>863</v>
      </c>
      <c r="J192" s="1703" t="s">
        <v>109</v>
      </c>
      <c r="K192" s="1703" t="s">
        <v>109</v>
      </c>
      <c r="L192" s="1703" t="s">
        <v>863</v>
      </c>
      <c r="M192" s="1703" t="s">
        <v>863</v>
      </c>
      <c r="N192" s="1703" t="s">
        <v>863</v>
      </c>
      <c r="O192" s="1703" t="s">
        <v>863</v>
      </c>
      <c r="P192" s="1703" t="s">
        <v>863</v>
      </c>
      <c r="Q192" s="1703" t="s">
        <v>863</v>
      </c>
      <c r="R192" s="1703" t="s">
        <v>863</v>
      </c>
      <c r="S192" s="1705" t="s">
        <v>1179</v>
      </c>
      <c r="T192" s="1705" t="s">
        <v>109</v>
      </c>
      <c r="U192" s="1705" t="s">
        <v>109</v>
      </c>
      <c r="V192" s="1719" t="s">
        <v>109</v>
      </c>
      <c r="W192" s="1705">
        <v>0</v>
      </c>
      <c r="X192" s="1705" t="s">
        <v>109</v>
      </c>
      <c r="Y192" s="1705">
        <v>0</v>
      </c>
      <c r="Z192" s="1705" t="s">
        <v>109</v>
      </c>
      <c r="AA192" s="1705" t="s">
        <v>109</v>
      </c>
      <c r="AB192" s="1712" t="s">
        <v>109</v>
      </c>
      <c r="AC192" s="1712" t="s">
        <v>109</v>
      </c>
      <c r="AD192" s="1713" t="s">
        <v>109</v>
      </c>
      <c r="AE192" s="1712" t="s">
        <v>109</v>
      </c>
      <c r="AF192" s="1712" t="s">
        <v>109</v>
      </c>
      <c r="AG192" s="1713">
        <v>0</v>
      </c>
      <c r="AH192" s="1713" t="str">
        <f>IFERROR(TBL4_OptApp[[#This Row],[Total NPC (£m)]]/TBL4_OptApp[[#This Row],[Maximum option utilisation across the planning period (Ml/d)]],"N/A")</f>
        <v>N/A</v>
      </c>
      <c r="AI192" s="1713" t="s">
        <v>109</v>
      </c>
      <c r="AJ192" s="1703" t="s">
        <v>109</v>
      </c>
      <c r="AK192" s="1705" t="s">
        <v>109</v>
      </c>
      <c r="AL192" s="1705" t="s">
        <v>109</v>
      </c>
      <c r="AM192" s="1705" t="s">
        <v>109</v>
      </c>
      <c r="AN192" s="1705" t="s">
        <v>109</v>
      </c>
      <c r="AO192" s="1705" t="s">
        <v>109</v>
      </c>
      <c r="AP192" s="1705" t="s">
        <v>109</v>
      </c>
      <c r="AQ192" s="1705" t="s">
        <v>109</v>
      </c>
      <c r="AR192" s="1705" t="s">
        <v>109</v>
      </c>
      <c r="AS192" s="1705" t="s">
        <v>109</v>
      </c>
      <c r="AT192" s="1705" t="s">
        <v>109</v>
      </c>
      <c r="AU192" s="1705" t="s">
        <v>109</v>
      </c>
      <c r="AV192" s="1705" t="s">
        <v>109</v>
      </c>
      <c r="AW192" s="1705"/>
      <c r="AX192" s="1705"/>
      <c r="AY192" s="1705"/>
      <c r="AZ192" s="1705"/>
      <c r="BA192" s="1705"/>
    </row>
    <row r="193" spans="2:53" ht="71.25" x14ac:dyDescent="0.2">
      <c r="B193" s="17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193" s="1703" t="s">
        <v>1267</v>
      </c>
      <c r="D193" s="1707" t="s">
        <v>1268</v>
      </c>
      <c r="E193" s="1714" t="s">
        <v>987</v>
      </c>
      <c r="F193" s="1703" t="str">
        <f>VLOOKUP(TBL4_OptApp[[#This Row],[Option type
Defined List]],'Option Typs_Grps'!B$2:C$47, 2, FALSE)</f>
        <v>Customer Options</v>
      </c>
      <c r="G193" s="1703" t="s">
        <v>861</v>
      </c>
      <c r="H193" s="1703" t="s">
        <v>871</v>
      </c>
      <c r="I193" s="1703" t="s">
        <v>863</v>
      </c>
      <c r="J193" s="1703" t="s">
        <v>109</v>
      </c>
      <c r="K193" s="1703" t="s">
        <v>109</v>
      </c>
      <c r="L193" s="1703" t="s">
        <v>863</v>
      </c>
      <c r="M193" s="1703" t="s">
        <v>863</v>
      </c>
      <c r="N193" s="1703" t="s">
        <v>863</v>
      </c>
      <c r="O193" s="1703" t="s">
        <v>863</v>
      </c>
      <c r="P193" s="1703" t="s">
        <v>863</v>
      </c>
      <c r="Q193" s="1703" t="s">
        <v>863</v>
      </c>
      <c r="R193" s="1703" t="s">
        <v>863</v>
      </c>
      <c r="S193" s="1705" t="s">
        <v>1179</v>
      </c>
      <c r="T193" s="1705" t="s">
        <v>109</v>
      </c>
      <c r="U193" s="1705" t="s">
        <v>109</v>
      </c>
      <c r="V193" s="1719" t="s">
        <v>109</v>
      </c>
      <c r="W193" s="1705">
        <v>0</v>
      </c>
      <c r="X193" s="1705" t="s">
        <v>109</v>
      </c>
      <c r="Y193" s="1705">
        <v>0</v>
      </c>
      <c r="Z193" s="1705" t="s">
        <v>109</v>
      </c>
      <c r="AA193" s="1705" t="s">
        <v>109</v>
      </c>
      <c r="AB193" s="1712" t="s">
        <v>109</v>
      </c>
      <c r="AC193" s="1712" t="s">
        <v>109</v>
      </c>
      <c r="AD193" s="1713" t="s">
        <v>109</v>
      </c>
      <c r="AE193" s="1712" t="s">
        <v>109</v>
      </c>
      <c r="AF193" s="1712" t="s">
        <v>109</v>
      </c>
      <c r="AG193" s="1713">
        <v>0</v>
      </c>
      <c r="AH193" s="1713" t="str">
        <f>IFERROR(TBL4_OptApp[[#This Row],[Total NPC (£m)]]/TBL4_OptApp[[#This Row],[Maximum option utilisation across the planning period (Ml/d)]],"N/A")</f>
        <v>N/A</v>
      </c>
      <c r="AI193" s="1713" t="s">
        <v>109</v>
      </c>
      <c r="AJ193" s="1703" t="s">
        <v>109</v>
      </c>
      <c r="AK193" s="1705" t="s">
        <v>109</v>
      </c>
      <c r="AL193" s="1705" t="s">
        <v>109</v>
      </c>
      <c r="AM193" s="1705" t="s">
        <v>109</v>
      </c>
      <c r="AN193" s="1705" t="s">
        <v>109</v>
      </c>
      <c r="AO193" s="1705" t="s">
        <v>109</v>
      </c>
      <c r="AP193" s="1705" t="s">
        <v>109</v>
      </c>
      <c r="AQ193" s="1705" t="s">
        <v>109</v>
      </c>
      <c r="AR193" s="1705" t="s">
        <v>109</v>
      </c>
      <c r="AS193" s="1705" t="s">
        <v>109</v>
      </c>
      <c r="AT193" s="1705" t="s">
        <v>109</v>
      </c>
      <c r="AU193" s="1705" t="s">
        <v>109</v>
      </c>
      <c r="AV193" s="1705" t="s">
        <v>109</v>
      </c>
      <c r="AW193" s="1705"/>
      <c r="AX193" s="1705"/>
      <c r="AY193" s="1705"/>
      <c r="AZ193" s="1705"/>
      <c r="BA193" s="1705"/>
    </row>
    <row r="194" spans="2:53" ht="71.25" x14ac:dyDescent="0.2">
      <c r="B194" s="17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194" s="1703" t="s">
        <v>1269</v>
      </c>
      <c r="D194" s="1707" t="s">
        <v>1270</v>
      </c>
      <c r="E194" s="1714" t="s">
        <v>987</v>
      </c>
      <c r="F194" s="1703" t="str">
        <f>VLOOKUP(TBL4_OptApp[[#This Row],[Option type
Defined List]],'Option Typs_Grps'!B$2:C$47, 2, FALSE)</f>
        <v>Customer Options</v>
      </c>
      <c r="G194" s="1703" t="s">
        <v>861</v>
      </c>
      <c r="H194" s="1703" t="s">
        <v>871</v>
      </c>
      <c r="I194" s="1703" t="s">
        <v>863</v>
      </c>
      <c r="J194" s="1703" t="s">
        <v>109</v>
      </c>
      <c r="K194" s="1703" t="s">
        <v>109</v>
      </c>
      <c r="L194" s="1703" t="s">
        <v>863</v>
      </c>
      <c r="M194" s="1703" t="s">
        <v>863</v>
      </c>
      <c r="N194" s="1703" t="s">
        <v>863</v>
      </c>
      <c r="O194" s="1703" t="s">
        <v>863</v>
      </c>
      <c r="P194" s="1703" t="s">
        <v>863</v>
      </c>
      <c r="Q194" s="1703" t="s">
        <v>863</v>
      </c>
      <c r="R194" s="1703" t="s">
        <v>863</v>
      </c>
      <c r="S194" s="1705" t="s">
        <v>1179</v>
      </c>
      <c r="T194" s="1705" t="s">
        <v>109</v>
      </c>
      <c r="U194" s="1705" t="s">
        <v>109</v>
      </c>
      <c r="V194" s="1719" t="s">
        <v>109</v>
      </c>
      <c r="W194" s="1705">
        <v>0</v>
      </c>
      <c r="X194" s="1705" t="s">
        <v>109</v>
      </c>
      <c r="Y194" s="1705">
        <v>0</v>
      </c>
      <c r="Z194" s="1705" t="s">
        <v>109</v>
      </c>
      <c r="AA194" s="1705" t="s">
        <v>109</v>
      </c>
      <c r="AB194" s="1712" t="s">
        <v>109</v>
      </c>
      <c r="AC194" s="1712" t="s">
        <v>109</v>
      </c>
      <c r="AD194" s="1713" t="s">
        <v>109</v>
      </c>
      <c r="AE194" s="1712" t="s">
        <v>109</v>
      </c>
      <c r="AF194" s="1712" t="s">
        <v>109</v>
      </c>
      <c r="AG194" s="1713">
        <v>0</v>
      </c>
      <c r="AH194" s="1713" t="str">
        <f>IFERROR(TBL4_OptApp[[#This Row],[Total NPC (£m)]]/TBL4_OptApp[[#This Row],[Maximum option utilisation across the planning period (Ml/d)]],"N/A")</f>
        <v>N/A</v>
      </c>
      <c r="AI194" s="1713" t="s">
        <v>109</v>
      </c>
      <c r="AJ194" s="1703" t="s">
        <v>109</v>
      </c>
      <c r="AK194" s="1705" t="s">
        <v>109</v>
      </c>
      <c r="AL194" s="1705" t="s">
        <v>109</v>
      </c>
      <c r="AM194" s="1705" t="s">
        <v>109</v>
      </c>
      <c r="AN194" s="1705" t="s">
        <v>109</v>
      </c>
      <c r="AO194" s="1705" t="s">
        <v>109</v>
      </c>
      <c r="AP194" s="1705" t="s">
        <v>109</v>
      </c>
      <c r="AQ194" s="1705" t="s">
        <v>109</v>
      </c>
      <c r="AR194" s="1705" t="s">
        <v>109</v>
      </c>
      <c r="AS194" s="1705" t="s">
        <v>109</v>
      </c>
      <c r="AT194" s="1705" t="s">
        <v>109</v>
      </c>
      <c r="AU194" s="1705" t="s">
        <v>109</v>
      </c>
      <c r="AV194" s="1705" t="s">
        <v>109</v>
      </c>
      <c r="AW194" s="1705"/>
      <c r="AX194" s="1705"/>
      <c r="AY194" s="1705"/>
      <c r="AZ194" s="1705"/>
      <c r="BA194" s="1705"/>
    </row>
    <row r="195" spans="2:53" ht="71.25" x14ac:dyDescent="0.2">
      <c r="B195" s="17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195" s="1703" t="s">
        <v>1271</v>
      </c>
      <c r="D195" s="1707" t="s">
        <v>1272</v>
      </c>
      <c r="E195" s="1714" t="s">
        <v>987</v>
      </c>
      <c r="F195" s="1703" t="str">
        <f>VLOOKUP(TBL4_OptApp[[#This Row],[Option type
Defined List]],'Option Typs_Grps'!B$2:C$47, 2, FALSE)</f>
        <v>Customer Options</v>
      </c>
      <c r="G195" s="1703" t="s">
        <v>861</v>
      </c>
      <c r="H195" s="1703" t="s">
        <v>871</v>
      </c>
      <c r="I195" s="1703" t="s">
        <v>863</v>
      </c>
      <c r="J195" s="1703" t="s">
        <v>109</v>
      </c>
      <c r="K195" s="1703" t="s">
        <v>109</v>
      </c>
      <c r="L195" s="1703" t="s">
        <v>863</v>
      </c>
      <c r="M195" s="1703" t="s">
        <v>863</v>
      </c>
      <c r="N195" s="1703" t="s">
        <v>863</v>
      </c>
      <c r="O195" s="1703" t="s">
        <v>863</v>
      </c>
      <c r="P195" s="1703" t="s">
        <v>863</v>
      </c>
      <c r="Q195" s="1703" t="s">
        <v>863</v>
      </c>
      <c r="R195" s="1703" t="s">
        <v>863</v>
      </c>
      <c r="S195" s="1705" t="s">
        <v>1179</v>
      </c>
      <c r="T195" s="1705" t="s">
        <v>109</v>
      </c>
      <c r="U195" s="1705" t="s">
        <v>109</v>
      </c>
      <c r="V195" s="1719" t="s">
        <v>109</v>
      </c>
      <c r="W195" s="1705">
        <v>0</v>
      </c>
      <c r="X195" s="1705" t="s">
        <v>109</v>
      </c>
      <c r="Y195" s="1705">
        <v>0</v>
      </c>
      <c r="Z195" s="1705" t="s">
        <v>109</v>
      </c>
      <c r="AA195" s="1705" t="s">
        <v>109</v>
      </c>
      <c r="AB195" s="1712" t="s">
        <v>109</v>
      </c>
      <c r="AC195" s="1712" t="s">
        <v>109</v>
      </c>
      <c r="AD195" s="1713" t="s">
        <v>109</v>
      </c>
      <c r="AE195" s="1712" t="s">
        <v>109</v>
      </c>
      <c r="AF195" s="1712" t="s">
        <v>109</v>
      </c>
      <c r="AG195" s="1713">
        <v>0</v>
      </c>
      <c r="AH195" s="1713" t="str">
        <f>IFERROR(TBL4_OptApp[[#This Row],[Total NPC (£m)]]/TBL4_OptApp[[#This Row],[Maximum option utilisation across the planning period (Ml/d)]],"N/A")</f>
        <v>N/A</v>
      </c>
      <c r="AI195" s="1713" t="s">
        <v>109</v>
      </c>
      <c r="AJ195" s="1703" t="s">
        <v>109</v>
      </c>
      <c r="AK195" s="1705" t="s">
        <v>109</v>
      </c>
      <c r="AL195" s="1705" t="s">
        <v>109</v>
      </c>
      <c r="AM195" s="1705" t="s">
        <v>109</v>
      </c>
      <c r="AN195" s="1705" t="s">
        <v>109</v>
      </c>
      <c r="AO195" s="1705" t="s">
        <v>109</v>
      </c>
      <c r="AP195" s="1705" t="s">
        <v>109</v>
      </c>
      <c r="AQ195" s="1705" t="s">
        <v>109</v>
      </c>
      <c r="AR195" s="1705" t="s">
        <v>109</v>
      </c>
      <c r="AS195" s="1705" t="s">
        <v>109</v>
      </c>
      <c r="AT195" s="1705" t="s">
        <v>109</v>
      </c>
      <c r="AU195" s="1705" t="s">
        <v>109</v>
      </c>
      <c r="AV195" s="1705" t="s">
        <v>109</v>
      </c>
      <c r="AW195" s="1705"/>
      <c r="AX195" s="1705"/>
      <c r="AY195" s="1705"/>
      <c r="AZ195" s="1705"/>
      <c r="BA195" s="1705"/>
    </row>
    <row r="196" spans="2:53" ht="71.25" x14ac:dyDescent="0.2">
      <c r="B196" s="17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196" s="1703" t="s">
        <v>1273</v>
      </c>
      <c r="D196" s="1707" t="s">
        <v>1274</v>
      </c>
      <c r="E196" s="1714" t="s">
        <v>987</v>
      </c>
      <c r="F196" s="1703" t="str">
        <f>VLOOKUP(TBL4_OptApp[[#This Row],[Option type
Defined List]],'Option Typs_Grps'!B$2:C$47, 2, FALSE)</f>
        <v>Customer Options</v>
      </c>
      <c r="G196" s="1703" t="s">
        <v>861</v>
      </c>
      <c r="H196" s="1703" t="s">
        <v>871</v>
      </c>
      <c r="I196" s="1703" t="s">
        <v>863</v>
      </c>
      <c r="J196" s="1703" t="s">
        <v>109</v>
      </c>
      <c r="K196" s="1703" t="s">
        <v>109</v>
      </c>
      <c r="L196" s="1703" t="s">
        <v>863</v>
      </c>
      <c r="M196" s="1703" t="s">
        <v>863</v>
      </c>
      <c r="N196" s="1703" t="s">
        <v>863</v>
      </c>
      <c r="O196" s="1703" t="s">
        <v>863</v>
      </c>
      <c r="P196" s="1703" t="s">
        <v>863</v>
      </c>
      <c r="Q196" s="1703" t="s">
        <v>863</v>
      </c>
      <c r="R196" s="1703" t="s">
        <v>863</v>
      </c>
      <c r="S196" s="1705" t="s">
        <v>1179</v>
      </c>
      <c r="T196" s="1705" t="s">
        <v>109</v>
      </c>
      <c r="U196" s="1705" t="s">
        <v>109</v>
      </c>
      <c r="V196" s="1719" t="s">
        <v>109</v>
      </c>
      <c r="W196" s="1705">
        <v>0</v>
      </c>
      <c r="X196" s="1705" t="s">
        <v>109</v>
      </c>
      <c r="Y196" s="1705">
        <v>0</v>
      </c>
      <c r="Z196" s="1705" t="s">
        <v>109</v>
      </c>
      <c r="AA196" s="1705" t="s">
        <v>109</v>
      </c>
      <c r="AB196" s="1712" t="s">
        <v>109</v>
      </c>
      <c r="AC196" s="1712" t="s">
        <v>109</v>
      </c>
      <c r="AD196" s="1713" t="s">
        <v>109</v>
      </c>
      <c r="AE196" s="1712" t="s">
        <v>109</v>
      </c>
      <c r="AF196" s="1712" t="s">
        <v>109</v>
      </c>
      <c r="AG196" s="1713">
        <v>0</v>
      </c>
      <c r="AH196" s="1713" t="str">
        <f>IFERROR(TBL4_OptApp[[#This Row],[Total NPC (£m)]]/TBL4_OptApp[[#This Row],[Maximum option utilisation across the planning period (Ml/d)]],"N/A")</f>
        <v>N/A</v>
      </c>
      <c r="AI196" s="1713" t="s">
        <v>109</v>
      </c>
      <c r="AJ196" s="1703" t="s">
        <v>109</v>
      </c>
      <c r="AK196" s="1705" t="s">
        <v>109</v>
      </c>
      <c r="AL196" s="1705" t="s">
        <v>109</v>
      </c>
      <c r="AM196" s="1705" t="s">
        <v>109</v>
      </c>
      <c r="AN196" s="1705" t="s">
        <v>109</v>
      </c>
      <c r="AO196" s="1705" t="s">
        <v>109</v>
      </c>
      <c r="AP196" s="1705" t="s">
        <v>109</v>
      </c>
      <c r="AQ196" s="1705" t="s">
        <v>109</v>
      </c>
      <c r="AR196" s="1705" t="s">
        <v>109</v>
      </c>
      <c r="AS196" s="1705" t="s">
        <v>109</v>
      </c>
      <c r="AT196" s="1705" t="s">
        <v>109</v>
      </c>
      <c r="AU196" s="1705" t="s">
        <v>109</v>
      </c>
      <c r="AV196" s="1705" t="s">
        <v>109</v>
      </c>
      <c r="AW196" s="1705"/>
      <c r="AX196" s="1705"/>
      <c r="AY196" s="1705"/>
      <c r="AZ196" s="1705"/>
      <c r="BA196" s="1705"/>
    </row>
    <row r="197" spans="2:53" ht="71.25" x14ac:dyDescent="0.2">
      <c r="B197" s="17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197" s="1703" t="s">
        <v>1275</v>
      </c>
      <c r="D197" s="1707" t="s">
        <v>1276</v>
      </c>
      <c r="E197" s="1714" t="s">
        <v>987</v>
      </c>
      <c r="F197" s="1703" t="str">
        <f>VLOOKUP(TBL4_OptApp[[#This Row],[Option type
Defined List]],'Option Typs_Grps'!B$2:C$47, 2, FALSE)</f>
        <v>Customer Options</v>
      </c>
      <c r="G197" s="1703" t="s">
        <v>861</v>
      </c>
      <c r="H197" s="1703" t="s">
        <v>871</v>
      </c>
      <c r="I197" s="1703" t="s">
        <v>863</v>
      </c>
      <c r="J197" s="1703" t="s">
        <v>109</v>
      </c>
      <c r="K197" s="1703" t="s">
        <v>109</v>
      </c>
      <c r="L197" s="1703" t="s">
        <v>863</v>
      </c>
      <c r="M197" s="1703" t="s">
        <v>863</v>
      </c>
      <c r="N197" s="1703" t="s">
        <v>863</v>
      </c>
      <c r="O197" s="1703" t="s">
        <v>863</v>
      </c>
      <c r="P197" s="1703" t="s">
        <v>863</v>
      </c>
      <c r="Q197" s="1703" t="s">
        <v>863</v>
      </c>
      <c r="R197" s="1703" t="s">
        <v>863</v>
      </c>
      <c r="S197" s="1705" t="s">
        <v>1179</v>
      </c>
      <c r="T197" s="1705" t="s">
        <v>109</v>
      </c>
      <c r="U197" s="1705" t="s">
        <v>109</v>
      </c>
      <c r="V197" s="1719" t="s">
        <v>109</v>
      </c>
      <c r="W197" s="1705">
        <v>0</v>
      </c>
      <c r="X197" s="1705" t="s">
        <v>109</v>
      </c>
      <c r="Y197" s="1705">
        <v>0</v>
      </c>
      <c r="Z197" s="1705" t="s">
        <v>109</v>
      </c>
      <c r="AA197" s="1705" t="s">
        <v>109</v>
      </c>
      <c r="AB197" s="1712" t="s">
        <v>109</v>
      </c>
      <c r="AC197" s="1712" t="s">
        <v>109</v>
      </c>
      <c r="AD197" s="1713" t="s">
        <v>109</v>
      </c>
      <c r="AE197" s="1712" t="s">
        <v>109</v>
      </c>
      <c r="AF197" s="1712" t="s">
        <v>109</v>
      </c>
      <c r="AG197" s="1713">
        <v>0</v>
      </c>
      <c r="AH197" s="1713" t="str">
        <f>IFERROR(TBL4_OptApp[[#This Row],[Total NPC (£m)]]/TBL4_OptApp[[#This Row],[Maximum option utilisation across the planning period (Ml/d)]],"N/A")</f>
        <v>N/A</v>
      </c>
      <c r="AI197" s="1713" t="s">
        <v>109</v>
      </c>
      <c r="AJ197" s="1703" t="s">
        <v>109</v>
      </c>
      <c r="AK197" s="1705" t="s">
        <v>109</v>
      </c>
      <c r="AL197" s="1705" t="s">
        <v>109</v>
      </c>
      <c r="AM197" s="1705" t="s">
        <v>109</v>
      </c>
      <c r="AN197" s="1705" t="s">
        <v>109</v>
      </c>
      <c r="AO197" s="1705" t="s">
        <v>109</v>
      </c>
      <c r="AP197" s="1705" t="s">
        <v>109</v>
      </c>
      <c r="AQ197" s="1705" t="s">
        <v>109</v>
      </c>
      <c r="AR197" s="1705" t="s">
        <v>109</v>
      </c>
      <c r="AS197" s="1705" t="s">
        <v>109</v>
      </c>
      <c r="AT197" s="1705" t="s">
        <v>109</v>
      </c>
      <c r="AU197" s="1705" t="s">
        <v>109</v>
      </c>
      <c r="AV197" s="1705" t="s">
        <v>109</v>
      </c>
      <c r="AW197" s="1705"/>
      <c r="AX197" s="1705"/>
      <c r="AY197" s="1705"/>
      <c r="AZ197" s="1705"/>
      <c r="BA197" s="1705"/>
    </row>
    <row r="198" spans="2:53" ht="71.25" x14ac:dyDescent="0.2">
      <c r="B198" s="17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198" s="1703" t="s">
        <v>1277</v>
      </c>
      <c r="D198" s="1707" t="s">
        <v>1278</v>
      </c>
      <c r="E198" s="1714" t="s">
        <v>987</v>
      </c>
      <c r="F198" s="1703" t="str">
        <f>VLOOKUP(TBL4_OptApp[[#This Row],[Option type
Defined List]],'Option Typs_Grps'!B$2:C$47, 2, FALSE)</f>
        <v>Customer Options</v>
      </c>
      <c r="G198" s="1703" t="s">
        <v>861</v>
      </c>
      <c r="H198" s="1703" t="s">
        <v>871</v>
      </c>
      <c r="I198" s="1703" t="s">
        <v>863</v>
      </c>
      <c r="J198" s="1703" t="s">
        <v>109</v>
      </c>
      <c r="K198" s="1703" t="s">
        <v>109</v>
      </c>
      <c r="L198" s="1703" t="s">
        <v>863</v>
      </c>
      <c r="M198" s="1703" t="s">
        <v>863</v>
      </c>
      <c r="N198" s="1703" t="s">
        <v>863</v>
      </c>
      <c r="O198" s="1703" t="s">
        <v>863</v>
      </c>
      <c r="P198" s="1703" t="s">
        <v>863</v>
      </c>
      <c r="Q198" s="1703" t="s">
        <v>863</v>
      </c>
      <c r="R198" s="1703" t="s">
        <v>863</v>
      </c>
      <c r="S198" s="1705" t="s">
        <v>1179</v>
      </c>
      <c r="T198" s="1705" t="s">
        <v>109</v>
      </c>
      <c r="U198" s="1705" t="s">
        <v>109</v>
      </c>
      <c r="V198" s="1719" t="s">
        <v>109</v>
      </c>
      <c r="W198" s="1705">
        <v>0</v>
      </c>
      <c r="X198" s="1705" t="s">
        <v>109</v>
      </c>
      <c r="Y198" s="1705">
        <v>0</v>
      </c>
      <c r="Z198" s="1705" t="s">
        <v>109</v>
      </c>
      <c r="AA198" s="1705" t="s">
        <v>109</v>
      </c>
      <c r="AB198" s="1712" t="s">
        <v>109</v>
      </c>
      <c r="AC198" s="1712" t="s">
        <v>109</v>
      </c>
      <c r="AD198" s="1713" t="s">
        <v>109</v>
      </c>
      <c r="AE198" s="1712" t="s">
        <v>109</v>
      </c>
      <c r="AF198" s="1712" t="s">
        <v>109</v>
      </c>
      <c r="AG198" s="1713">
        <v>0</v>
      </c>
      <c r="AH198" s="1713" t="str">
        <f>IFERROR(TBL4_OptApp[[#This Row],[Total NPC (£m)]]/TBL4_OptApp[[#This Row],[Maximum option utilisation across the planning period (Ml/d)]],"N/A")</f>
        <v>N/A</v>
      </c>
      <c r="AI198" s="1713" t="s">
        <v>109</v>
      </c>
      <c r="AJ198" s="1703" t="s">
        <v>109</v>
      </c>
      <c r="AK198" s="1705" t="s">
        <v>109</v>
      </c>
      <c r="AL198" s="1705" t="s">
        <v>109</v>
      </c>
      <c r="AM198" s="1705" t="s">
        <v>109</v>
      </c>
      <c r="AN198" s="1705" t="s">
        <v>109</v>
      </c>
      <c r="AO198" s="1705" t="s">
        <v>109</v>
      </c>
      <c r="AP198" s="1705" t="s">
        <v>109</v>
      </c>
      <c r="AQ198" s="1705" t="s">
        <v>109</v>
      </c>
      <c r="AR198" s="1705" t="s">
        <v>109</v>
      </c>
      <c r="AS198" s="1705" t="s">
        <v>109</v>
      </c>
      <c r="AT198" s="1705" t="s">
        <v>109</v>
      </c>
      <c r="AU198" s="1705" t="s">
        <v>109</v>
      </c>
      <c r="AV198" s="1705" t="s">
        <v>109</v>
      </c>
      <c r="AW198" s="1705"/>
      <c r="AX198" s="1705"/>
      <c r="AY198" s="1705"/>
      <c r="AZ198" s="1705"/>
      <c r="BA198" s="1705"/>
    </row>
    <row r="199" spans="2:53" ht="71.25" x14ac:dyDescent="0.2">
      <c r="B199" s="17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199" s="1703" t="s">
        <v>1279</v>
      </c>
      <c r="D199" s="1707" t="s">
        <v>1023</v>
      </c>
      <c r="E199" s="1714" t="s">
        <v>987</v>
      </c>
      <c r="F199" s="1703" t="str">
        <f>VLOOKUP(TBL4_OptApp[[#This Row],[Option type
Defined List]],'Option Typs_Grps'!B$2:C$47, 2, FALSE)</f>
        <v>Customer Options</v>
      </c>
      <c r="G199" s="1703" t="s">
        <v>861</v>
      </c>
      <c r="H199" s="1703" t="s">
        <v>871</v>
      </c>
      <c r="I199" s="1703" t="s">
        <v>863</v>
      </c>
      <c r="J199" s="1703" t="s">
        <v>109</v>
      </c>
      <c r="K199" s="1703" t="s">
        <v>109</v>
      </c>
      <c r="L199" s="1703" t="s">
        <v>863</v>
      </c>
      <c r="M199" s="1703" t="s">
        <v>863</v>
      </c>
      <c r="N199" s="1703" t="s">
        <v>863</v>
      </c>
      <c r="O199" s="1703" t="s">
        <v>863</v>
      </c>
      <c r="P199" s="1703" t="s">
        <v>863</v>
      </c>
      <c r="Q199" s="1703" t="s">
        <v>863</v>
      </c>
      <c r="R199" s="1703" t="s">
        <v>863</v>
      </c>
      <c r="S199" s="1705" t="s">
        <v>1179</v>
      </c>
      <c r="T199" s="1705" t="s">
        <v>109</v>
      </c>
      <c r="U199" s="1705" t="s">
        <v>109</v>
      </c>
      <c r="V199" s="1719" t="s">
        <v>109</v>
      </c>
      <c r="W199" s="1705">
        <v>0</v>
      </c>
      <c r="X199" s="1705" t="s">
        <v>109</v>
      </c>
      <c r="Y199" s="1705">
        <v>0</v>
      </c>
      <c r="Z199" s="1705" t="s">
        <v>109</v>
      </c>
      <c r="AA199" s="1705" t="s">
        <v>109</v>
      </c>
      <c r="AB199" s="1712" t="s">
        <v>109</v>
      </c>
      <c r="AC199" s="1712" t="s">
        <v>109</v>
      </c>
      <c r="AD199" s="1713" t="s">
        <v>109</v>
      </c>
      <c r="AE199" s="1712" t="s">
        <v>109</v>
      </c>
      <c r="AF199" s="1712" t="s">
        <v>109</v>
      </c>
      <c r="AG199" s="1713">
        <v>0</v>
      </c>
      <c r="AH199" s="1713" t="str">
        <f>IFERROR(TBL4_OptApp[[#This Row],[Total NPC (£m)]]/TBL4_OptApp[[#This Row],[Maximum option utilisation across the planning period (Ml/d)]],"N/A")</f>
        <v>N/A</v>
      </c>
      <c r="AI199" s="1713" t="s">
        <v>109</v>
      </c>
      <c r="AJ199" s="1703" t="s">
        <v>109</v>
      </c>
      <c r="AK199" s="1705" t="s">
        <v>109</v>
      </c>
      <c r="AL199" s="1705" t="s">
        <v>109</v>
      </c>
      <c r="AM199" s="1705" t="s">
        <v>109</v>
      </c>
      <c r="AN199" s="1705" t="s">
        <v>109</v>
      </c>
      <c r="AO199" s="1705" t="s">
        <v>109</v>
      </c>
      <c r="AP199" s="1705" t="s">
        <v>109</v>
      </c>
      <c r="AQ199" s="1705" t="s">
        <v>109</v>
      </c>
      <c r="AR199" s="1705" t="s">
        <v>109</v>
      </c>
      <c r="AS199" s="1705" t="s">
        <v>109</v>
      </c>
      <c r="AT199" s="1705" t="s">
        <v>109</v>
      </c>
      <c r="AU199" s="1705" t="s">
        <v>109</v>
      </c>
      <c r="AV199" s="1705" t="s">
        <v>109</v>
      </c>
      <c r="AW199" s="1705"/>
      <c r="AX199" s="1705"/>
      <c r="AY199" s="1705"/>
      <c r="AZ199" s="1705"/>
      <c r="BA199" s="1705"/>
    </row>
    <row r="200" spans="2:53" ht="71.25" x14ac:dyDescent="0.2">
      <c r="B200" s="17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200" s="1703" t="s">
        <v>1280</v>
      </c>
      <c r="D200" s="1707" t="s">
        <v>1281</v>
      </c>
      <c r="E200" s="1714" t="s">
        <v>987</v>
      </c>
      <c r="F200" s="1703" t="str">
        <f>VLOOKUP(TBL4_OptApp[[#This Row],[Option type
Defined List]],'Option Typs_Grps'!B$2:C$47, 2, FALSE)</f>
        <v>Customer Options</v>
      </c>
      <c r="G200" s="1703" t="s">
        <v>861</v>
      </c>
      <c r="H200" s="1703" t="s">
        <v>871</v>
      </c>
      <c r="I200" s="1703" t="s">
        <v>863</v>
      </c>
      <c r="J200" s="1703" t="s">
        <v>109</v>
      </c>
      <c r="K200" s="1703" t="s">
        <v>109</v>
      </c>
      <c r="L200" s="1703" t="s">
        <v>863</v>
      </c>
      <c r="M200" s="1703" t="s">
        <v>863</v>
      </c>
      <c r="N200" s="1703" t="s">
        <v>863</v>
      </c>
      <c r="O200" s="1703" t="s">
        <v>863</v>
      </c>
      <c r="P200" s="1703" t="s">
        <v>863</v>
      </c>
      <c r="Q200" s="1703" t="s">
        <v>863</v>
      </c>
      <c r="R200" s="1703" t="s">
        <v>863</v>
      </c>
      <c r="S200" s="1705" t="s">
        <v>1179</v>
      </c>
      <c r="T200" s="1705" t="s">
        <v>109</v>
      </c>
      <c r="U200" s="1705" t="s">
        <v>109</v>
      </c>
      <c r="V200" s="1719" t="s">
        <v>109</v>
      </c>
      <c r="W200" s="1705">
        <v>0</v>
      </c>
      <c r="X200" s="1705" t="s">
        <v>109</v>
      </c>
      <c r="Y200" s="1705">
        <v>0</v>
      </c>
      <c r="Z200" s="1705" t="s">
        <v>109</v>
      </c>
      <c r="AA200" s="1705" t="s">
        <v>109</v>
      </c>
      <c r="AB200" s="1712" t="s">
        <v>109</v>
      </c>
      <c r="AC200" s="1712" t="s">
        <v>109</v>
      </c>
      <c r="AD200" s="1713" t="s">
        <v>109</v>
      </c>
      <c r="AE200" s="1712" t="s">
        <v>109</v>
      </c>
      <c r="AF200" s="1712" t="s">
        <v>109</v>
      </c>
      <c r="AG200" s="1713">
        <v>0</v>
      </c>
      <c r="AH200" s="1713" t="str">
        <f>IFERROR(TBL4_OptApp[[#This Row],[Total NPC (£m)]]/TBL4_OptApp[[#This Row],[Maximum option utilisation across the planning period (Ml/d)]],"N/A")</f>
        <v>N/A</v>
      </c>
      <c r="AI200" s="1713" t="s">
        <v>109</v>
      </c>
      <c r="AJ200" s="1703" t="s">
        <v>109</v>
      </c>
      <c r="AK200" s="1705" t="s">
        <v>109</v>
      </c>
      <c r="AL200" s="1705" t="s">
        <v>109</v>
      </c>
      <c r="AM200" s="1705" t="s">
        <v>109</v>
      </c>
      <c r="AN200" s="1705" t="s">
        <v>109</v>
      </c>
      <c r="AO200" s="1705" t="s">
        <v>109</v>
      </c>
      <c r="AP200" s="1705" t="s">
        <v>109</v>
      </c>
      <c r="AQ200" s="1705" t="s">
        <v>109</v>
      </c>
      <c r="AR200" s="1705" t="s">
        <v>109</v>
      </c>
      <c r="AS200" s="1705" t="s">
        <v>109</v>
      </c>
      <c r="AT200" s="1705" t="s">
        <v>109</v>
      </c>
      <c r="AU200" s="1705" t="s">
        <v>109</v>
      </c>
      <c r="AV200" s="1705" t="s">
        <v>109</v>
      </c>
      <c r="AW200" s="1705"/>
      <c r="AX200" s="1705"/>
      <c r="AY200" s="1705"/>
      <c r="AZ200" s="1705"/>
      <c r="BA200" s="1705"/>
    </row>
    <row r="201" spans="2:53" ht="71.25" x14ac:dyDescent="0.2">
      <c r="B201" s="17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201" s="1703" t="s">
        <v>1282</v>
      </c>
      <c r="D201" s="1707" t="s">
        <v>1283</v>
      </c>
      <c r="E201" s="1714" t="s">
        <v>987</v>
      </c>
      <c r="F201" s="1703" t="str">
        <f>VLOOKUP(TBL4_OptApp[[#This Row],[Option type
Defined List]],'Option Typs_Grps'!B$2:C$47, 2, FALSE)</f>
        <v>Customer Options</v>
      </c>
      <c r="G201" s="1703" t="s">
        <v>861</v>
      </c>
      <c r="H201" s="1703" t="s">
        <v>871</v>
      </c>
      <c r="I201" s="1703" t="s">
        <v>863</v>
      </c>
      <c r="J201" s="1703" t="s">
        <v>109</v>
      </c>
      <c r="K201" s="1703" t="s">
        <v>109</v>
      </c>
      <c r="L201" s="1703" t="s">
        <v>863</v>
      </c>
      <c r="M201" s="1703" t="s">
        <v>863</v>
      </c>
      <c r="N201" s="1703" t="s">
        <v>863</v>
      </c>
      <c r="O201" s="1703" t="s">
        <v>863</v>
      </c>
      <c r="P201" s="1703" t="s">
        <v>863</v>
      </c>
      <c r="Q201" s="1703" t="s">
        <v>863</v>
      </c>
      <c r="R201" s="1703" t="s">
        <v>863</v>
      </c>
      <c r="S201" s="1705" t="s">
        <v>1179</v>
      </c>
      <c r="T201" s="1705" t="s">
        <v>109</v>
      </c>
      <c r="U201" s="1705" t="s">
        <v>109</v>
      </c>
      <c r="V201" s="1719" t="s">
        <v>109</v>
      </c>
      <c r="W201" s="1705">
        <v>0</v>
      </c>
      <c r="X201" s="1705" t="s">
        <v>109</v>
      </c>
      <c r="Y201" s="1705">
        <v>0</v>
      </c>
      <c r="Z201" s="1705" t="s">
        <v>109</v>
      </c>
      <c r="AA201" s="1705" t="s">
        <v>109</v>
      </c>
      <c r="AB201" s="1712" t="s">
        <v>109</v>
      </c>
      <c r="AC201" s="1712" t="s">
        <v>109</v>
      </c>
      <c r="AD201" s="1713" t="s">
        <v>109</v>
      </c>
      <c r="AE201" s="1712" t="s">
        <v>109</v>
      </c>
      <c r="AF201" s="1712" t="s">
        <v>109</v>
      </c>
      <c r="AG201" s="1713">
        <v>0</v>
      </c>
      <c r="AH201" s="1713" t="str">
        <f>IFERROR(TBL4_OptApp[[#This Row],[Total NPC (£m)]]/TBL4_OptApp[[#This Row],[Maximum option utilisation across the planning period (Ml/d)]],"N/A")</f>
        <v>N/A</v>
      </c>
      <c r="AI201" s="1713" t="s">
        <v>109</v>
      </c>
      <c r="AJ201" s="1703" t="s">
        <v>109</v>
      </c>
      <c r="AK201" s="1705" t="s">
        <v>109</v>
      </c>
      <c r="AL201" s="1705" t="s">
        <v>109</v>
      </c>
      <c r="AM201" s="1705" t="s">
        <v>109</v>
      </c>
      <c r="AN201" s="1705" t="s">
        <v>109</v>
      </c>
      <c r="AO201" s="1705" t="s">
        <v>109</v>
      </c>
      <c r="AP201" s="1705" t="s">
        <v>109</v>
      </c>
      <c r="AQ201" s="1705" t="s">
        <v>109</v>
      </c>
      <c r="AR201" s="1705" t="s">
        <v>109</v>
      </c>
      <c r="AS201" s="1705" t="s">
        <v>109</v>
      </c>
      <c r="AT201" s="1705" t="s">
        <v>109</v>
      </c>
      <c r="AU201" s="1705" t="s">
        <v>109</v>
      </c>
      <c r="AV201" s="1705" t="s">
        <v>109</v>
      </c>
      <c r="AW201" s="1705"/>
      <c r="AX201" s="1705"/>
      <c r="AY201" s="1705"/>
      <c r="AZ201" s="1705"/>
      <c r="BA201" s="1705"/>
    </row>
    <row r="202" spans="2:53" ht="71.25" x14ac:dyDescent="0.2">
      <c r="B202" s="17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202" s="1703" t="s">
        <v>1284</v>
      </c>
      <c r="D202" s="1707" t="s">
        <v>1285</v>
      </c>
      <c r="E202" s="1714" t="s">
        <v>987</v>
      </c>
      <c r="F202" s="1703" t="str">
        <f>VLOOKUP(TBL4_OptApp[[#This Row],[Option type
Defined List]],'Option Typs_Grps'!B$2:C$47, 2, FALSE)</f>
        <v>Customer Options</v>
      </c>
      <c r="G202" s="1703" t="s">
        <v>861</v>
      </c>
      <c r="H202" s="1703" t="s">
        <v>871</v>
      </c>
      <c r="I202" s="1703" t="s">
        <v>863</v>
      </c>
      <c r="J202" s="1703" t="s">
        <v>109</v>
      </c>
      <c r="K202" s="1703" t="s">
        <v>109</v>
      </c>
      <c r="L202" s="1703" t="s">
        <v>863</v>
      </c>
      <c r="M202" s="1703" t="s">
        <v>863</v>
      </c>
      <c r="N202" s="1703" t="s">
        <v>863</v>
      </c>
      <c r="O202" s="1703" t="s">
        <v>863</v>
      </c>
      <c r="P202" s="1703" t="s">
        <v>863</v>
      </c>
      <c r="Q202" s="1703" t="s">
        <v>863</v>
      </c>
      <c r="R202" s="1703" t="s">
        <v>863</v>
      </c>
      <c r="S202" s="1705" t="s">
        <v>1179</v>
      </c>
      <c r="T202" s="1705" t="s">
        <v>109</v>
      </c>
      <c r="U202" s="1705" t="s">
        <v>109</v>
      </c>
      <c r="V202" s="1719" t="s">
        <v>109</v>
      </c>
      <c r="W202" s="1705">
        <v>0</v>
      </c>
      <c r="X202" s="1705" t="s">
        <v>109</v>
      </c>
      <c r="Y202" s="1705">
        <v>0</v>
      </c>
      <c r="Z202" s="1705" t="s">
        <v>109</v>
      </c>
      <c r="AA202" s="1705" t="s">
        <v>109</v>
      </c>
      <c r="AB202" s="1712" t="s">
        <v>109</v>
      </c>
      <c r="AC202" s="1712" t="s">
        <v>109</v>
      </c>
      <c r="AD202" s="1713" t="s">
        <v>109</v>
      </c>
      <c r="AE202" s="1712" t="s">
        <v>109</v>
      </c>
      <c r="AF202" s="1712" t="s">
        <v>109</v>
      </c>
      <c r="AG202" s="1713">
        <v>0</v>
      </c>
      <c r="AH202" s="1713" t="str">
        <f>IFERROR(TBL4_OptApp[[#This Row],[Total NPC (£m)]]/TBL4_OptApp[[#This Row],[Maximum option utilisation across the planning period (Ml/d)]],"N/A")</f>
        <v>N/A</v>
      </c>
      <c r="AI202" s="1713" t="s">
        <v>109</v>
      </c>
      <c r="AJ202" s="1703" t="s">
        <v>109</v>
      </c>
      <c r="AK202" s="1705" t="s">
        <v>109</v>
      </c>
      <c r="AL202" s="1705" t="s">
        <v>109</v>
      </c>
      <c r="AM202" s="1705" t="s">
        <v>109</v>
      </c>
      <c r="AN202" s="1705" t="s">
        <v>109</v>
      </c>
      <c r="AO202" s="1705" t="s">
        <v>109</v>
      </c>
      <c r="AP202" s="1705" t="s">
        <v>109</v>
      </c>
      <c r="AQ202" s="1705" t="s">
        <v>109</v>
      </c>
      <c r="AR202" s="1705" t="s">
        <v>109</v>
      </c>
      <c r="AS202" s="1705" t="s">
        <v>109</v>
      </c>
      <c r="AT202" s="1705" t="s">
        <v>109</v>
      </c>
      <c r="AU202" s="1705" t="s">
        <v>109</v>
      </c>
      <c r="AV202" s="1705" t="s">
        <v>109</v>
      </c>
      <c r="AW202" s="1705"/>
      <c r="AX202" s="1705"/>
      <c r="AY202" s="1705"/>
      <c r="AZ202" s="1705"/>
      <c r="BA202" s="1705"/>
    </row>
    <row r="203" spans="2:53" ht="71.25" x14ac:dyDescent="0.2">
      <c r="B203" s="17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203" s="1703" t="s">
        <v>1286</v>
      </c>
      <c r="D203" s="1707" t="s">
        <v>1287</v>
      </c>
      <c r="E203" s="1714" t="s">
        <v>987</v>
      </c>
      <c r="F203" s="1703" t="str">
        <f>VLOOKUP(TBL4_OptApp[[#This Row],[Option type
Defined List]],'Option Typs_Grps'!B$2:C$47, 2, FALSE)</f>
        <v>Customer Options</v>
      </c>
      <c r="G203" s="1703" t="s">
        <v>861</v>
      </c>
      <c r="H203" s="1703" t="s">
        <v>871</v>
      </c>
      <c r="I203" s="1703" t="s">
        <v>863</v>
      </c>
      <c r="J203" s="1703" t="s">
        <v>109</v>
      </c>
      <c r="K203" s="1703" t="s">
        <v>109</v>
      </c>
      <c r="L203" s="1703" t="s">
        <v>863</v>
      </c>
      <c r="M203" s="1703" t="s">
        <v>863</v>
      </c>
      <c r="N203" s="1703" t="s">
        <v>863</v>
      </c>
      <c r="O203" s="1703" t="s">
        <v>863</v>
      </c>
      <c r="P203" s="1703" t="s">
        <v>863</v>
      </c>
      <c r="Q203" s="1703" t="s">
        <v>863</v>
      </c>
      <c r="R203" s="1703" t="s">
        <v>863</v>
      </c>
      <c r="S203" s="1705" t="s">
        <v>1179</v>
      </c>
      <c r="T203" s="1705" t="s">
        <v>109</v>
      </c>
      <c r="U203" s="1705" t="s">
        <v>109</v>
      </c>
      <c r="V203" s="1719" t="s">
        <v>109</v>
      </c>
      <c r="W203" s="1705">
        <v>0</v>
      </c>
      <c r="X203" s="1705" t="s">
        <v>109</v>
      </c>
      <c r="Y203" s="1705">
        <v>0</v>
      </c>
      <c r="Z203" s="1705" t="s">
        <v>109</v>
      </c>
      <c r="AA203" s="1705" t="s">
        <v>109</v>
      </c>
      <c r="AB203" s="1712" t="s">
        <v>109</v>
      </c>
      <c r="AC203" s="1712" t="s">
        <v>109</v>
      </c>
      <c r="AD203" s="1713" t="s">
        <v>109</v>
      </c>
      <c r="AE203" s="1712" t="s">
        <v>109</v>
      </c>
      <c r="AF203" s="1712" t="s">
        <v>109</v>
      </c>
      <c r="AG203" s="1713">
        <v>0</v>
      </c>
      <c r="AH203" s="1713" t="str">
        <f>IFERROR(TBL4_OptApp[[#This Row],[Total NPC (£m)]]/TBL4_OptApp[[#This Row],[Maximum option utilisation across the planning period (Ml/d)]],"N/A")</f>
        <v>N/A</v>
      </c>
      <c r="AI203" s="1713" t="s">
        <v>109</v>
      </c>
      <c r="AJ203" s="1703" t="s">
        <v>109</v>
      </c>
      <c r="AK203" s="1705" t="s">
        <v>109</v>
      </c>
      <c r="AL203" s="1705" t="s">
        <v>109</v>
      </c>
      <c r="AM203" s="1705" t="s">
        <v>109</v>
      </c>
      <c r="AN203" s="1705" t="s">
        <v>109</v>
      </c>
      <c r="AO203" s="1705" t="s">
        <v>109</v>
      </c>
      <c r="AP203" s="1705" t="s">
        <v>109</v>
      </c>
      <c r="AQ203" s="1705" t="s">
        <v>109</v>
      </c>
      <c r="AR203" s="1705" t="s">
        <v>109</v>
      </c>
      <c r="AS203" s="1705" t="s">
        <v>109</v>
      </c>
      <c r="AT203" s="1705" t="s">
        <v>109</v>
      </c>
      <c r="AU203" s="1705" t="s">
        <v>109</v>
      </c>
      <c r="AV203" s="1705" t="s">
        <v>109</v>
      </c>
      <c r="AW203" s="1705"/>
      <c r="AX203" s="1705"/>
      <c r="AY203" s="1705"/>
      <c r="AZ203" s="1705"/>
      <c r="BA203" s="1705"/>
    </row>
    <row r="204" spans="2:53" ht="71.25" x14ac:dyDescent="0.2">
      <c r="B204" s="17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204" s="1703" t="s">
        <v>1288</v>
      </c>
      <c r="D204" s="1707" t="s">
        <v>1289</v>
      </c>
      <c r="E204" s="1714" t="s">
        <v>987</v>
      </c>
      <c r="F204" s="1703" t="str">
        <f>VLOOKUP(TBL4_OptApp[[#This Row],[Option type
Defined List]],'Option Typs_Grps'!B$2:C$47, 2, FALSE)</f>
        <v>Customer Options</v>
      </c>
      <c r="G204" s="1703" t="s">
        <v>861</v>
      </c>
      <c r="H204" s="1703" t="s">
        <v>871</v>
      </c>
      <c r="I204" s="1703" t="s">
        <v>863</v>
      </c>
      <c r="J204" s="1703" t="s">
        <v>109</v>
      </c>
      <c r="K204" s="1703" t="s">
        <v>109</v>
      </c>
      <c r="L204" s="1703" t="s">
        <v>863</v>
      </c>
      <c r="M204" s="1703" t="s">
        <v>863</v>
      </c>
      <c r="N204" s="1703" t="s">
        <v>863</v>
      </c>
      <c r="O204" s="1703" t="s">
        <v>863</v>
      </c>
      <c r="P204" s="1703" t="s">
        <v>863</v>
      </c>
      <c r="Q204" s="1703" t="s">
        <v>863</v>
      </c>
      <c r="R204" s="1703" t="s">
        <v>863</v>
      </c>
      <c r="S204" s="1705" t="s">
        <v>1179</v>
      </c>
      <c r="T204" s="1705" t="s">
        <v>109</v>
      </c>
      <c r="U204" s="1705" t="s">
        <v>109</v>
      </c>
      <c r="V204" s="1719" t="s">
        <v>109</v>
      </c>
      <c r="W204" s="1705">
        <v>0</v>
      </c>
      <c r="X204" s="1705" t="s">
        <v>109</v>
      </c>
      <c r="Y204" s="1705">
        <v>0</v>
      </c>
      <c r="Z204" s="1705" t="s">
        <v>109</v>
      </c>
      <c r="AA204" s="1705" t="s">
        <v>109</v>
      </c>
      <c r="AB204" s="1712" t="s">
        <v>109</v>
      </c>
      <c r="AC204" s="1712" t="s">
        <v>109</v>
      </c>
      <c r="AD204" s="1713" t="s">
        <v>109</v>
      </c>
      <c r="AE204" s="1712" t="s">
        <v>109</v>
      </c>
      <c r="AF204" s="1712" t="s">
        <v>109</v>
      </c>
      <c r="AG204" s="1713">
        <v>0</v>
      </c>
      <c r="AH204" s="1713" t="str">
        <f>IFERROR(TBL4_OptApp[[#This Row],[Total NPC (£m)]]/TBL4_OptApp[[#This Row],[Maximum option utilisation across the planning period (Ml/d)]],"N/A")</f>
        <v>N/A</v>
      </c>
      <c r="AI204" s="1713" t="s">
        <v>109</v>
      </c>
      <c r="AJ204" s="1703" t="s">
        <v>109</v>
      </c>
      <c r="AK204" s="1705" t="s">
        <v>109</v>
      </c>
      <c r="AL204" s="1705" t="s">
        <v>109</v>
      </c>
      <c r="AM204" s="1705" t="s">
        <v>109</v>
      </c>
      <c r="AN204" s="1705" t="s">
        <v>109</v>
      </c>
      <c r="AO204" s="1705" t="s">
        <v>109</v>
      </c>
      <c r="AP204" s="1705" t="s">
        <v>109</v>
      </c>
      <c r="AQ204" s="1705" t="s">
        <v>109</v>
      </c>
      <c r="AR204" s="1705" t="s">
        <v>109</v>
      </c>
      <c r="AS204" s="1705" t="s">
        <v>109</v>
      </c>
      <c r="AT204" s="1705" t="s">
        <v>109</v>
      </c>
      <c r="AU204" s="1705" t="s">
        <v>109</v>
      </c>
      <c r="AV204" s="1705" t="s">
        <v>109</v>
      </c>
      <c r="AW204" s="1705"/>
      <c r="AX204" s="1705"/>
      <c r="AY204" s="1705"/>
      <c r="AZ204" s="1705"/>
      <c r="BA204" s="1705"/>
    </row>
    <row r="205" spans="2:53" ht="71.25" x14ac:dyDescent="0.2">
      <c r="B205" s="17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205" s="1703" t="s">
        <v>1290</v>
      </c>
      <c r="D205" s="1707" t="s">
        <v>1291</v>
      </c>
      <c r="E205" s="1714" t="s">
        <v>987</v>
      </c>
      <c r="F205" s="1703" t="str">
        <f>VLOOKUP(TBL4_OptApp[[#This Row],[Option type
Defined List]],'Option Typs_Grps'!B$2:C$47, 2, FALSE)</f>
        <v>Customer Options</v>
      </c>
      <c r="G205" s="1703" t="s">
        <v>861</v>
      </c>
      <c r="H205" s="1703" t="s">
        <v>871</v>
      </c>
      <c r="I205" s="1703" t="s">
        <v>863</v>
      </c>
      <c r="J205" s="1703" t="s">
        <v>109</v>
      </c>
      <c r="K205" s="1703" t="s">
        <v>109</v>
      </c>
      <c r="L205" s="1703" t="s">
        <v>863</v>
      </c>
      <c r="M205" s="1703" t="s">
        <v>863</v>
      </c>
      <c r="N205" s="1703" t="s">
        <v>863</v>
      </c>
      <c r="O205" s="1703" t="s">
        <v>863</v>
      </c>
      <c r="P205" s="1703" t="s">
        <v>863</v>
      </c>
      <c r="Q205" s="1703" t="s">
        <v>863</v>
      </c>
      <c r="R205" s="1703" t="s">
        <v>863</v>
      </c>
      <c r="S205" s="1705" t="s">
        <v>1179</v>
      </c>
      <c r="T205" s="1705" t="s">
        <v>109</v>
      </c>
      <c r="U205" s="1705" t="s">
        <v>109</v>
      </c>
      <c r="V205" s="1719" t="s">
        <v>109</v>
      </c>
      <c r="W205" s="1705">
        <v>0</v>
      </c>
      <c r="X205" s="1705" t="s">
        <v>109</v>
      </c>
      <c r="Y205" s="1705">
        <v>0</v>
      </c>
      <c r="Z205" s="1705" t="s">
        <v>109</v>
      </c>
      <c r="AA205" s="1705" t="s">
        <v>109</v>
      </c>
      <c r="AB205" s="1712" t="s">
        <v>109</v>
      </c>
      <c r="AC205" s="1712" t="s">
        <v>109</v>
      </c>
      <c r="AD205" s="1713" t="s">
        <v>109</v>
      </c>
      <c r="AE205" s="1712" t="s">
        <v>109</v>
      </c>
      <c r="AF205" s="1712" t="s">
        <v>109</v>
      </c>
      <c r="AG205" s="1713">
        <v>0</v>
      </c>
      <c r="AH205" s="1713" t="str">
        <f>IFERROR(TBL4_OptApp[[#This Row],[Total NPC (£m)]]/TBL4_OptApp[[#This Row],[Maximum option utilisation across the planning period (Ml/d)]],"N/A")</f>
        <v>N/A</v>
      </c>
      <c r="AI205" s="1713" t="s">
        <v>109</v>
      </c>
      <c r="AJ205" s="1703" t="s">
        <v>109</v>
      </c>
      <c r="AK205" s="1705" t="s">
        <v>109</v>
      </c>
      <c r="AL205" s="1705" t="s">
        <v>109</v>
      </c>
      <c r="AM205" s="1705" t="s">
        <v>109</v>
      </c>
      <c r="AN205" s="1705" t="s">
        <v>109</v>
      </c>
      <c r="AO205" s="1705" t="s">
        <v>109</v>
      </c>
      <c r="AP205" s="1705" t="s">
        <v>109</v>
      </c>
      <c r="AQ205" s="1705" t="s">
        <v>109</v>
      </c>
      <c r="AR205" s="1705" t="s">
        <v>109</v>
      </c>
      <c r="AS205" s="1705" t="s">
        <v>109</v>
      </c>
      <c r="AT205" s="1705" t="s">
        <v>109</v>
      </c>
      <c r="AU205" s="1705" t="s">
        <v>109</v>
      </c>
      <c r="AV205" s="1705" t="s">
        <v>109</v>
      </c>
      <c r="AW205" s="1705"/>
      <c r="AX205" s="1705"/>
      <c r="AY205" s="1705"/>
      <c r="AZ205" s="1705"/>
      <c r="BA205" s="1705"/>
    </row>
    <row r="206" spans="2:53" ht="71.25" x14ac:dyDescent="0.2">
      <c r="B206" s="17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206" s="1703" t="s">
        <v>1292</v>
      </c>
      <c r="D206" s="1707" t="s">
        <v>1293</v>
      </c>
      <c r="E206" s="1714" t="s">
        <v>987</v>
      </c>
      <c r="F206" s="1703" t="str">
        <f>VLOOKUP(TBL4_OptApp[[#This Row],[Option type
Defined List]],'Option Typs_Grps'!B$2:C$47, 2, FALSE)</f>
        <v>Customer Options</v>
      </c>
      <c r="G206" s="1703" t="s">
        <v>861</v>
      </c>
      <c r="H206" s="1703" t="s">
        <v>871</v>
      </c>
      <c r="I206" s="1703" t="s">
        <v>863</v>
      </c>
      <c r="J206" s="1703" t="s">
        <v>109</v>
      </c>
      <c r="K206" s="1703" t="s">
        <v>109</v>
      </c>
      <c r="L206" s="1703" t="s">
        <v>863</v>
      </c>
      <c r="M206" s="1703" t="s">
        <v>863</v>
      </c>
      <c r="N206" s="1703" t="s">
        <v>863</v>
      </c>
      <c r="O206" s="1703" t="s">
        <v>863</v>
      </c>
      <c r="P206" s="1703" t="s">
        <v>863</v>
      </c>
      <c r="Q206" s="1703" t="s">
        <v>863</v>
      </c>
      <c r="R206" s="1703" t="s">
        <v>863</v>
      </c>
      <c r="S206" s="1705" t="s">
        <v>1179</v>
      </c>
      <c r="T206" s="1705" t="s">
        <v>109</v>
      </c>
      <c r="U206" s="1705" t="s">
        <v>109</v>
      </c>
      <c r="V206" s="1719" t="s">
        <v>109</v>
      </c>
      <c r="W206" s="1705">
        <v>0</v>
      </c>
      <c r="X206" s="1705" t="s">
        <v>109</v>
      </c>
      <c r="Y206" s="1705">
        <v>0</v>
      </c>
      <c r="Z206" s="1705" t="s">
        <v>109</v>
      </c>
      <c r="AA206" s="1705" t="s">
        <v>109</v>
      </c>
      <c r="AB206" s="1712" t="s">
        <v>109</v>
      </c>
      <c r="AC206" s="1712" t="s">
        <v>109</v>
      </c>
      <c r="AD206" s="1713" t="s">
        <v>109</v>
      </c>
      <c r="AE206" s="1712" t="s">
        <v>109</v>
      </c>
      <c r="AF206" s="1712" t="s">
        <v>109</v>
      </c>
      <c r="AG206" s="1713">
        <v>0</v>
      </c>
      <c r="AH206" s="1713" t="str">
        <f>IFERROR(TBL4_OptApp[[#This Row],[Total NPC (£m)]]/TBL4_OptApp[[#This Row],[Maximum option utilisation across the planning period (Ml/d)]],"N/A")</f>
        <v>N/A</v>
      </c>
      <c r="AI206" s="1713" t="s">
        <v>109</v>
      </c>
      <c r="AJ206" s="1703" t="s">
        <v>109</v>
      </c>
      <c r="AK206" s="1705" t="s">
        <v>109</v>
      </c>
      <c r="AL206" s="1705" t="s">
        <v>109</v>
      </c>
      <c r="AM206" s="1705" t="s">
        <v>109</v>
      </c>
      <c r="AN206" s="1705" t="s">
        <v>109</v>
      </c>
      <c r="AO206" s="1705" t="s">
        <v>109</v>
      </c>
      <c r="AP206" s="1705" t="s">
        <v>109</v>
      </c>
      <c r="AQ206" s="1705" t="s">
        <v>109</v>
      </c>
      <c r="AR206" s="1705" t="s">
        <v>109</v>
      </c>
      <c r="AS206" s="1705" t="s">
        <v>109</v>
      </c>
      <c r="AT206" s="1705" t="s">
        <v>109</v>
      </c>
      <c r="AU206" s="1705" t="s">
        <v>109</v>
      </c>
      <c r="AV206" s="1705" t="s">
        <v>109</v>
      </c>
      <c r="AW206" s="1705"/>
      <c r="AX206" s="1705"/>
      <c r="AY206" s="1705"/>
      <c r="AZ206" s="1705"/>
      <c r="BA206" s="1705"/>
    </row>
    <row r="207" spans="2:53" ht="71.25" x14ac:dyDescent="0.2">
      <c r="B207" s="17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207" s="1703" t="s">
        <v>1294</v>
      </c>
      <c r="D207" s="1707" t="s">
        <v>1295</v>
      </c>
      <c r="E207" s="1714" t="s">
        <v>987</v>
      </c>
      <c r="F207" s="1703" t="str">
        <f>VLOOKUP(TBL4_OptApp[[#This Row],[Option type
Defined List]],'Option Typs_Grps'!B$2:C$47, 2, FALSE)</f>
        <v>Customer Options</v>
      </c>
      <c r="G207" s="1703" t="s">
        <v>861</v>
      </c>
      <c r="H207" s="1703" t="s">
        <v>871</v>
      </c>
      <c r="I207" s="1703" t="s">
        <v>863</v>
      </c>
      <c r="J207" s="1703" t="s">
        <v>109</v>
      </c>
      <c r="K207" s="1703" t="s">
        <v>109</v>
      </c>
      <c r="L207" s="1703" t="s">
        <v>863</v>
      </c>
      <c r="M207" s="1703" t="s">
        <v>863</v>
      </c>
      <c r="N207" s="1703" t="s">
        <v>863</v>
      </c>
      <c r="O207" s="1703" t="s">
        <v>863</v>
      </c>
      <c r="P207" s="1703" t="s">
        <v>863</v>
      </c>
      <c r="Q207" s="1703" t="s">
        <v>863</v>
      </c>
      <c r="R207" s="1703" t="s">
        <v>863</v>
      </c>
      <c r="S207" s="1705" t="s">
        <v>1179</v>
      </c>
      <c r="T207" s="1705" t="s">
        <v>109</v>
      </c>
      <c r="U207" s="1705" t="s">
        <v>109</v>
      </c>
      <c r="V207" s="1719" t="s">
        <v>109</v>
      </c>
      <c r="W207" s="1705">
        <v>0</v>
      </c>
      <c r="X207" s="1705" t="s">
        <v>109</v>
      </c>
      <c r="Y207" s="1705">
        <v>0</v>
      </c>
      <c r="Z207" s="1705" t="s">
        <v>109</v>
      </c>
      <c r="AA207" s="1705" t="s">
        <v>109</v>
      </c>
      <c r="AB207" s="1712" t="s">
        <v>109</v>
      </c>
      <c r="AC207" s="1712" t="s">
        <v>109</v>
      </c>
      <c r="AD207" s="1713" t="s">
        <v>109</v>
      </c>
      <c r="AE207" s="1712" t="s">
        <v>109</v>
      </c>
      <c r="AF207" s="1712" t="s">
        <v>109</v>
      </c>
      <c r="AG207" s="1713">
        <v>0</v>
      </c>
      <c r="AH207" s="1713" t="str">
        <f>IFERROR(TBL4_OptApp[[#This Row],[Total NPC (£m)]]/TBL4_OptApp[[#This Row],[Maximum option utilisation across the planning period (Ml/d)]],"N/A")</f>
        <v>N/A</v>
      </c>
      <c r="AI207" s="1713" t="s">
        <v>109</v>
      </c>
      <c r="AJ207" s="1703" t="s">
        <v>109</v>
      </c>
      <c r="AK207" s="1705" t="s">
        <v>109</v>
      </c>
      <c r="AL207" s="1705" t="s">
        <v>109</v>
      </c>
      <c r="AM207" s="1705" t="s">
        <v>109</v>
      </c>
      <c r="AN207" s="1705" t="s">
        <v>109</v>
      </c>
      <c r="AO207" s="1705" t="s">
        <v>109</v>
      </c>
      <c r="AP207" s="1705" t="s">
        <v>109</v>
      </c>
      <c r="AQ207" s="1705" t="s">
        <v>109</v>
      </c>
      <c r="AR207" s="1705" t="s">
        <v>109</v>
      </c>
      <c r="AS207" s="1705" t="s">
        <v>109</v>
      </c>
      <c r="AT207" s="1705" t="s">
        <v>109</v>
      </c>
      <c r="AU207" s="1705" t="s">
        <v>109</v>
      </c>
      <c r="AV207" s="1705" t="s">
        <v>109</v>
      </c>
      <c r="AW207" s="1705"/>
      <c r="AX207" s="1705"/>
      <c r="AY207" s="1705"/>
      <c r="AZ207" s="1705"/>
      <c r="BA207" s="1705"/>
    </row>
    <row r="208" spans="2:53" ht="71.25" x14ac:dyDescent="0.2">
      <c r="B208" s="17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208" s="1703" t="s">
        <v>1296</v>
      </c>
      <c r="D208" s="1707" t="s">
        <v>1297</v>
      </c>
      <c r="E208" s="1714" t="s">
        <v>1006</v>
      </c>
      <c r="F208" s="1703" t="str">
        <f>VLOOKUP(TBL4_OptApp[[#This Row],[Option type
Defined List]],'Option Typs_Grps'!B$2:C$47, 2, FALSE)</f>
        <v>Customer Options</v>
      </c>
      <c r="G208" s="1703" t="s">
        <v>861</v>
      </c>
      <c r="H208" s="1703" t="s">
        <v>871</v>
      </c>
      <c r="I208" s="1703" t="s">
        <v>863</v>
      </c>
      <c r="J208" s="1703" t="s">
        <v>109</v>
      </c>
      <c r="K208" s="1703" t="s">
        <v>109</v>
      </c>
      <c r="L208" s="1703" t="s">
        <v>863</v>
      </c>
      <c r="M208" s="1703" t="s">
        <v>863</v>
      </c>
      <c r="N208" s="1703" t="s">
        <v>863</v>
      </c>
      <c r="O208" s="1703" t="s">
        <v>863</v>
      </c>
      <c r="P208" s="1703" t="s">
        <v>863</v>
      </c>
      <c r="Q208" s="1703" t="s">
        <v>863</v>
      </c>
      <c r="R208" s="1703" t="s">
        <v>863</v>
      </c>
      <c r="S208" s="1705" t="s">
        <v>1179</v>
      </c>
      <c r="T208" s="1705" t="s">
        <v>109</v>
      </c>
      <c r="U208" s="1705" t="s">
        <v>109</v>
      </c>
      <c r="V208" s="1719" t="s">
        <v>109</v>
      </c>
      <c r="W208" s="1705">
        <v>0</v>
      </c>
      <c r="X208" s="1705" t="s">
        <v>109</v>
      </c>
      <c r="Y208" s="1705">
        <v>0</v>
      </c>
      <c r="Z208" s="1705" t="s">
        <v>109</v>
      </c>
      <c r="AA208" s="1705" t="s">
        <v>109</v>
      </c>
      <c r="AB208" s="1712" t="s">
        <v>109</v>
      </c>
      <c r="AC208" s="1712" t="s">
        <v>109</v>
      </c>
      <c r="AD208" s="1713" t="s">
        <v>109</v>
      </c>
      <c r="AE208" s="1712" t="s">
        <v>109</v>
      </c>
      <c r="AF208" s="1712" t="s">
        <v>109</v>
      </c>
      <c r="AG208" s="1713">
        <v>0</v>
      </c>
      <c r="AH208" s="1713" t="str">
        <f>IFERROR(TBL4_OptApp[[#This Row],[Total NPC (£m)]]/TBL4_OptApp[[#This Row],[Maximum option utilisation across the planning period (Ml/d)]],"N/A")</f>
        <v>N/A</v>
      </c>
      <c r="AI208" s="1713" t="s">
        <v>109</v>
      </c>
      <c r="AJ208" s="1703" t="s">
        <v>109</v>
      </c>
      <c r="AK208" s="1705" t="s">
        <v>109</v>
      </c>
      <c r="AL208" s="1705" t="s">
        <v>109</v>
      </c>
      <c r="AM208" s="1705" t="s">
        <v>109</v>
      </c>
      <c r="AN208" s="1705" t="s">
        <v>109</v>
      </c>
      <c r="AO208" s="1705" t="s">
        <v>109</v>
      </c>
      <c r="AP208" s="1705" t="s">
        <v>109</v>
      </c>
      <c r="AQ208" s="1705" t="s">
        <v>109</v>
      </c>
      <c r="AR208" s="1705" t="s">
        <v>109</v>
      </c>
      <c r="AS208" s="1705" t="s">
        <v>109</v>
      </c>
      <c r="AT208" s="1705" t="s">
        <v>109</v>
      </c>
      <c r="AU208" s="1705" t="s">
        <v>109</v>
      </c>
      <c r="AV208" s="1705" t="s">
        <v>109</v>
      </c>
      <c r="AW208" s="1705"/>
      <c r="AX208" s="1705"/>
      <c r="AY208" s="1705"/>
      <c r="AZ208" s="1705"/>
      <c r="BA208" s="1705"/>
    </row>
    <row r="209" spans="2:53" ht="57" x14ac:dyDescent="0.2">
      <c r="B209" s="17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209" s="1703" t="s">
        <v>1298</v>
      </c>
      <c r="D209" s="1707" t="s">
        <v>1299</v>
      </c>
      <c r="E209" s="1714" t="s">
        <v>987</v>
      </c>
      <c r="F209" s="1703" t="str">
        <f>VLOOKUP(TBL4_OptApp[[#This Row],[Option type
Defined List]],'Option Typs_Grps'!B$2:C$47, 2, FALSE)</f>
        <v>Customer Options</v>
      </c>
      <c r="G209" s="1703" t="s">
        <v>861</v>
      </c>
      <c r="H209" s="1703" t="s">
        <v>871</v>
      </c>
      <c r="I209" s="1703" t="s">
        <v>863</v>
      </c>
      <c r="J209" s="1703" t="s">
        <v>109</v>
      </c>
      <c r="K209" s="1703" t="s">
        <v>109</v>
      </c>
      <c r="L209" s="1703" t="s">
        <v>863</v>
      </c>
      <c r="M209" s="1703" t="s">
        <v>863</v>
      </c>
      <c r="N209" s="1703" t="s">
        <v>863</v>
      </c>
      <c r="O209" s="1703" t="s">
        <v>863</v>
      </c>
      <c r="P209" s="1703" t="s">
        <v>863</v>
      </c>
      <c r="Q209" s="1703" t="s">
        <v>863</v>
      </c>
      <c r="R209" s="1703" t="s">
        <v>863</v>
      </c>
      <c r="S209" s="1705" t="s">
        <v>1300</v>
      </c>
      <c r="T209" s="1705" t="s">
        <v>109</v>
      </c>
      <c r="U209" s="1705" t="s">
        <v>109</v>
      </c>
      <c r="V209" s="1719" t="s">
        <v>109</v>
      </c>
      <c r="W209" s="1705">
        <v>0</v>
      </c>
      <c r="X209" s="1705" t="s">
        <v>109</v>
      </c>
      <c r="Y209" s="1705">
        <v>0</v>
      </c>
      <c r="Z209" s="1705" t="s">
        <v>109</v>
      </c>
      <c r="AA209" s="1705" t="s">
        <v>109</v>
      </c>
      <c r="AB209" s="1712" t="s">
        <v>109</v>
      </c>
      <c r="AC209" s="1712" t="s">
        <v>109</v>
      </c>
      <c r="AD209" s="1713" t="s">
        <v>109</v>
      </c>
      <c r="AE209" s="1712" t="s">
        <v>109</v>
      </c>
      <c r="AF209" s="1712" t="s">
        <v>109</v>
      </c>
      <c r="AG209" s="1713">
        <v>0</v>
      </c>
      <c r="AH209" s="1713" t="str">
        <f>IFERROR(TBL4_OptApp[[#This Row],[Total NPC (£m)]]/TBL4_OptApp[[#This Row],[Maximum option utilisation across the planning period (Ml/d)]],"N/A")</f>
        <v>N/A</v>
      </c>
      <c r="AI209" s="1713" t="s">
        <v>109</v>
      </c>
      <c r="AJ209" s="1703" t="s">
        <v>109</v>
      </c>
      <c r="AK209" s="1705" t="s">
        <v>109</v>
      </c>
      <c r="AL209" s="1705" t="s">
        <v>109</v>
      </c>
      <c r="AM209" s="1705" t="s">
        <v>109</v>
      </c>
      <c r="AN209" s="1705" t="s">
        <v>109</v>
      </c>
      <c r="AO209" s="1705" t="s">
        <v>109</v>
      </c>
      <c r="AP209" s="1705" t="s">
        <v>109</v>
      </c>
      <c r="AQ209" s="1705" t="s">
        <v>109</v>
      </c>
      <c r="AR209" s="1705" t="s">
        <v>109</v>
      </c>
      <c r="AS209" s="1705" t="s">
        <v>109</v>
      </c>
      <c r="AT209" s="1705" t="s">
        <v>109</v>
      </c>
      <c r="AU209" s="1705" t="s">
        <v>109</v>
      </c>
      <c r="AV209" s="1705" t="s">
        <v>109</v>
      </c>
      <c r="AW209" s="1705"/>
      <c r="AX209" s="1705"/>
      <c r="AY209" s="1705"/>
      <c r="AZ209" s="1705"/>
      <c r="BA209" s="1705"/>
    </row>
    <row r="210" spans="2:53" ht="57" x14ac:dyDescent="0.2">
      <c r="B210" s="17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210" s="1703" t="s">
        <v>1301</v>
      </c>
      <c r="D210" s="1707" t="s">
        <v>1302</v>
      </c>
      <c r="E210" s="1714" t="s">
        <v>987</v>
      </c>
      <c r="F210" s="1703" t="str">
        <f>VLOOKUP(TBL4_OptApp[[#This Row],[Option type
Defined List]],'Option Typs_Grps'!B$2:C$47, 2, FALSE)</f>
        <v>Customer Options</v>
      </c>
      <c r="G210" s="1703" t="s">
        <v>861</v>
      </c>
      <c r="H210" s="1703" t="s">
        <v>871</v>
      </c>
      <c r="I210" s="1703" t="s">
        <v>863</v>
      </c>
      <c r="J210" s="1703" t="s">
        <v>109</v>
      </c>
      <c r="K210" s="1703" t="s">
        <v>109</v>
      </c>
      <c r="L210" s="1703" t="s">
        <v>863</v>
      </c>
      <c r="M210" s="1703" t="s">
        <v>863</v>
      </c>
      <c r="N210" s="1703" t="s">
        <v>863</v>
      </c>
      <c r="O210" s="1703" t="s">
        <v>863</v>
      </c>
      <c r="P210" s="1703" t="s">
        <v>863</v>
      </c>
      <c r="Q210" s="1703" t="s">
        <v>863</v>
      </c>
      <c r="R210" s="1703" t="s">
        <v>863</v>
      </c>
      <c r="S210" s="1705" t="s">
        <v>1300</v>
      </c>
      <c r="T210" s="1705" t="s">
        <v>109</v>
      </c>
      <c r="U210" s="1705" t="s">
        <v>109</v>
      </c>
      <c r="V210" s="1719" t="s">
        <v>109</v>
      </c>
      <c r="W210" s="1705">
        <v>0</v>
      </c>
      <c r="X210" s="1705" t="s">
        <v>109</v>
      </c>
      <c r="Y210" s="1705">
        <v>0</v>
      </c>
      <c r="Z210" s="1705" t="s">
        <v>109</v>
      </c>
      <c r="AA210" s="1705" t="s">
        <v>109</v>
      </c>
      <c r="AB210" s="1712" t="s">
        <v>109</v>
      </c>
      <c r="AC210" s="1712" t="s">
        <v>109</v>
      </c>
      <c r="AD210" s="1713" t="s">
        <v>109</v>
      </c>
      <c r="AE210" s="1712" t="s">
        <v>109</v>
      </c>
      <c r="AF210" s="1712" t="s">
        <v>109</v>
      </c>
      <c r="AG210" s="1713">
        <v>0</v>
      </c>
      <c r="AH210" s="1713" t="str">
        <f>IFERROR(TBL4_OptApp[[#This Row],[Total NPC (£m)]]/TBL4_OptApp[[#This Row],[Maximum option utilisation across the planning period (Ml/d)]],"N/A")</f>
        <v>N/A</v>
      </c>
      <c r="AI210" s="1713" t="s">
        <v>109</v>
      </c>
      <c r="AJ210" s="1703" t="s">
        <v>109</v>
      </c>
      <c r="AK210" s="1705" t="s">
        <v>109</v>
      </c>
      <c r="AL210" s="1705" t="s">
        <v>109</v>
      </c>
      <c r="AM210" s="1705" t="s">
        <v>109</v>
      </c>
      <c r="AN210" s="1705" t="s">
        <v>109</v>
      </c>
      <c r="AO210" s="1705" t="s">
        <v>109</v>
      </c>
      <c r="AP210" s="1705" t="s">
        <v>109</v>
      </c>
      <c r="AQ210" s="1705" t="s">
        <v>109</v>
      </c>
      <c r="AR210" s="1705" t="s">
        <v>109</v>
      </c>
      <c r="AS210" s="1705" t="s">
        <v>109</v>
      </c>
      <c r="AT210" s="1705" t="s">
        <v>109</v>
      </c>
      <c r="AU210" s="1705" t="s">
        <v>109</v>
      </c>
      <c r="AV210" s="1705" t="s">
        <v>109</v>
      </c>
      <c r="AW210" s="1705"/>
      <c r="AX210" s="1705"/>
      <c r="AY210" s="1705"/>
      <c r="AZ210" s="1705"/>
      <c r="BA210" s="1705"/>
    </row>
    <row r="211" spans="2:53" ht="57" x14ac:dyDescent="0.2">
      <c r="B211" s="17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211" s="1703" t="s">
        <v>1303</v>
      </c>
      <c r="D211" s="1707" t="s">
        <v>1304</v>
      </c>
      <c r="E211" s="1714" t="s">
        <v>987</v>
      </c>
      <c r="F211" s="1703" t="str">
        <f>VLOOKUP(TBL4_OptApp[[#This Row],[Option type
Defined List]],'Option Typs_Grps'!B$2:C$47, 2, FALSE)</f>
        <v>Customer Options</v>
      </c>
      <c r="G211" s="1703" t="s">
        <v>861</v>
      </c>
      <c r="H211" s="1703" t="s">
        <v>871</v>
      </c>
      <c r="I211" s="1703" t="s">
        <v>863</v>
      </c>
      <c r="J211" s="1703" t="s">
        <v>109</v>
      </c>
      <c r="K211" s="1703" t="s">
        <v>109</v>
      </c>
      <c r="L211" s="1703" t="s">
        <v>863</v>
      </c>
      <c r="M211" s="1703" t="s">
        <v>863</v>
      </c>
      <c r="N211" s="1703" t="s">
        <v>863</v>
      </c>
      <c r="O211" s="1703" t="s">
        <v>863</v>
      </c>
      <c r="P211" s="1703" t="s">
        <v>863</v>
      </c>
      <c r="Q211" s="1703" t="s">
        <v>863</v>
      </c>
      <c r="R211" s="1703" t="s">
        <v>863</v>
      </c>
      <c r="S211" s="1705" t="s">
        <v>1300</v>
      </c>
      <c r="T211" s="1705" t="s">
        <v>109</v>
      </c>
      <c r="U211" s="1705" t="s">
        <v>109</v>
      </c>
      <c r="V211" s="1719" t="s">
        <v>109</v>
      </c>
      <c r="W211" s="1705">
        <v>0</v>
      </c>
      <c r="X211" s="1705" t="s">
        <v>109</v>
      </c>
      <c r="Y211" s="1705">
        <v>0</v>
      </c>
      <c r="Z211" s="1705" t="s">
        <v>109</v>
      </c>
      <c r="AA211" s="1705" t="s">
        <v>109</v>
      </c>
      <c r="AB211" s="1712" t="s">
        <v>109</v>
      </c>
      <c r="AC211" s="1712" t="s">
        <v>109</v>
      </c>
      <c r="AD211" s="1713" t="s">
        <v>109</v>
      </c>
      <c r="AE211" s="1712" t="s">
        <v>109</v>
      </c>
      <c r="AF211" s="1712" t="s">
        <v>109</v>
      </c>
      <c r="AG211" s="1713">
        <v>0</v>
      </c>
      <c r="AH211" s="1713" t="str">
        <f>IFERROR(TBL4_OptApp[[#This Row],[Total NPC (£m)]]/TBL4_OptApp[[#This Row],[Maximum option utilisation across the planning period (Ml/d)]],"N/A")</f>
        <v>N/A</v>
      </c>
      <c r="AI211" s="1713" t="s">
        <v>109</v>
      </c>
      <c r="AJ211" s="1703" t="s">
        <v>109</v>
      </c>
      <c r="AK211" s="1705" t="s">
        <v>109</v>
      </c>
      <c r="AL211" s="1705" t="s">
        <v>109</v>
      </c>
      <c r="AM211" s="1705" t="s">
        <v>109</v>
      </c>
      <c r="AN211" s="1705" t="s">
        <v>109</v>
      </c>
      <c r="AO211" s="1705" t="s">
        <v>109</v>
      </c>
      <c r="AP211" s="1705" t="s">
        <v>109</v>
      </c>
      <c r="AQ211" s="1705" t="s">
        <v>109</v>
      </c>
      <c r="AR211" s="1705" t="s">
        <v>109</v>
      </c>
      <c r="AS211" s="1705" t="s">
        <v>109</v>
      </c>
      <c r="AT211" s="1705" t="s">
        <v>109</v>
      </c>
      <c r="AU211" s="1705" t="s">
        <v>109</v>
      </c>
      <c r="AV211" s="1705" t="s">
        <v>109</v>
      </c>
      <c r="AW211" s="1705"/>
      <c r="AX211" s="1705"/>
      <c r="AY211" s="1705"/>
      <c r="AZ211" s="1705"/>
      <c r="BA211" s="1705"/>
    </row>
    <row r="212" spans="2:53" ht="57" x14ac:dyDescent="0.2">
      <c r="B212" s="17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212" s="1703" t="s">
        <v>1305</v>
      </c>
      <c r="D212" s="1707" t="s">
        <v>1306</v>
      </c>
      <c r="E212" s="1714" t="s">
        <v>987</v>
      </c>
      <c r="F212" s="1703" t="str">
        <f>VLOOKUP(TBL4_OptApp[[#This Row],[Option type
Defined List]],'Option Typs_Grps'!B$2:C$47, 2, FALSE)</f>
        <v>Customer Options</v>
      </c>
      <c r="G212" s="1703" t="s">
        <v>861</v>
      </c>
      <c r="H212" s="1703" t="s">
        <v>871</v>
      </c>
      <c r="I212" s="1703" t="s">
        <v>863</v>
      </c>
      <c r="J212" s="1703" t="s">
        <v>109</v>
      </c>
      <c r="K212" s="1703" t="s">
        <v>109</v>
      </c>
      <c r="L212" s="1703" t="s">
        <v>863</v>
      </c>
      <c r="M212" s="1703" t="s">
        <v>863</v>
      </c>
      <c r="N212" s="1703" t="s">
        <v>863</v>
      </c>
      <c r="O212" s="1703" t="s">
        <v>863</v>
      </c>
      <c r="P212" s="1703" t="s">
        <v>863</v>
      </c>
      <c r="Q212" s="1703" t="s">
        <v>863</v>
      </c>
      <c r="R212" s="1703" t="s">
        <v>863</v>
      </c>
      <c r="S212" s="1705" t="s">
        <v>1300</v>
      </c>
      <c r="T212" s="1705" t="s">
        <v>109</v>
      </c>
      <c r="U212" s="1705" t="s">
        <v>109</v>
      </c>
      <c r="V212" s="1719" t="s">
        <v>109</v>
      </c>
      <c r="W212" s="1705">
        <v>0</v>
      </c>
      <c r="X212" s="1705" t="s">
        <v>109</v>
      </c>
      <c r="Y212" s="1705">
        <v>0</v>
      </c>
      <c r="Z212" s="1705" t="s">
        <v>109</v>
      </c>
      <c r="AA212" s="1705" t="s">
        <v>109</v>
      </c>
      <c r="AB212" s="1712" t="s">
        <v>109</v>
      </c>
      <c r="AC212" s="1712" t="s">
        <v>109</v>
      </c>
      <c r="AD212" s="1713" t="s">
        <v>109</v>
      </c>
      <c r="AE212" s="1712" t="s">
        <v>109</v>
      </c>
      <c r="AF212" s="1712" t="s">
        <v>109</v>
      </c>
      <c r="AG212" s="1713">
        <v>0</v>
      </c>
      <c r="AH212" s="1713" t="str">
        <f>IFERROR(TBL4_OptApp[[#This Row],[Total NPC (£m)]]/TBL4_OptApp[[#This Row],[Maximum option utilisation across the planning period (Ml/d)]],"N/A")</f>
        <v>N/A</v>
      </c>
      <c r="AI212" s="1713" t="s">
        <v>109</v>
      </c>
      <c r="AJ212" s="1703" t="s">
        <v>109</v>
      </c>
      <c r="AK212" s="1705" t="s">
        <v>109</v>
      </c>
      <c r="AL212" s="1705" t="s">
        <v>109</v>
      </c>
      <c r="AM212" s="1705" t="s">
        <v>109</v>
      </c>
      <c r="AN212" s="1705" t="s">
        <v>109</v>
      </c>
      <c r="AO212" s="1705" t="s">
        <v>109</v>
      </c>
      <c r="AP212" s="1705" t="s">
        <v>109</v>
      </c>
      <c r="AQ212" s="1705" t="s">
        <v>109</v>
      </c>
      <c r="AR212" s="1705" t="s">
        <v>109</v>
      </c>
      <c r="AS212" s="1705" t="s">
        <v>109</v>
      </c>
      <c r="AT212" s="1705" t="s">
        <v>109</v>
      </c>
      <c r="AU212" s="1705" t="s">
        <v>109</v>
      </c>
      <c r="AV212" s="1705" t="s">
        <v>109</v>
      </c>
      <c r="AW212" s="1705"/>
      <c r="AX212" s="1705"/>
      <c r="AY212" s="1705"/>
      <c r="AZ212" s="1705"/>
      <c r="BA212" s="1705"/>
    </row>
    <row r="213" spans="2:53" ht="57" x14ac:dyDescent="0.2">
      <c r="B213" s="17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213" s="1703" t="s">
        <v>1307</v>
      </c>
      <c r="D213" s="1707" t="s">
        <v>1308</v>
      </c>
      <c r="E213" s="1714" t="s">
        <v>987</v>
      </c>
      <c r="F213" s="1703" t="str">
        <f>VLOOKUP(TBL4_OptApp[[#This Row],[Option type
Defined List]],'Option Typs_Grps'!B$2:C$47, 2, FALSE)</f>
        <v>Customer Options</v>
      </c>
      <c r="G213" s="1703" t="s">
        <v>861</v>
      </c>
      <c r="H213" s="1703" t="s">
        <v>871</v>
      </c>
      <c r="I213" s="1703" t="s">
        <v>863</v>
      </c>
      <c r="J213" s="1703" t="s">
        <v>109</v>
      </c>
      <c r="K213" s="1703" t="s">
        <v>109</v>
      </c>
      <c r="L213" s="1703" t="s">
        <v>863</v>
      </c>
      <c r="M213" s="1703" t="s">
        <v>863</v>
      </c>
      <c r="N213" s="1703" t="s">
        <v>863</v>
      </c>
      <c r="O213" s="1703" t="s">
        <v>863</v>
      </c>
      <c r="P213" s="1703" t="s">
        <v>863</v>
      </c>
      <c r="Q213" s="1703" t="s">
        <v>863</v>
      </c>
      <c r="R213" s="1703" t="s">
        <v>863</v>
      </c>
      <c r="S213" s="1705" t="s">
        <v>1300</v>
      </c>
      <c r="T213" s="1705" t="s">
        <v>109</v>
      </c>
      <c r="U213" s="1705" t="s">
        <v>109</v>
      </c>
      <c r="V213" s="1719" t="s">
        <v>109</v>
      </c>
      <c r="W213" s="1705">
        <v>0</v>
      </c>
      <c r="X213" s="1705" t="s">
        <v>109</v>
      </c>
      <c r="Y213" s="1705">
        <v>0</v>
      </c>
      <c r="Z213" s="1705" t="s">
        <v>109</v>
      </c>
      <c r="AA213" s="1705" t="s">
        <v>109</v>
      </c>
      <c r="AB213" s="1712" t="s">
        <v>109</v>
      </c>
      <c r="AC213" s="1712" t="s">
        <v>109</v>
      </c>
      <c r="AD213" s="1713" t="s">
        <v>109</v>
      </c>
      <c r="AE213" s="1712" t="s">
        <v>109</v>
      </c>
      <c r="AF213" s="1712" t="s">
        <v>109</v>
      </c>
      <c r="AG213" s="1713">
        <v>0</v>
      </c>
      <c r="AH213" s="1713" t="str">
        <f>IFERROR(TBL4_OptApp[[#This Row],[Total NPC (£m)]]/TBL4_OptApp[[#This Row],[Maximum option utilisation across the planning period (Ml/d)]],"N/A")</f>
        <v>N/A</v>
      </c>
      <c r="AI213" s="1713" t="s">
        <v>109</v>
      </c>
      <c r="AJ213" s="1703" t="s">
        <v>109</v>
      </c>
      <c r="AK213" s="1705" t="s">
        <v>109</v>
      </c>
      <c r="AL213" s="1705" t="s">
        <v>109</v>
      </c>
      <c r="AM213" s="1705" t="s">
        <v>109</v>
      </c>
      <c r="AN213" s="1705" t="s">
        <v>109</v>
      </c>
      <c r="AO213" s="1705" t="s">
        <v>109</v>
      </c>
      <c r="AP213" s="1705" t="s">
        <v>109</v>
      </c>
      <c r="AQ213" s="1705" t="s">
        <v>109</v>
      </c>
      <c r="AR213" s="1705" t="s">
        <v>109</v>
      </c>
      <c r="AS213" s="1705" t="s">
        <v>109</v>
      </c>
      <c r="AT213" s="1705" t="s">
        <v>109</v>
      </c>
      <c r="AU213" s="1705" t="s">
        <v>109</v>
      </c>
      <c r="AV213" s="1705" t="s">
        <v>109</v>
      </c>
      <c r="AW213" s="1705"/>
      <c r="AX213" s="1705"/>
      <c r="AY213" s="1705"/>
      <c r="AZ213" s="1705"/>
      <c r="BA213" s="1705"/>
    </row>
    <row r="214" spans="2:53" ht="57" x14ac:dyDescent="0.2">
      <c r="B214" s="17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214" s="1703" t="s">
        <v>1309</v>
      </c>
      <c r="D214" s="1707" t="s">
        <v>1310</v>
      </c>
      <c r="E214" s="1714" t="s">
        <v>987</v>
      </c>
      <c r="F214" s="1703" t="str">
        <f>VLOOKUP(TBL4_OptApp[[#This Row],[Option type
Defined List]],'Option Typs_Grps'!B$2:C$47, 2, FALSE)</f>
        <v>Customer Options</v>
      </c>
      <c r="G214" s="1703" t="s">
        <v>861</v>
      </c>
      <c r="H214" s="1703" t="s">
        <v>871</v>
      </c>
      <c r="I214" s="1703" t="s">
        <v>863</v>
      </c>
      <c r="J214" s="1703" t="s">
        <v>109</v>
      </c>
      <c r="K214" s="1703" t="s">
        <v>109</v>
      </c>
      <c r="L214" s="1703" t="s">
        <v>863</v>
      </c>
      <c r="M214" s="1703" t="s">
        <v>863</v>
      </c>
      <c r="N214" s="1703" t="s">
        <v>863</v>
      </c>
      <c r="O214" s="1703" t="s">
        <v>863</v>
      </c>
      <c r="P214" s="1703" t="s">
        <v>863</v>
      </c>
      <c r="Q214" s="1703" t="s">
        <v>863</v>
      </c>
      <c r="R214" s="1703" t="s">
        <v>863</v>
      </c>
      <c r="S214" s="1705" t="s">
        <v>1300</v>
      </c>
      <c r="T214" s="1705" t="s">
        <v>109</v>
      </c>
      <c r="U214" s="1705" t="s">
        <v>109</v>
      </c>
      <c r="V214" s="1719" t="s">
        <v>109</v>
      </c>
      <c r="W214" s="1705">
        <v>0</v>
      </c>
      <c r="X214" s="1705" t="s">
        <v>109</v>
      </c>
      <c r="Y214" s="1705">
        <v>0</v>
      </c>
      <c r="Z214" s="1705" t="s">
        <v>109</v>
      </c>
      <c r="AA214" s="1705" t="s">
        <v>109</v>
      </c>
      <c r="AB214" s="1712" t="s">
        <v>109</v>
      </c>
      <c r="AC214" s="1712" t="s">
        <v>109</v>
      </c>
      <c r="AD214" s="1713" t="s">
        <v>109</v>
      </c>
      <c r="AE214" s="1712" t="s">
        <v>109</v>
      </c>
      <c r="AF214" s="1712" t="s">
        <v>109</v>
      </c>
      <c r="AG214" s="1713">
        <v>0</v>
      </c>
      <c r="AH214" s="1713" t="str">
        <f>IFERROR(TBL4_OptApp[[#This Row],[Total NPC (£m)]]/TBL4_OptApp[[#This Row],[Maximum option utilisation across the planning period (Ml/d)]],"N/A")</f>
        <v>N/A</v>
      </c>
      <c r="AI214" s="1713" t="s">
        <v>109</v>
      </c>
      <c r="AJ214" s="1703" t="s">
        <v>109</v>
      </c>
      <c r="AK214" s="1705" t="s">
        <v>109</v>
      </c>
      <c r="AL214" s="1705" t="s">
        <v>109</v>
      </c>
      <c r="AM214" s="1705" t="s">
        <v>109</v>
      </c>
      <c r="AN214" s="1705" t="s">
        <v>109</v>
      </c>
      <c r="AO214" s="1705" t="s">
        <v>109</v>
      </c>
      <c r="AP214" s="1705" t="s">
        <v>109</v>
      </c>
      <c r="AQ214" s="1705" t="s">
        <v>109</v>
      </c>
      <c r="AR214" s="1705" t="s">
        <v>109</v>
      </c>
      <c r="AS214" s="1705" t="s">
        <v>109</v>
      </c>
      <c r="AT214" s="1705" t="s">
        <v>109</v>
      </c>
      <c r="AU214" s="1705" t="s">
        <v>109</v>
      </c>
      <c r="AV214" s="1705" t="s">
        <v>109</v>
      </c>
      <c r="AW214" s="1705"/>
      <c r="AX214" s="1705"/>
      <c r="AY214" s="1705"/>
      <c r="AZ214" s="1705"/>
      <c r="BA214" s="1705"/>
    </row>
    <row r="215" spans="2:53" ht="57" x14ac:dyDescent="0.2">
      <c r="B215" s="17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215" s="1703" t="s">
        <v>1311</v>
      </c>
      <c r="D215" s="1707" t="s">
        <v>1312</v>
      </c>
      <c r="E215" s="1714" t="s">
        <v>987</v>
      </c>
      <c r="F215" s="1703" t="str">
        <f>VLOOKUP(TBL4_OptApp[[#This Row],[Option type
Defined List]],'Option Typs_Grps'!B$2:C$47, 2, FALSE)</f>
        <v>Customer Options</v>
      </c>
      <c r="G215" s="1703" t="s">
        <v>861</v>
      </c>
      <c r="H215" s="1703" t="s">
        <v>871</v>
      </c>
      <c r="I215" s="1703" t="s">
        <v>863</v>
      </c>
      <c r="J215" s="1703" t="s">
        <v>109</v>
      </c>
      <c r="K215" s="1703" t="s">
        <v>109</v>
      </c>
      <c r="L215" s="1703" t="s">
        <v>863</v>
      </c>
      <c r="M215" s="1703" t="s">
        <v>863</v>
      </c>
      <c r="N215" s="1703" t="s">
        <v>863</v>
      </c>
      <c r="O215" s="1703" t="s">
        <v>863</v>
      </c>
      <c r="P215" s="1703" t="s">
        <v>863</v>
      </c>
      <c r="Q215" s="1703" t="s">
        <v>863</v>
      </c>
      <c r="R215" s="1703" t="s">
        <v>863</v>
      </c>
      <c r="S215" s="1705" t="s">
        <v>1300</v>
      </c>
      <c r="T215" s="1705" t="s">
        <v>109</v>
      </c>
      <c r="U215" s="1705" t="s">
        <v>109</v>
      </c>
      <c r="V215" s="1719" t="s">
        <v>109</v>
      </c>
      <c r="W215" s="1705">
        <v>0</v>
      </c>
      <c r="X215" s="1705" t="s">
        <v>109</v>
      </c>
      <c r="Y215" s="1705">
        <v>0</v>
      </c>
      <c r="Z215" s="1705" t="s">
        <v>109</v>
      </c>
      <c r="AA215" s="1705" t="s">
        <v>109</v>
      </c>
      <c r="AB215" s="1712" t="s">
        <v>109</v>
      </c>
      <c r="AC215" s="1712" t="s">
        <v>109</v>
      </c>
      <c r="AD215" s="1713" t="s">
        <v>109</v>
      </c>
      <c r="AE215" s="1712" t="s">
        <v>109</v>
      </c>
      <c r="AF215" s="1712" t="s">
        <v>109</v>
      </c>
      <c r="AG215" s="1713">
        <v>0</v>
      </c>
      <c r="AH215" s="1713" t="str">
        <f>IFERROR(TBL4_OptApp[[#This Row],[Total NPC (£m)]]/TBL4_OptApp[[#This Row],[Maximum option utilisation across the planning period (Ml/d)]],"N/A")</f>
        <v>N/A</v>
      </c>
      <c r="AI215" s="1713" t="s">
        <v>109</v>
      </c>
      <c r="AJ215" s="1703" t="s">
        <v>109</v>
      </c>
      <c r="AK215" s="1705" t="s">
        <v>109</v>
      </c>
      <c r="AL215" s="1705" t="s">
        <v>109</v>
      </c>
      <c r="AM215" s="1705" t="s">
        <v>109</v>
      </c>
      <c r="AN215" s="1705" t="s">
        <v>109</v>
      </c>
      <c r="AO215" s="1705" t="s">
        <v>109</v>
      </c>
      <c r="AP215" s="1705" t="s">
        <v>109</v>
      </c>
      <c r="AQ215" s="1705" t="s">
        <v>109</v>
      </c>
      <c r="AR215" s="1705" t="s">
        <v>109</v>
      </c>
      <c r="AS215" s="1705" t="s">
        <v>109</v>
      </c>
      <c r="AT215" s="1705" t="s">
        <v>109</v>
      </c>
      <c r="AU215" s="1705" t="s">
        <v>109</v>
      </c>
      <c r="AV215" s="1705" t="s">
        <v>109</v>
      </c>
      <c r="AW215" s="1705"/>
      <c r="AX215" s="1705"/>
      <c r="AY215" s="1705"/>
      <c r="AZ215" s="1705"/>
      <c r="BA215" s="1705"/>
    </row>
    <row r="216" spans="2:53" ht="57" x14ac:dyDescent="0.2">
      <c r="B216" s="17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216" s="1703" t="s">
        <v>1313</v>
      </c>
      <c r="D216" s="1707" t="s">
        <v>1314</v>
      </c>
      <c r="E216" s="1714" t="s">
        <v>987</v>
      </c>
      <c r="F216" s="1703" t="str">
        <f>VLOOKUP(TBL4_OptApp[[#This Row],[Option type
Defined List]],'Option Typs_Grps'!B$2:C$47, 2, FALSE)</f>
        <v>Customer Options</v>
      </c>
      <c r="G216" s="1703" t="s">
        <v>861</v>
      </c>
      <c r="H216" s="1703" t="s">
        <v>871</v>
      </c>
      <c r="I216" s="1703" t="s">
        <v>863</v>
      </c>
      <c r="J216" s="1703" t="s">
        <v>109</v>
      </c>
      <c r="K216" s="1703" t="s">
        <v>109</v>
      </c>
      <c r="L216" s="1703" t="s">
        <v>863</v>
      </c>
      <c r="M216" s="1703" t="s">
        <v>863</v>
      </c>
      <c r="N216" s="1703" t="s">
        <v>863</v>
      </c>
      <c r="O216" s="1703" t="s">
        <v>863</v>
      </c>
      <c r="P216" s="1703" t="s">
        <v>863</v>
      </c>
      <c r="Q216" s="1703" t="s">
        <v>863</v>
      </c>
      <c r="R216" s="1703" t="s">
        <v>863</v>
      </c>
      <c r="S216" s="1705" t="s">
        <v>1300</v>
      </c>
      <c r="T216" s="1705" t="s">
        <v>109</v>
      </c>
      <c r="U216" s="1705" t="s">
        <v>109</v>
      </c>
      <c r="V216" s="1719" t="s">
        <v>109</v>
      </c>
      <c r="W216" s="1705">
        <v>0</v>
      </c>
      <c r="X216" s="1705" t="s">
        <v>109</v>
      </c>
      <c r="Y216" s="1705">
        <v>0</v>
      </c>
      <c r="Z216" s="1705" t="s">
        <v>109</v>
      </c>
      <c r="AA216" s="1705" t="s">
        <v>109</v>
      </c>
      <c r="AB216" s="1712" t="s">
        <v>109</v>
      </c>
      <c r="AC216" s="1712" t="s">
        <v>109</v>
      </c>
      <c r="AD216" s="1713" t="s">
        <v>109</v>
      </c>
      <c r="AE216" s="1712" t="s">
        <v>109</v>
      </c>
      <c r="AF216" s="1712" t="s">
        <v>109</v>
      </c>
      <c r="AG216" s="1713">
        <v>0</v>
      </c>
      <c r="AH216" s="1713" t="str">
        <f>IFERROR(TBL4_OptApp[[#This Row],[Total NPC (£m)]]/TBL4_OptApp[[#This Row],[Maximum option utilisation across the planning period (Ml/d)]],"N/A")</f>
        <v>N/A</v>
      </c>
      <c r="AI216" s="1713" t="s">
        <v>109</v>
      </c>
      <c r="AJ216" s="1703" t="s">
        <v>109</v>
      </c>
      <c r="AK216" s="1705" t="s">
        <v>109</v>
      </c>
      <c r="AL216" s="1705" t="s">
        <v>109</v>
      </c>
      <c r="AM216" s="1705" t="s">
        <v>109</v>
      </c>
      <c r="AN216" s="1705" t="s">
        <v>109</v>
      </c>
      <c r="AO216" s="1705" t="s">
        <v>109</v>
      </c>
      <c r="AP216" s="1705" t="s">
        <v>109</v>
      </c>
      <c r="AQ216" s="1705" t="s">
        <v>109</v>
      </c>
      <c r="AR216" s="1705" t="s">
        <v>109</v>
      </c>
      <c r="AS216" s="1705" t="s">
        <v>109</v>
      </c>
      <c r="AT216" s="1705" t="s">
        <v>109</v>
      </c>
      <c r="AU216" s="1705" t="s">
        <v>109</v>
      </c>
      <c r="AV216" s="1705" t="s">
        <v>109</v>
      </c>
      <c r="AW216" s="1705"/>
      <c r="AX216" s="1705"/>
      <c r="AY216" s="1705"/>
      <c r="AZ216" s="1705"/>
      <c r="BA216" s="1705"/>
    </row>
    <row r="217" spans="2:53" ht="57" x14ac:dyDescent="0.2">
      <c r="B217" s="17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217" s="1703" t="s">
        <v>1315</v>
      </c>
      <c r="D217" s="1707" t="s">
        <v>1316</v>
      </c>
      <c r="E217" s="1714" t="s">
        <v>987</v>
      </c>
      <c r="F217" s="1703" t="str">
        <f>VLOOKUP(TBL4_OptApp[[#This Row],[Option type
Defined List]],'Option Typs_Grps'!B$2:C$47, 2, FALSE)</f>
        <v>Customer Options</v>
      </c>
      <c r="G217" s="1703" t="s">
        <v>861</v>
      </c>
      <c r="H217" s="1703" t="s">
        <v>871</v>
      </c>
      <c r="I217" s="1703" t="s">
        <v>863</v>
      </c>
      <c r="J217" s="1703" t="s">
        <v>109</v>
      </c>
      <c r="K217" s="1703" t="s">
        <v>109</v>
      </c>
      <c r="L217" s="1703" t="s">
        <v>863</v>
      </c>
      <c r="M217" s="1703" t="s">
        <v>863</v>
      </c>
      <c r="N217" s="1703" t="s">
        <v>863</v>
      </c>
      <c r="O217" s="1703" t="s">
        <v>863</v>
      </c>
      <c r="P217" s="1703" t="s">
        <v>863</v>
      </c>
      <c r="Q217" s="1703" t="s">
        <v>863</v>
      </c>
      <c r="R217" s="1703" t="s">
        <v>863</v>
      </c>
      <c r="S217" s="1705" t="s">
        <v>1300</v>
      </c>
      <c r="T217" s="1705" t="s">
        <v>109</v>
      </c>
      <c r="U217" s="1705" t="s">
        <v>109</v>
      </c>
      <c r="V217" s="1719" t="s">
        <v>109</v>
      </c>
      <c r="W217" s="1705">
        <v>0</v>
      </c>
      <c r="X217" s="1705" t="s">
        <v>109</v>
      </c>
      <c r="Y217" s="1705">
        <v>0</v>
      </c>
      <c r="Z217" s="1705" t="s">
        <v>109</v>
      </c>
      <c r="AA217" s="1705" t="s">
        <v>109</v>
      </c>
      <c r="AB217" s="1712" t="s">
        <v>109</v>
      </c>
      <c r="AC217" s="1712" t="s">
        <v>109</v>
      </c>
      <c r="AD217" s="1713" t="s">
        <v>109</v>
      </c>
      <c r="AE217" s="1712" t="s">
        <v>109</v>
      </c>
      <c r="AF217" s="1712" t="s">
        <v>109</v>
      </c>
      <c r="AG217" s="1713">
        <v>0</v>
      </c>
      <c r="AH217" s="1713" t="str">
        <f>IFERROR(TBL4_OptApp[[#This Row],[Total NPC (£m)]]/TBL4_OptApp[[#This Row],[Maximum option utilisation across the planning period (Ml/d)]],"N/A")</f>
        <v>N/A</v>
      </c>
      <c r="AI217" s="1713" t="s">
        <v>109</v>
      </c>
      <c r="AJ217" s="1703" t="s">
        <v>109</v>
      </c>
      <c r="AK217" s="1705" t="s">
        <v>109</v>
      </c>
      <c r="AL217" s="1705" t="s">
        <v>109</v>
      </c>
      <c r="AM217" s="1705" t="s">
        <v>109</v>
      </c>
      <c r="AN217" s="1705" t="s">
        <v>109</v>
      </c>
      <c r="AO217" s="1705" t="s">
        <v>109</v>
      </c>
      <c r="AP217" s="1705" t="s">
        <v>109</v>
      </c>
      <c r="AQ217" s="1705" t="s">
        <v>109</v>
      </c>
      <c r="AR217" s="1705" t="s">
        <v>109</v>
      </c>
      <c r="AS217" s="1705" t="s">
        <v>109</v>
      </c>
      <c r="AT217" s="1705" t="s">
        <v>109</v>
      </c>
      <c r="AU217" s="1705" t="s">
        <v>109</v>
      </c>
      <c r="AV217" s="1705" t="s">
        <v>109</v>
      </c>
      <c r="AW217" s="1705"/>
      <c r="AX217" s="1705"/>
      <c r="AY217" s="1705"/>
      <c r="AZ217" s="1705"/>
      <c r="BA217" s="1705"/>
    </row>
    <row r="218" spans="2:53" ht="57" x14ac:dyDescent="0.2">
      <c r="B218" s="17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218" s="1703" t="s">
        <v>1317</v>
      </c>
      <c r="D218" s="1707" t="s">
        <v>1318</v>
      </c>
      <c r="E218" s="1714" t="s">
        <v>987</v>
      </c>
      <c r="F218" s="1703" t="str">
        <f>VLOOKUP(TBL4_OptApp[[#This Row],[Option type
Defined List]],'Option Typs_Grps'!B$2:C$47, 2, FALSE)</f>
        <v>Customer Options</v>
      </c>
      <c r="G218" s="1703" t="s">
        <v>861</v>
      </c>
      <c r="H218" s="1703" t="s">
        <v>871</v>
      </c>
      <c r="I218" s="1703" t="s">
        <v>863</v>
      </c>
      <c r="J218" s="1703" t="s">
        <v>109</v>
      </c>
      <c r="K218" s="1703" t="s">
        <v>109</v>
      </c>
      <c r="L218" s="1703" t="s">
        <v>863</v>
      </c>
      <c r="M218" s="1703" t="s">
        <v>863</v>
      </c>
      <c r="N218" s="1703" t="s">
        <v>863</v>
      </c>
      <c r="O218" s="1703" t="s">
        <v>863</v>
      </c>
      <c r="P218" s="1703" t="s">
        <v>863</v>
      </c>
      <c r="Q218" s="1703" t="s">
        <v>863</v>
      </c>
      <c r="R218" s="1703" t="s">
        <v>863</v>
      </c>
      <c r="S218" s="1705" t="s">
        <v>1300</v>
      </c>
      <c r="T218" s="1705" t="s">
        <v>109</v>
      </c>
      <c r="U218" s="1705" t="s">
        <v>109</v>
      </c>
      <c r="V218" s="1719" t="s">
        <v>109</v>
      </c>
      <c r="W218" s="1705">
        <v>0</v>
      </c>
      <c r="X218" s="1705" t="s">
        <v>109</v>
      </c>
      <c r="Y218" s="1705">
        <v>0</v>
      </c>
      <c r="Z218" s="1705" t="s">
        <v>109</v>
      </c>
      <c r="AA218" s="1705" t="s">
        <v>109</v>
      </c>
      <c r="AB218" s="1712" t="s">
        <v>109</v>
      </c>
      <c r="AC218" s="1712" t="s">
        <v>109</v>
      </c>
      <c r="AD218" s="1713" t="s">
        <v>109</v>
      </c>
      <c r="AE218" s="1712" t="s">
        <v>109</v>
      </c>
      <c r="AF218" s="1712" t="s">
        <v>109</v>
      </c>
      <c r="AG218" s="1713">
        <v>0</v>
      </c>
      <c r="AH218" s="1713" t="str">
        <f>IFERROR(TBL4_OptApp[[#This Row],[Total NPC (£m)]]/TBL4_OptApp[[#This Row],[Maximum option utilisation across the planning period (Ml/d)]],"N/A")</f>
        <v>N/A</v>
      </c>
      <c r="AI218" s="1713" t="s">
        <v>109</v>
      </c>
      <c r="AJ218" s="1703" t="s">
        <v>109</v>
      </c>
      <c r="AK218" s="1705" t="s">
        <v>109</v>
      </c>
      <c r="AL218" s="1705" t="s">
        <v>109</v>
      </c>
      <c r="AM218" s="1705" t="s">
        <v>109</v>
      </c>
      <c r="AN218" s="1705" t="s">
        <v>109</v>
      </c>
      <c r="AO218" s="1705" t="s">
        <v>109</v>
      </c>
      <c r="AP218" s="1705" t="s">
        <v>109</v>
      </c>
      <c r="AQ218" s="1705" t="s">
        <v>109</v>
      </c>
      <c r="AR218" s="1705" t="s">
        <v>109</v>
      </c>
      <c r="AS218" s="1705" t="s">
        <v>109</v>
      </c>
      <c r="AT218" s="1705" t="s">
        <v>109</v>
      </c>
      <c r="AU218" s="1705" t="s">
        <v>109</v>
      </c>
      <c r="AV218" s="1705" t="s">
        <v>109</v>
      </c>
      <c r="AW218" s="1705"/>
      <c r="AX218" s="1705"/>
      <c r="AY218" s="1705"/>
      <c r="AZ218" s="1705"/>
      <c r="BA218" s="1705"/>
    </row>
    <row r="219" spans="2:53" ht="57" x14ac:dyDescent="0.2">
      <c r="B219" s="17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219" s="1703" t="s">
        <v>1319</v>
      </c>
      <c r="D219" s="1707" t="s">
        <v>1320</v>
      </c>
      <c r="E219" s="1714" t="s">
        <v>987</v>
      </c>
      <c r="F219" s="1703" t="str">
        <f>VLOOKUP(TBL4_OptApp[[#This Row],[Option type
Defined List]],'Option Typs_Grps'!B$2:C$47, 2, FALSE)</f>
        <v>Customer Options</v>
      </c>
      <c r="G219" s="1703" t="s">
        <v>861</v>
      </c>
      <c r="H219" s="1703" t="s">
        <v>871</v>
      </c>
      <c r="I219" s="1703" t="s">
        <v>863</v>
      </c>
      <c r="J219" s="1703" t="s">
        <v>109</v>
      </c>
      <c r="K219" s="1703" t="s">
        <v>109</v>
      </c>
      <c r="L219" s="1703" t="s">
        <v>863</v>
      </c>
      <c r="M219" s="1703" t="s">
        <v>863</v>
      </c>
      <c r="N219" s="1703" t="s">
        <v>863</v>
      </c>
      <c r="O219" s="1703" t="s">
        <v>863</v>
      </c>
      <c r="P219" s="1703" t="s">
        <v>863</v>
      </c>
      <c r="Q219" s="1703" t="s">
        <v>863</v>
      </c>
      <c r="R219" s="1703" t="s">
        <v>863</v>
      </c>
      <c r="S219" s="1705" t="s">
        <v>1300</v>
      </c>
      <c r="T219" s="1705" t="s">
        <v>109</v>
      </c>
      <c r="U219" s="1705" t="s">
        <v>109</v>
      </c>
      <c r="V219" s="1719" t="s">
        <v>109</v>
      </c>
      <c r="W219" s="1705">
        <v>0</v>
      </c>
      <c r="X219" s="1705" t="s">
        <v>109</v>
      </c>
      <c r="Y219" s="1705">
        <v>0</v>
      </c>
      <c r="Z219" s="1705" t="s">
        <v>109</v>
      </c>
      <c r="AA219" s="1705" t="s">
        <v>109</v>
      </c>
      <c r="AB219" s="1712" t="s">
        <v>109</v>
      </c>
      <c r="AC219" s="1712" t="s">
        <v>109</v>
      </c>
      <c r="AD219" s="1713" t="s">
        <v>109</v>
      </c>
      <c r="AE219" s="1712" t="s">
        <v>109</v>
      </c>
      <c r="AF219" s="1712" t="s">
        <v>109</v>
      </c>
      <c r="AG219" s="1713">
        <v>0</v>
      </c>
      <c r="AH219" s="1713" t="str">
        <f>IFERROR(TBL4_OptApp[[#This Row],[Total NPC (£m)]]/TBL4_OptApp[[#This Row],[Maximum option utilisation across the planning period (Ml/d)]],"N/A")</f>
        <v>N/A</v>
      </c>
      <c r="AI219" s="1713" t="s">
        <v>109</v>
      </c>
      <c r="AJ219" s="1703" t="s">
        <v>109</v>
      </c>
      <c r="AK219" s="1705" t="s">
        <v>109</v>
      </c>
      <c r="AL219" s="1705" t="s">
        <v>109</v>
      </c>
      <c r="AM219" s="1705" t="s">
        <v>109</v>
      </c>
      <c r="AN219" s="1705" t="s">
        <v>109</v>
      </c>
      <c r="AO219" s="1705" t="s">
        <v>109</v>
      </c>
      <c r="AP219" s="1705" t="s">
        <v>109</v>
      </c>
      <c r="AQ219" s="1705" t="s">
        <v>109</v>
      </c>
      <c r="AR219" s="1705" t="s">
        <v>109</v>
      </c>
      <c r="AS219" s="1705" t="s">
        <v>109</v>
      </c>
      <c r="AT219" s="1705" t="s">
        <v>109</v>
      </c>
      <c r="AU219" s="1705" t="s">
        <v>109</v>
      </c>
      <c r="AV219" s="1705" t="s">
        <v>109</v>
      </c>
      <c r="AW219" s="1705"/>
      <c r="AX219" s="1705"/>
      <c r="AY219" s="1705"/>
      <c r="AZ219" s="1705"/>
      <c r="BA219" s="1705"/>
    </row>
    <row r="220" spans="2:53" ht="57" x14ac:dyDescent="0.2">
      <c r="B220" s="17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220" s="1703" t="s">
        <v>1321</v>
      </c>
      <c r="D220" s="1707" t="s">
        <v>1322</v>
      </c>
      <c r="E220" s="1714" t="s">
        <v>987</v>
      </c>
      <c r="F220" s="1703" t="str">
        <f>VLOOKUP(TBL4_OptApp[[#This Row],[Option type
Defined List]],'Option Typs_Grps'!B$2:C$47, 2, FALSE)</f>
        <v>Customer Options</v>
      </c>
      <c r="G220" s="1703" t="s">
        <v>861</v>
      </c>
      <c r="H220" s="1703" t="s">
        <v>871</v>
      </c>
      <c r="I220" s="1703" t="s">
        <v>863</v>
      </c>
      <c r="J220" s="1703" t="s">
        <v>109</v>
      </c>
      <c r="K220" s="1703" t="s">
        <v>109</v>
      </c>
      <c r="L220" s="1703" t="s">
        <v>863</v>
      </c>
      <c r="M220" s="1703" t="s">
        <v>863</v>
      </c>
      <c r="N220" s="1703" t="s">
        <v>863</v>
      </c>
      <c r="O220" s="1703" t="s">
        <v>863</v>
      </c>
      <c r="P220" s="1703" t="s">
        <v>863</v>
      </c>
      <c r="Q220" s="1703" t="s">
        <v>863</v>
      </c>
      <c r="R220" s="1703" t="s">
        <v>863</v>
      </c>
      <c r="S220" s="1705" t="s">
        <v>1300</v>
      </c>
      <c r="T220" s="1705" t="s">
        <v>109</v>
      </c>
      <c r="U220" s="1705" t="s">
        <v>109</v>
      </c>
      <c r="V220" s="1719" t="s">
        <v>109</v>
      </c>
      <c r="W220" s="1705">
        <v>0</v>
      </c>
      <c r="X220" s="1705" t="s">
        <v>109</v>
      </c>
      <c r="Y220" s="1705">
        <v>0</v>
      </c>
      <c r="Z220" s="1705" t="s">
        <v>109</v>
      </c>
      <c r="AA220" s="1705" t="s">
        <v>109</v>
      </c>
      <c r="AB220" s="1712" t="s">
        <v>109</v>
      </c>
      <c r="AC220" s="1712" t="s">
        <v>109</v>
      </c>
      <c r="AD220" s="1713" t="s">
        <v>109</v>
      </c>
      <c r="AE220" s="1712" t="s">
        <v>109</v>
      </c>
      <c r="AF220" s="1712" t="s">
        <v>109</v>
      </c>
      <c r="AG220" s="1713">
        <v>0</v>
      </c>
      <c r="AH220" s="1713" t="str">
        <f>IFERROR(TBL4_OptApp[[#This Row],[Total NPC (£m)]]/TBL4_OptApp[[#This Row],[Maximum option utilisation across the planning period (Ml/d)]],"N/A")</f>
        <v>N/A</v>
      </c>
      <c r="AI220" s="1713" t="s">
        <v>109</v>
      </c>
      <c r="AJ220" s="1703" t="s">
        <v>109</v>
      </c>
      <c r="AK220" s="1705" t="s">
        <v>109</v>
      </c>
      <c r="AL220" s="1705" t="s">
        <v>109</v>
      </c>
      <c r="AM220" s="1705" t="s">
        <v>109</v>
      </c>
      <c r="AN220" s="1705" t="s">
        <v>109</v>
      </c>
      <c r="AO220" s="1705" t="s">
        <v>109</v>
      </c>
      <c r="AP220" s="1705" t="s">
        <v>109</v>
      </c>
      <c r="AQ220" s="1705" t="s">
        <v>109</v>
      </c>
      <c r="AR220" s="1705" t="s">
        <v>109</v>
      </c>
      <c r="AS220" s="1705" t="s">
        <v>109</v>
      </c>
      <c r="AT220" s="1705" t="s">
        <v>109</v>
      </c>
      <c r="AU220" s="1705" t="s">
        <v>109</v>
      </c>
      <c r="AV220" s="1705" t="s">
        <v>109</v>
      </c>
      <c r="AW220" s="1705"/>
      <c r="AX220" s="1705"/>
      <c r="AY220" s="1705"/>
      <c r="AZ220" s="1705"/>
      <c r="BA220" s="1705"/>
    </row>
    <row r="221" spans="2:53" ht="57" x14ac:dyDescent="0.2">
      <c r="B221" s="17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221" s="1703" t="s">
        <v>1323</v>
      </c>
      <c r="D221" s="1707" t="s">
        <v>1324</v>
      </c>
      <c r="E221" s="1714" t="s">
        <v>987</v>
      </c>
      <c r="F221" s="1703" t="str">
        <f>VLOOKUP(TBL4_OptApp[[#This Row],[Option type
Defined List]],'Option Typs_Grps'!B$2:C$47, 2, FALSE)</f>
        <v>Customer Options</v>
      </c>
      <c r="G221" s="1703" t="s">
        <v>861</v>
      </c>
      <c r="H221" s="1703" t="s">
        <v>871</v>
      </c>
      <c r="I221" s="1703" t="s">
        <v>863</v>
      </c>
      <c r="J221" s="1703" t="s">
        <v>109</v>
      </c>
      <c r="K221" s="1703" t="s">
        <v>109</v>
      </c>
      <c r="L221" s="1703" t="s">
        <v>863</v>
      </c>
      <c r="M221" s="1703" t="s">
        <v>863</v>
      </c>
      <c r="N221" s="1703" t="s">
        <v>863</v>
      </c>
      <c r="O221" s="1703" t="s">
        <v>863</v>
      </c>
      <c r="P221" s="1703" t="s">
        <v>863</v>
      </c>
      <c r="Q221" s="1703" t="s">
        <v>863</v>
      </c>
      <c r="R221" s="1703" t="s">
        <v>863</v>
      </c>
      <c r="S221" s="1705" t="s">
        <v>1300</v>
      </c>
      <c r="T221" s="1705" t="s">
        <v>109</v>
      </c>
      <c r="U221" s="1705" t="s">
        <v>109</v>
      </c>
      <c r="V221" s="1719" t="s">
        <v>109</v>
      </c>
      <c r="W221" s="1705">
        <v>0</v>
      </c>
      <c r="X221" s="1705" t="s">
        <v>109</v>
      </c>
      <c r="Y221" s="1705">
        <v>0</v>
      </c>
      <c r="Z221" s="1705" t="s">
        <v>109</v>
      </c>
      <c r="AA221" s="1705" t="s">
        <v>109</v>
      </c>
      <c r="AB221" s="1712" t="s">
        <v>109</v>
      </c>
      <c r="AC221" s="1712" t="s">
        <v>109</v>
      </c>
      <c r="AD221" s="1713" t="s">
        <v>109</v>
      </c>
      <c r="AE221" s="1712" t="s">
        <v>109</v>
      </c>
      <c r="AF221" s="1712" t="s">
        <v>109</v>
      </c>
      <c r="AG221" s="1713">
        <v>0</v>
      </c>
      <c r="AH221" s="1713" t="str">
        <f>IFERROR(TBL4_OptApp[[#This Row],[Total NPC (£m)]]/TBL4_OptApp[[#This Row],[Maximum option utilisation across the planning period (Ml/d)]],"N/A")</f>
        <v>N/A</v>
      </c>
      <c r="AI221" s="1713" t="s">
        <v>109</v>
      </c>
      <c r="AJ221" s="1703" t="s">
        <v>109</v>
      </c>
      <c r="AK221" s="1705" t="s">
        <v>109</v>
      </c>
      <c r="AL221" s="1705" t="s">
        <v>109</v>
      </c>
      <c r="AM221" s="1705" t="s">
        <v>109</v>
      </c>
      <c r="AN221" s="1705" t="s">
        <v>109</v>
      </c>
      <c r="AO221" s="1705" t="s">
        <v>109</v>
      </c>
      <c r="AP221" s="1705" t="s">
        <v>109</v>
      </c>
      <c r="AQ221" s="1705" t="s">
        <v>109</v>
      </c>
      <c r="AR221" s="1705" t="s">
        <v>109</v>
      </c>
      <c r="AS221" s="1705" t="s">
        <v>109</v>
      </c>
      <c r="AT221" s="1705" t="s">
        <v>109</v>
      </c>
      <c r="AU221" s="1705" t="s">
        <v>109</v>
      </c>
      <c r="AV221" s="1705" t="s">
        <v>109</v>
      </c>
      <c r="AW221" s="1705"/>
      <c r="AX221" s="1705"/>
      <c r="AY221" s="1705"/>
      <c r="AZ221" s="1705"/>
      <c r="BA221" s="1705"/>
    </row>
    <row r="222" spans="2:53" ht="57" x14ac:dyDescent="0.2">
      <c r="B222" s="17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222" s="1703" t="s">
        <v>1325</v>
      </c>
      <c r="D222" s="1707" t="s">
        <v>1326</v>
      </c>
      <c r="E222" s="1714" t="s">
        <v>987</v>
      </c>
      <c r="F222" s="1703" t="str">
        <f>VLOOKUP(TBL4_OptApp[[#This Row],[Option type
Defined List]],'Option Typs_Grps'!B$2:C$47, 2, FALSE)</f>
        <v>Customer Options</v>
      </c>
      <c r="G222" s="1703" t="s">
        <v>861</v>
      </c>
      <c r="H222" s="1703" t="s">
        <v>871</v>
      </c>
      <c r="I222" s="1703" t="s">
        <v>863</v>
      </c>
      <c r="J222" s="1703" t="s">
        <v>109</v>
      </c>
      <c r="K222" s="1703" t="s">
        <v>109</v>
      </c>
      <c r="L222" s="1703" t="s">
        <v>863</v>
      </c>
      <c r="M222" s="1703" t="s">
        <v>863</v>
      </c>
      <c r="N222" s="1703" t="s">
        <v>863</v>
      </c>
      <c r="O222" s="1703" t="s">
        <v>863</v>
      </c>
      <c r="P222" s="1703" t="s">
        <v>863</v>
      </c>
      <c r="Q222" s="1703" t="s">
        <v>863</v>
      </c>
      <c r="R222" s="1703" t="s">
        <v>863</v>
      </c>
      <c r="S222" s="1705" t="s">
        <v>1300</v>
      </c>
      <c r="T222" s="1705" t="s">
        <v>109</v>
      </c>
      <c r="U222" s="1705" t="s">
        <v>109</v>
      </c>
      <c r="V222" s="1719" t="s">
        <v>109</v>
      </c>
      <c r="W222" s="1705">
        <v>0</v>
      </c>
      <c r="X222" s="1705" t="s">
        <v>109</v>
      </c>
      <c r="Y222" s="1705">
        <v>0</v>
      </c>
      <c r="Z222" s="1705" t="s">
        <v>109</v>
      </c>
      <c r="AA222" s="1705" t="s">
        <v>109</v>
      </c>
      <c r="AB222" s="1712" t="s">
        <v>109</v>
      </c>
      <c r="AC222" s="1712" t="s">
        <v>109</v>
      </c>
      <c r="AD222" s="1713" t="s">
        <v>109</v>
      </c>
      <c r="AE222" s="1712" t="s">
        <v>109</v>
      </c>
      <c r="AF222" s="1712" t="s">
        <v>109</v>
      </c>
      <c r="AG222" s="1713">
        <v>0</v>
      </c>
      <c r="AH222" s="1713" t="str">
        <f>IFERROR(TBL4_OptApp[[#This Row],[Total NPC (£m)]]/TBL4_OptApp[[#This Row],[Maximum option utilisation across the planning period (Ml/d)]],"N/A")</f>
        <v>N/A</v>
      </c>
      <c r="AI222" s="1713" t="s">
        <v>109</v>
      </c>
      <c r="AJ222" s="1703" t="s">
        <v>109</v>
      </c>
      <c r="AK222" s="1705" t="s">
        <v>109</v>
      </c>
      <c r="AL222" s="1705" t="s">
        <v>109</v>
      </c>
      <c r="AM222" s="1705" t="s">
        <v>109</v>
      </c>
      <c r="AN222" s="1705" t="s">
        <v>109</v>
      </c>
      <c r="AO222" s="1705" t="s">
        <v>109</v>
      </c>
      <c r="AP222" s="1705" t="s">
        <v>109</v>
      </c>
      <c r="AQ222" s="1705" t="s">
        <v>109</v>
      </c>
      <c r="AR222" s="1705" t="s">
        <v>109</v>
      </c>
      <c r="AS222" s="1705" t="s">
        <v>109</v>
      </c>
      <c r="AT222" s="1705" t="s">
        <v>109</v>
      </c>
      <c r="AU222" s="1705" t="s">
        <v>109</v>
      </c>
      <c r="AV222" s="1705" t="s">
        <v>109</v>
      </c>
      <c r="AW222" s="1705"/>
      <c r="AX222" s="1705"/>
      <c r="AY222" s="1705"/>
      <c r="AZ222" s="1705"/>
      <c r="BA222" s="1705"/>
    </row>
    <row r="223" spans="2:53" ht="57" x14ac:dyDescent="0.2">
      <c r="B223" s="17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223" s="1703" t="s">
        <v>1327</v>
      </c>
      <c r="D223" s="1707" t="s">
        <v>1328</v>
      </c>
      <c r="E223" s="1714" t="s">
        <v>987</v>
      </c>
      <c r="F223" s="1703" t="str">
        <f>VLOOKUP(TBL4_OptApp[[#This Row],[Option type
Defined List]],'Option Typs_Grps'!B$2:C$47, 2, FALSE)</f>
        <v>Customer Options</v>
      </c>
      <c r="G223" s="1703" t="s">
        <v>861</v>
      </c>
      <c r="H223" s="1703" t="s">
        <v>871</v>
      </c>
      <c r="I223" s="1703" t="s">
        <v>863</v>
      </c>
      <c r="J223" s="1703" t="s">
        <v>109</v>
      </c>
      <c r="K223" s="1703" t="s">
        <v>109</v>
      </c>
      <c r="L223" s="1703" t="s">
        <v>863</v>
      </c>
      <c r="M223" s="1703" t="s">
        <v>863</v>
      </c>
      <c r="N223" s="1703" t="s">
        <v>863</v>
      </c>
      <c r="O223" s="1703" t="s">
        <v>863</v>
      </c>
      <c r="P223" s="1703" t="s">
        <v>863</v>
      </c>
      <c r="Q223" s="1703" t="s">
        <v>863</v>
      </c>
      <c r="R223" s="1703" t="s">
        <v>863</v>
      </c>
      <c r="S223" s="1705" t="s">
        <v>1300</v>
      </c>
      <c r="T223" s="1705" t="s">
        <v>109</v>
      </c>
      <c r="U223" s="1705" t="s">
        <v>109</v>
      </c>
      <c r="V223" s="1719" t="s">
        <v>109</v>
      </c>
      <c r="W223" s="1705">
        <v>0</v>
      </c>
      <c r="X223" s="1705" t="s">
        <v>109</v>
      </c>
      <c r="Y223" s="1705">
        <v>0</v>
      </c>
      <c r="Z223" s="1705" t="s">
        <v>109</v>
      </c>
      <c r="AA223" s="1705" t="s">
        <v>109</v>
      </c>
      <c r="AB223" s="1712" t="s">
        <v>109</v>
      </c>
      <c r="AC223" s="1712" t="s">
        <v>109</v>
      </c>
      <c r="AD223" s="1713" t="s">
        <v>109</v>
      </c>
      <c r="AE223" s="1712" t="s">
        <v>109</v>
      </c>
      <c r="AF223" s="1712" t="s">
        <v>109</v>
      </c>
      <c r="AG223" s="1713">
        <v>0</v>
      </c>
      <c r="AH223" s="1713" t="str">
        <f>IFERROR(TBL4_OptApp[[#This Row],[Total NPC (£m)]]/TBL4_OptApp[[#This Row],[Maximum option utilisation across the planning period (Ml/d)]],"N/A")</f>
        <v>N/A</v>
      </c>
      <c r="AI223" s="1713" t="s">
        <v>109</v>
      </c>
      <c r="AJ223" s="1703" t="s">
        <v>109</v>
      </c>
      <c r="AK223" s="1705" t="s">
        <v>109</v>
      </c>
      <c r="AL223" s="1705" t="s">
        <v>109</v>
      </c>
      <c r="AM223" s="1705" t="s">
        <v>109</v>
      </c>
      <c r="AN223" s="1705" t="s">
        <v>109</v>
      </c>
      <c r="AO223" s="1705" t="s">
        <v>109</v>
      </c>
      <c r="AP223" s="1705" t="s">
        <v>109</v>
      </c>
      <c r="AQ223" s="1705" t="s">
        <v>109</v>
      </c>
      <c r="AR223" s="1705" t="s">
        <v>109</v>
      </c>
      <c r="AS223" s="1705" t="s">
        <v>109</v>
      </c>
      <c r="AT223" s="1705" t="s">
        <v>109</v>
      </c>
      <c r="AU223" s="1705" t="s">
        <v>109</v>
      </c>
      <c r="AV223" s="1705" t="s">
        <v>109</v>
      </c>
      <c r="AW223" s="1705"/>
      <c r="AX223" s="1705"/>
      <c r="AY223" s="1705"/>
      <c r="AZ223" s="1705"/>
      <c r="BA223" s="1705"/>
    </row>
    <row r="224" spans="2:53" ht="57" x14ac:dyDescent="0.2">
      <c r="B224" s="17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224" s="1703" t="s">
        <v>1329</v>
      </c>
      <c r="D224" s="1707" t="s">
        <v>1330</v>
      </c>
      <c r="E224" s="1714" t="s">
        <v>987</v>
      </c>
      <c r="F224" s="1703" t="str">
        <f>VLOOKUP(TBL4_OptApp[[#This Row],[Option type
Defined List]],'Option Typs_Grps'!B$2:C$47, 2, FALSE)</f>
        <v>Customer Options</v>
      </c>
      <c r="G224" s="1703" t="s">
        <v>861</v>
      </c>
      <c r="H224" s="1703" t="s">
        <v>871</v>
      </c>
      <c r="I224" s="1703" t="s">
        <v>863</v>
      </c>
      <c r="J224" s="1703" t="s">
        <v>109</v>
      </c>
      <c r="K224" s="1703" t="s">
        <v>109</v>
      </c>
      <c r="L224" s="1703" t="s">
        <v>863</v>
      </c>
      <c r="M224" s="1703" t="s">
        <v>863</v>
      </c>
      <c r="N224" s="1703" t="s">
        <v>863</v>
      </c>
      <c r="O224" s="1703" t="s">
        <v>863</v>
      </c>
      <c r="P224" s="1703" t="s">
        <v>863</v>
      </c>
      <c r="Q224" s="1703" t="s">
        <v>863</v>
      </c>
      <c r="R224" s="1703" t="s">
        <v>863</v>
      </c>
      <c r="S224" s="1705" t="s">
        <v>1300</v>
      </c>
      <c r="T224" s="1705" t="s">
        <v>109</v>
      </c>
      <c r="U224" s="1705" t="s">
        <v>109</v>
      </c>
      <c r="V224" s="1719" t="s">
        <v>109</v>
      </c>
      <c r="W224" s="1705">
        <v>0</v>
      </c>
      <c r="X224" s="1705" t="s">
        <v>109</v>
      </c>
      <c r="Y224" s="1705">
        <v>0</v>
      </c>
      <c r="Z224" s="1705" t="s">
        <v>109</v>
      </c>
      <c r="AA224" s="1705" t="s">
        <v>109</v>
      </c>
      <c r="AB224" s="1712" t="s">
        <v>109</v>
      </c>
      <c r="AC224" s="1712" t="s">
        <v>109</v>
      </c>
      <c r="AD224" s="1713" t="s">
        <v>109</v>
      </c>
      <c r="AE224" s="1712" t="s">
        <v>109</v>
      </c>
      <c r="AF224" s="1712" t="s">
        <v>109</v>
      </c>
      <c r="AG224" s="1713">
        <v>0</v>
      </c>
      <c r="AH224" s="1713" t="str">
        <f>IFERROR(TBL4_OptApp[[#This Row],[Total NPC (£m)]]/TBL4_OptApp[[#This Row],[Maximum option utilisation across the planning period (Ml/d)]],"N/A")</f>
        <v>N/A</v>
      </c>
      <c r="AI224" s="1713" t="s">
        <v>109</v>
      </c>
      <c r="AJ224" s="1703" t="s">
        <v>109</v>
      </c>
      <c r="AK224" s="1705" t="s">
        <v>109</v>
      </c>
      <c r="AL224" s="1705" t="s">
        <v>109</v>
      </c>
      <c r="AM224" s="1705" t="s">
        <v>109</v>
      </c>
      <c r="AN224" s="1705" t="s">
        <v>109</v>
      </c>
      <c r="AO224" s="1705" t="s">
        <v>109</v>
      </c>
      <c r="AP224" s="1705" t="s">
        <v>109</v>
      </c>
      <c r="AQ224" s="1705" t="s">
        <v>109</v>
      </c>
      <c r="AR224" s="1705" t="s">
        <v>109</v>
      </c>
      <c r="AS224" s="1705" t="s">
        <v>109</v>
      </c>
      <c r="AT224" s="1705" t="s">
        <v>109</v>
      </c>
      <c r="AU224" s="1705" t="s">
        <v>109</v>
      </c>
      <c r="AV224" s="1705" t="s">
        <v>109</v>
      </c>
      <c r="AW224" s="1705"/>
      <c r="AX224" s="1705"/>
      <c r="AY224" s="1705"/>
      <c r="AZ224" s="1705"/>
      <c r="BA224" s="1705"/>
    </row>
    <row r="225" spans="2:53" ht="57" x14ac:dyDescent="0.2">
      <c r="B225" s="17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225" s="1703" t="s">
        <v>1331</v>
      </c>
      <c r="D225" s="1707" t="s">
        <v>1332</v>
      </c>
      <c r="E225" s="1714" t="s">
        <v>1006</v>
      </c>
      <c r="F225" s="1703" t="str">
        <f>VLOOKUP(TBL4_OptApp[[#This Row],[Option type
Defined List]],'Option Typs_Grps'!B$2:C$47, 2, FALSE)</f>
        <v>Customer Options</v>
      </c>
      <c r="G225" s="1703" t="s">
        <v>861</v>
      </c>
      <c r="H225" s="1703" t="s">
        <v>871</v>
      </c>
      <c r="I225" s="1703" t="s">
        <v>863</v>
      </c>
      <c r="J225" s="1703" t="s">
        <v>109</v>
      </c>
      <c r="K225" s="1703" t="s">
        <v>109</v>
      </c>
      <c r="L225" s="1703" t="s">
        <v>863</v>
      </c>
      <c r="M225" s="1703" t="s">
        <v>863</v>
      </c>
      <c r="N225" s="1703" t="s">
        <v>863</v>
      </c>
      <c r="O225" s="1703" t="s">
        <v>863</v>
      </c>
      <c r="P225" s="1703" t="s">
        <v>863</v>
      </c>
      <c r="Q225" s="1703" t="s">
        <v>863</v>
      </c>
      <c r="R225" s="1703" t="s">
        <v>863</v>
      </c>
      <c r="S225" s="1705" t="s">
        <v>1300</v>
      </c>
      <c r="T225" s="1705" t="s">
        <v>109</v>
      </c>
      <c r="U225" s="1705" t="s">
        <v>109</v>
      </c>
      <c r="V225" s="1719" t="s">
        <v>109</v>
      </c>
      <c r="W225" s="1705">
        <v>0</v>
      </c>
      <c r="X225" s="1705" t="s">
        <v>109</v>
      </c>
      <c r="Y225" s="1705">
        <v>0</v>
      </c>
      <c r="Z225" s="1705" t="s">
        <v>109</v>
      </c>
      <c r="AA225" s="1705" t="s">
        <v>109</v>
      </c>
      <c r="AB225" s="1712" t="s">
        <v>109</v>
      </c>
      <c r="AC225" s="1712" t="s">
        <v>109</v>
      </c>
      <c r="AD225" s="1713" t="s">
        <v>109</v>
      </c>
      <c r="AE225" s="1712" t="s">
        <v>109</v>
      </c>
      <c r="AF225" s="1712" t="s">
        <v>109</v>
      </c>
      <c r="AG225" s="1713">
        <v>0</v>
      </c>
      <c r="AH225" s="1713" t="str">
        <f>IFERROR(TBL4_OptApp[[#This Row],[Total NPC (£m)]]/TBL4_OptApp[[#This Row],[Maximum option utilisation across the planning period (Ml/d)]],"N/A")</f>
        <v>N/A</v>
      </c>
      <c r="AI225" s="1713" t="s">
        <v>109</v>
      </c>
      <c r="AJ225" s="1703" t="s">
        <v>109</v>
      </c>
      <c r="AK225" s="1705" t="s">
        <v>109</v>
      </c>
      <c r="AL225" s="1705" t="s">
        <v>109</v>
      </c>
      <c r="AM225" s="1705" t="s">
        <v>109</v>
      </c>
      <c r="AN225" s="1705" t="s">
        <v>109</v>
      </c>
      <c r="AO225" s="1705" t="s">
        <v>109</v>
      </c>
      <c r="AP225" s="1705" t="s">
        <v>109</v>
      </c>
      <c r="AQ225" s="1705" t="s">
        <v>109</v>
      </c>
      <c r="AR225" s="1705" t="s">
        <v>109</v>
      </c>
      <c r="AS225" s="1705" t="s">
        <v>109</v>
      </c>
      <c r="AT225" s="1705" t="s">
        <v>109</v>
      </c>
      <c r="AU225" s="1705" t="s">
        <v>109</v>
      </c>
      <c r="AV225" s="1705" t="s">
        <v>109</v>
      </c>
      <c r="AW225" s="1705"/>
      <c r="AX225" s="1705"/>
      <c r="AY225" s="1705"/>
      <c r="AZ225" s="1705"/>
      <c r="BA225" s="1705"/>
    </row>
    <row r="226" spans="2:53" ht="57" x14ac:dyDescent="0.2">
      <c r="B226" s="17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226" s="1703" t="s">
        <v>1333</v>
      </c>
      <c r="D226" s="1707" t="s">
        <v>1334</v>
      </c>
      <c r="E226" s="1714" t="s">
        <v>987</v>
      </c>
      <c r="F226" s="1703" t="str">
        <f>VLOOKUP(TBL4_OptApp[[#This Row],[Option type
Defined List]],'Option Typs_Grps'!B$2:C$47, 2, FALSE)</f>
        <v>Customer Options</v>
      </c>
      <c r="G226" s="1703" t="s">
        <v>861</v>
      </c>
      <c r="H226" s="1703" t="s">
        <v>871</v>
      </c>
      <c r="I226" s="1703" t="s">
        <v>863</v>
      </c>
      <c r="J226" s="1703" t="s">
        <v>109</v>
      </c>
      <c r="K226" s="1703" t="s">
        <v>109</v>
      </c>
      <c r="L226" s="1703" t="s">
        <v>863</v>
      </c>
      <c r="M226" s="1703" t="s">
        <v>863</v>
      </c>
      <c r="N226" s="1703" t="s">
        <v>863</v>
      </c>
      <c r="O226" s="1703" t="s">
        <v>863</v>
      </c>
      <c r="P226" s="1703" t="s">
        <v>863</v>
      </c>
      <c r="Q226" s="1703" t="s">
        <v>863</v>
      </c>
      <c r="R226" s="1703" t="s">
        <v>863</v>
      </c>
      <c r="S226" s="1705" t="s">
        <v>1300</v>
      </c>
      <c r="T226" s="1705" t="s">
        <v>109</v>
      </c>
      <c r="U226" s="1705" t="s">
        <v>109</v>
      </c>
      <c r="V226" s="1719" t="s">
        <v>109</v>
      </c>
      <c r="W226" s="1705">
        <v>0</v>
      </c>
      <c r="X226" s="1705" t="s">
        <v>109</v>
      </c>
      <c r="Y226" s="1705">
        <v>0</v>
      </c>
      <c r="Z226" s="1705" t="s">
        <v>109</v>
      </c>
      <c r="AA226" s="1705" t="s">
        <v>109</v>
      </c>
      <c r="AB226" s="1712" t="s">
        <v>109</v>
      </c>
      <c r="AC226" s="1712" t="s">
        <v>109</v>
      </c>
      <c r="AD226" s="1713" t="s">
        <v>109</v>
      </c>
      <c r="AE226" s="1712" t="s">
        <v>109</v>
      </c>
      <c r="AF226" s="1712" t="s">
        <v>109</v>
      </c>
      <c r="AG226" s="1713">
        <v>0</v>
      </c>
      <c r="AH226" s="1713" t="str">
        <f>IFERROR(TBL4_OptApp[[#This Row],[Total NPC (£m)]]/TBL4_OptApp[[#This Row],[Maximum option utilisation across the planning period (Ml/d)]],"N/A")</f>
        <v>N/A</v>
      </c>
      <c r="AI226" s="1713" t="s">
        <v>109</v>
      </c>
      <c r="AJ226" s="1703" t="s">
        <v>109</v>
      </c>
      <c r="AK226" s="1705" t="s">
        <v>109</v>
      </c>
      <c r="AL226" s="1705" t="s">
        <v>109</v>
      </c>
      <c r="AM226" s="1705" t="s">
        <v>109</v>
      </c>
      <c r="AN226" s="1705" t="s">
        <v>109</v>
      </c>
      <c r="AO226" s="1705" t="s">
        <v>109</v>
      </c>
      <c r="AP226" s="1705" t="s">
        <v>109</v>
      </c>
      <c r="AQ226" s="1705" t="s">
        <v>109</v>
      </c>
      <c r="AR226" s="1705" t="s">
        <v>109</v>
      </c>
      <c r="AS226" s="1705" t="s">
        <v>109</v>
      </c>
      <c r="AT226" s="1705" t="s">
        <v>109</v>
      </c>
      <c r="AU226" s="1705" t="s">
        <v>109</v>
      </c>
      <c r="AV226" s="1705" t="s">
        <v>109</v>
      </c>
      <c r="AW226" s="1705"/>
      <c r="AX226" s="1705"/>
      <c r="AY226" s="1705"/>
      <c r="AZ226" s="1705"/>
      <c r="BA226" s="1705"/>
    </row>
    <row r="227" spans="2:53" ht="42.75" x14ac:dyDescent="0.2">
      <c r="B227" s="17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227" s="1703" t="s">
        <v>1335</v>
      </c>
      <c r="D227" s="1707" t="s">
        <v>1336</v>
      </c>
      <c r="E227" s="1714" t="s">
        <v>987</v>
      </c>
      <c r="F227" s="1703" t="str">
        <f>VLOOKUP(TBL4_OptApp[[#This Row],[Option type
Defined List]],'Option Typs_Grps'!B$2:C$47, 2, FALSE)</f>
        <v>Customer Options</v>
      </c>
      <c r="G227" s="1703" t="s">
        <v>861</v>
      </c>
      <c r="H227" s="1703" t="s">
        <v>876</v>
      </c>
      <c r="I227" s="1703" t="s">
        <v>863</v>
      </c>
      <c r="J227" s="1703" t="s">
        <v>109</v>
      </c>
      <c r="K227" s="1703" t="s">
        <v>1066</v>
      </c>
      <c r="L227" s="1703" t="s">
        <v>877</v>
      </c>
      <c r="M227" s="1703" t="s">
        <v>877</v>
      </c>
      <c r="N227" s="1703" t="s">
        <v>877</v>
      </c>
      <c r="O227" s="1703" t="s">
        <v>877</v>
      </c>
      <c r="P227" s="1703" t="s">
        <v>863</v>
      </c>
      <c r="Q227" s="1703" t="s">
        <v>877</v>
      </c>
      <c r="R227" s="1703" t="s">
        <v>877</v>
      </c>
      <c r="S227" s="1705" t="s">
        <v>109</v>
      </c>
      <c r="T227" s="1705" t="s">
        <v>109</v>
      </c>
      <c r="U227" s="1705" t="s">
        <v>109</v>
      </c>
      <c r="V227" s="1719">
        <v>1.1303672999314567</v>
      </c>
      <c r="W227" s="1705">
        <v>0</v>
      </c>
      <c r="X227" s="1705">
        <v>2025</v>
      </c>
      <c r="Y227" s="1705">
        <v>0</v>
      </c>
      <c r="Z227" s="1705">
        <v>8.9202786983371543E-2</v>
      </c>
      <c r="AA227" s="1705">
        <v>7.8067522983371537E-2</v>
      </c>
      <c r="AB227" s="1712">
        <v>1.1303672999314567</v>
      </c>
      <c r="AC227" s="1712">
        <v>1.1303672999314567</v>
      </c>
      <c r="AD227" s="1713" t="s">
        <v>109</v>
      </c>
      <c r="AE227" s="1712" t="s">
        <v>109</v>
      </c>
      <c r="AF227" s="1712" t="s">
        <v>109</v>
      </c>
      <c r="AG227" s="1713">
        <v>0</v>
      </c>
      <c r="AH227" s="1713">
        <f>IFERROR(TBL4_OptApp[[#This Row],[Total NPC (£m)]]/TBL4_OptApp[[#This Row],[Maximum option utilisation across the planning period (Ml/d)]],"N/A")</f>
        <v>0.63870203388230795</v>
      </c>
      <c r="AI227" s="1713">
        <v>0.72196789350027424</v>
      </c>
      <c r="AJ227" s="1703" t="s">
        <v>109</v>
      </c>
      <c r="AK227" s="1705" t="s">
        <v>109</v>
      </c>
      <c r="AL227" s="1705" t="s">
        <v>109</v>
      </c>
      <c r="AM227" s="1705" t="s">
        <v>109</v>
      </c>
      <c r="AN227" s="1705" t="s">
        <v>109</v>
      </c>
      <c r="AO227" s="1705" t="s">
        <v>109</v>
      </c>
      <c r="AP227" s="1705" t="s">
        <v>109</v>
      </c>
      <c r="AQ227" s="1705" t="s">
        <v>109</v>
      </c>
      <c r="AR227" s="1705" t="s">
        <v>109</v>
      </c>
      <c r="AS227" s="1705" t="s">
        <v>109</v>
      </c>
      <c r="AT227" s="1705" t="s">
        <v>109</v>
      </c>
      <c r="AU227" s="1705" t="s">
        <v>109</v>
      </c>
      <c r="AV227" s="1705" t="s">
        <v>109</v>
      </c>
      <c r="AW227" s="1705"/>
      <c r="AX227" s="1705"/>
      <c r="AY227" s="1705"/>
      <c r="AZ227" s="1705"/>
      <c r="BA227" s="1705"/>
    </row>
    <row r="228" spans="2:53" ht="42.75" x14ac:dyDescent="0.2">
      <c r="B228" s="17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228" s="1703" t="s">
        <v>1337</v>
      </c>
      <c r="D228" s="1707" t="s">
        <v>1338</v>
      </c>
      <c r="E228" s="1714" t="s">
        <v>1006</v>
      </c>
      <c r="F228" s="1703" t="str">
        <f>VLOOKUP(TBL4_OptApp[[#This Row],[Option type
Defined List]],'Option Typs_Grps'!B$2:C$47, 2, FALSE)</f>
        <v>Customer Options</v>
      </c>
      <c r="G228" s="1703" t="s">
        <v>861</v>
      </c>
      <c r="H228" s="1703" t="s">
        <v>876</v>
      </c>
      <c r="I228" s="1703" t="s">
        <v>863</v>
      </c>
      <c r="J228" s="1703" t="s">
        <v>109</v>
      </c>
      <c r="K228" s="1703" t="s">
        <v>1066</v>
      </c>
      <c r="L228" s="1703" t="s">
        <v>877</v>
      </c>
      <c r="M228" s="1703" t="s">
        <v>877</v>
      </c>
      <c r="N228" s="1703" t="s">
        <v>877</v>
      </c>
      <c r="O228" s="1703" t="s">
        <v>877</v>
      </c>
      <c r="P228" s="1703" t="s">
        <v>863</v>
      </c>
      <c r="Q228" s="1703" t="s">
        <v>877</v>
      </c>
      <c r="R228" s="1703" t="s">
        <v>877</v>
      </c>
      <c r="S228" s="1705" t="s">
        <v>109</v>
      </c>
      <c r="T228" s="1705" t="s">
        <v>109</v>
      </c>
      <c r="U228" s="1705" t="s">
        <v>109</v>
      </c>
      <c r="V228" s="1719">
        <v>0.2968401522929246</v>
      </c>
      <c r="W228" s="1705">
        <v>0</v>
      </c>
      <c r="X228" s="1705">
        <v>2025</v>
      </c>
      <c r="Y228" s="1705">
        <v>0</v>
      </c>
      <c r="Z228" s="1705">
        <v>1.4336162193756139E-2</v>
      </c>
      <c r="AA228" s="1705">
        <v>1.2546566193756138E-2</v>
      </c>
      <c r="AB228" s="1712">
        <v>0.2968401522929246</v>
      </c>
      <c r="AC228" s="1712">
        <v>0.2968401522929246</v>
      </c>
      <c r="AD228" s="1713" t="s">
        <v>109</v>
      </c>
      <c r="AE228" s="1712" t="s">
        <v>109</v>
      </c>
      <c r="AF228" s="1712" t="s">
        <v>109</v>
      </c>
      <c r="AG228" s="1713">
        <v>0</v>
      </c>
      <c r="AH228" s="1713">
        <f>IFERROR(TBL4_OptApp[[#This Row],[Total NPC (£m)]]/TBL4_OptApp[[#This Row],[Maximum option utilisation across the planning period (Ml/d)]],"N/A")</f>
        <v>0.39088564473597237</v>
      </c>
      <c r="AI228" s="1713">
        <v>0.11603055431254405</v>
      </c>
      <c r="AJ228" s="1703" t="s">
        <v>109</v>
      </c>
      <c r="AK228" s="1705" t="s">
        <v>109</v>
      </c>
      <c r="AL228" s="1705" t="s">
        <v>109</v>
      </c>
      <c r="AM228" s="1705" t="s">
        <v>109</v>
      </c>
      <c r="AN228" s="1705" t="s">
        <v>109</v>
      </c>
      <c r="AO228" s="1705" t="s">
        <v>109</v>
      </c>
      <c r="AP228" s="1705" t="s">
        <v>109</v>
      </c>
      <c r="AQ228" s="1705" t="s">
        <v>109</v>
      </c>
      <c r="AR228" s="1705" t="s">
        <v>109</v>
      </c>
      <c r="AS228" s="1705" t="s">
        <v>109</v>
      </c>
      <c r="AT228" s="1705" t="s">
        <v>109</v>
      </c>
      <c r="AU228" s="1705" t="s">
        <v>109</v>
      </c>
      <c r="AV228" s="1705" t="s">
        <v>109</v>
      </c>
      <c r="AW228" s="1705"/>
      <c r="AX228" s="1705"/>
      <c r="AY228" s="1705"/>
      <c r="AZ228" s="1705"/>
      <c r="BA228" s="1705"/>
    </row>
    <row r="229" spans="2:53" ht="28.5" x14ac:dyDescent="0.2">
      <c r="B229" s="17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229" s="1703" t="s">
        <v>1339</v>
      </c>
      <c r="D229" s="1707" t="s">
        <v>1340</v>
      </c>
      <c r="E229" s="1714" t="s">
        <v>1006</v>
      </c>
      <c r="F229" s="1703" t="str">
        <f>VLOOKUP(TBL4_OptApp[[#This Row],[Option type
Defined List]],'Option Typs_Grps'!B$2:C$47, 2, FALSE)</f>
        <v>Customer Options</v>
      </c>
      <c r="G229" s="1703" t="s">
        <v>861</v>
      </c>
      <c r="H229" s="1703" t="s">
        <v>876</v>
      </c>
      <c r="I229" s="1703" t="s">
        <v>863</v>
      </c>
      <c r="J229" s="1703" t="s">
        <v>109</v>
      </c>
      <c r="K229" s="1703" t="s">
        <v>1066</v>
      </c>
      <c r="L229" s="1703" t="s">
        <v>877</v>
      </c>
      <c r="M229" s="1703" t="s">
        <v>877</v>
      </c>
      <c r="N229" s="1703" t="s">
        <v>877</v>
      </c>
      <c r="O229" s="1703" t="s">
        <v>877</v>
      </c>
      <c r="P229" s="1703" t="s">
        <v>863</v>
      </c>
      <c r="Q229" s="1703" t="s">
        <v>877</v>
      </c>
      <c r="R229" s="1703" t="s">
        <v>877</v>
      </c>
      <c r="S229" s="1705" t="s">
        <v>109</v>
      </c>
      <c r="T229" s="1705" t="s">
        <v>109</v>
      </c>
      <c r="U229" s="1705" t="s">
        <v>109</v>
      </c>
      <c r="V229" s="1719">
        <v>0.13879492752359254</v>
      </c>
      <c r="W229" s="1705">
        <v>0</v>
      </c>
      <c r="X229" s="1705">
        <v>2025</v>
      </c>
      <c r="Y229" s="1705">
        <v>0</v>
      </c>
      <c r="Z229" s="1705">
        <v>0.2073899442991568</v>
      </c>
      <c r="AA229" s="1705">
        <v>0.18033920845915677</v>
      </c>
      <c r="AB229" s="1712">
        <v>0.13879492752359254</v>
      </c>
      <c r="AC229" s="1712">
        <v>0.13879492752359254</v>
      </c>
      <c r="AD229" s="1713" t="s">
        <v>109</v>
      </c>
      <c r="AE229" s="1712" t="s">
        <v>109</v>
      </c>
      <c r="AF229" s="1712" t="s">
        <v>109</v>
      </c>
      <c r="AG229" s="1713">
        <v>0</v>
      </c>
      <c r="AH229" s="1713">
        <f>IFERROR(TBL4_OptApp[[#This Row],[Total NPC (£m)]]/TBL4_OptApp[[#This Row],[Maximum option utilisation across the planning period (Ml/d)]],"N/A")</f>
        <v>11.842800169570388</v>
      </c>
      <c r="AI229" s="1713">
        <v>1.6437205912119115</v>
      </c>
      <c r="AJ229" s="1703" t="s">
        <v>109</v>
      </c>
      <c r="AK229" s="1705" t="s">
        <v>109</v>
      </c>
      <c r="AL229" s="1705" t="s">
        <v>109</v>
      </c>
      <c r="AM229" s="1705" t="s">
        <v>109</v>
      </c>
      <c r="AN229" s="1705" t="s">
        <v>109</v>
      </c>
      <c r="AO229" s="1705" t="s">
        <v>109</v>
      </c>
      <c r="AP229" s="1705" t="s">
        <v>109</v>
      </c>
      <c r="AQ229" s="1705" t="s">
        <v>109</v>
      </c>
      <c r="AR229" s="1705" t="s">
        <v>109</v>
      </c>
      <c r="AS229" s="1705" t="s">
        <v>109</v>
      </c>
      <c r="AT229" s="1705" t="s">
        <v>109</v>
      </c>
      <c r="AU229" s="1705" t="s">
        <v>109</v>
      </c>
      <c r="AV229" s="1705" t="s">
        <v>109</v>
      </c>
      <c r="AW229" s="1705"/>
      <c r="AX229" s="1705"/>
      <c r="AY229" s="1705"/>
      <c r="AZ229" s="1705"/>
      <c r="BA229" s="1705"/>
    </row>
    <row r="230" spans="2:53" ht="28.5" x14ac:dyDescent="0.2">
      <c r="B230" s="17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230" s="1703" t="s">
        <v>1341</v>
      </c>
      <c r="D230" s="1707" t="s">
        <v>1342</v>
      </c>
      <c r="E230" s="1714" t="s">
        <v>987</v>
      </c>
      <c r="F230" s="1703" t="str">
        <f>VLOOKUP(TBL4_OptApp[[#This Row],[Option type
Defined List]],'Option Typs_Grps'!B$2:C$47, 2, FALSE)</f>
        <v>Customer Options</v>
      </c>
      <c r="G230" s="1703" t="s">
        <v>861</v>
      </c>
      <c r="H230" s="1703" t="s">
        <v>876</v>
      </c>
      <c r="I230" s="1703" t="s">
        <v>863</v>
      </c>
      <c r="J230" s="1703" t="s">
        <v>109</v>
      </c>
      <c r="K230" s="1703" t="s">
        <v>1066</v>
      </c>
      <c r="L230" s="1703" t="s">
        <v>877</v>
      </c>
      <c r="M230" s="1703" t="s">
        <v>877</v>
      </c>
      <c r="N230" s="1703" t="s">
        <v>877</v>
      </c>
      <c r="O230" s="1703" t="s">
        <v>877</v>
      </c>
      <c r="P230" s="1703" t="s">
        <v>863</v>
      </c>
      <c r="Q230" s="1703" t="s">
        <v>877</v>
      </c>
      <c r="R230" s="1703" t="s">
        <v>877</v>
      </c>
      <c r="S230" s="1705" t="s">
        <v>109</v>
      </c>
      <c r="T230" s="1705" t="s">
        <v>109</v>
      </c>
      <c r="U230" s="1705" t="s">
        <v>109</v>
      </c>
      <c r="V230" s="1719">
        <v>5.3953124601822189E-3</v>
      </c>
      <c r="W230" s="1705">
        <v>0</v>
      </c>
      <c r="X230" s="1705">
        <v>2025</v>
      </c>
      <c r="Y230" s="1705">
        <v>0</v>
      </c>
      <c r="Z230" s="1705">
        <v>6.6514469296420579E-3</v>
      </c>
      <c r="AA230" s="1705">
        <v>5.8151245108420575E-3</v>
      </c>
      <c r="AB230" s="1712">
        <v>5.3953124601822189E-3</v>
      </c>
      <c r="AC230" s="1712">
        <v>5.3953124601822189E-3</v>
      </c>
      <c r="AD230" s="1713" t="s">
        <v>109</v>
      </c>
      <c r="AE230" s="1712" t="s">
        <v>109</v>
      </c>
      <c r="AF230" s="1712" t="s">
        <v>109</v>
      </c>
      <c r="AG230" s="1713">
        <v>0</v>
      </c>
      <c r="AH230" s="1713">
        <f>IFERROR(TBL4_OptApp[[#This Row],[Total NPC (£m)]]/TBL4_OptApp[[#This Row],[Maximum option utilisation across the planning period (Ml/d)]],"N/A")</f>
        <v>9.9783453691258881</v>
      </c>
      <c r="AI230" s="1713">
        <v>5.3836291102046449E-2</v>
      </c>
      <c r="AJ230" s="1703" t="s">
        <v>109</v>
      </c>
      <c r="AK230" s="1705" t="s">
        <v>109</v>
      </c>
      <c r="AL230" s="1705" t="s">
        <v>109</v>
      </c>
      <c r="AM230" s="1705" t="s">
        <v>109</v>
      </c>
      <c r="AN230" s="1705" t="s">
        <v>109</v>
      </c>
      <c r="AO230" s="1705" t="s">
        <v>109</v>
      </c>
      <c r="AP230" s="1705" t="s">
        <v>109</v>
      </c>
      <c r="AQ230" s="1705" t="s">
        <v>109</v>
      </c>
      <c r="AR230" s="1705" t="s">
        <v>109</v>
      </c>
      <c r="AS230" s="1705" t="s">
        <v>109</v>
      </c>
      <c r="AT230" s="1705" t="s">
        <v>109</v>
      </c>
      <c r="AU230" s="1705" t="s">
        <v>109</v>
      </c>
      <c r="AV230" s="1705" t="s">
        <v>109</v>
      </c>
      <c r="AW230" s="1705"/>
      <c r="AX230" s="1705"/>
      <c r="AY230" s="1705"/>
      <c r="AZ230" s="1705"/>
      <c r="BA230" s="1705"/>
    </row>
    <row r="231" spans="2:53" ht="28.5" x14ac:dyDescent="0.2">
      <c r="B231" s="17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231" s="1703" t="s">
        <v>1343</v>
      </c>
      <c r="D231" s="1707" t="s">
        <v>1344</v>
      </c>
      <c r="E231" s="1714" t="s">
        <v>987</v>
      </c>
      <c r="F231" s="1703" t="str">
        <f>VLOOKUP(TBL4_OptApp[[#This Row],[Option type
Defined List]],'Option Typs_Grps'!B$2:C$47, 2, FALSE)</f>
        <v>Customer Options</v>
      </c>
      <c r="G231" s="1703" t="s">
        <v>861</v>
      </c>
      <c r="H231" s="1703" t="s">
        <v>876</v>
      </c>
      <c r="I231" s="1703" t="s">
        <v>863</v>
      </c>
      <c r="J231" s="1703" t="s">
        <v>109</v>
      </c>
      <c r="K231" s="1703" t="s">
        <v>1066</v>
      </c>
      <c r="L231" s="1703" t="s">
        <v>877</v>
      </c>
      <c r="M231" s="1703" t="s">
        <v>877</v>
      </c>
      <c r="N231" s="1703" t="s">
        <v>877</v>
      </c>
      <c r="O231" s="1703" t="s">
        <v>877</v>
      </c>
      <c r="P231" s="1703" t="s">
        <v>863</v>
      </c>
      <c r="Q231" s="1703" t="s">
        <v>877</v>
      </c>
      <c r="R231" s="1703" t="s">
        <v>877</v>
      </c>
      <c r="S231" s="1705" t="s">
        <v>109</v>
      </c>
      <c r="T231" s="1705" t="s">
        <v>109</v>
      </c>
      <c r="U231" s="1705" t="s">
        <v>109</v>
      </c>
      <c r="V231" s="1719">
        <v>4.0258552092594968</v>
      </c>
      <c r="W231" s="1705">
        <v>0</v>
      </c>
      <c r="X231" s="1705">
        <v>2025</v>
      </c>
      <c r="Y231" s="1705">
        <v>0</v>
      </c>
      <c r="Z231" s="1705">
        <v>0.22631797511469512</v>
      </c>
      <c r="AA231" s="1705">
        <v>0.19786179131469508</v>
      </c>
      <c r="AB231" s="1712">
        <v>4.0258552092594968</v>
      </c>
      <c r="AC231" s="1712">
        <v>4.0258552092594968</v>
      </c>
      <c r="AD231" s="1713" t="s">
        <v>109</v>
      </c>
      <c r="AE231" s="1712" t="s">
        <v>109</v>
      </c>
      <c r="AF231" s="1712" t="s">
        <v>109</v>
      </c>
      <c r="AG231" s="1713">
        <v>0</v>
      </c>
      <c r="AH231" s="1713">
        <f>IFERROR(TBL4_OptApp[[#This Row],[Total NPC (£m)]]/TBL4_OptApp[[#This Row],[Maximum option utilisation across the planning period (Ml/d)]],"N/A")</f>
        <v>0.45500890876087025</v>
      </c>
      <c r="AI231" s="1713">
        <v>1.8317999855944285</v>
      </c>
      <c r="AJ231" s="1703" t="s">
        <v>109</v>
      </c>
      <c r="AK231" s="1705" t="s">
        <v>109</v>
      </c>
      <c r="AL231" s="1705" t="s">
        <v>109</v>
      </c>
      <c r="AM231" s="1705" t="s">
        <v>109</v>
      </c>
      <c r="AN231" s="1705" t="s">
        <v>109</v>
      </c>
      <c r="AO231" s="1705" t="s">
        <v>109</v>
      </c>
      <c r="AP231" s="1705" t="s">
        <v>109</v>
      </c>
      <c r="AQ231" s="1705" t="s">
        <v>109</v>
      </c>
      <c r="AR231" s="1705" t="s">
        <v>109</v>
      </c>
      <c r="AS231" s="1705" t="s">
        <v>109</v>
      </c>
      <c r="AT231" s="1705" t="s">
        <v>109</v>
      </c>
      <c r="AU231" s="1705" t="s">
        <v>109</v>
      </c>
      <c r="AV231" s="1705" t="s">
        <v>109</v>
      </c>
      <c r="AW231" s="1705"/>
      <c r="AX231" s="1705"/>
      <c r="AY231" s="1705"/>
      <c r="AZ231" s="1705"/>
      <c r="BA231" s="1705"/>
    </row>
    <row r="232" spans="2:53" ht="28.5" x14ac:dyDescent="0.2">
      <c r="B232" s="17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232" s="1703" t="s">
        <v>1345</v>
      </c>
      <c r="D232" s="1707" t="s">
        <v>1346</v>
      </c>
      <c r="E232" s="1714" t="s">
        <v>987</v>
      </c>
      <c r="F232" s="1703" t="str">
        <f>VLOOKUP(TBL4_OptApp[[#This Row],[Option type
Defined List]],'Option Typs_Grps'!B$2:C$47, 2, FALSE)</f>
        <v>Customer Options</v>
      </c>
      <c r="G232" s="1703" t="s">
        <v>861</v>
      </c>
      <c r="H232" s="1703" t="s">
        <v>876</v>
      </c>
      <c r="I232" s="1703" t="s">
        <v>863</v>
      </c>
      <c r="J232" s="1703" t="s">
        <v>109</v>
      </c>
      <c r="K232" s="1703" t="s">
        <v>1066</v>
      </c>
      <c r="L232" s="1703" t="s">
        <v>877</v>
      </c>
      <c r="M232" s="1703" t="s">
        <v>877</v>
      </c>
      <c r="N232" s="1703" t="s">
        <v>877</v>
      </c>
      <c r="O232" s="1703" t="s">
        <v>877</v>
      </c>
      <c r="P232" s="1703" t="s">
        <v>863</v>
      </c>
      <c r="Q232" s="1703" t="s">
        <v>877</v>
      </c>
      <c r="R232" s="1703" t="s">
        <v>877</v>
      </c>
      <c r="S232" s="1705" t="s">
        <v>109</v>
      </c>
      <c r="T232" s="1705" t="s">
        <v>109</v>
      </c>
      <c r="U232" s="1705" t="s">
        <v>109</v>
      </c>
      <c r="V232" s="1719">
        <v>0.32498823289568179</v>
      </c>
      <c r="W232" s="1705">
        <v>0</v>
      </c>
      <c r="X232" s="1705">
        <v>2025</v>
      </c>
      <c r="Y232" s="1705">
        <v>0</v>
      </c>
      <c r="Z232" s="1705">
        <v>6.1374366132798668E-2</v>
      </c>
      <c r="AA232" s="1705">
        <v>5.3657434932798669E-2</v>
      </c>
      <c r="AB232" s="1712">
        <v>0.32498823289568179</v>
      </c>
      <c r="AC232" s="1712">
        <v>0.32498823289568179</v>
      </c>
      <c r="AD232" s="1713" t="s">
        <v>109</v>
      </c>
      <c r="AE232" s="1712" t="s">
        <v>109</v>
      </c>
      <c r="AF232" s="1712" t="s">
        <v>109</v>
      </c>
      <c r="AG232" s="1713">
        <v>0</v>
      </c>
      <c r="AH232" s="1713">
        <f>IFERROR(TBL4_OptApp[[#This Row],[Total NPC (£m)]]/TBL4_OptApp[[#This Row],[Maximum option utilisation across the planning period (Ml/d)]],"N/A")</f>
        <v>1.5285455528685494</v>
      </c>
      <c r="AI232" s="1713">
        <v>0.49675931812730284</v>
      </c>
      <c r="AJ232" s="1703" t="s">
        <v>109</v>
      </c>
      <c r="AK232" s="1705" t="s">
        <v>109</v>
      </c>
      <c r="AL232" s="1705" t="s">
        <v>109</v>
      </c>
      <c r="AM232" s="1705" t="s">
        <v>109</v>
      </c>
      <c r="AN232" s="1705" t="s">
        <v>109</v>
      </c>
      <c r="AO232" s="1705" t="s">
        <v>109</v>
      </c>
      <c r="AP232" s="1705" t="s">
        <v>109</v>
      </c>
      <c r="AQ232" s="1705" t="s">
        <v>109</v>
      </c>
      <c r="AR232" s="1705" t="s">
        <v>109</v>
      </c>
      <c r="AS232" s="1705" t="s">
        <v>109</v>
      </c>
      <c r="AT232" s="1705" t="s">
        <v>109</v>
      </c>
      <c r="AU232" s="1705" t="s">
        <v>109</v>
      </c>
      <c r="AV232" s="1705" t="s">
        <v>109</v>
      </c>
      <c r="AW232" s="1705"/>
      <c r="AX232" s="1705"/>
      <c r="AY232" s="1705"/>
      <c r="AZ232" s="1705"/>
      <c r="BA232" s="1705"/>
    </row>
    <row r="233" spans="2:53" ht="42.75" x14ac:dyDescent="0.2">
      <c r="B233" s="17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233" s="1703" t="s">
        <v>1347</v>
      </c>
      <c r="D233" s="1707" t="s">
        <v>1348</v>
      </c>
      <c r="E233" s="1714" t="s">
        <v>987</v>
      </c>
      <c r="F233" s="1703" t="str">
        <f>VLOOKUP(TBL4_OptApp[[#This Row],[Option type
Defined List]],'Option Typs_Grps'!B$2:C$47, 2, FALSE)</f>
        <v>Customer Options</v>
      </c>
      <c r="G233" s="1703" t="s">
        <v>861</v>
      </c>
      <c r="H233" s="1703" t="s">
        <v>876</v>
      </c>
      <c r="I233" s="1703" t="s">
        <v>863</v>
      </c>
      <c r="J233" s="1703" t="s">
        <v>109</v>
      </c>
      <c r="K233" s="1703" t="s">
        <v>1066</v>
      </c>
      <c r="L233" s="1703" t="s">
        <v>877</v>
      </c>
      <c r="M233" s="1703" t="s">
        <v>877</v>
      </c>
      <c r="N233" s="1703" t="s">
        <v>877</v>
      </c>
      <c r="O233" s="1703" t="s">
        <v>877</v>
      </c>
      <c r="P233" s="1703" t="s">
        <v>863</v>
      </c>
      <c r="Q233" s="1703" t="s">
        <v>877</v>
      </c>
      <c r="R233" s="1703" t="s">
        <v>877</v>
      </c>
      <c r="S233" s="1705" t="s">
        <v>109</v>
      </c>
      <c r="T233" s="1705" t="s">
        <v>109</v>
      </c>
      <c r="U233" s="1705" t="s">
        <v>109</v>
      </c>
      <c r="V233" s="1719">
        <v>0.69397463761796274</v>
      </c>
      <c r="W233" s="1705">
        <v>0</v>
      </c>
      <c r="X233" s="1705">
        <v>2025</v>
      </c>
      <c r="Y233" s="1705">
        <v>0</v>
      </c>
      <c r="Z233" s="1705">
        <v>7.1212209789469488E-2</v>
      </c>
      <c r="AA233" s="1705">
        <v>6.1923704109469485E-2</v>
      </c>
      <c r="AB233" s="1712">
        <v>0.69397463761796274</v>
      </c>
      <c r="AC233" s="1712">
        <v>0.69397463761796274</v>
      </c>
      <c r="AD233" s="1713" t="s">
        <v>109</v>
      </c>
      <c r="AE233" s="1712" t="s">
        <v>109</v>
      </c>
      <c r="AF233" s="1712" t="s">
        <v>109</v>
      </c>
      <c r="AG233" s="1713">
        <v>0</v>
      </c>
      <c r="AH233" s="1713">
        <f>IFERROR(TBL4_OptApp[[#This Row],[Total NPC (£m)]]/TBL4_OptApp[[#This Row],[Maximum option utilisation across the planning period (Ml/d)]],"N/A")</f>
        <v>0.81330073453676144</v>
      </c>
      <c r="AI233" s="1713">
        <v>0.56441008252457192</v>
      </c>
      <c r="AJ233" s="1703" t="s">
        <v>109</v>
      </c>
      <c r="AK233" s="1705" t="s">
        <v>109</v>
      </c>
      <c r="AL233" s="1705" t="s">
        <v>109</v>
      </c>
      <c r="AM233" s="1705" t="s">
        <v>109</v>
      </c>
      <c r="AN233" s="1705" t="s">
        <v>109</v>
      </c>
      <c r="AO233" s="1705" t="s">
        <v>109</v>
      </c>
      <c r="AP233" s="1705" t="s">
        <v>109</v>
      </c>
      <c r="AQ233" s="1705" t="s">
        <v>109</v>
      </c>
      <c r="AR233" s="1705" t="s">
        <v>109</v>
      </c>
      <c r="AS233" s="1705" t="s">
        <v>109</v>
      </c>
      <c r="AT233" s="1705" t="s">
        <v>109</v>
      </c>
      <c r="AU233" s="1705" t="s">
        <v>109</v>
      </c>
      <c r="AV233" s="1705" t="s">
        <v>109</v>
      </c>
      <c r="AW233" s="1705"/>
      <c r="AX233" s="1705"/>
      <c r="AY233" s="1705"/>
      <c r="AZ233" s="1705"/>
      <c r="BA233" s="1705"/>
    </row>
    <row r="234" spans="2:53" ht="42.75" x14ac:dyDescent="0.2">
      <c r="B234" s="17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234" s="1703" t="s">
        <v>1349</v>
      </c>
      <c r="D234" s="1707" t="s">
        <v>1350</v>
      </c>
      <c r="E234" s="1714" t="s">
        <v>1142</v>
      </c>
      <c r="F234" s="1703" t="str">
        <f>VLOOKUP(TBL4_OptApp[[#This Row],[Option type
Defined List]],'Option Typs_Grps'!B$2:C$47, 2, FALSE)</f>
        <v>Customer Options</v>
      </c>
      <c r="G234" s="1703" t="s">
        <v>861</v>
      </c>
      <c r="H234" s="1703" t="s">
        <v>876</v>
      </c>
      <c r="I234" s="1703" t="s">
        <v>863</v>
      </c>
      <c r="J234" s="1703" t="s">
        <v>109</v>
      </c>
      <c r="K234" s="1703" t="s">
        <v>1066</v>
      </c>
      <c r="L234" s="1703" t="s">
        <v>877</v>
      </c>
      <c r="M234" s="1703" t="s">
        <v>877</v>
      </c>
      <c r="N234" s="1703" t="s">
        <v>877</v>
      </c>
      <c r="O234" s="1703" t="s">
        <v>877</v>
      </c>
      <c r="P234" s="1703" t="s">
        <v>863</v>
      </c>
      <c r="Q234" s="1703" t="s">
        <v>877</v>
      </c>
      <c r="R234" s="1703" t="s">
        <v>877</v>
      </c>
      <c r="S234" s="1705" t="s">
        <v>109</v>
      </c>
      <c r="T234" s="1705" t="s">
        <v>109</v>
      </c>
      <c r="U234" s="1705" t="s">
        <v>109</v>
      </c>
      <c r="V234" s="1719">
        <v>0.61311232225250767</v>
      </c>
      <c r="W234" s="1705">
        <v>0</v>
      </c>
      <c r="X234" s="1705">
        <v>2025</v>
      </c>
      <c r="Y234" s="1705">
        <v>0</v>
      </c>
      <c r="Z234" s="1705">
        <v>0.13566738432911024</v>
      </c>
      <c r="AA234" s="1705">
        <v>0.11997438432911024</v>
      </c>
      <c r="AB234" s="1712">
        <v>0.61311232225250767</v>
      </c>
      <c r="AC234" s="1712">
        <v>0.61311232225250767</v>
      </c>
      <c r="AD234" s="1713" t="s">
        <v>109</v>
      </c>
      <c r="AE234" s="1712" t="s">
        <v>109</v>
      </c>
      <c r="AF234" s="1712" t="s">
        <v>109</v>
      </c>
      <c r="AG234" s="1713">
        <v>0</v>
      </c>
      <c r="AH234" s="1713">
        <f>IFERROR(TBL4_OptApp[[#This Row],[Total NPC (£m)]]/TBL4_OptApp[[#This Row],[Maximum option utilisation across the planning period (Ml/d)]],"N/A")</f>
        <v>1.8706894819514945</v>
      </c>
      <c r="AI234" s="1713">
        <v>1.1469427724926213</v>
      </c>
      <c r="AJ234" s="1703" t="s">
        <v>109</v>
      </c>
      <c r="AK234" s="1705" t="s">
        <v>109</v>
      </c>
      <c r="AL234" s="1705" t="s">
        <v>109</v>
      </c>
      <c r="AM234" s="1705" t="s">
        <v>109</v>
      </c>
      <c r="AN234" s="1705" t="s">
        <v>109</v>
      </c>
      <c r="AO234" s="1705" t="s">
        <v>109</v>
      </c>
      <c r="AP234" s="1705" t="s">
        <v>109</v>
      </c>
      <c r="AQ234" s="1705" t="s">
        <v>109</v>
      </c>
      <c r="AR234" s="1705" t="s">
        <v>109</v>
      </c>
      <c r="AS234" s="1705" t="s">
        <v>109</v>
      </c>
      <c r="AT234" s="1705" t="s">
        <v>109</v>
      </c>
      <c r="AU234" s="1705" t="s">
        <v>109</v>
      </c>
      <c r="AV234" s="1705" t="s">
        <v>109</v>
      </c>
      <c r="AW234" s="1705"/>
      <c r="AX234" s="1705"/>
      <c r="AY234" s="1705"/>
      <c r="AZ234" s="1705"/>
      <c r="BA234" s="1705"/>
    </row>
    <row r="235" spans="2:53" ht="28.5" x14ac:dyDescent="0.2">
      <c r="B235" s="17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235" s="1703" t="s">
        <v>1351</v>
      </c>
      <c r="D235" s="1707" t="s">
        <v>1352</v>
      </c>
      <c r="E235" s="1714" t="s">
        <v>1006</v>
      </c>
      <c r="F235" s="1703" t="str">
        <f>VLOOKUP(TBL4_OptApp[[#This Row],[Option type
Defined List]],'Option Typs_Grps'!B$2:C$47, 2, FALSE)</f>
        <v>Customer Options</v>
      </c>
      <c r="G235" s="1703" t="s">
        <v>861</v>
      </c>
      <c r="H235" s="1703" t="s">
        <v>876</v>
      </c>
      <c r="I235" s="1703" t="s">
        <v>863</v>
      </c>
      <c r="J235" s="1703" t="s">
        <v>109</v>
      </c>
      <c r="K235" s="1703" t="s">
        <v>109</v>
      </c>
      <c r="L235" s="1703" t="s">
        <v>877</v>
      </c>
      <c r="M235" s="1703" t="s">
        <v>877</v>
      </c>
      <c r="N235" s="1703" t="s">
        <v>877</v>
      </c>
      <c r="O235" s="1703" t="s">
        <v>877</v>
      </c>
      <c r="P235" s="1703" t="s">
        <v>863</v>
      </c>
      <c r="Q235" s="1703" t="s">
        <v>877</v>
      </c>
      <c r="R235" s="1703" t="s">
        <v>877</v>
      </c>
      <c r="S235" s="1705" t="s">
        <v>109</v>
      </c>
      <c r="T235" s="1705" t="s">
        <v>109</v>
      </c>
      <c r="U235" s="1705" t="s">
        <v>109</v>
      </c>
      <c r="V235" s="1719">
        <v>0.21182819619798834</v>
      </c>
      <c r="W235" s="1705">
        <v>0</v>
      </c>
      <c r="X235" s="1705">
        <v>2025</v>
      </c>
      <c r="Y235" s="1705">
        <v>0</v>
      </c>
      <c r="Z235" s="1705">
        <v>1.5907247120570114E-3</v>
      </c>
      <c r="AA235" s="1705">
        <v>1.5907247120570114E-3</v>
      </c>
      <c r="AB235" s="1712">
        <v>0.21182819619798834</v>
      </c>
      <c r="AC235" s="1712">
        <v>0.21182819619798834</v>
      </c>
      <c r="AD235" s="1713" t="s">
        <v>109</v>
      </c>
      <c r="AE235" s="1712" t="s">
        <v>109</v>
      </c>
      <c r="AF235" s="1712" t="s">
        <v>109</v>
      </c>
      <c r="AG235" s="1713">
        <v>0</v>
      </c>
      <c r="AH235" s="1713">
        <f>IFERROR(TBL4_OptApp[[#This Row],[Total NPC (£m)]]/TBL4_OptApp[[#This Row],[Maximum option utilisation across the planning period (Ml/d)]],"N/A")</f>
        <v>0.14275847771149336</v>
      </c>
      <c r="AI235" s="1713">
        <v>3.0240270825596362E-2</v>
      </c>
      <c r="AJ235" s="1703" t="s">
        <v>109</v>
      </c>
      <c r="AK235" s="1705" t="s">
        <v>109</v>
      </c>
      <c r="AL235" s="1705" t="s">
        <v>109</v>
      </c>
      <c r="AM235" s="1705" t="s">
        <v>109</v>
      </c>
      <c r="AN235" s="1705" t="s">
        <v>109</v>
      </c>
      <c r="AO235" s="1705" t="s">
        <v>109</v>
      </c>
      <c r="AP235" s="1705" t="s">
        <v>109</v>
      </c>
      <c r="AQ235" s="1705" t="s">
        <v>109</v>
      </c>
      <c r="AR235" s="1705" t="s">
        <v>109</v>
      </c>
      <c r="AS235" s="1705" t="s">
        <v>109</v>
      </c>
      <c r="AT235" s="1705" t="s">
        <v>109</v>
      </c>
      <c r="AU235" s="1705" t="s">
        <v>109</v>
      </c>
      <c r="AV235" s="1705" t="s">
        <v>109</v>
      </c>
      <c r="AW235" s="1705"/>
      <c r="AX235" s="1705"/>
      <c r="AY235" s="1705"/>
      <c r="AZ235" s="1705"/>
      <c r="BA235" s="1705"/>
    </row>
    <row r="236" spans="2:53" ht="28.5" x14ac:dyDescent="0.2">
      <c r="B236" s="17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236" s="1703" t="s">
        <v>1353</v>
      </c>
      <c r="D236" s="1707" t="s">
        <v>1354</v>
      </c>
      <c r="E236" s="1714" t="s">
        <v>987</v>
      </c>
      <c r="F236" s="1703" t="str">
        <f>VLOOKUP(TBL4_OptApp[[#This Row],[Option type
Defined List]],'Option Typs_Grps'!B$2:C$47, 2, FALSE)</f>
        <v>Customer Options</v>
      </c>
      <c r="G236" s="1703" t="s">
        <v>861</v>
      </c>
      <c r="H236" s="1703" t="s">
        <v>876</v>
      </c>
      <c r="I236" s="1703" t="s">
        <v>863</v>
      </c>
      <c r="J236" s="1703" t="s">
        <v>109</v>
      </c>
      <c r="K236" s="1703" t="s">
        <v>109</v>
      </c>
      <c r="L236" s="1703" t="s">
        <v>877</v>
      </c>
      <c r="M236" s="1703" t="s">
        <v>877</v>
      </c>
      <c r="N236" s="1703" t="s">
        <v>877</v>
      </c>
      <c r="O236" s="1703" t="s">
        <v>877</v>
      </c>
      <c r="P236" s="1703" t="s">
        <v>863</v>
      </c>
      <c r="Q236" s="1703" t="s">
        <v>877</v>
      </c>
      <c r="R236" s="1703" t="s">
        <v>877</v>
      </c>
      <c r="S236" s="1705" t="s">
        <v>109</v>
      </c>
      <c r="T236" s="1705" t="s">
        <v>109</v>
      </c>
      <c r="U236" s="1705" t="s">
        <v>109</v>
      </c>
      <c r="V236" s="1719">
        <v>0.36313405062512288</v>
      </c>
      <c r="W236" s="1705">
        <v>0</v>
      </c>
      <c r="X236" s="1705">
        <v>2025</v>
      </c>
      <c r="Y236" s="1705">
        <v>0</v>
      </c>
      <c r="Z236" s="1705">
        <v>2.0824511869502822E-4</v>
      </c>
      <c r="AA236" s="1705">
        <v>2.0824511869502822E-4</v>
      </c>
      <c r="AB236" s="1712">
        <v>0.36313405062512288</v>
      </c>
      <c r="AC236" s="1712">
        <v>0.36313405062512288</v>
      </c>
      <c r="AD236" s="1713" t="s">
        <v>109</v>
      </c>
      <c r="AE236" s="1712" t="s">
        <v>109</v>
      </c>
      <c r="AF236" s="1712" t="s">
        <v>109</v>
      </c>
      <c r="AG236" s="1713">
        <v>0</v>
      </c>
      <c r="AH236" s="1713">
        <f>IFERROR(TBL4_OptApp[[#This Row],[Total NPC (£m)]]/TBL4_OptApp[[#This Row],[Maximum option utilisation across the planning period (Ml/d)]],"N/A")</f>
        <v>7.1479703168960684E-3</v>
      </c>
      <c r="AI236" s="1713">
        <v>2.5956714149226127E-3</v>
      </c>
      <c r="AJ236" s="1703" t="s">
        <v>109</v>
      </c>
      <c r="AK236" s="1705" t="s">
        <v>109</v>
      </c>
      <c r="AL236" s="1705" t="s">
        <v>109</v>
      </c>
      <c r="AM236" s="1705" t="s">
        <v>109</v>
      </c>
      <c r="AN236" s="1705" t="s">
        <v>109</v>
      </c>
      <c r="AO236" s="1705" t="s">
        <v>109</v>
      </c>
      <c r="AP236" s="1705" t="s">
        <v>109</v>
      </c>
      <c r="AQ236" s="1705" t="s">
        <v>109</v>
      </c>
      <c r="AR236" s="1705" t="s">
        <v>109</v>
      </c>
      <c r="AS236" s="1705" t="s">
        <v>109</v>
      </c>
      <c r="AT236" s="1705" t="s">
        <v>109</v>
      </c>
      <c r="AU236" s="1705" t="s">
        <v>109</v>
      </c>
      <c r="AV236" s="1705" t="s">
        <v>109</v>
      </c>
      <c r="AW236" s="1705"/>
      <c r="AX236" s="1705"/>
      <c r="AY236" s="1705"/>
      <c r="AZ236" s="1705"/>
      <c r="BA236" s="1705"/>
    </row>
    <row r="237" spans="2:53" ht="28.5" x14ac:dyDescent="0.2">
      <c r="B237" s="17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237" s="1703" t="s">
        <v>1355</v>
      </c>
      <c r="D237" s="1707" t="s">
        <v>1356</v>
      </c>
      <c r="E237" s="1714" t="s">
        <v>987</v>
      </c>
      <c r="F237" s="1703" t="str">
        <f>VLOOKUP(TBL4_OptApp[[#This Row],[Option type
Defined List]],'Option Typs_Grps'!B$2:C$47, 2, FALSE)</f>
        <v>Customer Options</v>
      </c>
      <c r="G237" s="1703" t="s">
        <v>861</v>
      </c>
      <c r="H237" s="1703" t="s">
        <v>876</v>
      </c>
      <c r="I237" s="1703" t="s">
        <v>863</v>
      </c>
      <c r="J237" s="1703" t="s">
        <v>109</v>
      </c>
      <c r="K237" s="1703" t="s">
        <v>109</v>
      </c>
      <c r="L237" s="1703" t="s">
        <v>877</v>
      </c>
      <c r="M237" s="1703" t="s">
        <v>877</v>
      </c>
      <c r="N237" s="1703" t="s">
        <v>877</v>
      </c>
      <c r="O237" s="1703" t="s">
        <v>877</v>
      </c>
      <c r="P237" s="1703" t="s">
        <v>863</v>
      </c>
      <c r="Q237" s="1703" t="s">
        <v>877</v>
      </c>
      <c r="R237" s="1703" t="s">
        <v>877</v>
      </c>
      <c r="S237" s="1705" t="s">
        <v>109</v>
      </c>
      <c r="T237" s="1705" t="s">
        <v>109</v>
      </c>
      <c r="U237" s="1705" t="s">
        <v>109</v>
      </c>
      <c r="V237" s="1719">
        <v>0.66574575947939207</v>
      </c>
      <c r="W237" s="1705">
        <v>0</v>
      </c>
      <c r="X237" s="1705">
        <v>2025</v>
      </c>
      <c r="Y237" s="1705">
        <v>0</v>
      </c>
      <c r="Z237" s="1705">
        <v>3.1579229977298055E-2</v>
      </c>
      <c r="AA237" s="1705">
        <v>3.1579229977298055E-2</v>
      </c>
      <c r="AB237" s="1712">
        <v>0.66574575947939207</v>
      </c>
      <c r="AC237" s="1712">
        <v>0.66574575947939207</v>
      </c>
      <c r="AD237" s="1713" t="s">
        <v>109</v>
      </c>
      <c r="AE237" s="1712" t="s">
        <v>109</v>
      </c>
      <c r="AF237" s="1712" t="s">
        <v>109</v>
      </c>
      <c r="AG237" s="1713">
        <v>0</v>
      </c>
      <c r="AH237" s="1713">
        <f>IFERROR(TBL4_OptApp[[#This Row],[Total NPC (£m)]]/TBL4_OptApp[[#This Row],[Maximum option utilisation across the planning period (Ml/d)]],"N/A")</f>
        <v>0.64752721792904011</v>
      </c>
      <c r="AI237" s="1713">
        <v>0.43108849948374667</v>
      </c>
      <c r="AJ237" s="1703" t="s">
        <v>109</v>
      </c>
      <c r="AK237" s="1705" t="s">
        <v>109</v>
      </c>
      <c r="AL237" s="1705" t="s">
        <v>109</v>
      </c>
      <c r="AM237" s="1705" t="s">
        <v>109</v>
      </c>
      <c r="AN237" s="1705" t="s">
        <v>109</v>
      </c>
      <c r="AO237" s="1705" t="s">
        <v>109</v>
      </c>
      <c r="AP237" s="1705" t="s">
        <v>109</v>
      </c>
      <c r="AQ237" s="1705" t="s">
        <v>109</v>
      </c>
      <c r="AR237" s="1705" t="s">
        <v>109</v>
      </c>
      <c r="AS237" s="1705" t="s">
        <v>109</v>
      </c>
      <c r="AT237" s="1705" t="s">
        <v>109</v>
      </c>
      <c r="AU237" s="1705" t="s">
        <v>109</v>
      </c>
      <c r="AV237" s="1705" t="s">
        <v>109</v>
      </c>
      <c r="AW237" s="1705"/>
      <c r="AX237" s="1705"/>
      <c r="AY237" s="1705"/>
      <c r="AZ237" s="1705"/>
      <c r="BA237" s="1705"/>
    </row>
    <row r="238" spans="2:53" x14ac:dyDescent="0.2">
      <c r="B238" s="17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238" s="1703" t="s">
        <v>1357</v>
      </c>
      <c r="D238" s="1707" t="s">
        <v>1358</v>
      </c>
      <c r="E238" s="1714" t="s">
        <v>1359</v>
      </c>
      <c r="F238" s="1703" t="str">
        <f>VLOOKUP(TBL4_OptApp[[#This Row],[Option type
Defined List]],'Option Typs_Grps'!B$2:C$47, 2, FALSE)</f>
        <v>Customer Options</v>
      </c>
      <c r="G238" s="1703" t="s">
        <v>861</v>
      </c>
      <c r="H238" s="1703" t="s">
        <v>876</v>
      </c>
      <c r="I238" s="1703" t="s">
        <v>863</v>
      </c>
      <c r="J238" s="1703" t="s">
        <v>109</v>
      </c>
      <c r="K238" s="1703" t="s">
        <v>109</v>
      </c>
      <c r="L238" s="1703" t="s">
        <v>877</v>
      </c>
      <c r="M238" s="1703" t="s">
        <v>877</v>
      </c>
      <c r="N238" s="1703" t="s">
        <v>877</v>
      </c>
      <c r="O238" s="1703" t="s">
        <v>877</v>
      </c>
      <c r="P238" s="1703" t="s">
        <v>863</v>
      </c>
      <c r="Q238" s="1703" t="s">
        <v>877</v>
      </c>
      <c r="R238" s="1703" t="s">
        <v>877</v>
      </c>
      <c r="S238" s="1705" t="s">
        <v>109</v>
      </c>
      <c r="T238" s="1705" t="s">
        <v>109</v>
      </c>
      <c r="U238" s="1705" t="s">
        <v>109</v>
      </c>
      <c r="V238" s="1719">
        <v>5.6299852810096573E-4</v>
      </c>
      <c r="W238" s="1705">
        <v>0</v>
      </c>
      <c r="X238" s="1705">
        <v>2025</v>
      </c>
      <c r="Y238" s="1705">
        <v>0</v>
      </c>
      <c r="Z238" s="1705">
        <v>1.8311438480356527E-3</v>
      </c>
      <c r="AA238" s="1705">
        <v>1.8311438480356527E-3</v>
      </c>
      <c r="AB238" s="1712">
        <v>5.6299852810096573E-4</v>
      </c>
      <c r="AC238" s="1712">
        <v>5.6299852810096573E-4</v>
      </c>
      <c r="AD238" s="1713" t="s">
        <v>109</v>
      </c>
      <c r="AE238" s="1712" t="s">
        <v>109</v>
      </c>
      <c r="AF238" s="1712" t="s">
        <v>109</v>
      </c>
      <c r="AG238" s="1713">
        <v>0</v>
      </c>
      <c r="AH238" s="1713">
        <f>IFERROR(TBL4_OptApp[[#This Row],[Total NPC (£m)]]/TBL4_OptApp[[#This Row],[Maximum option utilisation across the planning period (Ml/d)]],"N/A")</f>
        <v>159.77930044387867</v>
      </c>
      <c r="AI238" s="1713">
        <v>8.9955510970905678E-2</v>
      </c>
      <c r="AJ238" s="1703" t="s">
        <v>109</v>
      </c>
      <c r="AK238" s="1705" t="s">
        <v>109</v>
      </c>
      <c r="AL238" s="1705" t="s">
        <v>109</v>
      </c>
      <c r="AM238" s="1705" t="s">
        <v>109</v>
      </c>
      <c r="AN238" s="1705" t="s">
        <v>109</v>
      </c>
      <c r="AO238" s="1705" t="s">
        <v>109</v>
      </c>
      <c r="AP238" s="1705" t="s">
        <v>109</v>
      </c>
      <c r="AQ238" s="1705" t="s">
        <v>109</v>
      </c>
      <c r="AR238" s="1705" t="s">
        <v>109</v>
      </c>
      <c r="AS238" s="1705" t="s">
        <v>109</v>
      </c>
      <c r="AT238" s="1705" t="s">
        <v>109</v>
      </c>
      <c r="AU238" s="1705" t="s">
        <v>109</v>
      </c>
      <c r="AV238" s="1705" t="s">
        <v>109</v>
      </c>
      <c r="AW238" s="1705"/>
      <c r="AX238" s="1705"/>
      <c r="AY238" s="1705"/>
      <c r="AZ238" s="1705"/>
      <c r="BA238" s="1705"/>
    </row>
    <row r="239" spans="2:53" x14ac:dyDescent="0.2">
      <c r="B239" s="17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239" s="1703" t="s">
        <v>1360</v>
      </c>
      <c r="D239" s="1707" t="s">
        <v>1361</v>
      </c>
      <c r="E239" s="1714" t="s">
        <v>987</v>
      </c>
      <c r="F239" s="1703" t="str">
        <f>VLOOKUP(TBL4_OptApp[[#This Row],[Option type
Defined List]],'Option Typs_Grps'!B$2:C$47, 2, FALSE)</f>
        <v>Customer Options</v>
      </c>
      <c r="G239" s="1703" t="s">
        <v>861</v>
      </c>
      <c r="H239" s="1703" t="s">
        <v>876</v>
      </c>
      <c r="I239" s="1703" t="s">
        <v>863</v>
      </c>
      <c r="J239" s="1703" t="s">
        <v>109</v>
      </c>
      <c r="K239" s="1703" t="s">
        <v>109</v>
      </c>
      <c r="L239" s="1703" t="s">
        <v>877</v>
      </c>
      <c r="M239" s="1703" t="s">
        <v>877</v>
      </c>
      <c r="N239" s="1703" t="s">
        <v>877</v>
      </c>
      <c r="O239" s="1703" t="s">
        <v>877</v>
      </c>
      <c r="P239" s="1703" t="s">
        <v>863</v>
      </c>
      <c r="Q239" s="1703" t="s">
        <v>877</v>
      </c>
      <c r="R239" s="1703" t="s">
        <v>877</v>
      </c>
      <c r="S239" s="1705" t="s">
        <v>109</v>
      </c>
      <c r="T239" s="1705" t="s">
        <v>109</v>
      </c>
      <c r="U239" s="1705" t="s">
        <v>109</v>
      </c>
      <c r="V239" s="1719">
        <v>2.1112444803786216E-2</v>
      </c>
      <c r="W239" s="1705">
        <v>0</v>
      </c>
      <c r="X239" s="1705">
        <v>2025</v>
      </c>
      <c r="Y239" s="1705">
        <v>0</v>
      </c>
      <c r="Z239" s="1705">
        <v>2.9193856829714399E-3</v>
      </c>
      <c r="AA239" s="1705">
        <v>2.9193856829714399E-3</v>
      </c>
      <c r="AB239" s="1712">
        <v>2.1112444803786216E-2</v>
      </c>
      <c r="AC239" s="1712">
        <v>2.1112444803786216E-2</v>
      </c>
      <c r="AD239" s="1713" t="s">
        <v>109</v>
      </c>
      <c r="AE239" s="1712" t="s">
        <v>109</v>
      </c>
      <c r="AF239" s="1712" t="s">
        <v>109</v>
      </c>
      <c r="AG239" s="1713">
        <v>0</v>
      </c>
      <c r="AH239" s="1713">
        <f>IFERROR(TBL4_OptApp[[#This Row],[Total NPC (£m)]]/TBL4_OptApp[[#This Row],[Maximum option utilisation across the planning period (Ml/d)]],"N/A")</f>
        <v>2.1346069125922127</v>
      </c>
      <c r="AI239" s="1713">
        <v>4.5066770619883602E-2</v>
      </c>
      <c r="AJ239" s="1703" t="s">
        <v>109</v>
      </c>
      <c r="AK239" s="1705" t="s">
        <v>109</v>
      </c>
      <c r="AL239" s="1705" t="s">
        <v>109</v>
      </c>
      <c r="AM239" s="1705" t="s">
        <v>109</v>
      </c>
      <c r="AN239" s="1705" t="s">
        <v>109</v>
      </c>
      <c r="AO239" s="1705" t="s">
        <v>109</v>
      </c>
      <c r="AP239" s="1705" t="s">
        <v>109</v>
      </c>
      <c r="AQ239" s="1705" t="s">
        <v>109</v>
      </c>
      <c r="AR239" s="1705" t="s">
        <v>109</v>
      </c>
      <c r="AS239" s="1705" t="s">
        <v>109</v>
      </c>
      <c r="AT239" s="1705" t="s">
        <v>109</v>
      </c>
      <c r="AU239" s="1705" t="s">
        <v>109</v>
      </c>
      <c r="AV239" s="1705" t="s">
        <v>109</v>
      </c>
      <c r="AW239" s="1705"/>
      <c r="AX239" s="1705"/>
      <c r="AY239" s="1705"/>
      <c r="AZ239" s="1705"/>
      <c r="BA239" s="1705"/>
    </row>
    <row r="240" spans="2:53" ht="28.5" x14ac:dyDescent="0.2">
      <c r="B240" s="17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240" s="1703" t="s">
        <v>1362</v>
      </c>
      <c r="D240" s="1707" t="s">
        <v>1363</v>
      </c>
      <c r="E240" s="1714" t="s">
        <v>987</v>
      </c>
      <c r="F240" s="1703" t="str">
        <f>VLOOKUP(TBL4_OptApp[[#This Row],[Option type
Defined List]],'Option Typs_Grps'!B$2:C$47, 2, FALSE)</f>
        <v>Customer Options</v>
      </c>
      <c r="G240" s="1703" t="s">
        <v>861</v>
      </c>
      <c r="H240" s="1703" t="s">
        <v>876</v>
      </c>
      <c r="I240" s="1703" t="s">
        <v>863</v>
      </c>
      <c r="J240" s="1703" t="s">
        <v>109</v>
      </c>
      <c r="K240" s="1703" t="s">
        <v>109</v>
      </c>
      <c r="L240" s="1703" t="s">
        <v>877</v>
      </c>
      <c r="M240" s="1703" t="s">
        <v>877</v>
      </c>
      <c r="N240" s="1703" t="s">
        <v>877</v>
      </c>
      <c r="O240" s="1703" t="s">
        <v>877</v>
      </c>
      <c r="P240" s="1703" t="s">
        <v>863</v>
      </c>
      <c r="Q240" s="1703" t="s">
        <v>877</v>
      </c>
      <c r="R240" s="1703" t="s">
        <v>877</v>
      </c>
      <c r="S240" s="1705" t="s">
        <v>109</v>
      </c>
      <c r="T240" s="1705" t="s">
        <v>109</v>
      </c>
      <c r="U240" s="1705" t="s">
        <v>109</v>
      </c>
      <c r="V240" s="1719">
        <v>2.1112444803786216E-2</v>
      </c>
      <c r="W240" s="1705">
        <v>0</v>
      </c>
      <c r="X240" s="1705">
        <v>2025</v>
      </c>
      <c r="Y240" s="1705">
        <v>0</v>
      </c>
      <c r="Z240" s="1705">
        <v>3.9320544563723679E-4</v>
      </c>
      <c r="AA240" s="1705">
        <v>3.9320544563723679E-4</v>
      </c>
      <c r="AB240" s="1712">
        <v>2.1112444803786216E-2</v>
      </c>
      <c r="AC240" s="1712">
        <v>2.1112444803786216E-2</v>
      </c>
      <c r="AD240" s="1713" t="s">
        <v>109</v>
      </c>
      <c r="AE240" s="1712" t="s">
        <v>109</v>
      </c>
      <c r="AF240" s="1712" t="s">
        <v>109</v>
      </c>
      <c r="AG240" s="1713">
        <v>0</v>
      </c>
      <c r="AH240" s="1713">
        <f>IFERROR(TBL4_OptApp[[#This Row],[Total NPC (£m)]]/TBL4_OptApp[[#This Row],[Maximum option utilisation across the planning period (Ml/d)]],"N/A")</f>
        <v>0.28750537046953062</v>
      </c>
      <c r="AI240" s="1713">
        <v>6.0699412648300725E-3</v>
      </c>
      <c r="AJ240" s="1703" t="s">
        <v>109</v>
      </c>
      <c r="AK240" s="1705" t="s">
        <v>109</v>
      </c>
      <c r="AL240" s="1705" t="s">
        <v>109</v>
      </c>
      <c r="AM240" s="1705" t="s">
        <v>109</v>
      </c>
      <c r="AN240" s="1705" t="s">
        <v>109</v>
      </c>
      <c r="AO240" s="1705" t="s">
        <v>109</v>
      </c>
      <c r="AP240" s="1705" t="s">
        <v>109</v>
      </c>
      <c r="AQ240" s="1705" t="s">
        <v>109</v>
      </c>
      <c r="AR240" s="1705" t="s">
        <v>109</v>
      </c>
      <c r="AS240" s="1705" t="s">
        <v>109</v>
      </c>
      <c r="AT240" s="1705" t="s">
        <v>109</v>
      </c>
      <c r="AU240" s="1705" t="s">
        <v>109</v>
      </c>
      <c r="AV240" s="1705" t="s">
        <v>109</v>
      </c>
      <c r="AW240" s="1705"/>
      <c r="AX240" s="1705"/>
      <c r="AY240" s="1705"/>
      <c r="AZ240" s="1705"/>
      <c r="BA240" s="1705"/>
    </row>
    <row r="241" spans="2:53" ht="28.5" x14ac:dyDescent="0.2">
      <c r="B241" s="17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241" s="1703" t="s">
        <v>1364</v>
      </c>
      <c r="D241" s="1707" t="s">
        <v>1365</v>
      </c>
      <c r="E241" s="1714" t="s">
        <v>1366</v>
      </c>
      <c r="F241" s="1703" t="str">
        <f>VLOOKUP(TBL4_OptApp[[#This Row],[Option type
Defined List]],'Option Typs_Grps'!B$2:C$47, 2, FALSE)</f>
        <v>Customer Options</v>
      </c>
      <c r="G241" s="1703" t="s">
        <v>861</v>
      </c>
      <c r="H241" s="1703" t="s">
        <v>876</v>
      </c>
      <c r="I241" s="1703" t="s">
        <v>863</v>
      </c>
      <c r="J241" s="1703" t="s">
        <v>109</v>
      </c>
      <c r="K241" s="1703" t="s">
        <v>109</v>
      </c>
      <c r="L241" s="1703" t="s">
        <v>877</v>
      </c>
      <c r="M241" s="1703" t="s">
        <v>877</v>
      </c>
      <c r="N241" s="1703" t="s">
        <v>877</v>
      </c>
      <c r="O241" s="1703" t="s">
        <v>877</v>
      </c>
      <c r="P241" s="1703" t="s">
        <v>863</v>
      </c>
      <c r="Q241" s="1703" t="s">
        <v>877</v>
      </c>
      <c r="R241" s="1703" t="s">
        <v>877</v>
      </c>
      <c r="S241" s="1705" t="s">
        <v>109</v>
      </c>
      <c r="T241" s="1705" t="s">
        <v>109</v>
      </c>
      <c r="U241" s="1705" t="s">
        <v>109</v>
      </c>
      <c r="V241" s="1719">
        <v>0</v>
      </c>
      <c r="W241" s="1705">
        <v>0</v>
      </c>
      <c r="X241" s="1705">
        <v>2025</v>
      </c>
      <c r="Y241" s="1705">
        <v>0</v>
      </c>
      <c r="Z241" s="1705">
        <v>0</v>
      </c>
      <c r="AA241" s="1705">
        <v>0</v>
      </c>
      <c r="AB241" s="1712">
        <v>0</v>
      </c>
      <c r="AC241" s="1712">
        <v>0</v>
      </c>
      <c r="AD241" s="1713">
        <v>0</v>
      </c>
      <c r="AE241" s="1713">
        <v>0</v>
      </c>
      <c r="AF241" s="1713">
        <v>0</v>
      </c>
      <c r="AG241" s="1713">
        <v>0</v>
      </c>
      <c r="AH241" s="1713">
        <v>0</v>
      </c>
      <c r="AI241" s="1713">
        <v>1.4084150841144619E-2</v>
      </c>
      <c r="AJ241" s="1703" t="s">
        <v>109</v>
      </c>
      <c r="AK241" s="1705" t="s">
        <v>109</v>
      </c>
      <c r="AL241" s="1705" t="s">
        <v>109</v>
      </c>
      <c r="AM241" s="1705" t="s">
        <v>109</v>
      </c>
      <c r="AN241" s="1705" t="s">
        <v>109</v>
      </c>
      <c r="AO241" s="1705" t="s">
        <v>109</v>
      </c>
      <c r="AP241" s="1705" t="s">
        <v>109</v>
      </c>
      <c r="AQ241" s="1705" t="s">
        <v>109</v>
      </c>
      <c r="AR241" s="1705" t="s">
        <v>109</v>
      </c>
      <c r="AS241" s="1705" t="s">
        <v>109</v>
      </c>
      <c r="AT241" s="1705" t="s">
        <v>109</v>
      </c>
      <c r="AU241" s="1705" t="s">
        <v>109</v>
      </c>
      <c r="AV241" s="1705" t="s">
        <v>109</v>
      </c>
      <c r="AW241" s="1705"/>
      <c r="AX241" s="1705"/>
      <c r="AY241" s="1705"/>
      <c r="AZ241" s="1705"/>
      <c r="BA241" s="1705"/>
    </row>
    <row r="242" spans="2:53" ht="28.5" x14ac:dyDescent="0.2">
      <c r="B242" s="17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242" s="1703" t="s">
        <v>1367</v>
      </c>
      <c r="D242" s="1707" t="s">
        <v>1368</v>
      </c>
      <c r="E242" s="1714" t="s">
        <v>987</v>
      </c>
      <c r="F242" s="1703" t="str">
        <f>VLOOKUP(TBL4_OptApp[[#This Row],[Option type
Defined List]],'Option Typs_Grps'!B$2:C$47, 2, FALSE)</f>
        <v>Customer Options</v>
      </c>
      <c r="G242" s="1703" t="s">
        <v>861</v>
      </c>
      <c r="H242" s="1703" t="s">
        <v>876</v>
      </c>
      <c r="I242" s="1703" t="s">
        <v>863</v>
      </c>
      <c r="J242" s="1703" t="s">
        <v>109</v>
      </c>
      <c r="K242" s="1703" t="s">
        <v>109</v>
      </c>
      <c r="L242" s="1703" t="s">
        <v>877</v>
      </c>
      <c r="M242" s="1703" t="s">
        <v>877</v>
      </c>
      <c r="N242" s="1703" t="s">
        <v>877</v>
      </c>
      <c r="O242" s="1703" t="s">
        <v>877</v>
      </c>
      <c r="P242" s="1703" t="s">
        <v>863</v>
      </c>
      <c r="Q242" s="1703" t="s">
        <v>877</v>
      </c>
      <c r="R242" s="1703" t="s">
        <v>877</v>
      </c>
      <c r="S242" s="1705" t="s">
        <v>109</v>
      </c>
      <c r="T242" s="1705" t="s">
        <v>109</v>
      </c>
      <c r="U242" s="1705" t="s">
        <v>109</v>
      </c>
      <c r="V242" s="1719">
        <v>3.3779911686057949E-2</v>
      </c>
      <c r="W242" s="1705">
        <v>0</v>
      </c>
      <c r="X242" s="1705">
        <v>2025</v>
      </c>
      <c r="Y242" s="1705">
        <v>0</v>
      </c>
      <c r="Z242" s="1705">
        <v>3.0739220131422748E-3</v>
      </c>
      <c r="AA242" s="1705">
        <v>3.0739220131422748E-3</v>
      </c>
      <c r="AB242" s="1712">
        <v>3.3779911686057949E-2</v>
      </c>
      <c r="AC242" s="1712">
        <v>3.3779911686057949E-2</v>
      </c>
      <c r="AD242" s="1713" t="s">
        <v>109</v>
      </c>
      <c r="AE242" s="1712" t="s">
        <v>109</v>
      </c>
      <c r="AF242" s="1712" t="s">
        <v>109</v>
      </c>
      <c r="AG242" s="1713">
        <v>0</v>
      </c>
      <c r="AH242" s="1713">
        <f>IFERROR(TBL4_OptApp[[#This Row],[Total NPC (£m)]]/TBL4_OptApp[[#This Row],[Maximum option utilisation across the planning period (Ml/d)]],"N/A")</f>
        <v>3.7937839177506736</v>
      </c>
      <c r="AI242" s="1713">
        <v>0.12815368569760469</v>
      </c>
      <c r="AJ242" s="1703" t="s">
        <v>109</v>
      </c>
      <c r="AK242" s="1705" t="s">
        <v>109</v>
      </c>
      <c r="AL242" s="1705" t="s">
        <v>109</v>
      </c>
      <c r="AM242" s="1705" t="s">
        <v>109</v>
      </c>
      <c r="AN242" s="1705" t="s">
        <v>109</v>
      </c>
      <c r="AO242" s="1705" t="s">
        <v>109</v>
      </c>
      <c r="AP242" s="1705" t="s">
        <v>109</v>
      </c>
      <c r="AQ242" s="1705" t="s">
        <v>109</v>
      </c>
      <c r="AR242" s="1705" t="s">
        <v>109</v>
      </c>
      <c r="AS242" s="1705" t="s">
        <v>109</v>
      </c>
      <c r="AT242" s="1705" t="s">
        <v>109</v>
      </c>
      <c r="AU242" s="1705" t="s">
        <v>109</v>
      </c>
      <c r="AV242" s="1705" t="s">
        <v>109</v>
      </c>
      <c r="AW242" s="1705"/>
      <c r="AX242" s="1705"/>
      <c r="AY242" s="1705"/>
      <c r="AZ242" s="1705"/>
      <c r="BA242" s="1705"/>
    </row>
    <row r="243" spans="2:53" ht="28.5" x14ac:dyDescent="0.2">
      <c r="B243" s="17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243" s="1703" t="s">
        <v>1369</v>
      </c>
      <c r="D243" s="1707" t="s">
        <v>1370</v>
      </c>
      <c r="E243" s="1714" t="s">
        <v>1366</v>
      </c>
      <c r="F243" s="1703" t="str">
        <f>VLOOKUP(TBL4_OptApp[[#This Row],[Option type
Defined List]],'Option Typs_Grps'!B$2:C$47, 2, FALSE)</f>
        <v>Customer Options</v>
      </c>
      <c r="G243" s="1703" t="s">
        <v>861</v>
      </c>
      <c r="H243" s="1703" t="s">
        <v>876</v>
      </c>
      <c r="I243" s="1703" t="s">
        <v>863</v>
      </c>
      <c r="J243" s="1703" t="s">
        <v>109</v>
      </c>
      <c r="K243" s="1703" t="s">
        <v>109</v>
      </c>
      <c r="L243" s="1703" t="s">
        <v>877</v>
      </c>
      <c r="M243" s="1703" t="s">
        <v>877</v>
      </c>
      <c r="N243" s="1703" t="s">
        <v>877</v>
      </c>
      <c r="O243" s="1703" t="s">
        <v>877</v>
      </c>
      <c r="P243" s="1703" t="s">
        <v>863</v>
      </c>
      <c r="Q243" s="1703" t="s">
        <v>877</v>
      </c>
      <c r="R243" s="1703" t="s">
        <v>877</v>
      </c>
      <c r="S243" s="1705" t="s">
        <v>109</v>
      </c>
      <c r="T243" s="1705" t="s">
        <v>109</v>
      </c>
      <c r="U243" s="1705" t="s">
        <v>109</v>
      </c>
      <c r="V243" s="1719">
        <v>0.4222488960757243</v>
      </c>
      <c r="W243" s="1705">
        <v>0</v>
      </c>
      <c r="X243" s="1705">
        <v>2025</v>
      </c>
      <c r="Y243" s="1705">
        <v>0</v>
      </c>
      <c r="Z243" s="1705">
        <v>2.9655159307836302E-2</v>
      </c>
      <c r="AA243" s="1705">
        <v>2.9655159307836302E-2</v>
      </c>
      <c r="AB243" s="1712">
        <v>0.4222488960757243</v>
      </c>
      <c r="AC243" s="1712">
        <v>0.4222488960757243</v>
      </c>
      <c r="AD243" s="1713" t="s">
        <v>109</v>
      </c>
      <c r="AE243" s="1712" t="s">
        <v>109</v>
      </c>
      <c r="AF243" s="1712" t="s">
        <v>109</v>
      </c>
      <c r="AG243" s="1713">
        <v>0</v>
      </c>
      <c r="AH243" s="1713">
        <f>IFERROR(TBL4_OptApp[[#This Row],[Total NPC (£m)]]/TBL4_OptApp[[#This Row],[Maximum option utilisation across the planning period (Ml/d)]],"N/A")</f>
        <v>2.9279927331766373</v>
      </c>
      <c r="AI243" s="1713">
        <v>1.2363416993015779</v>
      </c>
      <c r="AJ243" s="1703" t="s">
        <v>109</v>
      </c>
      <c r="AK243" s="1705" t="s">
        <v>109</v>
      </c>
      <c r="AL243" s="1705" t="s">
        <v>109</v>
      </c>
      <c r="AM243" s="1705" t="s">
        <v>109</v>
      </c>
      <c r="AN243" s="1705" t="s">
        <v>109</v>
      </c>
      <c r="AO243" s="1705" t="s">
        <v>109</v>
      </c>
      <c r="AP243" s="1705" t="s">
        <v>109</v>
      </c>
      <c r="AQ243" s="1705" t="s">
        <v>109</v>
      </c>
      <c r="AR243" s="1705" t="s">
        <v>109</v>
      </c>
      <c r="AS243" s="1705" t="s">
        <v>109</v>
      </c>
      <c r="AT243" s="1705" t="s">
        <v>109</v>
      </c>
      <c r="AU243" s="1705" t="s">
        <v>109</v>
      </c>
      <c r="AV243" s="1705" t="s">
        <v>109</v>
      </c>
      <c r="AW243" s="1705"/>
      <c r="AX243" s="1705"/>
      <c r="AY243" s="1705"/>
      <c r="AZ243" s="1705"/>
      <c r="BA243" s="1705"/>
    </row>
    <row r="244" spans="2:53" x14ac:dyDescent="0.2">
      <c r="B244" s="17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244" s="1703" t="s">
        <v>1371</v>
      </c>
      <c r="D244" s="1707" t="s">
        <v>1372</v>
      </c>
      <c r="E244" s="1714" t="s">
        <v>1366</v>
      </c>
      <c r="F244" s="1703" t="str">
        <f>VLOOKUP(TBL4_OptApp[[#This Row],[Option type
Defined List]],'Option Typs_Grps'!B$2:C$47, 2, FALSE)</f>
        <v>Customer Options</v>
      </c>
      <c r="G244" s="1703" t="s">
        <v>861</v>
      </c>
      <c r="H244" s="1703" t="s">
        <v>876</v>
      </c>
      <c r="I244" s="1703" t="s">
        <v>863</v>
      </c>
      <c r="J244" s="1703" t="s">
        <v>109</v>
      </c>
      <c r="K244" s="1703" t="s">
        <v>109</v>
      </c>
      <c r="L244" s="1703" t="s">
        <v>877</v>
      </c>
      <c r="M244" s="1703" t="s">
        <v>877</v>
      </c>
      <c r="N244" s="1703" t="s">
        <v>877</v>
      </c>
      <c r="O244" s="1703" t="s">
        <v>877</v>
      </c>
      <c r="P244" s="1703" t="s">
        <v>863</v>
      </c>
      <c r="Q244" s="1703" t="s">
        <v>877</v>
      </c>
      <c r="R244" s="1703" t="s">
        <v>877</v>
      </c>
      <c r="S244" s="1705" t="s">
        <v>109</v>
      </c>
      <c r="T244" s="1705" t="s">
        <v>109</v>
      </c>
      <c r="U244" s="1705" t="s">
        <v>109</v>
      </c>
      <c r="V244" s="1719">
        <v>1.4684878274633523E-2</v>
      </c>
      <c r="W244" s="1705">
        <v>0</v>
      </c>
      <c r="X244" s="1705">
        <v>2025</v>
      </c>
      <c r="Y244" s="1705">
        <v>0</v>
      </c>
      <c r="Z244" s="1705">
        <v>9.8224477662955554E-4</v>
      </c>
      <c r="AA244" s="1705">
        <v>9.8224477662955554E-4</v>
      </c>
      <c r="AB244" s="1712">
        <v>1.4684878274633523E-2</v>
      </c>
      <c r="AC244" s="1712">
        <v>1.4684878274633523E-2</v>
      </c>
      <c r="AD244" s="1713" t="s">
        <v>109</v>
      </c>
      <c r="AE244" s="1712" t="s">
        <v>109</v>
      </c>
      <c r="AF244" s="1712" t="s">
        <v>109</v>
      </c>
      <c r="AG244" s="1713">
        <v>0</v>
      </c>
      <c r="AH244" s="1713">
        <f>IFERROR(TBL4_OptApp[[#This Row],[Total NPC (£m)]]/TBL4_OptApp[[#This Row],[Maximum option utilisation across the planning period (Ml/d)]],"N/A")</f>
        <v>1.2926086271361912</v>
      </c>
      <c r="AI244" s="1713">
        <v>1.8981800346236116E-2</v>
      </c>
      <c r="AJ244" s="1703" t="s">
        <v>109</v>
      </c>
      <c r="AK244" s="1705" t="s">
        <v>109</v>
      </c>
      <c r="AL244" s="1705" t="s">
        <v>109</v>
      </c>
      <c r="AM244" s="1705" t="s">
        <v>109</v>
      </c>
      <c r="AN244" s="1705" t="s">
        <v>109</v>
      </c>
      <c r="AO244" s="1705" t="s">
        <v>109</v>
      </c>
      <c r="AP244" s="1705" t="s">
        <v>109</v>
      </c>
      <c r="AQ244" s="1705" t="s">
        <v>109</v>
      </c>
      <c r="AR244" s="1705" t="s">
        <v>109</v>
      </c>
      <c r="AS244" s="1705" t="s">
        <v>109</v>
      </c>
      <c r="AT244" s="1705" t="s">
        <v>109</v>
      </c>
      <c r="AU244" s="1705" t="s">
        <v>109</v>
      </c>
      <c r="AV244" s="1705" t="s">
        <v>109</v>
      </c>
      <c r="AW244" s="1705"/>
      <c r="AX244" s="1705"/>
      <c r="AY244" s="1705"/>
      <c r="AZ244" s="1705"/>
      <c r="BA244" s="1705"/>
    </row>
    <row r="245" spans="2:53" x14ac:dyDescent="0.2">
      <c r="B245" s="17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245" s="1703" t="s">
        <v>1373</v>
      </c>
      <c r="D245" s="1707" t="s">
        <v>1374</v>
      </c>
      <c r="E245" s="1714" t="s">
        <v>1366</v>
      </c>
      <c r="F245" s="1703" t="str">
        <f>VLOOKUP(TBL4_OptApp[[#This Row],[Option type
Defined List]],'Option Typs_Grps'!B$2:C$47, 2, FALSE)</f>
        <v>Customer Options</v>
      </c>
      <c r="G245" s="1703" t="s">
        <v>861</v>
      </c>
      <c r="H245" s="1703" t="s">
        <v>876</v>
      </c>
      <c r="I245" s="1703" t="s">
        <v>863</v>
      </c>
      <c r="J245" s="1703" t="s">
        <v>109</v>
      </c>
      <c r="K245" s="1703" t="s">
        <v>109</v>
      </c>
      <c r="L245" s="1703" t="s">
        <v>877</v>
      </c>
      <c r="M245" s="1703" t="s">
        <v>877</v>
      </c>
      <c r="N245" s="1703" t="s">
        <v>877</v>
      </c>
      <c r="O245" s="1703" t="s">
        <v>877</v>
      </c>
      <c r="P245" s="1703" t="s">
        <v>863</v>
      </c>
      <c r="Q245" s="1703" t="s">
        <v>877</v>
      </c>
      <c r="R245" s="1703" t="s">
        <v>877</v>
      </c>
      <c r="S245" s="1705" t="s">
        <v>109</v>
      </c>
      <c r="T245" s="1705" t="s">
        <v>109</v>
      </c>
      <c r="U245" s="1705" t="s">
        <v>109</v>
      </c>
      <c r="V245" s="1719">
        <v>0.11132357562316429</v>
      </c>
      <c r="W245" s="1705">
        <v>0</v>
      </c>
      <c r="X245" s="1705">
        <v>2025</v>
      </c>
      <c r="Y245" s="1705">
        <v>0</v>
      </c>
      <c r="Z245" s="1705">
        <v>3.1508863043730575E-3</v>
      </c>
      <c r="AA245" s="1705">
        <v>3.1508863043730575E-3</v>
      </c>
      <c r="AB245" s="1712">
        <v>0.11132357562316429</v>
      </c>
      <c r="AC245" s="1712">
        <v>0.11132357562316429</v>
      </c>
      <c r="AD245" s="1713" t="s">
        <v>109</v>
      </c>
      <c r="AE245" s="1712" t="s">
        <v>109</v>
      </c>
      <c r="AF245" s="1712" t="s">
        <v>109</v>
      </c>
      <c r="AG245" s="1713">
        <v>0</v>
      </c>
      <c r="AH245" s="1713">
        <f>IFERROR(TBL4_OptApp[[#This Row],[Total NPC (£m)]]/TBL4_OptApp[[#This Row],[Maximum option utilisation across the planning period (Ml/d)]],"N/A")</f>
        <v>0.62053569212782744</v>
      </c>
      <c r="AI245" s="1713">
        <v>6.9080252049464788E-2</v>
      </c>
      <c r="AJ245" s="1703" t="s">
        <v>109</v>
      </c>
      <c r="AK245" s="1705" t="s">
        <v>109</v>
      </c>
      <c r="AL245" s="1705" t="s">
        <v>109</v>
      </c>
      <c r="AM245" s="1705" t="s">
        <v>109</v>
      </c>
      <c r="AN245" s="1705" t="s">
        <v>109</v>
      </c>
      <c r="AO245" s="1705" t="s">
        <v>109</v>
      </c>
      <c r="AP245" s="1705" t="s">
        <v>109</v>
      </c>
      <c r="AQ245" s="1705" t="s">
        <v>109</v>
      </c>
      <c r="AR245" s="1705" t="s">
        <v>109</v>
      </c>
      <c r="AS245" s="1705" t="s">
        <v>109</v>
      </c>
      <c r="AT245" s="1705" t="s">
        <v>109</v>
      </c>
      <c r="AU245" s="1705" t="s">
        <v>109</v>
      </c>
      <c r="AV245" s="1705" t="s">
        <v>109</v>
      </c>
      <c r="AW245" s="1705"/>
      <c r="AX245" s="1705"/>
      <c r="AY245" s="1705"/>
      <c r="AZ245" s="1705"/>
      <c r="BA245" s="1705"/>
    </row>
    <row r="246" spans="2:53" x14ac:dyDescent="0.2">
      <c r="B246" s="17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246" s="1703" t="s">
        <v>1375</v>
      </c>
      <c r="D246" s="1707" t="s">
        <v>1376</v>
      </c>
      <c r="E246" s="1714" t="s">
        <v>987</v>
      </c>
      <c r="F246" s="1703" t="str">
        <f>VLOOKUP(TBL4_OptApp[[#This Row],[Option type
Defined List]],'Option Typs_Grps'!B$2:C$47, 2, FALSE)</f>
        <v>Customer Options</v>
      </c>
      <c r="G246" s="1703" t="s">
        <v>861</v>
      </c>
      <c r="H246" s="1703" t="s">
        <v>876</v>
      </c>
      <c r="I246" s="1703" t="s">
        <v>863</v>
      </c>
      <c r="J246" s="1703" t="s">
        <v>109</v>
      </c>
      <c r="K246" s="1703" t="s">
        <v>109</v>
      </c>
      <c r="L246" s="1703" t="s">
        <v>877</v>
      </c>
      <c r="M246" s="1703" t="s">
        <v>877</v>
      </c>
      <c r="N246" s="1703" t="s">
        <v>877</v>
      </c>
      <c r="O246" s="1703" t="s">
        <v>877</v>
      </c>
      <c r="P246" s="1703" t="s">
        <v>863</v>
      </c>
      <c r="Q246" s="1703" t="s">
        <v>877</v>
      </c>
      <c r="R246" s="1703" t="s">
        <v>877</v>
      </c>
      <c r="S246" s="1705" t="s">
        <v>109</v>
      </c>
      <c r="T246" s="1705" t="s">
        <v>109</v>
      </c>
      <c r="U246" s="1705" t="s">
        <v>109</v>
      </c>
      <c r="V246" s="1719">
        <v>0.25334933764543455</v>
      </c>
      <c r="W246" s="1705">
        <v>0</v>
      </c>
      <c r="X246" s="1705">
        <v>2025</v>
      </c>
      <c r="Y246" s="1705">
        <v>0</v>
      </c>
      <c r="Z246" s="1705">
        <v>3.3054299568054515E-2</v>
      </c>
      <c r="AA246" s="1705">
        <v>3.3054299568054515E-2</v>
      </c>
      <c r="AB246" s="1712">
        <v>0.25334933764543455</v>
      </c>
      <c r="AC246" s="1712">
        <v>0.25334933764543455</v>
      </c>
      <c r="AD246" s="1713" t="s">
        <v>109</v>
      </c>
      <c r="AE246" s="1712" t="s">
        <v>109</v>
      </c>
      <c r="AF246" s="1712" t="s">
        <v>109</v>
      </c>
      <c r="AG246" s="1713">
        <v>0</v>
      </c>
      <c r="AH246" s="1713">
        <f>IFERROR(TBL4_OptApp[[#This Row],[Total NPC (£m)]]/TBL4_OptApp[[#This Row],[Maximum option utilisation across the planning period (Ml/d)]],"N/A")</f>
        <v>2.8563630341028685</v>
      </c>
      <c r="AI246" s="1713">
        <v>0.72365768276486553</v>
      </c>
      <c r="AJ246" s="1703" t="s">
        <v>109</v>
      </c>
      <c r="AK246" s="1705" t="s">
        <v>109</v>
      </c>
      <c r="AL246" s="1705" t="s">
        <v>109</v>
      </c>
      <c r="AM246" s="1705" t="s">
        <v>109</v>
      </c>
      <c r="AN246" s="1705" t="s">
        <v>109</v>
      </c>
      <c r="AO246" s="1705" t="s">
        <v>109</v>
      </c>
      <c r="AP246" s="1705" t="s">
        <v>109</v>
      </c>
      <c r="AQ246" s="1705" t="s">
        <v>109</v>
      </c>
      <c r="AR246" s="1705" t="s">
        <v>109</v>
      </c>
      <c r="AS246" s="1705" t="s">
        <v>109</v>
      </c>
      <c r="AT246" s="1705" t="s">
        <v>109</v>
      </c>
      <c r="AU246" s="1705" t="s">
        <v>109</v>
      </c>
      <c r="AV246" s="1705" t="s">
        <v>109</v>
      </c>
      <c r="AW246" s="1705"/>
      <c r="AX246" s="1705"/>
      <c r="AY246" s="1705"/>
      <c r="AZ246" s="1705"/>
      <c r="BA246" s="1705"/>
    </row>
    <row r="247" spans="2:53" x14ac:dyDescent="0.2">
      <c r="B247" s="17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247" s="1703" t="s">
        <v>1377</v>
      </c>
      <c r="D247" s="1707" t="s">
        <v>1378</v>
      </c>
      <c r="E247" s="1714" t="s">
        <v>1366</v>
      </c>
      <c r="F247" s="1703" t="str">
        <f>VLOOKUP(TBL4_OptApp[[#This Row],[Option type
Defined List]],'Option Typs_Grps'!B$2:C$47, 2, FALSE)</f>
        <v>Customer Options</v>
      </c>
      <c r="G247" s="1703" t="s">
        <v>861</v>
      </c>
      <c r="H247" s="1703" t="s">
        <v>876</v>
      </c>
      <c r="I247" s="1703" t="s">
        <v>863</v>
      </c>
      <c r="J247" s="1703" t="s">
        <v>109</v>
      </c>
      <c r="K247" s="1703" t="s">
        <v>109</v>
      </c>
      <c r="L247" s="1703" t="s">
        <v>877</v>
      </c>
      <c r="M247" s="1703" t="s">
        <v>877</v>
      </c>
      <c r="N247" s="1703" t="s">
        <v>877</v>
      </c>
      <c r="O247" s="1703" t="s">
        <v>877</v>
      </c>
      <c r="P247" s="1703" t="s">
        <v>863</v>
      </c>
      <c r="Q247" s="1703" t="s">
        <v>877</v>
      </c>
      <c r="R247" s="1703" t="s">
        <v>877</v>
      </c>
      <c r="S247" s="1705" t="s">
        <v>109</v>
      </c>
      <c r="T247" s="1705" t="s">
        <v>109</v>
      </c>
      <c r="U247" s="1705" t="s">
        <v>109</v>
      </c>
      <c r="V247" s="1719">
        <v>3.2039307903345797E-2</v>
      </c>
      <c r="W247" s="1705">
        <v>0</v>
      </c>
      <c r="X247" s="1705">
        <v>2025</v>
      </c>
      <c r="Y247" s="1705">
        <v>0</v>
      </c>
      <c r="Z247" s="1705">
        <v>1.245362923436417E-3</v>
      </c>
      <c r="AA247" s="1705">
        <v>1.245362923436417E-3</v>
      </c>
      <c r="AB247" s="1712">
        <v>3.2039307903345797E-2</v>
      </c>
      <c r="AC247" s="1712">
        <v>3.2039307903345797E-2</v>
      </c>
      <c r="AD247" s="1713" t="s">
        <v>109</v>
      </c>
      <c r="AE247" s="1712" t="s">
        <v>109</v>
      </c>
      <c r="AF247" s="1712" t="s">
        <v>109</v>
      </c>
      <c r="AG247" s="1713">
        <v>0</v>
      </c>
      <c r="AH247" s="1713">
        <f>IFERROR(TBL4_OptApp[[#This Row],[Total NPC (£m)]]/TBL4_OptApp[[#This Row],[Maximum option utilisation across the planning period (Ml/d)]],"N/A")</f>
        <v>1.622540512775233</v>
      </c>
      <c r="AI247" s="1713">
        <v>5.1985075074458265E-2</v>
      </c>
      <c r="AJ247" s="1703" t="s">
        <v>109</v>
      </c>
      <c r="AK247" s="1705" t="s">
        <v>109</v>
      </c>
      <c r="AL247" s="1705" t="s">
        <v>109</v>
      </c>
      <c r="AM247" s="1705" t="s">
        <v>109</v>
      </c>
      <c r="AN247" s="1705" t="s">
        <v>109</v>
      </c>
      <c r="AO247" s="1705" t="s">
        <v>109</v>
      </c>
      <c r="AP247" s="1705" t="s">
        <v>109</v>
      </c>
      <c r="AQ247" s="1705" t="s">
        <v>109</v>
      </c>
      <c r="AR247" s="1705" t="s">
        <v>109</v>
      </c>
      <c r="AS247" s="1705" t="s">
        <v>109</v>
      </c>
      <c r="AT247" s="1705" t="s">
        <v>109</v>
      </c>
      <c r="AU247" s="1705" t="s">
        <v>109</v>
      </c>
      <c r="AV247" s="1705" t="s">
        <v>109</v>
      </c>
      <c r="AW247" s="1705"/>
      <c r="AX247" s="1705"/>
      <c r="AY247" s="1705"/>
      <c r="AZ247" s="1705"/>
      <c r="BA247" s="1705"/>
    </row>
    <row r="248" spans="2:53" x14ac:dyDescent="0.2">
      <c r="B248" s="17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248" s="1703" t="s">
        <v>1379</v>
      </c>
      <c r="D248" s="1707" t="s">
        <v>1380</v>
      </c>
      <c r="E248" s="1714" t="s">
        <v>1366</v>
      </c>
      <c r="F248" s="1703" t="str">
        <f>VLOOKUP(TBL4_OptApp[[#This Row],[Option type
Defined List]],'Option Typs_Grps'!B$2:C$47, 2, FALSE)</f>
        <v>Customer Options</v>
      </c>
      <c r="G248" s="1703" t="s">
        <v>861</v>
      </c>
      <c r="H248" s="1703" t="s">
        <v>876</v>
      </c>
      <c r="I248" s="1703" t="s">
        <v>863</v>
      </c>
      <c r="J248" s="1703" t="s">
        <v>109</v>
      </c>
      <c r="K248" s="1703" t="s">
        <v>109</v>
      </c>
      <c r="L248" s="1703" t="s">
        <v>877</v>
      </c>
      <c r="M248" s="1703" t="s">
        <v>877</v>
      </c>
      <c r="N248" s="1703" t="s">
        <v>877</v>
      </c>
      <c r="O248" s="1703" t="s">
        <v>877</v>
      </c>
      <c r="P248" s="1703" t="s">
        <v>863</v>
      </c>
      <c r="Q248" s="1703" t="s">
        <v>877</v>
      </c>
      <c r="R248" s="1703" t="s">
        <v>877</v>
      </c>
      <c r="S248" s="1705" t="s">
        <v>109</v>
      </c>
      <c r="T248" s="1705" t="s">
        <v>109</v>
      </c>
      <c r="U248" s="1705" t="s">
        <v>109</v>
      </c>
      <c r="V248" s="1719">
        <v>9.3410839120751904E-2</v>
      </c>
      <c r="W248" s="1705">
        <v>0</v>
      </c>
      <c r="X248" s="1705">
        <v>2025</v>
      </c>
      <c r="Y248" s="1705">
        <v>0</v>
      </c>
      <c r="Z248" s="1705">
        <v>3.3008022875011169E-3</v>
      </c>
      <c r="AA248" s="1705">
        <v>3.3008022875011169E-3</v>
      </c>
      <c r="AB248" s="1712">
        <v>9.3410839120751904E-2</v>
      </c>
      <c r="AC248" s="1712">
        <v>9.3410839120751904E-2</v>
      </c>
      <c r="AD248" s="1713" t="s">
        <v>109</v>
      </c>
      <c r="AE248" s="1712" t="s">
        <v>109</v>
      </c>
      <c r="AF248" s="1712" t="s">
        <v>109</v>
      </c>
      <c r="AG248" s="1713">
        <v>0</v>
      </c>
      <c r="AH248" s="1713">
        <f>IFERROR(TBL4_OptApp[[#This Row],[Total NPC (£m)]]/TBL4_OptApp[[#This Row],[Maximum option utilisation across the planning period (Ml/d)]],"N/A")</f>
        <v>1.1226451018276304</v>
      </c>
      <c r="AI248" s="1713">
        <v>0.10486722099652093</v>
      </c>
      <c r="AJ248" s="1703" t="s">
        <v>109</v>
      </c>
      <c r="AK248" s="1705" t="s">
        <v>109</v>
      </c>
      <c r="AL248" s="1705" t="s">
        <v>109</v>
      </c>
      <c r="AM248" s="1705" t="s">
        <v>109</v>
      </c>
      <c r="AN248" s="1705" t="s">
        <v>109</v>
      </c>
      <c r="AO248" s="1705" t="s">
        <v>109</v>
      </c>
      <c r="AP248" s="1705" t="s">
        <v>109</v>
      </c>
      <c r="AQ248" s="1705" t="s">
        <v>109</v>
      </c>
      <c r="AR248" s="1705" t="s">
        <v>109</v>
      </c>
      <c r="AS248" s="1705" t="s">
        <v>109</v>
      </c>
      <c r="AT248" s="1705" t="s">
        <v>109</v>
      </c>
      <c r="AU248" s="1705" t="s">
        <v>109</v>
      </c>
      <c r="AV248" s="1705" t="s">
        <v>109</v>
      </c>
      <c r="AW248" s="1705"/>
      <c r="AX248" s="1705"/>
      <c r="AY248" s="1705"/>
      <c r="AZ248" s="1705"/>
      <c r="BA248" s="1705"/>
    </row>
    <row r="249" spans="2:53" x14ac:dyDescent="0.2">
      <c r="B249" s="17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249" s="1703" t="s">
        <v>1381</v>
      </c>
      <c r="D249" s="1707" t="s">
        <v>1382</v>
      </c>
      <c r="E249" s="1714" t="s">
        <v>1366</v>
      </c>
      <c r="F249" s="1703" t="str">
        <f>VLOOKUP(TBL4_OptApp[[#This Row],[Option type
Defined List]],'Option Typs_Grps'!B$2:C$47, 2, FALSE)</f>
        <v>Customer Options</v>
      </c>
      <c r="G249" s="1703" t="s">
        <v>861</v>
      </c>
      <c r="H249" s="1703" t="s">
        <v>876</v>
      </c>
      <c r="I249" s="1703" t="s">
        <v>863</v>
      </c>
      <c r="J249" s="1703" t="s">
        <v>109</v>
      </c>
      <c r="K249" s="1703" t="s">
        <v>109</v>
      </c>
      <c r="L249" s="1703" t="s">
        <v>877</v>
      </c>
      <c r="M249" s="1703" t="s">
        <v>877</v>
      </c>
      <c r="N249" s="1703" t="s">
        <v>877</v>
      </c>
      <c r="O249" s="1703" t="s">
        <v>877</v>
      </c>
      <c r="P249" s="1703" t="s">
        <v>863</v>
      </c>
      <c r="Q249" s="1703" t="s">
        <v>877</v>
      </c>
      <c r="R249" s="1703" t="s">
        <v>877</v>
      </c>
      <c r="S249" s="1705" t="s">
        <v>109</v>
      </c>
      <c r="T249" s="1705" t="s">
        <v>109</v>
      </c>
      <c r="U249" s="1705" t="s">
        <v>109</v>
      </c>
      <c r="V249" s="1719">
        <v>0.9714539602382164</v>
      </c>
      <c r="W249" s="1705">
        <v>0</v>
      </c>
      <c r="X249" s="1705">
        <v>2025</v>
      </c>
      <c r="Y249" s="1705">
        <v>0</v>
      </c>
      <c r="Z249" s="1705">
        <v>5.5293728649618991E-2</v>
      </c>
      <c r="AA249" s="1705">
        <v>5.5293728649618991E-2</v>
      </c>
      <c r="AB249" s="1712">
        <v>0.9714539602382164</v>
      </c>
      <c r="AC249" s="1712">
        <v>0.9714539602382164</v>
      </c>
      <c r="AD249" s="1713" t="s">
        <v>109</v>
      </c>
      <c r="AE249" s="1712" t="s">
        <v>109</v>
      </c>
      <c r="AF249" s="1712" t="s">
        <v>109</v>
      </c>
      <c r="AG249" s="1713">
        <v>0</v>
      </c>
      <c r="AH249" s="1713">
        <f>IFERROR(TBL4_OptApp[[#This Row],[Total NPC (£m)]]/TBL4_OptApp[[#This Row],[Maximum option utilisation across the planning period (Ml/d)]],"N/A")</f>
        <v>0.94155492372439309</v>
      </c>
      <c r="AI249" s="1713">
        <v>0.91467725943385347</v>
      </c>
      <c r="AJ249" s="1703" t="s">
        <v>109</v>
      </c>
      <c r="AK249" s="1705" t="s">
        <v>109</v>
      </c>
      <c r="AL249" s="1705" t="s">
        <v>109</v>
      </c>
      <c r="AM249" s="1705" t="s">
        <v>109</v>
      </c>
      <c r="AN249" s="1705" t="s">
        <v>109</v>
      </c>
      <c r="AO249" s="1705" t="s">
        <v>109</v>
      </c>
      <c r="AP249" s="1705" t="s">
        <v>109</v>
      </c>
      <c r="AQ249" s="1705" t="s">
        <v>109</v>
      </c>
      <c r="AR249" s="1705" t="s">
        <v>109</v>
      </c>
      <c r="AS249" s="1705" t="s">
        <v>109</v>
      </c>
      <c r="AT249" s="1705" t="s">
        <v>109</v>
      </c>
      <c r="AU249" s="1705" t="s">
        <v>109</v>
      </c>
      <c r="AV249" s="1705" t="s">
        <v>109</v>
      </c>
      <c r="AW249" s="1705"/>
      <c r="AX249" s="1705"/>
      <c r="AY249" s="1705"/>
      <c r="AZ249" s="1705"/>
      <c r="BA249" s="1705"/>
    </row>
    <row r="250" spans="2:53" x14ac:dyDescent="0.2">
      <c r="B250" s="17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250" s="1703" t="s">
        <v>1383</v>
      </c>
      <c r="D250" s="1707" t="s">
        <v>1384</v>
      </c>
      <c r="E250" s="1714" t="s">
        <v>1366</v>
      </c>
      <c r="F250" s="1703" t="str">
        <f>VLOOKUP(TBL4_OptApp[[#This Row],[Option type
Defined List]],'Option Typs_Grps'!B$2:C$47, 2, FALSE)</f>
        <v>Customer Options</v>
      </c>
      <c r="G250" s="1703" t="s">
        <v>861</v>
      </c>
      <c r="H250" s="1703" t="s">
        <v>876</v>
      </c>
      <c r="I250" s="1703" t="s">
        <v>863</v>
      </c>
      <c r="J250" s="1703" t="s">
        <v>109</v>
      </c>
      <c r="K250" s="1703" t="s">
        <v>109</v>
      </c>
      <c r="L250" s="1703" t="s">
        <v>877</v>
      </c>
      <c r="M250" s="1703" t="s">
        <v>877</v>
      </c>
      <c r="N250" s="1703" t="s">
        <v>877</v>
      </c>
      <c r="O250" s="1703" t="s">
        <v>877</v>
      </c>
      <c r="P250" s="1703" t="s">
        <v>863</v>
      </c>
      <c r="Q250" s="1703" t="s">
        <v>877</v>
      </c>
      <c r="R250" s="1703" t="s">
        <v>877</v>
      </c>
      <c r="S250" s="1705" t="s">
        <v>109</v>
      </c>
      <c r="T250" s="1705" t="s">
        <v>109</v>
      </c>
      <c r="U250" s="1705" t="s">
        <v>109</v>
      </c>
      <c r="V250" s="1719">
        <v>0.19384039322516247</v>
      </c>
      <c r="W250" s="1705">
        <v>0</v>
      </c>
      <c r="X250" s="1705">
        <v>2025</v>
      </c>
      <c r="Y250" s="1705">
        <v>0</v>
      </c>
      <c r="Z250" s="1705">
        <v>8.3893933123559868E-3</v>
      </c>
      <c r="AA250" s="1705">
        <v>8.3893933123559868E-3</v>
      </c>
      <c r="AB250" s="1712">
        <v>0.19384039322516247</v>
      </c>
      <c r="AC250" s="1712">
        <v>0.19384039322516247</v>
      </c>
      <c r="AD250" s="1713" t="s">
        <v>109</v>
      </c>
      <c r="AE250" s="1712" t="s">
        <v>109</v>
      </c>
      <c r="AF250" s="1712" t="s">
        <v>109</v>
      </c>
      <c r="AG250" s="1713">
        <v>0</v>
      </c>
      <c r="AH250" s="1713">
        <f>IFERROR(TBL4_OptApp[[#This Row],[Total NPC (£m)]]/TBL4_OptApp[[#This Row],[Maximum option utilisation across the planning period (Ml/d)]],"N/A")</f>
        <v>0.81365731688087928</v>
      </c>
      <c r="AI250" s="1713">
        <v>0.15771965425472026</v>
      </c>
      <c r="AJ250" s="1703" t="s">
        <v>109</v>
      </c>
      <c r="AK250" s="1705" t="s">
        <v>109</v>
      </c>
      <c r="AL250" s="1705" t="s">
        <v>109</v>
      </c>
      <c r="AM250" s="1705" t="s">
        <v>109</v>
      </c>
      <c r="AN250" s="1705" t="s">
        <v>109</v>
      </c>
      <c r="AO250" s="1705" t="s">
        <v>109</v>
      </c>
      <c r="AP250" s="1705" t="s">
        <v>109</v>
      </c>
      <c r="AQ250" s="1705" t="s">
        <v>109</v>
      </c>
      <c r="AR250" s="1705" t="s">
        <v>109</v>
      </c>
      <c r="AS250" s="1705" t="s">
        <v>109</v>
      </c>
      <c r="AT250" s="1705" t="s">
        <v>109</v>
      </c>
      <c r="AU250" s="1705" t="s">
        <v>109</v>
      </c>
      <c r="AV250" s="1705" t="s">
        <v>109</v>
      </c>
      <c r="AW250" s="1705"/>
      <c r="AX250" s="1705"/>
      <c r="AY250" s="1705"/>
      <c r="AZ250" s="1705"/>
      <c r="BA250" s="1705"/>
    </row>
    <row r="251" spans="2:53" x14ac:dyDescent="0.2">
      <c r="B251" s="17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251" s="1703" t="s">
        <v>1385</v>
      </c>
      <c r="D251" s="1707" t="s">
        <v>1386</v>
      </c>
      <c r="E251" s="1714" t="s">
        <v>1366</v>
      </c>
      <c r="F251" s="1703" t="str">
        <f>VLOOKUP(TBL4_OptApp[[#This Row],[Option type
Defined List]],'Option Typs_Grps'!B$2:C$47, 2, FALSE)</f>
        <v>Customer Options</v>
      </c>
      <c r="G251" s="1703" t="s">
        <v>861</v>
      </c>
      <c r="H251" s="1703" t="s">
        <v>876</v>
      </c>
      <c r="I251" s="1703" t="s">
        <v>863</v>
      </c>
      <c r="J251" s="1703" t="s">
        <v>109</v>
      </c>
      <c r="K251" s="1703" t="s">
        <v>109</v>
      </c>
      <c r="L251" s="1703" t="s">
        <v>877</v>
      </c>
      <c r="M251" s="1703" t="s">
        <v>877</v>
      </c>
      <c r="N251" s="1703" t="s">
        <v>877</v>
      </c>
      <c r="O251" s="1703" t="s">
        <v>877</v>
      </c>
      <c r="P251" s="1703" t="s">
        <v>863</v>
      </c>
      <c r="Q251" s="1703" t="s">
        <v>877</v>
      </c>
      <c r="R251" s="1703" t="s">
        <v>877</v>
      </c>
      <c r="S251" s="1705" t="s">
        <v>109</v>
      </c>
      <c r="T251" s="1705" t="s">
        <v>109</v>
      </c>
      <c r="U251" s="1705" t="s">
        <v>109</v>
      </c>
      <c r="V251" s="1719">
        <v>5.2921861641490785E-2</v>
      </c>
      <c r="W251" s="1705">
        <v>0</v>
      </c>
      <c r="X251" s="1705">
        <v>2025</v>
      </c>
      <c r="Y251" s="1705">
        <v>0</v>
      </c>
      <c r="Z251" s="1705">
        <v>4.576032715830537E-3</v>
      </c>
      <c r="AA251" s="1705">
        <v>4.576032715830537E-3</v>
      </c>
      <c r="AB251" s="1712">
        <v>5.2921861641490785E-2</v>
      </c>
      <c r="AC251" s="1712">
        <v>5.2921861641490785E-2</v>
      </c>
      <c r="AD251" s="1713" t="s">
        <v>109</v>
      </c>
      <c r="AE251" s="1712" t="s">
        <v>109</v>
      </c>
      <c r="AF251" s="1712" t="s">
        <v>109</v>
      </c>
      <c r="AG251" s="1713">
        <v>0</v>
      </c>
      <c r="AH251" s="1713">
        <f>IFERROR(TBL4_OptApp[[#This Row],[Total NPC (£m)]]/TBL4_OptApp[[#This Row],[Maximum option utilisation across the planning period (Ml/d)]],"N/A")</f>
        <v>1.0916911860209346</v>
      </c>
      <c r="AI251" s="1713">
        <v>5.7774329901834877E-2</v>
      </c>
      <c r="AJ251" s="1703" t="s">
        <v>109</v>
      </c>
      <c r="AK251" s="1705" t="s">
        <v>109</v>
      </c>
      <c r="AL251" s="1705" t="s">
        <v>109</v>
      </c>
      <c r="AM251" s="1705" t="s">
        <v>109</v>
      </c>
      <c r="AN251" s="1705" t="s">
        <v>109</v>
      </c>
      <c r="AO251" s="1705" t="s">
        <v>109</v>
      </c>
      <c r="AP251" s="1705" t="s">
        <v>109</v>
      </c>
      <c r="AQ251" s="1705" t="s">
        <v>109</v>
      </c>
      <c r="AR251" s="1705" t="s">
        <v>109</v>
      </c>
      <c r="AS251" s="1705" t="s">
        <v>109</v>
      </c>
      <c r="AT251" s="1705" t="s">
        <v>109</v>
      </c>
      <c r="AU251" s="1705" t="s">
        <v>109</v>
      </c>
      <c r="AV251" s="1705" t="s">
        <v>109</v>
      </c>
      <c r="AW251" s="1705"/>
      <c r="AX251" s="1705"/>
      <c r="AY251" s="1705"/>
      <c r="AZ251" s="1705"/>
      <c r="BA251" s="1705"/>
    </row>
    <row r="252" spans="2:53" x14ac:dyDescent="0.2">
      <c r="B252" s="17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252" s="1703" t="s">
        <v>1387</v>
      </c>
      <c r="D252" s="1707" t="s">
        <v>1388</v>
      </c>
      <c r="E252" s="1714" t="s">
        <v>1366</v>
      </c>
      <c r="F252" s="1703" t="str">
        <f>VLOOKUP(TBL4_OptApp[[#This Row],[Option type
Defined List]],'Option Typs_Grps'!B$2:C$47, 2, FALSE)</f>
        <v>Customer Options</v>
      </c>
      <c r="G252" s="1703" t="s">
        <v>861</v>
      </c>
      <c r="H252" s="1703" t="s">
        <v>876</v>
      </c>
      <c r="I252" s="1703" t="s">
        <v>863</v>
      </c>
      <c r="J252" s="1703" t="s">
        <v>109</v>
      </c>
      <c r="K252" s="1703" t="s">
        <v>109</v>
      </c>
      <c r="L252" s="1703" t="s">
        <v>877</v>
      </c>
      <c r="M252" s="1703" t="s">
        <v>877</v>
      </c>
      <c r="N252" s="1703" t="s">
        <v>877</v>
      </c>
      <c r="O252" s="1703" t="s">
        <v>877</v>
      </c>
      <c r="P252" s="1703" t="s">
        <v>863</v>
      </c>
      <c r="Q252" s="1703" t="s">
        <v>877</v>
      </c>
      <c r="R252" s="1703" t="s">
        <v>877</v>
      </c>
      <c r="S252" s="1705" t="s">
        <v>109</v>
      </c>
      <c r="T252" s="1705" t="s">
        <v>109</v>
      </c>
      <c r="U252" s="1705" t="s">
        <v>109</v>
      </c>
      <c r="V252" s="1719">
        <v>0.28339000077402193</v>
      </c>
      <c r="W252" s="1705">
        <v>0</v>
      </c>
      <c r="X252" s="1705">
        <v>2025</v>
      </c>
      <c r="Y252" s="1705">
        <v>0</v>
      </c>
      <c r="Z252" s="1705">
        <v>6.9195371718284689E-3</v>
      </c>
      <c r="AA252" s="1705">
        <v>6.9195371718284689E-3</v>
      </c>
      <c r="AB252" s="1712">
        <v>0.28339000077402193</v>
      </c>
      <c r="AC252" s="1712">
        <v>0.28339000077402193</v>
      </c>
      <c r="AD252" s="1713" t="s">
        <v>109</v>
      </c>
      <c r="AE252" s="1712" t="s">
        <v>109</v>
      </c>
      <c r="AF252" s="1712" t="s">
        <v>109</v>
      </c>
      <c r="AG252" s="1713">
        <v>0</v>
      </c>
      <c r="AH252" s="1713">
        <f>IFERROR(TBL4_OptApp[[#This Row],[Total NPC (£m)]]/TBL4_OptApp[[#This Row],[Maximum option utilisation across the planning period (Ml/d)]],"N/A")</f>
        <v>0.37357617298755463</v>
      </c>
      <c r="AI252" s="1713">
        <v>0.10586775195209926</v>
      </c>
      <c r="AJ252" s="1703" t="s">
        <v>109</v>
      </c>
      <c r="AK252" s="1705" t="s">
        <v>109</v>
      </c>
      <c r="AL252" s="1705" t="s">
        <v>109</v>
      </c>
      <c r="AM252" s="1705" t="s">
        <v>109</v>
      </c>
      <c r="AN252" s="1705" t="s">
        <v>109</v>
      </c>
      <c r="AO252" s="1705" t="s">
        <v>109</v>
      </c>
      <c r="AP252" s="1705" t="s">
        <v>109</v>
      </c>
      <c r="AQ252" s="1705" t="s">
        <v>109</v>
      </c>
      <c r="AR252" s="1705" t="s">
        <v>109</v>
      </c>
      <c r="AS252" s="1705" t="s">
        <v>109</v>
      </c>
      <c r="AT252" s="1705" t="s">
        <v>109</v>
      </c>
      <c r="AU252" s="1705" t="s">
        <v>109</v>
      </c>
      <c r="AV252" s="1705" t="s">
        <v>109</v>
      </c>
      <c r="AW252" s="1705"/>
      <c r="AX252" s="1705"/>
      <c r="AY252" s="1705"/>
      <c r="AZ252" s="1705"/>
      <c r="BA252" s="1705"/>
    </row>
    <row r="253" spans="2:53" x14ac:dyDescent="0.2">
      <c r="B253" s="17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253" s="1703" t="s">
        <v>1389</v>
      </c>
      <c r="D253" s="1707" t="s">
        <v>1390</v>
      </c>
      <c r="E253" s="1714" t="s">
        <v>1366</v>
      </c>
      <c r="F253" s="1703" t="str">
        <f>VLOOKUP(TBL4_OptApp[[#This Row],[Option type
Defined List]],'Option Typs_Grps'!B$2:C$47, 2, FALSE)</f>
        <v>Customer Options</v>
      </c>
      <c r="G253" s="1703" t="s">
        <v>861</v>
      </c>
      <c r="H253" s="1703" t="s">
        <v>876</v>
      </c>
      <c r="I253" s="1703" t="s">
        <v>863</v>
      </c>
      <c r="J253" s="1703" t="s">
        <v>109</v>
      </c>
      <c r="K253" s="1703" t="s">
        <v>109</v>
      </c>
      <c r="L253" s="1703" t="s">
        <v>877</v>
      </c>
      <c r="M253" s="1703" t="s">
        <v>877</v>
      </c>
      <c r="N253" s="1703" t="s">
        <v>877</v>
      </c>
      <c r="O253" s="1703" t="s">
        <v>877</v>
      </c>
      <c r="P253" s="1703" t="s">
        <v>863</v>
      </c>
      <c r="Q253" s="1703" t="s">
        <v>877</v>
      </c>
      <c r="R253" s="1703" t="s">
        <v>877</v>
      </c>
      <c r="S253" s="1705" t="s">
        <v>109</v>
      </c>
      <c r="T253" s="1705" t="s">
        <v>109</v>
      </c>
      <c r="U253" s="1705" t="s">
        <v>109</v>
      </c>
      <c r="V253" s="1719">
        <v>0.5462774718163671</v>
      </c>
      <c r="W253" s="1705">
        <v>0</v>
      </c>
      <c r="X253" s="1705">
        <v>2025</v>
      </c>
      <c r="Y253" s="1705">
        <v>0</v>
      </c>
      <c r="Z253" s="1705">
        <v>3.8922901827582609E-2</v>
      </c>
      <c r="AA253" s="1705">
        <v>3.8922901827582609E-2</v>
      </c>
      <c r="AB253" s="1712">
        <v>0.5462774718163671</v>
      </c>
      <c r="AC253" s="1712">
        <v>0.5462774718163671</v>
      </c>
      <c r="AD253" s="1713" t="s">
        <v>109</v>
      </c>
      <c r="AE253" s="1712" t="s">
        <v>109</v>
      </c>
      <c r="AF253" s="1712" t="s">
        <v>109</v>
      </c>
      <c r="AG253" s="1713">
        <v>0</v>
      </c>
      <c r="AH253" s="1713">
        <f>IFERROR(TBL4_OptApp[[#This Row],[Total NPC (£m)]]/TBL4_OptApp[[#This Row],[Maximum option utilisation across the planning period (Ml/d)]],"N/A")</f>
        <v>1.1017739031653742</v>
      </c>
      <c r="AI253" s="1713">
        <v>0.60187426233443142</v>
      </c>
      <c r="AJ253" s="1703" t="s">
        <v>109</v>
      </c>
      <c r="AK253" s="1705" t="s">
        <v>109</v>
      </c>
      <c r="AL253" s="1705" t="s">
        <v>109</v>
      </c>
      <c r="AM253" s="1705" t="s">
        <v>109</v>
      </c>
      <c r="AN253" s="1705" t="s">
        <v>109</v>
      </c>
      <c r="AO253" s="1705" t="s">
        <v>109</v>
      </c>
      <c r="AP253" s="1705" t="s">
        <v>109</v>
      </c>
      <c r="AQ253" s="1705" t="s">
        <v>109</v>
      </c>
      <c r="AR253" s="1705" t="s">
        <v>109</v>
      </c>
      <c r="AS253" s="1705" t="s">
        <v>109</v>
      </c>
      <c r="AT253" s="1705" t="s">
        <v>109</v>
      </c>
      <c r="AU253" s="1705" t="s">
        <v>109</v>
      </c>
      <c r="AV253" s="1705" t="s">
        <v>109</v>
      </c>
      <c r="AW253" s="1705"/>
      <c r="AX253" s="1705"/>
      <c r="AY253" s="1705"/>
      <c r="AZ253" s="1705"/>
      <c r="BA253" s="1705"/>
    </row>
    <row r="254" spans="2:53" x14ac:dyDescent="0.2">
      <c r="B254" s="17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254" s="1703" t="s">
        <v>1391</v>
      </c>
      <c r="D254" s="1707" t="s">
        <v>1392</v>
      </c>
      <c r="E254" s="1714" t="s">
        <v>987</v>
      </c>
      <c r="F254" s="1703" t="str">
        <f>VLOOKUP(TBL4_OptApp[[#This Row],[Option type
Defined List]],'Option Typs_Grps'!B$2:C$47, 2, FALSE)</f>
        <v>Customer Options</v>
      </c>
      <c r="G254" s="1703" t="s">
        <v>861</v>
      </c>
      <c r="H254" s="1703" t="s">
        <v>876</v>
      </c>
      <c r="I254" s="1703" t="s">
        <v>863</v>
      </c>
      <c r="J254" s="1703" t="s">
        <v>109</v>
      </c>
      <c r="K254" s="1703" t="s">
        <v>109</v>
      </c>
      <c r="L254" s="1703" t="s">
        <v>877</v>
      </c>
      <c r="M254" s="1703" t="s">
        <v>877</v>
      </c>
      <c r="N254" s="1703" t="s">
        <v>877</v>
      </c>
      <c r="O254" s="1703" t="s">
        <v>877</v>
      </c>
      <c r="P254" s="1703" t="s">
        <v>863</v>
      </c>
      <c r="Q254" s="1703" t="s">
        <v>877</v>
      </c>
      <c r="R254" s="1703" t="s">
        <v>877</v>
      </c>
      <c r="S254" s="1705" t="s">
        <v>109</v>
      </c>
      <c r="T254" s="1705" t="s">
        <v>109</v>
      </c>
      <c r="U254" s="1705" t="s">
        <v>109</v>
      </c>
      <c r="V254" s="1719">
        <v>0</v>
      </c>
      <c r="W254" s="1705">
        <v>0</v>
      </c>
      <c r="X254" s="1705">
        <v>2025</v>
      </c>
      <c r="Y254" s="1705">
        <v>0</v>
      </c>
      <c r="Z254" s="1705">
        <v>0</v>
      </c>
      <c r="AA254" s="1705">
        <v>0</v>
      </c>
      <c r="AB254" s="1712">
        <v>0</v>
      </c>
      <c r="AC254" s="1712">
        <v>0</v>
      </c>
      <c r="AD254" s="1713">
        <v>0</v>
      </c>
      <c r="AE254" s="1713">
        <v>0</v>
      </c>
      <c r="AF254" s="1713">
        <v>0</v>
      </c>
      <c r="AG254" s="1713">
        <v>0</v>
      </c>
      <c r="AH254" s="1713">
        <v>0</v>
      </c>
      <c r="AI254" s="1713">
        <v>0</v>
      </c>
      <c r="AJ254" s="1703" t="s">
        <v>109</v>
      </c>
      <c r="AK254" s="1705" t="s">
        <v>109</v>
      </c>
      <c r="AL254" s="1705" t="s">
        <v>109</v>
      </c>
      <c r="AM254" s="1705" t="s">
        <v>109</v>
      </c>
      <c r="AN254" s="1705" t="s">
        <v>109</v>
      </c>
      <c r="AO254" s="1705" t="s">
        <v>109</v>
      </c>
      <c r="AP254" s="1705" t="s">
        <v>109</v>
      </c>
      <c r="AQ254" s="1705" t="s">
        <v>109</v>
      </c>
      <c r="AR254" s="1705" t="s">
        <v>109</v>
      </c>
      <c r="AS254" s="1705" t="s">
        <v>109</v>
      </c>
      <c r="AT254" s="1705" t="s">
        <v>109</v>
      </c>
      <c r="AU254" s="1705" t="s">
        <v>109</v>
      </c>
      <c r="AV254" s="1705" t="s">
        <v>109</v>
      </c>
      <c r="AW254" s="1705"/>
      <c r="AX254" s="1705"/>
      <c r="AY254" s="1705"/>
      <c r="AZ254" s="1705"/>
      <c r="BA254" s="1705"/>
    </row>
    <row r="255" spans="2:53" x14ac:dyDescent="0.2">
      <c r="B255" s="17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255" s="1703" t="s">
        <v>1393</v>
      </c>
      <c r="D255" s="1707" t="s">
        <v>1394</v>
      </c>
      <c r="E255" s="1714" t="s">
        <v>1366</v>
      </c>
      <c r="F255" s="1703" t="str">
        <f>VLOOKUP(TBL4_OptApp[[#This Row],[Option type
Defined List]],'Option Typs_Grps'!B$2:C$47, 2, FALSE)</f>
        <v>Customer Options</v>
      </c>
      <c r="G255" s="1703" t="s">
        <v>861</v>
      </c>
      <c r="H255" s="1703" t="s">
        <v>876</v>
      </c>
      <c r="I255" s="1703" t="s">
        <v>863</v>
      </c>
      <c r="J255" s="1703" t="s">
        <v>109</v>
      </c>
      <c r="K255" s="1703" t="s">
        <v>109</v>
      </c>
      <c r="L255" s="1703" t="s">
        <v>877</v>
      </c>
      <c r="M255" s="1703" t="s">
        <v>877</v>
      </c>
      <c r="N255" s="1703" t="s">
        <v>877</v>
      </c>
      <c r="O255" s="1703" t="s">
        <v>877</v>
      </c>
      <c r="P255" s="1703" t="s">
        <v>863</v>
      </c>
      <c r="Q255" s="1703" t="s">
        <v>877</v>
      </c>
      <c r="R255" s="1703" t="s">
        <v>877</v>
      </c>
      <c r="S255" s="1705" t="s">
        <v>109</v>
      </c>
      <c r="T255" s="1705" t="s">
        <v>109</v>
      </c>
      <c r="U255" s="1705" t="s">
        <v>109</v>
      </c>
      <c r="V255" s="1719">
        <v>2.4645260567619776</v>
      </c>
      <c r="W255" s="1705">
        <v>0</v>
      </c>
      <c r="X255" s="1705">
        <v>2025</v>
      </c>
      <c r="Y255" s="1705">
        <v>0</v>
      </c>
      <c r="Z255" s="1705">
        <v>8.7867138689885327E-2</v>
      </c>
      <c r="AA255" s="1705">
        <v>8.7867138689885327E-2</v>
      </c>
      <c r="AB255" s="1712">
        <v>2.4645260567619776</v>
      </c>
      <c r="AC255" s="1712">
        <v>2.4645260567619776</v>
      </c>
      <c r="AD255" s="1713" t="s">
        <v>109</v>
      </c>
      <c r="AE255" s="1712" t="s">
        <v>109</v>
      </c>
      <c r="AF255" s="1712" t="s">
        <v>109</v>
      </c>
      <c r="AG255" s="1713">
        <v>0</v>
      </c>
      <c r="AH255" s="1713">
        <f>IFERROR(TBL4_OptApp[[#This Row],[Total NPC (£m)]]/TBL4_OptApp[[#This Row],[Maximum option utilisation across the planning period (Ml/d)]],"N/A")</f>
        <v>0.50123907473971352</v>
      </c>
      <c r="AI255" s="1713">
        <v>1.2353167603632884</v>
      </c>
      <c r="AJ255" s="1703" t="s">
        <v>109</v>
      </c>
      <c r="AK255" s="1705" t="s">
        <v>109</v>
      </c>
      <c r="AL255" s="1705" t="s">
        <v>109</v>
      </c>
      <c r="AM255" s="1705" t="s">
        <v>109</v>
      </c>
      <c r="AN255" s="1705" t="s">
        <v>109</v>
      </c>
      <c r="AO255" s="1705" t="s">
        <v>109</v>
      </c>
      <c r="AP255" s="1705" t="s">
        <v>109</v>
      </c>
      <c r="AQ255" s="1705" t="s">
        <v>109</v>
      </c>
      <c r="AR255" s="1705" t="s">
        <v>109</v>
      </c>
      <c r="AS255" s="1705" t="s">
        <v>109</v>
      </c>
      <c r="AT255" s="1705" t="s">
        <v>109</v>
      </c>
      <c r="AU255" s="1705" t="s">
        <v>109</v>
      </c>
      <c r="AV255" s="1705" t="s">
        <v>109</v>
      </c>
      <c r="AW255" s="1705"/>
      <c r="AX255" s="1705"/>
      <c r="AY255" s="1705"/>
      <c r="AZ255" s="1705"/>
      <c r="BA255" s="1705"/>
    </row>
    <row r="256" spans="2:53" x14ac:dyDescent="0.2">
      <c r="B256" s="17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256" s="1703" t="s">
        <v>1395</v>
      </c>
      <c r="D256" s="1707" t="s">
        <v>1396</v>
      </c>
      <c r="E256" s="1714" t="s">
        <v>1359</v>
      </c>
      <c r="F256" s="1703" t="str">
        <f>VLOOKUP(TBL4_OptApp[[#This Row],[Option type
Defined List]],'Option Typs_Grps'!B$2:C$47, 2, FALSE)</f>
        <v>Customer Options</v>
      </c>
      <c r="G256" s="1703" t="s">
        <v>861</v>
      </c>
      <c r="H256" s="1703" t="s">
        <v>876</v>
      </c>
      <c r="I256" s="1703" t="s">
        <v>863</v>
      </c>
      <c r="J256" s="1703" t="s">
        <v>109</v>
      </c>
      <c r="K256" s="1703" t="s">
        <v>109</v>
      </c>
      <c r="L256" s="1703" t="s">
        <v>877</v>
      </c>
      <c r="M256" s="1703" t="s">
        <v>877</v>
      </c>
      <c r="N256" s="1703" t="s">
        <v>877</v>
      </c>
      <c r="O256" s="1703" t="s">
        <v>877</v>
      </c>
      <c r="P256" s="1703" t="s">
        <v>863</v>
      </c>
      <c r="Q256" s="1703" t="s">
        <v>877</v>
      </c>
      <c r="R256" s="1703" t="s">
        <v>877</v>
      </c>
      <c r="S256" s="1705" t="s">
        <v>109</v>
      </c>
      <c r="T256" s="1705" t="s">
        <v>109</v>
      </c>
      <c r="U256" s="1705" t="s">
        <v>109</v>
      </c>
      <c r="V256" s="1719">
        <v>0</v>
      </c>
      <c r="W256" s="1705">
        <v>0</v>
      </c>
      <c r="X256" s="1705">
        <v>2025</v>
      </c>
      <c r="Y256" s="1705">
        <v>0</v>
      </c>
      <c r="Z256" s="1705">
        <v>0</v>
      </c>
      <c r="AA256" s="1705">
        <v>0</v>
      </c>
      <c r="AB256" s="1712">
        <v>0</v>
      </c>
      <c r="AC256" s="1712">
        <v>0</v>
      </c>
      <c r="AD256" s="1713">
        <v>0</v>
      </c>
      <c r="AE256" s="1713">
        <v>0</v>
      </c>
      <c r="AF256" s="1713">
        <v>0</v>
      </c>
      <c r="AG256" s="1713">
        <v>0</v>
      </c>
      <c r="AH256" s="1713">
        <v>0</v>
      </c>
      <c r="AI256" s="1713">
        <v>0.72902623938279509</v>
      </c>
      <c r="AJ256" s="1703" t="s">
        <v>109</v>
      </c>
      <c r="AK256" s="1705" t="s">
        <v>109</v>
      </c>
      <c r="AL256" s="1705" t="s">
        <v>109</v>
      </c>
      <c r="AM256" s="1705" t="s">
        <v>109</v>
      </c>
      <c r="AN256" s="1705" t="s">
        <v>109</v>
      </c>
      <c r="AO256" s="1705" t="s">
        <v>109</v>
      </c>
      <c r="AP256" s="1705" t="s">
        <v>109</v>
      </c>
      <c r="AQ256" s="1705" t="s">
        <v>109</v>
      </c>
      <c r="AR256" s="1705" t="s">
        <v>109</v>
      </c>
      <c r="AS256" s="1705" t="s">
        <v>109</v>
      </c>
      <c r="AT256" s="1705" t="s">
        <v>109</v>
      </c>
      <c r="AU256" s="1705" t="s">
        <v>109</v>
      </c>
      <c r="AV256" s="1705" t="s">
        <v>109</v>
      </c>
      <c r="AW256" s="1705"/>
      <c r="AX256" s="1705"/>
      <c r="AY256" s="1705"/>
      <c r="AZ256" s="1705"/>
      <c r="BA256" s="1705"/>
    </row>
    <row r="257" spans="2:53" x14ac:dyDescent="0.2">
      <c r="B257" s="17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51dP</v>
      </c>
      <c r="C257" s="1703" t="s">
        <v>1397</v>
      </c>
      <c r="D257" s="1707" t="s">
        <v>1398</v>
      </c>
      <c r="E257" s="1714" t="s">
        <v>1366</v>
      </c>
      <c r="F257" s="1703" t="str">
        <f>VLOOKUP(TBL4_OptApp[[#This Row],[Option type
Defined List]],'Option Typs_Grps'!B$2:C$47, 2, FALSE)</f>
        <v>Customer Options</v>
      </c>
      <c r="G257" s="1703" t="s">
        <v>861</v>
      </c>
      <c r="H257" s="1703" t="s">
        <v>876</v>
      </c>
      <c r="I257" s="1703" t="s">
        <v>863</v>
      </c>
      <c r="J257" s="1703" t="s">
        <v>109</v>
      </c>
      <c r="K257" s="1703" t="s">
        <v>109</v>
      </c>
      <c r="L257" s="1703" t="s">
        <v>877</v>
      </c>
      <c r="M257" s="1703" t="s">
        <v>877</v>
      </c>
      <c r="N257" s="1703" t="s">
        <v>877</v>
      </c>
      <c r="O257" s="1703" t="s">
        <v>877</v>
      </c>
      <c r="P257" s="1703" t="s">
        <v>863</v>
      </c>
      <c r="Q257" s="1703" t="s">
        <v>877</v>
      </c>
      <c r="R257" s="1703" t="s">
        <v>877</v>
      </c>
      <c r="S257" s="1705" t="s">
        <v>109</v>
      </c>
      <c r="T257" s="1705" t="s">
        <v>109</v>
      </c>
      <c r="U257" s="1705" t="s">
        <v>109</v>
      </c>
      <c r="V257" s="1719">
        <v>4.6916544008413809E-3</v>
      </c>
      <c r="W257" s="1705">
        <v>0</v>
      </c>
      <c r="X257" s="1705">
        <v>2025</v>
      </c>
      <c r="Y257" s="1705">
        <v>0</v>
      </c>
      <c r="Z257" s="1705">
        <v>7.6151520197900605E-4</v>
      </c>
      <c r="AA257" s="1705">
        <v>7.6151520197900605E-4</v>
      </c>
      <c r="AB257" s="1712">
        <v>4.6916544008413809E-3</v>
      </c>
      <c r="AC257" s="1712">
        <v>4.6916544008413809E-3</v>
      </c>
      <c r="AD257" s="1713" t="s">
        <v>109</v>
      </c>
      <c r="AE257" s="1712" t="s">
        <v>109</v>
      </c>
      <c r="AF257" s="1712" t="s">
        <v>109</v>
      </c>
      <c r="AG257" s="1713">
        <v>0</v>
      </c>
      <c r="AH257" s="1713">
        <f>IFERROR(TBL4_OptApp[[#This Row],[Total NPC (£m)]]/TBL4_OptApp[[#This Row],[Maximum option utilisation across the planning period (Ml/d)]],"N/A")</f>
        <v>1.9823766964500089</v>
      </c>
      <c r="AI257" s="1713">
        <v>9.300626352025082E-3</v>
      </c>
      <c r="AJ257" s="1703" t="s">
        <v>109</v>
      </c>
      <c r="AK257" s="1705" t="s">
        <v>109</v>
      </c>
      <c r="AL257" s="1705" t="s">
        <v>109</v>
      </c>
      <c r="AM257" s="1705" t="s">
        <v>109</v>
      </c>
      <c r="AN257" s="1705" t="s">
        <v>109</v>
      </c>
      <c r="AO257" s="1705" t="s">
        <v>109</v>
      </c>
      <c r="AP257" s="1705" t="s">
        <v>109</v>
      </c>
      <c r="AQ257" s="1705" t="s">
        <v>109</v>
      </c>
      <c r="AR257" s="1705" t="s">
        <v>109</v>
      </c>
      <c r="AS257" s="1705" t="s">
        <v>109</v>
      </c>
      <c r="AT257" s="1705" t="s">
        <v>109</v>
      </c>
      <c r="AU257" s="1705" t="s">
        <v>109</v>
      </c>
      <c r="AV257" s="1705" t="s">
        <v>109</v>
      </c>
      <c r="AW257" s="1705"/>
      <c r="AX257" s="1705"/>
      <c r="AY257" s="1705"/>
      <c r="AZ257" s="1705"/>
      <c r="BA257" s="1705"/>
    </row>
    <row r="258" spans="2:53" ht="28.5" x14ac:dyDescent="0.2">
      <c r="B258" s="17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258" s="1703" t="s">
        <v>1399</v>
      </c>
      <c r="D258" s="1707" t="s">
        <v>1400</v>
      </c>
      <c r="E258" s="1714" t="s">
        <v>1359</v>
      </c>
      <c r="F258" s="1703" t="str">
        <f>VLOOKUP(TBL4_OptApp[[#This Row],[Option type
Defined List]],'Option Typs_Grps'!B$2:C$47, 2, FALSE)</f>
        <v>Customer Options</v>
      </c>
      <c r="G258" s="1703" t="s">
        <v>861</v>
      </c>
      <c r="H258" s="1703" t="s">
        <v>871</v>
      </c>
      <c r="I258" s="1703" t="s">
        <v>863</v>
      </c>
      <c r="J258" s="1703" t="s">
        <v>109</v>
      </c>
      <c r="K258" s="1703" t="s">
        <v>109</v>
      </c>
      <c r="L258" s="1703" t="s">
        <v>863</v>
      </c>
      <c r="M258" s="1703" t="s">
        <v>863</v>
      </c>
      <c r="N258" s="1703" t="s">
        <v>863</v>
      </c>
      <c r="O258" s="1703" t="s">
        <v>863</v>
      </c>
      <c r="P258" s="1703" t="s">
        <v>863</v>
      </c>
      <c r="Q258" s="1703" t="s">
        <v>863</v>
      </c>
      <c r="R258" s="1703" t="s">
        <v>863</v>
      </c>
      <c r="S258" s="1745" t="s">
        <v>1401</v>
      </c>
      <c r="T258" s="1705" t="s">
        <v>109</v>
      </c>
      <c r="U258" s="1705" t="s">
        <v>109</v>
      </c>
      <c r="V258" s="1719" t="s">
        <v>109</v>
      </c>
      <c r="W258" s="1705">
        <v>0</v>
      </c>
      <c r="X258" s="1705" t="s">
        <v>109</v>
      </c>
      <c r="Y258" s="1705">
        <v>0</v>
      </c>
      <c r="Z258" s="1705" t="s">
        <v>109</v>
      </c>
      <c r="AA258" s="1705" t="s">
        <v>109</v>
      </c>
      <c r="AB258" s="1712" t="s">
        <v>109</v>
      </c>
      <c r="AC258" s="1712" t="s">
        <v>109</v>
      </c>
      <c r="AD258" s="1713" t="s">
        <v>109</v>
      </c>
      <c r="AE258" s="1712" t="s">
        <v>109</v>
      </c>
      <c r="AF258" s="1712" t="s">
        <v>109</v>
      </c>
      <c r="AG258" s="1713">
        <v>0</v>
      </c>
      <c r="AH258" s="1713" t="str">
        <f>IFERROR(TBL4_OptApp[[#This Row],[Total NPC (£m)]]/TBL4_OptApp[[#This Row],[Maximum option utilisation across the planning period (Ml/d)]],"N/A")</f>
        <v>N/A</v>
      </c>
      <c r="AI258" s="1713" t="s">
        <v>109</v>
      </c>
      <c r="AJ258" s="1703" t="s">
        <v>109</v>
      </c>
      <c r="AK258" s="1705" t="s">
        <v>109</v>
      </c>
      <c r="AL258" s="1705" t="s">
        <v>109</v>
      </c>
      <c r="AM258" s="1705" t="s">
        <v>109</v>
      </c>
      <c r="AN258" s="1705" t="s">
        <v>109</v>
      </c>
      <c r="AO258" s="1705" t="s">
        <v>109</v>
      </c>
      <c r="AP258" s="1705" t="s">
        <v>109</v>
      </c>
      <c r="AQ258" s="1705" t="s">
        <v>109</v>
      </c>
      <c r="AR258" s="1705" t="s">
        <v>109</v>
      </c>
      <c r="AS258" s="1705" t="s">
        <v>109</v>
      </c>
      <c r="AT258" s="1705" t="s">
        <v>109</v>
      </c>
      <c r="AU258" s="1705" t="s">
        <v>109</v>
      </c>
      <c r="AV258" s="1705" t="s">
        <v>109</v>
      </c>
      <c r="AW258" s="1705"/>
      <c r="AX258" s="1705"/>
      <c r="AY258" s="1705"/>
      <c r="AZ258" s="1705"/>
      <c r="BA258" s="1705"/>
    </row>
    <row r="259" spans="2:53" ht="28.5" x14ac:dyDescent="0.2">
      <c r="B259" s="17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259" s="1703" t="s">
        <v>1402</v>
      </c>
      <c r="D259" s="1707" t="s">
        <v>1403</v>
      </c>
      <c r="E259" s="1714" t="s">
        <v>987</v>
      </c>
      <c r="F259" s="1703" t="str">
        <f>VLOOKUP(TBL4_OptApp[[#This Row],[Option type
Defined List]],'Option Typs_Grps'!B$2:C$47, 2, FALSE)</f>
        <v>Customer Options</v>
      </c>
      <c r="G259" s="1703" t="s">
        <v>861</v>
      </c>
      <c r="H259" s="1703" t="s">
        <v>871</v>
      </c>
      <c r="I259" s="1703" t="s">
        <v>863</v>
      </c>
      <c r="J259" s="1703" t="s">
        <v>109</v>
      </c>
      <c r="K259" s="1703" t="s">
        <v>109</v>
      </c>
      <c r="L259" s="1703" t="s">
        <v>863</v>
      </c>
      <c r="M259" s="1703" t="s">
        <v>863</v>
      </c>
      <c r="N259" s="1703" t="s">
        <v>863</v>
      </c>
      <c r="O259" s="1703" t="s">
        <v>863</v>
      </c>
      <c r="P259" s="1703" t="s">
        <v>863</v>
      </c>
      <c r="Q259" s="1703" t="s">
        <v>863</v>
      </c>
      <c r="R259" s="1703" t="s">
        <v>863</v>
      </c>
      <c r="S259" s="1745" t="s">
        <v>1401</v>
      </c>
      <c r="T259" s="1705" t="s">
        <v>109</v>
      </c>
      <c r="U259" s="1705" t="s">
        <v>109</v>
      </c>
      <c r="V259" s="1719" t="s">
        <v>109</v>
      </c>
      <c r="W259" s="1705">
        <v>0</v>
      </c>
      <c r="X259" s="1705" t="s">
        <v>109</v>
      </c>
      <c r="Y259" s="1705">
        <v>0</v>
      </c>
      <c r="Z259" s="1705" t="s">
        <v>109</v>
      </c>
      <c r="AA259" s="1705" t="s">
        <v>109</v>
      </c>
      <c r="AB259" s="1712" t="s">
        <v>109</v>
      </c>
      <c r="AC259" s="1712" t="s">
        <v>109</v>
      </c>
      <c r="AD259" s="1713" t="s">
        <v>109</v>
      </c>
      <c r="AE259" s="1712" t="s">
        <v>109</v>
      </c>
      <c r="AF259" s="1712" t="s">
        <v>109</v>
      </c>
      <c r="AG259" s="1713">
        <v>0</v>
      </c>
      <c r="AH259" s="1713" t="str">
        <f>IFERROR(TBL4_OptApp[[#This Row],[Total NPC (£m)]]/TBL4_OptApp[[#This Row],[Maximum option utilisation across the planning period (Ml/d)]],"N/A")</f>
        <v>N/A</v>
      </c>
      <c r="AI259" s="1713" t="s">
        <v>109</v>
      </c>
      <c r="AJ259" s="1703" t="s">
        <v>109</v>
      </c>
      <c r="AK259" s="1705" t="s">
        <v>109</v>
      </c>
      <c r="AL259" s="1705" t="s">
        <v>109</v>
      </c>
      <c r="AM259" s="1705" t="s">
        <v>109</v>
      </c>
      <c r="AN259" s="1705" t="s">
        <v>109</v>
      </c>
      <c r="AO259" s="1705" t="s">
        <v>109</v>
      </c>
      <c r="AP259" s="1705" t="s">
        <v>109</v>
      </c>
      <c r="AQ259" s="1705" t="s">
        <v>109</v>
      </c>
      <c r="AR259" s="1705" t="s">
        <v>109</v>
      </c>
      <c r="AS259" s="1705" t="s">
        <v>109</v>
      </c>
      <c r="AT259" s="1705" t="s">
        <v>109</v>
      </c>
      <c r="AU259" s="1705" t="s">
        <v>109</v>
      </c>
      <c r="AV259" s="1705" t="s">
        <v>109</v>
      </c>
      <c r="AW259" s="1705"/>
      <c r="AX259" s="1705"/>
      <c r="AY259" s="1705"/>
      <c r="AZ259" s="1705"/>
      <c r="BA259" s="1705"/>
    </row>
    <row r="260" spans="2:53" ht="28.5" x14ac:dyDescent="0.2">
      <c r="B260" s="17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260" s="1703" t="s">
        <v>1404</v>
      </c>
      <c r="D260" s="1707" t="s">
        <v>1405</v>
      </c>
      <c r="E260" s="1714" t="s">
        <v>987</v>
      </c>
      <c r="F260" s="1703" t="str">
        <f>VLOOKUP(TBL4_OptApp[[#This Row],[Option type
Defined List]],'Option Typs_Grps'!B$2:C$47, 2, FALSE)</f>
        <v>Customer Options</v>
      </c>
      <c r="G260" s="1703" t="s">
        <v>861</v>
      </c>
      <c r="H260" s="1703" t="s">
        <v>871</v>
      </c>
      <c r="I260" s="1703" t="s">
        <v>863</v>
      </c>
      <c r="J260" s="1703" t="s">
        <v>109</v>
      </c>
      <c r="K260" s="1703" t="s">
        <v>109</v>
      </c>
      <c r="L260" s="1703" t="s">
        <v>863</v>
      </c>
      <c r="M260" s="1703" t="s">
        <v>863</v>
      </c>
      <c r="N260" s="1703" t="s">
        <v>863</v>
      </c>
      <c r="O260" s="1703" t="s">
        <v>863</v>
      </c>
      <c r="P260" s="1703" t="s">
        <v>863</v>
      </c>
      <c r="Q260" s="1703" t="s">
        <v>863</v>
      </c>
      <c r="R260" s="1703" t="s">
        <v>863</v>
      </c>
      <c r="S260" s="1745" t="s">
        <v>1401</v>
      </c>
      <c r="T260" s="1705" t="s">
        <v>109</v>
      </c>
      <c r="U260" s="1705" t="s">
        <v>109</v>
      </c>
      <c r="V260" s="1719" t="s">
        <v>109</v>
      </c>
      <c r="W260" s="1705">
        <v>0</v>
      </c>
      <c r="X260" s="1705" t="s">
        <v>109</v>
      </c>
      <c r="Y260" s="1705">
        <v>0</v>
      </c>
      <c r="Z260" s="1705" t="s">
        <v>109</v>
      </c>
      <c r="AA260" s="1705" t="s">
        <v>109</v>
      </c>
      <c r="AB260" s="1712" t="s">
        <v>109</v>
      </c>
      <c r="AC260" s="1712" t="s">
        <v>109</v>
      </c>
      <c r="AD260" s="1713" t="s">
        <v>109</v>
      </c>
      <c r="AE260" s="1712" t="s">
        <v>109</v>
      </c>
      <c r="AF260" s="1712" t="s">
        <v>109</v>
      </c>
      <c r="AG260" s="1713">
        <v>0</v>
      </c>
      <c r="AH260" s="1713" t="str">
        <f>IFERROR(TBL4_OptApp[[#This Row],[Total NPC (£m)]]/TBL4_OptApp[[#This Row],[Maximum option utilisation across the planning period (Ml/d)]],"N/A")</f>
        <v>N/A</v>
      </c>
      <c r="AI260" s="1713" t="s">
        <v>109</v>
      </c>
      <c r="AJ260" s="1703" t="s">
        <v>109</v>
      </c>
      <c r="AK260" s="1705" t="s">
        <v>109</v>
      </c>
      <c r="AL260" s="1705" t="s">
        <v>109</v>
      </c>
      <c r="AM260" s="1705" t="s">
        <v>109</v>
      </c>
      <c r="AN260" s="1705" t="s">
        <v>109</v>
      </c>
      <c r="AO260" s="1705" t="s">
        <v>109</v>
      </c>
      <c r="AP260" s="1705" t="s">
        <v>109</v>
      </c>
      <c r="AQ260" s="1705" t="s">
        <v>109</v>
      </c>
      <c r="AR260" s="1705" t="s">
        <v>109</v>
      </c>
      <c r="AS260" s="1705" t="s">
        <v>109</v>
      </c>
      <c r="AT260" s="1705" t="s">
        <v>109</v>
      </c>
      <c r="AU260" s="1705" t="s">
        <v>109</v>
      </c>
      <c r="AV260" s="1705" t="s">
        <v>109</v>
      </c>
      <c r="AW260" s="1705"/>
      <c r="AX260" s="1705"/>
      <c r="AY260" s="1705"/>
      <c r="AZ260" s="1705"/>
      <c r="BA260" s="1705"/>
    </row>
    <row r="261" spans="2:53" ht="28.5" x14ac:dyDescent="0.2">
      <c r="B261" s="17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261" s="1703" t="s">
        <v>1406</v>
      </c>
      <c r="D261" s="1707" t="s">
        <v>1358</v>
      </c>
      <c r="E261" s="1714" t="s">
        <v>1359</v>
      </c>
      <c r="F261" s="1703" t="str">
        <f>VLOOKUP(TBL4_OptApp[[#This Row],[Option type
Defined List]],'Option Typs_Grps'!B$2:C$47, 2, FALSE)</f>
        <v>Customer Options</v>
      </c>
      <c r="G261" s="1703" t="s">
        <v>861</v>
      </c>
      <c r="H261" s="1703" t="s">
        <v>871</v>
      </c>
      <c r="I261" s="1703" t="s">
        <v>863</v>
      </c>
      <c r="J261" s="1703" t="s">
        <v>109</v>
      </c>
      <c r="K261" s="1703" t="s">
        <v>109</v>
      </c>
      <c r="L261" s="1703" t="s">
        <v>863</v>
      </c>
      <c r="M261" s="1703" t="s">
        <v>863</v>
      </c>
      <c r="N261" s="1703" t="s">
        <v>863</v>
      </c>
      <c r="O261" s="1703" t="s">
        <v>863</v>
      </c>
      <c r="P261" s="1703" t="s">
        <v>863</v>
      </c>
      <c r="Q261" s="1703" t="s">
        <v>863</v>
      </c>
      <c r="R261" s="1703" t="s">
        <v>863</v>
      </c>
      <c r="S261" s="1745" t="s">
        <v>1401</v>
      </c>
      <c r="T261" s="1705" t="s">
        <v>109</v>
      </c>
      <c r="U261" s="1705" t="s">
        <v>109</v>
      </c>
      <c r="V261" s="1719" t="s">
        <v>109</v>
      </c>
      <c r="W261" s="1705">
        <v>0</v>
      </c>
      <c r="X261" s="1705" t="s">
        <v>109</v>
      </c>
      <c r="Y261" s="1705">
        <v>0</v>
      </c>
      <c r="Z261" s="1705" t="s">
        <v>109</v>
      </c>
      <c r="AA261" s="1705" t="s">
        <v>109</v>
      </c>
      <c r="AB261" s="1712" t="s">
        <v>109</v>
      </c>
      <c r="AC261" s="1712" t="s">
        <v>109</v>
      </c>
      <c r="AD261" s="1713" t="s">
        <v>109</v>
      </c>
      <c r="AE261" s="1712" t="s">
        <v>109</v>
      </c>
      <c r="AF261" s="1712" t="s">
        <v>109</v>
      </c>
      <c r="AG261" s="1713">
        <v>0</v>
      </c>
      <c r="AH261" s="1713" t="str">
        <f>IFERROR(TBL4_OptApp[[#This Row],[Total NPC (£m)]]/TBL4_OptApp[[#This Row],[Maximum option utilisation across the planning period (Ml/d)]],"N/A")</f>
        <v>N/A</v>
      </c>
      <c r="AI261" s="1713" t="s">
        <v>109</v>
      </c>
      <c r="AJ261" s="1703" t="s">
        <v>109</v>
      </c>
      <c r="AK261" s="1705" t="s">
        <v>109</v>
      </c>
      <c r="AL261" s="1705" t="s">
        <v>109</v>
      </c>
      <c r="AM261" s="1705" t="s">
        <v>109</v>
      </c>
      <c r="AN261" s="1705" t="s">
        <v>109</v>
      </c>
      <c r="AO261" s="1705" t="s">
        <v>109</v>
      </c>
      <c r="AP261" s="1705" t="s">
        <v>109</v>
      </c>
      <c r="AQ261" s="1705" t="s">
        <v>109</v>
      </c>
      <c r="AR261" s="1705" t="s">
        <v>109</v>
      </c>
      <c r="AS261" s="1705" t="s">
        <v>109</v>
      </c>
      <c r="AT261" s="1705" t="s">
        <v>109</v>
      </c>
      <c r="AU261" s="1705" t="s">
        <v>109</v>
      </c>
      <c r="AV261" s="1705" t="s">
        <v>109</v>
      </c>
      <c r="AW261" s="1705"/>
      <c r="AX261" s="1705"/>
      <c r="AY261" s="1705"/>
      <c r="AZ261" s="1705"/>
      <c r="BA261" s="1705"/>
    </row>
    <row r="262" spans="2:53" ht="28.5" x14ac:dyDescent="0.2">
      <c r="B262" s="17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262" s="1703" t="s">
        <v>1407</v>
      </c>
      <c r="D262" s="1707" t="s">
        <v>1408</v>
      </c>
      <c r="E262" s="1714" t="s">
        <v>987</v>
      </c>
      <c r="F262" s="1703" t="str">
        <f>VLOOKUP(TBL4_OptApp[[#This Row],[Option type
Defined List]],'Option Typs_Grps'!B$2:C$47, 2, FALSE)</f>
        <v>Customer Options</v>
      </c>
      <c r="G262" s="1703" t="s">
        <v>861</v>
      </c>
      <c r="H262" s="1703" t="s">
        <v>871</v>
      </c>
      <c r="I262" s="1703" t="s">
        <v>863</v>
      </c>
      <c r="J262" s="1703" t="s">
        <v>109</v>
      </c>
      <c r="K262" s="1703" t="s">
        <v>109</v>
      </c>
      <c r="L262" s="1703" t="s">
        <v>863</v>
      </c>
      <c r="M262" s="1703" t="s">
        <v>863</v>
      </c>
      <c r="N262" s="1703" t="s">
        <v>863</v>
      </c>
      <c r="O262" s="1703" t="s">
        <v>863</v>
      </c>
      <c r="P262" s="1703" t="s">
        <v>863</v>
      </c>
      <c r="Q262" s="1703" t="s">
        <v>863</v>
      </c>
      <c r="R262" s="1703" t="s">
        <v>863</v>
      </c>
      <c r="S262" s="1745" t="s">
        <v>1401</v>
      </c>
      <c r="T262" s="1705" t="s">
        <v>109</v>
      </c>
      <c r="U262" s="1705" t="s">
        <v>109</v>
      </c>
      <c r="V262" s="1719" t="s">
        <v>109</v>
      </c>
      <c r="W262" s="1705">
        <v>0</v>
      </c>
      <c r="X262" s="1705" t="s">
        <v>109</v>
      </c>
      <c r="Y262" s="1705">
        <v>0</v>
      </c>
      <c r="Z262" s="1705" t="s">
        <v>109</v>
      </c>
      <c r="AA262" s="1705" t="s">
        <v>109</v>
      </c>
      <c r="AB262" s="1712" t="s">
        <v>109</v>
      </c>
      <c r="AC262" s="1712" t="s">
        <v>109</v>
      </c>
      <c r="AD262" s="1713" t="s">
        <v>109</v>
      </c>
      <c r="AE262" s="1712" t="s">
        <v>109</v>
      </c>
      <c r="AF262" s="1712" t="s">
        <v>109</v>
      </c>
      <c r="AG262" s="1713">
        <v>0</v>
      </c>
      <c r="AH262" s="1713" t="str">
        <f>IFERROR(TBL4_OptApp[[#This Row],[Total NPC (£m)]]/TBL4_OptApp[[#This Row],[Maximum option utilisation across the planning period (Ml/d)]],"N/A")</f>
        <v>N/A</v>
      </c>
      <c r="AI262" s="1713" t="s">
        <v>109</v>
      </c>
      <c r="AJ262" s="1703" t="s">
        <v>109</v>
      </c>
      <c r="AK262" s="1705" t="s">
        <v>109</v>
      </c>
      <c r="AL262" s="1705" t="s">
        <v>109</v>
      </c>
      <c r="AM262" s="1705" t="s">
        <v>109</v>
      </c>
      <c r="AN262" s="1705" t="s">
        <v>109</v>
      </c>
      <c r="AO262" s="1705" t="s">
        <v>109</v>
      </c>
      <c r="AP262" s="1705" t="s">
        <v>109</v>
      </c>
      <c r="AQ262" s="1705" t="s">
        <v>109</v>
      </c>
      <c r="AR262" s="1705" t="s">
        <v>109</v>
      </c>
      <c r="AS262" s="1705" t="s">
        <v>109</v>
      </c>
      <c r="AT262" s="1705" t="s">
        <v>109</v>
      </c>
      <c r="AU262" s="1705" t="s">
        <v>109</v>
      </c>
      <c r="AV262" s="1705" t="s">
        <v>109</v>
      </c>
      <c r="AW262" s="1705"/>
      <c r="AX262" s="1705"/>
      <c r="AY262" s="1705"/>
      <c r="AZ262" s="1705"/>
      <c r="BA262" s="1705"/>
    </row>
    <row r="263" spans="2:53" ht="28.5" x14ac:dyDescent="0.2">
      <c r="B263" s="17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263" s="1703" t="s">
        <v>1409</v>
      </c>
      <c r="D263" s="1707" t="s">
        <v>1410</v>
      </c>
      <c r="E263" s="1714" t="s">
        <v>987</v>
      </c>
      <c r="F263" s="1703" t="str">
        <f>VLOOKUP(TBL4_OptApp[[#This Row],[Option type
Defined List]],'Option Typs_Grps'!B$2:C$47, 2, FALSE)</f>
        <v>Customer Options</v>
      </c>
      <c r="G263" s="1703" t="s">
        <v>861</v>
      </c>
      <c r="H263" s="1703" t="s">
        <v>871</v>
      </c>
      <c r="I263" s="1703" t="s">
        <v>863</v>
      </c>
      <c r="J263" s="1703" t="s">
        <v>109</v>
      </c>
      <c r="K263" s="1703" t="s">
        <v>109</v>
      </c>
      <c r="L263" s="1703" t="s">
        <v>863</v>
      </c>
      <c r="M263" s="1703" t="s">
        <v>863</v>
      </c>
      <c r="N263" s="1703" t="s">
        <v>863</v>
      </c>
      <c r="O263" s="1703" t="s">
        <v>863</v>
      </c>
      <c r="P263" s="1703" t="s">
        <v>863</v>
      </c>
      <c r="Q263" s="1703" t="s">
        <v>863</v>
      </c>
      <c r="R263" s="1703" t="s">
        <v>863</v>
      </c>
      <c r="S263" s="1745" t="s">
        <v>1401</v>
      </c>
      <c r="T263" s="1705" t="s">
        <v>109</v>
      </c>
      <c r="U263" s="1705" t="s">
        <v>109</v>
      </c>
      <c r="V263" s="1719" t="s">
        <v>109</v>
      </c>
      <c r="W263" s="1705">
        <v>0</v>
      </c>
      <c r="X263" s="1705" t="s">
        <v>109</v>
      </c>
      <c r="Y263" s="1705">
        <v>0</v>
      </c>
      <c r="Z263" s="1705" t="s">
        <v>109</v>
      </c>
      <c r="AA263" s="1705" t="s">
        <v>109</v>
      </c>
      <c r="AB263" s="1712" t="s">
        <v>109</v>
      </c>
      <c r="AC263" s="1712" t="s">
        <v>109</v>
      </c>
      <c r="AD263" s="1713" t="s">
        <v>109</v>
      </c>
      <c r="AE263" s="1712" t="s">
        <v>109</v>
      </c>
      <c r="AF263" s="1712" t="s">
        <v>109</v>
      </c>
      <c r="AG263" s="1713">
        <v>0</v>
      </c>
      <c r="AH263" s="1713" t="str">
        <f>IFERROR(TBL4_OptApp[[#This Row],[Total NPC (£m)]]/TBL4_OptApp[[#This Row],[Maximum option utilisation across the planning period (Ml/d)]],"N/A")</f>
        <v>N/A</v>
      </c>
      <c r="AI263" s="1713" t="s">
        <v>109</v>
      </c>
      <c r="AJ263" s="1703" t="s">
        <v>109</v>
      </c>
      <c r="AK263" s="1705" t="s">
        <v>109</v>
      </c>
      <c r="AL263" s="1705" t="s">
        <v>109</v>
      </c>
      <c r="AM263" s="1705" t="s">
        <v>109</v>
      </c>
      <c r="AN263" s="1705" t="s">
        <v>109</v>
      </c>
      <c r="AO263" s="1705" t="s">
        <v>109</v>
      </c>
      <c r="AP263" s="1705" t="s">
        <v>109</v>
      </c>
      <c r="AQ263" s="1705" t="s">
        <v>109</v>
      </c>
      <c r="AR263" s="1705" t="s">
        <v>109</v>
      </c>
      <c r="AS263" s="1705" t="s">
        <v>109</v>
      </c>
      <c r="AT263" s="1705" t="s">
        <v>109</v>
      </c>
      <c r="AU263" s="1705" t="s">
        <v>109</v>
      </c>
      <c r="AV263" s="1705" t="s">
        <v>109</v>
      </c>
      <c r="AW263" s="1705"/>
      <c r="AX263" s="1705"/>
      <c r="AY263" s="1705"/>
      <c r="AZ263" s="1705"/>
      <c r="BA263" s="1705"/>
    </row>
    <row r="264" spans="2:53" ht="28.5" x14ac:dyDescent="0.2">
      <c r="B264" s="17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264" s="1703" t="s">
        <v>1411</v>
      </c>
      <c r="D264" s="1707" t="s">
        <v>1412</v>
      </c>
      <c r="E264" s="1714" t="s">
        <v>987</v>
      </c>
      <c r="F264" s="1703" t="str">
        <f>VLOOKUP(TBL4_OptApp[[#This Row],[Option type
Defined List]],'Option Typs_Grps'!B$2:C$47, 2, FALSE)</f>
        <v>Customer Options</v>
      </c>
      <c r="G264" s="1703" t="s">
        <v>861</v>
      </c>
      <c r="H264" s="1703" t="s">
        <v>871</v>
      </c>
      <c r="I264" s="1703" t="s">
        <v>863</v>
      </c>
      <c r="J264" s="1703" t="s">
        <v>109</v>
      </c>
      <c r="K264" s="1703" t="s">
        <v>109</v>
      </c>
      <c r="L264" s="1703" t="s">
        <v>863</v>
      </c>
      <c r="M264" s="1703" t="s">
        <v>863</v>
      </c>
      <c r="N264" s="1703" t="s">
        <v>863</v>
      </c>
      <c r="O264" s="1703" t="s">
        <v>863</v>
      </c>
      <c r="P264" s="1703" t="s">
        <v>863</v>
      </c>
      <c r="Q264" s="1703" t="s">
        <v>863</v>
      </c>
      <c r="R264" s="1703" t="s">
        <v>863</v>
      </c>
      <c r="S264" s="1745" t="s">
        <v>1401</v>
      </c>
      <c r="T264" s="1705" t="s">
        <v>109</v>
      </c>
      <c r="U264" s="1705" t="s">
        <v>109</v>
      </c>
      <c r="V264" s="1719" t="s">
        <v>109</v>
      </c>
      <c r="W264" s="1705">
        <v>0</v>
      </c>
      <c r="X264" s="1705" t="s">
        <v>109</v>
      </c>
      <c r="Y264" s="1705">
        <v>0</v>
      </c>
      <c r="Z264" s="1705" t="s">
        <v>109</v>
      </c>
      <c r="AA264" s="1705" t="s">
        <v>109</v>
      </c>
      <c r="AB264" s="1712" t="s">
        <v>109</v>
      </c>
      <c r="AC264" s="1712" t="s">
        <v>109</v>
      </c>
      <c r="AD264" s="1713" t="s">
        <v>109</v>
      </c>
      <c r="AE264" s="1712" t="s">
        <v>109</v>
      </c>
      <c r="AF264" s="1712" t="s">
        <v>109</v>
      </c>
      <c r="AG264" s="1713">
        <v>0</v>
      </c>
      <c r="AH264" s="1713" t="str">
        <f>IFERROR(TBL4_OptApp[[#This Row],[Total NPC (£m)]]/TBL4_OptApp[[#This Row],[Maximum option utilisation across the planning period (Ml/d)]],"N/A")</f>
        <v>N/A</v>
      </c>
      <c r="AI264" s="1713" t="s">
        <v>109</v>
      </c>
      <c r="AJ264" s="1703" t="s">
        <v>109</v>
      </c>
      <c r="AK264" s="1705" t="s">
        <v>109</v>
      </c>
      <c r="AL264" s="1705" t="s">
        <v>109</v>
      </c>
      <c r="AM264" s="1705" t="s">
        <v>109</v>
      </c>
      <c r="AN264" s="1705" t="s">
        <v>109</v>
      </c>
      <c r="AO264" s="1705" t="s">
        <v>109</v>
      </c>
      <c r="AP264" s="1705" t="s">
        <v>109</v>
      </c>
      <c r="AQ264" s="1705" t="s">
        <v>109</v>
      </c>
      <c r="AR264" s="1705" t="s">
        <v>109</v>
      </c>
      <c r="AS264" s="1705" t="s">
        <v>109</v>
      </c>
      <c r="AT264" s="1705" t="s">
        <v>109</v>
      </c>
      <c r="AU264" s="1705" t="s">
        <v>109</v>
      </c>
      <c r="AV264" s="1705" t="s">
        <v>109</v>
      </c>
      <c r="AW264" s="1705"/>
      <c r="AX264" s="1705"/>
      <c r="AY264" s="1705"/>
      <c r="AZ264" s="1705"/>
      <c r="BA264" s="1705"/>
    </row>
    <row r="265" spans="2:53" ht="28.5" x14ac:dyDescent="0.2">
      <c r="B265" s="17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265" s="1703" t="s">
        <v>1413</v>
      </c>
      <c r="D265" s="1707" t="s">
        <v>1414</v>
      </c>
      <c r="E265" s="1714" t="s">
        <v>987</v>
      </c>
      <c r="F265" s="1703" t="str">
        <f>VLOOKUP(TBL4_OptApp[[#This Row],[Option type
Defined List]],'Option Typs_Grps'!B$2:C$47, 2, FALSE)</f>
        <v>Customer Options</v>
      </c>
      <c r="G265" s="1703" t="s">
        <v>861</v>
      </c>
      <c r="H265" s="1703" t="s">
        <v>871</v>
      </c>
      <c r="I265" s="1703" t="s">
        <v>863</v>
      </c>
      <c r="J265" s="1703" t="s">
        <v>109</v>
      </c>
      <c r="K265" s="1703" t="s">
        <v>109</v>
      </c>
      <c r="L265" s="1703" t="s">
        <v>863</v>
      </c>
      <c r="M265" s="1703" t="s">
        <v>863</v>
      </c>
      <c r="N265" s="1703" t="s">
        <v>863</v>
      </c>
      <c r="O265" s="1703" t="s">
        <v>863</v>
      </c>
      <c r="P265" s="1703" t="s">
        <v>863</v>
      </c>
      <c r="Q265" s="1703" t="s">
        <v>863</v>
      </c>
      <c r="R265" s="1703" t="s">
        <v>863</v>
      </c>
      <c r="S265" s="1745" t="s">
        <v>1401</v>
      </c>
      <c r="T265" s="1705" t="s">
        <v>109</v>
      </c>
      <c r="U265" s="1705" t="s">
        <v>109</v>
      </c>
      <c r="V265" s="1719" t="s">
        <v>109</v>
      </c>
      <c r="W265" s="1705">
        <v>0</v>
      </c>
      <c r="X265" s="1705" t="s">
        <v>109</v>
      </c>
      <c r="Y265" s="1705">
        <v>0</v>
      </c>
      <c r="Z265" s="1705" t="s">
        <v>109</v>
      </c>
      <c r="AA265" s="1705" t="s">
        <v>109</v>
      </c>
      <c r="AB265" s="1712" t="s">
        <v>109</v>
      </c>
      <c r="AC265" s="1712" t="s">
        <v>109</v>
      </c>
      <c r="AD265" s="1713" t="s">
        <v>109</v>
      </c>
      <c r="AE265" s="1712" t="s">
        <v>109</v>
      </c>
      <c r="AF265" s="1712" t="s">
        <v>109</v>
      </c>
      <c r="AG265" s="1713">
        <v>0</v>
      </c>
      <c r="AH265" s="1713" t="str">
        <f>IFERROR(TBL4_OptApp[[#This Row],[Total NPC (£m)]]/TBL4_OptApp[[#This Row],[Maximum option utilisation across the planning period (Ml/d)]],"N/A")</f>
        <v>N/A</v>
      </c>
      <c r="AI265" s="1713" t="s">
        <v>109</v>
      </c>
      <c r="AJ265" s="1703" t="s">
        <v>109</v>
      </c>
      <c r="AK265" s="1705" t="s">
        <v>109</v>
      </c>
      <c r="AL265" s="1705" t="s">
        <v>109</v>
      </c>
      <c r="AM265" s="1705" t="s">
        <v>109</v>
      </c>
      <c r="AN265" s="1705" t="s">
        <v>109</v>
      </c>
      <c r="AO265" s="1705" t="s">
        <v>109</v>
      </c>
      <c r="AP265" s="1705" t="s">
        <v>109</v>
      </c>
      <c r="AQ265" s="1705" t="s">
        <v>109</v>
      </c>
      <c r="AR265" s="1705" t="s">
        <v>109</v>
      </c>
      <c r="AS265" s="1705" t="s">
        <v>109</v>
      </c>
      <c r="AT265" s="1705" t="s">
        <v>109</v>
      </c>
      <c r="AU265" s="1705" t="s">
        <v>109</v>
      </c>
      <c r="AV265" s="1705" t="s">
        <v>109</v>
      </c>
      <c r="AW265" s="1705"/>
      <c r="AX265" s="1705"/>
      <c r="AY265" s="1705"/>
      <c r="AZ265" s="1705"/>
      <c r="BA265" s="1705"/>
    </row>
    <row r="266" spans="2:53" ht="28.5" x14ac:dyDescent="0.2">
      <c r="B266" s="17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266" s="1703" t="s">
        <v>1415</v>
      </c>
      <c r="D266" s="1707" t="s">
        <v>1416</v>
      </c>
      <c r="E266" s="1714" t="s">
        <v>987</v>
      </c>
      <c r="F266" s="1703" t="str">
        <f>VLOOKUP(TBL4_OptApp[[#This Row],[Option type
Defined List]],'Option Typs_Grps'!B$2:C$47, 2, FALSE)</f>
        <v>Customer Options</v>
      </c>
      <c r="G266" s="1703" t="s">
        <v>861</v>
      </c>
      <c r="H266" s="1703" t="s">
        <v>871</v>
      </c>
      <c r="I266" s="1703" t="s">
        <v>863</v>
      </c>
      <c r="J266" s="1703" t="s">
        <v>109</v>
      </c>
      <c r="K266" s="1703" t="s">
        <v>109</v>
      </c>
      <c r="L266" s="1703" t="s">
        <v>863</v>
      </c>
      <c r="M266" s="1703" t="s">
        <v>863</v>
      </c>
      <c r="N266" s="1703" t="s">
        <v>863</v>
      </c>
      <c r="O266" s="1703" t="s">
        <v>863</v>
      </c>
      <c r="P266" s="1703" t="s">
        <v>863</v>
      </c>
      <c r="Q266" s="1703" t="s">
        <v>863</v>
      </c>
      <c r="R266" s="1703" t="s">
        <v>863</v>
      </c>
      <c r="S266" s="1745" t="s">
        <v>1401</v>
      </c>
      <c r="T266" s="1705" t="s">
        <v>109</v>
      </c>
      <c r="U266" s="1705" t="s">
        <v>109</v>
      </c>
      <c r="V266" s="1719" t="s">
        <v>109</v>
      </c>
      <c r="W266" s="1705">
        <v>0</v>
      </c>
      <c r="X266" s="1705" t="s">
        <v>109</v>
      </c>
      <c r="Y266" s="1705">
        <v>0</v>
      </c>
      <c r="Z266" s="1705" t="s">
        <v>109</v>
      </c>
      <c r="AA266" s="1705" t="s">
        <v>109</v>
      </c>
      <c r="AB266" s="1712" t="s">
        <v>109</v>
      </c>
      <c r="AC266" s="1712" t="s">
        <v>109</v>
      </c>
      <c r="AD266" s="1713" t="s">
        <v>109</v>
      </c>
      <c r="AE266" s="1712" t="s">
        <v>109</v>
      </c>
      <c r="AF266" s="1712" t="s">
        <v>109</v>
      </c>
      <c r="AG266" s="1713">
        <v>0</v>
      </c>
      <c r="AH266" s="1713" t="str">
        <f>IFERROR(TBL4_OptApp[[#This Row],[Total NPC (£m)]]/TBL4_OptApp[[#This Row],[Maximum option utilisation across the planning period (Ml/d)]],"N/A")</f>
        <v>N/A</v>
      </c>
      <c r="AI266" s="1713" t="s">
        <v>109</v>
      </c>
      <c r="AJ266" s="1703" t="s">
        <v>109</v>
      </c>
      <c r="AK266" s="1705" t="s">
        <v>109</v>
      </c>
      <c r="AL266" s="1705" t="s">
        <v>109</v>
      </c>
      <c r="AM266" s="1705" t="s">
        <v>109</v>
      </c>
      <c r="AN266" s="1705" t="s">
        <v>109</v>
      </c>
      <c r="AO266" s="1705" t="s">
        <v>109</v>
      </c>
      <c r="AP266" s="1705" t="s">
        <v>109</v>
      </c>
      <c r="AQ266" s="1705" t="s">
        <v>109</v>
      </c>
      <c r="AR266" s="1705" t="s">
        <v>109</v>
      </c>
      <c r="AS266" s="1705" t="s">
        <v>109</v>
      </c>
      <c r="AT266" s="1705" t="s">
        <v>109</v>
      </c>
      <c r="AU266" s="1705" t="s">
        <v>109</v>
      </c>
      <c r="AV266" s="1705" t="s">
        <v>109</v>
      </c>
      <c r="AW266" s="1705"/>
      <c r="AX266" s="1705"/>
      <c r="AY266" s="1705"/>
      <c r="AZ266" s="1705"/>
      <c r="BA266" s="1705"/>
    </row>
    <row r="267" spans="2:53" ht="28.5" x14ac:dyDescent="0.2">
      <c r="B267" s="17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267" s="1703" t="s">
        <v>1417</v>
      </c>
      <c r="D267" s="1707" t="s">
        <v>1418</v>
      </c>
      <c r="E267" s="1714" t="s">
        <v>987</v>
      </c>
      <c r="F267" s="1703" t="str">
        <f>VLOOKUP(TBL4_OptApp[[#This Row],[Option type
Defined List]],'Option Typs_Grps'!B$2:C$47, 2, FALSE)</f>
        <v>Customer Options</v>
      </c>
      <c r="G267" s="1703" t="s">
        <v>861</v>
      </c>
      <c r="H267" s="1703" t="s">
        <v>871</v>
      </c>
      <c r="I267" s="1703" t="s">
        <v>863</v>
      </c>
      <c r="J267" s="1703" t="s">
        <v>109</v>
      </c>
      <c r="K267" s="1703" t="s">
        <v>109</v>
      </c>
      <c r="L267" s="1703" t="s">
        <v>863</v>
      </c>
      <c r="M267" s="1703" t="s">
        <v>863</v>
      </c>
      <c r="N267" s="1703" t="s">
        <v>863</v>
      </c>
      <c r="O267" s="1703" t="s">
        <v>863</v>
      </c>
      <c r="P267" s="1703" t="s">
        <v>863</v>
      </c>
      <c r="Q267" s="1703" t="s">
        <v>863</v>
      </c>
      <c r="R267" s="1703" t="s">
        <v>863</v>
      </c>
      <c r="S267" s="1745" t="s">
        <v>1401</v>
      </c>
      <c r="T267" s="1705" t="s">
        <v>109</v>
      </c>
      <c r="U267" s="1705" t="s">
        <v>109</v>
      </c>
      <c r="V267" s="1719" t="s">
        <v>109</v>
      </c>
      <c r="W267" s="1705">
        <v>0</v>
      </c>
      <c r="X267" s="1705" t="s">
        <v>109</v>
      </c>
      <c r="Y267" s="1705">
        <v>0</v>
      </c>
      <c r="Z267" s="1705" t="s">
        <v>109</v>
      </c>
      <c r="AA267" s="1705" t="s">
        <v>109</v>
      </c>
      <c r="AB267" s="1712" t="s">
        <v>109</v>
      </c>
      <c r="AC267" s="1712" t="s">
        <v>109</v>
      </c>
      <c r="AD267" s="1713" t="s">
        <v>109</v>
      </c>
      <c r="AE267" s="1712" t="s">
        <v>109</v>
      </c>
      <c r="AF267" s="1712" t="s">
        <v>109</v>
      </c>
      <c r="AG267" s="1713">
        <v>0</v>
      </c>
      <c r="AH267" s="1713" t="str">
        <f>IFERROR(TBL4_OptApp[[#This Row],[Total NPC (£m)]]/TBL4_OptApp[[#This Row],[Maximum option utilisation across the planning period (Ml/d)]],"N/A")</f>
        <v>N/A</v>
      </c>
      <c r="AI267" s="1713" t="s">
        <v>109</v>
      </c>
      <c r="AJ267" s="1703" t="s">
        <v>109</v>
      </c>
      <c r="AK267" s="1705" t="s">
        <v>109</v>
      </c>
      <c r="AL267" s="1705" t="s">
        <v>109</v>
      </c>
      <c r="AM267" s="1705" t="s">
        <v>109</v>
      </c>
      <c r="AN267" s="1705" t="s">
        <v>109</v>
      </c>
      <c r="AO267" s="1705" t="s">
        <v>109</v>
      </c>
      <c r="AP267" s="1705" t="s">
        <v>109</v>
      </c>
      <c r="AQ267" s="1705" t="s">
        <v>109</v>
      </c>
      <c r="AR267" s="1705" t="s">
        <v>109</v>
      </c>
      <c r="AS267" s="1705" t="s">
        <v>109</v>
      </c>
      <c r="AT267" s="1705" t="s">
        <v>109</v>
      </c>
      <c r="AU267" s="1705" t="s">
        <v>109</v>
      </c>
      <c r="AV267" s="1705" t="s">
        <v>109</v>
      </c>
      <c r="AW267" s="1705"/>
      <c r="AX267" s="1705"/>
      <c r="AY267" s="1705"/>
      <c r="AZ267" s="1705"/>
      <c r="BA267" s="1705"/>
    </row>
    <row r="268" spans="2:53" ht="28.5" x14ac:dyDescent="0.2">
      <c r="B268" s="17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268" s="1703" t="s">
        <v>1419</v>
      </c>
      <c r="D268" s="1707" t="s">
        <v>1420</v>
      </c>
      <c r="E268" s="1714" t="s">
        <v>987</v>
      </c>
      <c r="F268" s="1703" t="str">
        <f>VLOOKUP(TBL4_OptApp[[#This Row],[Option type
Defined List]],'Option Typs_Grps'!B$2:C$47, 2, FALSE)</f>
        <v>Customer Options</v>
      </c>
      <c r="G268" s="1703" t="s">
        <v>861</v>
      </c>
      <c r="H268" s="1703" t="s">
        <v>871</v>
      </c>
      <c r="I268" s="1703" t="s">
        <v>863</v>
      </c>
      <c r="J268" s="1703" t="s">
        <v>109</v>
      </c>
      <c r="K268" s="1703" t="s">
        <v>109</v>
      </c>
      <c r="L268" s="1703" t="s">
        <v>863</v>
      </c>
      <c r="M268" s="1703" t="s">
        <v>863</v>
      </c>
      <c r="N268" s="1703" t="s">
        <v>863</v>
      </c>
      <c r="O268" s="1703" t="s">
        <v>863</v>
      </c>
      <c r="P268" s="1703" t="s">
        <v>863</v>
      </c>
      <c r="Q268" s="1703" t="s">
        <v>863</v>
      </c>
      <c r="R268" s="1703" t="s">
        <v>863</v>
      </c>
      <c r="S268" s="1745" t="s">
        <v>1401</v>
      </c>
      <c r="T268" s="1705" t="s">
        <v>109</v>
      </c>
      <c r="U268" s="1705" t="s">
        <v>109</v>
      </c>
      <c r="V268" s="1719" t="s">
        <v>109</v>
      </c>
      <c r="W268" s="1705">
        <v>0</v>
      </c>
      <c r="X268" s="1705" t="s">
        <v>109</v>
      </c>
      <c r="Y268" s="1705">
        <v>0</v>
      </c>
      <c r="Z268" s="1705" t="s">
        <v>109</v>
      </c>
      <c r="AA268" s="1705" t="s">
        <v>109</v>
      </c>
      <c r="AB268" s="1712" t="s">
        <v>109</v>
      </c>
      <c r="AC268" s="1712" t="s">
        <v>109</v>
      </c>
      <c r="AD268" s="1713" t="s">
        <v>109</v>
      </c>
      <c r="AE268" s="1712" t="s">
        <v>109</v>
      </c>
      <c r="AF268" s="1712" t="s">
        <v>109</v>
      </c>
      <c r="AG268" s="1713">
        <v>0</v>
      </c>
      <c r="AH268" s="1713" t="str">
        <f>IFERROR(TBL4_OptApp[[#This Row],[Total NPC (£m)]]/TBL4_OptApp[[#This Row],[Maximum option utilisation across the planning period (Ml/d)]],"N/A")</f>
        <v>N/A</v>
      </c>
      <c r="AI268" s="1713" t="s">
        <v>109</v>
      </c>
      <c r="AJ268" s="1703" t="s">
        <v>109</v>
      </c>
      <c r="AK268" s="1705" t="s">
        <v>109</v>
      </c>
      <c r="AL268" s="1705" t="s">
        <v>109</v>
      </c>
      <c r="AM268" s="1705" t="s">
        <v>109</v>
      </c>
      <c r="AN268" s="1705" t="s">
        <v>109</v>
      </c>
      <c r="AO268" s="1705" t="s">
        <v>109</v>
      </c>
      <c r="AP268" s="1705" t="s">
        <v>109</v>
      </c>
      <c r="AQ268" s="1705" t="s">
        <v>109</v>
      </c>
      <c r="AR268" s="1705" t="s">
        <v>109</v>
      </c>
      <c r="AS268" s="1705" t="s">
        <v>109</v>
      </c>
      <c r="AT268" s="1705" t="s">
        <v>109</v>
      </c>
      <c r="AU268" s="1705" t="s">
        <v>109</v>
      </c>
      <c r="AV268" s="1705" t="s">
        <v>109</v>
      </c>
      <c r="AW268" s="1705"/>
      <c r="AX268" s="1705"/>
      <c r="AY268" s="1705"/>
      <c r="AZ268" s="1705"/>
      <c r="BA268" s="1705"/>
    </row>
    <row r="269" spans="2:53" ht="28.5" x14ac:dyDescent="0.2">
      <c r="B269" s="17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269" s="1703" t="s">
        <v>1421</v>
      </c>
      <c r="D269" s="1707" t="s">
        <v>1422</v>
      </c>
      <c r="E269" s="1714" t="s">
        <v>987</v>
      </c>
      <c r="F269" s="1703" t="str">
        <f>VLOOKUP(TBL4_OptApp[[#This Row],[Option type
Defined List]],'Option Typs_Grps'!B$2:C$47, 2, FALSE)</f>
        <v>Customer Options</v>
      </c>
      <c r="G269" s="1703" t="s">
        <v>861</v>
      </c>
      <c r="H269" s="1703" t="s">
        <v>871</v>
      </c>
      <c r="I269" s="1703" t="s">
        <v>863</v>
      </c>
      <c r="J269" s="1703" t="s">
        <v>109</v>
      </c>
      <c r="K269" s="1703" t="s">
        <v>109</v>
      </c>
      <c r="L269" s="1703" t="s">
        <v>863</v>
      </c>
      <c r="M269" s="1703" t="s">
        <v>863</v>
      </c>
      <c r="N269" s="1703" t="s">
        <v>863</v>
      </c>
      <c r="O269" s="1703" t="s">
        <v>863</v>
      </c>
      <c r="P269" s="1703" t="s">
        <v>863</v>
      </c>
      <c r="Q269" s="1703" t="s">
        <v>863</v>
      </c>
      <c r="R269" s="1703" t="s">
        <v>863</v>
      </c>
      <c r="S269" s="1745" t="s">
        <v>1401</v>
      </c>
      <c r="T269" s="1705" t="s">
        <v>109</v>
      </c>
      <c r="U269" s="1705" t="s">
        <v>109</v>
      </c>
      <c r="V269" s="1719" t="s">
        <v>109</v>
      </c>
      <c r="W269" s="1705">
        <v>0</v>
      </c>
      <c r="X269" s="1705" t="s">
        <v>109</v>
      </c>
      <c r="Y269" s="1705">
        <v>0</v>
      </c>
      <c r="Z269" s="1705" t="s">
        <v>109</v>
      </c>
      <c r="AA269" s="1705" t="s">
        <v>109</v>
      </c>
      <c r="AB269" s="1712" t="s">
        <v>109</v>
      </c>
      <c r="AC269" s="1712" t="s">
        <v>109</v>
      </c>
      <c r="AD269" s="1713" t="s">
        <v>109</v>
      </c>
      <c r="AE269" s="1712" t="s">
        <v>109</v>
      </c>
      <c r="AF269" s="1712" t="s">
        <v>109</v>
      </c>
      <c r="AG269" s="1713">
        <v>0</v>
      </c>
      <c r="AH269" s="1713" t="str">
        <f>IFERROR(TBL4_OptApp[[#This Row],[Total NPC (£m)]]/TBL4_OptApp[[#This Row],[Maximum option utilisation across the planning period (Ml/d)]],"N/A")</f>
        <v>N/A</v>
      </c>
      <c r="AI269" s="1713" t="s">
        <v>109</v>
      </c>
      <c r="AJ269" s="1703" t="s">
        <v>109</v>
      </c>
      <c r="AK269" s="1705" t="s">
        <v>109</v>
      </c>
      <c r="AL269" s="1705" t="s">
        <v>109</v>
      </c>
      <c r="AM269" s="1705" t="s">
        <v>109</v>
      </c>
      <c r="AN269" s="1705" t="s">
        <v>109</v>
      </c>
      <c r="AO269" s="1705" t="s">
        <v>109</v>
      </c>
      <c r="AP269" s="1705" t="s">
        <v>109</v>
      </c>
      <c r="AQ269" s="1705" t="s">
        <v>109</v>
      </c>
      <c r="AR269" s="1705" t="s">
        <v>109</v>
      </c>
      <c r="AS269" s="1705" t="s">
        <v>109</v>
      </c>
      <c r="AT269" s="1705" t="s">
        <v>109</v>
      </c>
      <c r="AU269" s="1705" t="s">
        <v>109</v>
      </c>
      <c r="AV269" s="1705" t="s">
        <v>109</v>
      </c>
      <c r="AW269" s="1705"/>
      <c r="AX269" s="1705"/>
      <c r="AY269" s="1705"/>
      <c r="AZ269" s="1705"/>
      <c r="BA269" s="1705"/>
    </row>
    <row r="270" spans="2:53" ht="28.5" x14ac:dyDescent="0.2">
      <c r="B270" s="17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270" s="1703" t="s">
        <v>1423</v>
      </c>
      <c r="D270" s="1707" t="s">
        <v>1424</v>
      </c>
      <c r="E270" s="1714" t="s">
        <v>987</v>
      </c>
      <c r="F270" s="1703" t="str">
        <f>VLOOKUP(TBL4_OptApp[[#This Row],[Option type
Defined List]],'Option Typs_Grps'!B$2:C$47, 2, FALSE)</f>
        <v>Customer Options</v>
      </c>
      <c r="G270" s="1703" t="s">
        <v>861</v>
      </c>
      <c r="H270" s="1703" t="s">
        <v>871</v>
      </c>
      <c r="I270" s="1703" t="s">
        <v>863</v>
      </c>
      <c r="J270" s="1703" t="s">
        <v>109</v>
      </c>
      <c r="K270" s="1703" t="s">
        <v>109</v>
      </c>
      <c r="L270" s="1703" t="s">
        <v>863</v>
      </c>
      <c r="M270" s="1703" t="s">
        <v>863</v>
      </c>
      <c r="N270" s="1703" t="s">
        <v>863</v>
      </c>
      <c r="O270" s="1703" t="s">
        <v>863</v>
      </c>
      <c r="P270" s="1703" t="s">
        <v>863</v>
      </c>
      <c r="Q270" s="1703" t="s">
        <v>863</v>
      </c>
      <c r="R270" s="1703" t="s">
        <v>863</v>
      </c>
      <c r="S270" s="1745" t="s">
        <v>1401</v>
      </c>
      <c r="T270" s="1705" t="s">
        <v>109</v>
      </c>
      <c r="U270" s="1705" t="s">
        <v>109</v>
      </c>
      <c r="V270" s="1719" t="s">
        <v>109</v>
      </c>
      <c r="W270" s="1705">
        <v>0</v>
      </c>
      <c r="X270" s="1705" t="s">
        <v>109</v>
      </c>
      <c r="Y270" s="1705">
        <v>0</v>
      </c>
      <c r="Z270" s="1705" t="s">
        <v>109</v>
      </c>
      <c r="AA270" s="1705" t="s">
        <v>109</v>
      </c>
      <c r="AB270" s="1712" t="s">
        <v>109</v>
      </c>
      <c r="AC270" s="1712" t="s">
        <v>109</v>
      </c>
      <c r="AD270" s="1713" t="s">
        <v>109</v>
      </c>
      <c r="AE270" s="1712" t="s">
        <v>109</v>
      </c>
      <c r="AF270" s="1712" t="s">
        <v>109</v>
      </c>
      <c r="AG270" s="1713">
        <v>0</v>
      </c>
      <c r="AH270" s="1713" t="str">
        <f>IFERROR(TBL4_OptApp[[#This Row],[Total NPC (£m)]]/TBL4_OptApp[[#This Row],[Maximum option utilisation across the planning period (Ml/d)]],"N/A")</f>
        <v>N/A</v>
      </c>
      <c r="AI270" s="1713" t="s">
        <v>109</v>
      </c>
      <c r="AJ270" s="1703" t="s">
        <v>109</v>
      </c>
      <c r="AK270" s="1705" t="s">
        <v>109</v>
      </c>
      <c r="AL270" s="1705" t="s">
        <v>109</v>
      </c>
      <c r="AM270" s="1705" t="s">
        <v>109</v>
      </c>
      <c r="AN270" s="1705" t="s">
        <v>109</v>
      </c>
      <c r="AO270" s="1705" t="s">
        <v>109</v>
      </c>
      <c r="AP270" s="1705" t="s">
        <v>109</v>
      </c>
      <c r="AQ270" s="1705" t="s">
        <v>109</v>
      </c>
      <c r="AR270" s="1705" t="s">
        <v>109</v>
      </c>
      <c r="AS270" s="1705" t="s">
        <v>109</v>
      </c>
      <c r="AT270" s="1705" t="s">
        <v>109</v>
      </c>
      <c r="AU270" s="1705" t="s">
        <v>109</v>
      </c>
      <c r="AV270" s="1705" t="s">
        <v>109</v>
      </c>
      <c r="AW270" s="1705"/>
      <c r="AX270" s="1705"/>
      <c r="AY270" s="1705"/>
      <c r="AZ270" s="1705"/>
      <c r="BA270" s="1705"/>
    </row>
    <row r="271" spans="2:53" ht="28.5" x14ac:dyDescent="0.2">
      <c r="B271" s="17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271" s="1703" t="s">
        <v>1425</v>
      </c>
      <c r="D271" s="1707" t="s">
        <v>1426</v>
      </c>
      <c r="E271" s="1714" t="s">
        <v>987</v>
      </c>
      <c r="F271" s="1703" t="str">
        <f>VLOOKUP(TBL4_OptApp[[#This Row],[Option type
Defined List]],'Option Typs_Grps'!B$2:C$47, 2, FALSE)</f>
        <v>Customer Options</v>
      </c>
      <c r="G271" s="1703" t="s">
        <v>861</v>
      </c>
      <c r="H271" s="1703" t="s">
        <v>871</v>
      </c>
      <c r="I271" s="1703" t="s">
        <v>863</v>
      </c>
      <c r="J271" s="1703" t="s">
        <v>109</v>
      </c>
      <c r="K271" s="1703" t="s">
        <v>109</v>
      </c>
      <c r="L271" s="1703" t="s">
        <v>863</v>
      </c>
      <c r="M271" s="1703" t="s">
        <v>863</v>
      </c>
      <c r="N271" s="1703" t="s">
        <v>863</v>
      </c>
      <c r="O271" s="1703" t="s">
        <v>863</v>
      </c>
      <c r="P271" s="1703" t="s">
        <v>863</v>
      </c>
      <c r="Q271" s="1703" t="s">
        <v>863</v>
      </c>
      <c r="R271" s="1703" t="s">
        <v>863</v>
      </c>
      <c r="S271" s="1745" t="s">
        <v>1401</v>
      </c>
      <c r="T271" s="1705" t="s">
        <v>109</v>
      </c>
      <c r="U271" s="1705" t="s">
        <v>109</v>
      </c>
      <c r="V271" s="1719" t="s">
        <v>109</v>
      </c>
      <c r="W271" s="1705">
        <v>0</v>
      </c>
      <c r="X271" s="1705" t="s">
        <v>109</v>
      </c>
      <c r="Y271" s="1705">
        <v>0</v>
      </c>
      <c r="Z271" s="1705" t="s">
        <v>109</v>
      </c>
      <c r="AA271" s="1705" t="s">
        <v>109</v>
      </c>
      <c r="AB271" s="1712" t="s">
        <v>109</v>
      </c>
      <c r="AC271" s="1712" t="s">
        <v>109</v>
      </c>
      <c r="AD271" s="1713" t="s">
        <v>109</v>
      </c>
      <c r="AE271" s="1712" t="s">
        <v>109</v>
      </c>
      <c r="AF271" s="1712" t="s">
        <v>109</v>
      </c>
      <c r="AG271" s="1713">
        <v>0</v>
      </c>
      <c r="AH271" s="1713" t="str">
        <f>IFERROR(TBL4_OptApp[[#This Row],[Total NPC (£m)]]/TBL4_OptApp[[#This Row],[Maximum option utilisation across the planning period (Ml/d)]],"N/A")</f>
        <v>N/A</v>
      </c>
      <c r="AI271" s="1713" t="s">
        <v>109</v>
      </c>
      <c r="AJ271" s="1703" t="s">
        <v>109</v>
      </c>
      <c r="AK271" s="1705" t="s">
        <v>109</v>
      </c>
      <c r="AL271" s="1705" t="s">
        <v>109</v>
      </c>
      <c r="AM271" s="1705" t="s">
        <v>109</v>
      </c>
      <c r="AN271" s="1705" t="s">
        <v>109</v>
      </c>
      <c r="AO271" s="1705" t="s">
        <v>109</v>
      </c>
      <c r="AP271" s="1705" t="s">
        <v>109</v>
      </c>
      <c r="AQ271" s="1705" t="s">
        <v>109</v>
      </c>
      <c r="AR271" s="1705" t="s">
        <v>109</v>
      </c>
      <c r="AS271" s="1705" t="s">
        <v>109</v>
      </c>
      <c r="AT271" s="1705" t="s">
        <v>109</v>
      </c>
      <c r="AU271" s="1705" t="s">
        <v>109</v>
      </c>
      <c r="AV271" s="1705" t="s">
        <v>109</v>
      </c>
      <c r="AW271" s="1705"/>
      <c r="AX271" s="1705"/>
      <c r="AY271" s="1705"/>
      <c r="AZ271" s="1705"/>
      <c r="BA271" s="1705"/>
    </row>
    <row r="272" spans="2:53" ht="28.5" x14ac:dyDescent="0.2">
      <c r="B272" s="17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272" s="1703" t="s">
        <v>1427</v>
      </c>
      <c r="D272" s="1707" t="s">
        <v>1428</v>
      </c>
      <c r="E272" s="1714" t="s">
        <v>987</v>
      </c>
      <c r="F272" s="1703" t="str">
        <f>VLOOKUP(TBL4_OptApp[[#This Row],[Option type
Defined List]],'Option Typs_Grps'!B$2:C$47, 2, FALSE)</f>
        <v>Customer Options</v>
      </c>
      <c r="G272" s="1703" t="s">
        <v>861</v>
      </c>
      <c r="H272" s="1703" t="s">
        <v>871</v>
      </c>
      <c r="I272" s="1703" t="s">
        <v>863</v>
      </c>
      <c r="J272" s="1703" t="s">
        <v>109</v>
      </c>
      <c r="K272" s="1703" t="s">
        <v>109</v>
      </c>
      <c r="L272" s="1703" t="s">
        <v>863</v>
      </c>
      <c r="M272" s="1703" t="s">
        <v>863</v>
      </c>
      <c r="N272" s="1703" t="s">
        <v>863</v>
      </c>
      <c r="O272" s="1703" t="s">
        <v>863</v>
      </c>
      <c r="P272" s="1703" t="s">
        <v>863</v>
      </c>
      <c r="Q272" s="1703" t="s">
        <v>863</v>
      </c>
      <c r="R272" s="1703" t="s">
        <v>863</v>
      </c>
      <c r="S272" s="1745" t="s">
        <v>1401</v>
      </c>
      <c r="T272" s="1705" t="s">
        <v>109</v>
      </c>
      <c r="U272" s="1705" t="s">
        <v>109</v>
      </c>
      <c r="V272" s="1719" t="s">
        <v>109</v>
      </c>
      <c r="W272" s="1705">
        <v>0</v>
      </c>
      <c r="X272" s="1705" t="s">
        <v>109</v>
      </c>
      <c r="Y272" s="1705">
        <v>0</v>
      </c>
      <c r="Z272" s="1705" t="s">
        <v>109</v>
      </c>
      <c r="AA272" s="1705" t="s">
        <v>109</v>
      </c>
      <c r="AB272" s="1712" t="s">
        <v>109</v>
      </c>
      <c r="AC272" s="1712" t="s">
        <v>109</v>
      </c>
      <c r="AD272" s="1713" t="s">
        <v>109</v>
      </c>
      <c r="AE272" s="1712" t="s">
        <v>109</v>
      </c>
      <c r="AF272" s="1712" t="s">
        <v>109</v>
      </c>
      <c r="AG272" s="1713">
        <v>0</v>
      </c>
      <c r="AH272" s="1713" t="str">
        <f>IFERROR(TBL4_OptApp[[#This Row],[Total NPC (£m)]]/TBL4_OptApp[[#This Row],[Maximum option utilisation across the planning period (Ml/d)]],"N/A")</f>
        <v>N/A</v>
      </c>
      <c r="AI272" s="1713" t="s">
        <v>109</v>
      </c>
      <c r="AJ272" s="1703" t="s">
        <v>109</v>
      </c>
      <c r="AK272" s="1705" t="s">
        <v>109</v>
      </c>
      <c r="AL272" s="1705" t="s">
        <v>109</v>
      </c>
      <c r="AM272" s="1705" t="s">
        <v>109</v>
      </c>
      <c r="AN272" s="1705" t="s">
        <v>109</v>
      </c>
      <c r="AO272" s="1705" t="s">
        <v>109</v>
      </c>
      <c r="AP272" s="1705" t="s">
        <v>109</v>
      </c>
      <c r="AQ272" s="1705" t="s">
        <v>109</v>
      </c>
      <c r="AR272" s="1705" t="s">
        <v>109</v>
      </c>
      <c r="AS272" s="1705" t="s">
        <v>109</v>
      </c>
      <c r="AT272" s="1705" t="s">
        <v>109</v>
      </c>
      <c r="AU272" s="1705" t="s">
        <v>109</v>
      </c>
      <c r="AV272" s="1705" t="s">
        <v>109</v>
      </c>
      <c r="AW272" s="1705"/>
      <c r="AX272" s="1705"/>
      <c r="AY272" s="1705"/>
      <c r="AZ272" s="1705"/>
      <c r="BA272" s="1705"/>
    </row>
    <row r="273" spans="2:53" ht="28.5" x14ac:dyDescent="0.2">
      <c r="B273" s="17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273" s="1703" t="s">
        <v>1429</v>
      </c>
      <c r="D273" s="1707" t="s">
        <v>1430</v>
      </c>
      <c r="E273" s="1714" t="s">
        <v>987</v>
      </c>
      <c r="F273" s="1703" t="str">
        <f>VLOOKUP(TBL4_OptApp[[#This Row],[Option type
Defined List]],'Option Typs_Grps'!B$2:C$47, 2, FALSE)</f>
        <v>Customer Options</v>
      </c>
      <c r="G273" s="1703" t="s">
        <v>861</v>
      </c>
      <c r="H273" s="1703" t="s">
        <v>871</v>
      </c>
      <c r="I273" s="1703" t="s">
        <v>863</v>
      </c>
      <c r="J273" s="1703" t="s">
        <v>109</v>
      </c>
      <c r="K273" s="1703" t="s">
        <v>109</v>
      </c>
      <c r="L273" s="1703" t="s">
        <v>863</v>
      </c>
      <c r="M273" s="1703" t="s">
        <v>863</v>
      </c>
      <c r="N273" s="1703" t="s">
        <v>863</v>
      </c>
      <c r="O273" s="1703" t="s">
        <v>863</v>
      </c>
      <c r="P273" s="1703" t="s">
        <v>863</v>
      </c>
      <c r="Q273" s="1703" t="s">
        <v>863</v>
      </c>
      <c r="R273" s="1703" t="s">
        <v>863</v>
      </c>
      <c r="S273" s="1745" t="s">
        <v>1401</v>
      </c>
      <c r="T273" s="1705" t="s">
        <v>109</v>
      </c>
      <c r="U273" s="1705" t="s">
        <v>109</v>
      </c>
      <c r="V273" s="1719" t="s">
        <v>109</v>
      </c>
      <c r="W273" s="1705">
        <v>0</v>
      </c>
      <c r="X273" s="1705" t="s">
        <v>109</v>
      </c>
      <c r="Y273" s="1705">
        <v>0</v>
      </c>
      <c r="Z273" s="1705" t="s">
        <v>109</v>
      </c>
      <c r="AA273" s="1705" t="s">
        <v>109</v>
      </c>
      <c r="AB273" s="1712" t="s">
        <v>109</v>
      </c>
      <c r="AC273" s="1712" t="s">
        <v>109</v>
      </c>
      <c r="AD273" s="1713" t="s">
        <v>109</v>
      </c>
      <c r="AE273" s="1712" t="s">
        <v>109</v>
      </c>
      <c r="AF273" s="1712" t="s">
        <v>109</v>
      </c>
      <c r="AG273" s="1713">
        <v>0</v>
      </c>
      <c r="AH273" s="1713" t="str">
        <f>IFERROR(TBL4_OptApp[[#This Row],[Total NPC (£m)]]/TBL4_OptApp[[#This Row],[Maximum option utilisation across the planning period (Ml/d)]],"N/A")</f>
        <v>N/A</v>
      </c>
      <c r="AI273" s="1713" t="s">
        <v>109</v>
      </c>
      <c r="AJ273" s="1703" t="s">
        <v>109</v>
      </c>
      <c r="AK273" s="1705" t="s">
        <v>109</v>
      </c>
      <c r="AL273" s="1705" t="s">
        <v>109</v>
      </c>
      <c r="AM273" s="1705" t="s">
        <v>109</v>
      </c>
      <c r="AN273" s="1705" t="s">
        <v>109</v>
      </c>
      <c r="AO273" s="1705" t="s">
        <v>109</v>
      </c>
      <c r="AP273" s="1705" t="s">
        <v>109</v>
      </c>
      <c r="AQ273" s="1705" t="s">
        <v>109</v>
      </c>
      <c r="AR273" s="1705" t="s">
        <v>109</v>
      </c>
      <c r="AS273" s="1705" t="s">
        <v>109</v>
      </c>
      <c r="AT273" s="1705" t="s">
        <v>109</v>
      </c>
      <c r="AU273" s="1705" t="s">
        <v>109</v>
      </c>
      <c r="AV273" s="1705" t="s">
        <v>109</v>
      </c>
      <c r="AW273" s="1705"/>
      <c r="AX273" s="1705"/>
      <c r="AY273" s="1705"/>
      <c r="AZ273" s="1705"/>
      <c r="BA273" s="1705"/>
    </row>
    <row r="274" spans="2:53" ht="28.5" x14ac:dyDescent="0.2">
      <c r="B274" s="17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274" s="1703" t="s">
        <v>1431</v>
      </c>
      <c r="D274" s="1707" t="s">
        <v>1432</v>
      </c>
      <c r="E274" s="1714" t="s">
        <v>987</v>
      </c>
      <c r="F274" s="1703" t="str">
        <f>VLOOKUP(TBL4_OptApp[[#This Row],[Option type
Defined List]],'Option Typs_Grps'!B$2:C$47, 2, FALSE)</f>
        <v>Customer Options</v>
      </c>
      <c r="G274" s="1703" t="s">
        <v>861</v>
      </c>
      <c r="H274" s="1703" t="s">
        <v>871</v>
      </c>
      <c r="I274" s="1703" t="s">
        <v>863</v>
      </c>
      <c r="J274" s="1703" t="s">
        <v>109</v>
      </c>
      <c r="K274" s="1703" t="s">
        <v>109</v>
      </c>
      <c r="L274" s="1703" t="s">
        <v>863</v>
      </c>
      <c r="M274" s="1703" t="s">
        <v>863</v>
      </c>
      <c r="N274" s="1703" t="s">
        <v>863</v>
      </c>
      <c r="O274" s="1703" t="s">
        <v>863</v>
      </c>
      <c r="P274" s="1703" t="s">
        <v>863</v>
      </c>
      <c r="Q274" s="1703" t="s">
        <v>863</v>
      </c>
      <c r="R274" s="1703" t="s">
        <v>863</v>
      </c>
      <c r="S274" s="1745" t="s">
        <v>1401</v>
      </c>
      <c r="T274" s="1705" t="s">
        <v>109</v>
      </c>
      <c r="U274" s="1705" t="s">
        <v>109</v>
      </c>
      <c r="V274" s="1719" t="s">
        <v>109</v>
      </c>
      <c r="W274" s="1705">
        <v>0</v>
      </c>
      <c r="X274" s="1705" t="s">
        <v>109</v>
      </c>
      <c r="Y274" s="1705">
        <v>0</v>
      </c>
      <c r="Z274" s="1705" t="s">
        <v>109</v>
      </c>
      <c r="AA274" s="1705" t="s">
        <v>109</v>
      </c>
      <c r="AB274" s="1712" t="s">
        <v>109</v>
      </c>
      <c r="AC274" s="1712" t="s">
        <v>109</v>
      </c>
      <c r="AD274" s="1713" t="s">
        <v>109</v>
      </c>
      <c r="AE274" s="1712" t="s">
        <v>109</v>
      </c>
      <c r="AF274" s="1712" t="s">
        <v>109</v>
      </c>
      <c r="AG274" s="1713">
        <v>0</v>
      </c>
      <c r="AH274" s="1713" t="str">
        <f>IFERROR(TBL4_OptApp[[#This Row],[Total NPC (£m)]]/TBL4_OptApp[[#This Row],[Maximum option utilisation across the planning period (Ml/d)]],"N/A")</f>
        <v>N/A</v>
      </c>
      <c r="AI274" s="1713" t="s">
        <v>109</v>
      </c>
      <c r="AJ274" s="1703" t="s">
        <v>109</v>
      </c>
      <c r="AK274" s="1705" t="s">
        <v>109</v>
      </c>
      <c r="AL274" s="1705" t="s">
        <v>109</v>
      </c>
      <c r="AM274" s="1705" t="s">
        <v>109</v>
      </c>
      <c r="AN274" s="1705" t="s">
        <v>109</v>
      </c>
      <c r="AO274" s="1705" t="s">
        <v>109</v>
      </c>
      <c r="AP274" s="1705" t="s">
        <v>109</v>
      </c>
      <c r="AQ274" s="1705" t="s">
        <v>109</v>
      </c>
      <c r="AR274" s="1705" t="s">
        <v>109</v>
      </c>
      <c r="AS274" s="1705" t="s">
        <v>109</v>
      </c>
      <c r="AT274" s="1705" t="s">
        <v>109</v>
      </c>
      <c r="AU274" s="1705" t="s">
        <v>109</v>
      </c>
      <c r="AV274" s="1705" t="s">
        <v>109</v>
      </c>
      <c r="AW274" s="1705"/>
      <c r="AX274" s="1705"/>
      <c r="AY274" s="1705"/>
      <c r="AZ274" s="1705"/>
      <c r="BA274" s="1705"/>
    </row>
    <row r="275" spans="2:53" ht="28.5" x14ac:dyDescent="0.2">
      <c r="B275" s="17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275" s="1703" t="s">
        <v>1433</v>
      </c>
      <c r="D275" s="1707" t="s">
        <v>1434</v>
      </c>
      <c r="E275" s="1714" t="s">
        <v>987</v>
      </c>
      <c r="F275" s="1703" t="str">
        <f>VLOOKUP(TBL4_OptApp[[#This Row],[Option type
Defined List]],'Option Typs_Grps'!B$2:C$47, 2, FALSE)</f>
        <v>Customer Options</v>
      </c>
      <c r="G275" s="1703" t="s">
        <v>861</v>
      </c>
      <c r="H275" s="1703" t="s">
        <v>871</v>
      </c>
      <c r="I275" s="1703" t="s">
        <v>863</v>
      </c>
      <c r="J275" s="1703" t="s">
        <v>109</v>
      </c>
      <c r="K275" s="1703" t="s">
        <v>109</v>
      </c>
      <c r="L275" s="1703" t="s">
        <v>863</v>
      </c>
      <c r="M275" s="1703" t="s">
        <v>863</v>
      </c>
      <c r="N275" s="1703" t="s">
        <v>863</v>
      </c>
      <c r="O275" s="1703" t="s">
        <v>863</v>
      </c>
      <c r="P275" s="1703" t="s">
        <v>863</v>
      </c>
      <c r="Q275" s="1703" t="s">
        <v>863</v>
      </c>
      <c r="R275" s="1703" t="s">
        <v>863</v>
      </c>
      <c r="S275" s="1745" t="s">
        <v>1401</v>
      </c>
      <c r="T275" s="1705" t="s">
        <v>109</v>
      </c>
      <c r="U275" s="1705" t="s">
        <v>109</v>
      </c>
      <c r="V275" s="1719" t="s">
        <v>109</v>
      </c>
      <c r="W275" s="1705">
        <v>0</v>
      </c>
      <c r="X275" s="1705" t="s">
        <v>109</v>
      </c>
      <c r="Y275" s="1705">
        <v>0</v>
      </c>
      <c r="Z275" s="1705" t="s">
        <v>109</v>
      </c>
      <c r="AA275" s="1705" t="s">
        <v>109</v>
      </c>
      <c r="AB275" s="1712" t="s">
        <v>109</v>
      </c>
      <c r="AC275" s="1712" t="s">
        <v>109</v>
      </c>
      <c r="AD275" s="1713" t="s">
        <v>109</v>
      </c>
      <c r="AE275" s="1712" t="s">
        <v>109</v>
      </c>
      <c r="AF275" s="1712" t="s">
        <v>109</v>
      </c>
      <c r="AG275" s="1713">
        <v>0</v>
      </c>
      <c r="AH275" s="1713" t="str">
        <f>IFERROR(TBL4_OptApp[[#This Row],[Total NPC (£m)]]/TBL4_OptApp[[#This Row],[Maximum option utilisation across the planning period (Ml/d)]],"N/A")</f>
        <v>N/A</v>
      </c>
      <c r="AI275" s="1713" t="s">
        <v>109</v>
      </c>
      <c r="AJ275" s="1703" t="s">
        <v>109</v>
      </c>
      <c r="AK275" s="1705" t="s">
        <v>109</v>
      </c>
      <c r="AL275" s="1705" t="s">
        <v>109</v>
      </c>
      <c r="AM275" s="1705" t="s">
        <v>109</v>
      </c>
      <c r="AN275" s="1705" t="s">
        <v>109</v>
      </c>
      <c r="AO275" s="1705" t="s">
        <v>109</v>
      </c>
      <c r="AP275" s="1705" t="s">
        <v>109</v>
      </c>
      <c r="AQ275" s="1705" t="s">
        <v>109</v>
      </c>
      <c r="AR275" s="1705" t="s">
        <v>109</v>
      </c>
      <c r="AS275" s="1705" t="s">
        <v>109</v>
      </c>
      <c r="AT275" s="1705" t="s">
        <v>109</v>
      </c>
      <c r="AU275" s="1705" t="s">
        <v>109</v>
      </c>
      <c r="AV275" s="1705" t="s">
        <v>109</v>
      </c>
      <c r="AW275" s="1705"/>
      <c r="AX275" s="1705"/>
      <c r="AY275" s="1705"/>
      <c r="AZ275" s="1705"/>
      <c r="BA275" s="1705"/>
    </row>
    <row r="276" spans="2:53" ht="28.5" x14ac:dyDescent="0.2">
      <c r="B276" s="17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276" s="1703" t="s">
        <v>1435</v>
      </c>
      <c r="D276" s="1707" t="s">
        <v>1436</v>
      </c>
      <c r="E276" s="1714" t="s">
        <v>987</v>
      </c>
      <c r="F276" s="1703" t="str">
        <f>VLOOKUP(TBL4_OptApp[[#This Row],[Option type
Defined List]],'Option Typs_Grps'!B$2:C$47, 2, FALSE)</f>
        <v>Customer Options</v>
      </c>
      <c r="G276" s="1703" t="s">
        <v>861</v>
      </c>
      <c r="H276" s="1703" t="s">
        <v>871</v>
      </c>
      <c r="I276" s="1703" t="s">
        <v>863</v>
      </c>
      <c r="J276" s="1703" t="s">
        <v>109</v>
      </c>
      <c r="K276" s="1703" t="s">
        <v>109</v>
      </c>
      <c r="L276" s="1703" t="s">
        <v>863</v>
      </c>
      <c r="M276" s="1703" t="s">
        <v>863</v>
      </c>
      <c r="N276" s="1703" t="s">
        <v>863</v>
      </c>
      <c r="O276" s="1703" t="s">
        <v>863</v>
      </c>
      <c r="P276" s="1703" t="s">
        <v>863</v>
      </c>
      <c r="Q276" s="1703" t="s">
        <v>863</v>
      </c>
      <c r="R276" s="1703" t="s">
        <v>863</v>
      </c>
      <c r="S276" s="1745" t="s">
        <v>1401</v>
      </c>
      <c r="T276" s="1705" t="s">
        <v>109</v>
      </c>
      <c r="U276" s="1705" t="s">
        <v>109</v>
      </c>
      <c r="V276" s="1719" t="s">
        <v>109</v>
      </c>
      <c r="W276" s="1705">
        <v>0</v>
      </c>
      <c r="X276" s="1705" t="s">
        <v>109</v>
      </c>
      <c r="Y276" s="1705">
        <v>0</v>
      </c>
      <c r="Z276" s="1705" t="s">
        <v>109</v>
      </c>
      <c r="AA276" s="1705" t="s">
        <v>109</v>
      </c>
      <c r="AB276" s="1712" t="s">
        <v>109</v>
      </c>
      <c r="AC276" s="1712" t="s">
        <v>109</v>
      </c>
      <c r="AD276" s="1713" t="s">
        <v>109</v>
      </c>
      <c r="AE276" s="1712" t="s">
        <v>109</v>
      </c>
      <c r="AF276" s="1712" t="s">
        <v>109</v>
      </c>
      <c r="AG276" s="1713">
        <v>0</v>
      </c>
      <c r="AH276" s="1713" t="str">
        <f>IFERROR(TBL4_OptApp[[#This Row],[Total NPC (£m)]]/TBL4_OptApp[[#This Row],[Maximum option utilisation across the planning period (Ml/d)]],"N/A")</f>
        <v>N/A</v>
      </c>
      <c r="AI276" s="1713" t="s">
        <v>109</v>
      </c>
      <c r="AJ276" s="1703" t="s">
        <v>109</v>
      </c>
      <c r="AK276" s="1705" t="s">
        <v>109</v>
      </c>
      <c r="AL276" s="1705" t="s">
        <v>109</v>
      </c>
      <c r="AM276" s="1705" t="s">
        <v>109</v>
      </c>
      <c r="AN276" s="1705" t="s">
        <v>109</v>
      </c>
      <c r="AO276" s="1705" t="s">
        <v>109</v>
      </c>
      <c r="AP276" s="1705" t="s">
        <v>109</v>
      </c>
      <c r="AQ276" s="1705" t="s">
        <v>109</v>
      </c>
      <c r="AR276" s="1705" t="s">
        <v>109</v>
      </c>
      <c r="AS276" s="1705" t="s">
        <v>109</v>
      </c>
      <c r="AT276" s="1705" t="s">
        <v>109</v>
      </c>
      <c r="AU276" s="1705" t="s">
        <v>109</v>
      </c>
      <c r="AV276" s="1705" t="s">
        <v>109</v>
      </c>
      <c r="AW276" s="1705"/>
      <c r="AX276" s="1705"/>
      <c r="AY276" s="1705"/>
      <c r="AZ276" s="1705"/>
      <c r="BA276" s="1705"/>
    </row>
    <row r="277" spans="2:53" ht="28.5" x14ac:dyDescent="0.2">
      <c r="B277" s="17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277" s="1703" t="s">
        <v>1437</v>
      </c>
      <c r="D277" s="1707" t="s">
        <v>1438</v>
      </c>
      <c r="E277" s="1714" t="s">
        <v>987</v>
      </c>
      <c r="F277" s="1703" t="str">
        <f>VLOOKUP(TBL4_OptApp[[#This Row],[Option type
Defined List]],'Option Typs_Grps'!B$2:C$47, 2, FALSE)</f>
        <v>Customer Options</v>
      </c>
      <c r="G277" s="1703" t="s">
        <v>861</v>
      </c>
      <c r="H277" s="1703" t="s">
        <v>871</v>
      </c>
      <c r="I277" s="1703" t="s">
        <v>863</v>
      </c>
      <c r="J277" s="1703" t="s">
        <v>109</v>
      </c>
      <c r="K277" s="1703" t="s">
        <v>109</v>
      </c>
      <c r="L277" s="1703" t="s">
        <v>863</v>
      </c>
      <c r="M277" s="1703" t="s">
        <v>863</v>
      </c>
      <c r="N277" s="1703" t="s">
        <v>863</v>
      </c>
      <c r="O277" s="1703" t="s">
        <v>863</v>
      </c>
      <c r="P277" s="1703" t="s">
        <v>863</v>
      </c>
      <c r="Q277" s="1703" t="s">
        <v>863</v>
      </c>
      <c r="R277" s="1703" t="s">
        <v>863</v>
      </c>
      <c r="S277" s="1745" t="s">
        <v>1401</v>
      </c>
      <c r="T277" s="1705" t="s">
        <v>109</v>
      </c>
      <c r="U277" s="1705" t="s">
        <v>109</v>
      </c>
      <c r="V277" s="1719" t="s">
        <v>109</v>
      </c>
      <c r="W277" s="1705">
        <v>0</v>
      </c>
      <c r="X277" s="1705" t="s">
        <v>109</v>
      </c>
      <c r="Y277" s="1705">
        <v>0</v>
      </c>
      <c r="Z277" s="1705" t="s">
        <v>109</v>
      </c>
      <c r="AA277" s="1705" t="s">
        <v>109</v>
      </c>
      <c r="AB277" s="1712" t="s">
        <v>109</v>
      </c>
      <c r="AC277" s="1712" t="s">
        <v>109</v>
      </c>
      <c r="AD277" s="1713" t="s">
        <v>109</v>
      </c>
      <c r="AE277" s="1712" t="s">
        <v>109</v>
      </c>
      <c r="AF277" s="1712" t="s">
        <v>109</v>
      </c>
      <c r="AG277" s="1713">
        <v>0</v>
      </c>
      <c r="AH277" s="1713" t="str">
        <f>IFERROR(TBL4_OptApp[[#This Row],[Total NPC (£m)]]/TBL4_OptApp[[#This Row],[Maximum option utilisation across the planning period (Ml/d)]],"N/A")</f>
        <v>N/A</v>
      </c>
      <c r="AI277" s="1713" t="s">
        <v>109</v>
      </c>
      <c r="AJ277" s="1703" t="s">
        <v>109</v>
      </c>
      <c r="AK277" s="1705" t="s">
        <v>109</v>
      </c>
      <c r="AL277" s="1705" t="s">
        <v>109</v>
      </c>
      <c r="AM277" s="1705" t="s">
        <v>109</v>
      </c>
      <c r="AN277" s="1705" t="s">
        <v>109</v>
      </c>
      <c r="AO277" s="1705" t="s">
        <v>109</v>
      </c>
      <c r="AP277" s="1705" t="s">
        <v>109</v>
      </c>
      <c r="AQ277" s="1705" t="s">
        <v>109</v>
      </c>
      <c r="AR277" s="1705" t="s">
        <v>109</v>
      </c>
      <c r="AS277" s="1705" t="s">
        <v>109</v>
      </c>
      <c r="AT277" s="1705" t="s">
        <v>109</v>
      </c>
      <c r="AU277" s="1705" t="s">
        <v>109</v>
      </c>
      <c r="AV277" s="1705" t="s">
        <v>109</v>
      </c>
      <c r="AW277" s="1705"/>
      <c r="AX277" s="1705"/>
      <c r="AY277" s="1705"/>
      <c r="AZ277" s="1705"/>
      <c r="BA277" s="1705"/>
    </row>
    <row r="278" spans="2:53" ht="28.5" x14ac:dyDescent="0.2">
      <c r="B278" s="17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278" s="1703" t="s">
        <v>1439</v>
      </c>
      <c r="D278" s="1707" t="s">
        <v>1440</v>
      </c>
      <c r="E278" s="1714" t="s">
        <v>987</v>
      </c>
      <c r="F278" s="1703" t="str">
        <f>VLOOKUP(TBL4_OptApp[[#This Row],[Option type
Defined List]],'Option Typs_Grps'!B$2:C$47, 2, FALSE)</f>
        <v>Customer Options</v>
      </c>
      <c r="G278" s="1703" t="s">
        <v>861</v>
      </c>
      <c r="H278" s="1703" t="s">
        <v>871</v>
      </c>
      <c r="I278" s="1703" t="s">
        <v>863</v>
      </c>
      <c r="J278" s="1703" t="s">
        <v>109</v>
      </c>
      <c r="K278" s="1703" t="s">
        <v>109</v>
      </c>
      <c r="L278" s="1703" t="s">
        <v>863</v>
      </c>
      <c r="M278" s="1703" t="s">
        <v>863</v>
      </c>
      <c r="N278" s="1703" t="s">
        <v>863</v>
      </c>
      <c r="O278" s="1703" t="s">
        <v>863</v>
      </c>
      <c r="P278" s="1703" t="s">
        <v>863</v>
      </c>
      <c r="Q278" s="1703" t="s">
        <v>863</v>
      </c>
      <c r="R278" s="1703" t="s">
        <v>863</v>
      </c>
      <c r="S278" s="1745" t="s">
        <v>1401</v>
      </c>
      <c r="T278" s="1705" t="s">
        <v>109</v>
      </c>
      <c r="U278" s="1705" t="s">
        <v>109</v>
      </c>
      <c r="V278" s="1719" t="s">
        <v>109</v>
      </c>
      <c r="W278" s="1705">
        <v>0</v>
      </c>
      <c r="X278" s="1705" t="s">
        <v>109</v>
      </c>
      <c r="Y278" s="1705">
        <v>0</v>
      </c>
      <c r="Z278" s="1705" t="s">
        <v>109</v>
      </c>
      <c r="AA278" s="1705" t="s">
        <v>109</v>
      </c>
      <c r="AB278" s="1712" t="s">
        <v>109</v>
      </c>
      <c r="AC278" s="1712" t="s">
        <v>109</v>
      </c>
      <c r="AD278" s="1713" t="s">
        <v>109</v>
      </c>
      <c r="AE278" s="1712" t="s">
        <v>109</v>
      </c>
      <c r="AF278" s="1712" t="s">
        <v>109</v>
      </c>
      <c r="AG278" s="1713">
        <v>0</v>
      </c>
      <c r="AH278" s="1713" t="str">
        <f>IFERROR(TBL4_OptApp[[#This Row],[Total NPC (£m)]]/TBL4_OptApp[[#This Row],[Maximum option utilisation across the planning period (Ml/d)]],"N/A")</f>
        <v>N/A</v>
      </c>
      <c r="AI278" s="1713" t="s">
        <v>109</v>
      </c>
      <c r="AJ278" s="1703" t="s">
        <v>109</v>
      </c>
      <c r="AK278" s="1705" t="s">
        <v>109</v>
      </c>
      <c r="AL278" s="1705" t="s">
        <v>109</v>
      </c>
      <c r="AM278" s="1705" t="s">
        <v>109</v>
      </c>
      <c r="AN278" s="1705" t="s">
        <v>109</v>
      </c>
      <c r="AO278" s="1705" t="s">
        <v>109</v>
      </c>
      <c r="AP278" s="1705" t="s">
        <v>109</v>
      </c>
      <c r="AQ278" s="1705" t="s">
        <v>109</v>
      </c>
      <c r="AR278" s="1705" t="s">
        <v>109</v>
      </c>
      <c r="AS278" s="1705" t="s">
        <v>109</v>
      </c>
      <c r="AT278" s="1705" t="s">
        <v>109</v>
      </c>
      <c r="AU278" s="1705" t="s">
        <v>109</v>
      </c>
      <c r="AV278" s="1705" t="s">
        <v>109</v>
      </c>
      <c r="AW278" s="1705"/>
      <c r="AX278" s="1705"/>
      <c r="AY278" s="1705"/>
      <c r="AZ278" s="1705"/>
      <c r="BA278" s="1705"/>
    </row>
    <row r="279" spans="2:53" ht="42.75" x14ac:dyDescent="0.2">
      <c r="B279" s="17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279" s="1703" t="s">
        <v>1441</v>
      </c>
      <c r="D279" s="1707" t="s">
        <v>1442</v>
      </c>
      <c r="E279" s="1714" t="s">
        <v>987</v>
      </c>
      <c r="F279" s="1703" t="str">
        <f>VLOOKUP(TBL4_OptApp[[#This Row],[Option type
Defined List]],'Option Typs_Grps'!B$2:C$47, 2, FALSE)</f>
        <v>Customer Options</v>
      </c>
      <c r="G279" s="1703" t="s">
        <v>861</v>
      </c>
      <c r="H279" s="1703" t="s">
        <v>871</v>
      </c>
      <c r="I279" s="1703" t="s">
        <v>863</v>
      </c>
      <c r="J279" s="1703" t="s">
        <v>109</v>
      </c>
      <c r="K279" s="1703" t="s">
        <v>109</v>
      </c>
      <c r="L279" s="1703" t="s">
        <v>863</v>
      </c>
      <c r="M279" s="1703" t="s">
        <v>863</v>
      </c>
      <c r="N279" s="1703" t="s">
        <v>863</v>
      </c>
      <c r="O279" s="1703" t="s">
        <v>863</v>
      </c>
      <c r="P279" s="1703" t="s">
        <v>863</v>
      </c>
      <c r="Q279" s="1703" t="s">
        <v>863</v>
      </c>
      <c r="R279" s="1703" t="s">
        <v>863</v>
      </c>
      <c r="S279" s="1745" t="s">
        <v>1401</v>
      </c>
      <c r="T279" s="1705" t="s">
        <v>109</v>
      </c>
      <c r="U279" s="1705" t="s">
        <v>109</v>
      </c>
      <c r="V279" s="1719" t="s">
        <v>109</v>
      </c>
      <c r="W279" s="1705">
        <v>0</v>
      </c>
      <c r="X279" s="1705" t="s">
        <v>109</v>
      </c>
      <c r="Y279" s="1705">
        <v>0</v>
      </c>
      <c r="Z279" s="1705" t="s">
        <v>109</v>
      </c>
      <c r="AA279" s="1705" t="s">
        <v>109</v>
      </c>
      <c r="AB279" s="1712" t="s">
        <v>109</v>
      </c>
      <c r="AC279" s="1712" t="s">
        <v>109</v>
      </c>
      <c r="AD279" s="1713" t="s">
        <v>109</v>
      </c>
      <c r="AE279" s="1712" t="s">
        <v>109</v>
      </c>
      <c r="AF279" s="1712" t="s">
        <v>109</v>
      </c>
      <c r="AG279" s="1713">
        <v>0</v>
      </c>
      <c r="AH279" s="1713" t="str">
        <f>IFERROR(TBL4_OptApp[[#This Row],[Total NPC (£m)]]/TBL4_OptApp[[#This Row],[Maximum option utilisation across the planning period (Ml/d)]],"N/A")</f>
        <v>N/A</v>
      </c>
      <c r="AI279" s="1713" t="s">
        <v>109</v>
      </c>
      <c r="AJ279" s="1703" t="s">
        <v>109</v>
      </c>
      <c r="AK279" s="1705" t="s">
        <v>109</v>
      </c>
      <c r="AL279" s="1705" t="s">
        <v>109</v>
      </c>
      <c r="AM279" s="1705" t="s">
        <v>109</v>
      </c>
      <c r="AN279" s="1705" t="s">
        <v>109</v>
      </c>
      <c r="AO279" s="1705" t="s">
        <v>109</v>
      </c>
      <c r="AP279" s="1705" t="s">
        <v>109</v>
      </c>
      <c r="AQ279" s="1705" t="s">
        <v>109</v>
      </c>
      <c r="AR279" s="1705" t="s">
        <v>109</v>
      </c>
      <c r="AS279" s="1705" t="s">
        <v>109</v>
      </c>
      <c r="AT279" s="1705" t="s">
        <v>109</v>
      </c>
      <c r="AU279" s="1705" t="s">
        <v>109</v>
      </c>
      <c r="AV279" s="1705" t="s">
        <v>109</v>
      </c>
      <c r="AW279" s="1705"/>
      <c r="AX279" s="1705"/>
      <c r="AY279" s="1705"/>
      <c r="AZ279" s="1705"/>
      <c r="BA279" s="1705"/>
    </row>
    <row r="280" spans="2:53" ht="28.5" x14ac:dyDescent="0.2">
      <c r="B280" s="17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280" s="1703" t="s">
        <v>1443</v>
      </c>
      <c r="D280" s="1707" t="s">
        <v>1444</v>
      </c>
      <c r="E280" s="1714" t="s">
        <v>987</v>
      </c>
      <c r="F280" s="1703" t="str">
        <f>VLOOKUP(TBL4_OptApp[[#This Row],[Option type
Defined List]],'Option Typs_Grps'!B$2:C$47, 2, FALSE)</f>
        <v>Customer Options</v>
      </c>
      <c r="G280" s="1703" t="s">
        <v>861</v>
      </c>
      <c r="H280" s="1703" t="s">
        <v>871</v>
      </c>
      <c r="I280" s="1703" t="s">
        <v>863</v>
      </c>
      <c r="J280" s="1703" t="s">
        <v>109</v>
      </c>
      <c r="K280" s="1703" t="s">
        <v>109</v>
      </c>
      <c r="L280" s="1703" t="s">
        <v>863</v>
      </c>
      <c r="M280" s="1703" t="s">
        <v>863</v>
      </c>
      <c r="N280" s="1703" t="s">
        <v>863</v>
      </c>
      <c r="O280" s="1703" t="s">
        <v>863</v>
      </c>
      <c r="P280" s="1703" t="s">
        <v>863</v>
      </c>
      <c r="Q280" s="1703" t="s">
        <v>863</v>
      </c>
      <c r="R280" s="1703" t="s">
        <v>863</v>
      </c>
      <c r="S280" s="1745" t="s">
        <v>1401</v>
      </c>
      <c r="T280" s="1705" t="s">
        <v>109</v>
      </c>
      <c r="U280" s="1705" t="s">
        <v>109</v>
      </c>
      <c r="V280" s="1719" t="s">
        <v>109</v>
      </c>
      <c r="W280" s="1705">
        <v>0</v>
      </c>
      <c r="X280" s="1705" t="s">
        <v>109</v>
      </c>
      <c r="Y280" s="1705">
        <v>0</v>
      </c>
      <c r="Z280" s="1705" t="s">
        <v>109</v>
      </c>
      <c r="AA280" s="1705" t="s">
        <v>109</v>
      </c>
      <c r="AB280" s="1712" t="s">
        <v>109</v>
      </c>
      <c r="AC280" s="1712" t="s">
        <v>109</v>
      </c>
      <c r="AD280" s="1713" t="s">
        <v>109</v>
      </c>
      <c r="AE280" s="1712" t="s">
        <v>109</v>
      </c>
      <c r="AF280" s="1712" t="s">
        <v>109</v>
      </c>
      <c r="AG280" s="1713">
        <v>0</v>
      </c>
      <c r="AH280" s="1713" t="str">
        <f>IFERROR(TBL4_OptApp[[#This Row],[Total NPC (£m)]]/TBL4_OptApp[[#This Row],[Maximum option utilisation across the planning period (Ml/d)]],"N/A")</f>
        <v>N/A</v>
      </c>
      <c r="AI280" s="1713" t="s">
        <v>109</v>
      </c>
      <c r="AJ280" s="1703" t="s">
        <v>109</v>
      </c>
      <c r="AK280" s="1705" t="s">
        <v>109</v>
      </c>
      <c r="AL280" s="1705" t="s">
        <v>109</v>
      </c>
      <c r="AM280" s="1705" t="s">
        <v>109</v>
      </c>
      <c r="AN280" s="1705" t="s">
        <v>109</v>
      </c>
      <c r="AO280" s="1705" t="s">
        <v>109</v>
      </c>
      <c r="AP280" s="1705" t="s">
        <v>109</v>
      </c>
      <c r="AQ280" s="1705" t="s">
        <v>109</v>
      </c>
      <c r="AR280" s="1705" t="s">
        <v>109</v>
      </c>
      <c r="AS280" s="1705" t="s">
        <v>109</v>
      </c>
      <c r="AT280" s="1705" t="s">
        <v>109</v>
      </c>
      <c r="AU280" s="1705" t="s">
        <v>109</v>
      </c>
      <c r="AV280" s="1705" t="s">
        <v>109</v>
      </c>
      <c r="AW280" s="1705"/>
      <c r="AX280" s="1705"/>
      <c r="AY280" s="1705"/>
      <c r="AZ280" s="1705"/>
      <c r="BA280" s="1705"/>
    </row>
    <row r="281" spans="2:53" ht="28.5" x14ac:dyDescent="0.2">
      <c r="B281" s="17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281" s="1703" t="s">
        <v>1445</v>
      </c>
      <c r="D281" s="1707" t="s">
        <v>1446</v>
      </c>
      <c r="E281" s="1714" t="s">
        <v>987</v>
      </c>
      <c r="F281" s="1703" t="str">
        <f>VLOOKUP(TBL4_OptApp[[#This Row],[Option type
Defined List]],'Option Typs_Grps'!B$2:C$47, 2, FALSE)</f>
        <v>Customer Options</v>
      </c>
      <c r="G281" s="1703" t="s">
        <v>861</v>
      </c>
      <c r="H281" s="1703" t="s">
        <v>871</v>
      </c>
      <c r="I281" s="1703" t="s">
        <v>863</v>
      </c>
      <c r="J281" s="1703" t="s">
        <v>109</v>
      </c>
      <c r="K281" s="1703" t="s">
        <v>109</v>
      </c>
      <c r="L281" s="1703" t="s">
        <v>863</v>
      </c>
      <c r="M281" s="1703" t="s">
        <v>863</v>
      </c>
      <c r="N281" s="1703" t="s">
        <v>863</v>
      </c>
      <c r="O281" s="1703" t="s">
        <v>863</v>
      </c>
      <c r="P281" s="1703" t="s">
        <v>863</v>
      </c>
      <c r="Q281" s="1703" t="s">
        <v>863</v>
      </c>
      <c r="R281" s="1703" t="s">
        <v>863</v>
      </c>
      <c r="S281" s="1745" t="s">
        <v>1401</v>
      </c>
      <c r="T281" s="1705" t="s">
        <v>109</v>
      </c>
      <c r="U281" s="1705" t="s">
        <v>109</v>
      </c>
      <c r="V281" s="1719" t="s">
        <v>109</v>
      </c>
      <c r="W281" s="1705">
        <v>0</v>
      </c>
      <c r="X281" s="1705" t="s">
        <v>109</v>
      </c>
      <c r="Y281" s="1705">
        <v>0</v>
      </c>
      <c r="Z281" s="1705" t="s">
        <v>109</v>
      </c>
      <c r="AA281" s="1705" t="s">
        <v>109</v>
      </c>
      <c r="AB281" s="1712" t="s">
        <v>109</v>
      </c>
      <c r="AC281" s="1712" t="s">
        <v>109</v>
      </c>
      <c r="AD281" s="1713" t="s">
        <v>109</v>
      </c>
      <c r="AE281" s="1712" t="s">
        <v>109</v>
      </c>
      <c r="AF281" s="1712" t="s">
        <v>109</v>
      </c>
      <c r="AG281" s="1713">
        <v>0</v>
      </c>
      <c r="AH281" s="1713" t="str">
        <f>IFERROR(TBL4_OptApp[[#This Row],[Total NPC (£m)]]/TBL4_OptApp[[#This Row],[Maximum option utilisation across the planning period (Ml/d)]],"N/A")</f>
        <v>N/A</v>
      </c>
      <c r="AI281" s="1713" t="s">
        <v>109</v>
      </c>
      <c r="AJ281" s="1703" t="s">
        <v>109</v>
      </c>
      <c r="AK281" s="1705" t="s">
        <v>109</v>
      </c>
      <c r="AL281" s="1705" t="s">
        <v>109</v>
      </c>
      <c r="AM281" s="1705" t="s">
        <v>109</v>
      </c>
      <c r="AN281" s="1705" t="s">
        <v>109</v>
      </c>
      <c r="AO281" s="1705" t="s">
        <v>109</v>
      </c>
      <c r="AP281" s="1705" t="s">
        <v>109</v>
      </c>
      <c r="AQ281" s="1705" t="s">
        <v>109</v>
      </c>
      <c r="AR281" s="1705" t="s">
        <v>109</v>
      </c>
      <c r="AS281" s="1705" t="s">
        <v>109</v>
      </c>
      <c r="AT281" s="1705" t="s">
        <v>109</v>
      </c>
      <c r="AU281" s="1705" t="s">
        <v>109</v>
      </c>
      <c r="AV281" s="1705" t="s">
        <v>109</v>
      </c>
      <c r="AW281" s="1705"/>
      <c r="AX281" s="1705"/>
      <c r="AY281" s="1705"/>
      <c r="AZ281" s="1705"/>
      <c r="BA281" s="1705"/>
    </row>
    <row r="282" spans="2:53" ht="28.5" x14ac:dyDescent="0.2">
      <c r="B282" s="1703" t="str">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51dU</v>
      </c>
      <c r="C282" s="1703" t="s">
        <v>1447</v>
      </c>
      <c r="D282" s="1707" t="s">
        <v>1448</v>
      </c>
      <c r="E282" s="1714" t="s">
        <v>987</v>
      </c>
      <c r="F282" s="1703" t="str">
        <f>VLOOKUP(TBL4_OptApp[[#This Row],[Option type
Defined List]],'Option Typs_Grps'!B$2:C$47, 2, FALSE)</f>
        <v>Customer Options</v>
      </c>
      <c r="G282" s="1703" t="s">
        <v>861</v>
      </c>
      <c r="H282" s="1703" t="s">
        <v>871</v>
      </c>
      <c r="I282" s="1703" t="s">
        <v>863</v>
      </c>
      <c r="J282" s="1703" t="s">
        <v>109</v>
      </c>
      <c r="K282" s="1703" t="s">
        <v>109</v>
      </c>
      <c r="L282" s="1703" t="s">
        <v>863</v>
      </c>
      <c r="M282" s="1703" t="s">
        <v>863</v>
      </c>
      <c r="N282" s="1703" t="s">
        <v>863</v>
      </c>
      <c r="O282" s="1703" t="s">
        <v>863</v>
      </c>
      <c r="P282" s="1703" t="s">
        <v>863</v>
      </c>
      <c r="Q282" s="1703" t="s">
        <v>863</v>
      </c>
      <c r="R282" s="1703" t="s">
        <v>863</v>
      </c>
      <c r="S282" s="1745" t="s">
        <v>1401</v>
      </c>
      <c r="T282" s="1705" t="s">
        <v>109</v>
      </c>
      <c r="U282" s="1705" t="s">
        <v>109</v>
      </c>
      <c r="V282" s="1719" t="s">
        <v>109</v>
      </c>
      <c r="W282" s="1705">
        <v>0</v>
      </c>
      <c r="X282" s="1705" t="s">
        <v>109</v>
      </c>
      <c r="Y282" s="1705">
        <v>0</v>
      </c>
      <c r="Z282" s="1705" t="s">
        <v>109</v>
      </c>
      <c r="AA282" s="1705" t="s">
        <v>109</v>
      </c>
      <c r="AB282" s="1712" t="s">
        <v>109</v>
      </c>
      <c r="AC282" s="1712" t="s">
        <v>109</v>
      </c>
      <c r="AD282" s="1713" t="s">
        <v>109</v>
      </c>
      <c r="AE282" s="1712" t="s">
        <v>109</v>
      </c>
      <c r="AF282" s="1712" t="s">
        <v>109</v>
      </c>
      <c r="AG282" s="1713">
        <v>0</v>
      </c>
      <c r="AH282" s="1713" t="str">
        <f>IFERROR(TBL4_OptApp[[#This Row],[Total NPC (£m)]]/TBL4_OptApp[[#This Row],[Maximum option utilisation across the planning period (Ml/d)]],"N/A")</f>
        <v>N/A</v>
      </c>
      <c r="AI282" s="1713" t="s">
        <v>109</v>
      </c>
      <c r="AJ282" s="1703" t="s">
        <v>109</v>
      </c>
      <c r="AK282" s="1705" t="s">
        <v>109</v>
      </c>
      <c r="AL282" s="1705" t="s">
        <v>109</v>
      </c>
      <c r="AM282" s="1705" t="s">
        <v>109</v>
      </c>
      <c r="AN282" s="1705" t="s">
        <v>109</v>
      </c>
      <c r="AO282" s="1705" t="s">
        <v>109</v>
      </c>
      <c r="AP282" s="1705" t="s">
        <v>109</v>
      </c>
      <c r="AQ282" s="1705" t="s">
        <v>109</v>
      </c>
      <c r="AR282" s="1705" t="s">
        <v>109</v>
      </c>
      <c r="AS282" s="1705" t="s">
        <v>109</v>
      </c>
      <c r="AT282" s="1705" t="s">
        <v>109</v>
      </c>
      <c r="AU282" s="1705" t="s">
        <v>109</v>
      </c>
      <c r="AV282" s="1705" t="s">
        <v>109</v>
      </c>
      <c r="AW282" s="1705"/>
      <c r="AX282" s="1705"/>
      <c r="AY282" s="1705"/>
      <c r="AZ282" s="1705"/>
      <c r="BA282" s="1705"/>
    </row>
    <row r="283" spans="2:53" x14ac:dyDescent="0.2">
      <c r="B283" s="1703" t="e">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#N/A</v>
      </c>
      <c r="C283" s="1703"/>
      <c r="D283" s="1707"/>
      <c r="E283" s="1714"/>
      <c r="F283" s="1703" t="e">
        <f>VLOOKUP(TBL4_OptApp[[#This Row],[Option type
Defined List]],'Option Typs_Grps'!B$2:C$47, 2, FALSE)</f>
        <v>#N/A</v>
      </c>
      <c r="G283" s="1703"/>
      <c r="H283" s="1703"/>
      <c r="I283" s="1703"/>
      <c r="J283" s="1703"/>
      <c r="K283" s="1703"/>
      <c r="L283" s="1703"/>
      <c r="M283" s="1703"/>
      <c r="N283" s="1703"/>
      <c r="O283" s="1703"/>
      <c r="P283" s="1703"/>
      <c r="Q283" s="1703"/>
      <c r="R283" s="1703"/>
      <c r="S283" s="1705"/>
      <c r="T283" s="1705"/>
      <c r="U283" s="1705"/>
      <c r="V283" s="1712"/>
      <c r="W283" s="1705"/>
      <c r="X283" s="1705"/>
      <c r="Y283" s="1705"/>
      <c r="Z283" s="1705"/>
      <c r="AA283" s="1705"/>
      <c r="AB283" s="1712"/>
      <c r="AC283" s="1712"/>
      <c r="AD283" s="1703"/>
      <c r="AE283" s="1705"/>
      <c r="AF283" s="1705"/>
      <c r="AG283" s="1703"/>
      <c r="AH283" s="1703"/>
      <c r="AI283" s="1703"/>
      <c r="AJ283" s="1703"/>
      <c r="AK283" s="1705"/>
      <c r="AL283" s="1705"/>
      <c r="AM283" s="1705"/>
      <c r="AN283" s="1705"/>
      <c r="AO283" s="1705"/>
      <c r="AP283" s="1705"/>
      <c r="AQ283" s="1705"/>
      <c r="AR283" s="1705"/>
      <c r="AS283" s="1705"/>
      <c r="AT283" s="1705"/>
      <c r="AU283" s="1705"/>
      <c r="AV283" s="1705"/>
      <c r="AW283" s="1705"/>
      <c r="AX283" s="1705"/>
      <c r="AY283" s="1705"/>
      <c r="AZ283" s="1705"/>
      <c r="BA283" s="1705"/>
    </row>
    <row r="284" spans="2:53" x14ac:dyDescent="0.2">
      <c r="B284" s="1703" t="e">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#N/A</v>
      </c>
      <c r="C284" s="1703"/>
      <c r="D284" s="1707"/>
      <c r="E284" s="1714"/>
      <c r="F284" s="1703" t="e">
        <f>VLOOKUP(TBL4_OptApp[[#This Row],[Option type
Defined List]],'Option Typs_Grps'!B$2:C$47, 2, FALSE)</f>
        <v>#N/A</v>
      </c>
      <c r="G284" s="1703"/>
      <c r="H284" s="1703"/>
      <c r="I284" s="1703"/>
      <c r="J284" s="1703"/>
      <c r="K284" s="1703"/>
      <c r="L284" s="1703"/>
      <c r="M284" s="1703"/>
      <c r="N284" s="1703"/>
      <c r="O284" s="1703"/>
      <c r="P284" s="1703"/>
      <c r="Q284" s="1703"/>
      <c r="R284" s="1703"/>
      <c r="S284" s="1705"/>
      <c r="T284" s="1705"/>
      <c r="U284" s="1705"/>
      <c r="V284" s="1712"/>
      <c r="W284" s="1705"/>
      <c r="X284" s="1705"/>
      <c r="Y284" s="1705"/>
      <c r="Z284" s="1705"/>
      <c r="AA284" s="1705"/>
      <c r="AB284" s="1712"/>
      <c r="AC284" s="1712"/>
      <c r="AD284" s="1703"/>
      <c r="AE284" s="1705"/>
      <c r="AF284" s="1705"/>
      <c r="AG284" s="1703"/>
      <c r="AH284" s="1703"/>
      <c r="AI284" s="1703"/>
      <c r="AJ284" s="1703"/>
      <c r="AK284" s="1705"/>
      <c r="AL284" s="1705"/>
      <c r="AM284" s="1705"/>
      <c r="AN284" s="1705"/>
      <c r="AO284" s="1705"/>
      <c r="AP284" s="1705"/>
      <c r="AQ284" s="1705"/>
      <c r="AR284" s="1705"/>
      <c r="AS284" s="1705"/>
      <c r="AT284" s="1705"/>
      <c r="AU284" s="1705"/>
      <c r="AV284" s="1705"/>
      <c r="AW284" s="1705"/>
      <c r="AX284" s="1705"/>
      <c r="AY284" s="1705"/>
      <c r="AZ284" s="1705"/>
      <c r="BA284" s="1705"/>
    </row>
    <row r="285" spans="2:53" x14ac:dyDescent="0.2">
      <c r="B285" s="1703" t="e">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#N/A</v>
      </c>
      <c r="C285" s="1703"/>
      <c r="D285" s="1707"/>
      <c r="E285" s="1714"/>
      <c r="F285" s="1703" t="e">
        <f>VLOOKUP(TBL4_OptApp[[#This Row],[Option type
Defined List]],'Option Typs_Grps'!B$2:C$47, 2, FALSE)</f>
        <v>#N/A</v>
      </c>
      <c r="G285" s="1703"/>
      <c r="H285" s="1703"/>
      <c r="I285" s="1703"/>
      <c r="J285" s="1703"/>
      <c r="K285" s="1703"/>
      <c r="L285" s="1703"/>
      <c r="M285" s="1703"/>
      <c r="N285" s="1703"/>
      <c r="O285" s="1703"/>
      <c r="P285" s="1703"/>
      <c r="Q285" s="1703"/>
      <c r="R285" s="1703"/>
      <c r="S285" s="1705"/>
      <c r="T285" s="1705"/>
      <c r="U285" s="1705"/>
      <c r="V285" s="1712"/>
      <c r="W285" s="1705"/>
      <c r="X285" s="1705"/>
      <c r="Y285" s="1705"/>
      <c r="Z285" s="1705"/>
      <c r="AA285" s="1705"/>
      <c r="AB285" s="1712"/>
      <c r="AC285" s="1712"/>
      <c r="AD285" s="1703"/>
      <c r="AE285" s="1705"/>
      <c r="AF285" s="1705"/>
      <c r="AG285" s="1703"/>
      <c r="AH285" s="1703"/>
      <c r="AI285" s="1703"/>
      <c r="AJ285" s="1703"/>
      <c r="AK285" s="1705"/>
      <c r="AL285" s="1705"/>
      <c r="AM285" s="1705"/>
      <c r="AN285" s="1705"/>
      <c r="AO285" s="1705"/>
      <c r="AP285" s="1705"/>
      <c r="AQ285" s="1705"/>
      <c r="AR285" s="1705"/>
      <c r="AS285" s="1705"/>
      <c r="AT285" s="1705"/>
      <c r="AU285" s="1705"/>
      <c r="AV285" s="1705"/>
      <c r="AW285" s="1705"/>
      <c r="AX285" s="1705"/>
      <c r="AY285" s="1705"/>
      <c r="AZ285" s="1705"/>
      <c r="BA285" s="1705"/>
    </row>
    <row r="286" spans="2:53" x14ac:dyDescent="0.2">
      <c r="B286" s="1703" t="e">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#N/A</v>
      </c>
      <c r="C286" s="1703"/>
      <c r="D286" s="1707"/>
      <c r="E286" s="1714"/>
      <c r="F286" s="1703" t="e">
        <f>VLOOKUP(TBL4_OptApp[[#This Row],[Option type
Defined List]],'Option Typs_Grps'!B$2:C$47, 2, FALSE)</f>
        <v>#N/A</v>
      </c>
      <c r="G286" s="1703"/>
      <c r="H286" s="1703"/>
      <c r="I286" s="1703"/>
      <c r="J286" s="1703"/>
      <c r="K286" s="1703"/>
      <c r="L286" s="1703"/>
      <c r="M286" s="1703"/>
      <c r="N286" s="1703"/>
      <c r="O286" s="1703"/>
      <c r="P286" s="1703"/>
      <c r="Q286" s="1703"/>
      <c r="R286" s="1703"/>
      <c r="S286" s="1705"/>
      <c r="T286" s="1705"/>
      <c r="U286" s="1705"/>
      <c r="V286" s="1712"/>
      <c r="W286" s="1705"/>
      <c r="X286" s="1705"/>
      <c r="Y286" s="1705"/>
      <c r="Z286" s="1705"/>
      <c r="AA286" s="1705"/>
      <c r="AB286" s="1712"/>
      <c r="AC286" s="1712"/>
      <c r="AD286" s="1703"/>
      <c r="AE286" s="1705"/>
      <c r="AF286" s="1705"/>
      <c r="AG286" s="1703"/>
      <c r="AH286" s="1703"/>
      <c r="AI286" s="1703"/>
      <c r="AJ286" s="1703"/>
      <c r="AK286" s="1705"/>
      <c r="AL286" s="1705"/>
      <c r="AM286" s="1705"/>
      <c r="AN286" s="1705"/>
      <c r="AO286" s="1705"/>
      <c r="AP286" s="1705"/>
      <c r="AQ286" s="1705"/>
      <c r="AR286" s="1705"/>
      <c r="AS286" s="1705"/>
      <c r="AT286" s="1705"/>
      <c r="AU286" s="1705"/>
      <c r="AV286" s="1705"/>
      <c r="AW286" s="1705"/>
      <c r="AX286" s="1705"/>
      <c r="AY286" s="1705"/>
      <c r="AZ286" s="1705"/>
      <c r="BA286" s="1705"/>
    </row>
    <row r="287" spans="2:53" x14ac:dyDescent="0.2">
      <c r="B287" s="1703" t="e">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#N/A</v>
      </c>
      <c r="C287" s="1703"/>
      <c r="D287" s="1707"/>
      <c r="E287" s="1714"/>
      <c r="F287" s="1703" t="e">
        <f>VLOOKUP(TBL4_OptApp[[#This Row],[Option type
Defined List]],'Option Typs_Grps'!B$2:C$47, 2, FALSE)</f>
        <v>#N/A</v>
      </c>
      <c r="G287" s="1703"/>
      <c r="H287" s="1703"/>
      <c r="I287" s="1703"/>
      <c r="J287" s="1703"/>
      <c r="K287" s="1703"/>
      <c r="L287" s="1703"/>
      <c r="M287" s="1703"/>
      <c r="N287" s="1703"/>
      <c r="O287" s="1703"/>
      <c r="P287" s="1703"/>
      <c r="Q287" s="1703"/>
      <c r="R287" s="1703"/>
      <c r="S287" s="1705"/>
      <c r="T287" s="1705"/>
      <c r="U287" s="1705"/>
      <c r="V287" s="1712"/>
      <c r="W287" s="1705"/>
      <c r="X287" s="1705"/>
      <c r="Y287" s="1705"/>
      <c r="Z287" s="1705"/>
      <c r="AA287" s="1705"/>
      <c r="AB287" s="1712"/>
      <c r="AC287" s="1712"/>
      <c r="AD287" s="1703"/>
      <c r="AE287" s="1705"/>
      <c r="AF287" s="1705"/>
      <c r="AG287" s="1703"/>
      <c r="AH287" s="1703"/>
      <c r="AI287" s="1703"/>
      <c r="AJ287" s="1703"/>
      <c r="AK287" s="1705"/>
      <c r="AL287" s="1705"/>
      <c r="AM287" s="1705"/>
      <c r="AN287" s="1705"/>
      <c r="AO287" s="1705"/>
      <c r="AP287" s="1705"/>
      <c r="AQ287" s="1705"/>
      <c r="AR287" s="1705"/>
      <c r="AS287" s="1705"/>
      <c r="AT287" s="1705"/>
      <c r="AU287" s="1705"/>
      <c r="AV287" s="1705"/>
      <c r="AW287" s="1705"/>
      <c r="AX287" s="1705"/>
      <c r="AY287" s="1705"/>
      <c r="AZ287" s="1705"/>
      <c r="BA287" s="1705"/>
    </row>
    <row r="288" spans="2:53" x14ac:dyDescent="0.2">
      <c r="B288" s="1703" t="e">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#N/A</v>
      </c>
      <c r="C288" s="1703"/>
      <c r="D288" s="1707"/>
      <c r="E288" s="1714"/>
      <c r="F288" s="1703" t="e">
        <f>VLOOKUP(TBL4_OptApp[[#This Row],[Option type
Defined List]],'Option Typs_Grps'!B$2:C$47, 2, FALSE)</f>
        <v>#N/A</v>
      </c>
      <c r="G288" s="1703"/>
      <c r="H288" s="1703"/>
      <c r="I288" s="1703"/>
      <c r="J288" s="1703"/>
      <c r="K288" s="1703"/>
      <c r="L288" s="1703"/>
      <c r="M288" s="1703"/>
      <c r="N288" s="1703"/>
      <c r="O288" s="1703"/>
      <c r="P288" s="1703"/>
      <c r="Q288" s="1703"/>
      <c r="R288" s="1703"/>
      <c r="S288" s="1705"/>
      <c r="T288" s="1705"/>
      <c r="U288" s="1705"/>
      <c r="V288" s="1712"/>
      <c r="W288" s="1705"/>
      <c r="X288" s="1705"/>
      <c r="Y288" s="1705"/>
      <c r="Z288" s="1705"/>
      <c r="AA288" s="1705"/>
      <c r="AB288" s="1712"/>
      <c r="AC288" s="1712"/>
      <c r="AD288" s="1703"/>
      <c r="AE288" s="1705"/>
      <c r="AF288" s="1705"/>
      <c r="AG288" s="1703"/>
      <c r="AH288" s="1703"/>
      <c r="AI288" s="1703"/>
      <c r="AJ288" s="1703"/>
      <c r="AK288" s="1705"/>
      <c r="AL288" s="1705"/>
      <c r="AM288" s="1705"/>
      <c r="AN288" s="1705"/>
      <c r="AO288" s="1705"/>
      <c r="AP288" s="1705"/>
      <c r="AQ288" s="1705"/>
      <c r="AR288" s="1705"/>
      <c r="AS288" s="1705"/>
      <c r="AT288" s="1705"/>
      <c r="AU288" s="1705"/>
      <c r="AV288" s="1705"/>
      <c r="AW288" s="1705"/>
      <c r="AX288" s="1705"/>
      <c r="AY288" s="1705"/>
      <c r="AZ288" s="1705"/>
      <c r="BA288" s="1705"/>
    </row>
    <row r="289" spans="2:53" x14ac:dyDescent="0.2">
      <c r="B289" s="1703" t="e">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#N/A</v>
      </c>
      <c r="C289" s="1703"/>
      <c r="D289" s="1707"/>
      <c r="E289" s="1714"/>
      <c r="F289" s="1703" t="e">
        <f>VLOOKUP(TBL4_OptApp[[#This Row],[Option type
Defined List]],'Option Typs_Grps'!B$2:C$47, 2, FALSE)</f>
        <v>#N/A</v>
      </c>
      <c r="G289" s="1703"/>
      <c r="H289" s="1703"/>
      <c r="I289" s="1703"/>
      <c r="J289" s="1703"/>
      <c r="K289" s="1703"/>
      <c r="L289" s="1703"/>
      <c r="M289" s="1703"/>
      <c r="N289" s="1703"/>
      <c r="O289" s="1703"/>
      <c r="P289" s="1703"/>
      <c r="Q289" s="1703"/>
      <c r="R289" s="1703"/>
      <c r="S289" s="1705"/>
      <c r="T289" s="1705"/>
      <c r="U289" s="1705"/>
      <c r="V289" s="1712"/>
      <c r="W289" s="1705"/>
      <c r="X289" s="1705"/>
      <c r="Y289" s="1705"/>
      <c r="Z289" s="1705"/>
      <c r="AA289" s="1705"/>
      <c r="AB289" s="1712"/>
      <c r="AC289" s="1712"/>
      <c r="AD289" s="1703"/>
      <c r="AE289" s="1705"/>
      <c r="AF289" s="1705"/>
      <c r="AG289" s="1703"/>
      <c r="AH289" s="1703"/>
      <c r="AI289" s="1703"/>
      <c r="AJ289" s="1703"/>
      <c r="AK289" s="1705"/>
      <c r="AL289" s="1705"/>
      <c r="AM289" s="1705"/>
      <c r="AN289" s="1705"/>
      <c r="AO289" s="1705"/>
      <c r="AP289" s="1705"/>
      <c r="AQ289" s="1705"/>
      <c r="AR289" s="1705"/>
      <c r="AS289" s="1705"/>
      <c r="AT289" s="1705"/>
      <c r="AU289" s="1705"/>
      <c r="AV289" s="1705"/>
      <c r="AW289" s="1705"/>
      <c r="AX289" s="1705"/>
      <c r="AY289" s="1705"/>
      <c r="AZ289" s="1705"/>
      <c r="BA289" s="1705"/>
    </row>
    <row r="290" spans="2:53" x14ac:dyDescent="0.2">
      <c r="B290" s="1703" t="e">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#N/A</v>
      </c>
      <c r="C290" s="1703"/>
      <c r="D290" s="1707"/>
      <c r="E290" s="1714"/>
      <c r="F290" s="1703" t="e">
        <f>VLOOKUP(TBL4_OptApp[[#This Row],[Option type
Defined List]],'Option Typs_Grps'!B$2:C$47, 2, FALSE)</f>
        <v>#N/A</v>
      </c>
      <c r="G290" s="1703"/>
      <c r="H290" s="1703"/>
      <c r="I290" s="1703"/>
      <c r="J290" s="1703"/>
      <c r="K290" s="1703"/>
      <c r="L290" s="1703"/>
      <c r="M290" s="1703"/>
      <c r="N290" s="1703"/>
      <c r="O290" s="1703"/>
      <c r="P290" s="1703"/>
      <c r="Q290" s="1703"/>
      <c r="R290" s="1703"/>
      <c r="S290" s="1705"/>
      <c r="T290" s="1705"/>
      <c r="U290" s="1705"/>
      <c r="V290" s="1712"/>
      <c r="W290" s="1705"/>
      <c r="X290" s="1705"/>
      <c r="Y290" s="1705"/>
      <c r="Z290" s="1705"/>
      <c r="AA290" s="1705"/>
      <c r="AB290" s="1712"/>
      <c r="AC290" s="1712"/>
      <c r="AD290" s="1703"/>
      <c r="AE290" s="1705"/>
      <c r="AF290" s="1705"/>
      <c r="AG290" s="1703"/>
      <c r="AH290" s="1703"/>
      <c r="AI290" s="1703"/>
      <c r="AJ290" s="1703"/>
      <c r="AK290" s="1705"/>
      <c r="AL290" s="1705"/>
      <c r="AM290" s="1705"/>
      <c r="AN290" s="1705"/>
      <c r="AO290" s="1705"/>
      <c r="AP290" s="1705"/>
      <c r="AQ290" s="1705"/>
      <c r="AR290" s="1705"/>
      <c r="AS290" s="1705"/>
      <c r="AT290" s="1705"/>
      <c r="AU290" s="1705"/>
      <c r="AV290" s="1705"/>
      <c r="AW290" s="1705"/>
      <c r="AX290" s="1705"/>
      <c r="AY290" s="1705"/>
      <c r="AZ290" s="1705"/>
      <c r="BA290" s="1705"/>
    </row>
    <row r="291" spans="2:53" x14ac:dyDescent="0.2">
      <c r="B291" s="1703" t="e">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#N/A</v>
      </c>
      <c r="C291" s="1703"/>
      <c r="D291" s="1707"/>
      <c r="E291" s="1714"/>
      <c r="F291" s="1703" t="e">
        <f>VLOOKUP(TBL4_OptApp[[#This Row],[Option type
Defined List]],'Option Typs_Grps'!B$2:C$47, 2, FALSE)</f>
        <v>#N/A</v>
      </c>
      <c r="G291" s="1703"/>
      <c r="H291" s="1703"/>
      <c r="I291" s="1703"/>
      <c r="J291" s="1703"/>
      <c r="K291" s="1703"/>
      <c r="L291" s="1703"/>
      <c r="M291" s="1703"/>
      <c r="N291" s="1703"/>
      <c r="O291" s="1703"/>
      <c r="P291" s="1703"/>
      <c r="Q291" s="1703"/>
      <c r="R291" s="1703"/>
      <c r="S291" s="1705"/>
      <c r="T291" s="1705"/>
      <c r="U291" s="1705"/>
      <c r="V291" s="1712"/>
      <c r="W291" s="1705"/>
      <c r="X291" s="1705"/>
      <c r="Y291" s="1705"/>
      <c r="Z291" s="1705"/>
      <c r="AA291" s="1705"/>
      <c r="AB291" s="1712"/>
      <c r="AC291" s="1712"/>
      <c r="AD291" s="1703"/>
      <c r="AE291" s="1705"/>
      <c r="AF291" s="1705"/>
      <c r="AG291" s="1703"/>
      <c r="AH291" s="1703"/>
      <c r="AI291" s="1703"/>
      <c r="AJ291" s="1703"/>
      <c r="AK291" s="1705"/>
      <c r="AL291" s="1705"/>
      <c r="AM291" s="1705"/>
      <c r="AN291" s="1705"/>
      <c r="AO291" s="1705"/>
      <c r="AP291" s="1705"/>
      <c r="AQ291" s="1705"/>
      <c r="AR291" s="1705"/>
      <c r="AS291" s="1705"/>
      <c r="AT291" s="1705"/>
      <c r="AU291" s="1705"/>
      <c r="AV291" s="1705"/>
      <c r="AW291" s="1705"/>
      <c r="AX291" s="1705"/>
      <c r="AY291" s="1705"/>
      <c r="AZ291" s="1705"/>
      <c r="BA291" s="1705"/>
    </row>
    <row r="292" spans="2:53" x14ac:dyDescent="0.2">
      <c r="B292" s="1703" t="e">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#N/A</v>
      </c>
      <c r="C292" s="1703"/>
      <c r="D292" s="1707"/>
      <c r="E292" s="1714"/>
      <c r="F292" s="1703" t="e">
        <f>VLOOKUP(TBL4_OptApp[[#This Row],[Option type
Defined List]],'Option Typs_Grps'!B$2:C$47, 2, FALSE)</f>
        <v>#N/A</v>
      </c>
      <c r="G292" s="1703"/>
      <c r="H292" s="1703"/>
      <c r="I292" s="1703"/>
      <c r="J292" s="1703"/>
      <c r="K292" s="1703"/>
      <c r="L292" s="1703"/>
      <c r="M292" s="1703"/>
      <c r="N292" s="1703"/>
      <c r="O292" s="1703"/>
      <c r="P292" s="1703"/>
      <c r="Q292" s="1703"/>
      <c r="R292" s="1703"/>
      <c r="S292" s="1705"/>
      <c r="T292" s="1705"/>
      <c r="U292" s="1705"/>
      <c r="V292" s="1712"/>
      <c r="W292" s="1705"/>
      <c r="X292" s="1705"/>
      <c r="Y292" s="1705"/>
      <c r="Z292" s="1705"/>
      <c r="AA292" s="1705"/>
      <c r="AB292" s="1712"/>
      <c r="AC292" s="1712"/>
      <c r="AD292" s="1703"/>
      <c r="AE292" s="1705"/>
      <c r="AF292" s="1705"/>
      <c r="AG292" s="1703"/>
      <c r="AH292" s="1703"/>
      <c r="AI292" s="1703"/>
      <c r="AJ292" s="1703"/>
      <c r="AK292" s="1705"/>
      <c r="AL292" s="1705"/>
      <c r="AM292" s="1705"/>
      <c r="AN292" s="1705"/>
      <c r="AO292" s="1705"/>
      <c r="AP292" s="1705"/>
      <c r="AQ292" s="1705"/>
      <c r="AR292" s="1705"/>
      <c r="AS292" s="1705"/>
      <c r="AT292" s="1705"/>
      <c r="AU292" s="1705"/>
      <c r="AV292" s="1705"/>
      <c r="AW292" s="1705"/>
      <c r="AX292" s="1705"/>
      <c r="AY292" s="1705"/>
      <c r="AZ292" s="1705"/>
      <c r="BA292" s="1705"/>
    </row>
    <row r="293" spans="2:53" x14ac:dyDescent="0.2">
      <c r="B293" s="1703" t="e">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#N/A</v>
      </c>
      <c r="C293" s="1703"/>
      <c r="D293" s="1707"/>
      <c r="E293" s="1714"/>
      <c r="F293" s="1703" t="e">
        <f>VLOOKUP(TBL4_OptApp[[#This Row],[Option type
Defined List]],'Option Typs_Grps'!B$2:C$47, 2, FALSE)</f>
        <v>#N/A</v>
      </c>
      <c r="G293" s="1703"/>
      <c r="H293" s="1703"/>
      <c r="I293" s="1703"/>
      <c r="J293" s="1703"/>
      <c r="K293" s="1703"/>
      <c r="L293" s="1703"/>
      <c r="M293" s="1703"/>
      <c r="N293" s="1703"/>
      <c r="O293" s="1703"/>
      <c r="P293" s="1703"/>
      <c r="Q293" s="1703"/>
      <c r="R293" s="1703"/>
      <c r="S293" s="1705"/>
      <c r="T293" s="1705"/>
      <c r="U293" s="1705"/>
      <c r="V293" s="1712"/>
      <c r="W293" s="1705"/>
      <c r="X293" s="1705"/>
      <c r="Y293" s="1705"/>
      <c r="Z293" s="1705"/>
      <c r="AA293" s="1705"/>
      <c r="AB293" s="1712"/>
      <c r="AC293" s="1712"/>
      <c r="AD293" s="1703"/>
      <c r="AE293" s="1705"/>
      <c r="AF293" s="1705"/>
      <c r="AG293" s="1703"/>
      <c r="AH293" s="1703"/>
      <c r="AI293" s="1703"/>
      <c r="AJ293" s="1703"/>
      <c r="AK293" s="1705"/>
      <c r="AL293" s="1705"/>
      <c r="AM293" s="1705"/>
      <c r="AN293" s="1705"/>
      <c r="AO293" s="1705"/>
      <c r="AP293" s="1705"/>
      <c r="AQ293" s="1705"/>
      <c r="AR293" s="1705"/>
      <c r="AS293" s="1705"/>
      <c r="AT293" s="1705"/>
      <c r="AU293" s="1705"/>
      <c r="AV293" s="1705"/>
      <c r="AW293" s="1705"/>
      <c r="AX293" s="1705"/>
      <c r="AY293" s="1705"/>
      <c r="AZ293" s="1705"/>
      <c r="BA293" s="1705"/>
    </row>
    <row r="294" spans="2:53" x14ac:dyDescent="0.2">
      <c r="B294" s="1703" t="e">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#N/A</v>
      </c>
      <c r="C294" s="1703"/>
      <c r="D294" s="1707"/>
      <c r="E294" s="1714"/>
      <c r="F294" s="1703" t="e">
        <f>VLOOKUP(TBL4_OptApp[[#This Row],[Option type
Defined List]],'Option Typs_Grps'!B$2:C$47, 2, FALSE)</f>
        <v>#N/A</v>
      </c>
      <c r="G294" s="1703"/>
      <c r="H294" s="1703"/>
      <c r="I294" s="1703"/>
      <c r="J294" s="1703"/>
      <c r="K294" s="1703"/>
      <c r="L294" s="1703"/>
      <c r="M294" s="1703"/>
      <c r="N294" s="1703"/>
      <c r="O294" s="1703"/>
      <c r="P294" s="1703"/>
      <c r="Q294" s="1703"/>
      <c r="R294" s="1703"/>
      <c r="S294" s="1705"/>
      <c r="T294" s="1705"/>
      <c r="U294" s="1705"/>
      <c r="V294" s="1712"/>
      <c r="W294" s="1705"/>
      <c r="X294" s="1705"/>
      <c r="Y294" s="1705"/>
      <c r="Z294" s="1705"/>
      <c r="AA294" s="1705"/>
      <c r="AB294" s="1712"/>
      <c r="AC294" s="1712"/>
      <c r="AD294" s="1703"/>
      <c r="AE294" s="1705"/>
      <c r="AF294" s="1705"/>
      <c r="AG294" s="1703"/>
      <c r="AH294" s="1703"/>
      <c r="AI294" s="1703"/>
      <c r="AJ294" s="1703"/>
      <c r="AK294" s="1705"/>
      <c r="AL294" s="1705"/>
      <c r="AM294" s="1705"/>
      <c r="AN294" s="1705"/>
      <c r="AO294" s="1705"/>
      <c r="AP294" s="1705"/>
      <c r="AQ294" s="1705"/>
      <c r="AR294" s="1705"/>
      <c r="AS294" s="1705"/>
      <c r="AT294" s="1705"/>
      <c r="AU294" s="1705"/>
      <c r="AV294" s="1705"/>
      <c r="AW294" s="1705"/>
      <c r="AX294" s="1705"/>
      <c r="AY294" s="1705"/>
      <c r="AZ294" s="1705"/>
      <c r="BA294" s="1705"/>
    </row>
    <row r="295" spans="2:53" x14ac:dyDescent="0.2">
      <c r="B295" s="1703" t="e">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#N/A</v>
      </c>
      <c r="C295" s="1703"/>
      <c r="D295" s="1707"/>
      <c r="E295" s="1714"/>
      <c r="F295" s="1703" t="e">
        <f>VLOOKUP(TBL4_OptApp[[#This Row],[Option type
Defined List]],'Option Typs_Grps'!B$2:C$47, 2, FALSE)</f>
        <v>#N/A</v>
      </c>
      <c r="G295" s="1703"/>
      <c r="H295" s="1703"/>
      <c r="I295" s="1703"/>
      <c r="J295" s="1703"/>
      <c r="K295" s="1703"/>
      <c r="L295" s="1703"/>
      <c r="M295" s="1703"/>
      <c r="N295" s="1703"/>
      <c r="O295" s="1703"/>
      <c r="P295" s="1703"/>
      <c r="Q295" s="1703"/>
      <c r="R295" s="1703"/>
      <c r="S295" s="1705"/>
      <c r="T295" s="1705"/>
      <c r="U295" s="1705"/>
      <c r="V295" s="1712"/>
      <c r="W295" s="1705"/>
      <c r="X295" s="1705"/>
      <c r="Y295" s="1705"/>
      <c r="Z295" s="1705"/>
      <c r="AA295" s="1705"/>
      <c r="AB295" s="1712"/>
      <c r="AC295" s="1712"/>
      <c r="AD295" s="1703"/>
      <c r="AE295" s="1705"/>
      <c r="AF295" s="1705"/>
      <c r="AG295" s="1703"/>
      <c r="AH295" s="1703"/>
      <c r="AI295" s="1703"/>
      <c r="AJ295" s="1703"/>
      <c r="AK295" s="1705"/>
      <c r="AL295" s="1705"/>
      <c r="AM295" s="1705"/>
      <c r="AN295" s="1705"/>
      <c r="AO295" s="1705"/>
      <c r="AP295" s="1705"/>
      <c r="AQ295" s="1705"/>
      <c r="AR295" s="1705"/>
      <c r="AS295" s="1705"/>
      <c r="AT295" s="1705"/>
      <c r="AU295" s="1705"/>
      <c r="AV295" s="1705"/>
      <c r="AW295" s="1705"/>
      <c r="AX295" s="1705"/>
      <c r="AY295" s="1705"/>
      <c r="AZ295" s="1705"/>
      <c r="BA295" s="1705"/>
    </row>
    <row r="296" spans="2:53" x14ac:dyDescent="0.2">
      <c r="B296" s="1703" t="e">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#N/A</v>
      </c>
      <c r="C296" s="1703"/>
      <c r="D296" s="1707"/>
      <c r="E296" s="1714"/>
      <c r="F296" s="1703" t="e">
        <f>VLOOKUP(TBL4_OptApp[[#This Row],[Option type
Defined List]],'Option Typs_Grps'!B$2:C$47, 2, FALSE)</f>
        <v>#N/A</v>
      </c>
      <c r="G296" s="1703"/>
      <c r="H296" s="1703"/>
      <c r="I296" s="1703"/>
      <c r="J296" s="1703"/>
      <c r="K296" s="1703"/>
      <c r="L296" s="1703"/>
      <c r="M296" s="1703"/>
      <c r="N296" s="1703"/>
      <c r="O296" s="1703"/>
      <c r="P296" s="1703"/>
      <c r="Q296" s="1703"/>
      <c r="R296" s="1703"/>
      <c r="S296" s="1705"/>
      <c r="T296" s="1705"/>
      <c r="U296" s="1705"/>
      <c r="V296" s="1712"/>
      <c r="W296" s="1705"/>
      <c r="X296" s="1705"/>
      <c r="Y296" s="1705"/>
      <c r="Z296" s="1705"/>
      <c r="AA296" s="1705"/>
      <c r="AB296" s="1712"/>
      <c r="AC296" s="1712"/>
      <c r="AD296" s="1703"/>
      <c r="AE296" s="1705"/>
      <c r="AF296" s="1705"/>
      <c r="AG296" s="1703"/>
      <c r="AH296" s="1703"/>
      <c r="AI296" s="1703"/>
      <c r="AJ296" s="1703"/>
      <c r="AK296" s="1705"/>
      <c r="AL296" s="1705"/>
      <c r="AM296" s="1705"/>
      <c r="AN296" s="1705"/>
      <c r="AO296" s="1705"/>
      <c r="AP296" s="1705"/>
      <c r="AQ296" s="1705"/>
      <c r="AR296" s="1705"/>
      <c r="AS296" s="1705"/>
      <c r="AT296" s="1705"/>
      <c r="AU296" s="1705"/>
      <c r="AV296" s="1705"/>
      <c r="AW296" s="1705"/>
      <c r="AX296" s="1705"/>
      <c r="AY296" s="1705"/>
      <c r="AZ296" s="1705"/>
      <c r="BA296" s="1705"/>
    </row>
    <row r="297" spans="2:53" x14ac:dyDescent="0.2">
      <c r="B297" s="1703" t="e">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#N/A</v>
      </c>
      <c r="C297" s="1703"/>
      <c r="D297" s="1707"/>
      <c r="E297" s="1714"/>
      <c r="F297" s="1703" t="e">
        <f>VLOOKUP(TBL4_OptApp[[#This Row],[Option type
Defined List]],'Option Typs_Grps'!B$2:C$47, 2, FALSE)</f>
        <v>#N/A</v>
      </c>
      <c r="G297" s="1703"/>
      <c r="H297" s="1703"/>
      <c r="I297" s="1703"/>
      <c r="J297" s="1703"/>
      <c r="K297" s="1703"/>
      <c r="L297" s="1703"/>
      <c r="M297" s="1703"/>
      <c r="N297" s="1703"/>
      <c r="O297" s="1703"/>
      <c r="P297" s="1703"/>
      <c r="Q297" s="1703"/>
      <c r="R297" s="1703"/>
      <c r="S297" s="1705"/>
      <c r="T297" s="1705"/>
      <c r="U297" s="1705"/>
      <c r="V297" s="1712"/>
      <c r="W297" s="1705"/>
      <c r="X297" s="1705"/>
      <c r="Y297" s="1705"/>
      <c r="Z297" s="1705"/>
      <c r="AA297" s="1705"/>
      <c r="AB297" s="1712"/>
      <c r="AC297" s="1712"/>
      <c r="AD297" s="1703"/>
      <c r="AE297" s="1705"/>
      <c r="AF297" s="1705"/>
      <c r="AG297" s="1703"/>
      <c r="AH297" s="1703"/>
      <c r="AI297" s="1703"/>
      <c r="AJ297" s="1703"/>
      <c r="AK297" s="1705"/>
      <c r="AL297" s="1705"/>
      <c r="AM297" s="1705"/>
      <c r="AN297" s="1705"/>
      <c r="AO297" s="1705"/>
      <c r="AP297" s="1705"/>
      <c r="AQ297" s="1705"/>
      <c r="AR297" s="1705"/>
      <c r="AS297" s="1705"/>
      <c r="AT297" s="1705"/>
      <c r="AU297" s="1705"/>
      <c r="AV297" s="1705"/>
      <c r="AW297" s="1705"/>
      <c r="AX297" s="1705"/>
      <c r="AY297" s="1705"/>
      <c r="AZ297" s="1705"/>
      <c r="BA297" s="1705"/>
    </row>
    <row r="298" spans="2:53" x14ac:dyDescent="0.2">
      <c r="B298" s="1703" t="e">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#N/A</v>
      </c>
      <c r="C298" s="1703"/>
      <c r="D298" s="1707"/>
      <c r="E298" s="1714"/>
      <c r="F298" s="1703" t="e">
        <f>VLOOKUP(TBL4_OptApp[[#This Row],[Option type
Defined List]],'Option Typs_Grps'!B$2:C$47, 2, FALSE)</f>
        <v>#N/A</v>
      </c>
      <c r="G298" s="1703"/>
      <c r="H298" s="1703"/>
      <c r="I298" s="1703"/>
      <c r="J298" s="1703"/>
      <c r="K298" s="1703"/>
      <c r="L298" s="1703"/>
      <c r="M298" s="1703"/>
      <c r="N298" s="1703"/>
      <c r="O298" s="1703"/>
      <c r="P298" s="1703"/>
      <c r="Q298" s="1703"/>
      <c r="R298" s="1703"/>
      <c r="S298" s="1705"/>
      <c r="T298" s="1705"/>
      <c r="U298" s="1705"/>
      <c r="V298" s="1712"/>
      <c r="W298" s="1705"/>
      <c r="X298" s="1705"/>
      <c r="Y298" s="1705"/>
      <c r="Z298" s="1705"/>
      <c r="AA298" s="1705"/>
      <c r="AB298" s="1712"/>
      <c r="AC298" s="1712"/>
      <c r="AD298" s="1703"/>
      <c r="AE298" s="1705"/>
      <c r="AF298" s="1705"/>
      <c r="AG298" s="1703"/>
      <c r="AH298" s="1703"/>
      <c r="AI298" s="1703"/>
      <c r="AJ298" s="1703"/>
      <c r="AK298" s="1705"/>
      <c r="AL298" s="1705"/>
      <c r="AM298" s="1705"/>
      <c r="AN298" s="1705"/>
      <c r="AO298" s="1705"/>
      <c r="AP298" s="1705"/>
      <c r="AQ298" s="1705"/>
      <c r="AR298" s="1705"/>
      <c r="AS298" s="1705"/>
      <c r="AT298" s="1705"/>
      <c r="AU298" s="1705"/>
      <c r="AV298" s="1705"/>
      <c r="AW298" s="1705"/>
      <c r="AX298" s="1705"/>
      <c r="AY298" s="1705"/>
      <c r="AZ298" s="1705"/>
      <c r="BA298" s="1705"/>
    </row>
    <row r="299" spans="2:53" x14ac:dyDescent="0.2">
      <c r="B299" s="1703" t="e">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#N/A</v>
      </c>
      <c r="C299" s="1703"/>
      <c r="D299" s="1707"/>
      <c r="E299" s="1714"/>
      <c r="F299" s="1703" t="e">
        <f>VLOOKUP(TBL4_OptApp[[#This Row],[Option type
Defined List]],'Option Typs_Grps'!B$2:C$47, 2, FALSE)</f>
        <v>#N/A</v>
      </c>
      <c r="G299" s="1703"/>
      <c r="H299" s="1703"/>
      <c r="I299" s="1703"/>
      <c r="J299" s="1703"/>
      <c r="K299" s="1703"/>
      <c r="L299" s="1703"/>
      <c r="M299" s="1703"/>
      <c r="N299" s="1703"/>
      <c r="O299" s="1703"/>
      <c r="P299" s="1703"/>
      <c r="Q299" s="1703"/>
      <c r="R299" s="1703"/>
      <c r="S299" s="1705"/>
      <c r="T299" s="1705"/>
      <c r="U299" s="1705"/>
      <c r="V299" s="1712"/>
      <c r="W299" s="1705"/>
      <c r="X299" s="1705"/>
      <c r="Y299" s="1705"/>
      <c r="Z299" s="1705"/>
      <c r="AA299" s="1705"/>
      <c r="AB299" s="1712"/>
      <c r="AC299" s="1712"/>
      <c r="AD299" s="1703"/>
      <c r="AE299" s="1705"/>
      <c r="AF299" s="1705"/>
      <c r="AG299" s="1703"/>
      <c r="AH299" s="1703"/>
      <c r="AI299" s="1703"/>
      <c r="AJ299" s="1703"/>
      <c r="AK299" s="1705"/>
      <c r="AL299" s="1705"/>
      <c r="AM299" s="1705"/>
      <c r="AN299" s="1705"/>
      <c r="AO299" s="1705"/>
      <c r="AP299" s="1705"/>
      <c r="AQ299" s="1705"/>
      <c r="AR299" s="1705"/>
      <c r="AS299" s="1705"/>
      <c r="AT299" s="1705"/>
      <c r="AU299" s="1705"/>
      <c r="AV299" s="1705"/>
      <c r="AW299" s="1705"/>
      <c r="AX299" s="1705"/>
      <c r="AY299" s="1705"/>
      <c r="AZ299" s="1705"/>
      <c r="BA299" s="1705"/>
    </row>
    <row r="300" spans="2:53" x14ac:dyDescent="0.2">
      <c r="B300" s="1703" t="e">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#N/A</v>
      </c>
      <c r="C300" s="1703"/>
      <c r="D300" s="1707"/>
      <c r="E300" s="1714"/>
      <c r="F300" s="1703" t="e">
        <f>VLOOKUP(TBL4_OptApp[[#This Row],[Option type
Defined List]],'Option Typs_Grps'!B$2:C$47, 2, FALSE)</f>
        <v>#N/A</v>
      </c>
      <c r="G300" s="1703"/>
      <c r="H300" s="1703"/>
      <c r="I300" s="1703"/>
      <c r="J300" s="1703"/>
      <c r="K300" s="1703"/>
      <c r="L300" s="1703"/>
      <c r="M300" s="1703"/>
      <c r="N300" s="1703"/>
      <c r="O300" s="1703"/>
      <c r="P300" s="1703"/>
      <c r="Q300" s="1703"/>
      <c r="R300" s="1703"/>
      <c r="S300" s="1705"/>
      <c r="T300" s="1705"/>
      <c r="U300" s="1705"/>
      <c r="V300" s="1712"/>
      <c r="W300" s="1705"/>
      <c r="X300" s="1705"/>
      <c r="Y300" s="1705"/>
      <c r="Z300" s="1705"/>
      <c r="AA300" s="1705"/>
      <c r="AB300" s="1712"/>
      <c r="AC300" s="1712"/>
      <c r="AD300" s="1703"/>
      <c r="AE300" s="1705"/>
      <c r="AF300" s="1705"/>
      <c r="AG300" s="1703"/>
      <c r="AH300" s="1703"/>
      <c r="AI300" s="1703"/>
      <c r="AJ300" s="1703"/>
      <c r="AK300" s="1705"/>
      <c r="AL300" s="1705"/>
      <c r="AM300" s="1705"/>
      <c r="AN300" s="1705"/>
      <c r="AO300" s="1705"/>
      <c r="AP300" s="1705"/>
      <c r="AQ300" s="1705"/>
      <c r="AR300" s="1705"/>
      <c r="AS300" s="1705"/>
      <c r="AT300" s="1705"/>
      <c r="AU300" s="1705"/>
      <c r="AV300" s="1705"/>
      <c r="AW300" s="1705"/>
      <c r="AX300" s="1705"/>
      <c r="AY300" s="1705"/>
      <c r="AZ300" s="1705"/>
      <c r="BA300" s="1705"/>
    </row>
    <row r="301" spans="2:53" x14ac:dyDescent="0.2">
      <c r="B301" s="1703" t="e">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#N/A</v>
      </c>
      <c r="C301" s="1703"/>
      <c r="D301" s="1707"/>
      <c r="E301" s="1714"/>
      <c r="F301" s="1703" t="e">
        <f>VLOOKUP(TBL4_OptApp[[#This Row],[Option type
Defined List]],'Option Typs_Grps'!B$2:C$47, 2, FALSE)</f>
        <v>#N/A</v>
      </c>
      <c r="G301" s="1703"/>
      <c r="H301" s="1703"/>
      <c r="I301" s="1703"/>
      <c r="J301" s="1703"/>
      <c r="K301" s="1703"/>
      <c r="L301" s="1703"/>
      <c r="M301" s="1703"/>
      <c r="N301" s="1703"/>
      <c r="O301" s="1703"/>
      <c r="P301" s="1703"/>
      <c r="Q301" s="1703"/>
      <c r="R301" s="1703"/>
      <c r="S301" s="1705"/>
      <c r="T301" s="1705"/>
      <c r="U301" s="1705"/>
      <c r="V301" s="1712"/>
      <c r="W301" s="1705"/>
      <c r="X301" s="1705"/>
      <c r="Y301" s="1705"/>
      <c r="Z301" s="1705"/>
      <c r="AA301" s="1705"/>
      <c r="AB301" s="1712"/>
      <c r="AC301" s="1712"/>
      <c r="AD301" s="1703"/>
      <c r="AE301" s="1705"/>
      <c r="AF301" s="1705"/>
      <c r="AG301" s="1703"/>
      <c r="AH301" s="1703"/>
      <c r="AI301" s="1703"/>
      <c r="AJ301" s="1703"/>
      <c r="AK301" s="1705"/>
      <c r="AL301" s="1705"/>
      <c r="AM301" s="1705"/>
      <c r="AN301" s="1705"/>
      <c r="AO301" s="1705"/>
      <c r="AP301" s="1705"/>
      <c r="AQ301" s="1705"/>
      <c r="AR301" s="1705"/>
      <c r="AS301" s="1705"/>
      <c r="AT301" s="1705"/>
      <c r="AU301" s="1705"/>
      <c r="AV301" s="1705"/>
      <c r="AW301" s="1705"/>
      <c r="AX301" s="1705"/>
      <c r="AY301" s="1705"/>
      <c r="AZ301" s="1705"/>
      <c r="BA301" s="1705"/>
    </row>
    <row r="302" spans="2:53" x14ac:dyDescent="0.2">
      <c r="B302" s="1703" t="e">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#N/A</v>
      </c>
      <c r="C302" s="1703"/>
      <c r="D302" s="1707"/>
      <c r="E302" s="1714"/>
      <c r="F302" s="1703" t="e">
        <f>VLOOKUP(TBL4_OptApp[[#This Row],[Option type
Defined List]],'Option Typs_Grps'!B$2:C$47, 2, FALSE)</f>
        <v>#N/A</v>
      </c>
      <c r="G302" s="1703"/>
      <c r="H302" s="1703"/>
      <c r="I302" s="1703"/>
      <c r="J302" s="1703"/>
      <c r="K302" s="1703"/>
      <c r="L302" s="1703"/>
      <c r="M302" s="1703"/>
      <c r="N302" s="1703"/>
      <c r="O302" s="1703"/>
      <c r="P302" s="1703"/>
      <c r="Q302" s="1703"/>
      <c r="R302" s="1703"/>
      <c r="S302" s="1705"/>
      <c r="T302" s="1705"/>
      <c r="U302" s="1705"/>
      <c r="V302" s="1712"/>
      <c r="W302" s="1705"/>
      <c r="X302" s="1705"/>
      <c r="Y302" s="1705"/>
      <c r="Z302" s="1705"/>
      <c r="AA302" s="1705"/>
      <c r="AB302" s="1712"/>
      <c r="AC302" s="1712"/>
      <c r="AD302" s="1703"/>
      <c r="AE302" s="1705"/>
      <c r="AF302" s="1705"/>
      <c r="AG302" s="1703"/>
      <c r="AH302" s="1703"/>
      <c r="AI302" s="1703"/>
      <c r="AJ302" s="1703"/>
      <c r="AK302" s="1705"/>
      <c r="AL302" s="1705"/>
      <c r="AM302" s="1705"/>
      <c r="AN302" s="1705"/>
      <c r="AO302" s="1705"/>
      <c r="AP302" s="1705"/>
      <c r="AQ302" s="1705"/>
      <c r="AR302" s="1705"/>
      <c r="AS302" s="1705"/>
      <c r="AT302" s="1705"/>
      <c r="AU302" s="1705"/>
      <c r="AV302" s="1705"/>
      <c r="AW302" s="1705"/>
      <c r="AX302" s="1705"/>
      <c r="AY302" s="1705"/>
      <c r="AZ302" s="1705"/>
      <c r="BA302" s="1705"/>
    </row>
    <row r="303" spans="2:53" x14ac:dyDescent="0.2">
      <c r="B303" s="1703" t="e">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#N/A</v>
      </c>
      <c r="C303" s="1703"/>
      <c r="D303" s="1707"/>
      <c r="E303" s="1714"/>
      <c r="F303" s="1703" t="e">
        <f>VLOOKUP(TBL4_OptApp[[#This Row],[Option type
Defined List]],'Option Typs_Grps'!B$2:C$47, 2, FALSE)</f>
        <v>#N/A</v>
      </c>
      <c r="G303" s="1703"/>
      <c r="H303" s="1703"/>
      <c r="I303" s="1703"/>
      <c r="J303" s="1703"/>
      <c r="K303" s="1703"/>
      <c r="L303" s="1703"/>
      <c r="M303" s="1703"/>
      <c r="N303" s="1703"/>
      <c r="O303" s="1703"/>
      <c r="P303" s="1703"/>
      <c r="Q303" s="1703"/>
      <c r="R303" s="1703"/>
      <c r="S303" s="1705"/>
      <c r="T303" s="1705"/>
      <c r="U303" s="1705"/>
      <c r="V303" s="1712"/>
      <c r="W303" s="1705"/>
      <c r="X303" s="1705"/>
      <c r="Y303" s="1705"/>
      <c r="Z303" s="1705"/>
      <c r="AA303" s="1705"/>
      <c r="AB303" s="1712"/>
      <c r="AC303" s="1712"/>
      <c r="AD303" s="1703"/>
      <c r="AE303" s="1705"/>
      <c r="AF303" s="1705"/>
      <c r="AG303" s="1703"/>
      <c r="AH303" s="1703"/>
      <c r="AI303" s="1703"/>
      <c r="AJ303" s="1703"/>
      <c r="AK303" s="1705"/>
      <c r="AL303" s="1705"/>
      <c r="AM303" s="1705"/>
      <c r="AN303" s="1705"/>
      <c r="AO303" s="1705"/>
      <c r="AP303" s="1705"/>
      <c r="AQ303" s="1705"/>
      <c r="AR303" s="1705"/>
      <c r="AS303" s="1705"/>
      <c r="AT303" s="1705"/>
      <c r="AU303" s="1705"/>
      <c r="AV303" s="1705"/>
      <c r="AW303" s="1705"/>
      <c r="AX303" s="1705"/>
      <c r="AY303" s="1705"/>
      <c r="AZ303" s="1705"/>
      <c r="BA303" s="1705"/>
    </row>
    <row r="304" spans="2:53" x14ac:dyDescent="0.2">
      <c r="B304" s="1703" t="e">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#N/A</v>
      </c>
      <c r="C304" s="1703"/>
      <c r="D304" s="1707"/>
      <c r="E304" s="1714"/>
      <c r="F304" s="1703" t="e">
        <f>VLOOKUP(TBL4_OptApp[[#This Row],[Option type
Defined List]],'Option Typs_Grps'!B$2:C$47, 2, FALSE)</f>
        <v>#N/A</v>
      </c>
      <c r="G304" s="1703"/>
      <c r="H304" s="1703"/>
      <c r="I304" s="1703"/>
      <c r="J304" s="1703"/>
      <c r="K304" s="1703"/>
      <c r="L304" s="1703"/>
      <c r="M304" s="1703"/>
      <c r="N304" s="1703"/>
      <c r="O304" s="1703"/>
      <c r="P304" s="1703"/>
      <c r="Q304" s="1703"/>
      <c r="R304" s="1703"/>
      <c r="S304" s="1705"/>
      <c r="T304" s="1705"/>
      <c r="U304" s="1705"/>
      <c r="V304" s="1712"/>
      <c r="W304" s="1705"/>
      <c r="X304" s="1705"/>
      <c r="Y304" s="1705"/>
      <c r="Z304" s="1705"/>
      <c r="AA304" s="1705"/>
      <c r="AB304" s="1712"/>
      <c r="AC304" s="1712"/>
      <c r="AD304" s="1703"/>
      <c r="AE304" s="1705"/>
      <c r="AF304" s="1705"/>
      <c r="AG304" s="1703"/>
      <c r="AH304" s="1703"/>
      <c r="AI304" s="1703"/>
      <c r="AJ304" s="1703"/>
      <c r="AK304" s="1705"/>
      <c r="AL304" s="1705"/>
      <c r="AM304" s="1705"/>
      <c r="AN304" s="1705"/>
      <c r="AO304" s="1705"/>
      <c r="AP304" s="1705"/>
      <c r="AQ304" s="1705"/>
      <c r="AR304" s="1705"/>
      <c r="AS304" s="1705"/>
      <c r="AT304" s="1705"/>
      <c r="AU304" s="1705"/>
      <c r="AV304" s="1705"/>
      <c r="AW304" s="1705"/>
      <c r="AX304" s="1705"/>
      <c r="AY304" s="1705"/>
      <c r="AZ304" s="1705"/>
      <c r="BA304" s="1705"/>
    </row>
    <row r="305" spans="2:53" x14ac:dyDescent="0.2">
      <c r="B305" s="1703" t="e">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#N/A</v>
      </c>
      <c r="C305" s="1703"/>
      <c r="D305" s="1707"/>
      <c r="E305" s="1714"/>
      <c r="F305" s="1703" t="e">
        <f>VLOOKUP(TBL4_OptApp[[#This Row],[Option type
Defined List]],'Option Typs_Grps'!B$2:C$47, 2, FALSE)</f>
        <v>#N/A</v>
      </c>
      <c r="G305" s="1703"/>
      <c r="H305" s="1703"/>
      <c r="I305" s="1703"/>
      <c r="J305" s="1703"/>
      <c r="K305" s="1703"/>
      <c r="L305" s="1703"/>
      <c r="M305" s="1703"/>
      <c r="N305" s="1703"/>
      <c r="O305" s="1703"/>
      <c r="P305" s="1703"/>
      <c r="Q305" s="1703"/>
      <c r="R305" s="1703"/>
      <c r="S305" s="1705"/>
      <c r="T305" s="1705"/>
      <c r="U305" s="1705"/>
      <c r="V305" s="1712"/>
      <c r="W305" s="1705"/>
      <c r="X305" s="1705"/>
      <c r="Y305" s="1705"/>
      <c r="Z305" s="1705"/>
      <c r="AA305" s="1705"/>
      <c r="AB305" s="1712"/>
      <c r="AC305" s="1712"/>
      <c r="AD305" s="1703"/>
      <c r="AE305" s="1705"/>
      <c r="AF305" s="1705"/>
      <c r="AG305" s="1703"/>
      <c r="AH305" s="1703"/>
      <c r="AI305" s="1703"/>
      <c r="AJ305" s="1703"/>
      <c r="AK305" s="1705"/>
      <c r="AL305" s="1705"/>
      <c r="AM305" s="1705"/>
      <c r="AN305" s="1705"/>
      <c r="AO305" s="1705"/>
      <c r="AP305" s="1705"/>
      <c r="AQ305" s="1705"/>
      <c r="AR305" s="1705"/>
      <c r="AS305" s="1705"/>
      <c r="AT305" s="1705"/>
      <c r="AU305" s="1705"/>
      <c r="AV305" s="1705"/>
      <c r="AW305" s="1705"/>
      <c r="AX305" s="1705"/>
      <c r="AY305" s="1705"/>
      <c r="AZ305" s="1705"/>
      <c r="BA305" s="1705"/>
    </row>
    <row r="306" spans="2:53" x14ac:dyDescent="0.2">
      <c r="B306" s="1703" t="e">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#N/A</v>
      </c>
      <c r="C306" s="1703"/>
      <c r="D306" s="1707"/>
      <c r="E306" s="1714"/>
      <c r="F306" s="1703" t="e">
        <f>VLOOKUP(TBL4_OptApp[[#This Row],[Option type
Defined List]],'Option Typs_Grps'!B$2:C$47, 2, FALSE)</f>
        <v>#N/A</v>
      </c>
      <c r="G306" s="1703"/>
      <c r="H306" s="1703"/>
      <c r="I306" s="1703"/>
      <c r="J306" s="1703"/>
      <c r="K306" s="1703"/>
      <c r="L306" s="1703"/>
      <c r="M306" s="1703"/>
      <c r="N306" s="1703"/>
      <c r="O306" s="1703"/>
      <c r="P306" s="1703"/>
      <c r="Q306" s="1703"/>
      <c r="R306" s="1703"/>
      <c r="S306" s="1705"/>
      <c r="T306" s="1705"/>
      <c r="U306" s="1705"/>
      <c r="V306" s="1712"/>
      <c r="W306" s="1705"/>
      <c r="X306" s="1705"/>
      <c r="Y306" s="1705"/>
      <c r="Z306" s="1705"/>
      <c r="AA306" s="1705"/>
      <c r="AB306" s="1712"/>
      <c r="AC306" s="1712"/>
      <c r="AD306" s="1703"/>
      <c r="AE306" s="1705"/>
      <c r="AF306" s="1705"/>
      <c r="AG306" s="1703"/>
      <c r="AH306" s="1703"/>
      <c r="AI306" s="1703"/>
      <c r="AJ306" s="1703"/>
      <c r="AK306" s="1705"/>
      <c r="AL306" s="1705"/>
      <c r="AM306" s="1705"/>
      <c r="AN306" s="1705"/>
      <c r="AO306" s="1705"/>
      <c r="AP306" s="1705"/>
      <c r="AQ306" s="1705"/>
      <c r="AR306" s="1705"/>
      <c r="AS306" s="1705"/>
      <c r="AT306" s="1705"/>
      <c r="AU306" s="1705"/>
      <c r="AV306" s="1705"/>
      <c r="AW306" s="1705"/>
      <c r="AX306" s="1705"/>
      <c r="AY306" s="1705"/>
      <c r="AZ306" s="1705"/>
      <c r="BA306" s="1705"/>
    </row>
    <row r="307" spans="2:53" x14ac:dyDescent="0.2">
      <c r="B307" s="1703" t="e">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#N/A</v>
      </c>
      <c r="C307" s="1703"/>
      <c r="D307" s="1707"/>
      <c r="E307" s="1714"/>
      <c r="F307" s="1703" t="e">
        <f>VLOOKUP(TBL4_OptApp[[#This Row],[Option type
Defined List]],'Option Typs_Grps'!B$2:C$47, 2, FALSE)</f>
        <v>#N/A</v>
      </c>
      <c r="G307" s="1703"/>
      <c r="H307" s="1703"/>
      <c r="I307" s="1703"/>
      <c r="J307" s="1703"/>
      <c r="K307" s="1703"/>
      <c r="L307" s="1703"/>
      <c r="M307" s="1703"/>
      <c r="N307" s="1703"/>
      <c r="O307" s="1703"/>
      <c r="P307" s="1703"/>
      <c r="Q307" s="1703"/>
      <c r="R307" s="1703"/>
      <c r="S307" s="1705"/>
      <c r="T307" s="1705"/>
      <c r="U307" s="1705"/>
      <c r="V307" s="1712"/>
      <c r="W307" s="1705"/>
      <c r="X307" s="1705"/>
      <c r="Y307" s="1705"/>
      <c r="Z307" s="1705"/>
      <c r="AA307" s="1705"/>
      <c r="AB307" s="1712"/>
      <c r="AC307" s="1712"/>
      <c r="AD307" s="1703"/>
      <c r="AE307" s="1705"/>
      <c r="AF307" s="1705"/>
      <c r="AG307" s="1703"/>
      <c r="AH307" s="1703"/>
      <c r="AI307" s="1703"/>
      <c r="AJ307" s="1703"/>
      <c r="AK307" s="1705"/>
      <c r="AL307" s="1705"/>
      <c r="AM307" s="1705"/>
      <c r="AN307" s="1705"/>
      <c r="AO307" s="1705"/>
      <c r="AP307" s="1705"/>
      <c r="AQ307" s="1705"/>
      <c r="AR307" s="1705"/>
      <c r="AS307" s="1705"/>
      <c r="AT307" s="1705"/>
      <c r="AU307" s="1705"/>
      <c r="AV307" s="1705"/>
      <c r="AW307" s="1705"/>
      <c r="AX307" s="1705"/>
      <c r="AY307" s="1705"/>
      <c r="AZ307" s="1705"/>
      <c r="BA307" s="1705"/>
    </row>
    <row r="308" spans="2:53" x14ac:dyDescent="0.2">
      <c r="B308" s="1703" t="e">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#N/A</v>
      </c>
      <c r="C308" s="1703"/>
      <c r="D308" s="1707"/>
      <c r="E308" s="1714"/>
      <c r="F308" s="1703" t="e">
        <f>VLOOKUP(TBL4_OptApp[[#This Row],[Option type
Defined List]],'Option Typs_Grps'!B$2:C$47, 2, FALSE)</f>
        <v>#N/A</v>
      </c>
      <c r="G308" s="1703"/>
      <c r="H308" s="1703"/>
      <c r="I308" s="1703"/>
      <c r="J308" s="1703"/>
      <c r="K308" s="1703"/>
      <c r="L308" s="1703"/>
      <c r="M308" s="1703"/>
      <c r="N308" s="1703"/>
      <c r="O308" s="1703"/>
      <c r="P308" s="1703"/>
      <c r="Q308" s="1703"/>
      <c r="R308" s="1703"/>
      <c r="S308" s="1705"/>
      <c r="T308" s="1705"/>
      <c r="U308" s="1705"/>
      <c r="V308" s="1712"/>
      <c r="W308" s="1705"/>
      <c r="X308" s="1705"/>
      <c r="Y308" s="1705"/>
      <c r="Z308" s="1705"/>
      <c r="AA308" s="1705"/>
      <c r="AB308" s="1712"/>
      <c r="AC308" s="1712"/>
      <c r="AD308" s="1703"/>
      <c r="AE308" s="1705"/>
      <c r="AF308" s="1705"/>
      <c r="AG308" s="1703"/>
      <c r="AH308" s="1703"/>
      <c r="AI308" s="1703"/>
      <c r="AJ308" s="1703"/>
      <c r="AK308" s="1705"/>
      <c r="AL308" s="1705"/>
      <c r="AM308" s="1705"/>
      <c r="AN308" s="1705"/>
      <c r="AO308" s="1705"/>
      <c r="AP308" s="1705"/>
      <c r="AQ308" s="1705"/>
      <c r="AR308" s="1705"/>
      <c r="AS308" s="1705"/>
      <c r="AT308" s="1705"/>
      <c r="AU308" s="1705"/>
      <c r="AV308" s="1705"/>
      <c r="AW308" s="1705"/>
      <c r="AX308" s="1705"/>
      <c r="AY308" s="1705"/>
      <c r="AZ308" s="1705"/>
      <c r="BA308" s="1705"/>
    </row>
    <row r="309" spans="2:53" x14ac:dyDescent="0.2">
      <c r="B309" s="1703" t="e">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#N/A</v>
      </c>
      <c r="C309" s="1703"/>
      <c r="D309" s="1707"/>
      <c r="E309" s="1714"/>
      <c r="F309" s="1703" t="e">
        <f>VLOOKUP(TBL4_OptApp[[#This Row],[Option type
Defined List]],'Option Typs_Grps'!B$2:C$47, 2, FALSE)</f>
        <v>#N/A</v>
      </c>
      <c r="G309" s="1703"/>
      <c r="H309" s="1703"/>
      <c r="I309" s="1703"/>
      <c r="J309" s="1703"/>
      <c r="K309" s="1703"/>
      <c r="L309" s="1703"/>
      <c r="M309" s="1703"/>
      <c r="N309" s="1703"/>
      <c r="O309" s="1703"/>
      <c r="P309" s="1703"/>
      <c r="Q309" s="1703"/>
      <c r="R309" s="1703"/>
      <c r="S309" s="1705"/>
      <c r="T309" s="1705"/>
      <c r="U309" s="1705"/>
      <c r="V309" s="1712"/>
      <c r="W309" s="1705"/>
      <c r="X309" s="1705"/>
      <c r="Y309" s="1705"/>
      <c r="Z309" s="1705"/>
      <c r="AA309" s="1705"/>
      <c r="AB309" s="1712"/>
      <c r="AC309" s="1712"/>
      <c r="AD309" s="1703"/>
      <c r="AE309" s="1705"/>
      <c r="AF309" s="1705"/>
      <c r="AG309" s="1703"/>
      <c r="AH309" s="1703"/>
      <c r="AI309" s="1703"/>
      <c r="AJ309" s="1703"/>
      <c r="AK309" s="1705"/>
      <c r="AL309" s="1705"/>
      <c r="AM309" s="1705"/>
      <c r="AN309" s="1705"/>
      <c r="AO309" s="1705"/>
      <c r="AP309" s="1705"/>
      <c r="AQ309" s="1705"/>
      <c r="AR309" s="1705"/>
      <c r="AS309" s="1705"/>
      <c r="AT309" s="1705"/>
      <c r="AU309" s="1705"/>
      <c r="AV309" s="1705"/>
      <c r="AW309" s="1705"/>
      <c r="AX309" s="1705"/>
      <c r="AY309" s="1705"/>
      <c r="AZ309" s="1705"/>
      <c r="BA309" s="1705"/>
    </row>
    <row r="310" spans="2:53" x14ac:dyDescent="0.2">
      <c r="B310" s="1703" t="e">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#N/A</v>
      </c>
      <c r="C310" s="1703"/>
      <c r="D310" s="1707"/>
      <c r="E310" s="1714"/>
      <c r="F310" s="1703" t="e">
        <f>VLOOKUP(TBL4_OptApp[[#This Row],[Option type
Defined List]],'Option Typs_Grps'!B$2:C$47, 2, FALSE)</f>
        <v>#N/A</v>
      </c>
      <c r="G310" s="1703"/>
      <c r="H310" s="1703"/>
      <c r="I310" s="1703"/>
      <c r="J310" s="1703"/>
      <c r="K310" s="1703"/>
      <c r="L310" s="1703"/>
      <c r="M310" s="1703"/>
      <c r="N310" s="1703"/>
      <c r="O310" s="1703"/>
      <c r="P310" s="1703"/>
      <c r="Q310" s="1703"/>
      <c r="R310" s="1703"/>
      <c r="S310" s="1705"/>
      <c r="T310" s="1705"/>
      <c r="U310" s="1705"/>
      <c r="V310" s="1712"/>
      <c r="W310" s="1705"/>
      <c r="X310" s="1705"/>
      <c r="Y310" s="1705"/>
      <c r="Z310" s="1705"/>
      <c r="AA310" s="1705"/>
      <c r="AB310" s="1712"/>
      <c r="AC310" s="1712"/>
      <c r="AD310" s="1703"/>
      <c r="AE310" s="1705"/>
      <c r="AF310" s="1705"/>
      <c r="AG310" s="1703"/>
      <c r="AH310" s="1703"/>
      <c r="AI310" s="1703"/>
      <c r="AJ310" s="1703"/>
      <c r="AK310" s="1705"/>
      <c r="AL310" s="1705"/>
      <c r="AM310" s="1705"/>
      <c r="AN310" s="1705"/>
      <c r="AO310" s="1705"/>
      <c r="AP310" s="1705"/>
      <c r="AQ310" s="1705"/>
      <c r="AR310" s="1705"/>
      <c r="AS310" s="1705"/>
      <c r="AT310" s="1705"/>
      <c r="AU310" s="1705"/>
      <c r="AV310" s="1705"/>
      <c r="AW310" s="1705"/>
      <c r="AX310" s="1705"/>
      <c r="AY310" s="1705"/>
      <c r="AZ310" s="1705"/>
      <c r="BA310" s="1705"/>
    </row>
    <row r="311" spans="2:53" x14ac:dyDescent="0.2">
      <c r="B311" s="1703" t="e">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#N/A</v>
      </c>
      <c r="C311" s="1703"/>
      <c r="D311" s="1707"/>
      <c r="E311" s="1714"/>
      <c r="F311" s="1703" t="e">
        <f>VLOOKUP(TBL4_OptApp[[#This Row],[Option type
Defined List]],'Option Typs_Grps'!B$2:C$47, 2, FALSE)</f>
        <v>#N/A</v>
      </c>
      <c r="G311" s="1703"/>
      <c r="H311" s="1703"/>
      <c r="I311" s="1703"/>
      <c r="J311" s="1703"/>
      <c r="K311" s="1703"/>
      <c r="L311" s="1703"/>
      <c r="M311" s="1703"/>
      <c r="N311" s="1703"/>
      <c r="O311" s="1703"/>
      <c r="P311" s="1703"/>
      <c r="Q311" s="1703"/>
      <c r="R311" s="1703"/>
      <c r="S311" s="1705"/>
      <c r="T311" s="1705"/>
      <c r="U311" s="1705"/>
      <c r="V311" s="1712"/>
      <c r="W311" s="1705"/>
      <c r="X311" s="1705"/>
      <c r="Y311" s="1705"/>
      <c r="Z311" s="1705"/>
      <c r="AA311" s="1705"/>
      <c r="AB311" s="1712"/>
      <c r="AC311" s="1712"/>
      <c r="AD311" s="1703"/>
      <c r="AE311" s="1705"/>
      <c r="AF311" s="1705"/>
      <c r="AG311" s="1703"/>
      <c r="AH311" s="1703"/>
      <c r="AI311" s="1703"/>
      <c r="AJ311" s="1703"/>
      <c r="AK311" s="1705"/>
      <c r="AL311" s="1705"/>
      <c r="AM311" s="1705"/>
      <c r="AN311" s="1705"/>
      <c r="AO311" s="1705"/>
      <c r="AP311" s="1705"/>
      <c r="AQ311" s="1705"/>
      <c r="AR311" s="1705"/>
      <c r="AS311" s="1705"/>
      <c r="AT311" s="1705"/>
      <c r="AU311" s="1705"/>
      <c r="AV311" s="1705"/>
      <c r="AW311" s="1705"/>
      <c r="AX311" s="1705"/>
      <c r="AY311" s="1705"/>
      <c r="AZ311" s="1705"/>
      <c r="BA311" s="1705"/>
    </row>
    <row r="312" spans="2:53" x14ac:dyDescent="0.2">
      <c r="B312" s="1703" t="e">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#N/A</v>
      </c>
      <c r="C312" s="1703"/>
      <c r="D312" s="1707"/>
      <c r="E312" s="1714"/>
      <c r="F312" s="1703" t="e">
        <f>VLOOKUP(TBL4_OptApp[[#This Row],[Option type
Defined List]],'Option Typs_Grps'!B$2:C$47, 2, FALSE)</f>
        <v>#N/A</v>
      </c>
      <c r="G312" s="1703"/>
      <c r="H312" s="1703"/>
      <c r="I312" s="1703"/>
      <c r="J312" s="1703"/>
      <c r="K312" s="1703"/>
      <c r="L312" s="1703"/>
      <c r="M312" s="1703"/>
      <c r="N312" s="1703"/>
      <c r="O312" s="1703"/>
      <c r="P312" s="1703"/>
      <c r="Q312" s="1703"/>
      <c r="R312" s="1703"/>
      <c r="S312" s="1705"/>
      <c r="T312" s="1705"/>
      <c r="U312" s="1705"/>
      <c r="V312" s="1712"/>
      <c r="W312" s="1705"/>
      <c r="X312" s="1705"/>
      <c r="Y312" s="1705"/>
      <c r="Z312" s="1705"/>
      <c r="AA312" s="1705"/>
      <c r="AB312" s="1712"/>
      <c r="AC312" s="1712"/>
      <c r="AD312" s="1703"/>
      <c r="AE312" s="1705"/>
      <c r="AF312" s="1705"/>
      <c r="AG312" s="1703"/>
      <c r="AH312" s="1703"/>
      <c r="AI312" s="1703"/>
      <c r="AJ312" s="1703"/>
      <c r="AK312" s="1705"/>
      <c r="AL312" s="1705"/>
      <c r="AM312" s="1705"/>
      <c r="AN312" s="1705"/>
      <c r="AO312" s="1705"/>
      <c r="AP312" s="1705"/>
      <c r="AQ312" s="1705"/>
      <c r="AR312" s="1705"/>
      <c r="AS312" s="1705"/>
      <c r="AT312" s="1705"/>
      <c r="AU312" s="1705"/>
      <c r="AV312" s="1705"/>
      <c r="AW312" s="1705"/>
      <c r="AX312" s="1705"/>
      <c r="AY312" s="1705"/>
      <c r="AZ312" s="1705"/>
      <c r="BA312" s="1705"/>
    </row>
    <row r="313" spans="2:53" x14ac:dyDescent="0.2">
      <c r="B313" s="1703" t="e">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#N/A</v>
      </c>
      <c r="C313" s="1703"/>
      <c r="D313" s="1707"/>
      <c r="E313" s="1714"/>
      <c r="F313" s="1703" t="e">
        <f>VLOOKUP(TBL4_OptApp[[#This Row],[Option type
Defined List]],'Option Typs_Grps'!B$2:C$47, 2, FALSE)</f>
        <v>#N/A</v>
      </c>
      <c r="G313" s="1703"/>
      <c r="H313" s="1703"/>
      <c r="I313" s="1703"/>
      <c r="J313" s="1703"/>
      <c r="K313" s="1703"/>
      <c r="L313" s="1703"/>
      <c r="M313" s="1703"/>
      <c r="N313" s="1703"/>
      <c r="O313" s="1703"/>
      <c r="P313" s="1703"/>
      <c r="Q313" s="1703"/>
      <c r="R313" s="1703"/>
      <c r="S313" s="1705"/>
      <c r="T313" s="1705"/>
      <c r="U313" s="1705"/>
      <c r="V313" s="1712"/>
      <c r="W313" s="1705"/>
      <c r="X313" s="1705"/>
      <c r="Y313" s="1705"/>
      <c r="Z313" s="1705"/>
      <c r="AA313" s="1705"/>
      <c r="AB313" s="1712"/>
      <c r="AC313" s="1712"/>
      <c r="AD313" s="1703"/>
      <c r="AE313" s="1705"/>
      <c r="AF313" s="1705"/>
      <c r="AG313" s="1703"/>
      <c r="AH313" s="1703"/>
      <c r="AI313" s="1703"/>
      <c r="AJ313" s="1703"/>
      <c r="AK313" s="1705"/>
      <c r="AL313" s="1705"/>
      <c r="AM313" s="1705"/>
      <c r="AN313" s="1705"/>
      <c r="AO313" s="1705"/>
      <c r="AP313" s="1705"/>
      <c r="AQ313" s="1705"/>
      <c r="AR313" s="1705"/>
      <c r="AS313" s="1705"/>
      <c r="AT313" s="1705"/>
      <c r="AU313" s="1705"/>
      <c r="AV313" s="1705"/>
      <c r="AW313" s="1705"/>
      <c r="AX313" s="1705"/>
      <c r="AY313" s="1705"/>
      <c r="AZ313" s="1705"/>
      <c r="BA313" s="1705"/>
    </row>
    <row r="314" spans="2:53" x14ac:dyDescent="0.2">
      <c r="B314" s="1703" t="e">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#N/A</v>
      </c>
      <c r="C314" s="1703"/>
      <c r="D314" s="1707"/>
      <c r="E314" s="1714"/>
      <c r="F314" s="1703" t="e">
        <f>VLOOKUP(TBL4_OptApp[[#This Row],[Option type
Defined List]],'Option Typs_Grps'!B$2:C$47, 2, FALSE)</f>
        <v>#N/A</v>
      </c>
      <c r="G314" s="1703"/>
      <c r="H314" s="1703"/>
      <c r="I314" s="1703"/>
      <c r="J314" s="1703"/>
      <c r="K314" s="1703"/>
      <c r="L314" s="1703"/>
      <c r="M314" s="1703"/>
      <c r="N314" s="1703"/>
      <c r="O314" s="1703"/>
      <c r="P314" s="1703"/>
      <c r="Q314" s="1703"/>
      <c r="R314" s="1703"/>
      <c r="S314" s="1705"/>
      <c r="T314" s="1705"/>
      <c r="U314" s="1705"/>
      <c r="V314" s="1712"/>
      <c r="W314" s="1705"/>
      <c r="X314" s="1705"/>
      <c r="Y314" s="1705"/>
      <c r="Z314" s="1705"/>
      <c r="AA314" s="1705"/>
      <c r="AB314" s="1712"/>
      <c r="AC314" s="1712"/>
      <c r="AD314" s="1703"/>
      <c r="AE314" s="1705"/>
      <c r="AF314" s="1705"/>
      <c r="AG314" s="1703"/>
      <c r="AH314" s="1703"/>
      <c r="AI314" s="1703"/>
      <c r="AJ314" s="1703"/>
      <c r="AK314" s="1705"/>
      <c r="AL314" s="1705"/>
      <c r="AM314" s="1705"/>
      <c r="AN314" s="1705"/>
      <c r="AO314" s="1705"/>
      <c r="AP314" s="1705"/>
      <c r="AQ314" s="1705"/>
      <c r="AR314" s="1705"/>
      <c r="AS314" s="1705"/>
      <c r="AT314" s="1705"/>
      <c r="AU314" s="1705"/>
      <c r="AV314" s="1705"/>
      <c r="AW314" s="1705"/>
      <c r="AX314" s="1705"/>
      <c r="AY314" s="1705"/>
      <c r="AZ314" s="1705"/>
      <c r="BA314" s="1705"/>
    </row>
    <row r="315" spans="2:53" x14ac:dyDescent="0.2">
      <c r="B315" s="1703" t="e">
        <f>CONCATENATE((IF(TBL4_OptApp[[#This Row],[Option Group]]="RESOURCE OPTIONS","51a",IF(TBL4_OptApp[[#This Row],[Option Group]]="PRODUCTION OPTIONS","51b",IF(TBL4_OptApp[[#This Row],[Option Group]]="DISTRIBUTION OPTIONS","51c",IF(TBL4_OptApp[[#This Row],[Option Group]]="CUSTOMER OPTIONS","51d","ERROR"))))), (IF(TBL4_OptApp[[#This Row],[Option status
Defined]]="Unconstrained","U",IF(TBL4_OptApp[[#This Row],[Option status
Defined]]="Preferred","P",IF(TBL4_OptApp[[#This Row],[Option status
Defined]]="Feasible","F","ERROR")))))</f>
        <v>#N/A</v>
      </c>
      <c r="C315" s="1746"/>
      <c r="D315" s="1747"/>
      <c r="E315" s="1748"/>
      <c r="F315" s="1703" t="e">
        <f>VLOOKUP(TBL4_OptApp[[#This Row],[Option type
Defined List]],'Option Typs_Grps'!B$2:C$47, 2, FALSE)</f>
        <v>#N/A</v>
      </c>
      <c r="G315" s="1746"/>
      <c r="H315" s="1746"/>
      <c r="I315" s="1746"/>
      <c r="J315" s="1746"/>
      <c r="K315" s="1746"/>
      <c r="L315" s="1746"/>
      <c r="M315" s="1746"/>
      <c r="N315" s="1746"/>
      <c r="O315" s="1746"/>
      <c r="P315" s="1746"/>
      <c r="Q315" s="1746"/>
      <c r="R315" s="1746"/>
      <c r="S315" s="1749"/>
      <c r="T315" s="1749"/>
      <c r="U315" s="1749"/>
      <c r="V315" s="1750"/>
      <c r="W315" s="1749"/>
      <c r="X315" s="1749"/>
      <c r="Y315" s="1749"/>
      <c r="Z315" s="1749"/>
      <c r="AA315" s="1749"/>
      <c r="AB315" s="1750"/>
      <c r="AC315" s="1750"/>
      <c r="AD315" s="1746"/>
      <c r="AE315" s="1749"/>
      <c r="AF315" s="1749"/>
      <c r="AG315" s="1746"/>
      <c r="AH315" s="1746"/>
      <c r="AI315" s="1746"/>
      <c r="AJ315" s="1746"/>
      <c r="AK315" s="1749"/>
      <c r="AL315" s="1749"/>
      <c r="AM315" s="1749"/>
      <c r="AN315" s="1749"/>
      <c r="AO315" s="1749"/>
      <c r="AP315" s="1749"/>
      <c r="AQ315" s="1749"/>
      <c r="AR315" s="1749"/>
      <c r="AS315" s="1749"/>
      <c r="AT315" s="1749"/>
      <c r="AU315" s="1749"/>
      <c r="AV315" s="1749"/>
      <c r="AW315" s="1749"/>
      <c r="AX315" s="1749"/>
      <c r="AY315" s="1749"/>
      <c r="AZ315" s="1749"/>
      <c r="BA315" s="1749"/>
    </row>
  </sheetData>
  <mergeCells count="6">
    <mergeCell ref="AU4:AV4"/>
    <mergeCell ref="AK4:AL4"/>
    <mergeCell ref="AM4:AN4"/>
    <mergeCell ref="AO4:AP4"/>
    <mergeCell ref="AQ4:AR4"/>
    <mergeCell ref="AS4:AT4"/>
  </mergeCells>
  <phoneticPr fontId="34" type="noConversion"/>
  <conditionalFormatting sqref="L6:R282">
    <cfRule type="cellIs" dxfId="982" priority="14" operator="equal">
      <formula>"Y"</formula>
    </cfRule>
  </conditionalFormatting>
  <conditionalFormatting sqref="L9:R78 L91:R91 L93:R99 L104:R104">
    <cfRule type="containsText" dxfId="981" priority="34" operator="containsText" text="Y">
      <formula>NOT(ISERROR(SEARCH("Y",L9)))</formula>
    </cfRule>
  </conditionalFormatting>
  <pageMargins left="0.7" right="0.7" top="0.75" bottom="0.75" header="0.3" footer="0.3"/>
  <pageSetup paperSize="9" orientation="portrait" r:id="rId1"/>
  <legacyDrawing r:id="rId2"/>
  <tableParts count="1">
    <tablePart r:id="rId3"/>
  </tableParts>
  <extLst>
    <ext xmlns:x14="http://schemas.microsoft.com/office/spreadsheetml/2009/9/main" uri="{78C0D931-6437-407d-A8EE-F0AAD7539E65}">
      <x14:conditionalFormattings>
        <x14:conditionalFormatting xmlns:xm="http://schemas.microsoft.com/office/excel/2006/main">
          <x14:cfRule type="expression" priority="208" id="{ACBE9C1C-3ED6-45D2-BF93-074D4D95608D}">
            <xm:f>NOT(IFERROR(MATCH($E55,'Option Typs_Grps'!$B$3:$B$132,0)&gt;0,FALSE))</xm:f>
            <x14:dxf>
              <font>
                <b/>
                <i val="0"/>
                <color theme="0"/>
              </font>
              <fill>
                <patternFill>
                  <bgColor rgb="FFFF0000"/>
                </patternFill>
              </fill>
            </x14:dxf>
          </x14:cfRule>
          <xm:sqref>E55:E78 E81:E86</xm:sqref>
        </x14:conditionalFormatting>
        <x14:conditionalFormatting xmlns:xm="http://schemas.microsoft.com/office/excel/2006/main">
          <x14:cfRule type="expression" priority="2" id="{798DCC3F-5BF6-475B-8729-C1ECAE541F27}">
            <xm:f>NOT(IFERROR(MATCH($E91,'Option Typs_Grps'!$B$3:$B$132,0)&gt;0,FALSE))</xm:f>
            <x14:dxf>
              <font>
                <b/>
                <i val="0"/>
                <color theme="0"/>
              </font>
              <fill>
                <patternFill>
                  <bgColor rgb="FFFF0000"/>
                </patternFill>
              </fill>
            </x14:dxf>
          </x14:cfRule>
          <xm:sqref>E91:E96</xm:sqref>
        </x14:conditionalFormatting>
        <x14:conditionalFormatting xmlns:xm="http://schemas.microsoft.com/office/excel/2006/main">
          <x14:cfRule type="expression" priority="5" id="{E549C364-24BC-4A0A-9653-425D414068A8}">
            <xm:f>NOT(IFERROR(MATCH($E106,'Option Typs_Grps'!$B$3:$B$132,0)&gt;0,FALSE))</xm:f>
            <x14:dxf>
              <font>
                <b/>
                <i val="0"/>
                <color theme="0"/>
              </font>
              <fill>
                <patternFill>
                  <bgColor rgb="FFFF0000"/>
                </patternFill>
              </fill>
            </x14:dxf>
          </x14:cfRule>
          <xm:sqref>E106</xm:sqref>
        </x14:conditionalFormatting>
        <x14:conditionalFormatting xmlns:xm="http://schemas.microsoft.com/office/excel/2006/main">
          <x14:cfRule type="expression" priority="6" id="{6F788506-78BE-4843-AE3A-BD9D92D40F9D}">
            <xm:f>NOT(IFERROR(MATCH($E115,'Option Typs_Grps'!$B$3:$B$132,0)&gt;0,FALSE))</xm:f>
            <x14:dxf>
              <font>
                <b/>
                <i val="0"/>
                <color theme="0"/>
              </font>
              <fill>
                <patternFill>
                  <bgColor rgb="FFFF0000"/>
                </patternFill>
              </fill>
            </x14:dxf>
          </x14:cfRule>
          <xm:sqref>E115</xm:sqref>
        </x14:conditionalFormatting>
        <x14:conditionalFormatting xmlns:xm="http://schemas.microsoft.com/office/excel/2006/main">
          <x14:cfRule type="expression" priority="45" id="{F20E2B3A-C9C5-4653-8FEA-4A35E5A80D67}">
            <xm:f>AND($T6&lt;&gt;"N/A"=TRUE,IFERROR(MATCH($T6,'Option Typs_Grps'!$J$3:$J$130,0)&gt;0,FALSE)=FALSE)</xm:f>
            <x14:dxf>
              <font>
                <b/>
                <i val="0"/>
                <color theme="0"/>
              </font>
              <fill>
                <patternFill>
                  <bgColor rgb="FFFF0000"/>
                </patternFill>
              </fill>
            </x14:dxf>
          </x14:cfRule>
          <xm:sqref>T6:U8 T17:U55 T71:U79 T87:U99 T111:T114</xm:sqref>
        </x14:conditionalFormatting>
        <x14:conditionalFormatting xmlns:xm="http://schemas.microsoft.com/office/excel/2006/main">
          <x14:cfRule type="expression" priority="8" id="{B6F7E3B9-E192-4F2D-A571-C1EADB0B79A3}">
            <xm:f>AND($T104&lt;&gt;"N/A"=TRUE,IFERROR(MATCH($T104,'Option Typs_Grps'!$J$3:$J$130,0)&gt;0,FALSE)=FALSE)</xm:f>
            <x14:dxf>
              <font>
                <b/>
                <i val="0"/>
                <color theme="0"/>
              </font>
              <fill>
                <patternFill>
                  <bgColor rgb="FFFF0000"/>
                </patternFill>
              </fill>
            </x14:dxf>
          </x14:cfRule>
          <xm:sqref>T104:U105</xm:sqref>
        </x14:conditionalFormatting>
        <x14:conditionalFormatting xmlns:xm="http://schemas.microsoft.com/office/excel/2006/main">
          <x14:cfRule type="expression" priority="15" id="{12A99857-C719-4F67-A3FD-FE2F9D464F52}">
            <xm:f>AND($T115&lt;&gt;"N/A"=TRUE,IFERROR(MATCH($T115,'Option Typs_Grps'!$J$3:$J$130,0)&gt;0,FALSE)=FALSE)</xm:f>
            <x14:dxf>
              <font>
                <b/>
                <i val="0"/>
                <color theme="0"/>
              </font>
              <fill>
                <patternFill>
                  <bgColor rgb="FFFF0000"/>
                </patternFill>
              </fill>
            </x14:dxf>
          </x14:cfRule>
          <xm:sqref>T115:U115</xm:sqref>
        </x14:conditionalFormatting>
        <x14:conditionalFormatting xmlns:xm="http://schemas.microsoft.com/office/excel/2006/main">
          <x14:cfRule type="expression" priority="13" id="{0950BFC1-4BAB-4354-BFE0-10B7714EFE19}">
            <xm:f>AND($T106&lt;&gt;"N/A"=TRUE,IFERROR(MATCH($T106,'Option Typs_Grps'!$J$3:$J$130,0)&gt;0,FALSE)=FALSE)</xm:f>
            <x14:dxf>
              <font>
                <b/>
                <i val="0"/>
                <color theme="0"/>
              </font>
              <fill>
                <patternFill>
                  <bgColor rgb="FFFF0000"/>
                </patternFill>
              </fill>
            </x14:dxf>
          </x14:cfRule>
          <xm:sqref>U106</xm:sqref>
        </x14:conditionalFormatting>
        <x14:conditionalFormatting xmlns:xm="http://schemas.microsoft.com/office/excel/2006/main">
          <x14:cfRule type="expression" priority="9" id="{E48759CF-4C17-4360-83CC-D804612A73A1}">
            <xm:f>AND($T111&lt;&gt;"N/A"=TRUE,IFERROR(MATCH($T111,'Option Typs_Grps'!$J$3:$J$130,0)&gt;0,FALSE)=FALSE)</xm:f>
            <x14:dxf>
              <font>
                <b/>
                <i val="0"/>
                <color theme="0"/>
              </font>
              <fill>
                <patternFill>
                  <bgColor rgb="FFFF0000"/>
                </patternFill>
              </fill>
            </x14:dxf>
          </x14:cfRule>
          <xm:sqref>U111:U114</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00000000-0002-0000-0400-000001000000}">
          <x14:formula1>
            <xm:f>'Option Typs_Grps'!$B$3:$B$47</xm:f>
          </x14:formula1>
          <xm:sqref>E115 E106 E91:E96 E55:E78 E81:E86</xm:sqref>
        </x14:dataValidation>
        <x14:dataValidation type="list" allowBlank="1" showInputMessage="1" showErrorMessage="1" xr:uid="{51424D03-CEEE-4CC8-91CB-F4B3E73C14F6}">
          <x14:formula1>
            <xm:f>'Option Typs_Grps'!$J$3:$J$132</xm:f>
          </x14:formula1>
          <xm:sqref>T116:U315 T6:U8 T17:U114</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dimension ref="B1:CO408"/>
  <sheetViews>
    <sheetView showOutlineSymbols="0" showWhiteSpace="0" workbookViewId="0">
      <selection activeCell="H3" sqref="H3"/>
    </sheetView>
  </sheetViews>
  <sheetFormatPr defaultColWidth="8.6640625" defaultRowHeight="14.25" x14ac:dyDescent="0.2"/>
  <cols>
    <col min="1" max="1" width="2.109375" style="1758" customWidth="1"/>
    <col min="2" max="2" width="18.109375" style="1758" customWidth="1"/>
    <col min="3" max="3" width="27.109375" style="1758" customWidth="1"/>
    <col min="4" max="4" width="15.109375" style="1758" customWidth="1"/>
    <col min="5" max="5" width="36.21875" style="1758" customWidth="1"/>
    <col min="6" max="6" width="24.109375" style="1758" customWidth="1"/>
    <col min="7" max="7" width="11" style="1758" customWidth="1"/>
    <col min="8" max="8" width="28.5546875" style="1758" customWidth="1"/>
    <col min="9" max="11" width="16.109375" style="1758" customWidth="1"/>
    <col min="12" max="14" width="8.6640625" style="1758" customWidth="1"/>
    <col min="15" max="42" width="12.6640625" style="1758" bestFit="1" customWidth="1"/>
    <col min="43" max="91" width="8.6640625" style="1758"/>
    <col min="92" max="92" width="9.109375" style="1758" customWidth="1"/>
    <col min="93" max="16384" width="8.6640625" style="1758"/>
  </cols>
  <sheetData>
    <row r="1" spans="2:93" s="7" customFormat="1" ht="15" thickBot="1" x14ac:dyDescent="0.25"/>
    <row r="2" spans="2:93" s="7" customFormat="1" ht="30.75" thickBot="1" x14ac:dyDescent="0.25">
      <c r="B2" s="392" t="s">
        <v>64</v>
      </c>
      <c r="C2" s="393" t="str">
        <f>'TITLE PAGE'!$D$18</f>
        <v>Essex &amp; Suffolk Water</v>
      </c>
      <c r="D2" s="392" t="s">
        <v>2</v>
      </c>
      <c r="E2" s="393">
        <f>'TITLE PAGE'!D21</f>
        <v>16</v>
      </c>
      <c r="G2" s="1151" t="s">
        <v>63</v>
      </c>
      <c r="U2" s="7">
        <v>-1</v>
      </c>
    </row>
    <row r="3" spans="2:93" s="7" customFormat="1" ht="15" thickBot="1" x14ac:dyDescent="0.25"/>
    <row r="4" spans="2:93" s="7" customFormat="1" ht="30.75" thickBot="1" x14ac:dyDescent="0.25">
      <c r="B4" s="193" t="s">
        <v>1449</v>
      </c>
      <c r="C4" s="65" t="s">
        <v>909</v>
      </c>
      <c r="D4" s="66" t="s">
        <v>909</v>
      </c>
      <c r="E4" s="66" t="s">
        <v>909</v>
      </c>
      <c r="F4" s="66" t="s">
        <v>909</v>
      </c>
      <c r="G4" s="66"/>
      <c r="H4" s="66"/>
      <c r="I4" s="66"/>
      <c r="J4" s="66"/>
      <c r="K4" s="66"/>
      <c r="L4" s="1830" t="s">
        <v>1450</v>
      </c>
      <c r="M4" s="1831"/>
      <c r="N4" s="1831"/>
      <c r="O4" s="1831"/>
      <c r="P4" s="1831"/>
      <c r="Q4" s="1831"/>
      <c r="R4" s="1831"/>
      <c r="S4" s="1831"/>
      <c r="T4" s="1831"/>
      <c r="U4" s="1831"/>
      <c r="V4" s="1831"/>
      <c r="W4" s="1831"/>
      <c r="X4" s="1831"/>
      <c r="Y4" s="1831"/>
      <c r="Z4" s="1831"/>
      <c r="AA4" s="1831"/>
      <c r="AB4" s="1831"/>
      <c r="AC4" s="1831"/>
      <c r="AD4" s="1831"/>
      <c r="AE4" s="1831"/>
      <c r="AF4" s="1831"/>
      <c r="AG4" s="1831"/>
      <c r="AH4" s="1831"/>
      <c r="AI4" s="1831"/>
      <c r="AJ4" s="1831"/>
      <c r="AK4" s="1831"/>
      <c r="AL4" s="1831"/>
      <c r="AM4" s="1831"/>
      <c r="AN4" s="1831"/>
      <c r="AO4" s="1831"/>
      <c r="AP4" s="1831"/>
      <c r="AQ4" s="1831"/>
      <c r="AR4" s="1831"/>
      <c r="AS4" s="1831"/>
      <c r="AT4" s="1831"/>
      <c r="AU4" s="1831"/>
      <c r="AV4" s="1831"/>
      <c r="AW4" s="1831"/>
      <c r="AX4" s="1831"/>
      <c r="AY4" s="1831"/>
      <c r="AZ4" s="1831"/>
      <c r="BA4" s="1831"/>
      <c r="BB4" s="1831"/>
      <c r="BC4" s="1831"/>
      <c r="BD4" s="1831"/>
      <c r="BE4" s="1831"/>
      <c r="BF4" s="1831"/>
      <c r="BG4" s="1831"/>
      <c r="BH4" s="1831"/>
      <c r="BI4" s="1831"/>
      <c r="BJ4" s="1831"/>
      <c r="BK4" s="1831"/>
      <c r="BL4" s="1831"/>
      <c r="BM4" s="1831"/>
      <c r="BN4" s="1831"/>
      <c r="BO4" s="1831"/>
      <c r="BP4" s="1831"/>
      <c r="BQ4" s="1831"/>
      <c r="BR4" s="1831"/>
      <c r="BS4" s="1831"/>
      <c r="BT4" s="1831"/>
      <c r="BU4" s="1831"/>
      <c r="BV4" s="1831"/>
      <c r="BW4" s="1831"/>
      <c r="BX4" s="1831"/>
      <c r="BY4" s="1831"/>
      <c r="BZ4" s="1831"/>
      <c r="CA4" s="1831"/>
      <c r="CB4" s="1831"/>
      <c r="CC4" s="1831"/>
      <c r="CD4" s="1831"/>
      <c r="CE4" s="1831"/>
      <c r="CF4" s="1831"/>
      <c r="CG4" s="1831"/>
      <c r="CH4" s="1831"/>
      <c r="CI4" s="1831"/>
      <c r="CJ4" s="1831"/>
      <c r="CK4" s="1831"/>
      <c r="CL4" s="1831"/>
      <c r="CM4" s="1831"/>
      <c r="CN4" s="1831"/>
    </row>
    <row r="5" spans="2:93" s="7" customFormat="1" ht="45.75" thickBot="1" x14ac:dyDescent="0.25">
      <c r="B5" s="1411" t="s">
        <v>70</v>
      </c>
      <c r="C5" s="1409" t="s">
        <v>1451</v>
      </c>
      <c r="D5" s="1409" t="s">
        <v>807</v>
      </c>
      <c r="E5" s="1409" t="s">
        <v>1452</v>
      </c>
      <c r="F5" s="1409" t="s">
        <v>810</v>
      </c>
      <c r="G5" s="197" t="s">
        <v>1453</v>
      </c>
      <c r="H5" s="1409" t="s">
        <v>1454</v>
      </c>
      <c r="I5" s="197" t="s">
        <v>1455</v>
      </c>
      <c r="J5" s="197" t="s">
        <v>206</v>
      </c>
      <c r="K5" s="202" t="s">
        <v>207</v>
      </c>
      <c r="L5" s="67" t="s">
        <v>208</v>
      </c>
      <c r="M5" s="67" t="s">
        <v>209</v>
      </c>
      <c r="N5" s="67" t="s">
        <v>210</v>
      </c>
      <c r="O5" s="67" t="s">
        <v>211</v>
      </c>
      <c r="P5" s="67" t="s">
        <v>212</v>
      </c>
      <c r="Q5" s="67" t="s">
        <v>213</v>
      </c>
      <c r="R5" s="67" t="s">
        <v>214</v>
      </c>
      <c r="S5" s="67" t="s">
        <v>215</v>
      </c>
      <c r="T5" s="67" t="s">
        <v>216</v>
      </c>
      <c r="U5" s="67" t="s">
        <v>217</v>
      </c>
      <c r="V5" s="67" t="s">
        <v>218</v>
      </c>
      <c r="W5" s="67" t="s">
        <v>247</v>
      </c>
      <c r="X5" s="67" t="s">
        <v>248</v>
      </c>
      <c r="Y5" s="67" t="s">
        <v>249</v>
      </c>
      <c r="Z5" s="67" t="s">
        <v>250</v>
      </c>
      <c r="AA5" s="67" t="s">
        <v>219</v>
      </c>
      <c r="AB5" s="67" t="s">
        <v>251</v>
      </c>
      <c r="AC5" s="67" t="s">
        <v>252</v>
      </c>
      <c r="AD5" s="67" t="s">
        <v>253</v>
      </c>
      <c r="AE5" s="67" t="s">
        <v>254</v>
      </c>
      <c r="AF5" s="67" t="s">
        <v>220</v>
      </c>
      <c r="AG5" s="67" t="s">
        <v>255</v>
      </c>
      <c r="AH5" s="67" t="s">
        <v>256</v>
      </c>
      <c r="AI5" s="67" t="s">
        <v>257</v>
      </c>
      <c r="AJ5" s="67" t="s">
        <v>258</v>
      </c>
      <c r="AK5" s="67" t="s">
        <v>221</v>
      </c>
      <c r="AL5" s="67" t="s">
        <v>259</v>
      </c>
      <c r="AM5" s="67" t="s">
        <v>260</v>
      </c>
      <c r="AN5" s="67" t="s">
        <v>261</v>
      </c>
      <c r="AO5" s="67" t="s">
        <v>262</v>
      </c>
      <c r="AP5" s="67" t="s">
        <v>222</v>
      </c>
      <c r="AQ5" s="67" t="s">
        <v>263</v>
      </c>
      <c r="AR5" s="67" t="s">
        <v>264</v>
      </c>
      <c r="AS5" s="67" t="s">
        <v>265</v>
      </c>
      <c r="AT5" s="67" t="s">
        <v>266</v>
      </c>
      <c r="AU5" s="67" t="s">
        <v>223</v>
      </c>
      <c r="AV5" s="67" t="s">
        <v>267</v>
      </c>
      <c r="AW5" s="67" t="s">
        <v>268</v>
      </c>
      <c r="AX5" s="67" t="s">
        <v>269</v>
      </c>
      <c r="AY5" s="67" t="s">
        <v>270</v>
      </c>
      <c r="AZ5" s="67" t="s">
        <v>224</v>
      </c>
      <c r="BA5" s="67" t="s">
        <v>271</v>
      </c>
      <c r="BB5" s="67" t="s">
        <v>272</v>
      </c>
      <c r="BC5" s="67" t="s">
        <v>273</v>
      </c>
      <c r="BD5" s="67" t="s">
        <v>274</v>
      </c>
      <c r="BE5" s="67" t="s">
        <v>225</v>
      </c>
      <c r="BF5" s="67" t="s">
        <v>275</v>
      </c>
      <c r="BG5" s="67" t="s">
        <v>276</v>
      </c>
      <c r="BH5" s="67" t="s">
        <v>277</v>
      </c>
      <c r="BI5" s="67" t="s">
        <v>278</v>
      </c>
      <c r="BJ5" s="67" t="s">
        <v>226</v>
      </c>
      <c r="BK5" s="67" t="s">
        <v>279</v>
      </c>
      <c r="BL5" s="67" t="s">
        <v>280</v>
      </c>
      <c r="BM5" s="67" t="s">
        <v>281</v>
      </c>
      <c r="BN5" s="67" t="s">
        <v>282</v>
      </c>
      <c r="BO5" s="67" t="s">
        <v>227</v>
      </c>
      <c r="BP5" s="68" t="s">
        <v>283</v>
      </c>
      <c r="BQ5" s="69" t="s">
        <v>284</v>
      </c>
      <c r="BR5" s="69" t="s">
        <v>285</v>
      </c>
      <c r="BS5" s="69" t="s">
        <v>286</v>
      </c>
      <c r="BT5" s="69" t="s">
        <v>228</v>
      </c>
      <c r="BU5" s="69" t="s">
        <v>287</v>
      </c>
      <c r="BV5" s="69" t="s">
        <v>288</v>
      </c>
      <c r="BW5" s="69" t="s">
        <v>289</v>
      </c>
      <c r="BX5" s="69" t="s">
        <v>290</v>
      </c>
      <c r="BY5" s="69" t="s">
        <v>229</v>
      </c>
      <c r="BZ5" s="69" t="s">
        <v>291</v>
      </c>
      <c r="CA5" s="69" t="s">
        <v>292</v>
      </c>
      <c r="CB5" s="69" t="s">
        <v>293</v>
      </c>
      <c r="CC5" s="69" t="s">
        <v>294</v>
      </c>
      <c r="CD5" s="69" t="s">
        <v>230</v>
      </c>
      <c r="CE5" s="69" t="s">
        <v>295</v>
      </c>
      <c r="CF5" s="69" t="s">
        <v>296</v>
      </c>
      <c r="CG5" s="69" t="s">
        <v>297</v>
      </c>
      <c r="CH5" s="69" t="s">
        <v>298</v>
      </c>
      <c r="CI5" s="69" t="s">
        <v>231</v>
      </c>
      <c r="CJ5" s="69" t="s">
        <v>299</v>
      </c>
      <c r="CK5" s="69" t="s">
        <v>300</v>
      </c>
      <c r="CL5" s="69" t="s">
        <v>301</v>
      </c>
      <c r="CM5" s="69" t="s">
        <v>302</v>
      </c>
      <c r="CN5" s="70" t="s">
        <v>232</v>
      </c>
      <c r="CO5" s="69" t="s">
        <v>606</v>
      </c>
    </row>
    <row r="6" spans="2:93" x14ac:dyDescent="0.2">
      <c r="B6" s="1707"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52dP</v>
      </c>
      <c r="C6" s="1707" t="s">
        <v>1045</v>
      </c>
      <c r="D6" s="1707" t="s">
        <v>1044</v>
      </c>
      <c r="E6" s="1707" t="s">
        <v>973</v>
      </c>
      <c r="F6" s="1707" t="str">
        <f>VLOOKUP(TBL5_OptBen[[#This Row],[Option Type (defined list)]],'Option Typs_Grps'!B$2:C$47, 2, FALSE)</f>
        <v>Customer Options</v>
      </c>
      <c r="G6" s="1707" t="s">
        <v>863</v>
      </c>
      <c r="H6" s="1707" t="s">
        <v>876</v>
      </c>
      <c r="I6" s="1707" t="s">
        <v>88</v>
      </c>
      <c r="J6" s="1707" t="s">
        <v>236</v>
      </c>
      <c r="K6" s="1751">
        <v>2</v>
      </c>
      <c r="L6" s="1752"/>
      <c r="M6" s="1752"/>
      <c r="N6" s="1752">
        <v>16.2</v>
      </c>
      <c r="O6" s="1752">
        <v>16.2</v>
      </c>
      <c r="P6" s="1752">
        <v>16.2</v>
      </c>
      <c r="Q6" s="1752">
        <v>16.2</v>
      </c>
      <c r="R6" s="1753">
        <v>16.2</v>
      </c>
      <c r="S6" s="1752">
        <v>16.2</v>
      </c>
      <c r="T6" s="1752">
        <v>16.2</v>
      </c>
      <c r="U6" s="1752">
        <v>16.2</v>
      </c>
      <c r="V6" s="1752">
        <v>16.2</v>
      </c>
      <c r="W6" s="1752">
        <v>16.2</v>
      </c>
      <c r="X6" s="1752">
        <v>0</v>
      </c>
      <c r="Y6" s="1752">
        <v>0</v>
      </c>
      <c r="Z6" s="1752">
        <v>0</v>
      </c>
      <c r="AA6" s="1752">
        <v>0</v>
      </c>
      <c r="AB6" s="1752">
        <v>0</v>
      </c>
      <c r="AC6" s="1752">
        <v>0</v>
      </c>
      <c r="AD6" s="1752">
        <v>0</v>
      </c>
      <c r="AE6" s="1752">
        <v>0</v>
      </c>
      <c r="AF6" s="1752">
        <v>0</v>
      </c>
      <c r="AG6" s="1752">
        <v>0</v>
      </c>
      <c r="AH6" s="1752">
        <v>0</v>
      </c>
      <c r="AI6" s="1752">
        <v>0</v>
      </c>
      <c r="AJ6" s="1752">
        <v>0</v>
      </c>
      <c r="AK6" s="1752">
        <v>0</v>
      </c>
      <c r="AL6" s="1752">
        <v>0</v>
      </c>
      <c r="AM6" s="1752">
        <v>0</v>
      </c>
      <c r="AN6" s="1752">
        <v>0</v>
      </c>
      <c r="AO6" s="1752">
        <v>0</v>
      </c>
      <c r="AP6" s="1752">
        <v>0</v>
      </c>
      <c r="AQ6" s="1752"/>
      <c r="AR6" s="1752"/>
      <c r="AS6" s="1752"/>
      <c r="AT6" s="1752"/>
      <c r="AU6" s="1752"/>
      <c r="AV6" s="1752"/>
      <c r="AW6" s="1752"/>
      <c r="AX6" s="1752"/>
      <c r="AY6" s="1752"/>
      <c r="AZ6" s="1752"/>
      <c r="BA6" s="1752"/>
      <c r="BB6" s="1752"/>
      <c r="BC6" s="1752"/>
      <c r="BD6" s="1752"/>
      <c r="BE6" s="1752"/>
      <c r="BF6" s="1752"/>
      <c r="BG6" s="1752"/>
      <c r="BH6" s="1752"/>
      <c r="BI6" s="1752"/>
      <c r="BJ6" s="1752"/>
      <c r="BK6" s="1752"/>
      <c r="BL6" s="1752"/>
      <c r="BM6" s="1752"/>
      <c r="BN6" s="1752"/>
      <c r="BO6" s="1752"/>
      <c r="BP6" s="1754"/>
      <c r="BQ6" s="1755"/>
      <c r="BR6" s="1755"/>
      <c r="BS6" s="1755"/>
      <c r="BT6" s="1755"/>
      <c r="BU6" s="1755"/>
      <c r="BV6" s="1755"/>
      <c r="BW6" s="1755"/>
      <c r="BX6" s="1755"/>
      <c r="BY6" s="1755"/>
      <c r="BZ6" s="1755"/>
      <c r="CA6" s="1755"/>
      <c r="CB6" s="1755"/>
      <c r="CC6" s="1755"/>
      <c r="CD6" s="1755"/>
      <c r="CE6" s="1755"/>
      <c r="CF6" s="1755"/>
      <c r="CG6" s="1755"/>
      <c r="CH6" s="1755"/>
      <c r="CI6" s="1755"/>
      <c r="CJ6" s="1755"/>
      <c r="CK6" s="1755"/>
      <c r="CL6" s="1755"/>
      <c r="CM6" s="1755"/>
      <c r="CN6" s="1756"/>
      <c r="CO6" s="1757"/>
    </row>
    <row r="7" spans="2:93" x14ac:dyDescent="0.2">
      <c r="B7" s="170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52aP</v>
      </c>
      <c r="C7" s="1703" t="s">
        <v>874</v>
      </c>
      <c r="D7" s="1703" t="s">
        <v>873</v>
      </c>
      <c r="E7" s="1704" t="s">
        <v>875</v>
      </c>
      <c r="F7" s="1707" t="str">
        <f>VLOOKUP(TBL5_OptBen[[#This Row],[Option Type (defined list)]],'Option Typs_Grps'!B$2:C$47, 2, FALSE)</f>
        <v>Resource Options</v>
      </c>
      <c r="G7" s="1707" t="s">
        <v>863</v>
      </c>
      <c r="H7" s="1707" t="s">
        <v>876</v>
      </c>
      <c r="I7" s="1703" t="s">
        <v>88</v>
      </c>
      <c r="J7" s="1707" t="s">
        <v>236</v>
      </c>
      <c r="K7" s="1751">
        <v>2</v>
      </c>
      <c r="L7" s="1752"/>
      <c r="M7" s="1752"/>
      <c r="N7" s="1752"/>
      <c r="O7" s="1754"/>
      <c r="P7" s="1766"/>
      <c r="Q7" s="1753"/>
      <c r="R7" s="1753"/>
      <c r="S7" s="1752"/>
      <c r="T7" s="1752">
        <v>10</v>
      </c>
      <c r="U7" s="1752">
        <v>10</v>
      </c>
      <c r="V7" s="1752">
        <v>10</v>
      </c>
      <c r="W7" s="1752">
        <v>10</v>
      </c>
      <c r="X7" s="1752">
        <v>10</v>
      </c>
      <c r="Y7" s="1752">
        <v>10</v>
      </c>
      <c r="Z7" s="1752">
        <v>10</v>
      </c>
      <c r="AA7" s="1752">
        <v>10</v>
      </c>
      <c r="AB7" s="1752">
        <v>10</v>
      </c>
      <c r="AC7" s="1752">
        <v>10</v>
      </c>
      <c r="AD7" s="1752">
        <v>10</v>
      </c>
      <c r="AE7" s="1752">
        <v>10</v>
      </c>
      <c r="AF7" s="1752">
        <v>10</v>
      </c>
      <c r="AG7" s="1752">
        <v>10</v>
      </c>
      <c r="AH7" s="1752">
        <v>10</v>
      </c>
      <c r="AI7" s="1752">
        <v>10</v>
      </c>
      <c r="AJ7" s="1752">
        <v>10</v>
      </c>
      <c r="AK7" s="1752">
        <v>10</v>
      </c>
      <c r="AL7" s="1752">
        <v>10</v>
      </c>
      <c r="AM7" s="1752">
        <v>10</v>
      </c>
      <c r="AN7" s="1752">
        <v>10</v>
      </c>
      <c r="AO7" s="1752">
        <v>10</v>
      </c>
      <c r="AP7" s="1752">
        <v>10</v>
      </c>
      <c r="AQ7" s="1752"/>
      <c r="AR7" s="1752"/>
      <c r="AS7" s="1752"/>
      <c r="AT7" s="1752"/>
      <c r="AU7" s="1752"/>
      <c r="AV7" s="1752"/>
      <c r="AW7" s="1752"/>
      <c r="AX7" s="1752"/>
      <c r="AY7" s="1752"/>
      <c r="AZ7" s="1752"/>
      <c r="BA7" s="1752"/>
      <c r="BB7" s="1752"/>
      <c r="BC7" s="1752"/>
      <c r="BD7" s="1752"/>
      <c r="BE7" s="1752"/>
      <c r="BF7" s="1752"/>
      <c r="BG7" s="1752"/>
      <c r="BH7" s="1752"/>
      <c r="BI7" s="1752"/>
      <c r="BJ7" s="1752"/>
      <c r="BK7" s="1752"/>
      <c r="BL7" s="1752"/>
      <c r="BM7" s="1752"/>
      <c r="BN7" s="1752"/>
      <c r="BO7" s="1752"/>
      <c r="BP7" s="1752"/>
      <c r="BQ7" s="1752"/>
      <c r="BR7" s="1752"/>
      <c r="BS7" s="1752"/>
      <c r="BT7" s="1752"/>
      <c r="BU7" s="1752"/>
      <c r="BV7" s="1752"/>
      <c r="BW7" s="1752"/>
      <c r="BX7" s="1752"/>
      <c r="BY7" s="1752"/>
      <c r="BZ7" s="1752"/>
      <c r="CA7" s="1752"/>
      <c r="CB7" s="1752"/>
      <c r="CC7" s="1752"/>
      <c r="CD7" s="1752"/>
      <c r="CE7" s="1752"/>
      <c r="CF7" s="1752"/>
      <c r="CG7" s="1752"/>
      <c r="CH7" s="1752"/>
      <c r="CI7" s="1752"/>
      <c r="CJ7" s="1752"/>
      <c r="CK7" s="1752"/>
      <c r="CL7" s="1752"/>
      <c r="CM7" s="1752"/>
      <c r="CN7" s="1752"/>
      <c r="CO7" s="1767"/>
    </row>
    <row r="8" spans="2:93" ht="28.5" x14ac:dyDescent="0.2">
      <c r="B8" s="1707"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52aP</v>
      </c>
      <c r="C8" s="1707" t="s">
        <v>879</v>
      </c>
      <c r="D8" s="1707" t="s">
        <v>878</v>
      </c>
      <c r="E8" s="1707" t="s">
        <v>875</v>
      </c>
      <c r="F8" s="1707" t="str">
        <f>VLOOKUP(TBL5_OptBen[[#This Row],[Option Type (defined list)]],'Option Typs_Grps'!B$2:C$47, 2, FALSE)</f>
        <v>Resource Options</v>
      </c>
      <c r="G8" s="1707" t="s">
        <v>863</v>
      </c>
      <c r="H8" s="1707" t="s">
        <v>876</v>
      </c>
      <c r="I8" s="1707" t="s">
        <v>88</v>
      </c>
      <c r="J8" s="1707" t="s">
        <v>236</v>
      </c>
      <c r="K8" s="1751">
        <v>2</v>
      </c>
      <c r="L8" s="1752"/>
      <c r="M8" s="1752"/>
      <c r="N8" s="1752"/>
      <c r="O8" s="1754"/>
      <c r="P8" s="1766"/>
      <c r="Q8" s="1753"/>
      <c r="R8" s="1753"/>
      <c r="S8" s="1752"/>
      <c r="T8" s="1752">
        <v>-0.33</v>
      </c>
      <c r="U8" s="1752">
        <v>-0.33</v>
      </c>
      <c r="V8" s="1752">
        <v>-0.33</v>
      </c>
      <c r="W8" s="1752">
        <v>-0.33</v>
      </c>
      <c r="X8" s="1752">
        <v>-0.33</v>
      </c>
      <c r="Y8" s="1752">
        <v>-0.33</v>
      </c>
      <c r="Z8" s="1752">
        <v>-0.33</v>
      </c>
      <c r="AA8" s="1752">
        <v>-0.5</v>
      </c>
      <c r="AB8" s="1752">
        <v>-0.5</v>
      </c>
      <c r="AC8" s="1752">
        <v>-0.5</v>
      </c>
      <c r="AD8" s="1752">
        <v>-0.5</v>
      </c>
      <c r="AE8" s="1752">
        <v>-0.5</v>
      </c>
      <c r="AF8" s="1752">
        <v>-0.5</v>
      </c>
      <c r="AG8" s="1752">
        <v>-0.5</v>
      </c>
      <c r="AH8" s="1752">
        <v>-0.5</v>
      </c>
      <c r="AI8" s="1752">
        <v>-0.5</v>
      </c>
      <c r="AJ8" s="1752">
        <v>-0.5</v>
      </c>
      <c r="AK8" s="1752">
        <v>-0.5</v>
      </c>
      <c r="AL8" s="1752">
        <v>-0.5</v>
      </c>
      <c r="AM8" s="1752">
        <v>-0.5</v>
      </c>
      <c r="AN8" s="1752">
        <v>-0.5</v>
      </c>
      <c r="AO8" s="1752">
        <v>-0.5</v>
      </c>
      <c r="AP8" s="1752">
        <v>-0.5</v>
      </c>
      <c r="AQ8" s="1752"/>
      <c r="AR8" s="1752"/>
      <c r="AS8" s="1752"/>
      <c r="AT8" s="1752"/>
      <c r="AU8" s="1752"/>
      <c r="AV8" s="1752"/>
      <c r="AW8" s="1752"/>
      <c r="AX8" s="1752"/>
      <c r="AY8" s="1752"/>
      <c r="AZ8" s="1752"/>
      <c r="BA8" s="1752"/>
      <c r="BB8" s="1752"/>
      <c r="BC8" s="1752"/>
      <c r="BD8" s="1752"/>
      <c r="BE8" s="1752"/>
      <c r="BF8" s="1752"/>
      <c r="BG8" s="1752"/>
      <c r="BH8" s="1752"/>
      <c r="BI8" s="1752"/>
      <c r="BJ8" s="1752"/>
      <c r="BK8" s="1752"/>
      <c r="BL8" s="1752"/>
      <c r="BM8" s="1752"/>
      <c r="BN8" s="1752"/>
      <c r="BO8" s="1752"/>
      <c r="BP8" s="1754"/>
      <c r="BQ8" s="1755"/>
      <c r="BR8" s="1755"/>
      <c r="BS8" s="1755"/>
      <c r="BT8" s="1755"/>
      <c r="BU8" s="1755"/>
      <c r="BV8" s="1755"/>
      <c r="BW8" s="1755"/>
      <c r="BX8" s="1755"/>
      <c r="BY8" s="1755"/>
      <c r="BZ8" s="1755"/>
      <c r="CA8" s="1755"/>
      <c r="CB8" s="1755"/>
      <c r="CC8" s="1755"/>
      <c r="CD8" s="1755"/>
      <c r="CE8" s="1755"/>
      <c r="CF8" s="1755"/>
      <c r="CG8" s="1755"/>
      <c r="CH8" s="1755"/>
      <c r="CI8" s="1755"/>
      <c r="CJ8" s="1755"/>
      <c r="CK8" s="1755"/>
      <c r="CL8" s="1755"/>
      <c r="CM8" s="1755"/>
      <c r="CN8" s="1756"/>
      <c r="CO8" s="1767"/>
    </row>
    <row r="9" spans="2:93" ht="28.5" x14ac:dyDescent="0.2">
      <c r="B9" s="1707"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9" s="1707" t="s">
        <v>879</v>
      </c>
      <c r="D9" s="1707" t="s">
        <v>878</v>
      </c>
      <c r="E9" s="1707" t="s">
        <v>875</v>
      </c>
      <c r="F9" s="1707" t="str">
        <f>VLOOKUP(TBL5_OptBen[[#This Row],[Option Type (defined list)]],'Option Typs_Grps'!B$2:C$47, 2, FALSE)</f>
        <v>Resource Options</v>
      </c>
      <c r="G9" s="1707" t="s">
        <v>863</v>
      </c>
      <c r="H9" s="1707" t="s">
        <v>1456</v>
      </c>
      <c r="I9" s="1707" t="s">
        <v>88</v>
      </c>
      <c r="J9" s="1707" t="s">
        <v>236</v>
      </c>
      <c r="K9" s="1751">
        <v>2</v>
      </c>
      <c r="L9" s="1752"/>
      <c r="M9" s="1752"/>
      <c r="N9" s="1752"/>
      <c r="O9" s="1754"/>
      <c r="P9" s="1766"/>
      <c r="Q9" s="1753"/>
      <c r="R9" s="1753"/>
      <c r="S9" s="1752"/>
      <c r="T9" s="1752">
        <v>-0.33</v>
      </c>
      <c r="U9" s="1752">
        <v>-0.33</v>
      </c>
      <c r="V9" s="1752">
        <v>-0.33</v>
      </c>
      <c r="W9" s="1752">
        <v>-0.33</v>
      </c>
      <c r="X9" s="1752">
        <v>-0.33</v>
      </c>
      <c r="Y9" s="1752">
        <v>-0.33</v>
      </c>
      <c r="Z9" s="1752">
        <v>-0.33</v>
      </c>
      <c r="AA9" s="1752">
        <v>-0.5</v>
      </c>
      <c r="AB9" s="1752">
        <v>-0.5</v>
      </c>
      <c r="AC9" s="1752">
        <v>-0.5</v>
      </c>
      <c r="AD9" s="1752">
        <v>-0.5</v>
      </c>
      <c r="AE9" s="1752">
        <v>-0.5</v>
      </c>
      <c r="AF9" s="1752">
        <v>-0.5</v>
      </c>
      <c r="AG9" s="1752">
        <v>-0.5</v>
      </c>
      <c r="AH9" s="1752">
        <v>-0.5</v>
      </c>
      <c r="AI9" s="1752">
        <v>-0.5</v>
      </c>
      <c r="AJ9" s="1752">
        <v>-0.5</v>
      </c>
      <c r="AK9" s="1752">
        <v>-0.5</v>
      </c>
      <c r="AL9" s="1752">
        <v>-0.5</v>
      </c>
      <c r="AM9" s="1752">
        <v>-0.5</v>
      </c>
      <c r="AN9" s="1752">
        <v>-0.5</v>
      </c>
      <c r="AO9" s="1752">
        <v>-0.5</v>
      </c>
      <c r="AP9" s="1752">
        <v>-0.5</v>
      </c>
      <c r="AQ9" s="1752"/>
      <c r="AR9" s="1752"/>
      <c r="AS9" s="1752"/>
      <c r="AT9" s="1752"/>
      <c r="AU9" s="1752"/>
      <c r="AV9" s="1752"/>
      <c r="AW9" s="1752"/>
      <c r="AX9" s="1752"/>
      <c r="AY9" s="1752"/>
      <c r="AZ9" s="1752"/>
      <c r="BA9" s="1752"/>
      <c r="BB9" s="1752"/>
      <c r="BC9" s="1752"/>
      <c r="BD9" s="1752"/>
      <c r="BE9" s="1752"/>
      <c r="BF9" s="1752"/>
      <c r="BG9" s="1752"/>
      <c r="BH9" s="1752"/>
      <c r="BI9" s="1752"/>
      <c r="BJ9" s="1752"/>
      <c r="BK9" s="1752"/>
      <c r="BL9" s="1752"/>
      <c r="BM9" s="1752"/>
      <c r="BN9" s="1752"/>
      <c r="BO9" s="1752"/>
      <c r="BP9" s="1754"/>
      <c r="BQ9" s="1755"/>
      <c r="BR9" s="1755"/>
      <c r="BS9" s="1755"/>
      <c r="BT9" s="1755"/>
      <c r="BU9" s="1755"/>
      <c r="BV9" s="1755"/>
      <c r="BW9" s="1755"/>
      <c r="BX9" s="1755"/>
      <c r="BY9" s="1755"/>
      <c r="BZ9" s="1755"/>
      <c r="CA9" s="1755"/>
      <c r="CB9" s="1755"/>
      <c r="CC9" s="1755"/>
      <c r="CD9" s="1755"/>
      <c r="CE9" s="1755"/>
      <c r="CF9" s="1755"/>
      <c r="CG9" s="1755"/>
      <c r="CH9" s="1755"/>
      <c r="CI9" s="1755"/>
      <c r="CJ9" s="1755"/>
      <c r="CK9" s="1755"/>
      <c r="CL9" s="1755"/>
      <c r="CM9" s="1755"/>
      <c r="CN9" s="1756"/>
      <c r="CO9" s="1767"/>
    </row>
    <row r="10" spans="2:93" ht="28.5" x14ac:dyDescent="0.2">
      <c r="B10" s="1707"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10" s="1707" t="s">
        <v>879</v>
      </c>
      <c r="D10" s="1707" t="s">
        <v>878</v>
      </c>
      <c r="E10" s="1707" t="s">
        <v>875</v>
      </c>
      <c r="F10" s="1707" t="str">
        <f>VLOOKUP(TBL5_OptBen[[#This Row],[Option Type (defined list)]],'Option Typs_Grps'!B$2:C$47, 2, FALSE)</f>
        <v>Resource Options</v>
      </c>
      <c r="G10" s="1707" t="s">
        <v>863</v>
      </c>
      <c r="H10" s="1707" t="s">
        <v>1457</v>
      </c>
      <c r="I10" s="1707" t="s">
        <v>88</v>
      </c>
      <c r="J10" s="1707" t="s">
        <v>236</v>
      </c>
      <c r="K10" s="1751">
        <v>2</v>
      </c>
      <c r="L10" s="1752"/>
      <c r="M10" s="1752"/>
      <c r="N10" s="1752"/>
      <c r="O10" s="1754"/>
      <c r="P10" s="1766"/>
      <c r="Q10" s="1753"/>
      <c r="R10" s="1753"/>
      <c r="S10" s="1752"/>
      <c r="T10" s="1752">
        <v>-0.33</v>
      </c>
      <c r="U10" s="1752">
        <v>-0.33</v>
      </c>
      <c r="V10" s="1752">
        <v>-0.33</v>
      </c>
      <c r="W10" s="1752">
        <v>-0.33</v>
      </c>
      <c r="X10" s="1752">
        <v>-0.33</v>
      </c>
      <c r="Y10" s="1752">
        <v>-0.33</v>
      </c>
      <c r="Z10" s="1752">
        <v>-0.33</v>
      </c>
      <c r="AA10" s="1752">
        <v>-0.5</v>
      </c>
      <c r="AB10" s="1752">
        <v>-0.5</v>
      </c>
      <c r="AC10" s="1752">
        <v>-0.5</v>
      </c>
      <c r="AD10" s="1752">
        <v>-0.5</v>
      </c>
      <c r="AE10" s="1752">
        <v>-0.5</v>
      </c>
      <c r="AF10" s="1752">
        <v>-0.5</v>
      </c>
      <c r="AG10" s="1752">
        <v>-0.5</v>
      </c>
      <c r="AH10" s="1752">
        <v>-0.5</v>
      </c>
      <c r="AI10" s="1752">
        <v>-0.5</v>
      </c>
      <c r="AJ10" s="1752">
        <v>-0.5</v>
      </c>
      <c r="AK10" s="1752">
        <v>-0.5</v>
      </c>
      <c r="AL10" s="1752">
        <v>-0.5</v>
      </c>
      <c r="AM10" s="1752">
        <v>-0.5</v>
      </c>
      <c r="AN10" s="1752">
        <v>-0.5</v>
      </c>
      <c r="AO10" s="1752">
        <v>-0.5</v>
      </c>
      <c r="AP10" s="1752">
        <v>-0.5</v>
      </c>
      <c r="AQ10" s="1752"/>
      <c r="AR10" s="1752"/>
      <c r="AS10" s="1752"/>
      <c r="AT10" s="1752"/>
      <c r="AU10" s="1752"/>
      <c r="AV10" s="1752"/>
      <c r="AW10" s="1752"/>
      <c r="AX10" s="1752"/>
      <c r="AY10" s="1752"/>
      <c r="AZ10" s="1752"/>
      <c r="BA10" s="1752"/>
      <c r="BB10" s="1752"/>
      <c r="BC10" s="1752"/>
      <c r="BD10" s="1752"/>
      <c r="BE10" s="1752"/>
      <c r="BF10" s="1752"/>
      <c r="BG10" s="1752"/>
      <c r="BH10" s="1752"/>
      <c r="BI10" s="1752"/>
      <c r="BJ10" s="1752"/>
      <c r="BK10" s="1752"/>
      <c r="BL10" s="1752"/>
      <c r="BM10" s="1752"/>
      <c r="BN10" s="1752"/>
      <c r="BO10" s="1752"/>
      <c r="BP10" s="1754"/>
      <c r="BQ10" s="1755"/>
      <c r="BR10" s="1755"/>
      <c r="BS10" s="1755"/>
      <c r="BT10" s="1755"/>
      <c r="BU10" s="1755"/>
      <c r="BV10" s="1755"/>
      <c r="BW10" s="1755"/>
      <c r="BX10" s="1755"/>
      <c r="BY10" s="1755"/>
      <c r="BZ10" s="1755"/>
      <c r="CA10" s="1755"/>
      <c r="CB10" s="1755"/>
      <c r="CC10" s="1755"/>
      <c r="CD10" s="1755"/>
      <c r="CE10" s="1755"/>
      <c r="CF10" s="1755"/>
      <c r="CG10" s="1755"/>
      <c r="CH10" s="1755"/>
      <c r="CI10" s="1755"/>
      <c r="CJ10" s="1755"/>
      <c r="CK10" s="1755"/>
      <c r="CL10" s="1755"/>
      <c r="CM10" s="1755"/>
      <c r="CN10" s="1756"/>
      <c r="CO10" s="1767"/>
    </row>
    <row r="11" spans="2:93" ht="28.5" x14ac:dyDescent="0.2">
      <c r="B11" s="1707"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11" s="1707" t="s">
        <v>879</v>
      </c>
      <c r="D11" s="1707" t="s">
        <v>878</v>
      </c>
      <c r="E11" s="1707" t="s">
        <v>875</v>
      </c>
      <c r="F11" s="1707" t="str">
        <f>VLOOKUP(TBL5_OptBen[[#This Row],[Option Type (defined list)]],'Option Typs_Grps'!B$2:C$47, 2, FALSE)</f>
        <v>Resource Options</v>
      </c>
      <c r="G11" s="1707" t="s">
        <v>863</v>
      </c>
      <c r="H11" s="1707" t="s">
        <v>1458</v>
      </c>
      <c r="I11" s="1707" t="s">
        <v>88</v>
      </c>
      <c r="J11" s="1707" t="s">
        <v>236</v>
      </c>
      <c r="K11" s="1751">
        <v>2</v>
      </c>
      <c r="L11" s="1752"/>
      <c r="M11" s="1752"/>
      <c r="N11" s="1752"/>
      <c r="O11" s="1754"/>
      <c r="P11" s="1766"/>
      <c r="Q11" s="1753"/>
      <c r="R11" s="1753"/>
      <c r="S11" s="1752"/>
      <c r="T11" s="1752">
        <v>-0.33</v>
      </c>
      <c r="U11" s="1752">
        <v>-0.33</v>
      </c>
      <c r="V11" s="1752">
        <v>-0.33</v>
      </c>
      <c r="W11" s="1752">
        <v>-0.33</v>
      </c>
      <c r="X11" s="1752">
        <v>-0.33</v>
      </c>
      <c r="Y11" s="1752">
        <v>-0.33</v>
      </c>
      <c r="Z11" s="1752">
        <v>-0.33</v>
      </c>
      <c r="AA11" s="1752">
        <v>-0.5</v>
      </c>
      <c r="AB11" s="1752">
        <v>-0.5</v>
      </c>
      <c r="AC11" s="1752">
        <v>-0.5</v>
      </c>
      <c r="AD11" s="1752">
        <v>-0.5</v>
      </c>
      <c r="AE11" s="1752">
        <v>-0.5</v>
      </c>
      <c r="AF11" s="1752">
        <v>-0.5</v>
      </c>
      <c r="AG11" s="1752">
        <v>-0.5</v>
      </c>
      <c r="AH11" s="1752">
        <v>-0.5</v>
      </c>
      <c r="AI11" s="1752">
        <v>-0.5</v>
      </c>
      <c r="AJ11" s="1752">
        <v>-0.5</v>
      </c>
      <c r="AK11" s="1752">
        <v>-0.5</v>
      </c>
      <c r="AL11" s="1752">
        <v>-0.5</v>
      </c>
      <c r="AM11" s="1752">
        <v>-0.5</v>
      </c>
      <c r="AN11" s="1752">
        <v>-0.5</v>
      </c>
      <c r="AO11" s="1752">
        <v>-0.5</v>
      </c>
      <c r="AP11" s="1752">
        <v>-0.5</v>
      </c>
      <c r="AQ11" s="1752"/>
      <c r="AR11" s="1752"/>
      <c r="AS11" s="1752"/>
      <c r="AT11" s="1752"/>
      <c r="AU11" s="1752"/>
      <c r="AV11" s="1752"/>
      <c r="AW11" s="1752"/>
      <c r="AX11" s="1752"/>
      <c r="AY11" s="1752"/>
      <c r="AZ11" s="1752"/>
      <c r="BA11" s="1752"/>
      <c r="BB11" s="1752"/>
      <c r="BC11" s="1752"/>
      <c r="BD11" s="1752"/>
      <c r="BE11" s="1752"/>
      <c r="BF11" s="1752"/>
      <c r="BG11" s="1752"/>
      <c r="BH11" s="1752"/>
      <c r="BI11" s="1752"/>
      <c r="BJ11" s="1752"/>
      <c r="BK11" s="1752"/>
      <c r="BL11" s="1752"/>
      <c r="BM11" s="1752"/>
      <c r="BN11" s="1752"/>
      <c r="BO11" s="1752"/>
      <c r="BP11" s="1754"/>
      <c r="BQ11" s="1755"/>
      <c r="BR11" s="1755"/>
      <c r="BS11" s="1755"/>
      <c r="BT11" s="1755"/>
      <c r="BU11" s="1755"/>
      <c r="BV11" s="1755"/>
      <c r="BW11" s="1755"/>
      <c r="BX11" s="1755"/>
      <c r="BY11" s="1755"/>
      <c r="BZ11" s="1755"/>
      <c r="CA11" s="1755"/>
      <c r="CB11" s="1755"/>
      <c r="CC11" s="1755"/>
      <c r="CD11" s="1755"/>
      <c r="CE11" s="1755"/>
      <c r="CF11" s="1755"/>
      <c r="CG11" s="1755"/>
      <c r="CH11" s="1755"/>
      <c r="CI11" s="1755"/>
      <c r="CJ11" s="1755"/>
      <c r="CK11" s="1755"/>
      <c r="CL11" s="1755"/>
      <c r="CM11" s="1755"/>
      <c r="CN11" s="1756"/>
      <c r="CO11" s="1767"/>
    </row>
    <row r="12" spans="2:93" ht="28.5" x14ac:dyDescent="0.2">
      <c r="B12" s="1707"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12" s="1707" t="s">
        <v>879</v>
      </c>
      <c r="D12" s="1707" t="s">
        <v>878</v>
      </c>
      <c r="E12" s="1707" t="s">
        <v>875</v>
      </c>
      <c r="F12" s="1707" t="str">
        <f>VLOOKUP(TBL5_OptBen[[#This Row],[Option Type (defined list)]],'Option Typs_Grps'!B$2:C$47, 2, FALSE)</f>
        <v>Resource Options</v>
      </c>
      <c r="G12" s="1707" t="s">
        <v>863</v>
      </c>
      <c r="H12" s="1707" t="s">
        <v>1459</v>
      </c>
      <c r="I12" s="1707" t="s">
        <v>88</v>
      </c>
      <c r="J12" s="1707" t="s">
        <v>236</v>
      </c>
      <c r="K12" s="1751">
        <v>2</v>
      </c>
      <c r="L12" s="1752"/>
      <c r="M12" s="1752"/>
      <c r="N12" s="1752"/>
      <c r="O12" s="1754"/>
      <c r="P12" s="1766"/>
      <c r="Q12" s="1753"/>
      <c r="R12" s="1753"/>
      <c r="S12" s="1752"/>
      <c r="T12" s="1752">
        <v>-0.33</v>
      </c>
      <c r="U12" s="1752">
        <v>-0.33</v>
      </c>
      <c r="V12" s="1752">
        <v>-0.33</v>
      </c>
      <c r="W12" s="1752">
        <v>-0.33</v>
      </c>
      <c r="X12" s="1752">
        <v>-0.33</v>
      </c>
      <c r="Y12" s="1752">
        <v>-0.33</v>
      </c>
      <c r="Z12" s="1752">
        <v>-0.33</v>
      </c>
      <c r="AA12" s="1752">
        <v>-0.5</v>
      </c>
      <c r="AB12" s="1752">
        <v>-0.5</v>
      </c>
      <c r="AC12" s="1752">
        <v>-0.5</v>
      </c>
      <c r="AD12" s="1752">
        <v>-0.5</v>
      </c>
      <c r="AE12" s="1752">
        <v>-0.5</v>
      </c>
      <c r="AF12" s="1752">
        <v>-0.5</v>
      </c>
      <c r="AG12" s="1752">
        <v>-0.5</v>
      </c>
      <c r="AH12" s="1752">
        <v>-0.5</v>
      </c>
      <c r="AI12" s="1752">
        <v>-0.5</v>
      </c>
      <c r="AJ12" s="1752">
        <v>-0.5</v>
      </c>
      <c r="AK12" s="1752">
        <v>-0.5</v>
      </c>
      <c r="AL12" s="1752">
        <v>-0.5</v>
      </c>
      <c r="AM12" s="1752">
        <v>-0.5</v>
      </c>
      <c r="AN12" s="1752">
        <v>-0.5</v>
      </c>
      <c r="AO12" s="1752">
        <v>-0.5</v>
      </c>
      <c r="AP12" s="1752">
        <v>-0.5</v>
      </c>
      <c r="AQ12" s="1752"/>
      <c r="AR12" s="1752"/>
      <c r="AS12" s="1752"/>
      <c r="AT12" s="1752"/>
      <c r="AU12" s="1752"/>
      <c r="AV12" s="1752"/>
      <c r="AW12" s="1752"/>
      <c r="AX12" s="1752"/>
      <c r="AY12" s="1752"/>
      <c r="AZ12" s="1752"/>
      <c r="BA12" s="1752"/>
      <c r="BB12" s="1752"/>
      <c r="BC12" s="1752"/>
      <c r="BD12" s="1752"/>
      <c r="BE12" s="1752"/>
      <c r="BF12" s="1752"/>
      <c r="BG12" s="1752"/>
      <c r="BH12" s="1752"/>
      <c r="BI12" s="1752"/>
      <c r="BJ12" s="1752"/>
      <c r="BK12" s="1752"/>
      <c r="BL12" s="1752"/>
      <c r="BM12" s="1752"/>
      <c r="BN12" s="1752"/>
      <c r="BO12" s="1752"/>
      <c r="BP12" s="1754"/>
      <c r="BQ12" s="1755"/>
      <c r="BR12" s="1755"/>
      <c r="BS12" s="1755"/>
      <c r="BT12" s="1755"/>
      <c r="BU12" s="1755"/>
      <c r="BV12" s="1755"/>
      <c r="BW12" s="1755"/>
      <c r="BX12" s="1755"/>
      <c r="BY12" s="1755"/>
      <c r="BZ12" s="1755"/>
      <c r="CA12" s="1755"/>
      <c r="CB12" s="1755"/>
      <c r="CC12" s="1755"/>
      <c r="CD12" s="1755"/>
      <c r="CE12" s="1755"/>
      <c r="CF12" s="1755"/>
      <c r="CG12" s="1755"/>
      <c r="CH12" s="1755"/>
      <c r="CI12" s="1755"/>
      <c r="CJ12" s="1755"/>
      <c r="CK12" s="1755"/>
      <c r="CL12" s="1755"/>
      <c r="CM12" s="1755"/>
      <c r="CN12" s="1756"/>
      <c r="CO12" s="1767"/>
    </row>
    <row r="13" spans="2:93" ht="28.5" x14ac:dyDescent="0.2">
      <c r="B13" s="1707"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13" s="1707" t="s">
        <v>879</v>
      </c>
      <c r="D13" s="1707" t="s">
        <v>878</v>
      </c>
      <c r="E13" s="1707" t="s">
        <v>875</v>
      </c>
      <c r="F13" s="1707" t="str">
        <f>VLOOKUP(TBL5_OptBen[[#This Row],[Option Type (defined list)]],'Option Typs_Grps'!B$2:C$47, 2, FALSE)</f>
        <v>Resource Options</v>
      </c>
      <c r="G13" s="1707" t="s">
        <v>863</v>
      </c>
      <c r="H13" s="1707" t="s">
        <v>1460</v>
      </c>
      <c r="I13" s="1707" t="s">
        <v>88</v>
      </c>
      <c r="J13" s="1707" t="s">
        <v>236</v>
      </c>
      <c r="K13" s="1751">
        <v>2</v>
      </c>
      <c r="L13" s="1752"/>
      <c r="M13" s="1752"/>
      <c r="N13" s="1752"/>
      <c r="O13" s="1754"/>
      <c r="P13" s="1766"/>
      <c r="Q13" s="1753"/>
      <c r="R13" s="1753"/>
      <c r="S13" s="1752"/>
      <c r="T13" s="1752">
        <v>-0.33</v>
      </c>
      <c r="U13" s="1752">
        <v>-0.33</v>
      </c>
      <c r="V13" s="1752">
        <v>-0.33</v>
      </c>
      <c r="W13" s="1752">
        <v>-0.33</v>
      </c>
      <c r="X13" s="1752">
        <v>-0.33</v>
      </c>
      <c r="Y13" s="1752">
        <v>-0.33</v>
      </c>
      <c r="Z13" s="1752">
        <v>-0.33</v>
      </c>
      <c r="AA13" s="1752">
        <v>-0.5</v>
      </c>
      <c r="AB13" s="1752">
        <v>-0.5</v>
      </c>
      <c r="AC13" s="1752">
        <v>-0.5</v>
      </c>
      <c r="AD13" s="1752">
        <v>-0.5</v>
      </c>
      <c r="AE13" s="1752">
        <v>-0.5</v>
      </c>
      <c r="AF13" s="1752">
        <v>-0.5</v>
      </c>
      <c r="AG13" s="1752">
        <v>-0.5</v>
      </c>
      <c r="AH13" s="1752">
        <v>-0.5</v>
      </c>
      <c r="AI13" s="1752">
        <v>-0.5</v>
      </c>
      <c r="AJ13" s="1752">
        <v>-0.5</v>
      </c>
      <c r="AK13" s="1752">
        <v>-0.5</v>
      </c>
      <c r="AL13" s="1752">
        <v>-0.5</v>
      </c>
      <c r="AM13" s="1752">
        <v>-0.5</v>
      </c>
      <c r="AN13" s="1752">
        <v>-0.5</v>
      </c>
      <c r="AO13" s="1752">
        <v>-0.5</v>
      </c>
      <c r="AP13" s="1752">
        <v>-0.5</v>
      </c>
      <c r="AQ13" s="1752"/>
      <c r="AR13" s="1752"/>
      <c r="AS13" s="1752"/>
      <c r="AT13" s="1752"/>
      <c r="AU13" s="1752"/>
      <c r="AV13" s="1752"/>
      <c r="AW13" s="1752"/>
      <c r="AX13" s="1752"/>
      <c r="AY13" s="1752"/>
      <c r="AZ13" s="1752"/>
      <c r="BA13" s="1752"/>
      <c r="BB13" s="1752"/>
      <c r="BC13" s="1752"/>
      <c r="BD13" s="1752"/>
      <c r="BE13" s="1752"/>
      <c r="BF13" s="1752"/>
      <c r="BG13" s="1752"/>
      <c r="BH13" s="1752"/>
      <c r="BI13" s="1752"/>
      <c r="BJ13" s="1752"/>
      <c r="BK13" s="1752"/>
      <c r="BL13" s="1752"/>
      <c r="BM13" s="1752"/>
      <c r="BN13" s="1752"/>
      <c r="BO13" s="1752"/>
      <c r="BP13" s="1754"/>
      <c r="BQ13" s="1755"/>
      <c r="BR13" s="1755"/>
      <c r="BS13" s="1755"/>
      <c r="BT13" s="1755"/>
      <c r="BU13" s="1755"/>
      <c r="BV13" s="1755"/>
      <c r="BW13" s="1755"/>
      <c r="BX13" s="1755"/>
      <c r="BY13" s="1755"/>
      <c r="BZ13" s="1755"/>
      <c r="CA13" s="1755"/>
      <c r="CB13" s="1755"/>
      <c r="CC13" s="1755"/>
      <c r="CD13" s="1755"/>
      <c r="CE13" s="1755"/>
      <c r="CF13" s="1755"/>
      <c r="CG13" s="1755"/>
      <c r="CH13" s="1755"/>
      <c r="CI13" s="1755"/>
      <c r="CJ13" s="1755"/>
      <c r="CK13" s="1755"/>
      <c r="CL13" s="1755"/>
      <c r="CM13" s="1755"/>
      <c r="CN13" s="1756"/>
      <c r="CO13" s="1767"/>
    </row>
    <row r="14" spans="2:93" ht="28.5" x14ac:dyDescent="0.2">
      <c r="B14" s="1707"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14" s="1707" t="s">
        <v>879</v>
      </c>
      <c r="D14" s="1707" t="s">
        <v>878</v>
      </c>
      <c r="E14" s="1707" t="s">
        <v>875</v>
      </c>
      <c r="F14" s="1707" t="str">
        <f>VLOOKUP(TBL5_OptBen[[#This Row],[Option Type (defined list)]],'Option Typs_Grps'!B$2:C$47, 2, FALSE)</f>
        <v>Resource Options</v>
      </c>
      <c r="G14" s="1707" t="s">
        <v>863</v>
      </c>
      <c r="H14" s="1707" t="s">
        <v>1461</v>
      </c>
      <c r="I14" s="1707" t="s">
        <v>88</v>
      </c>
      <c r="J14" s="1707" t="s">
        <v>236</v>
      </c>
      <c r="K14" s="1751">
        <v>2</v>
      </c>
      <c r="L14" s="1752"/>
      <c r="M14" s="1752"/>
      <c r="N14" s="1752"/>
      <c r="O14" s="1754"/>
      <c r="P14" s="1766"/>
      <c r="Q14" s="1753"/>
      <c r="R14" s="1753"/>
      <c r="S14" s="1752"/>
      <c r="T14" s="1752">
        <v>-0.33</v>
      </c>
      <c r="U14" s="1752">
        <v>-0.33</v>
      </c>
      <c r="V14" s="1752">
        <v>-0.33</v>
      </c>
      <c r="W14" s="1752">
        <v>-0.33</v>
      </c>
      <c r="X14" s="1752">
        <v>-0.33</v>
      </c>
      <c r="Y14" s="1752">
        <v>-0.33</v>
      </c>
      <c r="Z14" s="1752">
        <v>-0.33</v>
      </c>
      <c r="AA14" s="1752">
        <v>-0.5</v>
      </c>
      <c r="AB14" s="1752">
        <v>-0.5</v>
      </c>
      <c r="AC14" s="1752">
        <v>-0.5</v>
      </c>
      <c r="AD14" s="1752">
        <v>-0.5</v>
      </c>
      <c r="AE14" s="1752">
        <v>-0.5</v>
      </c>
      <c r="AF14" s="1752">
        <v>-0.5</v>
      </c>
      <c r="AG14" s="1752">
        <v>-0.5</v>
      </c>
      <c r="AH14" s="1752">
        <v>-0.5</v>
      </c>
      <c r="AI14" s="1752">
        <v>-0.5</v>
      </c>
      <c r="AJ14" s="1752">
        <v>-0.5</v>
      </c>
      <c r="AK14" s="1752">
        <v>-0.5</v>
      </c>
      <c r="AL14" s="1752">
        <v>-0.5</v>
      </c>
      <c r="AM14" s="1752">
        <v>-0.5</v>
      </c>
      <c r="AN14" s="1752">
        <v>-0.5</v>
      </c>
      <c r="AO14" s="1752">
        <v>-0.5</v>
      </c>
      <c r="AP14" s="1752">
        <v>-0.5</v>
      </c>
      <c r="AQ14" s="1752"/>
      <c r="AR14" s="1752"/>
      <c r="AS14" s="1752"/>
      <c r="AT14" s="1752"/>
      <c r="AU14" s="1752"/>
      <c r="AV14" s="1752"/>
      <c r="AW14" s="1752"/>
      <c r="AX14" s="1752"/>
      <c r="AY14" s="1752"/>
      <c r="AZ14" s="1752"/>
      <c r="BA14" s="1752"/>
      <c r="BB14" s="1752"/>
      <c r="BC14" s="1752"/>
      <c r="BD14" s="1752"/>
      <c r="BE14" s="1752"/>
      <c r="BF14" s="1752"/>
      <c r="BG14" s="1752"/>
      <c r="BH14" s="1752"/>
      <c r="BI14" s="1752"/>
      <c r="BJ14" s="1752"/>
      <c r="BK14" s="1752"/>
      <c r="BL14" s="1752"/>
      <c r="BM14" s="1752"/>
      <c r="BN14" s="1752"/>
      <c r="BO14" s="1752"/>
      <c r="BP14" s="1754"/>
      <c r="BQ14" s="1755"/>
      <c r="BR14" s="1755"/>
      <c r="BS14" s="1755"/>
      <c r="BT14" s="1755"/>
      <c r="BU14" s="1755"/>
      <c r="BV14" s="1755"/>
      <c r="BW14" s="1755"/>
      <c r="BX14" s="1755"/>
      <c r="BY14" s="1755"/>
      <c r="BZ14" s="1755"/>
      <c r="CA14" s="1755"/>
      <c r="CB14" s="1755"/>
      <c r="CC14" s="1755"/>
      <c r="CD14" s="1755"/>
      <c r="CE14" s="1755"/>
      <c r="CF14" s="1755"/>
      <c r="CG14" s="1755"/>
      <c r="CH14" s="1755"/>
      <c r="CI14" s="1755"/>
      <c r="CJ14" s="1755"/>
      <c r="CK14" s="1755"/>
      <c r="CL14" s="1755"/>
      <c r="CM14" s="1755"/>
      <c r="CN14" s="1756"/>
      <c r="CO14" s="1767"/>
    </row>
    <row r="15" spans="2:93" ht="28.5" x14ac:dyDescent="0.2">
      <c r="B15" s="1707"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15" s="1707" t="s">
        <v>879</v>
      </c>
      <c r="D15" s="1707" t="s">
        <v>878</v>
      </c>
      <c r="E15" s="1707" t="s">
        <v>875</v>
      </c>
      <c r="F15" s="1707" t="str">
        <f>VLOOKUP(TBL5_OptBen[[#This Row],[Option Type (defined list)]],'Option Typs_Grps'!B$2:C$47, 2, FALSE)</f>
        <v>Resource Options</v>
      </c>
      <c r="G15" s="1707" t="s">
        <v>863</v>
      </c>
      <c r="H15" s="1707" t="s">
        <v>1462</v>
      </c>
      <c r="I15" s="1707" t="s">
        <v>88</v>
      </c>
      <c r="J15" s="1707" t="s">
        <v>236</v>
      </c>
      <c r="K15" s="1751">
        <v>2</v>
      </c>
      <c r="L15" s="1752"/>
      <c r="M15" s="1752"/>
      <c r="N15" s="1752"/>
      <c r="O15" s="1754"/>
      <c r="P15" s="1766"/>
      <c r="Q15" s="1753"/>
      <c r="R15" s="1753"/>
      <c r="S15" s="1752"/>
      <c r="T15" s="1752">
        <v>-0.33</v>
      </c>
      <c r="U15" s="1752">
        <v>-0.33</v>
      </c>
      <c r="V15" s="1752">
        <v>-0.33</v>
      </c>
      <c r="W15" s="1752">
        <v>-0.33</v>
      </c>
      <c r="X15" s="1752">
        <v>-0.33</v>
      </c>
      <c r="Y15" s="1752">
        <v>-0.33</v>
      </c>
      <c r="Z15" s="1752">
        <v>-0.33</v>
      </c>
      <c r="AA15" s="1752">
        <v>-0.5</v>
      </c>
      <c r="AB15" s="1752">
        <v>-0.5</v>
      </c>
      <c r="AC15" s="1752">
        <v>-0.5</v>
      </c>
      <c r="AD15" s="1752">
        <v>-0.5</v>
      </c>
      <c r="AE15" s="1752">
        <v>-0.5</v>
      </c>
      <c r="AF15" s="1752">
        <v>-0.5</v>
      </c>
      <c r="AG15" s="1752">
        <v>-0.5</v>
      </c>
      <c r="AH15" s="1752">
        <v>-0.5</v>
      </c>
      <c r="AI15" s="1752">
        <v>-0.5</v>
      </c>
      <c r="AJ15" s="1752">
        <v>-0.5</v>
      </c>
      <c r="AK15" s="1752">
        <v>-0.5</v>
      </c>
      <c r="AL15" s="1752">
        <v>-0.5</v>
      </c>
      <c r="AM15" s="1752">
        <v>-0.5</v>
      </c>
      <c r="AN15" s="1752">
        <v>-0.5</v>
      </c>
      <c r="AO15" s="1752">
        <v>-0.5</v>
      </c>
      <c r="AP15" s="1752">
        <v>-0.5</v>
      </c>
      <c r="AQ15" s="1752"/>
      <c r="AR15" s="1752"/>
      <c r="AS15" s="1752"/>
      <c r="AT15" s="1752"/>
      <c r="AU15" s="1752"/>
      <c r="AV15" s="1752"/>
      <c r="AW15" s="1752"/>
      <c r="AX15" s="1752"/>
      <c r="AY15" s="1752"/>
      <c r="AZ15" s="1752"/>
      <c r="BA15" s="1752"/>
      <c r="BB15" s="1752"/>
      <c r="BC15" s="1752"/>
      <c r="BD15" s="1752"/>
      <c r="BE15" s="1752"/>
      <c r="BF15" s="1752"/>
      <c r="BG15" s="1752"/>
      <c r="BH15" s="1752"/>
      <c r="BI15" s="1752"/>
      <c r="BJ15" s="1752"/>
      <c r="BK15" s="1752"/>
      <c r="BL15" s="1752"/>
      <c r="BM15" s="1752"/>
      <c r="BN15" s="1752"/>
      <c r="BO15" s="1752"/>
      <c r="BP15" s="1754"/>
      <c r="BQ15" s="1755"/>
      <c r="BR15" s="1755"/>
      <c r="BS15" s="1755"/>
      <c r="BT15" s="1755"/>
      <c r="BU15" s="1755"/>
      <c r="BV15" s="1755"/>
      <c r="BW15" s="1755"/>
      <c r="BX15" s="1755"/>
      <c r="BY15" s="1755"/>
      <c r="BZ15" s="1755"/>
      <c r="CA15" s="1755"/>
      <c r="CB15" s="1755"/>
      <c r="CC15" s="1755"/>
      <c r="CD15" s="1755"/>
      <c r="CE15" s="1755"/>
      <c r="CF15" s="1755"/>
      <c r="CG15" s="1755"/>
      <c r="CH15" s="1755"/>
      <c r="CI15" s="1755"/>
      <c r="CJ15" s="1755"/>
      <c r="CK15" s="1755"/>
      <c r="CL15" s="1755"/>
      <c r="CM15" s="1755"/>
      <c r="CN15" s="1756"/>
      <c r="CO15" s="1767"/>
    </row>
    <row r="16" spans="2:93" ht="28.5" x14ac:dyDescent="0.2">
      <c r="B16" s="170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52aP</v>
      </c>
      <c r="C16" s="1703" t="s">
        <v>953</v>
      </c>
      <c r="D16" s="1703" t="s">
        <v>952</v>
      </c>
      <c r="E16" s="1704" t="s">
        <v>913</v>
      </c>
      <c r="F16" s="1707" t="str">
        <f>VLOOKUP(TBL5_OptBen[[#This Row],[Option Type (defined list)]],'Option Typs_Grps'!B$2:C$47, 2, FALSE)</f>
        <v>Resource Options</v>
      </c>
      <c r="G16" s="1707" t="s">
        <v>863</v>
      </c>
      <c r="H16" s="1707" t="s">
        <v>876</v>
      </c>
      <c r="I16" s="1703" t="s">
        <v>105</v>
      </c>
      <c r="J16" s="1707" t="s">
        <v>236</v>
      </c>
      <c r="K16" s="1751">
        <v>2</v>
      </c>
      <c r="L16" s="1752"/>
      <c r="M16" s="1752"/>
      <c r="N16" s="1752"/>
      <c r="O16" s="1754"/>
      <c r="P16" s="1766"/>
      <c r="Q16" s="1753"/>
      <c r="R16" s="1753"/>
      <c r="S16" s="1752"/>
      <c r="T16" s="1752"/>
      <c r="U16" s="1752"/>
      <c r="V16" s="1752"/>
      <c r="W16" s="1752"/>
      <c r="X16" s="1752"/>
      <c r="Y16" s="1752">
        <v>11</v>
      </c>
      <c r="Z16" s="1752">
        <v>11</v>
      </c>
      <c r="AA16" s="1752">
        <v>11</v>
      </c>
      <c r="AB16" s="1752">
        <v>11</v>
      </c>
      <c r="AC16" s="1752">
        <v>11</v>
      </c>
      <c r="AD16" s="1752">
        <v>11</v>
      </c>
      <c r="AE16" s="1752">
        <v>11</v>
      </c>
      <c r="AF16" s="1752">
        <v>11</v>
      </c>
      <c r="AG16" s="1752">
        <v>11</v>
      </c>
      <c r="AH16" s="1752">
        <v>11</v>
      </c>
      <c r="AI16" s="1752">
        <v>11</v>
      </c>
      <c r="AJ16" s="1752">
        <v>11</v>
      </c>
      <c r="AK16" s="1752">
        <v>11</v>
      </c>
      <c r="AL16" s="1752">
        <v>11</v>
      </c>
      <c r="AM16" s="1752">
        <v>11</v>
      </c>
      <c r="AN16" s="1752">
        <v>11</v>
      </c>
      <c r="AO16" s="1752">
        <v>11</v>
      </c>
      <c r="AP16" s="1752">
        <v>11</v>
      </c>
      <c r="AQ16" s="1752"/>
      <c r="AR16" s="1752"/>
      <c r="AS16" s="1752"/>
      <c r="AT16" s="1752"/>
      <c r="AU16" s="1752"/>
      <c r="AV16" s="1752"/>
      <c r="AW16" s="1752"/>
      <c r="AX16" s="1752"/>
      <c r="AY16" s="1752"/>
      <c r="AZ16" s="1752"/>
      <c r="BA16" s="1752"/>
      <c r="BB16" s="1752"/>
      <c r="BC16" s="1752"/>
      <c r="BD16" s="1752"/>
      <c r="BE16" s="1752"/>
      <c r="BF16" s="1752"/>
      <c r="BG16" s="1752"/>
      <c r="BH16" s="1752"/>
      <c r="BI16" s="1752"/>
      <c r="BJ16" s="1752"/>
      <c r="BK16" s="1752"/>
      <c r="BL16" s="1752"/>
      <c r="BM16" s="1752"/>
      <c r="BN16" s="1752"/>
      <c r="BO16" s="1752"/>
      <c r="BP16" s="1752"/>
      <c r="BQ16" s="1752"/>
      <c r="BR16" s="1752"/>
      <c r="BS16" s="1752"/>
      <c r="BT16" s="1752"/>
      <c r="BU16" s="1752"/>
      <c r="BV16" s="1752"/>
      <c r="BW16" s="1752"/>
      <c r="BX16" s="1752"/>
      <c r="BY16" s="1752"/>
      <c r="BZ16" s="1752"/>
      <c r="CA16" s="1752"/>
      <c r="CB16" s="1752"/>
      <c r="CC16" s="1752"/>
      <c r="CD16" s="1752"/>
      <c r="CE16" s="1752"/>
      <c r="CF16" s="1752"/>
      <c r="CG16" s="1752"/>
      <c r="CH16" s="1752"/>
      <c r="CI16" s="1752"/>
      <c r="CJ16" s="1752"/>
      <c r="CK16" s="1752"/>
      <c r="CL16" s="1752"/>
      <c r="CM16" s="1752"/>
      <c r="CN16" s="1752"/>
      <c r="CO16" s="1767"/>
    </row>
    <row r="17" spans="2:93" x14ac:dyDescent="0.2">
      <c r="B17" s="170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52bP</v>
      </c>
      <c r="C17" s="1707" t="s">
        <v>889</v>
      </c>
      <c r="D17" s="1707" t="s">
        <v>888</v>
      </c>
      <c r="E17" s="1704" t="s">
        <v>885</v>
      </c>
      <c r="F17" s="1707" t="str">
        <f>VLOOKUP(TBL5_OptBen[[#This Row],[Option Type (defined list)]],'Option Typs_Grps'!B$2:C$47, 2, FALSE)</f>
        <v>Production Options</v>
      </c>
      <c r="G17" s="1707" t="s">
        <v>863</v>
      </c>
      <c r="H17" s="1707" t="s">
        <v>876</v>
      </c>
      <c r="I17" s="1703" t="s">
        <v>88</v>
      </c>
      <c r="J17" s="1707" t="s">
        <v>236</v>
      </c>
      <c r="K17" s="1751">
        <v>2</v>
      </c>
      <c r="L17" s="1752"/>
      <c r="M17" s="1752"/>
      <c r="N17" s="1752"/>
      <c r="O17" s="1754"/>
      <c r="P17" s="1766"/>
      <c r="Q17" s="1753"/>
      <c r="R17" s="1753"/>
      <c r="S17" s="1752"/>
      <c r="T17" s="1752"/>
      <c r="U17" s="1752"/>
      <c r="V17" s="1752">
        <v>0.9</v>
      </c>
      <c r="W17" s="1752">
        <v>0.9</v>
      </c>
      <c r="X17" s="1752">
        <v>0.9</v>
      </c>
      <c r="Y17" s="1752">
        <v>0.9</v>
      </c>
      <c r="Z17" s="1752">
        <v>0.9</v>
      </c>
      <c r="AA17" s="1752">
        <v>0.9</v>
      </c>
      <c r="AB17" s="1752">
        <v>0.9</v>
      </c>
      <c r="AC17" s="1752">
        <v>0.9</v>
      </c>
      <c r="AD17" s="1752">
        <v>0.9</v>
      </c>
      <c r="AE17" s="1752">
        <v>0.9</v>
      </c>
      <c r="AF17" s="1752">
        <v>0.9</v>
      </c>
      <c r="AG17" s="1752">
        <v>0.9</v>
      </c>
      <c r="AH17" s="1752">
        <v>0.9</v>
      </c>
      <c r="AI17" s="1752">
        <v>0.9</v>
      </c>
      <c r="AJ17" s="1752">
        <v>0.9</v>
      </c>
      <c r="AK17" s="1752">
        <v>0.9</v>
      </c>
      <c r="AL17" s="1752">
        <v>0.9</v>
      </c>
      <c r="AM17" s="1752">
        <v>0.9</v>
      </c>
      <c r="AN17" s="1752">
        <v>0.9</v>
      </c>
      <c r="AO17" s="1752">
        <v>0.9</v>
      </c>
      <c r="AP17" s="1752">
        <v>0.9</v>
      </c>
      <c r="AQ17" s="1752"/>
      <c r="AR17" s="1752"/>
      <c r="AS17" s="1752"/>
      <c r="AT17" s="1752"/>
      <c r="AU17" s="1752"/>
      <c r="AV17" s="1752"/>
      <c r="AW17" s="1752"/>
      <c r="AX17" s="1752"/>
      <c r="AY17" s="1752"/>
      <c r="AZ17" s="1752"/>
      <c r="BA17" s="1752"/>
      <c r="BB17" s="1752"/>
      <c r="BC17" s="1752"/>
      <c r="BD17" s="1752"/>
      <c r="BE17" s="1752"/>
      <c r="BF17" s="1752"/>
      <c r="BG17" s="1752"/>
      <c r="BH17" s="1752"/>
      <c r="BI17" s="1752"/>
      <c r="BJ17" s="1752"/>
      <c r="BK17" s="1752"/>
      <c r="BL17" s="1752"/>
      <c r="BM17" s="1752"/>
      <c r="BN17" s="1752"/>
      <c r="BO17" s="1752"/>
      <c r="BP17" s="1754"/>
      <c r="BQ17" s="1755"/>
      <c r="BR17" s="1755"/>
      <c r="BS17" s="1755"/>
      <c r="BT17" s="1755"/>
      <c r="BU17" s="1755"/>
      <c r="BV17" s="1755"/>
      <c r="BW17" s="1755"/>
      <c r="BX17" s="1755"/>
      <c r="BY17" s="1755"/>
      <c r="BZ17" s="1755"/>
      <c r="CA17" s="1755"/>
      <c r="CB17" s="1755"/>
      <c r="CC17" s="1755"/>
      <c r="CD17" s="1755"/>
      <c r="CE17" s="1755"/>
      <c r="CF17" s="1755"/>
      <c r="CG17" s="1755"/>
      <c r="CH17" s="1755"/>
      <c r="CI17" s="1755"/>
      <c r="CJ17" s="1755"/>
      <c r="CK17" s="1755"/>
      <c r="CL17" s="1755"/>
      <c r="CM17" s="1755"/>
      <c r="CN17" s="1756"/>
      <c r="CO17" s="1767"/>
    </row>
    <row r="18" spans="2:93" x14ac:dyDescent="0.2">
      <c r="B18" s="170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52bP</v>
      </c>
      <c r="C18" s="1707" t="s">
        <v>887</v>
      </c>
      <c r="D18" s="1707" t="s">
        <v>886</v>
      </c>
      <c r="E18" s="1704" t="s">
        <v>885</v>
      </c>
      <c r="F18" s="1707" t="str">
        <f>VLOOKUP(TBL5_OptBen[[#This Row],[Option Type (defined list)]],'Option Typs_Grps'!B$2:C$47, 2, FALSE)</f>
        <v>Production Options</v>
      </c>
      <c r="G18" s="1707" t="s">
        <v>863</v>
      </c>
      <c r="H18" s="1707" t="s">
        <v>876</v>
      </c>
      <c r="I18" s="1703" t="s">
        <v>88</v>
      </c>
      <c r="J18" s="1707" t="s">
        <v>236</v>
      </c>
      <c r="K18" s="1751">
        <v>2</v>
      </c>
      <c r="L18" s="1752"/>
      <c r="M18" s="1752"/>
      <c r="N18" s="1752"/>
      <c r="O18" s="1754"/>
      <c r="P18" s="1766"/>
      <c r="Q18" s="1753"/>
      <c r="R18" s="1753"/>
      <c r="S18" s="1752"/>
      <c r="T18" s="1752"/>
      <c r="U18" s="1752"/>
      <c r="V18" s="1752">
        <v>2.75</v>
      </c>
      <c r="W18" s="1752">
        <v>2.75</v>
      </c>
      <c r="X18" s="1752">
        <v>2.75</v>
      </c>
      <c r="Y18" s="1752">
        <v>2.75</v>
      </c>
      <c r="Z18" s="1752">
        <v>2.75</v>
      </c>
      <c r="AA18" s="1752">
        <v>2.75</v>
      </c>
      <c r="AB18" s="1752">
        <v>2.75</v>
      </c>
      <c r="AC18" s="1752">
        <v>2.75</v>
      </c>
      <c r="AD18" s="1752">
        <v>2.75</v>
      </c>
      <c r="AE18" s="1752">
        <v>2.75</v>
      </c>
      <c r="AF18" s="1752">
        <v>2.75</v>
      </c>
      <c r="AG18" s="1752">
        <v>2.75</v>
      </c>
      <c r="AH18" s="1752">
        <v>2.75</v>
      </c>
      <c r="AI18" s="1752">
        <v>2.75</v>
      </c>
      <c r="AJ18" s="1752">
        <v>2.75</v>
      </c>
      <c r="AK18" s="1752">
        <v>2.75</v>
      </c>
      <c r="AL18" s="1752">
        <v>2.75</v>
      </c>
      <c r="AM18" s="1752">
        <v>2.75</v>
      </c>
      <c r="AN18" s="1752">
        <v>2.75</v>
      </c>
      <c r="AO18" s="1752">
        <v>2.75</v>
      </c>
      <c r="AP18" s="1752">
        <v>2.75</v>
      </c>
      <c r="AQ18" s="1752"/>
      <c r="AR18" s="1752"/>
      <c r="AS18" s="1752"/>
      <c r="AT18" s="1752"/>
      <c r="AU18" s="1752"/>
      <c r="AV18" s="1752"/>
      <c r="AW18" s="1752"/>
      <c r="AX18" s="1752"/>
      <c r="AY18" s="1752"/>
      <c r="AZ18" s="1752"/>
      <c r="BA18" s="1752"/>
      <c r="BB18" s="1752"/>
      <c r="BC18" s="1752"/>
      <c r="BD18" s="1752"/>
      <c r="BE18" s="1752"/>
      <c r="BF18" s="1752"/>
      <c r="BG18" s="1752"/>
      <c r="BH18" s="1752"/>
      <c r="BI18" s="1752"/>
      <c r="BJ18" s="1752"/>
      <c r="BK18" s="1752"/>
      <c r="BL18" s="1752"/>
      <c r="BM18" s="1752"/>
      <c r="BN18" s="1752"/>
      <c r="BO18" s="1752"/>
      <c r="BP18" s="1754"/>
      <c r="BQ18" s="1755"/>
      <c r="BR18" s="1755"/>
      <c r="BS18" s="1755"/>
      <c r="BT18" s="1755"/>
      <c r="BU18" s="1755"/>
      <c r="BV18" s="1755"/>
      <c r="BW18" s="1755"/>
      <c r="BX18" s="1755"/>
      <c r="BY18" s="1755"/>
      <c r="BZ18" s="1755"/>
      <c r="CA18" s="1755"/>
      <c r="CB18" s="1755"/>
      <c r="CC18" s="1755"/>
      <c r="CD18" s="1755"/>
      <c r="CE18" s="1755"/>
      <c r="CF18" s="1755"/>
      <c r="CG18" s="1755"/>
      <c r="CH18" s="1755"/>
      <c r="CI18" s="1755"/>
      <c r="CJ18" s="1755"/>
      <c r="CK18" s="1755"/>
      <c r="CL18" s="1755"/>
      <c r="CM18" s="1755"/>
      <c r="CN18" s="1756"/>
      <c r="CO18" s="1767"/>
    </row>
    <row r="19" spans="2:93" x14ac:dyDescent="0.2">
      <c r="B19" s="170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52aP</v>
      </c>
      <c r="C19" s="1707" t="s">
        <v>1463</v>
      </c>
      <c r="D19" s="1707" t="s">
        <v>890</v>
      </c>
      <c r="E19" s="1704" t="s">
        <v>875</v>
      </c>
      <c r="F19" s="1707" t="str">
        <f>VLOOKUP(TBL5_OptBen[[#This Row],[Option Type (defined list)]],'Option Typs_Grps'!B$2:C$47, 2, FALSE)</f>
        <v>Resource Options</v>
      </c>
      <c r="G19" s="1707" t="s">
        <v>863</v>
      </c>
      <c r="H19" s="1707" t="s">
        <v>876</v>
      </c>
      <c r="I19" s="1703" t="s">
        <v>88</v>
      </c>
      <c r="J19" s="1707" t="s">
        <v>236</v>
      </c>
      <c r="K19" s="1751">
        <v>2</v>
      </c>
      <c r="L19" s="1752"/>
      <c r="M19" s="1752"/>
      <c r="N19" s="1752"/>
      <c r="O19" s="1754"/>
      <c r="P19" s="1766"/>
      <c r="Q19" s="1753"/>
      <c r="R19" s="1753"/>
      <c r="S19" s="1752"/>
      <c r="T19" s="1752"/>
      <c r="U19" s="1752"/>
      <c r="V19" s="1752"/>
      <c r="W19" s="1752">
        <v>8</v>
      </c>
      <c r="X19" s="1752">
        <v>8</v>
      </c>
      <c r="Y19" s="1752">
        <v>8</v>
      </c>
      <c r="Z19" s="1752">
        <v>8</v>
      </c>
      <c r="AA19" s="1752">
        <v>8</v>
      </c>
      <c r="AB19" s="1752">
        <v>8</v>
      </c>
      <c r="AC19" s="1752">
        <v>8</v>
      </c>
      <c r="AD19" s="1752">
        <v>8</v>
      </c>
      <c r="AE19" s="1752">
        <v>8</v>
      </c>
      <c r="AF19" s="1752">
        <v>8</v>
      </c>
      <c r="AG19" s="1752">
        <v>8</v>
      </c>
      <c r="AH19" s="1752">
        <v>8</v>
      </c>
      <c r="AI19" s="1752">
        <v>8</v>
      </c>
      <c r="AJ19" s="1752">
        <v>8</v>
      </c>
      <c r="AK19" s="1752">
        <v>8</v>
      </c>
      <c r="AL19" s="1752">
        <v>8</v>
      </c>
      <c r="AM19" s="1752">
        <v>8</v>
      </c>
      <c r="AN19" s="1752">
        <v>8</v>
      </c>
      <c r="AO19" s="1752">
        <v>8</v>
      </c>
      <c r="AP19" s="1752">
        <v>8</v>
      </c>
      <c r="AQ19" s="1752"/>
      <c r="AR19" s="1752"/>
      <c r="AS19" s="1752"/>
      <c r="AT19" s="1752"/>
      <c r="AU19" s="1752"/>
      <c r="AV19" s="1752"/>
      <c r="AW19" s="1752"/>
      <c r="AX19" s="1752"/>
      <c r="AY19" s="1752"/>
      <c r="AZ19" s="1752"/>
      <c r="BA19" s="1752"/>
      <c r="BB19" s="1752"/>
      <c r="BC19" s="1752"/>
      <c r="BD19" s="1752"/>
      <c r="BE19" s="1752"/>
      <c r="BF19" s="1752"/>
      <c r="BG19" s="1752"/>
      <c r="BH19" s="1752"/>
      <c r="BI19" s="1752"/>
      <c r="BJ19" s="1752"/>
      <c r="BK19" s="1752"/>
      <c r="BL19" s="1752"/>
      <c r="BM19" s="1752"/>
      <c r="BN19" s="1752"/>
      <c r="BO19" s="1752"/>
      <c r="BP19" s="1754"/>
      <c r="BQ19" s="1755"/>
      <c r="BR19" s="1755"/>
      <c r="BS19" s="1755"/>
      <c r="BT19" s="1755"/>
      <c r="BU19" s="1755"/>
      <c r="BV19" s="1755"/>
      <c r="BW19" s="1755"/>
      <c r="BX19" s="1755"/>
      <c r="BY19" s="1755"/>
      <c r="BZ19" s="1755"/>
      <c r="CA19" s="1755"/>
      <c r="CB19" s="1755"/>
      <c r="CC19" s="1755"/>
      <c r="CD19" s="1755"/>
      <c r="CE19" s="1755"/>
      <c r="CF19" s="1755"/>
      <c r="CG19" s="1755"/>
      <c r="CH19" s="1755"/>
      <c r="CI19" s="1755"/>
      <c r="CJ19" s="1755"/>
      <c r="CK19" s="1755"/>
      <c r="CL19" s="1755"/>
      <c r="CM19" s="1755"/>
      <c r="CN19" s="1756"/>
      <c r="CO19" s="1767"/>
    </row>
    <row r="20" spans="2:93" x14ac:dyDescent="0.2">
      <c r="B20" s="170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52bP</v>
      </c>
      <c r="C20" s="1703" t="s">
        <v>894</v>
      </c>
      <c r="D20" s="1703" t="s">
        <v>893</v>
      </c>
      <c r="E20" s="1704" t="s">
        <v>885</v>
      </c>
      <c r="F20" s="1707" t="str">
        <f>VLOOKUP(TBL5_OptBen[[#This Row],[Option Type (defined list)]],'Option Typs_Grps'!B$2:C$47, 2, FALSE)</f>
        <v>Production Options</v>
      </c>
      <c r="G20" s="1707" t="s">
        <v>863</v>
      </c>
      <c r="H20" s="1707" t="s">
        <v>876</v>
      </c>
      <c r="I20" s="1703" t="s">
        <v>88</v>
      </c>
      <c r="J20" s="1707" t="s">
        <v>236</v>
      </c>
      <c r="K20" s="1751">
        <v>2</v>
      </c>
      <c r="L20" s="1752"/>
      <c r="M20" s="1752"/>
      <c r="N20" s="1752"/>
      <c r="O20" s="1754"/>
      <c r="P20" s="1766"/>
      <c r="Q20" s="1753"/>
      <c r="R20" s="1753"/>
      <c r="S20" s="1752"/>
      <c r="T20" s="1752"/>
      <c r="U20" s="1752"/>
      <c r="V20" s="1752">
        <v>0.2</v>
      </c>
      <c r="W20" s="1752">
        <v>0.2</v>
      </c>
      <c r="X20" s="1752">
        <v>0.2</v>
      </c>
      <c r="Y20" s="1752">
        <v>0.2</v>
      </c>
      <c r="Z20" s="1752">
        <v>0.2</v>
      </c>
      <c r="AA20" s="1752">
        <v>0.2</v>
      </c>
      <c r="AB20" s="1752">
        <v>0.2</v>
      </c>
      <c r="AC20" s="1752">
        <v>0.2</v>
      </c>
      <c r="AD20" s="1752">
        <v>0.2</v>
      </c>
      <c r="AE20" s="1752">
        <v>0.2</v>
      </c>
      <c r="AF20" s="1752">
        <v>0.2</v>
      </c>
      <c r="AG20" s="1752">
        <v>0.2</v>
      </c>
      <c r="AH20" s="1752">
        <v>0.2</v>
      </c>
      <c r="AI20" s="1752">
        <v>0.2</v>
      </c>
      <c r="AJ20" s="1752">
        <v>0.2</v>
      </c>
      <c r="AK20" s="1752">
        <v>0.2</v>
      </c>
      <c r="AL20" s="1752">
        <v>0.2</v>
      </c>
      <c r="AM20" s="1752">
        <v>0.2</v>
      </c>
      <c r="AN20" s="1752">
        <v>0.2</v>
      </c>
      <c r="AO20" s="1752">
        <v>0.2</v>
      </c>
      <c r="AP20" s="1752">
        <v>0.2</v>
      </c>
      <c r="AQ20" s="1752"/>
      <c r="AR20" s="1752"/>
      <c r="AS20" s="1752"/>
      <c r="AT20" s="1752"/>
      <c r="AU20" s="1752"/>
      <c r="AV20" s="1752"/>
      <c r="AW20" s="1752"/>
      <c r="AX20" s="1752"/>
      <c r="AY20" s="1752"/>
      <c r="AZ20" s="1752"/>
      <c r="BA20" s="1752"/>
      <c r="BB20" s="1752"/>
      <c r="BC20" s="1752"/>
      <c r="BD20" s="1752"/>
      <c r="BE20" s="1752"/>
      <c r="BF20" s="1752"/>
      <c r="BG20" s="1752"/>
      <c r="BH20" s="1752"/>
      <c r="BI20" s="1752"/>
      <c r="BJ20" s="1752"/>
      <c r="BK20" s="1752"/>
      <c r="BL20" s="1752"/>
      <c r="BM20" s="1752"/>
      <c r="BN20" s="1752"/>
      <c r="BO20" s="1752"/>
      <c r="BP20" s="1754"/>
      <c r="BQ20" s="1755"/>
      <c r="BR20" s="1755"/>
      <c r="BS20" s="1755"/>
      <c r="BT20" s="1755"/>
      <c r="BU20" s="1755"/>
      <c r="BV20" s="1755"/>
      <c r="BW20" s="1755"/>
      <c r="BX20" s="1755"/>
      <c r="BY20" s="1755"/>
      <c r="BZ20" s="1755"/>
      <c r="CA20" s="1755"/>
      <c r="CB20" s="1755"/>
      <c r="CC20" s="1755"/>
      <c r="CD20" s="1755"/>
      <c r="CE20" s="1755"/>
      <c r="CF20" s="1755"/>
      <c r="CG20" s="1755"/>
      <c r="CH20" s="1755"/>
      <c r="CI20" s="1755"/>
      <c r="CJ20" s="1755"/>
      <c r="CK20" s="1755"/>
      <c r="CL20" s="1755"/>
      <c r="CM20" s="1755"/>
      <c r="CN20" s="1752"/>
      <c r="CO20" s="1767"/>
    </row>
    <row r="21" spans="2:93" ht="28.5" x14ac:dyDescent="0.2">
      <c r="B21" s="170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52aP</v>
      </c>
      <c r="C21" s="1703" t="s">
        <v>1464</v>
      </c>
      <c r="D21" s="1703" t="s">
        <v>979</v>
      </c>
      <c r="E21" s="1704" t="s">
        <v>981</v>
      </c>
      <c r="F21" s="1707" t="str">
        <f>VLOOKUP(TBL5_OptBen[[#This Row],[Option Type (defined list)]],'Option Typs_Grps'!B$2:C$47, 2, FALSE)</f>
        <v>Resource Options</v>
      </c>
      <c r="G21" s="1707" t="s">
        <v>863</v>
      </c>
      <c r="H21" s="1707" t="s">
        <v>876</v>
      </c>
      <c r="I21" s="1703" t="s">
        <v>105</v>
      </c>
      <c r="J21" s="1707" t="s">
        <v>236</v>
      </c>
      <c r="K21" s="1751">
        <v>2</v>
      </c>
      <c r="L21" s="1752"/>
      <c r="M21" s="1752"/>
      <c r="N21" s="1752"/>
      <c r="O21" s="1754"/>
      <c r="P21" s="1766"/>
      <c r="Q21" s="1753"/>
      <c r="R21" s="1753"/>
      <c r="S21" s="1752"/>
      <c r="T21" s="1752"/>
      <c r="U21" s="1752"/>
      <c r="V21" s="1752"/>
      <c r="W21" s="1752"/>
      <c r="X21" s="1752"/>
      <c r="Y21" s="1752"/>
      <c r="Z21" s="1752"/>
      <c r="AA21" s="1752"/>
      <c r="AB21" s="1752"/>
      <c r="AC21" s="1752"/>
      <c r="AD21" s="1752"/>
      <c r="AE21" s="1752"/>
      <c r="AF21" s="1752"/>
      <c r="AG21" s="1752">
        <v>19.899999999999999</v>
      </c>
      <c r="AH21" s="1752">
        <v>19.899999999999999</v>
      </c>
      <c r="AI21" s="1752">
        <v>19.899999999999999</v>
      </c>
      <c r="AJ21" s="1752">
        <v>19.899999999999999</v>
      </c>
      <c r="AK21" s="1752">
        <v>19.899999999999999</v>
      </c>
      <c r="AL21" s="1752">
        <v>19.899999999999999</v>
      </c>
      <c r="AM21" s="1752">
        <v>19.899999999999999</v>
      </c>
      <c r="AN21" s="1752">
        <v>19.899999999999999</v>
      </c>
      <c r="AO21" s="1752">
        <v>19.899999999999999</v>
      </c>
      <c r="AP21" s="1752">
        <v>19.899999999999999</v>
      </c>
      <c r="AQ21" s="1752"/>
      <c r="AR21" s="1752"/>
      <c r="AS21" s="1752"/>
      <c r="AT21" s="1752"/>
      <c r="AU21" s="1752"/>
      <c r="AV21" s="1752"/>
      <c r="AW21" s="1752"/>
      <c r="AX21" s="1752"/>
      <c r="AY21" s="1752"/>
      <c r="AZ21" s="1752"/>
      <c r="BA21" s="1752"/>
      <c r="BB21" s="1752"/>
      <c r="BC21" s="1752"/>
      <c r="BD21" s="1752"/>
      <c r="BE21" s="1752"/>
      <c r="BF21" s="1752"/>
      <c r="BG21" s="1752"/>
      <c r="BH21" s="1752"/>
      <c r="BI21" s="1752"/>
      <c r="BJ21" s="1752"/>
      <c r="BK21" s="1752"/>
      <c r="BL21" s="1752"/>
      <c r="BM21" s="1752"/>
      <c r="BN21" s="1752"/>
      <c r="BO21" s="1752"/>
      <c r="BP21" s="1752"/>
      <c r="BQ21" s="1752"/>
      <c r="BR21" s="1752"/>
      <c r="BS21" s="1752"/>
      <c r="BT21" s="1752"/>
      <c r="BU21" s="1752"/>
      <c r="BV21" s="1752"/>
      <c r="BW21" s="1752"/>
      <c r="BX21" s="1752"/>
      <c r="BY21" s="1752"/>
      <c r="BZ21" s="1752"/>
      <c r="CA21" s="1752"/>
      <c r="CB21" s="1752"/>
      <c r="CC21" s="1752"/>
      <c r="CD21" s="1752"/>
      <c r="CE21" s="1752"/>
      <c r="CF21" s="1752"/>
      <c r="CG21" s="1752"/>
      <c r="CH21" s="1752"/>
      <c r="CI21" s="1752"/>
      <c r="CJ21" s="1752"/>
      <c r="CK21" s="1752"/>
      <c r="CL21" s="1752"/>
      <c r="CM21" s="1752"/>
      <c r="CN21" s="1752"/>
      <c r="CO21" s="1767"/>
    </row>
    <row r="22" spans="2:93" x14ac:dyDescent="0.2">
      <c r="B22" s="170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52bP</v>
      </c>
      <c r="C22" s="1707" t="s">
        <v>884</v>
      </c>
      <c r="D22" s="1707" t="s">
        <v>883</v>
      </c>
      <c r="E22" s="1704" t="s">
        <v>885</v>
      </c>
      <c r="F22" s="1707" t="str">
        <f>VLOOKUP(TBL5_OptBen[[#This Row],[Option Type (defined list)]],'Option Typs_Grps'!B$2:C$47, 2, FALSE)</f>
        <v>Production Options</v>
      </c>
      <c r="G22" s="1707" t="s">
        <v>863</v>
      </c>
      <c r="H22" s="1707" t="s">
        <v>876</v>
      </c>
      <c r="I22" s="1703" t="s">
        <v>105</v>
      </c>
      <c r="J22" s="1707" t="s">
        <v>236</v>
      </c>
      <c r="K22" s="1751">
        <v>2</v>
      </c>
      <c r="L22" s="1752"/>
      <c r="M22" s="1752"/>
      <c r="N22" s="1752"/>
      <c r="O22" s="1754"/>
      <c r="P22" s="1766"/>
      <c r="Q22" s="1753"/>
      <c r="R22" s="1753"/>
      <c r="S22" s="1752"/>
      <c r="T22" s="1752"/>
      <c r="U22" s="1752"/>
      <c r="V22" s="1752">
        <v>2.15</v>
      </c>
      <c r="W22" s="1752">
        <v>2.15</v>
      </c>
      <c r="X22" s="1752">
        <v>2.15</v>
      </c>
      <c r="Y22" s="1752">
        <v>2.15</v>
      </c>
      <c r="Z22" s="1752">
        <v>2.15</v>
      </c>
      <c r="AA22" s="1752">
        <v>2.15</v>
      </c>
      <c r="AB22" s="1752">
        <v>2.15</v>
      </c>
      <c r="AC22" s="1752">
        <v>2.15</v>
      </c>
      <c r="AD22" s="1752">
        <v>2.15</v>
      </c>
      <c r="AE22" s="1752">
        <v>2.15</v>
      </c>
      <c r="AF22" s="1752">
        <v>2.15</v>
      </c>
      <c r="AG22" s="1752">
        <v>2.15</v>
      </c>
      <c r="AH22" s="1752">
        <v>2.15</v>
      </c>
      <c r="AI22" s="1752">
        <v>2.15</v>
      </c>
      <c r="AJ22" s="1752">
        <v>2.15</v>
      </c>
      <c r="AK22" s="1752">
        <v>2.15</v>
      </c>
      <c r="AL22" s="1752">
        <v>2.15</v>
      </c>
      <c r="AM22" s="1752">
        <v>2.15</v>
      </c>
      <c r="AN22" s="1752">
        <v>2.15</v>
      </c>
      <c r="AO22" s="1752">
        <v>2.15</v>
      </c>
      <c r="AP22" s="1752">
        <v>2.15</v>
      </c>
      <c r="AQ22" s="1752"/>
      <c r="AR22" s="1752"/>
      <c r="AS22" s="1752"/>
      <c r="AT22" s="1752"/>
      <c r="AU22" s="1752"/>
      <c r="AV22" s="1752"/>
      <c r="AW22" s="1752"/>
      <c r="AX22" s="1752"/>
      <c r="AY22" s="1752"/>
      <c r="AZ22" s="1752"/>
      <c r="BA22" s="1752"/>
      <c r="BB22" s="1752"/>
      <c r="BC22" s="1752"/>
      <c r="BD22" s="1752"/>
      <c r="BE22" s="1752"/>
      <c r="BF22" s="1752"/>
      <c r="BG22" s="1752"/>
      <c r="BH22" s="1752"/>
      <c r="BI22" s="1752"/>
      <c r="BJ22" s="1752"/>
      <c r="BK22" s="1752"/>
      <c r="BL22" s="1752"/>
      <c r="BM22" s="1752"/>
      <c r="BN22" s="1752"/>
      <c r="BO22" s="1752"/>
      <c r="BP22" s="1754"/>
      <c r="BQ22" s="1755"/>
      <c r="BR22" s="1755"/>
      <c r="BS22" s="1755"/>
      <c r="BT22" s="1755"/>
      <c r="BU22" s="1755"/>
      <c r="BV22" s="1755"/>
      <c r="BW22" s="1755"/>
      <c r="BX22" s="1755"/>
      <c r="BY22" s="1755"/>
      <c r="BZ22" s="1755"/>
      <c r="CA22" s="1755"/>
      <c r="CB22" s="1755"/>
      <c r="CC22" s="1755"/>
      <c r="CD22" s="1755"/>
      <c r="CE22" s="1755"/>
      <c r="CF22" s="1755"/>
      <c r="CG22" s="1755"/>
      <c r="CH22" s="1755"/>
      <c r="CI22" s="1755"/>
      <c r="CJ22" s="1755"/>
      <c r="CK22" s="1755"/>
      <c r="CL22" s="1755"/>
      <c r="CM22" s="1755"/>
      <c r="CN22" s="1756"/>
      <c r="CO22" s="1767"/>
    </row>
    <row r="23" spans="2:93" ht="28.5" x14ac:dyDescent="0.2">
      <c r="B23" s="170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52cP</v>
      </c>
      <c r="C23" s="1703" t="s">
        <v>1465</v>
      </c>
      <c r="D23" s="1703" t="s">
        <v>982</v>
      </c>
      <c r="E23" s="1704" t="s">
        <v>907</v>
      </c>
      <c r="F23" s="1707" t="str">
        <f>VLOOKUP(TBL5_OptBen[[#This Row],[Option Type (defined list)]],'Option Typs_Grps'!B$2:C$47, 2, FALSE)</f>
        <v>Distribution Options</v>
      </c>
      <c r="G23" s="1707" t="s">
        <v>863</v>
      </c>
      <c r="H23" s="1707" t="s">
        <v>876</v>
      </c>
      <c r="I23" s="1703" t="s">
        <v>93</v>
      </c>
      <c r="J23" s="1707" t="s">
        <v>236</v>
      </c>
      <c r="K23" s="1751">
        <v>2</v>
      </c>
      <c r="L23" s="1752"/>
      <c r="M23" s="1752"/>
      <c r="N23" s="1752"/>
      <c r="O23" s="1754"/>
      <c r="P23" s="1766"/>
      <c r="Q23" s="1753"/>
      <c r="R23" s="1753"/>
      <c r="S23" s="1752"/>
      <c r="T23" s="1752"/>
      <c r="U23" s="1752">
        <v>0.52981537984108951</v>
      </c>
      <c r="V23" s="1752">
        <v>0.41022915495426138</v>
      </c>
      <c r="W23" s="1752">
        <v>1.9969002474290551</v>
      </c>
      <c r="X23" s="1752">
        <v>1.9013283248532828</v>
      </c>
      <c r="Y23" s="1752">
        <v>4.132353579458325</v>
      </c>
      <c r="Z23" s="1752">
        <v>4.0303463650160074</v>
      </c>
      <c r="AA23" s="1752">
        <v>3.9299665038642964</v>
      </c>
      <c r="AB23" s="1752">
        <v>3.8811543549678813</v>
      </c>
      <c r="AC23" s="1752">
        <v>3.8301910463949911</v>
      </c>
      <c r="AD23" s="1752">
        <v>3.7825314736066251</v>
      </c>
      <c r="AE23" s="1752">
        <v>3.7582861267371013</v>
      </c>
      <c r="AF23" s="1752">
        <v>3.7283825950762579</v>
      </c>
      <c r="AG23" s="1752">
        <v>4.6033840907552888</v>
      </c>
      <c r="AH23" s="1752">
        <v>4.576671091952095</v>
      </c>
      <c r="AI23" s="1752">
        <v>4.54951954311794</v>
      </c>
      <c r="AJ23" s="1752">
        <v>4.5381927937372986</v>
      </c>
      <c r="AK23" s="1752">
        <v>4.5281645466344935</v>
      </c>
      <c r="AL23" s="1752">
        <v>5.347236636067028</v>
      </c>
      <c r="AM23" s="1752">
        <v>5.3364547211658282</v>
      </c>
      <c r="AN23" s="1752">
        <v>5.3231392274904987</v>
      </c>
      <c r="AO23" s="1752">
        <v>5.3197550071245763</v>
      </c>
      <c r="AP23" s="1752">
        <v>5.3114223719818474</v>
      </c>
      <c r="AQ23" s="1752"/>
      <c r="AR23" s="1752"/>
      <c r="AS23" s="1752"/>
      <c r="AT23" s="1752"/>
      <c r="AU23" s="1752"/>
      <c r="AV23" s="1752"/>
      <c r="AW23" s="1752"/>
      <c r="AX23" s="1752"/>
      <c r="AY23" s="1752"/>
      <c r="AZ23" s="1752"/>
      <c r="BA23" s="1752"/>
      <c r="BB23" s="1752"/>
      <c r="BC23" s="1752"/>
      <c r="BD23" s="1752"/>
      <c r="BE23" s="1752"/>
      <c r="BF23" s="1752"/>
      <c r="BG23" s="1752"/>
      <c r="BH23" s="1752"/>
      <c r="BI23" s="1752"/>
      <c r="BJ23" s="1752"/>
      <c r="BK23" s="1752"/>
      <c r="BL23" s="1752"/>
      <c r="BM23" s="1752"/>
      <c r="BN23" s="1752"/>
      <c r="BO23" s="1752"/>
      <c r="BP23" s="1752"/>
      <c r="BQ23" s="1752"/>
      <c r="BR23" s="1752"/>
      <c r="BS23" s="1752"/>
      <c r="BT23" s="1752"/>
      <c r="BU23" s="1752"/>
      <c r="BV23" s="1752"/>
      <c r="BW23" s="1752"/>
      <c r="BX23" s="1752"/>
      <c r="BY23" s="1752"/>
      <c r="BZ23" s="1752"/>
      <c r="CA23" s="1752"/>
      <c r="CB23" s="1752"/>
      <c r="CC23" s="1752"/>
      <c r="CD23" s="1752"/>
      <c r="CE23" s="1752"/>
      <c r="CF23" s="1752"/>
      <c r="CG23" s="1752"/>
      <c r="CH23" s="1752"/>
      <c r="CI23" s="1752"/>
      <c r="CJ23" s="1752"/>
      <c r="CK23" s="1752"/>
      <c r="CL23" s="1752"/>
      <c r="CM23" s="1752"/>
      <c r="CN23" s="1752"/>
      <c r="CO23" s="1767"/>
    </row>
    <row r="24" spans="2:93" ht="28.5" x14ac:dyDescent="0.2">
      <c r="B24" s="170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52aP</v>
      </c>
      <c r="C24" s="1703" t="s">
        <v>1040</v>
      </c>
      <c r="D24" s="1703" t="s">
        <v>1039</v>
      </c>
      <c r="E24" s="1704" t="s">
        <v>1041</v>
      </c>
      <c r="F24" s="1707" t="str">
        <f>VLOOKUP(TBL5_OptBen[[#This Row],[Option Type (defined list)]],'Option Typs_Grps'!B$2:C$47, 2, FALSE)</f>
        <v>Resource Options</v>
      </c>
      <c r="G24" s="1707" t="s">
        <v>863</v>
      </c>
      <c r="H24" s="1707" t="s">
        <v>876</v>
      </c>
      <c r="I24" s="1703" t="s">
        <v>105</v>
      </c>
      <c r="J24" s="1707" t="s">
        <v>236</v>
      </c>
      <c r="K24" s="1751">
        <v>2</v>
      </c>
      <c r="L24" s="1752"/>
      <c r="M24" s="1752"/>
      <c r="N24" s="1752"/>
      <c r="O24" s="1754"/>
      <c r="P24" s="1766"/>
      <c r="Q24" s="1753"/>
      <c r="R24" s="1753"/>
      <c r="S24" s="1752"/>
      <c r="T24" s="1752"/>
      <c r="U24" s="1752"/>
      <c r="V24" s="1752"/>
      <c r="W24" s="1752">
        <v>1</v>
      </c>
      <c r="X24" s="1752">
        <v>1</v>
      </c>
      <c r="Y24" s="1752">
        <v>1</v>
      </c>
      <c r="Z24" s="1752">
        <v>1</v>
      </c>
      <c r="AA24" s="1752">
        <v>1</v>
      </c>
      <c r="AB24" s="1752">
        <v>1</v>
      </c>
      <c r="AC24" s="1752">
        <v>1</v>
      </c>
      <c r="AD24" s="1752">
        <v>1</v>
      </c>
      <c r="AE24" s="1752">
        <v>1</v>
      </c>
      <c r="AF24" s="1752">
        <v>1</v>
      </c>
      <c r="AG24" s="1752">
        <v>1</v>
      </c>
      <c r="AH24" s="1752">
        <v>1</v>
      </c>
      <c r="AI24" s="1752">
        <v>1</v>
      </c>
      <c r="AJ24" s="1752">
        <v>1</v>
      </c>
      <c r="AK24" s="1752">
        <v>1</v>
      </c>
      <c r="AL24" s="1752">
        <v>1</v>
      </c>
      <c r="AM24" s="1752">
        <v>1</v>
      </c>
      <c r="AN24" s="1752">
        <v>1</v>
      </c>
      <c r="AO24" s="1752">
        <v>1</v>
      </c>
      <c r="AP24" s="1752">
        <v>1</v>
      </c>
      <c r="AQ24" s="1752"/>
      <c r="AR24" s="1752"/>
      <c r="AS24" s="1752"/>
      <c r="AT24" s="1752"/>
      <c r="AU24" s="1752"/>
      <c r="AV24" s="1752"/>
      <c r="AW24" s="1752"/>
      <c r="AX24" s="1752"/>
      <c r="AY24" s="1752"/>
      <c r="AZ24" s="1752"/>
      <c r="BA24" s="1752"/>
      <c r="BB24" s="1752"/>
      <c r="BC24" s="1752"/>
      <c r="BD24" s="1752"/>
      <c r="BE24" s="1752"/>
      <c r="BF24" s="1752"/>
      <c r="BG24" s="1752"/>
      <c r="BH24" s="1752"/>
      <c r="BI24" s="1752"/>
      <c r="BJ24" s="1752"/>
      <c r="BK24" s="1752"/>
      <c r="BL24" s="1752"/>
      <c r="BM24" s="1752"/>
      <c r="BN24" s="1752"/>
      <c r="BO24" s="1752"/>
      <c r="BP24" s="1752"/>
      <c r="BQ24" s="1752"/>
      <c r="BR24" s="1752"/>
      <c r="BS24" s="1752"/>
      <c r="BT24" s="1752"/>
      <c r="BU24" s="1752"/>
      <c r="BV24" s="1752"/>
      <c r="BW24" s="1752"/>
      <c r="BX24" s="1752"/>
      <c r="BY24" s="1752"/>
      <c r="BZ24" s="1752"/>
      <c r="CA24" s="1752"/>
      <c r="CB24" s="1752"/>
      <c r="CC24" s="1752"/>
      <c r="CD24" s="1752"/>
      <c r="CE24" s="1752"/>
      <c r="CF24" s="1752"/>
      <c r="CG24" s="1752"/>
      <c r="CH24" s="1752"/>
      <c r="CI24" s="1752"/>
      <c r="CJ24" s="1752"/>
      <c r="CK24" s="1752"/>
      <c r="CL24" s="1752"/>
      <c r="CM24" s="1752"/>
      <c r="CN24" s="1752"/>
      <c r="CO24" s="1767"/>
    </row>
    <row r="25" spans="2:93" ht="28.5" x14ac:dyDescent="0.2">
      <c r="B25" s="170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52cP</v>
      </c>
      <c r="C25" s="1703" t="s">
        <v>1034</v>
      </c>
      <c r="D25" s="1703" t="s">
        <v>984</v>
      </c>
      <c r="E25" s="1704" t="s">
        <v>907</v>
      </c>
      <c r="F25" s="1707" t="str">
        <f>VLOOKUP(TBL5_OptBen[[#This Row],[Option Type (defined list)]],'Option Typs_Grps'!B$2:C$47, 2, FALSE)</f>
        <v>Distribution Options</v>
      </c>
      <c r="G25" s="1707" t="s">
        <v>863</v>
      </c>
      <c r="H25" s="1707" t="s">
        <v>876</v>
      </c>
      <c r="I25" s="1703" t="s">
        <v>102</v>
      </c>
      <c r="J25" s="1707" t="s">
        <v>236</v>
      </c>
      <c r="K25" s="1751">
        <v>2</v>
      </c>
      <c r="L25" s="1752"/>
      <c r="M25" s="1752"/>
      <c r="N25" s="1768"/>
      <c r="O25" s="1769"/>
      <c r="P25" s="1770"/>
      <c r="Q25" s="1768"/>
      <c r="R25" s="1768"/>
      <c r="S25" s="1771"/>
      <c r="T25" s="1771"/>
      <c r="U25" s="1771">
        <v>2.0191658334342422</v>
      </c>
      <c r="V25" s="1771">
        <v>1.9750342851558536</v>
      </c>
      <c r="W25" s="1771">
        <v>2.1602800871321528</v>
      </c>
      <c r="X25" s="1771">
        <v>1.9415896480311743</v>
      </c>
      <c r="Y25" s="1771">
        <v>5.654349269798713</v>
      </c>
      <c r="Z25" s="1771">
        <v>5.613079458205263</v>
      </c>
      <c r="AA25" s="1771">
        <v>5.5425060693968762</v>
      </c>
      <c r="AB25" s="1771">
        <v>5.4853809871869776</v>
      </c>
      <c r="AC25" s="1771">
        <v>5.4584486292165808</v>
      </c>
      <c r="AD25" s="1771">
        <v>5.4218804505148581</v>
      </c>
      <c r="AE25" s="1771">
        <v>5.4008407809205563</v>
      </c>
      <c r="AF25" s="1771">
        <v>5.3775638656158131</v>
      </c>
      <c r="AG25" s="1771">
        <v>6.0010081839225338</v>
      </c>
      <c r="AH25" s="1771">
        <v>5.9673451728357021</v>
      </c>
      <c r="AI25" s="1771">
        <v>5.9252281773674884</v>
      </c>
      <c r="AJ25" s="1771">
        <v>5.9053244604307817</v>
      </c>
      <c r="AK25" s="1771">
        <v>5.9066312118793931</v>
      </c>
      <c r="AL25" s="1771">
        <v>6.547291354179122</v>
      </c>
      <c r="AM25" s="1771">
        <v>6.5585931432347309</v>
      </c>
      <c r="AN25" s="1771">
        <v>6.5702706405093627</v>
      </c>
      <c r="AO25" s="1771">
        <v>6.5927342527358581</v>
      </c>
      <c r="AP25" s="1771">
        <v>6.6051322929039378</v>
      </c>
      <c r="AQ25" s="1771"/>
      <c r="AR25" s="1771"/>
      <c r="AS25" s="1771"/>
      <c r="AT25" s="1771"/>
      <c r="AU25" s="1771"/>
      <c r="AV25" s="1771"/>
      <c r="AW25" s="1771"/>
      <c r="AX25" s="1771"/>
      <c r="AY25" s="1771"/>
      <c r="AZ25" s="1771"/>
      <c r="BA25" s="1771"/>
      <c r="BB25" s="1771"/>
      <c r="BC25" s="1771"/>
      <c r="BD25" s="1771"/>
      <c r="BE25" s="1771"/>
      <c r="BF25" s="1771"/>
      <c r="BG25" s="1771"/>
      <c r="BH25" s="1771"/>
      <c r="BI25" s="1771"/>
      <c r="BJ25" s="1771"/>
      <c r="BK25" s="1771"/>
      <c r="BL25" s="1771"/>
      <c r="BM25" s="1771"/>
      <c r="BN25" s="1771"/>
      <c r="BO25" s="1771"/>
      <c r="BP25" s="1771"/>
      <c r="BQ25" s="1771"/>
      <c r="BR25" s="1771"/>
      <c r="BS25" s="1771"/>
      <c r="BT25" s="1771"/>
      <c r="BU25" s="1771"/>
      <c r="BV25" s="1771"/>
      <c r="BW25" s="1771"/>
      <c r="BX25" s="1771"/>
      <c r="BY25" s="1771"/>
      <c r="BZ25" s="1771"/>
      <c r="CA25" s="1771"/>
      <c r="CB25" s="1771"/>
      <c r="CC25" s="1771"/>
      <c r="CD25" s="1771"/>
      <c r="CE25" s="1771"/>
      <c r="CF25" s="1771"/>
      <c r="CG25" s="1771"/>
      <c r="CH25" s="1771"/>
      <c r="CI25" s="1771"/>
      <c r="CJ25" s="1771"/>
      <c r="CK25" s="1771"/>
      <c r="CL25" s="1771"/>
      <c r="CM25" s="1771"/>
      <c r="CN25" s="1772"/>
      <c r="CO25" s="1767"/>
    </row>
    <row r="26" spans="2:93" x14ac:dyDescent="0.2">
      <c r="B26" s="170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26" s="1703" t="s">
        <v>874</v>
      </c>
      <c r="D26" s="1703" t="s">
        <v>873</v>
      </c>
      <c r="E26" s="1704" t="s">
        <v>875</v>
      </c>
      <c r="F26" s="1707" t="str">
        <f>VLOOKUP(TBL5_OptBen[[#This Row],[Option Type (defined list)]],'Option Typs_Grps'!B$2:C$47, 2, FALSE)</f>
        <v>Resource Options</v>
      </c>
      <c r="G26" s="1707" t="s">
        <v>863</v>
      </c>
      <c r="H26" s="1707" t="s">
        <v>1460</v>
      </c>
      <c r="I26" s="1703" t="s">
        <v>88</v>
      </c>
      <c r="J26" s="1707" t="s">
        <v>236</v>
      </c>
      <c r="K26" s="1751">
        <v>2</v>
      </c>
      <c r="L26" s="1752"/>
      <c r="M26" s="1752"/>
      <c r="N26" s="1752"/>
      <c r="O26" s="1754"/>
      <c r="P26" s="1766"/>
      <c r="Q26" s="1753"/>
      <c r="R26" s="1753"/>
      <c r="S26" s="1752"/>
      <c r="T26" s="1752">
        <v>10</v>
      </c>
      <c r="U26" s="1752">
        <v>10</v>
      </c>
      <c r="V26" s="1752">
        <v>10</v>
      </c>
      <c r="W26" s="1752">
        <v>10</v>
      </c>
      <c r="X26" s="1752">
        <v>10</v>
      </c>
      <c r="Y26" s="1752">
        <v>10</v>
      </c>
      <c r="Z26" s="1752">
        <v>10</v>
      </c>
      <c r="AA26" s="1752">
        <v>10</v>
      </c>
      <c r="AB26" s="1752">
        <v>10</v>
      </c>
      <c r="AC26" s="1752">
        <v>10</v>
      </c>
      <c r="AD26" s="1752">
        <v>10</v>
      </c>
      <c r="AE26" s="1752">
        <v>10</v>
      </c>
      <c r="AF26" s="1752">
        <v>10</v>
      </c>
      <c r="AG26" s="1752">
        <v>10</v>
      </c>
      <c r="AH26" s="1752">
        <v>10</v>
      </c>
      <c r="AI26" s="1752">
        <v>10</v>
      </c>
      <c r="AJ26" s="1752">
        <v>10</v>
      </c>
      <c r="AK26" s="1752">
        <v>10</v>
      </c>
      <c r="AL26" s="1752">
        <v>10</v>
      </c>
      <c r="AM26" s="1752">
        <v>10</v>
      </c>
      <c r="AN26" s="1752">
        <v>10</v>
      </c>
      <c r="AO26" s="1752">
        <v>10</v>
      </c>
      <c r="AP26" s="1752">
        <v>10</v>
      </c>
      <c r="AQ26" s="1752"/>
      <c r="AR26" s="1752"/>
      <c r="AS26" s="1752"/>
      <c r="AT26" s="1752"/>
      <c r="AU26" s="1752"/>
      <c r="AV26" s="1752"/>
      <c r="AW26" s="1752"/>
      <c r="AX26" s="1752"/>
      <c r="AY26" s="1752"/>
      <c r="AZ26" s="1752"/>
      <c r="BA26" s="1752"/>
      <c r="BB26" s="1752"/>
      <c r="BC26" s="1752"/>
      <c r="BD26" s="1752"/>
      <c r="BE26" s="1752"/>
      <c r="BF26" s="1752"/>
      <c r="BG26" s="1752"/>
      <c r="BH26" s="1752"/>
      <c r="BI26" s="1752"/>
      <c r="BJ26" s="1752"/>
      <c r="BK26" s="1752"/>
      <c r="BL26" s="1752"/>
      <c r="BM26" s="1752"/>
      <c r="BN26" s="1752"/>
      <c r="BO26" s="1752"/>
      <c r="BP26" s="1752"/>
      <c r="BQ26" s="1752"/>
      <c r="BR26" s="1752"/>
      <c r="BS26" s="1752"/>
      <c r="BT26" s="1752"/>
      <c r="BU26" s="1752"/>
      <c r="BV26" s="1752"/>
      <c r="BW26" s="1752"/>
      <c r="BX26" s="1752"/>
      <c r="BY26" s="1752"/>
      <c r="BZ26" s="1752"/>
      <c r="CA26" s="1752"/>
      <c r="CB26" s="1752"/>
      <c r="CC26" s="1752"/>
      <c r="CD26" s="1752"/>
      <c r="CE26" s="1752"/>
      <c r="CF26" s="1752"/>
      <c r="CG26" s="1752"/>
      <c r="CH26" s="1752"/>
      <c r="CI26" s="1752"/>
      <c r="CJ26" s="1752"/>
      <c r="CK26" s="1752"/>
      <c r="CL26" s="1752"/>
      <c r="CM26" s="1752"/>
      <c r="CN26" s="1752"/>
      <c r="CO26" s="1767"/>
    </row>
    <row r="27" spans="2:93" ht="28.5" x14ac:dyDescent="0.2">
      <c r="B27" s="170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27" s="1703" t="s">
        <v>953</v>
      </c>
      <c r="D27" s="1703" t="s">
        <v>952</v>
      </c>
      <c r="E27" s="1704" t="s">
        <v>913</v>
      </c>
      <c r="F27" s="1707" t="str">
        <f>VLOOKUP(TBL5_OptBen[[#This Row],[Option Type (defined list)]],'Option Typs_Grps'!B$2:C$47, 2, FALSE)</f>
        <v>Resource Options</v>
      </c>
      <c r="G27" s="1707" t="s">
        <v>863</v>
      </c>
      <c r="H27" s="1707" t="s">
        <v>1460</v>
      </c>
      <c r="I27" s="1703" t="s">
        <v>105</v>
      </c>
      <c r="J27" s="1707" t="s">
        <v>236</v>
      </c>
      <c r="K27" s="1751">
        <v>2</v>
      </c>
      <c r="L27" s="1752"/>
      <c r="M27" s="1752"/>
      <c r="N27" s="1752"/>
      <c r="O27" s="1754"/>
      <c r="P27" s="1766"/>
      <c r="Q27" s="1753"/>
      <c r="R27" s="1753"/>
      <c r="S27" s="1752"/>
      <c r="T27" s="1752"/>
      <c r="U27" s="1752"/>
      <c r="V27" s="1752"/>
      <c r="W27" s="1752"/>
      <c r="X27" s="1752"/>
      <c r="Y27" s="1752">
        <v>11</v>
      </c>
      <c r="Z27" s="1752">
        <v>11</v>
      </c>
      <c r="AA27" s="1752">
        <v>11</v>
      </c>
      <c r="AB27" s="1752">
        <v>11</v>
      </c>
      <c r="AC27" s="1752">
        <v>11</v>
      </c>
      <c r="AD27" s="1752">
        <v>11</v>
      </c>
      <c r="AE27" s="1752">
        <v>11</v>
      </c>
      <c r="AF27" s="1752">
        <v>11</v>
      </c>
      <c r="AG27" s="1752">
        <v>11</v>
      </c>
      <c r="AH27" s="1752">
        <v>11</v>
      </c>
      <c r="AI27" s="1752">
        <v>11</v>
      </c>
      <c r="AJ27" s="1752">
        <v>11</v>
      </c>
      <c r="AK27" s="1752">
        <v>11</v>
      </c>
      <c r="AL27" s="1752">
        <v>11</v>
      </c>
      <c r="AM27" s="1752">
        <v>11</v>
      </c>
      <c r="AN27" s="1752">
        <v>11</v>
      </c>
      <c r="AO27" s="1752">
        <v>11</v>
      </c>
      <c r="AP27" s="1752">
        <v>11</v>
      </c>
      <c r="AQ27" s="1752"/>
      <c r="AR27" s="1752"/>
      <c r="AS27" s="1752"/>
      <c r="AT27" s="1752"/>
      <c r="AU27" s="1752"/>
      <c r="AV27" s="1752"/>
      <c r="AW27" s="1752"/>
      <c r="AX27" s="1752"/>
      <c r="AY27" s="1752"/>
      <c r="AZ27" s="1752"/>
      <c r="BA27" s="1752"/>
      <c r="BB27" s="1752"/>
      <c r="BC27" s="1752"/>
      <c r="BD27" s="1752"/>
      <c r="BE27" s="1752"/>
      <c r="BF27" s="1752"/>
      <c r="BG27" s="1752"/>
      <c r="BH27" s="1752"/>
      <c r="BI27" s="1752"/>
      <c r="BJ27" s="1752"/>
      <c r="BK27" s="1752"/>
      <c r="BL27" s="1752"/>
      <c r="BM27" s="1752"/>
      <c r="BN27" s="1752"/>
      <c r="BO27" s="1752"/>
      <c r="BP27" s="1752"/>
      <c r="BQ27" s="1752"/>
      <c r="BR27" s="1752"/>
      <c r="BS27" s="1752"/>
      <c r="BT27" s="1752"/>
      <c r="BU27" s="1752"/>
      <c r="BV27" s="1752"/>
      <c r="BW27" s="1752"/>
      <c r="BX27" s="1752"/>
      <c r="BY27" s="1752"/>
      <c r="BZ27" s="1752"/>
      <c r="CA27" s="1752"/>
      <c r="CB27" s="1752"/>
      <c r="CC27" s="1752"/>
      <c r="CD27" s="1752"/>
      <c r="CE27" s="1752"/>
      <c r="CF27" s="1752"/>
      <c r="CG27" s="1752"/>
      <c r="CH27" s="1752"/>
      <c r="CI27" s="1752"/>
      <c r="CJ27" s="1752"/>
      <c r="CK27" s="1752"/>
      <c r="CL27" s="1752"/>
      <c r="CM27" s="1752"/>
      <c r="CN27" s="1752"/>
      <c r="CO27" s="1767"/>
    </row>
    <row r="28" spans="2:93" x14ac:dyDescent="0.2">
      <c r="B28" s="170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52bA</v>
      </c>
      <c r="C28" s="1707" t="s">
        <v>889</v>
      </c>
      <c r="D28" s="1707" t="s">
        <v>888</v>
      </c>
      <c r="E28" s="1704" t="s">
        <v>885</v>
      </c>
      <c r="F28" s="1707" t="str">
        <f>VLOOKUP(TBL5_OptBen[[#This Row],[Option Type (defined list)]],'Option Typs_Grps'!B$2:C$47, 2, FALSE)</f>
        <v>Production Options</v>
      </c>
      <c r="G28" s="1707" t="s">
        <v>863</v>
      </c>
      <c r="H28" s="1707" t="s">
        <v>1460</v>
      </c>
      <c r="I28" s="1703" t="s">
        <v>88</v>
      </c>
      <c r="J28" s="1707" t="s">
        <v>236</v>
      </c>
      <c r="K28" s="1751">
        <v>2</v>
      </c>
      <c r="L28" s="1752"/>
      <c r="M28" s="1752"/>
      <c r="N28" s="1752"/>
      <c r="O28" s="1754"/>
      <c r="P28" s="1766"/>
      <c r="Q28" s="1753"/>
      <c r="R28" s="1753"/>
      <c r="S28" s="1752"/>
      <c r="T28" s="1752"/>
      <c r="U28" s="1752"/>
      <c r="V28" s="1752">
        <v>0.9</v>
      </c>
      <c r="W28" s="1752">
        <v>0.9</v>
      </c>
      <c r="X28" s="1752">
        <v>0.9</v>
      </c>
      <c r="Y28" s="1752">
        <v>0.9</v>
      </c>
      <c r="Z28" s="1752">
        <v>0.9</v>
      </c>
      <c r="AA28" s="1752">
        <v>0.9</v>
      </c>
      <c r="AB28" s="1752">
        <v>0.9</v>
      </c>
      <c r="AC28" s="1752">
        <v>0.9</v>
      </c>
      <c r="AD28" s="1752">
        <v>0.9</v>
      </c>
      <c r="AE28" s="1752">
        <v>0.9</v>
      </c>
      <c r="AF28" s="1752">
        <v>0.9</v>
      </c>
      <c r="AG28" s="1752">
        <v>0.9</v>
      </c>
      <c r="AH28" s="1752">
        <v>0.9</v>
      </c>
      <c r="AI28" s="1752">
        <v>0.9</v>
      </c>
      <c r="AJ28" s="1752">
        <v>0.9</v>
      </c>
      <c r="AK28" s="1752">
        <v>0.9</v>
      </c>
      <c r="AL28" s="1752">
        <v>0.9</v>
      </c>
      <c r="AM28" s="1752">
        <v>0.9</v>
      </c>
      <c r="AN28" s="1752">
        <v>0.9</v>
      </c>
      <c r="AO28" s="1752">
        <v>0.9</v>
      </c>
      <c r="AP28" s="1752">
        <v>0.9</v>
      </c>
      <c r="AQ28" s="1752"/>
      <c r="AR28" s="1752"/>
      <c r="AS28" s="1752"/>
      <c r="AT28" s="1752"/>
      <c r="AU28" s="1752"/>
      <c r="AV28" s="1752"/>
      <c r="AW28" s="1752"/>
      <c r="AX28" s="1752"/>
      <c r="AY28" s="1752"/>
      <c r="AZ28" s="1752"/>
      <c r="BA28" s="1752"/>
      <c r="BB28" s="1752"/>
      <c r="BC28" s="1752"/>
      <c r="BD28" s="1752"/>
      <c r="BE28" s="1752"/>
      <c r="BF28" s="1752"/>
      <c r="BG28" s="1752"/>
      <c r="BH28" s="1752"/>
      <c r="BI28" s="1752"/>
      <c r="BJ28" s="1752"/>
      <c r="BK28" s="1752"/>
      <c r="BL28" s="1752"/>
      <c r="BM28" s="1752"/>
      <c r="BN28" s="1752"/>
      <c r="BO28" s="1752"/>
      <c r="BP28" s="1754"/>
      <c r="BQ28" s="1755"/>
      <c r="BR28" s="1755"/>
      <c r="BS28" s="1755"/>
      <c r="BT28" s="1755"/>
      <c r="BU28" s="1755"/>
      <c r="BV28" s="1755"/>
      <c r="BW28" s="1755"/>
      <c r="BX28" s="1755"/>
      <c r="BY28" s="1755"/>
      <c r="BZ28" s="1755"/>
      <c r="CA28" s="1755"/>
      <c r="CB28" s="1755"/>
      <c r="CC28" s="1755"/>
      <c r="CD28" s="1755"/>
      <c r="CE28" s="1755"/>
      <c r="CF28" s="1755"/>
      <c r="CG28" s="1755"/>
      <c r="CH28" s="1755"/>
      <c r="CI28" s="1755"/>
      <c r="CJ28" s="1755"/>
      <c r="CK28" s="1755"/>
      <c r="CL28" s="1755"/>
      <c r="CM28" s="1755"/>
      <c r="CN28" s="1756"/>
      <c r="CO28" s="1767"/>
    </row>
    <row r="29" spans="2:93" x14ac:dyDescent="0.2">
      <c r="B29" s="170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52bA</v>
      </c>
      <c r="C29" s="1707" t="s">
        <v>887</v>
      </c>
      <c r="D29" s="1707" t="s">
        <v>886</v>
      </c>
      <c r="E29" s="1704" t="s">
        <v>885</v>
      </c>
      <c r="F29" s="1707" t="str">
        <f>VLOOKUP(TBL5_OptBen[[#This Row],[Option Type (defined list)]],'Option Typs_Grps'!B$2:C$47, 2, FALSE)</f>
        <v>Production Options</v>
      </c>
      <c r="G29" s="1707" t="s">
        <v>863</v>
      </c>
      <c r="H29" s="1707" t="s">
        <v>1460</v>
      </c>
      <c r="I29" s="1703" t="s">
        <v>88</v>
      </c>
      <c r="J29" s="1707" t="s">
        <v>236</v>
      </c>
      <c r="K29" s="1751">
        <v>2</v>
      </c>
      <c r="L29" s="1752"/>
      <c r="M29" s="1752"/>
      <c r="N29" s="1752"/>
      <c r="O29" s="1754"/>
      <c r="P29" s="1766"/>
      <c r="Q29" s="1753"/>
      <c r="R29" s="1753"/>
      <c r="S29" s="1752"/>
      <c r="T29" s="1752"/>
      <c r="U29" s="1752"/>
      <c r="V29" s="1752">
        <v>2.75</v>
      </c>
      <c r="W29" s="1752">
        <v>2.75</v>
      </c>
      <c r="X29" s="1752">
        <v>2.75</v>
      </c>
      <c r="Y29" s="1752">
        <v>2.75</v>
      </c>
      <c r="Z29" s="1752">
        <v>2.75</v>
      </c>
      <c r="AA29" s="1752">
        <v>2.75</v>
      </c>
      <c r="AB29" s="1752">
        <v>2.75</v>
      </c>
      <c r="AC29" s="1752">
        <v>2.75</v>
      </c>
      <c r="AD29" s="1752">
        <v>2.75</v>
      </c>
      <c r="AE29" s="1752">
        <v>2.75</v>
      </c>
      <c r="AF29" s="1752">
        <v>2.75</v>
      </c>
      <c r="AG29" s="1752">
        <v>2.75</v>
      </c>
      <c r="AH29" s="1752">
        <v>2.75</v>
      </c>
      <c r="AI29" s="1752">
        <v>2.75</v>
      </c>
      <c r="AJ29" s="1752">
        <v>2.75</v>
      </c>
      <c r="AK29" s="1752">
        <v>2.75</v>
      </c>
      <c r="AL29" s="1752">
        <v>2.75</v>
      </c>
      <c r="AM29" s="1752">
        <v>2.75</v>
      </c>
      <c r="AN29" s="1752">
        <v>2.75</v>
      </c>
      <c r="AO29" s="1752">
        <v>2.75</v>
      </c>
      <c r="AP29" s="1752">
        <v>2.75</v>
      </c>
      <c r="AQ29" s="1752"/>
      <c r="AR29" s="1752"/>
      <c r="AS29" s="1752"/>
      <c r="AT29" s="1752"/>
      <c r="AU29" s="1752"/>
      <c r="AV29" s="1752"/>
      <c r="AW29" s="1752"/>
      <c r="AX29" s="1752"/>
      <c r="AY29" s="1752"/>
      <c r="AZ29" s="1752"/>
      <c r="BA29" s="1752"/>
      <c r="BB29" s="1752"/>
      <c r="BC29" s="1752"/>
      <c r="BD29" s="1752"/>
      <c r="BE29" s="1752"/>
      <c r="BF29" s="1752"/>
      <c r="BG29" s="1752"/>
      <c r="BH29" s="1752"/>
      <c r="BI29" s="1752"/>
      <c r="BJ29" s="1752"/>
      <c r="BK29" s="1752"/>
      <c r="BL29" s="1752"/>
      <c r="BM29" s="1752"/>
      <c r="BN29" s="1752"/>
      <c r="BO29" s="1752"/>
      <c r="BP29" s="1754"/>
      <c r="BQ29" s="1755"/>
      <c r="BR29" s="1755"/>
      <c r="BS29" s="1755"/>
      <c r="BT29" s="1755"/>
      <c r="BU29" s="1755"/>
      <c r="BV29" s="1755"/>
      <c r="BW29" s="1755"/>
      <c r="BX29" s="1755"/>
      <c r="BY29" s="1755"/>
      <c r="BZ29" s="1755"/>
      <c r="CA29" s="1755"/>
      <c r="CB29" s="1755"/>
      <c r="CC29" s="1755"/>
      <c r="CD29" s="1755"/>
      <c r="CE29" s="1755"/>
      <c r="CF29" s="1755"/>
      <c r="CG29" s="1755"/>
      <c r="CH29" s="1755"/>
      <c r="CI29" s="1755"/>
      <c r="CJ29" s="1755"/>
      <c r="CK29" s="1755"/>
      <c r="CL29" s="1755"/>
      <c r="CM29" s="1755"/>
      <c r="CN29" s="1756"/>
      <c r="CO29" s="1767"/>
    </row>
    <row r="30" spans="2:93" x14ac:dyDescent="0.2">
      <c r="B30" s="170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30" s="1707" t="s">
        <v>1463</v>
      </c>
      <c r="D30" s="1707" t="s">
        <v>890</v>
      </c>
      <c r="E30" s="1704" t="s">
        <v>875</v>
      </c>
      <c r="F30" s="1707" t="str">
        <f>VLOOKUP(TBL5_OptBen[[#This Row],[Option Type (defined list)]],'Option Typs_Grps'!B$2:C$47, 2, FALSE)</f>
        <v>Resource Options</v>
      </c>
      <c r="G30" s="1707" t="s">
        <v>863</v>
      </c>
      <c r="H30" s="1707" t="s">
        <v>1460</v>
      </c>
      <c r="I30" s="1703" t="s">
        <v>88</v>
      </c>
      <c r="J30" s="1707" t="s">
        <v>236</v>
      </c>
      <c r="K30" s="1751">
        <v>2</v>
      </c>
      <c r="L30" s="1752"/>
      <c r="M30" s="1752"/>
      <c r="N30" s="1752"/>
      <c r="O30" s="1754"/>
      <c r="P30" s="1766"/>
      <c r="Q30" s="1753"/>
      <c r="R30" s="1753"/>
      <c r="S30" s="1752"/>
      <c r="T30" s="1752"/>
      <c r="U30" s="1752"/>
      <c r="V30" s="1752"/>
      <c r="W30" s="1752">
        <v>8</v>
      </c>
      <c r="X30" s="1752">
        <v>8</v>
      </c>
      <c r="Y30" s="1752">
        <v>8</v>
      </c>
      <c r="Z30" s="1752">
        <v>8</v>
      </c>
      <c r="AA30" s="1752">
        <v>8</v>
      </c>
      <c r="AB30" s="1752">
        <v>8</v>
      </c>
      <c r="AC30" s="1752">
        <v>8</v>
      </c>
      <c r="AD30" s="1752">
        <v>8</v>
      </c>
      <c r="AE30" s="1752">
        <v>8</v>
      </c>
      <c r="AF30" s="1752">
        <v>8</v>
      </c>
      <c r="AG30" s="1752">
        <v>8</v>
      </c>
      <c r="AH30" s="1752">
        <v>8</v>
      </c>
      <c r="AI30" s="1752">
        <v>8</v>
      </c>
      <c r="AJ30" s="1752">
        <v>8</v>
      </c>
      <c r="AK30" s="1752">
        <v>8</v>
      </c>
      <c r="AL30" s="1752">
        <v>8</v>
      </c>
      <c r="AM30" s="1752">
        <v>8</v>
      </c>
      <c r="AN30" s="1752">
        <v>8</v>
      </c>
      <c r="AO30" s="1752">
        <v>8</v>
      </c>
      <c r="AP30" s="1752">
        <v>8</v>
      </c>
      <c r="AQ30" s="1752"/>
      <c r="AR30" s="1752"/>
      <c r="AS30" s="1752"/>
      <c r="AT30" s="1752"/>
      <c r="AU30" s="1752"/>
      <c r="AV30" s="1752"/>
      <c r="AW30" s="1752"/>
      <c r="AX30" s="1752"/>
      <c r="AY30" s="1752"/>
      <c r="AZ30" s="1752"/>
      <c r="BA30" s="1752"/>
      <c r="BB30" s="1752"/>
      <c r="BC30" s="1752"/>
      <c r="BD30" s="1752"/>
      <c r="BE30" s="1752"/>
      <c r="BF30" s="1752"/>
      <c r="BG30" s="1752"/>
      <c r="BH30" s="1752"/>
      <c r="BI30" s="1752"/>
      <c r="BJ30" s="1752"/>
      <c r="BK30" s="1752"/>
      <c r="BL30" s="1752"/>
      <c r="BM30" s="1752"/>
      <c r="BN30" s="1752"/>
      <c r="BO30" s="1752"/>
      <c r="BP30" s="1754"/>
      <c r="BQ30" s="1755"/>
      <c r="BR30" s="1755"/>
      <c r="BS30" s="1755"/>
      <c r="BT30" s="1755"/>
      <c r="BU30" s="1755"/>
      <c r="BV30" s="1755"/>
      <c r="BW30" s="1755"/>
      <c r="BX30" s="1755"/>
      <c r="BY30" s="1755"/>
      <c r="BZ30" s="1755"/>
      <c r="CA30" s="1755"/>
      <c r="CB30" s="1755"/>
      <c r="CC30" s="1755"/>
      <c r="CD30" s="1755"/>
      <c r="CE30" s="1755"/>
      <c r="CF30" s="1755"/>
      <c r="CG30" s="1755"/>
      <c r="CH30" s="1755"/>
      <c r="CI30" s="1755"/>
      <c r="CJ30" s="1755"/>
      <c r="CK30" s="1755"/>
      <c r="CL30" s="1755"/>
      <c r="CM30" s="1755"/>
      <c r="CN30" s="1756"/>
      <c r="CO30" s="1767"/>
    </row>
    <row r="31" spans="2:93" x14ac:dyDescent="0.2">
      <c r="B31" s="170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52bA</v>
      </c>
      <c r="C31" s="1703" t="s">
        <v>894</v>
      </c>
      <c r="D31" s="1703" t="s">
        <v>893</v>
      </c>
      <c r="E31" s="1704" t="s">
        <v>885</v>
      </c>
      <c r="F31" s="1707" t="str">
        <f>VLOOKUP(TBL5_OptBen[[#This Row],[Option Type (defined list)]],'Option Typs_Grps'!B$2:C$47, 2, FALSE)</f>
        <v>Production Options</v>
      </c>
      <c r="G31" s="1707" t="s">
        <v>863</v>
      </c>
      <c r="H31" s="1707" t="s">
        <v>1460</v>
      </c>
      <c r="I31" s="1703" t="s">
        <v>88</v>
      </c>
      <c r="J31" s="1707" t="s">
        <v>236</v>
      </c>
      <c r="K31" s="1751">
        <v>2</v>
      </c>
      <c r="L31" s="1752"/>
      <c r="M31" s="1752"/>
      <c r="N31" s="1752"/>
      <c r="O31" s="1754"/>
      <c r="P31" s="1766"/>
      <c r="Q31" s="1753"/>
      <c r="R31" s="1753"/>
      <c r="S31" s="1752"/>
      <c r="T31" s="1752"/>
      <c r="U31" s="1752"/>
      <c r="V31" s="1752">
        <v>0.2</v>
      </c>
      <c r="W31" s="1752">
        <v>0.2</v>
      </c>
      <c r="X31" s="1752">
        <v>0.2</v>
      </c>
      <c r="Y31" s="1752">
        <v>0.2</v>
      </c>
      <c r="Z31" s="1752">
        <v>0.2</v>
      </c>
      <c r="AA31" s="1752">
        <v>0.2</v>
      </c>
      <c r="AB31" s="1752">
        <v>0.2</v>
      </c>
      <c r="AC31" s="1752">
        <v>0.2</v>
      </c>
      <c r="AD31" s="1752">
        <v>0.2</v>
      </c>
      <c r="AE31" s="1752">
        <v>0.2</v>
      </c>
      <c r="AF31" s="1752">
        <v>0.2</v>
      </c>
      <c r="AG31" s="1752">
        <v>0.2</v>
      </c>
      <c r="AH31" s="1752">
        <v>0.2</v>
      </c>
      <c r="AI31" s="1752">
        <v>0.2</v>
      </c>
      <c r="AJ31" s="1752">
        <v>0.2</v>
      </c>
      <c r="AK31" s="1752">
        <v>0.2</v>
      </c>
      <c r="AL31" s="1752">
        <v>0.2</v>
      </c>
      <c r="AM31" s="1752">
        <v>0.2</v>
      </c>
      <c r="AN31" s="1752">
        <v>0.2</v>
      </c>
      <c r="AO31" s="1752">
        <v>0.2</v>
      </c>
      <c r="AP31" s="1752">
        <v>0.2</v>
      </c>
      <c r="AQ31" s="1752"/>
      <c r="AR31" s="1752"/>
      <c r="AS31" s="1752"/>
      <c r="AT31" s="1752"/>
      <c r="AU31" s="1752"/>
      <c r="AV31" s="1752"/>
      <c r="AW31" s="1752"/>
      <c r="AX31" s="1752"/>
      <c r="AY31" s="1752"/>
      <c r="AZ31" s="1752"/>
      <c r="BA31" s="1752"/>
      <c r="BB31" s="1752"/>
      <c r="BC31" s="1752"/>
      <c r="BD31" s="1752"/>
      <c r="BE31" s="1752"/>
      <c r="BF31" s="1752"/>
      <c r="BG31" s="1752"/>
      <c r="BH31" s="1752"/>
      <c r="BI31" s="1752"/>
      <c r="BJ31" s="1752"/>
      <c r="BK31" s="1752"/>
      <c r="BL31" s="1752"/>
      <c r="BM31" s="1752"/>
      <c r="BN31" s="1752"/>
      <c r="BO31" s="1752"/>
      <c r="BP31" s="1754"/>
      <c r="BQ31" s="1755"/>
      <c r="BR31" s="1755"/>
      <c r="BS31" s="1755"/>
      <c r="BT31" s="1755"/>
      <c r="BU31" s="1755"/>
      <c r="BV31" s="1755"/>
      <c r="BW31" s="1755"/>
      <c r="BX31" s="1755"/>
      <c r="BY31" s="1755"/>
      <c r="BZ31" s="1755"/>
      <c r="CA31" s="1755"/>
      <c r="CB31" s="1755"/>
      <c r="CC31" s="1755"/>
      <c r="CD31" s="1755"/>
      <c r="CE31" s="1755"/>
      <c r="CF31" s="1755"/>
      <c r="CG31" s="1755"/>
      <c r="CH31" s="1755"/>
      <c r="CI31" s="1755"/>
      <c r="CJ31" s="1755"/>
      <c r="CK31" s="1755"/>
      <c r="CL31" s="1755"/>
      <c r="CM31" s="1755"/>
      <c r="CN31" s="1752"/>
      <c r="CO31" s="1767"/>
    </row>
    <row r="32" spans="2:93" ht="28.5" x14ac:dyDescent="0.2">
      <c r="B32" s="170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32" s="1703" t="s">
        <v>1464</v>
      </c>
      <c r="D32" s="1703" t="s">
        <v>979</v>
      </c>
      <c r="E32" s="1704" t="s">
        <v>981</v>
      </c>
      <c r="F32" s="1707" t="str">
        <f>VLOOKUP(TBL5_OptBen[[#This Row],[Option Type (defined list)]],'Option Typs_Grps'!B$2:C$47, 2, FALSE)</f>
        <v>Resource Options</v>
      </c>
      <c r="G32" s="1707" t="s">
        <v>863</v>
      </c>
      <c r="H32" s="1707" t="s">
        <v>1460</v>
      </c>
      <c r="I32" s="1703" t="s">
        <v>105</v>
      </c>
      <c r="J32" s="1707" t="s">
        <v>236</v>
      </c>
      <c r="K32" s="1751">
        <v>2</v>
      </c>
      <c r="L32" s="1752"/>
      <c r="M32" s="1752"/>
      <c r="N32" s="1752"/>
      <c r="O32" s="1754"/>
      <c r="P32" s="1766"/>
      <c r="Q32" s="1753"/>
      <c r="R32" s="1753"/>
      <c r="S32" s="1752"/>
      <c r="T32" s="1752"/>
      <c r="U32" s="1752"/>
      <c r="V32" s="1752"/>
      <c r="W32" s="1752"/>
      <c r="X32" s="1752"/>
      <c r="Y32" s="1752"/>
      <c r="Z32" s="1752"/>
      <c r="AA32" s="1752"/>
      <c r="AB32" s="1752"/>
      <c r="AC32" s="1752"/>
      <c r="AD32" s="1752"/>
      <c r="AE32" s="1752"/>
      <c r="AF32" s="1752"/>
      <c r="AG32" s="1752">
        <v>19.899999999999999</v>
      </c>
      <c r="AH32" s="1752">
        <v>19.899999999999999</v>
      </c>
      <c r="AI32" s="1752">
        <v>19.899999999999999</v>
      </c>
      <c r="AJ32" s="1752">
        <v>19.899999999999999</v>
      </c>
      <c r="AK32" s="1752">
        <v>19.899999999999999</v>
      </c>
      <c r="AL32" s="1752">
        <v>19.899999999999999</v>
      </c>
      <c r="AM32" s="1752">
        <v>19.899999999999999</v>
      </c>
      <c r="AN32" s="1752">
        <v>19.899999999999999</v>
      </c>
      <c r="AO32" s="1752">
        <v>19.899999999999999</v>
      </c>
      <c r="AP32" s="1752">
        <v>19.899999999999999</v>
      </c>
      <c r="AQ32" s="1752"/>
      <c r="AR32" s="1752"/>
      <c r="AS32" s="1752"/>
      <c r="AT32" s="1752"/>
      <c r="AU32" s="1752"/>
      <c r="AV32" s="1752"/>
      <c r="AW32" s="1752"/>
      <c r="AX32" s="1752"/>
      <c r="AY32" s="1752"/>
      <c r="AZ32" s="1752"/>
      <c r="BA32" s="1752"/>
      <c r="BB32" s="1752"/>
      <c r="BC32" s="1752"/>
      <c r="BD32" s="1752"/>
      <c r="BE32" s="1752"/>
      <c r="BF32" s="1752"/>
      <c r="BG32" s="1752"/>
      <c r="BH32" s="1752"/>
      <c r="BI32" s="1752"/>
      <c r="BJ32" s="1752"/>
      <c r="BK32" s="1752"/>
      <c r="BL32" s="1752"/>
      <c r="BM32" s="1752"/>
      <c r="BN32" s="1752"/>
      <c r="BO32" s="1752"/>
      <c r="BP32" s="1752"/>
      <c r="BQ32" s="1752"/>
      <c r="BR32" s="1752"/>
      <c r="BS32" s="1752"/>
      <c r="BT32" s="1752"/>
      <c r="BU32" s="1752"/>
      <c r="BV32" s="1752"/>
      <c r="BW32" s="1752"/>
      <c r="BX32" s="1752"/>
      <c r="BY32" s="1752"/>
      <c r="BZ32" s="1752"/>
      <c r="CA32" s="1752"/>
      <c r="CB32" s="1752"/>
      <c r="CC32" s="1752"/>
      <c r="CD32" s="1752"/>
      <c r="CE32" s="1752"/>
      <c r="CF32" s="1752"/>
      <c r="CG32" s="1752"/>
      <c r="CH32" s="1752"/>
      <c r="CI32" s="1752"/>
      <c r="CJ32" s="1752"/>
      <c r="CK32" s="1752"/>
      <c r="CL32" s="1752"/>
      <c r="CM32" s="1752"/>
      <c r="CN32" s="1752"/>
      <c r="CO32" s="1767"/>
    </row>
    <row r="33" spans="2:93" x14ac:dyDescent="0.2">
      <c r="B33" s="170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52bA</v>
      </c>
      <c r="C33" s="1707" t="s">
        <v>884</v>
      </c>
      <c r="D33" s="1707" t="s">
        <v>883</v>
      </c>
      <c r="E33" s="1704" t="s">
        <v>885</v>
      </c>
      <c r="F33" s="1707" t="str">
        <f>VLOOKUP(TBL5_OptBen[[#This Row],[Option Type (defined list)]],'Option Typs_Grps'!B$2:C$47, 2, FALSE)</f>
        <v>Production Options</v>
      </c>
      <c r="G33" s="1707" t="s">
        <v>863</v>
      </c>
      <c r="H33" s="1707" t="s">
        <v>1460</v>
      </c>
      <c r="I33" s="1703" t="s">
        <v>105</v>
      </c>
      <c r="J33" s="1707" t="s">
        <v>236</v>
      </c>
      <c r="K33" s="1751">
        <v>2</v>
      </c>
      <c r="L33" s="1752"/>
      <c r="M33" s="1752"/>
      <c r="N33" s="1752"/>
      <c r="O33" s="1754"/>
      <c r="P33" s="1766"/>
      <c r="Q33" s="1753"/>
      <c r="R33" s="1753"/>
      <c r="S33" s="1752"/>
      <c r="T33" s="1752"/>
      <c r="U33" s="1752"/>
      <c r="V33" s="1752">
        <v>2.15</v>
      </c>
      <c r="W33" s="1752">
        <v>2.15</v>
      </c>
      <c r="X33" s="1752">
        <v>2.15</v>
      </c>
      <c r="Y33" s="1752">
        <v>2.15</v>
      </c>
      <c r="Z33" s="1752">
        <v>2.15</v>
      </c>
      <c r="AA33" s="1752">
        <v>2.15</v>
      </c>
      <c r="AB33" s="1752">
        <v>2.15</v>
      </c>
      <c r="AC33" s="1752">
        <v>2.15</v>
      </c>
      <c r="AD33" s="1752">
        <v>2.15</v>
      </c>
      <c r="AE33" s="1752">
        <v>2.15</v>
      </c>
      <c r="AF33" s="1752">
        <v>2.15</v>
      </c>
      <c r="AG33" s="1752">
        <v>2.15</v>
      </c>
      <c r="AH33" s="1752">
        <v>2.15</v>
      </c>
      <c r="AI33" s="1752">
        <v>2.15</v>
      </c>
      <c r="AJ33" s="1752">
        <v>2.15</v>
      </c>
      <c r="AK33" s="1752">
        <v>2.15</v>
      </c>
      <c r="AL33" s="1752">
        <v>2.15</v>
      </c>
      <c r="AM33" s="1752">
        <v>2.15</v>
      </c>
      <c r="AN33" s="1752">
        <v>2.15</v>
      </c>
      <c r="AO33" s="1752">
        <v>2.15</v>
      </c>
      <c r="AP33" s="1752">
        <v>2.15</v>
      </c>
      <c r="AQ33" s="1752"/>
      <c r="AR33" s="1752"/>
      <c r="AS33" s="1752"/>
      <c r="AT33" s="1752"/>
      <c r="AU33" s="1752"/>
      <c r="AV33" s="1752"/>
      <c r="AW33" s="1752"/>
      <c r="AX33" s="1752"/>
      <c r="AY33" s="1752"/>
      <c r="AZ33" s="1752"/>
      <c r="BA33" s="1752"/>
      <c r="BB33" s="1752"/>
      <c r="BC33" s="1752"/>
      <c r="BD33" s="1752"/>
      <c r="BE33" s="1752"/>
      <c r="BF33" s="1752"/>
      <c r="BG33" s="1752"/>
      <c r="BH33" s="1752"/>
      <c r="BI33" s="1752"/>
      <c r="BJ33" s="1752"/>
      <c r="BK33" s="1752"/>
      <c r="BL33" s="1752"/>
      <c r="BM33" s="1752"/>
      <c r="BN33" s="1752"/>
      <c r="BO33" s="1752"/>
      <c r="BP33" s="1754"/>
      <c r="BQ33" s="1755"/>
      <c r="BR33" s="1755"/>
      <c r="BS33" s="1755"/>
      <c r="BT33" s="1755"/>
      <c r="BU33" s="1755"/>
      <c r="BV33" s="1755"/>
      <c r="BW33" s="1755"/>
      <c r="BX33" s="1755"/>
      <c r="BY33" s="1755"/>
      <c r="BZ33" s="1755"/>
      <c r="CA33" s="1755"/>
      <c r="CB33" s="1755"/>
      <c r="CC33" s="1755"/>
      <c r="CD33" s="1755"/>
      <c r="CE33" s="1755"/>
      <c r="CF33" s="1755"/>
      <c r="CG33" s="1755"/>
      <c r="CH33" s="1755"/>
      <c r="CI33" s="1755"/>
      <c r="CJ33" s="1755"/>
      <c r="CK33" s="1755"/>
      <c r="CL33" s="1755"/>
      <c r="CM33" s="1755"/>
      <c r="CN33" s="1756"/>
      <c r="CO33" s="1767"/>
    </row>
    <row r="34" spans="2:93" ht="28.5" x14ac:dyDescent="0.2">
      <c r="B34" s="170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34" s="1703" t="s">
        <v>1465</v>
      </c>
      <c r="D34" s="1703" t="s">
        <v>982</v>
      </c>
      <c r="E34" s="1704" t="s">
        <v>907</v>
      </c>
      <c r="F34" s="1707" t="str">
        <f>VLOOKUP(TBL5_OptBen[[#This Row],[Option Type (defined list)]],'Option Typs_Grps'!B$2:C$47, 2, FALSE)</f>
        <v>Distribution Options</v>
      </c>
      <c r="G34" s="1707" t="s">
        <v>863</v>
      </c>
      <c r="H34" s="1707" t="s">
        <v>1460</v>
      </c>
      <c r="I34" s="1703" t="s">
        <v>93</v>
      </c>
      <c r="J34" s="1707" t="s">
        <v>236</v>
      </c>
      <c r="K34" s="1751">
        <v>2</v>
      </c>
      <c r="L34" s="1752"/>
      <c r="M34" s="1752"/>
      <c r="N34" s="1752"/>
      <c r="O34" s="1754"/>
      <c r="P34" s="1766"/>
      <c r="Q34" s="1753"/>
      <c r="R34" s="1753"/>
      <c r="S34" s="1752"/>
      <c r="T34" s="1752"/>
      <c r="U34" s="1752">
        <v>0.52981537984108951</v>
      </c>
      <c r="V34" s="1752">
        <v>0.41022915495426138</v>
      </c>
      <c r="W34" s="1752">
        <v>1.9969002474290551</v>
      </c>
      <c r="X34" s="1752">
        <v>1.9013283248532828</v>
      </c>
      <c r="Y34" s="1752">
        <v>4.132353579458325</v>
      </c>
      <c r="Z34" s="1752">
        <v>4.0303463650160074</v>
      </c>
      <c r="AA34" s="1752">
        <v>3.9299665038642964</v>
      </c>
      <c r="AB34" s="1752">
        <v>3.8811543549678813</v>
      </c>
      <c r="AC34" s="1752">
        <v>3.8301910463949911</v>
      </c>
      <c r="AD34" s="1752">
        <v>3.7825314736066251</v>
      </c>
      <c r="AE34" s="1752">
        <v>3.7582861267371013</v>
      </c>
      <c r="AF34" s="1752">
        <v>3.7283825950762579</v>
      </c>
      <c r="AG34" s="1752">
        <v>4.6033840907552888</v>
      </c>
      <c r="AH34" s="1752">
        <v>4.576671091952095</v>
      </c>
      <c r="AI34" s="1752">
        <v>4.54951954311794</v>
      </c>
      <c r="AJ34" s="1752">
        <v>4.5381927937372986</v>
      </c>
      <c r="AK34" s="1752">
        <v>4.5281645466344935</v>
      </c>
      <c r="AL34" s="1752">
        <v>5.347236636067028</v>
      </c>
      <c r="AM34" s="1752">
        <v>5.3364547211658282</v>
      </c>
      <c r="AN34" s="1752">
        <v>5.3231392274904987</v>
      </c>
      <c r="AO34" s="1752">
        <v>5.3197550071245763</v>
      </c>
      <c r="AP34" s="1752">
        <v>5.3114223719818474</v>
      </c>
      <c r="AQ34" s="1752"/>
      <c r="AR34" s="1752"/>
      <c r="AS34" s="1752"/>
      <c r="AT34" s="1752"/>
      <c r="AU34" s="1752"/>
      <c r="AV34" s="1752"/>
      <c r="AW34" s="1752"/>
      <c r="AX34" s="1752"/>
      <c r="AY34" s="1752"/>
      <c r="AZ34" s="1752"/>
      <c r="BA34" s="1752"/>
      <c r="BB34" s="1752"/>
      <c r="BC34" s="1752"/>
      <c r="BD34" s="1752"/>
      <c r="BE34" s="1752"/>
      <c r="BF34" s="1752"/>
      <c r="BG34" s="1752"/>
      <c r="BH34" s="1752"/>
      <c r="BI34" s="1752"/>
      <c r="BJ34" s="1752"/>
      <c r="BK34" s="1752"/>
      <c r="BL34" s="1752"/>
      <c r="BM34" s="1752"/>
      <c r="BN34" s="1752"/>
      <c r="BO34" s="1752"/>
      <c r="BP34" s="1752"/>
      <c r="BQ34" s="1752"/>
      <c r="BR34" s="1752"/>
      <c r="BS34" s="1752"/>
      <c r="BT34" s="1752"/>
      <c r="BU34" s="1752"/>
      <c r="BV34" s="1752"/>
      <c r="BW34" s="1752"/>
      <c r="BX34" s="1752"/>
      <c r="BY34" s="1752"/>
      <c r="BZ34" s="1752"/>
      <c r="CA34" s="1752"/>
      <c r="CB34" s="1752"/>
      <c r="CC34" s="1752"/>
      <c r="CD34" s="1752"/>
      <c r="CE34" s="1752"/>
      <c r="CF34" s="1752"/>
      <c r="CG34" s="1752"/>
      <c r="CH34" s="1752"/>
      <c r="CI34" s="1752"/>
      <c r="CJ34" s="1752"/>
      <c r="CK34" s="1752"/>
      <c r="CL34" s="1752"/>
      <c r="CM34" s="1752"/>
      <c r="CN34" s="1752"/>
      <c r="CO34" s="1767"/>
    </row>
    <row r="35" spans="2:93" ht="28.5" x14ac:dyDescent="0.2">
      <c r="B35" s="170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35" s="1703" t="s">
        <v>1040</v>
      </c>
      <c r="D35" s="1703" t="s">
        <v>1039</v>
      </c>
      <c r="E35" s="1704" t="s">
        <v>1041</v>
      </c>
      <c r="F35" s="1707" t="str">
        <f>VLOOKUP(TBL5_OptBen[[#This Row],[Option Type (defined list)]],'Option Typs_Grps'!B$2:C$47, 2, FALSE)</f>
        <v>Resource Options</v>
      </c>
      <c r="G35" s="1707" t="s">
        <v>863</v>
      </c>
      <c r="H35" s="1707" t="s">
        <v>1460</v>
      </c>
      <c r="I35" s="1703" t="s">
        <v>105</v>
      </c>
      <c r="J35" s="1707" t="s">
        <v>236</v>
      </c>
      <c r="K35" s="1751">
        <v>2</v>
      </c>
      <c r="L35" s="1752"/>
      <c r="M35" s="1752"/>
      <c r="N35" s="1752"/>
      <c r="O35" s="1754"/>
      <c r="P35" s="1766"/>
      <c r="Q35" s="1753"/>
      <c r="R35" s="1753"/>
      <c r="S35" s="1752"/>
      <c r="T35" s="1752"/>
      <c r="U35" s="1752"/>
      <c r="V35" s="1752"/>
      <c r="W35" s="1752">
        <v>1</v>
      </c>
      <c r="X35" s="1752">
        <v>1</v>
      </c>
      <c r="Y35" s="1752">
        <v>1</v>
      </c>
      <c r="Z35" s="1752">
        <v>1</v>
      </c>
      <c r="AA35" s="1752">
        <v>1</v>
      </c>
      <c r="AB35" s="1752">
        <v>1</v>
      </c>
      <c r="AC35" s="1752">
        <v>1</v>
      </c>
      <c r="AD35" s="1752">
        <v>1</v>
      </c>
      <c r="AE35" s="1752">
        <v>1</v>
      </c>
      <c r="AF35" s="1752">
        <v>1</v>
      </c>
      <c r="AG35" s="1752">
        <v>1</v>
      </c>
      <c r="AH35" s="1752">
        <v>1</v>
      </c>
      <c r="AI35" s="1752">
        <v>1</v>
      </c>
      <c r="AJ35" s="1752">
        <v>1</v>
      </c>
      <c r="AK35" s="1752">
        <v>1</v>
      </c>
      <c r="AL35" s="1752">
        <v>1</v>
      </c>
      <c r="AM35" s="1752">
        <v>1</v>
      </c>
      <c r="AN35" s="1752">
        <v>1</v>
      </c>
      <c r="AO35" s="1752">
        <v>1</v>
      </c>
      <c r="AP35" s="1752">
        <v>1</v>
      </c>
      <c r="AQ35" s="1752"/>
      <c r="AR35" s="1752"/>
      <c r="AS35" s="1752"/>
      <c r="AT35" s="1752"/>
      <c r="AU35" s="1752"/>
      <c r="AV35" s="1752"/>
      <c r="AW35" s="1752"/>
      <c r="AX35" s="1752"/>
      <c r="AY35" s="1752"/>
      <c r="AZ35" s="1752"/>
      <c r="BA35" s="1752"/>
      <c r="BB35" s="1752"/>
      <c r="BC35" s="1752"/>
      <c r="BD35" s="1752"/>
      <c r="BE35" s="1752"/>
      <c r="BF35" s="1752"/>
      <c r="BG35" s="1752"/>
      <c r="BH35" s="1752"/>
      <c r="BI35" s="1752"/>
      <c r="BJ35" s="1752"/>
      <c r="BK35" s="1752"/>
      <c r="BL35" s="1752"/>
      <c r="BM35" s="1752"/>
      <c r="BN35" s="1752"/>
      <c r="BO35" s="1752"/>
      <c r="BP35" s="1752"/>
      <c r="BQ35" s="1752"/>
      <c r="BR35" s="1752"/>
      <c r="BS35" s="1752"/>
      <c r="BT35" s="1752"/>
      <c r="BU35" s="1752"/>
      <c r="BV35" s="1752"/>
      <c r="BW35" s="1752"/>
      <c r="BX35" s="1752"/>
      <c r="BY35" s="1752"/>
      <c r="BZ35" s="1752"/>
      <c r="CA35" s="1752"/>
      <c r="CB35" s="1752"/>
      <c r="CC35" s="1752"/>
      <c r="CD35" s="1752"/>
      <c r="CE35" s="1752"/>
      <c r="CF35" s="1752"/>
      <c r="CG35" s="1752"/>
      <c r="CH35" s="1752"/>
      <c r="CI35" s="1752"/>
      <c r="CJ35" s="1752"/>
      <c r="CK35" s="1752"/>
      <c r="CL35" s="1752"/>
      <c r="CM35" s="1752"/>
      <c r="CN35" s="1752"/>
      <c r="CO35" s="1767"/>
    </row>
    <row r="36" spans="2:93" ht="28.5" x14ac:dyDescent="0.2">
      <c r="B36" s="170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36" s="1703" t="s">
        <v>1034</v>
      </c>
      <c r="D36" s="1703" t="s">
        <v>984</v>
      </c>
      <c r="E36" s="1704" t="s">
        <v>907</v>
      </c>
      <c r="F36" s="1707" t="str">
        <f>VLOOKUP(TBL5_OptBen[[#This Row],[Option Type (defined list)]],'Option Typs_Grps'!B$2:C$47, 2, FALSE)</f>
        <v>Distribution Options</v>
      </c>
      <c r="G36" s="1707" t="s">
        <v>863</v>
      </c>
      <c r="H36" s="1707" t="s">
        <v>1460</v>
      </c>
      <c r="I36" s="1703" t="s">
        <v>102</v>
      </c>
      <c r="J36" s="1707" t="s">
        <v>236</v>
      </c>
      <c r="K36" s="1751">
        <v>2</v>
      </c>
      <c r="L36" s="1752"/>
      <c r="M36" s="1752"/>
      <c r="N36" s="1752"/>
      <c r="O36" s="1754"/>
      <c r="P36" s="1766"/>
      <c r="Q36" s="1753"/>
      <c r="R36" s="1753"/>
      <c r="S36" s="1752"/>
      <c r="T36" s="1752"/>
      <c r="U36" s="1771">
        <v>2.0191658334342422</v>
      </c>
      <c r="V36" s="1771">
        <v>1.9750342851558536</v>
      </c>
      <c r="W36" s="1771">
        <v>2.1602800871321528</v>
      </c>
      <c r="X36" s="1771">
        <v>1.9415896480311743</v>
      </c>
      <c r="Y36" s="1771">
        <v>5.654349269798713</v>
      </c>
      <c r="Z36" s="1771">
        <v>5.613079458205263</v>
      </c>
      <c r="AA36" s="1771">
        <v>5.5425060693968762</v>
      </c>
      <c r="AB36" s="1771">
        <v>5.4853809871869776</v>
      </c>
      <c r="AC36" s="1771">
        <v>5.4584486292165808</v>
      </c>
      <c r="AD36" s="1771">
        <v>5.4218804505148581</v>
      </c>
      <c r="AE36" s="1771">
        <v>5.4008407809205563</v>
      </c>
      <c r="AF36" s="1771">
        <v>5.3775638656158131</v>
      </c>
      <c r="AG36" s="1771">
        <v>6.0010081839225338</v>
      </c>
      <c r="AH36" s="1771">
        <v>5.9673451728357021</v>
      </c>
      <c r="AI36" s="1771">
        <v>5.9252281773674884</v>
      </c>
      <c r="AJ36" s="1771">
        <v>5.9053244604307817</v>
      </c>
      <c r="AK36" s="1771">
        <v>5.9066312118793931</v>
      </c>
      <c r="AL36" s="1771">
        <v>6.547291354179122</v>
      </c>
      <c r="AM36" s="1771">
        <v>6.5585931432347309</v>
      </c>
      <c r="AN36" s="1771">
        <v>6.5702706405093627</v>
      </c>
      <c r="AO36" s="1771">
        <v>6.5927342527358581</v>
      </c>
      <c r="AP36" s="1771">
        <v>6.6051322929039378</v>
      </c>
      <c r="AQ36" s="1752"/>
      <c r="AR36" s="1752"/>
      <c r="AS36" s="1752"/>
      <c r="AT36" s="1752"/>
      <c r="AU36" s="1752"/>
      <c r="AV36" s="1752"/>
      <c r="AW36" s="1752"/>
      <c r="AX36" s="1752"/>
      <c r="AY36" s="1752"/>
      <c r="AZ36" s="1752"/>
      <c r="BA36" s="1752"/>
      <c r="BB36" s="1752"/>
      <c r="BC36" s="1752"/>
      <c r="BD36" s="1752"/>
      <c r="BE36" s="1752"/>
      <c r="BF36" s="1752"/>
      <c r="BG36" s="1752"/>
      <c r="BH36" s="1752"/>
      <c r="BI36" s="1752"/>
      <c r="BJ36" s="1752"/>
      <c r="BK36" s="1752"/>
      <c r="BL36" s="1752"/>
      <c r="BM36" s="1752"/>
      <c r="BN36" s="1752"/>
      <c r="BO36" s="1752"/>
      <c r="BP36" s="1752"/>
      <c r="BQ36" s="1752"/>
      <c r="BR36" s="1752"/>
      <c r="BS36" s="1752"/>
      <c r="BT36" s="1752"/>
      <c r="BU36" s="1752"/>
      <c r="BV36" s="1752"/>
      <c r="BW36" s="1752"/>
      <c r="BX36" s="1752"/>
      <c r="BY36" s="1752"/>
      <c r="BZ36" s="1752"/>
      <c r="CA36" s="1752"/>
      <c r="CB36" s="1752"/>
      <c r="CC36" s="1752"/>
      <c r="CD36" s="1752"/>
      <c r="CE36" s="1752"/>
      <c r="CF36" s="1752"/>
      <c r="CG36" s="1752"/>
      <c r="CH36" s="1752"/>
      <c r="CI36" s="1752"/>
      <c r="CJ36" s="1752"/>
      <c r="CK36" s="1752"/>
      <c r="CL36" s="1752"/>
      <c r="CM36" s="1752"/>
      <c r="CN36" s="1752"/>
      <c r="CO36" s="1767"/>
    </row>
    <row r="37" spans="2:93" x14ac:dyDescent="0.2">
      <c r="B37" s="170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37" s="1703" t="s">
        <v>874</v>
      </c>
      <c r="D37" s="1703" t="s">
        <v>873</v>
      </c>
      <c r="E37" s="1704" t="s">
        <v>875</v>
      </c>
      <c r="F37" s="1707" t="str">
        <f>VLOOKUP(TBL5_OptBen[[#This Row],[Option Type (defined list)]],'Option Typs_Grps'!B$2:C$47, 2, FALSE)</f>
        <v>Resource Options</v>
      </c>
      <c r="G37" s="1707" t="s">
        <v>863</v>
      </c>
      <c r="H37" s="1707" t="s">
        <v>1461</v>
      </c>
      <c r="I37" s="1703" t="s">
        <v>88</v>
      </c>
      <c r="J37" s="1707" t="s">
        <v>236</v>
      </c>
      <c r="K37" s="1751">
        <v>2</v>
      </c>
      <c r="L37" s="1752"/>
      <c r="M37" s="1752"/>
      <c r="N37" s="1752"/>
      <c r="O37" s="1754"/>
      <c r="P37" s="1766"/>
      <c r="Q37" s="1753"/>
      <c r="R37" s="1753"/>
      <c r="S37" s="1752"/>
      <c r="T37" s="1752">
        <v>10</v>
      </c>
      <c r="U37" s="1752">
        <v>10</v>
      </c>
      <c r="V37" s="1752">
        <v>10</v>
      </c>
      <c r="W37" s="1752">
        <v>10</v>
      </c>
      <c r="X37" s="1752">
        <v>10</v>
      </c>
      <c r="Y37" s="1752">
        <v>10</v>
      </c>
      <c r="Z37" s="1752">
        <v>10</v>
      </c>
      <c r="AA37" s="1752">
        <v>10</v>
      </c>
      <c r="AB37" s="1752">
        <v>10</v>
      </c>
      <c r="AC37" s="1752">
        <v>10</v>
      </c>
      <c r="AD37" s="1752">
        <v>10</v>
      </c>
      <c r="AE37" s="1752">
        <v>10</v>
      </c>
      <c r="AF37" s="1752">
        <v>10</v>
      </c>
      <c r="AG37" s="1752">
        <v>10</v>
      </c>
      <c r="AH37" s="1752">
        <v>10</v>
      </c>
      <c r="AI37" s="1752">
        <v>10</v>
      </c>
      <c r="AJ37" s="1752">
        <v>10</v>
      </c>
      <c r="AK37" s="1752">
        <v>10</v>
      </c>
      <c r="AL37" s="1752">
        <v>10</v>
      </c>
      <c r="AM37" s="1752">
        <v>10</v>
      </c>
      <c r="AN37" s="1752">
        <v>10</v>
      </c>
      <c r="AO37" s="1752">
        <v>10</v>
      </c>
      <c r="AP37" s="1752">
        <v>10</v>
      </c>
      <c r="AQ37" s="1752"/>
      <c r="AR37" s="1752"/>
      <c r="AS37" s="1752"/>
      <c r="AT37" s="1752"/>
      <c r="AU37" s="1752"/>
      <c r="AV37" s="1752"/>
      <c r="AW37" s="1752"/>
      <c r="AX37" s="1752"/>
      <c r="AY37" s="1752"/>
      <c r="AZ37" s="1752"/>
      <c r="BA37" s="1752"/>
      <c r="BB37" s="1752"/>
      <c r="BC37" s="1752"/>
      <c r="BD37" s="1752"/>
      <c r="BE37" s="1752"/>
      <c r="BF37" s="1752"/>
      <c r="BG37" s="1752"/>
      <c r="BH37" s="1752"/>
      <c r="BI37" s="1752"/>
      <c r="BJ37" s="1752"/>
      <c r="BK37" s="1752"/>
      <c r="BL37" s="1752"/>
      <c r="BM37" s="1752"/>
      <c r="BN37" s="1752"/>
      <c r="BO37" s="1752"/>
      <c r="BP37" s="1752"/>
      <c r="BQ37" s="1752"/>
      <c r="BR37" s="1752"/>
      <c r="BS37" s="1752"/>
      <c r="BT37" s="1752"/>
      <c r="BU37" s="1752"/>
      <c r="BV37" s="1752"/>
      <c r="BW37" s="1752"/>
      <c r="BX37" s="1752"/>
      <c r="BY37" s="1752"/>
      <c r="BZ37" s="1752"/>
      <c r="CA37" s="1752"/>
      <c r="CB37" s="1752"/>
      <c r="CC37" s="1752"/>
      <c r="CD37" s="1752"/>
      <c r="CE37" s="1752"/>
      <c r="CF37" s="1752"/>
      <c r="CG37" s="1752"/>
      <c r="CH37" s="1752"/>
      <c r="CI37" s="1752"/>
      <c r="CJ37" s="1752"/>
      <c r="CK37" s="1752"/>
      <c r="CL37" s="1752"/>
      <c r="CM37" s="1752"/>
      <c r="CN37" s="1752"/>
      <c r="CO37" s="1767"/>
    </row>
    <row r="38" spans="2:93" ht="28.5" x14ac:dyDescent="0.2">
      <c r="B38" s="170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38" s="1703" t="s">
        <v>953</v>
      </c>
      <c r="D38" s="1703" t="s">
        <v>952</v>
      </c>
      <c r="E38" s="1704" t="s">
        <v>913</v>
      </c>
      <c r="F38" s="1707" t="str">
        <f>VLOOKUP(TBL5_OptBen[[#This Row],[Option Type (defined list)]],'Option Typs_Grps'!B$2:C$47, 2, FALSE)</f>
        <v>Resource Options</v>
      </c>
      <c r="G38" s="1707" t="s">
        <v>863</v>
      </c>
      <c r="H38" s="1707" t="s">
        <v>1461</v>
      </c>
      <c r="I38" s="1703" t="s">
        <v>105</v>
      </c>
      <c r="J38" s="1707" t="s">
        <v>236</v>
      </c>
      <c r="K38" s="1751">
        <v>2</v>
      </c>
      <c r="L38" s="1752"/>
      <c r="M38" s="1752"/>
      <c r="N38" s="1752"/>
      <c r="O38" s="1754"/>
      <c r="P38" s="1766"/>
      <c r="Q38" s="1753"/>
      <c r="R38" s="1753"/>
      <c r="S38" s="1752"/>
      <c r="T38" s="1752"/>
      <c r="U38" s="1752"/>
      <c r="V38" s="1752"/>
      <c r="W38" s="1752"/>
      <c r="X38" s="1752"/>
      <c r="Y38" s="1752">
        <v>11</v>
      </c>
      <c r="Z38" s="1752">
        <v>11</v>
      </c>
      <c r="AA38" s="1752">
        <v>11</v>
      </c>
      <c r="AB38" s="1752">
        <v>11</v>
      </c>
      <c r="AC38" s="1752">
        <v>11</v>
      </c>
      <c r="AD38" s="1752">
        <v>11</v>
      </c>
      <c r="AE38" s="1752">
        <v>11</v>
      </c>
      <c r="AF38" s="1752">
        <v>11</v>
      </c>
      <c r="AG38" s="1752">
        <v>11</v>
      </c>
      <c r="AH38" s="1752">
        <v>11</v>
      </c>
      <c r="AI38" s="1752">
        <v>11</v>
      </c>
      <c r="AJ38" s="1752">
        <v>11</v>
      </c>
      <c r="AK38" s="1752">
        <v>11</v>
      </c>
      <c r="AL38" s="1752">
        <v>11</v>
      </c>
      <c r="AM38" s="1752">
        <v>11</v>
      </c>
      <c r="AN38" s="1752">
        <v>11</v>
      </c>
      <c r="AO38" s="1752">
        <v>11</v>
      </c>
      <c r="AP38" s="1752">
        <v>11</v>
      </c>
      <c r="AQ38" s="1752"/>
      <c r="AR38" s="1752"/>
      <c r="AS38" s="1752"/>
      <c r="AT38" s="1752"/>
      <c r="AU38" s="1752"/>
      <c r="AV38" s="1752"/>
      <c r="AW38" s="1752"/>
      <c r="AX38" s="1752"/>
      <c r="AY38" s="1752"/>
      <c r="AZ38" s="1752"/>
      <c r="BA38" s="1752"/>
      <c r="BB38" s="1752"/>
      <c r="BC38" s="1752"/>
      <c r="BD38" s="1752"/>
      <c r="BE38" s="1752"/>
      <c r="BF38" s="1752"/>
      <c r="BG38" s="1752"/>
      <c r="BH38" s="1752"/>
      <c r="BI38" s="1752"/>
      <c r="BJ38" s="1752"/>
      <c r="BK38" s="1752"/>
      <c r="BL38" s="1752"/>
      <c r="BM38" s="1752"/>
      <c r="BN38" s="1752"/>
      <c r="BO38" s="1752"/>
      <c r="BP38" s="1752"/>
      <c r="BQ38" s="1752"/>
      <c r="BR38" s="1752"/>
      <c r="BS38" s="1752"/>
      <c r="BT38" s="1752"/>
      <c r="BU38" s="1752"/>
      <c r="BV38" s="1752"/>
      <c r="BW38" s="1752"/>
      <c r="BX38" s="1752"/>
      <c r="BY38" s="1752"/>
      <c r="BZ38" s="1752"/>
      <c r="CA38" s="1752"/>
      <c r="CB38" s="1752"/>
      <c r="CC38" s="1752"/>
      <c r="CD38" s="1752"/>
      <c r="CE38" s="1752"/>
      <c r="CF38" s="1752"/>
      <c r="CG38" s="1752"/>
      <c r="CH38" s="1752"/>
      <c r="CI38" s="1752"/>
      <c r="CJ38" s="1752"/>
      <c r="CK38" s="1752"/>
      <c r="CL38" s="1752"/>
      <c r="CM38" s="1752"/>
      <c r="CN38" s="1752"/>
      <c r="CO38" s="1767"/>
    </row>
    <row r="39" spans="2:93" x14ac:dyDescent="0.2">
      <c r="B39" s="170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52bA</v>
      </c>
      <c r="C39" s="1707" t="s">
        <v>889</v>
      </c>
      <c r="D39" s="1707" t="s">
        <v>888</v>
      </c>
      <c r="E39" s="1704" t="s">
        <v>885</v>
      </c>
      <c r="F39" s="1707" t="str">
        <f>VLOOKUP(TBL5_OptBen[[#This Row],[Option Type (defined list)]],'Option Typs_Grps'!B$2:C$47, 2, FALSE)</f>
        <v>Production Options</v>
      </c>
      <c r="G39" s="1707" t="s">
        <v>863</v>
      </c>
      <c r="H39" s="1707" t="s">
        <v>1461</v>
      </c>
      <c r="I39" s="1703" t="s">
        <v>88</v>
      </c>
      <c r="J39" s="1707" t="s">
        <v>236</v>
      </c>
      <c r="K39" s="1751">
        <v>2</v>
      </c>
      <c r="L39" s="1752"/>
      <c r="M39" s="1752"/>
      <c r="N39" s="1752"/>
      <c r="O39" s="1754"/>
      <c r="P39" s="1766"/>
      <c r="Q39" s="1753"/>
      <c r="R39" s="1753"/>
      <c r="S39" s="1752"/>
      <c r="T39" s="1752"/>
      <c r="U39" s="1752"/>
      <c r="V39" s="1752">
        <v>0.9</v>
      </c>
      <c r="W39" s="1752">
        <v>0.9</v>
      </c>
      <c r="X39" s="1752">
        <v>0.9</v>
      </c>
      <c r="Y39" s="1752">
        <v>0.9</v>
      </c>
      <c r="Z39" s="1752">
        <v>0.9</v>
      </c>
      <c r="AA39" s="1752">
        <v>0.9</v>
      </c>
      <c r="AB39" s="1752">
        <v>0.9</v>
      </c>
      <c r="AC39" s="1752">
        <v>0.9</v>
      </c>
      <c r="AD39" s="1752">
        <v>0.9</v>
      </c>
      <c r="AE39" s="1752">
        <v>0.9</v>
      </c>
      <c r="AF39" s="1752">
        <v>0.9</v>
      </c>
      <c r="AG39" s="1752">
        <v>0.9</v>
      </c>
      <c r="AH39" s="1752">
        <v>0.9</v>
      </c>
      <c r="AI39" s="1752">
        <v>0.9</v>
      </c>
      <c r="AJ39" s="1752">
        <v>0.9</v>
      </c>
      <c r="AK39" s="1752">
        <v>0.9</v>
      </c>
      <c r="AL39" s="1752">
        <v>0.9</v>
      </c>
      <c r="AM39" s="1752">
        <v>0.9</v>
      </c>
      <c r="AN39" s="1752">
        <v>0.9</v>
      </c>
      <c r="AO39" s="1752">
        <v>0.9</v>
      </c>
      <c r="AP39" s="1752">
        <v>0.9</v>
      </c>
      <c r="AQ39" s="1752"/>
      <c r="AR39" s="1752"/>
      <c r="AS39" s="1752"/>
      <c r="AT39" s="1752"/>
      <c r="AU39" s="1752"/>
      <c r="AV39" s="1752"/>
      <c r="AW39" s="1752"/>
      <c r="AX39" s="1752"/>
      <c r="AY39" s="1752"/>
      <c r="AZ39" s="1752"/>
      <c r="BA39" s="1752"/>
      <c r="BB39" s="1752"/>
      <c r="BC39" s="1752"/>
      <c r="BD39" s="1752"/>
      <c r="BE39" s="1752"/>
      <c r="BF39" s="1752"/>
      <c r="BG39" s="1752"/>
      <c r="BH39" s="1752"/>
      <c r="BI39" s="1752"/>
      <c r="BJ39" s="1752"/>
      <c r="BK39" s="1752"/>
      <c r="BL39" s="1752"/>
      <c r="BM39" s="1752"/>
      <c r="BN39" s="1752"/>
      <c r="BO39" s="1752"/>
      <c r="BP39" s="1754"/>
      <c r="BQ39" s="1755"/>
      <c r="BR39" s="1755"/>
      <c r="BS39" s="1755"/>
      <c r="BT39" s="1755"/>
      <c r="BU39" s="1755"/>
      <c r="BV39" s="1755"/>
      <c r="BW39" s="1755"/>
      <c r="BX39" s="1755"/>
      <c r="BY39" s="1755"/>
      <c r="BZ39" s="1755"/>
      <c r="CA39" s="1755"/>
      <c r="CB39" s="1755"/>
      <c r="CC39" s="1755"/>
      <c r="CD39" s="1755"/>
      <c r="CE39" s="1755"/>
      <c r="CF39" s="1755"/>
      <c r="CG39" s="1755"/>
      <c r="CH39" s="1755"/>
      <c r="CI39" s="1755"/>
      <c r="CJ39" s="1755"/>
      <c r="CK39" s="1755"/>
      <c r="CL39" s="1755"/>
      <c r="CM39" s="1755"/>
      <c r="CN39" s="1756"/>
      <c r="CO39" s="1767"/>
    </row>
    <row r="40" spans="2:93" x14ac:dyDescent="0.2">
      <c r="B40" s="170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52bA</v>
      </c>
      <c r="C40" s="1707" t="s">
        <v>887</v>
      </c>
      <c r="D40" s="1707" t="s">
        <v>886</v>
      </c>
      <c r="E40" s="1704" t="s">
        <v>885</v>
      </c>
      <c r="F40" s="1707" t="str">
        <f>VLOOKUP(TBL5_OptBen[[#This Row],[Option Type (defined list)]],'Option Typs_Grps'!B$2:C$47, 2, FALSE)</f>
        <v>Production Options</v>
      </c>
      <c r="G40" s="1707" t="s">
        <v>863</v>
      </c>
      <c r="H40" s="1707" t="s">
        <v>1461</v>
      </c>
      <c r="I40" s="1703" t="s">
        <v>88</v>
      </c>
      <c r="J40" s="1707" t="s">
        <v>236</v>
      </c>
      <c r="K40" s="1751">
        <v>2</v>
      </c>
      <c r="L40" s="1752"/>
      <c r="M40" s="1752"/>
      <c r="N40" s="1752"/>
      <c r="O40" s="1754"/>
      <c r="P40" s="1766"/>
      <c r="Q40" s="1753"/>
      <c r="R40" s="1753"/>
      <c r="S40" s="1752"/>
      <c r="T40" s="1752"/>
      <c r="U40" s="1752"/>
      <c r="V40" s="1752">
        <v>2.75</v>
      </c>
      <c r="W40" s="1752">
        <v>2.75</v>
      </c>
      <c r="X40" s="1752">
        <v>2.75</v>
      </c>
      <c r="Y40" s="1752">
        <v>2.75</v>
      </c>
      <c r="Z40" s="1752">
        <v>2.75</v>
      </c>
      <c r="AA40" s="1752">
        <v>2.75</v>
      </c>
      <c r="AB40" s="1752">
        <v>2.75</v>
      </c>
      <c r="AC40" s="1752">
        <v>2.75</v>
      </c>
      <c r="AD40" s="1752">
        <v>2.75</v>
      </c>
      <c r="AE40" s="1752">
        <v>2.75</v>
      </c>
      <c r="AF40" s="1752">
        <v>2.75</v>
      </c>
      <c r="AG40" s="1752">
        <v>2.75</v>
      </c>
      <c r="AH40" s="1752">
        <v>2.75</v>
      </c>
      <c r="AI40" s="1752">
        <v>2.75</v>
      </c>
      <c r="AJ40" s="1752">
        <v>2.75</v>
      </c>
      <c r="AK40" s="1752">
        <v>2.75</v>
      </c>
      <c r="AL40" s="1752">
        <v>2.75</v>
      </c>
      <c r="AM40" s="1752">
        <v>2.75</v>
      </c>
      <c r="AN40" s="1752">
        <v>2.75</v>
      </c>
      <c r="AO40" s="1752">
        <v>2.75</v>
      </c>
      <c r="AP40" s="1752">
        <v>2.75</v>
      </c>
      <c r="AQ40" s="1752"/>
      <c r="AR40" s="1752"/>
      <c r="AS40" s="1752"/>
      <c r="AT40" s="1752"/>
      <c r="AU40" s="1752"/>
      <c r="AV40" s="1752"/>
      <c r="AW40" s="1752"/>
      <c r="AX40" s="1752"/>
      <c r="AY40" s="1752"/>
      <c r="AZ40" s="1752"/>
      <c r="BA40" s="1752"/>
      <c r="BB40" s="1752"/>
      <c r="BC40" s="1752"/>
      <c r="BD40" s="1752"/>
      <c r="BE40" s="1752"/>
      <c r="BF40" s="1752"/>
      <c r="BG40" s="1752"/>
      <c r="BH40" s="1752"/>
      <c r="BI40" s="1752"/>
      <c r="BJ40" s="1752"/>
      <c r="BK40" s="1752"/>
      <c r="BL40" s="1752"/>
      <c r="BM40" s="1752"/>
      <c r="BN40" s="1752"/>
      <c r="BO40" s="1752"/>
      <c r="BP40" s="1754"/>
      <c r="BQ40" s="1755"/>
      <c r="BR40" s="1755"/>
      <c r="BS40" s="1755"/>
      <c r="BT40" s="1755"/>
      <c r="BU40" s="1755"/>
      <c r="BV40" s="1755"/>
      <c r="BW40" s="1755"/>
      <c r="BX40" s="1755"/>
      <c r="BY40" s="1755"/>
      <c r="BZ40" s="1755"/>
      <c r="CA40" s="1755"/>
      <c r="CB40" s="1755"/>
      <c r="CC40" s="1755"/>
      <c r="CD40" s="1755"/>
      <c r="CE40" s="1755"/>
      <c r="CF40" s="1755"/>
      <c r="CG40" s="1755"/>
      <c r="CH40" s="1755"/>
      <c r="CI40" s="1755"/>
      <c r="CJ40" s="1755"/>
      <c r="CK40" s="1755"/>
      <c r="CL40" s="1755"/>
      <c r="CM40" s="1755"/>
      <c r="CN40" s="1756"/>
      <c r="CO40" s="1767"/>
    </row>
    <row r="41" spans="2:93" x14ac:dyDescent="0.2">
      <c r="B41" s="170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41" s="1707" t="s">
        <v>1463</v>
      </c>
      <c r="D41" s="1707" t="s">
        <v>890</v>
      </c>
      <c r="E41" s="1704" t="s">
        <v>875</v>
      </c>
      <c r="F41" s="1707" t="str">
        <f>VLOOKUP(TBL5_OptBen[[#This Row],[Option Type (defined list)]],'Option Typs_Grps'!B$2:C$47, 2, FALSE)</f>
        <v>Resource Options</v>
      </c>
      <c r="G41" s="1707" t="s">
        <v>863</v>
      </c>
      <c r="H41" s="1707" t="s">
        <v>1461</v>
      </c>
      <c r="I41" s="1703" t="s">
        <v>88</v>
      </c>
      <c r="J41" s="1707" t="s">
        <v>236</v>
      </c>
      <c r="K41" s="1751">
        <v>2</v>
      </c>
      <c r="L41" s="1752"/>
      <c r="M41" s="1752"/>
      <c r="N41" s="1752"/>
      <c r="O41" s="1754"/>
      <c r="P41" s="1766"/>
      <c r="Q41" s="1753"/>
      <c r="R41" s="1753"/>
      <c r="S41" s="1752"/>
      <c r="T41" s="1752"/>
      <c r="U41" s="1752"/>
      <c r="V41" s="1752"/>
      <c r="W41" s="1752">
        <v>8</v>
      </c>
      <c r="X41" s="1752">
        <v>8</v>
      </c>
      <c r="Y41" s="1752">
        <v>8</v>
      </c>
      <c r="Z41" s="1752">
        <v>8</v>
      </c>
      <c r="AA41" s="1752">
        <v>8</v>
      </c>
      <c r="AB41" s="1752">
        <v>8</v>
      </c>
      <c r="AC41" s="1752">
        <v>8</v>
      </c>
      <c r="AD41" s="1752">
        <v>8</v>
      </c>
      <c r="AE41" s="1752">
        <v>8</v>
      </c>
      <c r="AF41" s="1752">
        <v>8</v>
      </c>
      <c r="AG41" s="1752">
        <v>8</v>
      </c>
      <c r="AH41" s="1752">
        <v>8</v>
      </c>
      <c r="AI41" s="1752">
        <v>8</v>
      </c>
      <c r="AJ41" s="1752">
        <v>8</v>
      </c>
      <c r="AK41" s="1752">
        <v>8</v>
      </c>
      <c r="AL41" s="1752">
        <v>8</v>
      </c>
      <c r="AM41" s="1752">
        <v>8</v>
      </c>
      <c r="AN41" s="1752">
        <v>8</v>
      </c>
      <c r="AO41" s="1752">
        <v>8</v>
      </c>
      <c r="AP41" s="1752">
        <v>8</v>
      </c>
      <c r="AQ41" s="1752"/>
      <c r="AR41" s="1752"/>
      <c r="AS41" s="1752"/>
      <c r="AT41" s="1752"/>
      <c r="AU41" s="1752"/>
      <c r="AV41" s="1752"/>
      <c r="AW41" s="1752"/>
      <c r="AX41" s="1752"/>
      <c r="AY41" s="1752"/>
      <c r="AZ41" s="1752"/>
      <c r="BA41" s="1752"/>
      <c r="BB41" s="1752"/>
      <c r="BC41" s="1752"/>
      <c r="BD41" s="1752"/>
      <c r="BE41" s="1752"/>
      <c r="BF41" s="1752"/>
      <c r="BG41" s="1752"/>
      <c r="BH41" s="1752"/>
      <c r="BI41" s="1752"/>
      <c r="BJ41" s="1752"/>
      <c r="BK41" s="1752"/>
      <c r="BL41" s="1752"/>
      <c r="BM41" s="1752"/>
      <c r="BN41" s="1752"/>
      <c r="BO41" s="1752"/>
      <c r="BP41" s="1754"/>
      <c r="BQ41" s="1755"/>
      <c r="BR41" s="1755"/>
      <c r="BS41" s="1755"/>
      <c r="BT41" s="1755"/>
      <c r="BU41" s="1755"/>
      <c r="BV41" s="1755"/>
      <c r="BW41" s="1755"/>
      <c r="BX41" s="1755"/>
      <c r="BY41" s="1755"/>
      <c r="BZ41" s="1755"/>
      <c r="CA41" s="1755"/>
      <c r="CB41" s="1755"/>
      <c r="CC41" s="1755"/>
      <c r="CD41" s="1755"/>
      <c r="CE41" s="1755"/>
      <c r="CF41" s="1755"/>
      <c r="CG41" s="1755"/>
      <c r="CH41" s="1755"/>
      <c r="CI41" s="1755"/>
      <c r="CJ41" s="1755"/>
      <c r="CK41" s="1755"/>
      <c r="CL41" s="1755"/>
      <c r="CM41" s="1755"/>
      <c r="CN41" s="1756"/>
      <c r="CO41" s="1767"/>
    </row>
    <row r="42" spans="2:93" x14ac:dyDescent="0.2">
      <c r="B42" s="170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52bA</v>
      </c>
      <c r="C42" s="1703" t="s">
        <v>894</v>
      </c>
      <c r="D42" s="1703" t="s">
        <v>893</v>
      </c>
      <c r="E42" s="1704" t="s">
        <v>885</v>
      </c>
      <c r="F42" s="1707" t="str">
        <f>VLOOKUP(TBL5_OptBen[[#This Row],[Option Type (defined list)]],'Option Typs_Grps'!B$2:C$47, 2, FALSE)</f>
        <v>Production Options</v>
      </c>
      <c r="G42" s="1707" t="s">
        <v>863</v>
      </c>
      <c r="H42" s="1707" t="s">
        <v>1461</v>
      </c>
      <c r="I42" s="1703" t="s">
        <v>88</v>
      </c>
      <c r="J42" s="1707" t="s">
        <v>236</v>
      </c>
      <c r="K42" s="1751">
        <v>2</v>
      </c>
      <c r="L42" s="1752"/>
      <c r="M42" s="1752"/>
      <c r="N42" s="1752"/>
      <c r="O42" s="1754"/>
      <c r="P42" s="1766"/>
      <c r="Q42" s="1753"/>
      <c r="R42" s="1753"/>
      <c r="S42" s="1752"/>
      <c r="T42" s="1752"/>
      <c r="U42" s="1752"/>
      <c r="V42" s="1752">
        <v>0.2</v>
      </c>
      <c r="W42" s="1752">
        <v>0.2</v>
      </c>
      <c r="X42" s="1752">
        <v>0.2</v>
      </c>
      <c r="Y42" s="1752">
        <v>0.2</v>
      </c>
      <c r="Z42" s="1752">
        <v>0.2</v>
      </c>
      <c r="AA42" s="1752">
        <v>0.2</v>
      </c>
      <c r="AB42" s="1752">
        <v>0.2</v>
      </c>
      <c r="AC42" s="1752">
        <v>0.2</v>
      </c>
      <c r="AD42" s="1752">
        <v>0.2</v>
      </c>
      <c r="AE42" s="1752">
        <v>0.2</v>
      </c>
      <c r="AF42" s="1752">
        <v>0.2</v>
      </c>
      <c r="AG42" s="1752">
        <v>0.2</v>
      </c>
      <c r="AH42" s="1752">
        <v>0.2</v>
      </c>
      <c r="AI42" s="1752">
        <v>0.2</v>
      </c>
      <c r="AJ42" s="1752">
        <v>0.2</v>
      </c>
      <c r="AK42" s="1752">
        <v>0.2</v>
      </c>
      <c r="AL42" s="1752">
        <v>0.2</v>
      </c>
      <c r="AM42" s="1752">
        <v>0.2</v>
      </c>
      <c r="AN42" s="1752">
        <v>0.2</v>
      </c>
      <c r="AO42" s="1752">
        <v>0.2</v>
      </c>
      <c r="AP42" s="1752">
        <v>0.2</v>
      </c>
      <c r="AQ42" s="1752"/>
      <c r="AR42" s="1752"/>
      <c r="AS42" s="1752"/>
      <c r="AT42" s="1752"/>
      <c r="AU42" s="1752"/>
      <c r="AV42" s="1752"/>
      <c r="AW42" s="1752"/>
      <c r="AX42" s="1752"/>
      <c r="AY42" s="1752"/>
      <c r="AZ42" s="1752"/>
      <c r="BA42" s="1752"/>
      <c r="BB42" s="1752"/>
      <c r="BC42" s="1752"/>
      <c r="BD42" s="1752"/>
      <c r="BE42" s="1752"/>
      <c r="BF42" s="1752"/>
      <c r="BG42" s="1752"/>
      <c r="BH42" s="1752"/>
      <c r="BI42" s="1752"/>
      <c r="BJ42" s="1752"/>
      <c r="BK42" s="1752"/>
      <c r="BL42" s="1752"/>
      <c r="BM42" s="1752"/>
      <c r="BN42" s="1752"/>
      <c r="BO42" s="1752"/>
      <c r="BP42" s="1754"/>
      <c r="BQ42" s="1755"/>
      <c r="BR42" s="1755"/>
      <c r="BS42" s="1755"/>
      <c r="BT42" s="1755"/>
      <c r="BU42" s="1755"/>
      <c r="BV42" s="1755"/>
      <c r="BW42" s="1755"/>
      <c r="BX42" s="1755"/>
      <c r="BY42" s="1755"/>
      <c r="BZ42" s="1755"/>
      <c r="CA42" s="1755"/>
      <c r="CB42" s="1755"/>
      <c r="CC42" s="1755"/>
      <c r="CD42" s="1755"/>
      <c r="CE42" s="1755"/>
      <c r="CF42" s="1755"/>
      <c r="CG42" s="1755"/>
      <c r="CH42" s="1755"/>
      <c r="CI42" s="1755"/>
      <c r="CJ42" s="1755"/>
      <c r="CK42" s="1755"/>
      <c r="CL42" s="1755"/>
      <c r="CM42" s="1755"/>
      <c r="CN42" s="1752"/>
      <c r="CO42" s="1767"/>
    </row>
    <row r="43" spans="2:93" x14ac:dyDescent="0.2">
      <c r="B43" s="170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52bA</v>
      </c>
      <c r="C43" s="1707" t="s">
        <v>884</v>
      </c>
      <c r="D43" s="1707" t="s">
        <v>883</v>
      </c>
      <c r="E43" s="1704" t="s">
        <v>885</v>
      </c>
      <c r="F43" s="1707" t="str">
        <f>VLOOKUP(TBL5_OptBen[[#This Row],[Option Type (defined list)]],'Option Typs_Grps'!B$2:C$47, 2, FALSE)</f>
        <v>Production Options</v>
      </c>
      <c r="G43" s="1707" t="s">
        <v>863</v>
      </c>
      <c r="H43" s="1707" t="s">
        <v>1461</v>
      </c>
      <c r="I43" s="1703" t="s">
        <v>105</v>
      </c>
      <c r="J43" s="1707" t="s">
        <v>236</v>
      </c>
      <c r="K43" s="1751">
        <v>2</v>
      </c>
      <c r="L43" s="1752"/>
      <c r="M43" s="1752"/>
      <c r="N43" s="1752"/>
      <c r="O43" s="1754"/>
      <c r="P43" s="1766"/>
      <c r="Q43" s="1753"/>
      <c r="R43" s="1753"/>
      <c r="S43" s="1752"/>
      <c r="T43" s="1752"/>
      <c r="U43" s="1752"/>
      <c r="V43" s="1752">
        <v>2.15</v>
      </c>
      <c r="W43" s="1752">
        <v>2.15</v>
      </c>
      <c r="X43" s="1752">
        <v>2.15</v>
      </c>
      <c r="Y43" s="1752">
        <v>2.15</v>
      </c>
      <c r="Z43" s="1752">
        <v>2.15</v>
      </c>
      <c r="AA43" s="1752">
        <v>2.15</v>
      </c>
      <c r="AB43" s="1752">
        <v>2.15</v>
      </c>
      <c r="AC43" s="1752">
        <v>2.15</v>
      </c>
      <c r="AD43" s="1752">
        <v>2.15</v>
      </c>
      <c r="AE43" s="1752">
        <v>2.15</v>
      </c>
      <c r="AF43" s="1752">
        <v>2.15</v>
      </c>
      <c r="AG43" s="1752">
        <v>2.15</v>
      </c>
      <c r="AH43" s="1752">
        <v>2.15</v>
      </c>
      <c r="AI43" s="1752">
        <v>2.15</v>
      </c>
      <c r="AJ43" s="1752">
        <v>2.15</v>
      </c>
      <c r="AK43" s="1752">
        <v>2.15</v>
      </c>
      <c r="AL43" s="1752">
        <v>2.15</v>
      </c>
      <c r="AM43" s="1752">
        <v>2.15</v>
      </c>
      <c r="AN43" s="1752">
        <v>2.15</v>
      </c>
      <c r="AO43" s="1752">
        <v>2.15</v>
      </c>
      <c r="AP43" s="1752">
        <v>2.15</v>
      </c>
      <c r="AQ43" s="1752"/>
      <c r="AR43" s="1752"/>
      <c r="AS43" s="1752"/>
      <c r="AT43" s="1752"/>
      <c r="AU43" s="1752"/>
      <c r="AV43" s="1752"/>
      <c r="AW43" s="1752"/>
      <c r="AX43" s="1752"/>
      <c r="AY43" s="1752"/>
      <c r="AZ43" s="1752"/>
      <c r="BA43" s="1752"/>
      <c r="BB43" s="1752"/>
      <c r="BC43" s="1752"/>
      <c r="BD43" s="1752"/>
      <c r="BE43" s="1752"/>
      <c r="BF43" s="1752"/>
      <c r="BG43" s="1752"/>
      <c r="BH43" s="1752"/>
      <c r="BI43" s="1752"/>
      <c r="BJ43" s="1752"/>
      <c r="BK43" s="1752"/>
      <c r="BL43" s="1752"/>
      <c r="BM43" s="1752"/>
      <c r="BN43" s="1752"/>
      <c r="BO43" s="1752"/>
      <c r="BP43" s="1754"/>
      <c r="BQ43" s="1755"/>
      <c r="BR43" s="1755"/>
      <c r="BS43" s="1755"/>
      <c r="BT43" s="1755"/>
      <c r="BU43" s="1755"/>
      <c r="BV43" s="1755"/>
      <c r="BW43" s="1755"/>
      <c r="BX43" s="1755"/>
      <c r="BY43" s="1755"/>
      <c r="BZ43" s="1755"/>
      <c r="CA43" s="1755"/>
      <c r="CB43" s="1755"/>
      <c r="CC43" s="1755"/>
      <c r="CD43" s="1755"/>
      <c r="CE43" s="1755"/>
      <c r="CF43" s="1755"/>
      <c r="CG43" s="1755"/>
      <c r="CH43" s="1755"/>
      <c r="CI43" s="1755"/>
      <c r="CJ43" s="1755"/>
      <c r="CK43" s="1755"/>
      <c r="CL43" s="1755"/>
      <c r="CM43" s="1755"/>
      <c r="CN43" s="1756"/>
      <c r="CO43" s="1767"/>
    </row>
    <row r="44" spans="2:93" ht="28.5" x14ac:dyDescent="0.2">
      <c r="B44" s="170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44" s="1703" t="s">
        <v>1465</v>
      </c>
      <c r="D44" s="1703" t="s">
        <v>982</v>
      </c>
      <c r="E44" s="1704" t="s">
        <v>907</v>
      </c>
      <c r="F44" s="1707" t="str">
        <f>VLOOKUP(TBL5_OptBen[[#This Row],[Option Type (defined list)]],'Option Typs_Grps'!B$2:C$47, 2, FALSE)</f>
        <v>Distribution Options</v>
      </c>
      <c r="G44" s="1707" t="s">
        <v>863</v>
      </c>
      <c r="H44" s="1707" t="s">
        <v>1461</v>
      </c>
      <c r="I44" s="1703" t="s">
        <v>93</v>
      </c>
      <c r="J44" s="1707" t="s">
        <v>236</v>
      </c>
      <c r="K44" s="1751">
        <v>2</v>
      </c>
      <c r="L44" s="1752"/>
      <c r="M44" s="1752"/>
      <c r="N44" s="1752"/>
      <c r="O44" s="1754"/>
      <c r="P44" s="1766"/>
      <c r="Q44" s="1753"/>
      <c r="R44" s="1753"/>
      <c r="S44" s="1752"/>
      <c r="T44" s="1752"/>
      <c r="U44" s="1752">
        <v>0.52981537984108951</v>
      </c>
      <c r="V44" s="1752">
        <v>0.41022915495426138</v>
      </c>
      <c r="W44" s="1752">
        <v>1.9969002474290551</v>
      </c>
      <c r="X44" s="1752">
        <v>1.9013283248532828</v>
      </c>
      <c r="Y44" s="1752">
        <v>4.132353579458325</v>
      </c>
      <c r="Z44" s="1752">
        <v>4.0303463650160074</v>
      </c>
      <c r="AA44" s="1752">
        <v>3.9299665038642964</v>
      </c>
      <c r="AB44" s="1752">
        <v>3.8811543549678813</v>
      </c>
      <c r="AC44" s="1752">
        <v>3.8301910463949911</v>
      </c>
      <c r="AD44" s="1752">
        <v>3.7825314736066251</v>
      </c>
      <c r="AE44" s="1752">
        <v>3.7582861267371013</v>
      </c>
      <c r="AF44" s="1752">
        <v>3.7283825950762579</v>
      </c>
      <c r="AG44" s="1752">
        <v>4.6033840907552888</v>
      </c>
      <c r="AH44" s="1752">
        <v>4.576671091952095</v>
      </c>
      <c r="AI44" s="1752">
        <v>4.54951954311794</v>
      </c>
      <c r="AJ44" s="1752">
        <v>4.5381927937372986</v>
      </c>
      <c r="AK44" s="1752">
        <v>4.5281645466344935</v>
      </c>
      <c r="AL44" s="1752">
        <v>5.347236636067028</v>
      </c>
      <c r="AM44" s="1752">
        <v>5.3364547211658282</v>
      </c>
      <c r="AN44" s="1752">
        <v>5.3231392274904987</v>
      </c>
      <c r="AO44" s="1752">
        <v>5.3197550071245763</v>
      </c>
      <c r="AP44" s="1752">
        <v>5.3114223719818474</v>
      </c>
      <c r="AQ44" s="1752"/>
      <c r="AR44" s="1752"/>
      <c r="AS44" s="1752"/>
      <c r="AT44" s="1752"/>
      <c r="AU44" s="1752"/>
      <c r="AV44" s="1752"/>
      <c r="AW44" s="1752"/>
      <c r="AX44" s="1752"/>
      <c r="AY44" s="1752"/>
      <c r="AZ44" s="1752"/>
      <c r="BA44" s="1752"/>
      <c r="BB44" s="1752"/>
      <c r="BC44" s="1752"/>
      <c r="BD44" s="1752"/>
      <c r="BE44" s="1752"/>
      <c r="BF44" s="1752"/>
      <c r="BG44" s="1752"/>
      <c r="BH44" s="1752"/>
      <c r="BI44" s="1752"/>
      <c r="BJ44" s="1752"/>
      <c r="BK44" s="1752"/>
      <c r="BL44" s="1752"/>
      <c r="BM44" s="1752"/>
      <c r="BN44" s="1752"/>
      <c r="BO44" s="1752"/>
      <c r="BP44" s="1752"/>
      <c r="BQ44" s="1752"/>
      <c r="BR44" s="1752"/>
      <c r="BS44" s="1752"/>
      <c r="BT44" s="1752"/>
      <c r="BU44" s="1752"/>
      <c r="BV44" s="1752"/>
      <c r="BW44" s="1752"/>
      <c r="BX44" s="1752"/>
      <c r="BY44" s="1752"/>
      <c r="BZ44" s="1752"/>
      <c r="CA44" s="1752"/>
      <c r="CB44" s="1752"/>
      <c r="CC44" s="1752"/>
      <c r="CD44" s="1752"/>
      <c r="CE44" s="1752"/>
      <c r="CF44" s="1752"/>
      <c r="CG44" s="1752"/>
      <c r="CH44" s="1752"/>
      <c r="CI44" s="1752"/>
      <c r="CJ44" s="1752"/>
      <c r="CK44" s="1752"/>
      <c r="CL44" s="1752"/>
      <c r="CM44" s="1752"/>
      <c r="CN44" s="1752"/>
      <c r="CO44" s="1767"/>
    </row>
    <row r="45" spans="2:93" ht="28.5" x14ac:dyDescent="0.2">
      <c r="B45" s="170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45" s="1703" t="s">
        <v>1040</v>
      </c>
      <c r="D45" s="1703" t="s">
        <v>1039</v>
      </c>
      <c r="E45" s="1704" t="s">
        <v>1041</v>
      </c>
      <c r="F45" s="1707" t="str">
        <f>VLOOKUP(TBL5_OptBen[[#This Row],[Option Type (defined list)]],'Option Typs_Grps'!B$2:C$47, 2, FALSE)</f>
        <v>Resource Options</v>
      </c>
      <c r="G45" s="1707" t="s">
        <v>863</v>
      </c>
      <c r="H45" s="1707" t="s">
        <v>1461</v>
      </c>
      <c r="I45" s="1703" t="s">
        <v>105</v>
      </c>
      <c r="J45" s="1707" t="s">
        <v>236</v>
      </c>
      <c r="K45" s="1751">
        <v>2</v>
      </c>
      <c r="L45" s="1752"/>
      <c r="M45" s="1752"/>
      <c r="N45" s="1752"/>
      <c r="O45" s="1754"/>
      <c r="P45" s="1766"/>
      <c r="Q45" s="1753"/>
      <c r="R45" s="1753"/>
      <c r="S45" s="1752"/>
      <c r="T45" s="1752"/>
      <c r="U45" s="1752"/>
      <c r="V45" s="1752"/>
      <c r="W45" s="1752">
        <v>1</v>
      </c>
      <c r="X45" s="1752">
        <v>1</v>
      </c>
      <c r="Y45" s="1752">
        <v>1</v>
      </c>
      <c r="Z45" s="1752">
        <v>1</v>
      </c>
      <c r="AA45" s="1752">
        <v>1</v>
      </c>
      <c r="AB45" s="1752">
        <v>1</v>
      </c>
      <c r="AC45" s="1752">
        <v>1</v>
      </c>
      <c r="AD45" s="1752">
        <v>1</v>
      </c>
      <c r="AE45" s="1752">
        <v>1</v>
      </c>
      <c r="AF45" s="1752">
        <v>1</v>
      </c>
      <c r="AG45" s="1752">
        <v>1</v>
      </c>
      <c r="AH45" s="1752">
        <v>1</v>
      </c>
      <c r="AI45" s="1752">
        <v>1</v>
      </c>
      <c r="AJ45" s="1752">
        <v>1</v>
      </c>
      <c r="AK45" s="1752">
        <v>1</v>
      </c>
      <c r="AL45" s="1752">
        <v>1</v>
      </c>
      <c r="AM45" s="1752">
        <v>1</v>
      </c>
      <c r="AN45" s="1752">
        <v>1</v>
      </c>
      <c r="AO45" s="1752">
        <v>1</v>
      </c>
      <c r="AP45" s="1752">
        <v>1</v>
      </c>
      <c r="AQ45" s="1752"/>
      <c r="AR45" s="1752"/>
      <c r="AS45" s="1752"/>
      <c r="AT45" s="1752"/>
      <c r="AU45" s="1752"/>
      <c r="AV45" s="1752"/>
      <c r="AW45" s="1752"/>
      <c r="AX45" s="1752"/>
      <c r="AY45" s="1752"/>
      <c r="AZ45" s="1752"/>
      <c r="BA45" s="1752"/>
      <c r="BB45" s="1752"/>
      <c r="BC45" s="1752"/>
      <c r="BD45" s="1752"/>
      <c r="BE45" s="1752"/>
      <c r="BF45" s="1752"/>
      <c r="BG45" s="1752"/>
      <c r="BH45" s="1752"/>
      <c r="BI45" s="1752"/>
      <c r="BJ45" s="1752"/>
      <c r="BK45" s="1752"/>
      <c r="BL45" s="1752"/>
      <c r="BM45" s="1752"/>
      <c r="BN45" s="1752"/>
      <c r="BO45" s="1752"/>
      <c r="BP45" s="1752"/>
      <c r="BQ45" s="1752"/>
      <c r="BR45" s="1752"/>
      <c r="BS45" s="1752"/>
      <c r="BT45" s="1752"/>
      <c r="BU45" s="1752"/>
      <c r="BV45" s="1752"/>
      <c r="BW45" s="1752"/>
      <c r="BX45" s="1752"/>
      <c r="BY45" s="1752"/>
      <c r="BZ45" s="1752"/>
      <c r="CA45" s="1752"/>
      <c r="CB45" s="1752"/>
      <c r="CC45" s="1752"/>
      <c r="CD45" s="1752"/>
      <c r="CE45" s="1752"/>
      <c r="CF45" s="1752"/>
      <c r="CG45" s="1752"/>
      <c r="CH45" s="1752"/>
      <c r="CI45" s="1752"/>
      <c r="CJ45" s="1752"/>
      <c r="CK45" s="1752"/>
      <c r="CL45" s="1752"/>
      <c r="CM45" s="1752"/>
      <c r="CN45" s="1752"/>
      <c r="CO45" s="1767"/>
    </row>
    <row r="46" spans="2:93" ht="28.5" x14ac:dyDescent="0.2">
      <c r="B46" s="170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46" s="1703" t="s">
        <v>1034</v>
      </c>
      <c r="D46" s="1703" t="s">
        <v>984</v>
      </c>
      <c r="E46" s="1704" t="s">
        <v>907</v>
      </c>
      <c r="F46" s="1707" t="str">
        <f>VLOOKUP(TBL5_OptBen[[#This Row],[Option Type (defined list)]],'Option Typs_Grps'!B$2:C$47, 2, FALSE)</f>
        <v>Distribution Options</v>
      </c>
      <c r="G46" s="1707" t="s">
        <v>863</v>
      </c>
      <c r="H46" s="1707" t="s">
        <v>1461</v>
      </c>
      <c r="I46" s="1703" t="s">
        <v>102</v>
      </c>
      <c r="J46" s="1707" t="s">
        <v>236</v>
      </c>
      <c r="K46" s="1751">
        <v>2</v>
      </c>
      <c r="L46" s="1752"/>
      <c r="M46" s="1752"/>
      <c r="N46" s="1752"/>
      <c r="O46" s="1754"/>
      <c r="P46" s="1766"/>
      <c r="Q46" s="1753"/>
      <c r="R46" s="1753"/>
      <c r="S46" s="1752"/>
      <c r="T46" s="1752"/>
      <c r="U46" s="1771">
        <v>2.0191658334342422</v>
      </c>
      <c r="V46" s="1771">
        <v>1.9750342851558536</v>
      </c>
      <c r="W46" s="1771">
        <v>2.1602800871321528</v>
      </c>
      <c r="X46" s="1771">
        <v>1.9415896480311743</v>
      </c>
      <c r="Y46" s="1771">
        <v>5.654349269798713</v>
      </c>
      <c r="Z46" s="1771">
        <v>5.613079458205263</v>
      </c>
      <c r="AA46" s="1771">
        <v>5.5425060693968762</v>
      </c>
      <c r="AB46" s="1771">
        <v>5.4853809871869776</v>
      </c>
      <c r="AC46" s="1771">
        <v>5.4584486292165808</v>
      </c>
      <c r="AD46" s="1771">
        <v>5.4218804505148581</v>
      </c>
      <c r="AE46" s="1771">
        <v>5.4008407809205563</v>
      </c>
      <c r="AF46" s="1771">
        <v>5.3775638656158131</v>
      </c>
      <c r="AG46" s="1771">
        <v>6.0010081839225338</v>
      </c>
      <c r="AH46" s="1771">
        <v>5.9673451728357021</v>
      </c>
      <c r="AI46" s="1771">
        <v>5.9252281773674884</v>
      </c>
      <c r="AJ46" s="1771">
        <v>5.9053244604307817</v>
      </c>
      <c r="AK46" s="1771">
        <v>5.9066312118793931</v>
      </c>
      <c r="AL46" s="1771">
        <v>6.547291354179122</v>
      </c>
      <c r="AM46" s="1771">
        <v>6.5585931432347309</v>
      </c>
      <c r="AN46" s="1771">
        <v>6.5702706405093627</v>
      </c>
      <c r="AO46" s="1771">
        <v>6.5927342527358581</v>
      </c>
      <c r="AP46" s="1771">
        <v>6.6051322929039378</v>
      </c>
      <c r="AQ46" s="1752"/>
      <c r="AR46" s="1752"/>
      <c r="AS46" s="1752"/>
      <c r="AT46" s="1752"/>
      <c r="AU46" s="1752"/>
      <c r="AV46" s="1752"/>
      <c r="AW46" s="1752"/>
      <c r="AX46" s="1752"/>
      <c r="AY46" s="1752"/>
      <c r="AZ46" s="1752"/>
      <c r="BA46" s="1752"/>
      <c r="BB46" s="1752"/>
      <c r="BC46" s="1752"/>
      <c r="BD46" s="1752"/>
      <c r="BE46" s="1752"/>
      <c r="BF46" s="1752"/>
      <c r="BG46" s="1752"/>
      <c r="BH46" s="1752"/>
      <c r="BI46" s="1752"/>
      <c r="BJ46" s="1752"/>
      <c r="BK46" s="1752"/>
      <c r="BL46" s="1752"/>
      <c r="BM46" s="1752"/>
      <c r="BN46" s="1752"/>
      <c r="BO46" s="1752"/>
      <c r="BP46" s="1752"/>
      <c r="BQ46" s="1752"/>
      <c r="BR46" s="1752"/>
      <c r="BS46" s="1752"/>
      <c r="BT46" s="1752"/>
      <c r="BU46" s="1752"/>
      <c r="BV46" s="1752"/>
      <c r="BW46" s="1752"/>
      <c r="BX46" s="1752"/>
      <c r="BY46" s="1752"/>
      <c r="BZ46" s="1752"/>
      <c r="CA46" s="1752"/>
      <c r="CB46" s="1752"/>
      <c r="CC46" s="1752"/>
      <c r="CD46" s="1752"/>
      <c r="CE46" s="1752"/>
      <c r="CF46" s="1752"/>
      <c r="CG46" s="1752"/>
      <c r="CH46" s="1752"/>
      <c r="CI46" s="1752"/>
      <c r="CJ46" s="1752"/>
      <c r="CK46" s="1752"/>
      <c r="CL46" s="1752"/>
      <c r="CM46" s="1752"/>
      <c r="CN46" s="1752"/>
      <c r="CO46" s="1767"/>
    </row>
    <row r="47" spans="2:93" x14ac:dyDescent="0.2">
      <c r="B47" s="170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47" s="1703" t="s">
        <v>874</v>
      </c>
      <c r="D47" s="1703" t="s">
        <v>873</v>
      </c>
      <c r="E47" s="1704" t="s">
        <v>875</v>
      </c>
      <c r="F47" s="1707" t="str">
        <f>VLOOKUP(TBL5_OptBen[[#This Row],[Option Type (defined list)]],'Option Typs_Grps'!B$2:C$47, 2, FALSE)</f>
        <v>Resource Options</v>
      </c>
      <c r="G47" s="1707" t="s">
        <v>863</v>
      </c>
      <c r="H47" s="1707" t="s">
        <v>1462</v>
      </c>
      <c r="I47" s="1703" t="s">
        <v>88</v>
      </c>
      <c r="J47" s="1707" t="s">
        <v>236</v>
      </c>
      <c r="K47" s="1751">
        <v>2</v>
      </c>
      <c r="L47" s="1752"/>
      <c r="M47" s="1752"/>
      <c r="N47" s="1752"/>
      <c r="O47" s="1754"/>
      <c r="P47" s="1766"/>
      <c r="Q47" s="1753"/>
      <c r="R47" s="1753"/>
      <c r="S47" s="1752"/>
      <c r="T47" s="1752">
        <v>10</v>
      </c>
      <c r="U47" s="1752">
        <v>10</v>
      </c>
      <c r="V47" s="1752">
        <v>10</v>
      </c>
      <c r="W47" s="1752">
        <v>10</v>
      </c>
      <c r="X47" s="1752">
        <v>10</v>
      </c>
      <c r="Y47" s="1752">
        <v>10</v>
      </c>
      <c r="Z47" s="1752">
        <v>10</v>
      </c>
      <c r="AA47" s="1752">
        <v>10</v>
      </c>
      <c r="AB47" s="1752">
        <v>10</v>
      </c>
      <c r="AC47" s="1752">
        <v>10</v>
      </c>
      <c r="AD47" s="1752">
        <v>10</v>
      </c>
      <c r="AE47" s="1752">
        <v>10</v>
      </c>
      <c r="AF47" s="1752">
        <v>10</v>
      </c>
      <c r="AG47" s="1752">
        <v>10</v>
      </c>
      <c r="AH47" s="1752">
        <v>10</v>
      </c>
      <c r="AI47" s="1752">
        <v>10</v>
      </c>
      <c r="AJ47" s="1752">
        <v>10</v>
      </c>
      <c r="AK47" s="1752">
        <v>10</v>
      </c>
      <c r="AL47" s="1752">
        <v>10</v>
      </c>
      <c r="AM47" s="1752">
        <v>10</v>
      </c>
      <c r="AN47" s="1752">
        <v>10</v>
      </c>
      <c r="AO47" s="1752">
        <v>10</v>
      </c>
      <c r="AP47" s="1752">
        <v>10</v>
      </c>
      <c r="AQ47" s="1752"/>
      <c r="AR47" s="1752"/>
      <c r="AS47" s="1752"/>
      <c r="AT47" s="1752"/>
      <c r="AU47" s="1752"/>
      <c r="AV47" s="1752"/>
      <c r="AW47" s="1752"/>
      <c r="AX47" s="1752"/>
      <c r="AY47" s="1752"/>
      <c r="AZ47" s="1752"/>
      <c r="BA47" s="1752"/>
      <c r="BB47" s="1752"/>
      <c r="BC47" s="1752"/>
      <c r="BD47" s="1752"/>
      <c r="BE47" s="1752"/>
      <c r="BF47" s="1752"/>
      <c r="BG47" s="1752"/>
      <c r="BH47" s="1752"/>
      <c r="BI47" s="1752"/>
      <c r="BJ47" s="1752"/>
      <c r="BK47" s="1752"/>
      <c r="BL47" s="1752"/>
      <c r="BM47" s="1752"/>
      <c r="BN47" s="1752"/>
      <c r="BO47" s="1752"/>
      <c r="BP47" s="1752"/>
      <c r="BQ47" s="1752"/>
      <c r="BR47" s="1752"/>
      <c r="BS47" s="1752"/>
      <c r="BT47" s="1752"/>
      <c r="BU47" s="1752"/>
      <c r="BV47" s="1752"/>
      <c r="BW47" s="1752"/>
      <c r="BX47" s="1752"/>
      <c r="BY47" s="1752"/>
      <c r="BZ47" s="1752"/>
      <c r="CA47" s="1752"/>
      <c r="CB47" s="1752"/>
      <c r="CC47" s="1752"/>
      <c r="CD47" s="1752"/>
      <c r="CE47" s="1752"/>
      <c r="CF47" s="1752"/>
      <c r="CG47" s="1752"/>
      <c r="CH47" s="1752"/>
      <c r="CI47" s="1752"/>
      <c r="CJ47" s="1752"/>
      <c r="CK47" s="1752"/>
      <c r="CL47" s="1752"/>
      <c r="CM47" s="1752"/>
      <c r="CN47" s="1752"/>
      <c r="CO47" s="1767"/>
    </row>
    <row r="48" spans="2:93" x14ac:dyDescent="0.2">
      <c r="B48" s="170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48" s="1703" t="s">
        <v>912</v>
      </c>
      <c r="D48" s="1703" t="s">
        <v>911</v>
      </c>
      <c r="E48" s="1704" t="s">
        <v>913</v>
      </c>
      <c r="F48" s="1707" t="str">
        <f>VLOOKUP(TBL5_OptBen[[#This Row],[Option Type (defined list)]],'Option Typs_Grps'!B$2:C$47, 2, FALSE)</f>
        <v>Resource Options</v>
      </c>
      <c r="G48" s="1707" t="s">
        <v>863</v>
      </c>
      <c r="H48" s="1707" t="s">
        <v>1462</v>
      </c>
      <c r="I48" s="1703" t="s">
        <v>105</v>
      </c>
      <c r="J48" s="1707" t="s">
        <v>236</v>
      </c>
      <c r="K48" s="1751">
        <v>2</v>
      </c>
      <c r="L48" s="1752"/>
      <c r="M48" s="1752"/>
      <c r="N48" s="1752"/>
      <c r="O48" s="1754"/>
      <c r="P48" s="1766"/>
      <c r="Q48" s="1753"/>
      <c r="R48" s="1753"/>
      <c r="S48" s="1752"/>
      <c r="T48" s="1752"/>
      <c r="U48" s="1752"/>
      <c r="V48" s="1752"/>
      <c r="W48" s="1752"/>
      <c r="X48" s="1752"/>
      <c r="Y48" s="1752"/>
      <c r="Z48" s="1752"/>
      <c r="AA48" s="1752"/>
      <c r="AB48" s="1752"/>
      <c r="AC48" s="1752"/>
      <c r="AD48" s="1752"/>
      <c r="AE48" s="1752"/>
      <c r="AF48" s="1752"/>
      <c r="AG48" s="1752"/>
      <c r="AH48" s="1752"/>
      <c r="AI48" s="1752"/>
      <c r="AJ48" s="1752"/>
      <c r="AK48" s="1752"/>
      <c r="AL48" s="1752">
        <v>16.399999999999999</v>
      </c>
      <c r="AM48" s="1752">
        <v>16.399999999999999</v>
      </c>
      <c r="AN48" s="1752">
        <v>16.399999999999999</v>
      </c>
      <c r="AO48" s="1752">
        <v>16.399999999999999</v>
      </c>
      <c r="AP48" s="1752">
        <v>16.399999999999999</v>
      </c>
      <c r="AQ48" s="1752"/>
      <c r="AR48" s="1752"/>
      <c r="AS48" s="1752"/>
      <c r="AT48" s="1752"/>
      <c r="AU48" s="1752"/>
      <c r="AV48" s="1752"/>
      <c r="AW48" s="1752"/>
      <c r="AX48" s="1752"/>
      <c r="AY48" s="1752"/>
      <c r="AZ48" s="1752"/>
      <c r="BA48" s="1752"/>
      <c r="BB48" s="1752"/>
      <c r="BC48" s="1752"/>
      <c r="BD48" s="1752"/>
      <c r="BE48" s="1752"/>
      <c r="BF48" s="1752"/>
      <c r="BG48" s="1752"/>
      <c r="BH48" s="1752"/>
      <c r="BI48" s="1752"/>
      <c r="BJ48" s="1752"/>
      <c r="BK48" s="1752"/>
      <c r="BL48" s="1752"/>
      <c r="BM48" s="1752"/>
      <c r="BN48" s="1752"/>
      <c r="BO48" s="1752"/>
      <c r="BP48" s="1754"/>
      <c r="BQ48" s="1755"/>
      <c r="BR48" s="1755"/>
      <c r="BS48" s="1755"/>
      <c r="BT48" s="1755"/>
      <c r="BU48" s="1755"/>
      <c r="BV48" s="1755"/>
      <c r="BW48" s="1755"/>
      <c r="BX48" s="1755"/>
      <c r="BY48" s="1755"/>
      <c r="BZ48" s="1755"/>
      <c r="CA48" s="1755"/>
      <c r="CB48" s="1755"/>
      <c r="CC48" s="1755"/>
      <c r="CD48" s="1755"/>
      <c r="CE48" s="1755"/>
      <c r="CF48" s="1755"/>
      <c r="CG48" s="1755"/>
      <c r="CH48" s="1755"/>
      <c r="CI48" s="1755"/>
      <c r="CJ48" s="1755"/>
      <c r="CK48" s="1755"/>
      <c r="CL48" s="1755"/>
      <c r="CM48" s="1755"/>
      <c r="CN48" s="1756"/>
      <c r="CO48" s="1767"/>
    </row>
    <row r="49" spans="2:93" ht="28.5" x14ac:dyDescent="0.2">
      <c r="B49" s="170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49" s="1703" t="s">
        <v>1466</v>
      </c>
      <c r="D49" s="1703" t="s">
        <v>1085</v>
      </c>
      <c r="E49" s="1704" t="s">
        <v>981</v>
      </c>
      <c r="F49" s="1707" t="str">
        <f>VLOOKUP(TBL5_OptBen[[#This Row],[Option Type (defined list)]],'Option Typs_Grps'!B$2:C$47, 2, FALSE)</f>
        <v>Resource Options</v>
      </c>
      <c r="G49" s="1707" t="s">
        <v>863</v>
      </c>
      <c r="H49" s="1707" t="s">
        <v>1462</v>
      </c>
      <c r="I49" s="1703" t="s">
        <v>105</v>
      </c>
      <c r="J49" s="1707" t="s">
        <v>236</v>
      </c>
      <c r="K49" s="1751">
        <v>2</v>
      </c>
      <c r="L49" s="1752"/>
      <c r="M49" s="1752"/>
      <c r="N49" s="1752"/>
      <c r="O49" s="1754"/>
      <c r="P49" s="1766"/>
      <c r="Q49" s="1753"/>
      <c r="R49" s="1753"/>
      <c r="S49" s="1752"/>
      <c r="T49" s="1752"/>
      <c r="U49" s="1752"/>
      <c r="V49" s="1752"/>
      <c r="W49" s="1752"/>
      <c r="X49" s="1752"/>
      <c r="Y49" s="1752"/>
      <c r="Z49" s="1752">
        <v>16.2</v>
      </c>
      <c r="AA49" s="1752">
        <v>16.2</v>
      </c>
      <c r="AB49" s="1752">
        <v>16.2</v>
      </c>
      <c r="AC49" s="1752">
        <v>16.2</v>
      </c>
      <c r="AD49" s="1752">
        <v>16.2</v>
      </c>
      <c r="AE49" s="1752">
        <v>16.2</v>
      </c>
      <c r="AF49" s="1752">
        <v>16.2</v>
      </c>
      <c r="AG49" s="1752">
        <v>16.2</v>
      </c>
      <c r="AH49" s="1752">
        <v>16.2</v>
      </c>
      <c r="AI49" s="1752">
        <v>16.2</v>
      </c>
      <c r="AJ49" s="1752">
        <v>16.2</v>
      </c>
      <c r="AK49" s="1752">
        <v>16.2</v>
      </c>
      <c r="AL49" s="1752">
        <v>16.2</v>
      </c>
      <c r="AM49" s="1752">
        <v>16.2</v>
      </c>
      <c r="AN49" s="1752">
        <v>16.2</v>
      </c>
      <c r="AO49" s="1752">
        <v>16.2</v>
      </c>
      <c r="AP49" s="1752">
        <v>16.2</v>
      </c>
      <c r="AQ49" s="1752"/>
      <c r="AR49" s="1752"/>
      <c r="AS49" s="1752"/>
      <c r="AT49" s="1752"/>
      <c r="AU49" s="1752"/>
      <c r="AV49" s="1752"/>
      <c r="AW49" s="1752"/>
      <c r="AX49" s="1752"/>
      <c r="AY49" s="1752"/>
      <c r="AZ49" s="1752"/>
      <c r="BA49" s="1752"/>
      <c r="BB49" s="1752"/>
      <c r="BC49" s="1752"/>
      <c r="BD49" s="1752"/>
      <c r="BE49" s="1752"/>
      <c r="BF49" s="1752"/>
      <c r="BG49" s="1752"/>
      <c r="BH49" s="1752"/>
      <c r="BI49" s="1752"/>
      <c r="BJ49" s="1752"/>
      <c r="BK49" s="1752"/>
      <c r="BL49" s="1752"/>
      <c r="BM49" s="1752"/>
      <c r="BN49" s="1752"/>
      <c r="BO49" s="1752"/>
      <c r="BP49" s="1754"/>
      <c r="BQ49" s="1755"/>
      <c r="BR49" s="1755"/>
      <c r="BS49" s="1755"/>
      <c r="BT49" s="1755"/>
      <c r="BU49" s="1755"/>
      <c r="BV49" s="1755"/>
      <c r="BW49" s="1755"/>
      <c r="BX49" s="1755"/>
      <c r="BY49" s="1755"/>
      <c r="BZ49" s="1755"/>
      <c r="CA49" s="1755"/>
      <c r="CB49" s="1755"/>
      <c r="CC49" s="1755"/>
      <c r="CD49" s="1755"/>
      <c r="CE49" s="1755"/>
      <c r="CF49" s="1755"/>
      <c r="CG49" s="1755"/>
      <c r="CH49" s="1755"/>
      <c r="CI49" s="1755"/>
      <c r="CJ49" s="1755"/>
      <c r="CK49" s="1755"/>
      <c r="CL49" s="1755"/>
      <c r="CM49" s="1755"/>
      <c r="CN49" s="1756"/>
      <c r="CO49" s="1767"/>
    </row>
    <row r="50" spans="2:93" x14ac:dyDescent="0.2">
      <c r="B50" s="170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52bA</v>
      </c>
      <c r="C50" s="1707" t="s">
        <v>889</v>
      </c>
      <c r="D50" s="1707" t="s">
        <v>888</v>
      </c>
      <c r="E50" s="1704" t="s">
        <v>885</v>
      </c>
      <c r="F50" s="1707" t="str">
        <f>VLOOKUP(TBL5_OptBen[[#This Row],[Option Type (defined list)]],'Option Typs_Grps'!B$2:C$47, 2, FALSE)</f>
        <v>Production Options</v>
      </c>
      <c r="G50" s="1707" t="s">
        <v>863</v>
      </c>
      <c r="H50" s="1707" t="s">
        <v>1462</v>
      </c>
      <c r="I50" s="1703" t="s">
        <v>88</v>
      </c>
      <c r="J50" s="1707" t="s">
        <v>236</v>
      </c>
      <c r="K50" s="1751">
        <v>2</v>
      </c>
      <c r="L50" s="1752"/>
      <c r="M50" s="1752"/>
      <c r="N50" s="1752"/>
      <c r="O50" s="1754"/>
      <c r="P50" s="1766"/>
      <c r="Q50" s="1753"/>
      <c r="R50" s="1753"/>
      <c r="S50" s="1752"/>
      <c r="T50" s="1752"/>
      <c r="U50" s="1752"/>
      <c r="V50" s="1752">
        <v>0.9</v>
      </c>
      <c r="W50" s="1752">
        <v>0.9</v>
      </c>
      <c r="X50" s="1752">
        <v>0.9</v>
      </c>
      <c r="Y50" s="1752">
        <v>0.9</v>
      </c>
      <c r="Z50" s="1752">
        <v>0.9</v>
      </c>
      <c r="AA50" s="1752">
        <v>0.9</v>
      </c>
      <c r="AB50" s="1752">
        <v>0.9</v>
      </c>
      <c r="AC50" s="1752">
        <v>0.9</v>
      </c>
      <c r="AD50" s="1752">
        <v>0.9</v>
      </c>
      <c r="AE50" s="1752">
        <v>0.9</v>
      </c>
      <c r="AF50" s="1752">
        <v>0.9</v>
      </c>
      <c r="AG50" s="1752">
        <v>0.9</v>
      </c>
      <c r="AH50" s="1752">
        <v>0.9</v>
      </c>
      <c r="AI50" s="1752">
        <v>0.9</v>
      </c>
      <c r="AJ50" s="1752">
        <v>0.9</v>
      </c>
      <c r="AK50" s="1752">
        <v>0.9</v>
      </c>
      <c r="AL50" s="1752">
        <v>0.9</v>
      </c>
      <c r="AM50" s="1752">
        <v>0.9</v>
      </c>
      <c r="AN50" s="1752">
        <v>0.9</v>
      </c>
      <c r="AO50" s="1752">
        <v>0.9</v>
      </c>
      <c r="AP50" s="1752">
        <v>0.9</v>
      </c>
      <c r="AQ50" s="1752"/>
      <c r="AR50" s="1752"/>
      <c r="AS50" s="1752"/>
      <c r="AT50" s="1752"/>
      <c r="AU50" s="1752"/>
      <c r="AV50" s="1752"/>
      <c r="AW50" s="1752"/>
      <c r="AX50" s="1752"/>
      <c r="AY50" s="1752"/>
      <c r="AZ50" s="1752"/>
      <c r="BA50" s="1752"/>
      <c r="BB50" s="1752"/>
      <c r="BC50" s="1752"/>
      <c r="BD50" s="1752"/>
      <c r="BE50" s="1752"/>
      <c r="BF50" s="1752"/>
      <c r="BG50" s="1752"/>
      <c r="BH50" s="1752"/>
      <c r="BI50" s="1752"/>
      <c r="BJ50" s="1752"/>
      <c r="BK50" s="1752"/>
      <c r="BL50" s="1752"/>
      <c r="BM50" s="1752"/>
      <c r="BN50" s="1752"/>
      <c r="BO50" s="1752"/>
      <c r="BP50" s="1754"/>
      <c r="BQ50" s="1755"/>
      <c r="BR50" s="1755"/>
      <c r="BS50" s="1755"/>
      <c r="BT50" s="1755"/>
      <c r="BU50" s="1755"/>
      <c r="BV50" s="1755"/>
      <c r="BW50" s="1755"/>
      <c r="BX50" s="1755"/>
      <c r="BY50" s="1755"/>
      <c r="BZ50" s="1755"/>
      <c r="CA50" s="1755"/>
      <c r="CB50" s="1755"/>
      <c r="CC50" s="1755"/>
      <c r="CD50" s="1755"/>
      <c r="CE50" s="1755"/>
      <c r="CF50" s="1755"/>
      <c r="CG50" s="1755"/>
      <c r="CH50" s="1755"/>
      <c r="CI50" s="1755"/>
      <c r="CJ50" s="1755"/>
      <c r="CK50" s="1755"/>
      <c r="CL50" s="1755"/>
      <c r="CM50" s="1755"/>
      <c r="CN50" s="1756"/>
      <c r="CO50" s="1767"/>
    </row>
    <row r="51" spans="2:93" x14ac:dyDescent="0.2">
      <c r="B51" s="170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52bA</v>
      </c>
      <c r="C51" s="1707" t="s">
        <v>887</v>
      </c>
      <c r="D51" s="1707" t="s">
        <v>886</v>
      </c>
      <c r="E51" s="1704" t="s">
        <v>885</v>
      </c>
      <c r="F51" s="1707" t="str">
        <f>VLOOKUP(TBL5_OptBen[[#This Row],[Option Type (defined list)]],'Option Typs_Grps'!B$2:C$47, 2, FALSE)</f>
        <v>Production Options</v>
      </c>
      <c r="G51" s="1707" t="s">
        <v>863</v>
      </c>
      <c r="H51" s="1707" t="s">
        <v>1462</v>
      </c>
      <c r="I51" s="1703" t="s">
        <v>88</v>
      </c>
      <c r="J51" s="1707" t="s">
        <v>236</v>
      </c>
      <c r="K51" s="1751">
        <v>2</v>
      </c>
      <c r="L51" s="1752"/>
      <c r="M51" s="1752"/>
      <c r="N51" s="1752"/>
      <c r="O51" s="1754"/>
      <c r="P51" s="1766"/>
      <c r="Q51" s="1753"/>
      <c r="R51" s="1753"/>
      <c r="S51" s="1752"/>
      <c r="T51" s="1752"/>
      <c r="U51" s="1752"/>
      <c r="V51" s="1752">
        <v>2.75</v>
      </c>
      <c r="W51" s="1752">
        <v>2.75</v>
      </c>
      <c r="X51" s="1752">
        <v>2.75</v>
      </c>
      <c r="Y51" s="1752">
        <v>2.75</v>
      </c>
      <c r="Z51" s="1752">
        <v>2.75</v>
      </c>
      <c r="AA51" s="1752">
        <v>2.75</v>
      </c>
      <c r="AB51" s="1752">
        <v>2.75</v>
      </c>
      <c r="AC51" s="1752">
        <v>2.75</v>
      </c>
      <c r="AD51" s="1752">
        <v>2.75</v>
      </c>
      <c r="AE51" s="1752">
        <v>2.75</v>
      </c>
      <c r="AF51" s="1752">
        <v>2.75</v>
      </c>
      <c r="AG51" s="1752">
        <v>2.75</v>
      </c>
      <c r="AH51" s="1752">
        <v>2.75</v>
      </c>
      <c r="AI51" s="1752">
        <v>2.75</v>
      </c>
      <c r="AJ51" s="1752">
        <v>2.75</v>
      </c>
      <c r="AK51" s="1752">
        <v>2.75</v>
      </c>
      <c r="AL51" s="1752">
        <v>2.75</v>
      </c>
      <c r="AM51" s="1752">
        <v>2.75</v>
      </c>
      <c r="AN51" s="1752">
        <v>2.75</v>
      </c>
      <c r="AO51" s="1752">
        <v>2.75</v>
      </c>
      <c r="AP51" s="1752">
        <v>2.75</v>
      </c>
      <c r="AQ51" s="1752"/>
      <c r="AR51" s="1752"/>
      <c r="AS51" s="1752"/>
      <c r="AT51" s="1752"/>
      <c r="AU51" s="1752"/>
      <c r="AV51" s="1752"/>
      <c r="AW51" s="1752"/>
      <c r="AX51" s="1752"/>
      <c r="AY51" s="1752"/>
      <c r="AZ51" s="1752"/>
      <c r="BA51" s="1752"/>
      <c r="BB51" s="1752"/>
      <c r="BC51" s="1752"/>
      <c r="BD51" s="1752"/>
      <c r="BE51" s="1752"/>
      <c r="BF51" s="1752"/>
      <c r="BG51" s="1752"/>
      <c r="BH51" s="1752"/>
      <c r="BI51" s="1752"/>
      <c r="BJ51" s="1752"/>
      <c r="BK51" s="1752"/>
      <c r="BL51" s="1752"/>
      <c r="BM51" s="1752"/>
      <c r="BN51" s="1752"/>
      <c r="BO51" s="1752"/>
      <c r="BP51" s="1754"/>
      <c r="BQ51" s="1755"/>
      <c r="BR51" s="1755"/>
      <c r="BS51" s="1755"/>
      <c r="BT51" s="1755"/>
      <c r="BU51" s="1755"/>
      <c r="BV51" s="1755"/>
      <c r="BW51" s="1755"/>
      <c r="BX51" s="1755"/>
      <c r="BY51" s="1755"/>
      <c r="BZ51" s="1755"/>
      <c r="CA51" s="1755"/>
      <c r="CB51" s="1755"/>
      <c r="CC51" s="1755"/>
      <c r="CD51" s="1755"/>
      <c r="CE51" s="1755"/>
      <c r="CF51" s="1755"/>
      <c r="CG51" s="1755"/>
      <c r="CH51" s="1755"/>
      <c r="CI51" s="1755"/>
      <c r="CJ51" s="1755"/>
      <c r="CK51" s="1755"/>
      <c r="CL51" s="1755"/>
      <c r="CM51" s="1755"/>
      <c r="CN51" s="1756"/>
      <c r="CO51" s="1767"/>
    </row>
    <row r="52" spans="2:93" x14ac:dyDescent="0.2">
      <c r="B52" s="170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52" s="1707" t="s">
        <v>1463</v>
      </c>
      <c r="D52" s="1707" t="s">
        <v>890</v>
      </c>
      <c r="E52" s="1704" t="s">
        <v>875</v>
      </c>
      <c r="F52" s="1707" t="str">
        <f>VLOOKUP(TBL5_OptBen[[#This Row],[Option Type (defined list)]],'Option Typs_Grps'!B$2:C$47, 2, FALSE)</f>
        <v>Resource Options</v>
      </c>
      <c r="G52" s="1707" t="s">
        <v>863</v>
      </c>
      <c r="H52" s="1707" t="s">
        <v>1462</v>
      </c>
      <c r="I52" s="1703" t="s">
        <v>88</v>
      </c>
      <c r="J52" s="1707" t="s">
        <v>236</v>
      </c>
      <c r="K52" s="1751">
        <v>2</v>
      </c>
      <c r="L52" s="1752"/>
      <c r="M52" s="1752"/>
      <c r="N52" s="1752"/>
      <c r="O52" s="1754"/>
      <c r="P52" s="1766"/>
      <c r="Q52" s="1753"/>
      <c r="R52" s="1753"/>
      <c r="S52" s="1752"/>
      <c r="T52" s="1752"/>
      <c r="U52" s="1752"/>
      <c r="V52" s="1752"/>
      <c r="W52" s="1752">
        <v>8</v>
      </c>
      <c r="X52" s="1752">
        <v>8</v>
      </c>
      <c r="Y52" s="1752">
        <v>8</v>
      </c>
      <c r="Z52" s="1752">
        <v>8</v>
      </c>
      <c r="AA52" s="1752">
        <v>8</v>
      </c>
      <c r="AB52" s="1752">
        <v>8</v>
      </c>
      <c r="AC52" s="1752">
        <v>8</v>
      </c>
      <c r="AD52" s="1752">
        <v>8</v>
      </c>
      <c r="AE52" s="1752">
        <v>8</v>
      </c>
      <c r="AF52" s="1752">
        <v>8</v>
      </c>
      <c r="AG52" s="1752">
        <v>8</v>
      </c>
      <c r="AH52" s="1752">
        <v>8</v>
      </c>
      <c r="AI52" s="1752">
        <v>8</v>
      </c>
      <c r="AJ52" s="1752">
        <v>8</v>
      </c>
      <c r="AK52" s="1752">
        <v>8</v>
      </c>
      <c r="AL52" s="1752">
        <v>8</v>
      </c>
      <c r="AM52" s="1752">
        <v>8</v>
      </c>
      <c r="AN52" s="1752">
        <v>8</v>
      </c>
      <c r="AO52" s="1752">
        <v>8</v>
      </c>
      <c r="AP52" s="1752">
        <v>8</v>
      </c>
      <c r="AQ52" s="1752"/>
      <c r="AR52" s="1752"/>
      <c r="AS52" s="1752"/>
      <c r="AT52" s="1752"/>
      <c r="AU52" s="1752"/>
      <c r="AV52" s="1752"/>
      <c r="AW52" s="1752"/>
      <c r="AX52" s="1752"/>
      <c r="AY52" s="1752"/>
      <c r="AZ52" s="1752"/>
      <c r="BA52" s="1752"/>
      <c r="BB52" s="1752"/>
      <c r="BC52" s="1752"/>
      <c r="BD52" s="1752"/>
      <c r="BE52" s="1752"/>
      <c r="BF52" s="1752"/>
      <c r="BG52" s="1752"/>
      <c r="BH52" s="1752"/>
      <c r="BI52" s="1752"/>
      <c r="BJ52" s="1752"/>
      <c r="BK52" s="1752"/>
      <c r="BL52" s="1752"/>
      <c r="BM52" s="1752"/>
      <c r="BN52" s="1752"/>
      <c r="BO52" s="1752"/>
      <c r="BP52" s="1754"/>
      <c r="BQ52" s="1755"/>
      <c r="BR52" s="1755"/>
      <c r="BS52" s="1755"/>
      <c r="BT52" s="1755"/>
      <c r="BU52" s="1755"/>
      <c r="BV52" s="1755"/>
      <c r="BW52" s="1755"/>
      <c r="BX52" s="1755"/>
      <c r="BY52" s="1755"/>
      <c r="BZ52" s="1755"/>
      <c r="CA52" s="1755"/>
      <c r="CB52" s="1755"/>
      <c r="CC52" s="1755"/>
      <c r="CD52" s="1755"/>
      <c r="CE52" s="1755"/>
      <c r="CF52" s="1755"/>
      <c r="CG52" s="1755"/>
      <c r="CH52" s="1755"/>
      <c r="CI52" s="1755"/>
      <c r="CJ52" s="1755"/>
      <c r="CK52" s="1755"/>
      <c r="CL52" s="1755"/>
      <c r="CM52" s="1755"/>
      <c r="CN52" s="1756"/>
      <c r="CO52" s="1767"/>
    </row>
    <row r="53" spans="2:93" x14ac:dyDescent="0.2">
      <c r="B53" s="170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52bA</v>
      </c>
      <c r="C53" s="1703" t="s">
        <v>894</v>
      </c>
      <c r="D53" s="1703" t="s">
        <v>893</v>
      </c>
      <c r="E53" s="1704" t="s">
        <v>885</v>
      </c>
      <c r="F53" s="1707" t="str">
        <f>VLOOKUP(TBL5_OptBen[[#This Row],[Option Type (defined list)]],'Option Typs_Grps'!B$2:C$47, 2, FALSE)</f>
        <v>Production Options</v>
      </c>
      <c r="G53" s="1707" t="s">
        <v>863</v>
      </c>
      <c r="H53" s="1707" t="s">
        <v>1462</v>
      </c>
      <c r="I53" s="1703" t="s">
        <v>88</v>
      </c>
      <c r="J53" s="1707" t="s">
        <v>236</v>
      </c>
      <c r="K53" s="1751">
        <v>2</v>
      </c>
      <c r="L53" s="1752"/>
      <c r="M53" s="1752"/>
      <c r="N53" s="1752"/>
      <c r="O53" s="1754"/>
      <c r="P53" s="1766"/>
      <c r="Q53" s="1753"/>
      <c r="R53" s="1753"/>
      <c r="S53" s="1752"/>
      <c r="T53" s="1752"/>
      <c r="U53" s="1752"/>
      <c r="V53" s="1752">
        <v>0.2</v>
      </c>
      <c r="W53" s="1752">
        <v>0.2</v>
      </c>
      <c r="X53" s="1752">
        <v>0.2</v>
      </c>
      <c r="Y53" s="1752">
        <v>0.2</v>
      </c>
      <c r="Z53" s="1752">
        <v>0.2</v>
      </c>
      <c r="AA53" s="1752">
        <v>0.2</v>
      </c>
      <c r="AB53" s="1752">
        <v>0.2</v>
      </c>
      <c r="AC53" s="1752">
        <v>0.2</v>
      </c>
      <c r="AD53" s="1752">
        <v>0.2</v>
      </c>
      <c r="AE53" s="1752">
        <v>0.2</v>
      </c>
      <c r="AF53" s="1752">
        <v>0.2</v>
      </c>
      <c r="AG53" s="1752">
        <v>0.2</v>
      </c>
      <c r="AH53" s="1752">
        <v>0.2</v>
      </c>
      <c r="AI53" s="1752">
        <v>0.2</v>
      </c>
      <c r="AJ53" s="1752">
        <v>0.2</v>
      </c>
      <c r="AK53" s="1752">
        <v>0.2</v>
      </c>
      <c r="AL53" s="1752">
        <v>0.2</v>
      </c>
      <c r="AM53" s="1752">
        <v>0.2</v>
      </c>
      <c r="AN53" s="1752">
        <v>0.2</v>
      </c>
      <c r="AO53" s="1752">
        <v>0.2</v>
      </c>
      <c r="AP53" s="1752">
        <v>0.2</v>
      </c>
      <c r="AQ53" s="1752"/>
      <c r="AR53" s="1752"/>
      <c r="AS53" s="1752"/>
      <c r="AT53" s="1752"/>
      <c r="AU53" s="1752"/>
      <c r="AV53" s="1752"/>
      <c r="AW53" s="1752"/>
      <c r="AX53" s="1752"/>
      <c r="AY53" s="1752"/>
      <c r="AZ53" s="1752"/>
      <c r="BA53" s="1752"/>
      <c r="BB53" s="1752"/>
      <c r="BC53" s="1752"/>
      <c r="BD53" s="1752"/>
      <c r="BE53" s="1752"/>
      <c r="BF53" s="1752"/>
      <c r="BG53" s="1752"/>
      <c r="BH53" s="1752"/>
      <c r="BI53" s="1752"/>
      <c r="BJ53" s="1752"/>
      <c r="BK53" s="1752"/>
      <c r="BL53" s="1752"/>
      <c r="BM53" s="1752"/>
      <c r="BN53" s="1752"/>
      <c r="BO53" s="1752"/>
      <c r="BP53" s="1754"/>
      <c r="BQ53" s="1755"/>
      <c r="BR53" s="1755"/>
      <c r="BS53" s="1755"/>
      <c r="BT53" s="1755"/>
      <c r="BU53" s="1755"/>
      <c r="BV53" s="1755"/>
      <c r="BW53" s="1755"/>
      <c r="BX53" s="1755"/>
      <c r="BY53" s="1755"/>
      <c r="BZ53" s="1755"/>
      <c r="CA53" s="1755"/>
      <c r="CB53" s="1755"/>
      <c r="CC53" s="1755"/>
      <c r="CD53" s="1755"/>
      <c r="CE53" s="1755"/>
      <c r="CF53" s="1755"/>
      <c r="CG53" s="1755"/>
      <c r="CH53" s="1755"/>
      <c r="CI53" s="1755"/>
      <c r="CJ53" s="1755"/>
      <c r="CK53" s="1755"/>
      <c r="CL53" s="1755"/>
      <c r="CM53" s="1755"/>
      <c r="CN53" s="1752"/>
      <c r="CO53" s="1767"/>
    </row>
    <row r="54" spans="2:93" x14ac:dyDescent="0.2">
      <c r="B54" s="170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52bA</v>
      </c>
      <c r="C54" s="1707" t="s">
        <v>884</v>
      </c>
      <c r="D54" s="1707" t="s">
        <v>883</v>
      </c>
      <c r="E54" s="1704" t="s">
        <v>885</v>
      </c>
      <c r="F54" s="1707" t="str">
        <f>VLOOKUP(TBL5_OptBen[[#This Row],[Option Type (defined list)]],'Option Typs_Grps'!B$2:C$47, 2, FALSE)</f>
        <v>Production Options</v>
      </c>
      <c r="G54" s="1707" t="s">
        <v>863</v>
      </c>
      <c r="H54" s="1707" t="s">
        <v>1462</v>
      </c>
      <c r="I54" s="1703" t="s">
        <v>105</v>
      </c>
      <c r="J54" s="1707" t="s">
        <v>236</v>
      </c>
      <c r="K54" s="1751">
        <v>2</v>
      </c>
      <c r="L54" s="1752"/>
      <c r="M54" s="1752"/>
      <c r="N54" s="1752"/>
      <c r="O54" s="1754"/>
      <c r="P54" s="1766"/>
      <c r="Q54" s="1753"/>
      <c r="R54" s="1753"/>
      <c r="S54" s="1752"/>
      <c r="T54" s="1752"/>
      <c r="U54" s="1752"/>
      <c r="V54" s="1752">
        <v>2.15</v>
      </c>
      <c r="W54" s="1752">
        <v>2.15</v>
      </c>
      <c r="X54" s="1752">
        <v>2.15</v>
      </c>
      <c r="Y54" s="1752">
        <v>2.15</v>
      </c>
      <c r="Z54" s="1752">
        <v>2.15</v>
      </c>
      <c r="AA54" s="1752">
        <v>2.15</v>
      </c>
      <c r="AB54" s="1752">
        <v>2.15</v>
      </c>
      <c r="AC54" s="1752">
        <v>2.15</v>
      </c>
      <c r="AD54" s="1752">
        <v>2.15</v>
      </c>
      <c r="AE54" s="1752">
        <v>2.15</v>
      </c>
      <c r="AF54" s="1752">
        <v>2.15</v>
      </c>
      <c r="AG54" s="1752">
        <v>2.15</v>
      </c>
      <c r="AH54" s="1752">
        <v>2.15</v>
      </c>
      <c r="AI54" s="1752">
        <v>2.15</v>
      </c>
      <c r="AJ54" s="1752">
        <v>2.15</v>
      </c>
      <c r="AK54" s="1752">
        <v>2.15</v>
      </c>
      <c r="AL54" s="1752">
        <v>2.15</v>
      </c>
      <c r="AM54" s="1752">
        <v>2.15</v>
      </c>
      <c r="AN54" s="1752">
        <v>2.15</v>
      </c>
      <c r="AO54" s="1752">
        <v>2.15</v>
      </c>
      <c r="AP54" s="1752">
        <v>2.15</v>
      </c>
      <c r="AQ54" s="1752"/>
      <c r="AR54" s="1752"/>
      <c r="AS54" s="1752"/>
      <c r="AT54" s="1752"/>
      <c r="AU54" s="1752"/>
      <c r="AV54" s="1752"/>
      <c r="AW54" s="1752"/>
      <c r="AX54" s="1752"/>
      <c r="AY54" s="1752"/>
      <c r="AZ54" s="1752"/>
      <c r="BA54" s="1752"/>
      <c r="BB54" s="1752"/>
      <c r="BC54" s="1752"/>
      <c r="BD54" s="1752"/>
      <c r="BE54" s="1752"/>
      <c r="BF54" s="1752"/>
      <c r="BG54" s="1752"/>
      <c r="BH54" s="1752"/>
      <c r="BI54" s="1752"/>
      <c r="BJ54" s="1752"/>
      <c r="BK54" s="1752"/>
      <c r="BL54" s="1752"/>
      <c r="BM54" s="1752"/>
      <c r="BN54" s="1752"/>
      <c r="BO54" s="1752"/>
      <c r="BP54" s="1754"/>
      <c r="BQ54" s="1755"/>
      <c r="BR54" s="1755"/>
      <c r="BS54" s="1755"/>
      <c r="BT54" s="1755"/>
      <c r="BU54" s="1755"/>
      <c r="BV54" s="1755"/>
      <c r="BW54" s="1755"/>
      <c r="BX54" s="1755"/>
      <c r="BY54" s="1755"/>
      <c r="BZ54" s="1755"/>
      <c r="CA54" s="1755"/>
      <c r="CB54" s="1755"/>
      <c r="CC54" s="1755"/>
      <c r="CD54" s="1755"/>
      <c r="CE54" s="1755"/>
      <c r="CF54" s="1755"/>
      <c r="CG54" s="1755"/>
      <c r="CH54" s="1755"/>
      <c r="CI54" s="1755"/>
      <c r="CJ54" s="1755"/>
      <c r="CK54" s="1755"/>
      <c r="CL54" s="1755"/>
      <c r="CM54" s="1755"/>
      <c r="CN54" s="1756"/>
      <c r="CO54" s="1767"/>
    </row>
    <row r="55" spans="2:93" ht="28.5" x14ac:dyDescent="0.2">
      <c r="B55" s="170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55" s="1703" t="s">
        <v>1465</v>
      </c>
      <c r="D55" s="1703" t="s">
        <v>982</v>
      </c>
      <c r="E55" s="1704" t="s">
        <v>907</v>
      </c>
      <c r="F55" s="1707" t="str">
        <f>VLOOKUP(TBL5_OptBen[[#This Row],[Option Type (defined list)]],'Option Typs_Grps'!B$2:C$47, 2, FALSE)</f>
        <v>Distribution Options</v>
      </c>
      <c r="G55" s="1707" t="s">
        <v>863</v>
      </c>
      <c r="H55" s="1707" t="s">
        <v>1462</v>
      </c>
      <c r="I55" s="1703" t="s">
        <v>93</v>
      </c>
      <c r="J55" s="1707" t="s">
        <v>236</v>
      </c>
      <c r="K55" s="1751">
        <v>2</v>
      </c>
      <c r="L55" s="1752"/>
      <c r="M55" s="1752"/>
      <c r="N55" s="1752"/>
      <c r="O55" s="1754"/>
      <c r="P55" s="1766"/>
      <c r="Q55" s="1753"/>
      <c r="R55" s="1753"/>
      <c r="S55" s="1752"/>
      <c r="T55" s="1752"/>
      <c r="U55" s="1752">
        <v>1.5</v>
      </c>
      <c r="V55" s="1752">
        <v>1.5</v>
      </c>
      <c r="W55" s="1752">
        <v>2.0295329361999999</v>
      </c>
      <c r="X55" s="1752">
        <v>1.9060828163000001</v>
      </c>
      <c r="Y55" s="1752">
        <v>4.1368449257000002</v>
      </c>
      <c r="Z55" s="1752">
        <v>4.0343947545000001</v>
      </c>
      <c r="AA55" s="1752">
        <v>3.9336706105000001</v>
      </c>
      <c r="AB55" s="1752">
        <v>3.884653948</v>
      </c>
      <c r="AC55" s="1752">
        <v>3.833376543</v>
      </c>
      <c r="AD55" s="1752">
        <v>3.7855407959999998</v>
      </c>
      <c r="AE55" s="1752">
        <v>3.7610469444999999</v>
      </c>
      <c r="AF55" s="1752">
        <v>3.7307844341999998</v>
      </c>
      <c r="AG55" s="1752">
        <v>4.6054652164999998</v>
      </c>
      <c r="AH55" s="1752">
        <v>4.5785163407000002</v>
      </c>
      <c r="AI55" s="1752">
        <v>4.5510843090000002</v>
      </c>
      <c r="AJ55" s="1752">
        <v>4.5396280452999997</v>
      </c>
      <c r="AK55" s="1752">
        <v>4.5294365838999999</v>
      </c>
      <c r="AL55" s="1752">
        <v>5.3483290281000002</v>
      </c>
      <c r="AM55" s="1752">
        <v>5.3373922242000003</v>
      </c>
      <c r="AN55" s="1752">
        <v>5.3239720356999998</v>
      </c>
      <c r="AO55" s="1752">
        <v>5.3204811339000004</v>
      </c>
      <c r="AP55" s="1752">
        <v>5.3120152548000004</v>
      </c>
      <c r="AQ55" s="1752"/>
      <c r="AR55" s="1752"/>
      <c r="AS55" s="1752"/>
      <c r="AT55" s="1752"/>
      <c r="AU55" s="1752"/>
      <c r="AV55" s="1752"/>
      <c r="AW55" s="1752"/>
      <c r="AX55" s="1752"/>
      <c r="AY55" s="1752"/>
      <c r="AZ55" s="1752"/>
      <c r="BA55" s="1752"/>
      <c r="BB55" s="1752"/>
      <c r="BC55" s="1752"/>
      <c r="BD55" s="1752"/>
      <c r="BE55" s="1752"/>
      <c r="BF55" s="1752"/>
      <c r="BG55" s="1752"/>
      <c r="BH55" s="1752"/>
      <c r="BI55" s="1752"/>
      <c r="BJ55" s="1752"/>
      <c r="BK55" s="1752"/>
      <c r="BL55" s="1752"/>
      <c r="BM55" s="1752"/>
      <c r="BN55" s="1752"/>
      <c r="BO55" s="1752"/>
      <c r="BP55" s="1752"/>
      <c r="BQ55" s="1752"/>
      <c r="BR55" s="1752"/>
      <c r="BS55" s="1752"/>
      <c r="BT55" s="1752"/>
      <c r="BU55" s="1752"/>
      <c r="BV55" s="1752"/>
      <c r="BW55" s="1752"/>
      <c r="BX55" s="1752"/>
      <c r="BY55" s="1752"/>
      <c r="BZ55" s="1752"/>
      <c r="CA55" s="1752"/>
      <c r="CB55" s="1752"/>
      <c r="CC55" s="1752"/>
      <c r="CD55" s="1752"/>
      <c r="CE55" s="1752"/>
      <c r="CF55" s="1752"/>
      <c r="CG55" s="1752"/>
      <c r="CH55" s="1752"/>
      <c r="CI55" s="1752"/>
      <c r="CJ55" s="1752"/>
      <c r="CK55" s="1752"/>
      <c r="CL55" s="1752"/>
      <c r="CM55" s="1752"/>
      <c r="CN55" s="1752"/>
      <c r="CO55" s="1767"/>
    </row>
    <row r="56" spans="2:93" ht="28.5" x14ac:dyDescent="0.2">
      <c r="B56" s="170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56" s="1703" t="s">
        <v>1040</v>
      </c>
      <c r="D56" s="1703" t="s">
        <v>1039</v>
      </c>
      <c r="E56" s="1704" t="s">
        <v>1041</v>
      </c>
      <c r="F56" s="1707" t="str">
        <f>VLOOKUP(TBL5_OptBen[[#This Row],[Option Type (defined list)]],'Option Typs_Grps'!B$2:C$47, 2, FALSE)</f>
        <v>Resource Options</v>
      </c>
      <c r="G56" s="1707" t="s">
        <v>863</v>
      </c>
      <c r="H56" s="1707" t="s">
        <v>1462</v>
      </c>
      <c r="I56" s="1703" t="s">
        <v>105</v>
      </c>
      <c r="J56" s="1707" t="s">
        <v>236</v>
      </c>
      <c r="K56" s="1751">
        <v>2</v>
      </c>
      <c r="L56" s="1752"/>
      <c r="M56" s="1752"/>
      <c r="N56" s="1752"/>
      <c r="O56" s="1754"/>
      <c r="P56" s="1766"/>
      <c r="Q56" s="1753"/>
      <c r="R56" s="1753"/>
      <c r="S56" s="1752"/>
      <c r="T56" s="1752"/>
      <c r="U56" s="1752"/>
      <c r="V56" s="1752"/>
      <c r="W56" s="1752">
        <v>1</v>
      </c>
      <c r="X56" s="1752">
        <v>1</v>
      </c>
      <c r="Y56" s="1752">
        <v>1</v>
      </c>
      <c r="Z56" s="1752">
        <v>1</v>
      </c>
      <c r="AA56" s="1752">
        <v>1</v>
      </c>
      <c r="AB56" s="1752">
        <v>1</v>
      </c>
      <c r="AC56" s="1752">
        <v>1</v>
      </c>
      <c r="AD56" s="1752">
        <v>1</v>
      </c>
      <c r="AE56" s="1752">
        <v>1</v>
      </c>
      <c r="AF56" s="1752">
        <v>1</v>
      </c>
      <c r="AG56" s="1752">
        <v>1</v>
      </c>
      <c r="AH56" s="1752">
        <v>1</v>
      </c>
      <c r="AI56" s="1752">
        <v>1</v>
      </c>
      <c r="AJ56" s="1752">
        <v>1</v>
      </c>
      <c r="AK56" s="1752">
        <v>1</v>
      </c>
      <c r="AL56" s="1752">
        <v>1</v>
      </c>
      <c r="AM56" s="1752">
        <v>1</v>
      </c>
      <c r="AN56" s="1752">
        <v>1</v>
      </c>
      <c r="AO56" s="1752">
        <v>1</v>
      </c>
      <c r="AP56" s="1752">
        <v>1</v>
      </c>
      <c r="AQ56" s="1752"/>
      <c r="AR56" s="1752"/>
      <c r="AS56" s="1752"/>
      <c r="AT56" s="1752"/>
      <c r="AU56" s="1752"/>
      <c r="AV56" s="1752"/>
      <c r="AW56" s="1752"/>
      <c r="AX56" s="1752"/>
      <c r="AY56" s="1752"/>
      <c r="AZ56" s="1752"/>
      <c r="BA56" s="1752"/>
      <c r="BB56" s="1752"/>
      <c r="BC56" s="1752"/>
      <c r="BD56" s="1752"/>
      <c r="BE56" s="1752"/>
      <c r="BF56" s="1752"/>
      <c r="BG56" s="1752"/>
      <c r="BH56" s="1752"/>
      <c r="BI56" s="1752"/>
      <c r="BJ56" s="1752"/>
      <c r="BK56" s="1752"/>
      <c r="BL56" s="1752"/>
      <c r="BM56" s="1752"/>
      <c r="BN56" s="1752"/>
      <c r="BO56" s="1752"/>
      <c r="BP56" s="1752"/>
      <c r="BQ56" s="1752"/>
      <c r="BR56" s="1752"/>
      <c r="BS56" s="1752"/>
      <c r="BT56" s="1752"/>
      <c r="BU56" s="1752"/>
      <c r="BV56" s="1752"/>
      <c r="BW56" s="1752"/>
      <c r="BX56" s="1752"/>
      <c r="BY56" s="1752"/>
      <c r="BZ56" s="1752"/>
      <c r="CA56" s="1752"/>
      <c r="CB56" s="1752"/>
      <c r="CC56" s="1752"/>
      <c r="CD56" s="1752"/>
      <c r="CE56" s="1752"/>
      <c r="CF56" s="1752"/>
      <c r="CG56" s="1752"/>
      <c r="CH56" s="1752"/>
      <c r="CI56" s="1752"/>
      <c r="CJ56" s="1752"/>
      <c r="CK56" s="1752"/>
      <c r="CL56" s="1752"/>
      <c r="CM56" s="1752"/>
      <c r="CN56" s="1752"/>
      <c r="CO56" s="1767"/>
    </row>
    <row r="57" spans="2:93" ht="28.5" x14ac:dyDescent="0.2">
      <c r="B57" s="170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57" s="1703" t="s">
        <v>1034</v>
      </c>
      <c r="D57" s="1703" t="s">
        <v>984</v>
      </c>
      <c r="E57" s="1704" t="s">
        <v>907</v>
      </c>
      <c r="F57" s="1707" t="str">
        <f>VLOOKUP(TBL5_OptBen[[#This Row],[Option Type (defined list)]],'Option Typs_Grps'!B$2:C$47, 2, FALSE)</f>
        <v>Distribution Options</v>
      </c>
      <c r="G57" s="1707" t="s">
        <v>863</v>
      </c>
      <c r="H57" s="1707" t="s">
        <v>1462</v>
      </c>
      <c r="I57" s="1703" t="s">
        <v>102</v>
      </c>
      <c r="J57" s="1707" t="s">
        <v>236</v>
      </c>
      <c r="K57" s="1751">
        <v>2</v>
      </c>
      <c r="L57" s="1752"/>
      <c r="M57" s="1752"/>
      <c r="N57" s="1752"/>
      <c r="O57" s="1754"/>
      <c r="P57" s="1766"/>
      <c r="Q57" s="1753"/>
      <c r="R57" s="1753"/>
      <c r="S57" s="1752"/>
      <c r="T57" s="1752"/>
      <c r="U57" s="1752">
        <v>2.9450316892999999</v>
      </c>
      <c r="V57" s="1752">
        <v>2.9005775424000002</v>
      </c>
      <c r="W57" s="1752">
        <v>3.0855821452000001</v>
      </c>
      <c r="X57" s="1752">
        <v>2.8669679639000001</v>
      </c>
      <c r="Y57" s="1752">
        <v>6.5805440715000003</v>
      </c>
      <c r="Z57" s="1752">
        <v>6.5390018497</v>
      </c>
      <c r="AA57" s="1752">
        <v>6.4679891454999998</v>
      </c>
      <c r="AB57" s="1752">
        <v>6.4105918095999996</v>
      </c>
      <c r="AC57" s="1752">
        <v>6.3834717343999996</v>
      </c>
      <c r="AD57" s="1752">
        <v>6.3466478259999999</v>
      </c>
      <c r="AE57" s="1752">
        <v>6.3255704882000003</v>
      </c>
      <c r="AF57" s="1752">
        <v>6.3024316514000001</v>
      </c>
      <c r="AG57" s="1752">
        <v>6.9253447417</v>
      </c>
      <c r="AH57" s="1752">
        <v>6.8912932598000003</v>
      </c>
      <c r="AI57" s="1752">
        <v>6.8476400006000002</v>
      </c>
      <c r="AJ57" s="1752">
        <v>6.8252674400000002</v>
      </c>
      <c r="AK57" s="1752">
        <v>6.8264611109000004</v>
      </c>
      <c r="AL57" s="1752">
        <v>7.4668975633999999</v>
      </c>
      <c r="AM57" s="1752">
        <v>7.4780770106999999</v>
      </c>
      <c r="AN57" s="1752">
        <v>7.4895726660999999</v>
      </c>
      <c r="AO57" s="1752">
        <v>7.5119444837999998</v>
      </c>
      <c r="AP57" s="1752">
        <v>7.5250143505000002</v>
      </c>
      <c r="AQ57" s="1752"/>
      <c r="AR57" s="1752"/>
      <c r="AS57" s="1752"/>
      <c r="AT57" s="1752"/>
      <c r="AU57" s="1752"/>
      <c r="AV57" s="1752"/>
      <c r="AW57" s="1752"/>
      <c r="AX57" s="1752"/>
      <c r="AY57" s="1752"/>
      <c r="AZ57" s="1752"/>
      <c r="BA57" s="1752"/>
      <c r="BB57" s="1752"/>
      <c r="BC57" s="1752"/>
      <c r="BD57" s="1752"/>
      <c r="BE57" s="1752"/>
      <c r="BF57" s="1752"/>
      <c r="BG57" s="1752"/>
      <c r="BH57" s="1752"/>
      <c r="BI57" s="1752"/>
      <c r="BJ57" s="1752"/>
      <c r="BK57" s="1752"/>
      <c r="BL57" s="1752"/>
      <c r="BM57" s="1752"/>
      <c r="BN57" s="1752"/>
      <c r="BO57" s="1752"/>
      <c r="BP57" s="1752"/>
      <c r="BQ57" s="1752"/>
      <c r="BR57" s="1752"/>
      <c r="BS57" s="1752"/>
      <c r="BT57" s="1752"/>
      <c r="BU57" s="1752"/>
      <c r="BV57" s="1752"/>
      <c r="BW57" s="1752"/>
      <c r="BX57" s="1752"/>
      <c r="BY57" s="1752"/>
      <c r="BZ57" s="1752"/>
      <c r="CA57" s="1752"/>
      <c r="CB57" s="1752"/>
      <c r="CC57" s="1752"/>
      <c r="CD57" s="1752"/>
      <c r="CE57" s="1752"/>
      <c r="CF57" s="1752"/>
      <c r="CG57" s="1752"/>
      <c r="CH57" s="1752"/>
      <c r="CI57" s="1752"/>
      <c r="CJ57" s="1752"/>
      <c r="CK57" s="1752"/>
      <c r="CL57" s="1752"/>
      <c r="CM57" s="1752"/>
      <c r="CN57" s="1752"/>
      <c r="CO57" s="1767"/>
    </row>
    <row r="58" spans="2:93" x14ac:dyDescent="0.2">
      <c r="B58" s="170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58" s="1703" t="s">
        <v>874</v>
      </c>
      <c r="D58" s="1703" t="s">
        <v>873</v>
      </c>
      <c r="E58" s="1704" t="s">
        <v>875</v>
      </c>
      <c r="F58" s="1707" t="str">
        <f>VLOOKUP(TBL5_OptBen[[#This Row],[Option Type (defined list)]],'Option Typs_Grps'!B$2:C$47, 2, FALSE)</f>
        <v>Resource Options</v>
      </c>
      <c r="G58" s="1707" t="s">
        <v>863</v>
      </c>
      <c r="H58" s="1707" t="s">
        <v>1459</v>
      </c>
      <c r="I58" s="1703" t="s">
        <v>88</v>
      </c>
      <c r="J58" s="1707" t="s">
        <v>236</v>
      </c>
      <c r="K58" s="1751">
        <v>2</v>
      </c>
      <c r="L58" s="1752"/>
      <c r="M58" s="1752"/>
      <c r="N58" s="1752"/>
      <c r="O58" s="1754"/>
      <c r="P58" s="1766"/>
      <c r="Q58" s="1753"/>
      <c r="R58" s="1753"/>
      <c r="S58" s="1752"/>
      <c r="T58" s="1752">
        <v>10</v>
      </c>
      <c r="U58" s="1752">
        <v>10</v>
      </c>
      <c r="V58" s="1752">
        <v>10</v>
      </c>
      <c r="W58" s="1752">
        <v>10</v>
      </c>
      <c r="X58" s="1752">
        <v>10</v>
      </c>
      <c r="Y58" s="1752">
        <v>10</v>
      </c>
      <c r="Z58" s="1752">
        <v>10</v>
      </c>
      <c r="AA58" s="1752">
        <v>10</v>
      </c>
      <c r="AB58" s="1752">
        <v>10</v>
      </c>
      <c r="AC58" s="1752">
        <v>10</v>
      </c>
      <c r="AD58" s="1752">
        <v>10</v>
      </c>
      <c r="AE58" s="1752">
        <v>10</v>
      </c>
      <c r="AF58" s="1752">
        <v>10</v>
      </c>
      <c r="AG58" s="1752">
        <v>10</v>
      </c>
      <c r="AH58" s="1752">
        <v>10</v>
      </c>
      <c r="AI58" s="1752">
        <v>10</v>
      </c>
      <c r="AJ58" s="1752">
        <v>10</v>
      </c>
      <c r="AK58" s="1752">
        <v>10</v>
      </c>
      <c r="AL58" s="1752">
        <v>10</v>
      </c>
      <c r="AM58" s="1752">
        <v>10</v>
      </c>
      <c r="AN58" s="1752">
        <v>10</v>
      </c>
      <c r="AO58" s="1752">
        <v>10</v>
      </c>
      <c r="AP58" s="1752">
        <v>10</v>
      </c>
      <c r="AQ58" s="1752"/>
      <c r="AR58" s="1752"/>
      <c r="AS58" s="1752"/>
      <c r="AT58" s="1752"/>
      <c r="AU58" s="1752"/>
      <c r="AV58" s="1752"/>
      <c r="AW58" s="1752"/>
      <c r="AX58" s="1752"/>
      <c r="AY58" s="1752"/>
      <c r="AZ58" s="1752"/>
      <c r="BA58" s="1752"/>
      <c r="BB58" s="1752"/>
      <c r="BC58" s="1752"/>
      <c r="BD58" s="1752"/>
      <c r="BE58" s="1752"/>
      <c r="BF58" s="1752"/>
      <c r="BG58" s="1752"/>
      <c r="BH58" s="1752"/>
      <c r="BI58" s="1752"/>
      <c r="BJ58" s="1752"/>
      <c r="BK58" s="1752"/>
      <c r="BL58" s="1752"/>
      <c r="BM58" s="1752"/>
      <c r="BN58" s="1752"/>
      <c r="BO58" s="1752"/>
      <c r="BP58" s="1752"/>
      <c r="BQ58" s="1752"/>
      <c r="BR58" s="1752"/>
      <c r="BS58" s="1752"/>
      <c r="BT58" s="1752"/>
      <c r="BU58" s="1752"/>
      <c r="BV58" s="1752"/>
      <c r="BW58" s="1752"/>
      <c r="BX58" s="1752"/>
      <c r="BY58" s="1752"/>
      <c r="BZ58" s="1752"/>
      <c r="CA58" s="1752"/>
      <c r="CB58" s="1752"/>
      <c r="CC58" s="1752"/>
      <c r="CD58" s="1752"/>
      <c r="CE58" s="1752"/>
      <c r="CF58" s="1752"/>
      <c r="CG58" s="1752"/>
      <c r="CH58" s="1752"/>
      <c r="CI58" s="1752"/>
      <c r="CJ58" s="1752"/>
      <c r="CK58" s="1752"/>
      <c r="CL58" s="1752"/>
      <c r="CM58" s="1752"/>
      <c r="CN58" s="1752"/>
      <c r="CO58" s="1767"/>
    </row>
    <row r="59" spans="2:93" x14ac:dyDescent="0.2">
      <c r="B59" s="170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59" s="1703" t="s">
        <v>912</v>
      </c>
      <c r="D59" s="1703" t="s">
        <v>911</v>
      </c>
      <c r="E59" s="1704" t="s">
        <v>913</v>
      </c>
      <c r="F59" s="1707" t="str">
        <f>VLOOKUP(TBL5_OptBen[[#This Row],[Option Type (defined list)]],'Option Typs_Grps'!B$2:C$47, 2, FALSE)</f>
        <v>Resource Options</v>
      </c>
      <c r="G59" s="1707" t="s">
        <v>863</v>
      </c>
      <c r="H59" s="1707" t="s">
        <v>1459</v>
      </c>
      <c r="I59" s="1703" t="s">
        <v>105</v>
      </c>
      <c r="J59" s="1707" t="s">
        <v>236</v>
      </c>
      <c r="K59" s="1751">
        <v>2</v>
      </c>
      <c r="L59" s="1752"/>
      <c r="M59" s="1752"/>
      <c r="N59" s="1752"/>
      <c r="O59" s="1754"/>
      <c r="P59" s="1766"/>
      <c r="Q59" s="1753"/>
      <c r="R59" s="1753"/>
      <c r="S59" s="1752"/>
      <c r="T59" s="1752"/>
      <c r="U59" s="1752"/>
      <c r="V59" s="1752"/>
      <c r="W59" s="1752"/>
      <c r="X59" s="1752"/>
      <c r="Y59" s="1752"/>
      <c r="Z59" s="1752"/>
      <c r="AA59" s="1752"/>
      <c r="AB59" s="1752"/>
      <c r="AC59" s="1752"/>
      <c r="AD59" s="1752"/>
      <c r="AE59" s="1752"/>
      <c r="AF59" s="1752"/>
      <c r="AG59" s="1752">
        <v>16.399999999999999</v>
      </c>
      <c r="AH59" s="1752">
        <v>16.399999999999999</v>
      </c>
      <c r="AI59" s="1752">
        <v>16.399999999999999</v>
      </c>
      <c r="AJ59" s="1752">
        <v>16.399999999999999</v>
      </c>
      <c r="AK59" s="1752">
        <v>16.399999999999999</v>
      </c>
      <c r="AL59" s="1752">
        <v>16.399999999999999</v>
      </c>
      <c r="AM59" s="1752">
        <v>16.399999999999999</v>
      </c>
      <c r="AN59" s="1752">
        <v>16.399999999999999</v>
      </c>
      <c r="AO59" s="1752">
        <v>16.399999999999999</v>
      </c>
      <c r="AP59" s="1752">
        <v>16.399999999999999</v>
      </c>
      <c r="AQ59" s="1752"/>
      <c r="AR59" s="1752"/>
      <c r="AS59" s="1752"/>
      <c r="AT59" s="1752"/>
      <c r="AU59" s="1752"/>
      <c r="AV59" s="1752"/>
      <c r="AW59" s="1752"/>
      <c r="AX59" s="1752"/>
      <c r="AY59" s="1752"/>
      <c r="AZ59" s="1752"/>
      <c r="BA59" s="1752"/>
      <c r="BB59" s="1752"/>
      <c r="BC59" s="1752"/>
      <c r="BD59" s="1752"/>
      <c r="BE59" s="1752"/>
      <c r="BF59" s="1752"/>
      <c r="BG59" s="1752"/>
      <c r="BH59" s="1752"/>
      <c r="BI59" s="1752"/>
      <c r="BJ59" s="1752"/>
      <c r="BK59" s="1752"/>
      <c r="BL59" s="1752"/>
      <c r="BM59" s="1752"/>
      <c r="BN59" s="1752"/>
      <c r="BO59" s="1752"/>
      <c r="BP59" s="1754"/>
      <c r="BQ59" s="1755"/>
      <c r="BR59" s="1755"/>
      <c r="BS59" s="1755"/>
      <c r="BT59" s="1755"/>
      <c r="BU59" s="1755"/>
      <c r="BV59" s="1755"/>
      <c r="BW59" s="1755"/>
      <c r="BX59" s="1755"/>
      <c r="BY59" s="1755"/>
      <c r="BZ59" s="1755"/>
      <c r="CA59" s="1755"/>
      <c r="CB59" s="1755"/>
      <c r="CC59" s="1755"/>
      <c r="CD59" s="1755"/>
      <c r="CE59" s="1755"/>
      <c r="CF59" s="1755"/>
      <c r="CG59" s="1755"/>
      <c r="CH59" s="1755"/>
      <c r="CI59" s="1755"/>
      <c r="CJ59" s="1755"/>
      <c r="CK59" s="1755"/>
      <c r="CL59" s="1755"/>
      <c r="CM59" s="1755"/>
      <c r="CN59" s="1756"/>
      <c r="CO59" s="1767"/>
    </row>
    <row r="60" spans="2:93" ht="28.5" x14ac:dyDescent="0.2">
      <c r="B60" s="170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60" s="1703" t="s">
        <v>1467</v>
      </c>
      <c r="D60" s="1759" t="s">
        <v>1468</v>
      </c>
      <c r="E60" s="1704" t="s">
        <v>913</v>
      </c>
      <c r="F60" s="1707" t="str">
        <f>VLOOKUP(TBL5_OptBen[[#This Row],[Option Type (defined list)]],'Option Typs_Grps'!B$2:C$47, 2, FALSE)</f>
        <v>Resource Options</v>
      </c>
      <c r="G60" s="1707" t="s">
        <v>863</v>
      </c>
      <c r="H60" s="1707" t="s">
        <v>1459</v>
      </c>
      <c r="I60" s="1703" t="s">
        <v>88</v>
      </c>
      <c r="J60" s="1707" t="s">
        <v>236</v>
      </c>
      <c r="K60" s="1751">
        <v>2</v>
      </c>
      <c r="L60" s="1752"/>
      <c r="M60" s="1752"/>
      <c r="N60" s="1752"/>
      <c r="O60" s="1754"/>
      <c r="P60" s="1766"/>
      <c r="Q60" s="1753"/>
      <c r="R60" s="1753"/>
      <c r="S60" s="1752"/>
      <c r="T60" s="1752"/>
      <c r="U60" s="1752"/>
      <c r="V60" s="1752"/>
      <c r="W60" s="1752"/>
      <c r="X60" s="1752"/>
      <c r="Y60" s="1752">
        <v>20.5</v>
      </c>
      <c r="Z60" s="1752">
        <v>20.5</v>
      </c>
      <c r="AA60" s="1752">
        <v>20.5</v>
      </c>
      <c r="AB60" s="1752">
        <v>20.5</v>
      </c>
      <c r="AC60" s="1752">
        <v>20.5</v>
      </c>
      <c r="AD60" s="1752">
        <v>20.5</v>
      </c>
      <c r="AE60" s="1752">
        <v>20.5</v>
      </c>
      <c r="AF60" s="1752">
        <v>20.5</v>
      </c>
      <c r="AG60" s="1752">
        <v>20.5</v>
      </c>
      <c r="AH60" s="1752">
        <v>20.5</v>
      </c>
      <c r="AI60" s="1752">
        <v>20.5</v>
      </c>
      <c r="AJ60" s="1752">
        <v>20.5</v>
      </c>
      <c r="AK60" s="1752">
        <v>20.5</v>
      </c>
      <c r="AL60" s="1752">
        <v>20.5</v>
      </c>
      <c r="AM60" s="1752">
        <v>20.5</v>
      </c>
      <c r="AN60" s="1752">
        <v>20.5</v>
      </c>
      <c r="AO60" s="1752">
        <v>20.5</v>
      </c>
      <c r="AP60" s="1752">
        <v>20.5</v>
      </c>
      <c r="AQ60" s="1752"/>
      <c r="AR60" s="1752"/>
      <c r="AS60" s="1752"/>
      <c r="AT60" s="1752"/>
      <c r="AU60" s="1752"/>
      <c r="AV60" s="1752"/>
      <c r="AW60" s="1752"/>
      <c r="AX60" s="1752"/>
      <c r="AY60" s="1752"/>
      <c r="AZ60" s="1752"/>
      <c r="BA60" s="1752"/>
      <c r="BB60" s="1752"/>
      <c r="BC60" s="1752"/>
      <c r="BD60" s="1752"/>
      <c r="BE60" s="1752"/>
      <c r="BF60" s="1752"/>
      <c r="BG60" s="1752"/>
      <c r="BH60" s="1752"/>
      <c r="BI60" s="1752"/>
      <c r="BJ60" s="1752"/>
      <c r="BK60" s="1752"/>
      <c r="BL60" s="1752"/>
      <c r="BM60" s="1752"/>
      <c r="BN60" s="1752"/>
      <c r="BO60" s="1752"/>
      <c r="BP60" s="1754"/>
      <c r="BQ60" s="1755"/>
      <c r="BR60" s="1755"/>
      <c r="BS60" s="1755"/>
      <c r="BT60" s="1755"/>
      <c r="BU60" s="1755"/>
      <c r="BV60" s="1755"/>
      <c r="BW60" s="1755"/>
      <c r="BX60" s="1755"/>
      <c r="BY60" s="1755"/>
      <c r="BZ60" s="1755"/>
      <c r="CA60" s="1755"/>
      <c r="CB60" s="1755"/>
      <c r="CC60" s="1755"/>
      <c r="CD60" s="1755"/>
      <c r="CE60" s="1755"/>
      <c r="CF60" s="1755"/>
      <c r="CG60" s="1755"/>
      <c r="CH60" s="1755"/>
      <c r="CI60" s="1755"/>
      <c r="CJ60" s="1755"/>
      <c r="CK60" s="1755"/>
      <c r="CL60" s="1755"/>
      <c r="CM60" s="1755"/>
      <c r="CN60" s="1756"/>
      <c r="CO60" s="1767"/>
    </row>
    <row r="61" spans="2:93" ht="28.5" x14ac:dyDescent="0.2">
      <c r="B61" s="170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61" s="1703" t="s">
        <v>959</v>
      </c>
      <c r="D61" s="1703" t="s">
        <v>958</v>
      </c>
      <c r="E61" s="1707" t="s">
        <v>916</v>
      </c>
      <c r="F61" s="1707" t="str">
        <f>VLOOKUP(TBL5_OptBen[[#This Row],[Option Type (defined list)]],'Option Typs_Grps'!B$2:C$47, 2, FALSE)</f>
        <v>Resource Options</v>
      </c>
      <c r="G61" s="1707" t="s">
        <v>863</v>
      </c>
      <c r="H61" s="1707" t="s">
        <v>1459</v>
      </c>
      <c r="I61" s="1703" t="s">
        <v>105</v>
      </c>
      <c r="J61" s="1707" t="s">
        <v>236</v>
      </c>
      <c r="K61" s="1751">
        <v>2</v>
      </c>
      <c r="L61" s="1752"/>
      <c r="M61" s="1752"/>
      <c r="N61" s="1752"/>
      <c r="O61" s="1754"/>
      <c r="P61" s="1766"/>
      <c r="Q61" s="1753"/>
      <c r="R61" s="1753"/>
      <c r="S61" s="1752"/>
      <c r="T61" s="1752"/>
      <c r="U61" s="1752"/>
      <c r="V61" s="1752"/>
      <c r="W61" s="1752"/>
      <c r="X61" s="1752"/>
      <c r="Y61" s="1752"/>
      <c r="Z61" s="1752"/>
      <c r="AA61" s="1752"/>
      <c r="AB61" s="1752"/>
      <c r="AC61" s="1752"/>
      <c r="AD61" s="1752"/>
      <c r="AE61" s="1752"/>
      <c r="AF61" s="1752"/>
      <c r="AG61" s="1752"/>
      <c r="AH61" s="1752"/>
      <c r="AI61" s="1752"/>
      <c r="AJ61" s="1752"/>
      <c r="AK61" s="1752"/>
      <c r="AL61" s="1752">
        <v>10.1</v>
      </c>
      <c r="AM61" s="1752">
        <v>10.1</v>
      </c>
      <c r="AN61" s="1752">
        <v>10.1</v>
      </c>
      <c r="AO61" s="1752">
        <v>10.1</v>
      </c>
      <c r="AP61" s="1752">
        <v>10.1</v>
      </c>
      <c r="AQ61" s="1752"/>
      <c r="AR61" s="1752"/>
      <c r="AS61" s="1752"/>
      <c r="AT61" s="1752"/>
      <c r="AU61" s="1752"/>
      <c r="AV61" s="1752"/>
      <c r="AW61" s="1752"/>
      <c r="AX61" s="1752"/>
      <c r="AY61" s="1752"/>
      <c r="AZ61" s="1752"/>
      <c r="BA61" s="1752"/>
      <c r="BB61" s="1752"/>
      <c r="BC61" s="1752"/>
      <c r="BD61" s="1752"/>
      <c r="BE61" s="1752"/>
      <c r="BF61" s="1752"/>
      <c r="BG61" s="1752"/>
      <c r="BH61" s="1752"/>
      <c r="BI61" s="1752"/>
      <c r="BJ61" s="1752"/>
      <c r="BK61" s="1752"/>
      <c r="BL61" s="1752"/>
      <c r="BM61" s="1752"/>
      <c r="BN61" s="1752"/>
      <c r="BO61" s="1752"/>
      <c r="BP61" s="1754"/>
      <c r="BQ61" s="1755"/>
      <c r="BR61" s="1755"/>
      <c r="BS61" s="1755"/>
      <c r="BT61" s="1755"/>
      <c r="BU61" s="1755"/>
      <c r="BV61" s="1755"/>
      <c r="BW61" s="1755"/>
      <c r="BX61" s="1755"/>
      <c r="BY61" s="1755"/>
      <c r="BZ61" s="1755"/>
      <c r="CA61" s="1755"/>
      <c r="CB61" s="1755"/>
      <c r="CC61" s="1755"/>
      <c r="CD61" s="1755"/>
      <c r="CE61" s="1755"/>
      <c r="CF61" s="1755"/>
      <c r="CG61" s="1755"/>
      <c r="CH61" s="1755"/>
      <c r="CI61" s="1755"/>
      <c r="CJ61" s="1755"/>
      <c r="CK61" s="1755"/>
      <c r="CL61" s="1755"/>
      <c r="CM61" s="1755"/>
      <c r="CN61" s="1756"/>
      <c r="CO61" s="1767"/>
    </row>
    <row r="62" spans="2:93" ht="28.5" x14ac:dyDescent="0.2">
      <c r="B62" s="170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62" s="1703" t="s">
        <v>953</v>
      </c>
      <c r="D62" s="1703" t="s">
        <v>952</v>
      </c>
      <c r="E62" s="1704" t="s">
        <v>913</v>
      </c>
      <c r="F62" s="1707" t="str">
        <f>VLOOKUP(TBL5_OptBen[[#This Row],[Option Type (defined list)]],'Option Typs_Grps'!B$2:C$47, 2, FALSE)</f>
        <v>Resource Options</v>
      </c>
      <c r="G62" s="1707" t="s">
        <v>863</v>
      </c>
      <c r="H62" s="1707" t="s">
        <v>1459</v>
      </c>
      <c r="I62" s="1703" t="s">
        <v>105</v>
      </c>
      <c r="J62" s="1707" t="s">
        <v>236</v>
      </c>
      <c r="K62" s="1751">
        <v>2</v>
      </c>
      <c r="L62" s="1752"/>
      <c r="M62" s="1752"/>
      <c r="N62" s="1752"/>
      <c r="O62" s="1754"/>
      <c r="P62" s="1766"/>
      <c r="Q62" s="1753"/>
      <c r="R62" s="1753"/>
      <c r="S62" s="1752"/>
      <c r="T62" s="1752"/>
      <c r="U62" s="1752"/>
      <c r="V62" s="1752"/>
      <c r="W62" s="1752"/>
      <c r="X62" s="1752"/>
      <c r="Y62" s="1752">
        <v>11</v>
      </c>
      <c r="Z62" s="1752">
        <v>11</v>
      </c>
      <c r="AA62" s="1752">
        <v>11</v>
      </c>
      <c r="AB62" s="1752">
        <v>11</v>
      </c>
      <c r="AC62" s="1752">
        <v>11</v>
      </c>
      <c r="AD62" s="1752">
        <v>11</v>
      </c>
      <c r="AE62" s="1752">
        <v>11</v>
      </c>
      <c r="AF62" s="1752">
        <v>11</v>
      </c>
      <c r="AG62" s="1752">
        <v>11</v>
      </c>
      <c r="AH62" s="1752">
        <v>11</v>
      </c>
      <c r="AI62" s="1752">
        <v>11</v>
      </c>
      <c r="AJ62" s="1752">
        <v>11</v>
      </c>
      <c r="AK62" s="1752">
        <v>11</v>
      </c>
      <c r="AL62" s="1752">
        <v>11</v>
      </c>
      <c r="AM62" s="1752">
        <v>11</v>
      </c>
      <c r="AN62" s="1752">
        <v>11</v>
      </c>
      <c r="AO62" s="1752">
        <v>11</v>
      </c>
      <c r="AP62" s="1752">
        <v>11</v>
      </c>
      <c r="AQ62" s="1752"/>
      <c r="AR62" s="1752"/>
      <c r="AS62" s="1752"/>
      <c r="AT62" s="1752"/>
      <c r="AU62" s="1752"/>
      <c r="AV62" s="1752"/>
      <c r="AW62" s="1752"/>
      <c r="AX62" s="1752"/>
      <c r="AY62" s="1752"/>
      <c r="AZ62" s="1752"/>
      <c r="BA62" s="1752"/>
      <c r="BB62" s="1752"/>
      <c r="BC62" s="1752"/>
      <c r="BD62" s="1752"/>
      <c r="BE62" s="1752"/>
      <c r="BF62" s="1752"/>
      <c r="BG62" s="1752"/>
      <c r="BH62" s="1752"/>
      <c r="BI62" s="1752"/>
      <c r="BJ62" s="1752"/>
      <c r="BK62" s="1752"/>
      <c r="BL62" s="1752"/>
      <c r="BM62" s="1752"/>
      <c r="BN62" s="1752"/>
      <c r="BO62" s="1752"/>
      <c r="BP62" s="1752"/>
      <c r="BQ62" s="1752"/>
      <c r="BR62" s="1752"/>
      <c r="BS62" s="1752"/>
      <c r="BT62" s="1752"/>
      <c r="BU62" s="1752"/>
      <c r="BV62" s="1752"/>
      <c r="BW62" s="1752"/>
      <c r="BX62" s="1752"/>
      <c r="BY62" s="1752"/>
      <c r="BZ62" s="1752"/>
      <c r="CA62" s="1752"/>
      <c r="CB62" s="1752"/>
      <c r="CC62" s="1752"/>
      <c r="CD62" s="1752"/>
      <c r="CE62" s="1752"/>
      <c r="CF62" s="1752"/>
      <c r="CG62" s="1752"/>
      <c r="CH62" s="1752"/>
      <c r="CI62" s="1752"/>
      <c r="CJ62" s="1752"/>
      <c r="CK62" s="1752"/>
      <c r="CL62" s="1752"/>
      <c r="CM62" s="1752"/>
      <c r="CN62" s="1752"/>
      <c r="CO62" s="1767"/>
    </row>
    <row r="63" spans="2:93" x14ac:dyDescent="0.2">
      <c r="B63" s="170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52bA</v>
      </c>
      <c r="C63" s="1707" t="s">
        <v>889</v>
      </c>
      <c r="D63" s="1707" t="s">
        <v>888</v>
      </c>
      <c r="E63" s="1704" t="s">
        <v>885</v>
      </c>
      <c r="F63" s="1707" t="str">
        <f>VLOOKUP(TBL5_OptBen[[#This Row],[Option Type (defined list)]],'Option Typs_Grps'!B$2:C$47, 2, FALSE)</f>
        <v>Production Options</v>
      </c>
      <c r="G63" s="1707" t="s">
        <v>863</v>
      </c>
      <c r="H63" s="1707" t="s">
        <v>1459</v>
      </c>
      <c r="I63" s="1703" t="s">
        <v>88</v>
      </c>
      <c r="J63" s="1707" t="s">
        <v>236</v>
      </c>
      <c r="K63" s="1751">
        <v>2</v>
      </c>
      <c r="L63" s="1752"/>
      <c r="M63" s="1752"/>
      <c r="N63" s="1752"/>
      <c r="O63" s="1754"/>
      <c r="P63" s="1766"/>
      <c r="Q63" s="1753"/>
      <c r="R63" s="1753"/>
      <c r="S63" s="1752"/>
      <c r="T63" s="1752"/>
      <c r="U63" s="1752"/>
      <c r="V63" s="1752">
        <v>0.9</v>
      </c>
      <c r="W63" s="1752">
        <v>0.9</v>
      </c>
      <c r="X63" s="1752">
        <v>0.9</v>
      </c>
      <c r="Y63" s="1752">
        <v>0.9</v>
      </c>
      <c r="Z63" s="1752">
        <v>0.9</v>
      </c>
      <c r="AA63" s="1752">
        <v>0.9</v>
      </c>
      <c r="AB63" s="1752">
        <v>0.9</v>
      </c>
      <c r="AC63" s="1752">
        <v>0.9</v>
      </c>
      <c r="AD63" s="1752">
        <v>0.9</v>
      </c>
      <c r="AE63" s="1752">
        <v>0.9</v>
      </c>
      <c r="AF63" s="1752">
        <v>0.9</v>
      </c>
      <c r="AG63" s="1752">
        <v>0.9</v>
      </c>
      <c r="AH63" s="1752">
        <v>0.9</v>
      </c>
      <c r="AI63" s="1752">
        <v>0.9</v>
      </c>
      <c r="AJ63" s="1752">
        <v>0.9</v>
      </c>
      <c r="AK63" s="1752">
        <v>0.9</v>
      </c>
      <c r="AL63" s="1752">
        <v>0.9</v>
      </c>
      <c r="AM63" s="1752">
        <v>0.9</v>
      </c>
      <c r="AN63" s="1752">
        <v>0.9</v>
      </c>
      <c r="AO63" s="1752">
        <v>0.9</v>
      </c>
      <c r="AP63" s="1752">
        <v>0.9</v>
      </c>
      <c r="AQ63" s="1752"/>
      <c r="AR63" s="1752"/>
      <c r="AS63" s="1752"/>
      <c r="AT63" s="1752"/>
      <c r="AU63" s="1752"/>
      <c r="AV63" s="1752"/>
      <c r="AW63" s="1752"/>
      <c r="AX63" s="1752"/>
      <c r="AY63" s="1752"/>
      <c r="AZ63" s="1752"/>
      <c r="BA63" s="1752"/>
      <c r="BB63" s="1752"/>
      <c r="BC63" s="1752"/>
      <c r="BD63" s="1752"/>
      <c r="BE63" s="1752"/>
      <c r="BF63" s="1752"/>
      <c r="BG63" s="1752"/>
      <c r="BH63" s="1752"/>
      <c r="BI63" s="1752"/>
      <c r="BJ63" s="1752"/>
      <c r="BK63" s="1752"/>
      <c r="BL63" s="1752"/>
      <c r="BM63" s="1752"/>
      <c r="BN63" s="1752"/>
      <c r="BO63" s="1752"/>
      <c r="BP63" s="1754"/>
      <c r="BQ63" s="1755"/>
      <c r="BR63" s="1755"/>
      <c r="BS63" s="1755"/>
      <c r="BT63" s="1755"/>
      <c r="BU63" s="1755"/>
      <c r="BV63" s="1755"/>
      <c r="BW63" s="1755"/>
      <c r="BX63" s="1755"/>
      <c r="BY63" s="1755"/>
      <c r="BZ63" s="1755"/>
      <c r="CA63" s="1755"/>
      <c r="CB63" s="1755"/>
      <c r="CC63" s="1755"/>
      <c r="CD63" s="1755"/>
      <c r="CE63" s="1755"/>
      <c r="CF63" s="1755"/>
      <c r="CG63" s="1755"/>
      <c r="CH63" s="1755"/>
      <c r="CI63" s="1755"/>
      <c r="CJ63" s="1755"/>
      <c r="CK63" s="1755"/>
      <c r="CL63" s="1755"/>
      <c r="CM63" s="1755"/>
      <c r="CN63" s="1756"/>
      <c r="CO63" s="1767"/>
    </row>
    <row r="64" spans="2:93" x14ac:dyDescent="0.2">
      <c r="B64" s="170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52bA</v>
      </c>
      <c r="C64" s="1707" t="s">
        <v>887</v>
      </c>
      <c r="D64" s="1707" t="s">
        <v>886</v>
      </c>
      <c r="E64" s="1704" t="s">
        <v>885</v>
      </c>
      <c r="F64" s="1707" t="str">
        <f>VLOOKUP(TBL5_OptBen[[#This Row],[Option Type (defined list)]],'Option Typs_Grps'!B$2:C$47, 2, FALSE)</f>
        <v>Production Options</v>
      </c>
      <c r="G64" s="1707" t="s">
        <v>863</v>
      </c>
      <c r="H64" s="1707" t="s">
        <v>1459</v>
      </c>
      <c r="I64" s="1703" t="s">
        <v>88</v>
      </c>
      <c r="J64" s="1707" t="s">
        <v>236</v>
      </c>
      <c r="K64" s="1751">
        <v>2</v>
      </c>
      <c r="L64" s="1752"/>
      <c r="M64" s="1752"/>
      <c r="N64" s="1752"/>
      <c r="O64" s="1754"/>
      <c r="P64" s="1766"/>
      <c r="Q64" s="1753"/>
      <c r="R64" s="1753"/>
      <c r="S64" s="1752"/>
      <c r="T64" s="1752"/>
      <c r="U64" s="1752"/>
      <c r="V64" s="1752">
        <v>2.75</v>
      </c>
      <c r="W64" s="1752">
        <v>2.75</v>
      </c>
      <c r="X64" s="1752">
        <v>2.75</v>
      </c>
      <c r="Y64" s="1752">
        <v>2.75</v>
      </c>
      <c r="Z64" s="1752">
        <v>2.75</v>
      </c>
      <c r="AA64" s="1752">
        <v>2.75</v>
      </c>
      <c r="AB64" s="1752">
        <v>2.75</v>
      </c>
      <c r="AC64" s="1752">
        <v>2.75</v>
      </c>
      <c r="AD64" s="1752">
        <v>2.75</v>
      </c>
      <c r="AE64" s="1752">
        <v>2.75</v>
      </c>
      <c r="AF64" s="1752">
        <v>2.75</v>
      </c>
      <c r="AG64" s="1752">
        <v>2.75</v>
      </c>
      <c r="AH64" s="1752">
        <v>2.75</v>
      </c>
      <c r="AI64" s="1752">
        <v>2.75</v>
      </c>
      <c r="AJ64" s="1752">
        <v>2.75</v>
      </c>
      <c r="AK64" s="1752">
        <v>2.75</v>
      </c>
      <c r="AL64" s="1752">
        <v>2.75</v>
      </c>
      <c r="AM64" s="1752">
        <v>2.75</v>
      </c>
      <c r="AN64" s="1752">
        <v>2.75</v>
      </c>
      <c r="AO64" s="1752">
        <v>2.75</v>
      </c>
      <c r="AP64" s="1752">
        <v>2.75</v>
      </c>
      <c r="AQ64" s="1752"/>
      <c r="AR64" s="1752"/>
      <c r="AS64" s="1752"/>
      <c r="AT64" s="1752"/>
      <c r="AU64" s="1752"/>
      <c r="AV64" s="1752"/>
      <c r="AW64" s="1752"/>
      <c r="AX64" s="1752"/>
      <c r="AY64" s="1752"/>
      <c r="AZ64" s="1752"/>
      <c r="BA64" s="1752"/>
      <c r="BB64" s="1752"/>
      <c r="BC64" s="1752"/>
      <c r="BD64" s="1752"/>
      <c r="BE64" s="1752"/>
      <c r="BF64" s="1752"/>
      <c r="BG64" s="1752"/>
      <c r="BH64" s="1752"/>
      <c r="BI64" s="1752"/>
      <c r="BJ64" s="1752"/>
      <c r="BK64" s="1752"/>
      <c r="BL64" s="1752"/>
      <c r="BM64" s="1752"/>
      <c r="BN64" s="1752"/>
      <c r="BO64" s="1752"/>
      <c r="BP64" s="1754"/>
      <c r="BQ64" s="1755"/>
      <c r="BR64" s="1755"/>
      <c r="BS64" s="1755"/>
      <c r="BT64" s="1755"/>
      <c r="BU64" s="1755"/>
      <c r="BV64" s="1755"/>
      <c r="BW64" s="1755"/>
      <c r="BX64" s="1755"/>
      <c r="BY64" s="1755"/>
      <c r="BZ64" s="1755"/>
      <c r="CA64" s="1755"/>
      <c r="CB64" s="1755"/>
      <c r="CC64" s="1755"/>
      <c r="CD64" s="1755"/>
      <c r="CE64" s="1755"/>
      <c r="CF64" s="1755"/>
      <c r="CG64" s="1755"/>
      <c r="CH64" s="1755"/>
      <c r="CI64" s="1755"/>
      <c r="CJ64" s="1755"/>
      <c r="CK64" s="1755"/>
      <c r="CL64" s="1755"/>
      <c r="CM64" s="1755"/>
      <c r="CN64" s="1756"/>
      <c r="CO64" s="1767"/>
    </row>
    <row r="65" spans="2:93" x14ac:dyDescent="0.2">
      <c r="B65" s="170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65" s="1707" t="s">
        <v>1463</v>
      </c>
      <c r="D65" s="1707" t="s">
        <v>890</v>
      </c>
      <c r="E65" s="1704" t="s">
        <v>875</v>
      </c>
      <c r="F65" s="1707" t="str">
        <f>VLOOKUP(TBL5_OptBen[[#This Row],[Option Type (defined list)]],'Option Typs_Grps'!B$2:C$47, 2, FALSE)</f>
        <v>Resource Options</v>
      </c>
      <c r="G65" s="1707" t="s">
        <v>863</v>
      </c>
      <c r="H65" s="1707" t="s">
        <v>1459</v>
      </c>
      <c r="I65" s="1703" t="s">
        <v>88</v>
      </c>
      <c r="J65" s="1707" t="s">
        <v>236</v>
      </c>
      <c r="K65" s="1751">
        <v>2</v>
      </c>
      <c r="L65" s="1752"/>
      <c r="M65" s="1752"/>
      <c r="N65" s="1752"/>
      <c r="O65" s="1754"/>
      <c r="P65" s="1766"/>
      <c r="Q65" s="1753"/>
      <c r="R65" s="1753"/>
      <c r="S65" s="1752"/>
      <c r="T65" s="1752"/>
      <c r="U65" s="1752"/>
      <c r="V65" s="1752"/>
      <c r="W65" s="1752">
        <v>8</v>
      </c>
      <c r="X65" s="1752">
        <v>8</v>
      </c>
      <c r="Y65" s="1752">
        <v>8</v>
      </c>
      <c r="Z65" s="1752">
        <v>8</v>
      </c>
      <c r="AA65" s="1752">
        <v>8</v>
      </c>
      <c r="AB65" s="1752">
        <v>8</v>
      </c>
      <c r="AC65" s="1752">
        <v>8</v>
      </c>
      <c r="AD65" s="1752">
        <v>8</v>
      </c>
      <c r="AE65" s="1752">
        <v>8</v>
      </c>
      <c r="AF65" s="1752">
        <v>8</v>
      </c>
      <c r="AG65" s="1752">
        <v>8</v>
      </c>
      <c r="AH65" s="1752">
        <v>8</v>
      </c>
      <c r="AI65" s="1752">
        <v>8</v>
      </c>
      <c r="AJ65" s="1752">
        <v>8</v>
      </c>
      <c r="AK65" s="1752">
        <v>8</v>
      </c>
      <c r="AL65" s="1752">
        <v>8</v>
      </c>
      <c r="AM65" s="1752">
        <v>8</v>
      </c>
      <c r="AN65" s="1752">
        <v>8</v>
      </c>
      <c r="AO65" s="1752">
        <v>8</v>
      </c>
      <c r="AP65" s="1752">
        <v>8</v>
      </c>
      <c r="AQ65" s="1752"/>
      <c r="AR65" s="1752"/>
      <c r="AS65" s="1752"/>
      <c r="AT65" s="1752"/>
      <c r="AU65" s="1752"/>
      <c r="AV65" s="1752"/>
      <c r="AW65" s="1752"/>
      <c r="AX65" s="1752"/>
      <c r="AY65" s="1752"/>
      <c r="AZ65" s="1752"/>
      <c r="BA65" s="1752"/>
      <c r="BB65" s="1752"/>
      <c r="BC65" s="1752"/>
      <c r="BD65" s="1752"/>
      <c r="BE65" s="1752"/>
      <c r="BF65" s="1752"/>
      <c r="BG65" s="1752"/>
      <c r="BH65" s="1752"/>
      <c r="BI65" s="1752"/>
      <c r="BJ65" s="1752"/>
      <c r="BK65" s="1752"/>
      <c r="BL65" s="1752"/>
      <c r="BM65" s="1752"/>
      <c r="BN65" s="1752"/>
      <c r="BO65" s="1752"/>
      <c r="BP65" s="1754"/>
      <c r="BQ65" s="1755"/>
      <c r="BR65" s="1755"/>
      <c r="BS65" s="1755"/>
      <c r="BT65" s="1755"/>
      <c r="BU65" s="1755"/>
      <c r="BV65" s="1755"/>
      <c r="BW65" s="1755"/>
      <c r="BX65" s="1755"/>
      <c r="BY65" s="1755"/>
      <c r="BZ65" s="1755"/>
      <c r="CA65" s="1755"/>
      <c r="CB65" s="1755"/>
      <c r="CC65" s="1755"/>
      <c r="CD65" s="1755"/>
      <c r="CE65" s="1755"/>
      <c r="CF65" s="1755"/>
      <c r="CG65" s="1755"/>
      <c r="CH65" s="1755"/>
      <c r="CI65" s="1755"/>
      <c r="CJ65" s="1755"/>
      <c r="CK65" s="1755"/>
      <c r="CL65" s="1755"/>
      <c r="CM65" s="1755"/>
      <c r="CN65" s="1756"/>
      <c r="CO65" s="1767"/>
    </row>
    <row r="66" spans="2:93" x14ac:dyDescent="0.2">
      <c r="B66" s="170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52bA</v>
      </c>
      <c r="C66" s="1703" t="s">
        <v>894</v>
      </c>
      <c r="D66" s="1703" t="s">
        <v>893</v>
      </c>
      <c r="E66" s="1704" t="s">
        <v>885</v>
      </c>
      <c r="F66" s="1707" t="str">
        <f>VLOOKUP(TBL5_OptBen[[#This Row],[Option Type (defined list)]],'Option Typs_Grps'!B$2:C$47, 2, FALSE)</f>
        <v>Production Options</v>
      </c>
      <c r="G66" s="1707" t="s">
        <v>863</v>
      </c>
      <c r="H66" s="1707" t="s">
        <v>1459</v>
      </c>
      <c r="I66" s="1703" t="s">
        <v>88</v>
      </c>
      <c r="J66" s="1707" t="s">
        <v>236</v>
      </c>
      <c r="K66" s="1751">
        <v>2</v>
      </c>
      <c r="L66" s="1752"/>
      <c r="M66" s="1752"/>
      <c r="N66" s="1752"/>
      <c r="O66" s="1754"/>
      <c r="P66" s="1766"/>
      <c r="Q66" s="1753"/>
      <c r="R66" s="1753"/>
      <c r="S66" s="1752"/>
      <c r="T66" s="1752"/>
      <c r="U66" s="1752"/>
      <c r="V66" s="1752">
        <v>0.2</v>
      </c>
      <c r="W66" s="1752">
        <v>0.2</v>
      </c>
      <c r="X66" s="1752">
        <v>0.2</v>
      </c>
      <c r="Y66" s="1752">
        <v>0.2</v>
      </c>
      <c r="Z66" s="1752">
        <v>0.2</v>
      </c>
      <c r="AA66" s="1752">
        <v>0.2</v>
      </c>
      <c r="AB66" s="1752">
        <v>0.2</v>
      </c>
      <c r="AC66" s="1752">
        <v>0.2</v>
      </c>
      <c r="AD66" s="1752">
        <v>0.2</v>
      </c>
      <c r="AE66" s="1752">
        <v>0.2</v>
      </c>
      <c r="AF66" s="1752">
        <v>0.2</v>
      </c>
      <c r="AG66" s="1752">
        <v>0.2</v>
      </c>
      <c r="AH66" s="1752">
        <v>0.2</v>
      </c>
      <c r="AI66" s="1752">
        <v>0.2</v>
      </c>
      <c r="AJ66" s="1752">
        <v>0.2</v>
      </c>
      <c r="AK66" s="1752">
        <v>0.2</v>
      </c>
      <c r="AL66" s="1752">
        <v>0.2</v>
      </c>
      <c r="AM66" s="1752">
        <v>0.2</v>
      </c>
      <c r="AN66" s="1752">
        <v>0.2</v>
      </c>
      <c r="AO66" s="1752">
        <v>0.2</v>
      </c>
      <c r="AP66" s="1752">
        <v>0.2</v>
      </c>
      <c r="AQ66" s="1752"/>
      <c r="AR66" s="1752"/>
      <c r="AS66" s="1752"/>
      <c r="AT66" s="1752"/>
      <c r="AU66" s="1752"/>
      <c r="AV66" s="1752"/>
      <c r="AW66" s="1752"/>
      <c r="AX66" s="1752"/>
      <c r="AY66" s="1752"/>
      <c r="AZ66" s="1752"/>
      <c r="BA66" s="1752"/>
      <c r="BB66" s="1752"/>
      <c r="BC66" s="1752"/>
      <c r="BD66" s="1752"/>
      <c r="BE66" s="1752"/>
      <c r="BF66" s="1752"/>
      <c r="BG66" s="1752"/>
      <c r="BH66" s="1752"/>
      <c r="BI66" s="1752"/>
      <c r="BJ66" s="1752"/>
      <c r="BK66" s="1752"/>
      <c r="BL66" s="1752"/>
      <c r="BM66" s="1752"/>
      <c r="BN66" s="1752"/>
      <c r="BO66" s="1752"/>
      <c r="BP66" s="1754"/>
      <c r="BQ66" s="1755"/>
      <c r="BR66" s="1755"/>
      <c r="BS66" s="1755"/>
      <c r="BT66" s="1755"/>
      <c r="BU66" s="1755"/>
      <c r="BV66" s="1755"/>
      <c r="BW66" s="1755"/>
      <c r="BX66" s="1755"/>
      <c r="BY66" s="1755"/>
      <c r="BZ66" s="1755"/>
      <c r="CA66" s="1755"/>
      <c r="CB66" s="1755"/>
      <c r="CC66" s="1755"/>
      <c r="CD66" s="1755"/>
      <c r="CE66" s="1755"/>
      <c r="CF66" s="1755"/>
      <c r="CG66" s="1755"/>
      <c r="CH66" s="1755"/>
      <c r="CI66" s="1755"/>
      <c r="CJ66" s="1755"/>
      <c r="CK66" s="1755"/>
      <c r="CL66" s="1755"/>
      <c r="CM66" s="1755"/>
      <c r="CN66" s="1752"/>
      <c r="CO66" s="1767"/>
    </row>
    <row r="67" spans="2:93" x14ac:dyDescent="0.2">
      <c r="B67" s="170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52bA</v>
      </c>
      <c r="C67" s="1707" t="s">
        <v>884</v>
      </c>
      <c r="D67" s="1707" t="s">
        <v>883</v>
      </c>
      <c r="E67" s="1704" t="s">
        <v>885</v>
      </c>
      <c r="F67" s="1707" t="str">
        <f>VLOOKUP(TBL5_OptBen[[#This Row],[Option Type (defined list)]],'Option Typs_Grps'!B$2:C$47, 2, FALSE)</f>
        <v>Production Options</v>
      </c>
      <c r="G67" s="1707" t="s">
        <v>863</v>
      </c>
      <c r="H67" s="1707" t="s">
        <v>1459</v>
      </c>
      <c r="I67" s="1703" t="s">
        <v>105</v>
      </c>
      <c r="J67" s="1707" t="s">
        <v>236</v>
      </c>
      <c r="K67" s="1751">
        <v>2</v>
      </c>
      <c r="L67" s="1752"/>
      <c r="M67" s="1752"/>
      <c r="N67" s="1752"/>
      <c r="O67" s="1754"/>
      <c r="P67" s="1766"/>
      <c r="Q67" s="1753"/>
      <c r="R67" s="1753"/>
      <c r="S67" s="1752"/>
      <c r="T67" s="1752"/>
      <c r="U67" s="1752"/>
      <c r="V67" s="1752">
        <v>2.15</v>
      </c>
      <c r="W67" s="1752">
        <v>2.15</v>
      </c>
      <c r="X67" s="1752">
        <v>2.15</v>
      </c>
      <c r="Y67" s="1752">
        <v>2.15</v>
      </c>
      <c r="Z67" s="1752">
        <v>2.15</v>
      </c>
      <c r="AA67" s="1752">
        <v>2.15</v>
      </c>
      <c r="AB67" s="1752">
        <v>2.15</v>
      </c>
      <c r="AC67" s="1752">
        <v>2.15</v>
      </c>
      <c r="AD67" s="1752">
        <v>2.15</v>
      </c>
      <c r="AE67" s="1752">
        <v>2.15</v>
      </c>
      <c r="AF67" s="1752">
        <v>2.15</v>
      </c>
      <c r="AG67" s="1752">
        <v>2.15</v>
      </c>
      <c r="AH67" s="1752">
        <v>2.15</v>
      </c>
      <c r="AI67" s="1752">
        <v>2.15</v>
      </c>
      <c r="AJ67" s="1752">
        <v>2.15</v>
      </c>
      <c r="AK67" s="1752">
        <v>2.15</v>
      </c>
      <c r="AL67" s="1752">
        <v>2.15</v>
      </c>
      <c r="AM67" s="1752">
        <v>2.15</v>
      </c>
      <c r="AN67" s="1752">
        <v>2.15</v>
      </c>
      <c r="AO67" s="1752">
        <v>2.15</v>
      </c>
      <c r="AP67" s="1752">
        <v>2.15</v>
      </c>
      <c r="AQ67" s="1752"/>
      <c r="AR67" s="1752"/>
      <c r="AS67" s="1752"/>
      <c r="AT67" s="1752"/>
      <c r="AU67" s="1752"/>
      <c r="AV67" s="1752"/>
      <c r="AW67" s="1752"/>
      <c r="AX67" s="1752"/>
      <c r="AY67" s="1752"/>
      <c r="AZ67" s="1752"/>
      <c r="BA67" s="1752"/>
      <c r="BB67" s="1752"/>
      <c r="BC67" s="1752"/>
      <c r="BD67" s="1752"/>
      <c r="BE67" s="1752"/>
      <c r="BF67" s="1752"/>
      <c r="BG67" s="1752"/>
      <c r="BH67" s="1752"/>
      <c r="BI67" s="1752"/>
      <c r="BJ67" s="1752"/>
      <c r="BK67" s="1752"/>
      <c r="BL67" s="1752"/>
      <c r="BM67" s="1752"/>
      <c r="BN67" s="1752"/>
      <c r="BO67" s="1752"/>
      <c r="BP67" s="1754"/>
      <c r="BQ67" s="1755"/>
      <c r="BR67" s="1755"/>
      <c r="BS67" s="1755"/>
      <c r="BT67" s="1755"/>
      <c r="BU67" s="1755"/>
      <c r="BV67" s="1755"/>
      <c r="BW67" s="1755"/>
      <c r="BX67" s="1755"/>
      <c r="BY67" s="1755"/>
      <c r="BZ67" s="1755"/>
      <c r="CA67" s="1755"/>
      <c r="CB67" s="1755"/>
      <c r="CC67" s="1755"/>
      <c r="CD67" s="1755"/>
      <c r="CE67" s="1755"/>
      <c r="CF67" s="1755"/>
      <c r="CG67" s="1755"/>
      <c r="CH67" s="1755"/>
      <c r="CI67" s="1755"/>
      <c r="CJ67" s="1755"/>
      <c r="CK67" s="1755"/>
      <c r="CL67" s="1755"/>
      <c r="CM67" s="1755"/>
      <c r="CN67" s="1756"/>
      <c r="CO67" s="1767"/>
    </row>
    <row r="68" spans="2:93" ht="28.5" x14ac:dyDescent="0.2">
      <c r="B68" s="170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68" s="1703" t="s">
        <v>1465</v>
      </c>
      <c r="D68" s="1703" t="s">
        <v>982</v>
      </c>
      <c r="E68" s="1704" t="s">
        <v>907</v>
      </c>
      <c r="F68" s="1707" t="str">
        <f>VLOOKUP(TBL5_OptBen[[#This Row],[Option Type (defined list)]],'Option Typs_Grps'!B$2:C$47, 2, FALSE)</f>
        <v>Distribution Options</v>
      </c>
      <c r="G68" s="1707" t="s">
        <v>863</v>
      </c>
      <c r="H68" s="1707" t="s">
        <v>1459</v>
      </c>
      <c r="I68" s="1703" t="s">
        <v>93</v>
      </c>
      <c r="J68" s="1707" t="s">
        <v>236</v>
      </c>
      <c r="K68" s="1751">
        <v>2</v>
      </c>
      <c r="L68" s="1752"/>
      <c r="M68" s="1752"/>
      <c r="N68" s="1752"/>
      <c r="O68" s="1754"/>
      <c r="P68" s="1766"/>
      <c r="Q68" s="1753"/>
      <c r="R68" s="1753"/>
      <c r="S68" s="1752"/>
      <c r="T68" s="1752"/>
      <c r="U68" s="1752">
        <v>1.5</v>
      </c>
      <c r="V68" s="1752">
        <v>1.5</v>
      </c>
      <c r="W68" s="1752">
        <v>2.3361865263000001</v>
      </c>
      <c r="X68" s="1752">
        <v>2.2603882184000001</v>
      </c>
      <c r="Y68" s="1752">
        <v>4.5392974148</v>
      </c>
      <c r="Z68" s="1752">
        <v>4.4852111232</v>
      </c>
      <c r="AA68" s="1752">
        <v>4.4324484164999998</v>
      </c>
      <c r="AB68" s="1752">
        <v>4.3923391014000002</v>
      </c>
      <c r="AC68" s="1752">
        <v>4.3499804902000001</v>
      </c>
      <c r="AD68" s="1752">
        <v>4.3113051507</v>
      </c>
      <c r="AE68" s="1752">
        <v>4.2812281419999998</v>
      </c>
      <c r="AF68" s="1752">
        <v>4.2453201475000002</v>
      </c>
      <c r="AG68" s="1752">
        <v>5.1148707633999999</v>
      </c>
      <c r="AH68" s="1752">
        <v>5.082976629</v>
      </c>
      <c r="AI68" s="1752">
        <v>5.0506099038999999</v>
      </c>
      <c r="AJ68" s="1752">
        <v>5.0343003138000002</v>
      </c>
      <c r="AK68" s="1752">
        <v>5.0193320716000001</v>
      </c>
      <c r="AL68" s="1752">
        <v>5.8337153274000002</v>
      </c>
      <c r="AM68" s="1752">
        <v>5.8183254004</v>
      </c>
      <c r="AN68" s="1752">
        <v>5.8005400879</v>
      </c>
      <c r="AO68" s="1752">
        <v>5.7927578439999996</v>
      </c>
      <c r="AP68" s="1752">
        <v>5.7800476711000002</v>
      </c>
      <c r="AQ68" s="1752"/>
      <c r="AR68" s="1752"/>
      <c r="AS68" s="1752"/>
      <c r="AT68" s="1752"/>
      <c r="AU68" s="1752"/>
      <c r="AV68" s="1752"/>
      <c r="AW68" s="1752"/>
      <c r="AX68" s="1752"/>
      <c r="AY68" s="1752"/>
      <c r="AZ68" s="1752"/>
      <c r="BA68" s="1752"/>
      <c r="BB68" s="1752"/>
      <c r="BC68" s="1752"/>
      <c r="BD68" s="1752"/>
      <c r="BE68" s="1752"/>
      <c r="BF68" s="1752"/>
      <c r="BG68" s="1752"/>
      <c r="BH68" s="1752"/>
      <c r="BI68" s="1752"/>
      <c r="BJ68" s="1752"/>
      <c r="BK68" s="1752"/>
      <c r="BL68" s="1752"/>
      <c r="BM68" s="1752"/>
      <c r="BN68" s="1752"/>
      <c r="BO68" s="1752"/>
      <c r="BP68" s="1752"/>
      <c r="BQ68" s="1752"/>
      <c r="BR68" s="1752"/>
      <c r="BS68" s="1752"/>
      <c r="BT68" s="1752"/>
      <c r="BU68" s="1752"/>
      <c r="BV68" s="1752"/>
      <c r="BW68" s="1752"/>
      <c r="BX68" s="1752"/>
      <c r="BY68" s="1752"/>
      <c r="BZ68" s="1752"/>
      <c r="CA68" s="1752"/>
      <c r="CB68" s="1752"/>
      <c r="CC68" s="1752"/>
      <c r="CD68" s="1752"/>
      <c r="CE68" s="1752"/>
      <c r="CF68" s="1752"/>
      <c r="CG68" s="1752"/>
      <c r="CH68" s="1752"/>
      <c r="CI68" s="1752"/>
      <c r="CJ68" s="1752"/>
      <c r="CK68" s="1752"/>
      <c r="CL68" s="1752"/>
      <c r="CM68" s="1752"/>
      <c r="CN68" s="1752"/>
      <c r="CO68" s="1767"/>
    </row>
    <row r="69" spans="2:93" ht="28.5" x14ac:dyDescent="0.2">
      <c r="B69" s="170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69" s="1703" t="s">
        <v>1040</v>
      </c>
      <c r="D69" s="1703" t="s">
        <v>1039</v>
      </c>
      <c r="E69" s="1704" t="s">
        <v>1041</v>
      </c>
      <c r="F69" s="1707" t="str">
        <f>VLOOKUP(TBL5_OptBen[[#This Row],[Option Type (defined list)]],'Option Typs_Grps'!B$2:C$47, 2, FALSE)</f>
        <v>Resource Options</v>
      </c>
      <c r="G69" s="1707" t="s">
        <v>863</v>
      </c>
      <c r="H69" s="1707" t="s">
        <v>1459</v>
      </c>
      <c r="I69" s="1703" t="s">
        <v>105</v>
      </c>
      <c r="J69" s="1707" t="s">
        <v>236</v>
      </c>
      <c r="K69" s="1751">
        <v>2</v>
      </c>
      <c r="L69" s="1752"/>
      <c r="M69" s="1752"/>
      <c r="N69" s="1752"/>
      <c r="O69" s="1754"/>
      <c r="P69" s="1766"/>
      <c r="Q69" s="1753"/>
      <c r="R69" s="1753"/>
      <c r="S69" s="1752"/>
      <c r="T69" s="1752"/>
      <c r="U69" s="1752"/>
      <c r="V69" s="1752"/>
      <c r="W69" s="1752">
        <v>1</v>
      </c>
      <c r="X69" s="1752">
        <v>1</v>
      </c>
      <c r="Y69" s="1752">
        <v>1</v>
      </c>
      <c r="Z69" s="1752">
        <v>1</v>
      </c>
      <c r="AA69" s="1752">
        <v>1</v>
      </c>
      <c r="AB69" s="1752">
        <v>1</v>
      </c>
      <c r="AC69" s="1752">
        <v>1</v>
      </c>
      <c r="AD69" s="1752">
        <v>1</v>
      </c>
      <c r="AE69" s="1752">
        <v>1</v>
      </c>
      <c r="AF69" s="1752">
        <v>1</v>
      </c>
      <c r="AG69" s="1752">
        <v>1</v>
      </c>
      <c r="AH69" s="1752">
        <v>1</v>
      </c>
      <c r="AI69" s="1752">
        <v>1</v>
      </c>
      <c r="AJ69" s="1752">
        <v>1</v>
      </c>
      <c r="AK69" s="1752">
        <v>1</v>
      </c>
      <c r="AL69" s="1752">
        <v>1</v>
      </c>
      <c r="AM69" s="1752">
        <v>1</v>
      </c>
      <c r="AN69" s="1752">
        <v>1</v>
      </c>
      <c r="AO69" s="1752">
        <v>1</v>
      </c>
      <c r="AP69" s="1752">
        <v>1</v>
      </c>
      <c r="AQ69" s="1752"/>
      <c r="AR69" s="1752"/>
      <c r="AS69" s="1752"/>
      <c r="AT69" s="1752"/>
      <c r="AU69" s="1752"/>
      <c r="AV69" s="1752"/>
      <c r="AW69" s="1752"/>
      <c r="AX69" s="1752"/>
      <c r="AY69" s="1752"/>
      <c r="AZ69" s="1752"/>
      <c r="BA69" s="1752"/>
      <c r="BB69" s="1752"/>
      <c r="BC69" s="1752"/>
      <c r="BD69" s="1752"/>
      <c r="BE69" s="1752"/>
      <c r="BF69" s="1752"/>
      <c r="BG69" s="1752"/>
      <c r="BH69" s="1752"/>
      <c r="BI69" s="1752"/>
      <c r="BJ69" s="1752"/>
      <c r="BK69" s="1752"/>
      <c r="BL69" s="1752"/>
      <c r="BM69" s="1752"/>
      <c r="BN69" s="1752"/>
      <c r="BO69" s="1752"/>
      <c r="BP69" s="1752"/>
      <c r="BQ69" s="1752"/>
      <c r="BR69" s="1752"/>
      <c r="BS69" s="1752"/>
      <c r="BT69" s="1752"/>
      <c r="BU69" s="1752"/>
      <c r="BV69" s="1752"/>
      <c r="BW69" s="1752"/>
      <c r="BX69" s="1752"/>
      <c r="BY69" s="1752"/>
      <c r="BZ69" s="1752"/>
      <c r="CA69" s="1752"/>
      <c r="CB69" s="1752"/>
      <c r="CC69" s="1752"/>
      <c r="CD69" s="1752"/>
      <c r="CE69" s="1752"/>
      <c r="CF69" s="1752"/>
      <c r="CG69" s="1752"/>
      <c r="CH69" s="1752"/>
      <c r="CI69" s="1752"/>
      <c r="CJ69" s="1752"/>
      <c r="CK69" s="1752"/>
      <c r="CL69" s="1752"/>
      <c r="CM69" s="1752"/>
      <c r="CN69" s="1752"/>
      <c r="CO69" s="1767"/>
    </row>
    <row r="70" spans="2:93" ht="28.5" x14ac:dyDescent="0.2">
      <c r="B70" s="170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70" s="1703" t="s">
        <v>1034</v>
      </c>
      <c r="D70" s="1703" t="s">
        <v>984</v>
      </c>
      <c r="E70" s="1704" t="s">
        <v>907</v>
      </c>
      <c r="F70" s="1707" t="str">
        <f>VLOOKUP(TBL5_OptBen[[#This Row],[Option Type (defined list)]],'Option Typs_Grps'!B$2:C$47, 2, FALSE)</f>
        <v>Distribution Options</v>
      </c>
      <c r="G70" s="1707" t="s">
        <v>863</v>
      </c>
      <c r="H70" s="1707" t="s">
        <v>1459</v>
      </c>
      <c r="I70" s="1703" t="s">
        <v>102</v>
      </c>
      <c r="J70" s="1707" t="s">
        <v>236</v>
      </c>
      <c r="K70" s="1751">
        <v>2</v>
      </c>
      <c r="L70" s="1752"/>
      <c r="M70" s="1752"/>
      <c r="N70" s="1752"/>
      <c r="O70" s="1754"/>
      <c r="P70" s="1766"/>
      <c r="Q70" s="1753"/>
      <c r="R70" s="1753"/>
      <c r="S70" s="1752"/>
      <c r="T70" s="1752"/>
      <c r="U70" s="1752">
        <v>3.0281946581999999</v>
      </c>
      <c r="V70" s="1752">
        <v>3.0045473102</v>
      </c>
      <c r="W70" s="1752">
        <v>3.2164088107</v>
      </c>
      <c r="X70" s="1752">
        <v>3.0245855242999999</v>
      </c>
      <c r="Y70" s="1752">
        <v>6.7649311369999996</v>
      </c>
      <c r="Z70" s="1752">
        <v>6.7501433332999996</v>
      </c>
      <c r="AA70" s="1752">
        <v>6.7058894820999999</v>
      </c>
      <c r="AB70" s="1752">
        <v>6.6728863477000004</v>
      </c>
      <c r="AC70" s="1752">
        <v>6.6701542262000002</v>
      </c>
      <c r="AD70" s="1752">
        <v>6.6577787349999999</v>
      </c>
      <c r="AE70" s="1752">
        <v>6.6499081610999999</v>
      </c>
      <c r="AF70" s="1752">
        <v>6.6398381014999996</v>
      </c>
      <c r="AG70" s="1752">
        <v>7.2755988146000004</v>
      </c>
      <c r="AH70" s="1752">
        <v>7.2543807826000002</v>
      </c>
      <c r="AI70" s="1752">
        <v>7.2235794550000003</v>
      </c>
      <c r="AJ70" s="1752">
        <v>7.2140663683000001</v>
      </c>
      <c r="AK70" s="1752">
        <v>7.2046119031</v>
      </c>
      <c r="AL70" s="1752">
        <v>7.8348127261</v>
      </c>
      <c r="AM70" s="1752">
        <v>7.8357632659999998</v>
      </c>
      <c r="AN70" s="1752">
        <v>7.8371239181999997</v>
      </c>
      <c r="AO70" s="1752">
        <v>7.8494357744999999</v>
      </c>
      <c r="AP70" s="1752">
        <v>7.8524977523999997</v>
      </c>
      <c r="AQ70" s="1752"/>
      <c r="AR70" s="1752"/>
      <c r="AS70" s="1752"/>
      <c r="AT70" s="1752"/>
      <c r="AU70" s="1752"/>
      <c r="AV70" s="1752"/>
      <c r="AW70" s="1752"/>
      <c r="AX70" s="1752"/>
      <c r="AY70" s="1752"/>
      <c r="AZ70" s="1752"/>
      <c r="BA70" s="1752"/>
      <c r="BB70" s="1752"/>
      <c r="BC70" s="1752"/>
      <c r="BD70" s="1752"/>
      <c r="BE70" s="1752"/>
      <c r="BF70" s="1752"/>
      <c r="BG70" s="1752"/>
      <c r="BH70" s="1752"/>
      <c r="BI70" s="1752"/>
      <c r="BJ70" s="1752"/>
      <c r="BK70" s="1752"/>
      <c r="BL70" s="1752"/>
      <c r="BM70" s="1752"/>
      <c r="BN70" s="1752"/>
      <c r="BO70" s="1752"/>
      <c r="BP70" s="1752"/>
      <c r="BQ70" s="1752"/>
      <c r="BR70" s="1752"/>
      <c r="BS70" s="1752"/>
      <c r="BT70" s="1752"/>
      <c r="BU70" s="1752"/>
      <c r="BV70" s="1752"/>
      <c r="BW70" s="1752"/>
      <c r="BX70" s="1752"/>
      <c r="BY70" s="1752"/>
      <c r="BZ70" s="1752"/>
      <c r="CA70" s="1752"/>
      <c r="CB70" s="1752"/>
      <c r="CC70" s="1752"/>
      <c r="CD70" s="1752"/>
      <c r="CE70" s="1752"/>
      <c r="CF70" s="1752"/>
      <c r="CG70" s="1752"/>
      <c r="CH70" s="1752"/>
      <c r="CI70" s="1752"/>
      <c r="CJ70" s="1752"/>
      <c r="CK70" s="1752"/>
      <c r="CL70" s="1752"/>
      <c r="CM70" s="1752"/>
      <c r="CN70" s="1752"/>
      <c r="CO70" s="1767"/>
    </row>
    <row r="71" spans="2:93" x14ac:dyDescent="0.2">
      <c r="B71" s="170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71" s="1703" t="s">
        <v>874</v>
      </c>
      <c r="D71" s="1703" t="s">
        <v>873</v>
      </c>
      <c r="E71" s="1704" t="s">
        <v>875</v>
      </c>
      <c r="F71" s="1707" t="str">
        <f>VLOOKUP(TBL5_OptBen[[#This Row],[Option Type (defined list)]],'Option Typs_Grps'!B$2:C$47, 2, FALSE)</f>
        <v>Resource Options</v>
      </c>
      <c r="G71" s="1707" t="s">
        <v>863</v>
      </c>
      <c r="H71" s="1707" t="s">
        <v>1458</v>
      </c>
      <c r="I71" s="1703" t="s">
        <v>88</v>
      </c>
      <c r="J71" s="1707" t="s">
        <v>236</v>
      </c>
      <c r="K71" s="1751">
        <v>2</v>
      </c>
      <c r="L71" s="1752"/>
      <c r="M71" s="1752"/>
      <c r="N71" s="1752"/>
      <c r="O71" s="1754"/>
      <c r="P71" s="1766"/>
      <c r="Q71" s="1753"/>
      <c r="R71" s="1753"/>
      <c r="S71" s="1752"/>
      <c r="T71" s="1752">
        <v>10</v>
      </c>
      <c r="U71" s="1752">
        <v>10</v>
      </c>
      <c r="V71" s="1752">
        <v>10</v>
      </c>
      <c r="W71" s="1752">
        <v>10</v>
      </c>
      <c r="X71" s="1752">
        <v>10</v>
      </c>
      <c r="Y71" s="1752">
        <v>10</v>
      </c>
      <c r="Z71" s="1752">
        <v>10</v>
      </c>
      <c r="AA71" s="1752">
        <v>10</v>
      </c>
      <c r="AB71" s="1752">
        <v>10</v>
      </c>
      <c r="AC71" s="1752">
        <v>10</v>
      </c>
      <c r="AD71" s="1752">
        <v>10</v>
      </c>
      <c r="AE71" s="1752">
        <v>10</v>
      </c>
      <c r="AF71" s="1752">
        <v>10</v>
      </c>
      <c r="AG71" s="1752">
        <v>10</v>
      </c>
      <c r="AH71" s="1752">
        <v>10</v>
      </c>
      <c r="AI71" s="1752">
        <v>10</v>
      </c>
      <c r="AJ71" s="1752">
        <v>10</v>
      </c>
      <c r="AK71" s="1752">
        <v>10</v>
      </c>
      <c r="AL71" s="1752">
        <v>10</v>
      </c>
      <c r="AM71" s="1752">
        <v>10</v>
      </c>
      <c r="AN71" s="1752">
        <v>10</v>
      </c>
      <c r="AO71" s="1752">
        <v>10</v>
      </c>
      <c r="AP71" s="1752">
        <v>10</v>
      </c>
      <c r="AQ71" s="1752"/>
      <c r="AR71" s="1752"/>
      <c r="AS71" s="1752"/>
      <c r="AT71" s="1752"/>
      <c r="AU71" s="1752"/>
      <c r="AV71" s="1752"/>
      <c r="AW71" s="1752"/>
      <c r="AX71" s="1752"/>
      <c r="AY71" s="1752"/>
      <c r="AZ71" s="1752"/>
      <c r="BA71" s="1752"/>
      <c r="BB71" s="1752"/>
      <c r="BC71" s="1752"/>
      <c r="BD71" s="1752"/>
      <c r="BE71" s="1752"/>
      <c r="BF71" s="1752"/>
      <c r="BG71" s="1752"/>
      <c r="BH71" s="1752"/>
      <c r="BI71" s="1752"/>
      <c r="BJ71" s="1752"/>
      <c r="BK71" s="1752"/>
      <c r="BL71" s="1752"/>
      <c r="BM71" s="1752"/>
      <c r="BN71" s="1752"/>
      <c r="BO71" s="1752"/>
      <c r="BP71" s="1752"/>
      <c r="BQ71" s="1752"/>
      <c r="BR71" s="1752"/>
      <c r="BS71" s="1752"/>
      <c r="BT71" s="1752"/>
      <c r="BU71" s="1752"/>
      <c r="BV71" s="1752"/>
      <c r="BW71" s="1752"/>
      <c r="BX71" s="1752"/>
      <c r="BY71" s="1752"/>
      <c r="BZ71" s="1752"/>
      <c r="CA71" s="1752"/>
      <c r="CB71" s="1752"/>
      <c r="CC71" s="1752"/>
      <c r="CD71" s="1752"/>
      <c r="CE71" s="1752"/>
      <c r="CF71" s="1752"/>
      <c r="CG71" s="1752"/>
      <c r="CH71" s="1752"/>
      <c r="CI71" s="1752"/>
      <c r="CJ71" s="1752"/>
      <c r="CK71" s="1752"/>
      <c r="CL71" s="1752"/>
      <c r="CM71" s="1752"/>
      <c r="CN71" s="1752"/>
      <c r="CO71" s="1767"/>
    </row>
    <row r="72" spans="2:93" ht="28.5" x14ac:dyDescent="0.2">
      <c r="B72" s="1707"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72" s="1707" t="s">
        <v>926</v>
      </c>
      <c r="D72" s="1707" t="s">
        <v>949</v>
      </c>
      <c r="E72" s="1707" t="s">
        <v>916</v>
      </c>
      <c r="F72" s="1707" t="str">
        <f>VLOOKUP(TBL5_OptBen[[#This Row],[Option Type (defined list)]],'Option Typs_Grps'!B$2:C$47, 2, FALSE)</f>
        <v>Resource Options</v>
      </c>
      <c r="G72" s="1707" t="s">
        <v>863</v>
      </c>
      <c r="H72" s="1707" t="s">
        <v>1458</v>
      </c>
      <c r="I72" s="1707" t="s">
        <v>88</v>
      </c>
      <c r="J72" s="1707" t="s">
        <v>236</v>
      </c>
      <c r="K72" s="1751">
        <v>2</v>
      </c>
      <c r="L72" s="1752"/>
      <c r="M72" s="1752"/>
      <c r="N72" s="1752"/>
      <c r="O72" s="1754"/>
      <c r="P72" s="1766"/>
      <c r="Q72" s="1753"/>
      <c r="R72" s="1753"/>
      <c r="S72" s="1752"/>
      <c r="T72" s="1752"/>
      <c r="U72" s="1752"/>
      <c r="V72" s="1752"/>
      <c r="W72" s="1752"/>
      <c r="X72" s="1752"/>
      <c r="Y72" s="1752"/>
      <c r="Z72" s="1752"/>
      <c r="AA72" s="1752"/>
      <c r="AB72" s="1752"/>
      <c r="AC72" s="1752"/>
      <c r="AD72" s="1752"/>
      <c r="AE72" s="1752"/>
      <c r="AF72" s="1752"/>
      <c r="AG72" s="1752">
        <v>190</v>
      </c>
      <c r="AH72" s="1752">
        <v>190</v>
      </c>
      <c r="AI72" s="1752">
        <v>190</v>
      </c>
      <c r="AJ72" s="1752">
        <v>190</v>
      </c>
      <c r="AK72" s="1752">
        <v>190</v>
      </c>
      <c r="AL72" s="1752">
        <v>190</v>
      </c>
      <c r="AM72" s="1752">
        <v>190</v>
      </c>
      <c r="AN72" s="1752">
        <v>190</v>
      </c>
      <c r="AO72" s="1752">
        <v>190</v>
      </c>
      <c r="AP72" s="1752">
        <v>190</v>
      </c>
      <c r="AQ72" s="1752"/>
      <c r="AR72" s="1752"/>
      <c r="AS72" s="1752"/>
      <c r="AT72" s="1752"/>
      <c r="AU72" s="1752"/>
      <c r="AV72" s="1752"/>
      <c r="AW72" s="1752"/>
      <c r="AX72" s="1752"/>
      <c r="AY72" s="1752"/>
      <c r="AZ72" s="1752"/>
      <c r="BA72" s="1752"/>
      <c r="BB72" s="1752"/>
      <c r="BC72" s="1752"/>
      <c r="BD72" s="1752"/>
      <c r="BE72" s="1752"/>
      <c r="BF72" s="1752"/>
      <c r="BG72" s="1752"/>
      <c r="BH72" s="1752"/>
      <c r="BI72" s="1752"/>
      <c r="BJ72" s="1752"/>
      <c r="BK72" s="1752"/>
      <c r="BL72" s="1752"/>
      <c r="BM72" s="1752"/>
      <c r="BN72" s="1752"/>
      <c r="BO72" s="1752"/>
      <c r="BP72" s="1754"/>
      <c r="BQ72" s="1755"/>
      <c r="BR72" s="1755"/>
      <c r="BS72" s="1755"/>
      <c r="BT72" s="1755"/>
      <c r="BU72" s="1755"/>
      <c r="BV72" s="1755"/>
      <c r="BW72" s="1755"/>
      <c r="BX72" s="1755"/>
      <c r="BY72" s="1755"/>
      <c r="BZ72" s="1755"/>
      <c r="CA72" s="1755"/>
      <c r="CB72" s="1755"/>
      <c r="CC72" s="1755"/>
      <c r="CD72" s="1755"/>
      <c r="CE72" s="1755"/>
      <c r="CF72" s="1755"/>
      <c r="CG72" s="1755"/>
      <c r="CH72" s="1755"/>
      <c r="CI72" s="1755"/>
      <c r="CJ72" s="1755"/>
      <c r="CK72" s="1755"/>
      <c r="CL72" s="1755"/>
      <c r="CM72" s="1755"/>
      <c r="CN72" s="1756"/>
      <c r="CO72" s="1767"/>
    </row>
    <row r="73" spans="2:93" x14ac:dyDescent="0.2">
      <c r="B73" s="1707"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73" s="1707" t="s">
        <v>1159</v>
      </c>
      <c r="D73" s="1707" t="s">
        <v>1158</v>
      </c>
      <c r="E73" s="1707" t="s">
        <v>913</v>
      </c>
      <c r="F73" s="1707" t="str">
        <f>VLOOKUP(TBL5_OptBen[[#This Row],[Option Type (defined list)]],'Option Typs_Grps'!B$2:C$47, 2, FALSE)</f>
        <v>Resource Options</v>
      </c>
      <c r="G73" s="1707" t="s">
        <v>863</v>
      </c>
      <c r="H73" s="1707" t="s">
        <v>1458</v>
      </c>
      <c r="I73" s="1707" t="s">
        <v>88</v>
      </c>
      <c r="J73" s="1707" t="s">
        <v>236</v>
      </c>
      <c r="K73" s="1751">
        <v>2</v>
      </c>
      <c r="L73" s="1752"/>
      <c r="M73" s="1752"/>
      <c r="N73" s="1752"/>
      <c r="O73" s="1754"/>
      <c r="P73" s="1766"/>
      <c r="Q73" s="1753"/>
      <c r="R73" s="1753"/>
      <c r="S73" s="1752"/>
      <c r="T73" s="1752"/>
      <c r="U73" s="1752"/>
      <c r="V73" s="1752"/>
      <c r="W73" s="1752"/>
      <c r="X73" s="1752"/>
      <c r="Y73" s="1752"/>
      <c r="Z73" s="1752"/>
      <c r="AA73" s="1752"/>
      <c r="AB73" s="1752"/>
      <c r="AC73" s="1752"/>
      <c r="AD73" s="1752"/>
      <c r="AE73" s="1752"/>
      <c r="AF73" s="1752"/>
      <c r="AG73" s="1752"/>
      <c r="AH73" s="1752"/>
      <c r="AI73" s="1752"/>
      <c r="AJ73" s="1752"/>
      <c r="AK73" s="1752"/>
      <c r="AL73" s="1751">
        <v>40.5</v>
      </c>
      <c r="AM73" s="1751">
        <v>40.5</v>
      </c>
      <c r="AN73" s="1751">
        <v>40.5</v>
      </c>
      <c r="AO73" s="1751">
        <v>40.5</v>
      </c>
      <c r="AP73" s="1751">
        <v>40.5</v>
      </c>
      <c r="AQ73" s="1752"/>
      <c r="AR73" s="1752"/>
      <c r="AS73" s="1752"/>
      <c r="AT73" s="1752"/>
      <c r="AU73" s="1752"/>
      <c r="AV73" s="1752"/>
      <c r="AW73" s="1752"/>
      <c r="AX73" s="1752"/>
      <c r="AY73" s="1752"/>
      <c r="AZ73" s="1752"/>
      <c r="BA73" s="1752"/>
      <c r="BB73" s="1752"/>
      <c r="BC73" s="1752"/>
      <c r="BD73" s="1752"/>
      <c r="BE73" s="1752"/>
      <c r="BF73" s="1752"/>
      <c r="BG73" s="1752"/>
      <c r="BH73" s="1752"/>
      <c r="BI73" s="1752"/>
      <c r="BJ73" s="1752"/>
      <c r="BK73" s="1752"/>
      <c r="BL73" s="1752"/>
      <c r="BM73" s="1752"/>
      <c r="BN73" s="1752"/>
      <c r="BO73" s="1752"/>
      <c r="BP73" s="1754"/>
      <c r="BQ73" s="1755"/>
      <c r="BR73" s="1755"/>
      <c r="BS73" s="1755"/>
      <c r="BT73" s="1755"/>
      <c r="BU73" s="1755"/>
      <c r="BV73" s="1755"/>
      <c r="BW73" s="1755"/>
      <c r="BX73" s="1755"/>
      <c r="BY73" s="1755"/>
      <c r="BZ73" s="1755"/>
      <c r="CA73" s="1755"/>
      <c r="CB73" s="1755"/>
      <c r="CC73" s="1755"/>
      <c r="CD73" s="1755"/>
      <c r="CE73" s="1755"/>
      <c r="CF73" s="1755"/>
      <c r="CG73" s="1755"/>
      <c r="CH73" s="1755"/>
      <c r="CI73" s="1755"/>
      <c r="CJ73" s="1755"/>
      <c r="CK73" s="1755"/>
      <c r="CL73" s="1755"/>
      <c r="CM73" s="1755"/>
      <c r="CN73" s="1756"/>
      <c r="CO73" s="1767"/>
    </row>
    <row r="74" spans="2:93" ht="28.5" x14ac:dyDescent="0.2">
      <c r="B74" s="1707"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74" s="1703" t="s">
        <v>959</v>
      </c>
      <c r="D74" s="1703" t="s">
        <v>958</v>
      </c>
      <c r="E74" s="1707" t="s">
        <v>916</v>
      </c>
      <c r="F74" s="1707" t="str">
        <f>VLOOKUP(TBL5_OptBen[[#This Row],[Option Type (defined list)]],'Option Typs_Grps'!B$2:C$47, 2, FALSE)</f>
        <v>Resource Options</v>
      </c>
      <c r="G74" s="1707" t="s">
        <v>863</v>
      </c>
      <c r="H74" s="1707" t="s">
        <v>1458</v>
      </c>
      <c r="I74" s="1707" t="s">
        <v>105</v>
      </c>
      <c r="J74" s="1707"/>
      <c r="K74" s="1751"/>
      <c r="L74" s="1752"/>
      <c r="M74" s="1752"/>
      <c r="N74" s="1752"/>
      <c r="O74" s="1754"/>
      <c r="P74" s="1766"/>
      <c r="Q74" s="1753"/>
      <c r="R74" s="1753"/>
      <c r="S74" s="1752"/>
      <c r="T74" s="1752"/>
      <c r="U74" s="1752"/>
      <c r="V74" s="1752"/>
      <c r="W74" s="1752"/>
      <c r="X74" s="1752"/>
      <c r="Y74" s="1752"/>
      <c r="Z74" s="1752"/>
      <c r="AA74" s="1752"/>
      <c r="AB74" s="1752"/>
      <c r="AC74" s="1752"/>
      <c r="AD74" s="1752"/>
      <c r="AE74" s="1752"/>
      <c r="AF74" s="1752"/>
      <c r="AG74" s="1752"/>
      <c r="AH74" s="1752"/>
      <c r="AI74" s="1752"/>
      <c r="AJ74" s="1752"/>
      <c r="AK74" s="1752"/>
      <c r="AL74" s="1752">
        <v>10.1</v>
      </c>
      <c r="AM74" s="1752">
        <v>10.1</v>
      </c>
      <c r="AN74" s="1752">
        <v>10.1</v>
      </c>
      <c r="AO74" s="1752">
        <v>10.1</v>
      </c>
      <c r="AP74" s="1752">
        <v>10.1</v>
      </c>
      <c r="AQ74" s="1752"/>
      <c r="AR74" s="1752"/>
      <c r="AS74" s="1752"/>
      <c r="AT74" s="1752"/>
      <c r="AU74" s="1752"/>
      <c r="AV74" s="1752"/>
      <c r="AW74" s="1752"/>
      <c r="AX74" s="1752"/>
      <c r="AY74" s="1752"/>
      <c r="AZ74" s="1752"/>
      <c r="BA74" s="1752"/>
      <c r="BB74" s="1752"/>
      <c r="BC74" s="1752"/>
      <c r="BD74" s="1752"/>
      <c r="BE74" s="1752"/>
      <c r="BF74" s="1752"/>
      <c r="BG74" s="1752"/>
      <c r="BH74" s="1752"/>
      <c r="BI74" s="1752"/>
      <c r="BJ74" s="1752"/>
      <c r="BK74" s="1752"/>
      <c r="BL74" s="1752"/>
      <c r="BM74" s="1752"/>
      <c r="BN74" s="1752"/>
      <c r="BO74" s="1752"/>
      <c r="BP74" s="1754"/>
      <c r="BQ74" s="1755"/>
      <c r="BR74" s="1755"/>
      <c r="BS74" s="1755"/>
      <c r="BT74" s="1755"/>
      <c r="BU74" s="1755"/>
      <c r="BV74" s="1755"/>
      <c r="BW74" s="1755"/>
      <c r="BX74" s="1755"/>
      <c r="BY74" s="1755"/>
      <c r="BZ74" s="1755"/>
      <c r="CA74" s="1755"/>
      <c r="CB74" s="1755"/>
      <c r="CC74" s="1755"/>
      <c r="CD74" s="1755"/>
      <c r="CE74" s="1755"/>
      <c r="CF74" s="1755"/>
      <c r="CG74" s="1755"/>
      <c r="CH74" s="1755"/>
      <c r="CI74" s="1755"/>
      <c r="CJ74" s="1755"/>
      <c r="CK74" s="1755"/>
      <c r="CL74" s="1755"/>
      <c r="CM74" s="1755"/>
      <c r="CN74" s="1756"/>
      <c r="CO74" s="1767"/>
    </row>
    <row r="75" spans="2:93" x14ac:dyDescent="0.2">
      <c r="B75" s="170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75" s="1703" t="s">
        <v>912</v>
      </c>
      <c r="D75" s="1703" t="s">
        <v>911</v>
      </c>
      <c r="E75" s="1704" t="s">
        <v>913</v>
      </c>
      <c r="F75" s="1707" t="str">
        <f>VLOOKUP(TBL5_OptBen[[#This Row],[Option Type (defined list)]],'Option Typs_Grps'!B$2:C$47, 2, FALSE)</f>
        <v>Resource Options</v>
      </c>
      <c r="G75" s="1707" t="s">
        <v>863</v>
      </c>
      <c r="H75" s="1707" t="s">
        <v>1458</v>
      </c>
      <c r="I75" s="1703" t="s">
        <v>105</v>
      </c>
      <c r="J75" s="1707" t="s">
        <v>236</v>
      </c>
      <c r="K75" s="1751">
        <v>2</v>
      </c>
      <c r="L75" s="1752"/>
      <c r="M75" s="1752"/>
      <c r="N75" s="1752"/>
      <c r="O75" s="1754"/>
      <c r="P75" s="1766"/>
      <c r="Q75" s="1753"/>
      <c r="R75" s="1753"/>
      <c r="S75" s="1752"/>
      <c r="T75" s="1752"/>
      <c r="U75" s="1752"/>
      <c r="V75" s="1752"/>
      <c r="W75" s="1752"/>
      <c r="X75" s="1752"/>
      <c r="Y75" s="1752"/>
      <c r="Z75" s="1752"/>
      <c r="AA75" s="1752"/>
      <c r="AB75" s="1752"/>
      <c r="AC75" s="1752"/>
      <c r="AD75" s="1752"/>
      <c r="AE75" s="1752"/>
      <c r="AF75" s="1752"/>
      <c r="AG75" s="1752">
        <v>16.399999999999999</v>
      </c>
      <c r="AH75" s="1752">
        <v>16.399999999999999</v>
      </c>
      <c r="AI75" s="1752">
        <v>16.399999999999999</v>
      </c>
      <c r="AJ75" s="1752">
        <v>16.399999999999999</v>
      </c>
      <c r="AK75" s="1752">
        <v>16.399999999999999</v>
      </c>
      <c r="AL75" s="1752">
        <v>16.399999999999999</v>
      </c>
      <c r="AM75" s="1752">
        <v>16.399999999999999</v>
      </c>
      <c r="AN75" s="1752">
        <v>16.399999999999999</v>
      </c>
      <c r="AO75" s="1752">
        <v>16.399999999999999</v>
      </c>
      <c r="AP75" s="1752">
        <v>16.399999999999999</v>
      </c>
      <c r="AQ75" s="1752"/>
      <c r="AR75" s="1752"/>
      <c r="AS75" s="1752"/>
      <c r="AT75" s="1752"/>
      <c r="AU75" s="1752"/>
      <c r="AV75" s="1752"/>
      <c r="AW75" s="1752"/>
      <c r="AX75" s="1752"/>
      <c r="AY75" s="1752"/>
      <c r="AZ75" s="1752"/>
      <c r="BA75" s="1752"/>
      <c r="BB75" s="1752"/>
      <c r="BC75" s="1752"/>
      <c r="BD75" s="1752"/>
      <c r="BE75" s="1752"/>
      <c r="BF75" s="1752"/>
      <c r="BG75" s="1752"/>
      <c r="BH75" s="1752"/>
      <c r="BI75" s="1752"/>
      <c r="BJ75" s="1752"/>
      <c r="BK75" s="1752"/>
      <c r="BL75" s="1752"/>
      <c r="BM75" s="1752"/>
      <c r="BN75" s="1752"/>
      <c r="BO75" s="1752"/>
      <c r="BP75" s="1754"/>
      <c r="BQ75" s="1755"/>
      <c r="BR75" s="1755"/>
      <c r="BS75" s="1755"/>
      <c r="BT75" s="1755"/>
      <c r="BU75" s="1755"/>
      <c r="BV75" s="1755"/>
      <c r="BW75" s="1755"/>
      <c r="BX75" s="1755"/>
      <c r="BY75" s="1755"/>
      <c r="BZ75" s="1755"/>
      <c r="CA75" s="1755"/>
      <c r="CB75" s="1755"/>
      <c r="CC75" s="1755"/>
      <c r="CD75" s="1755"/>
      <c r="CE75" s="1755"/>
      <c r="CF75" s="1755"/>
      <c r="CG75" s="1755"/>
      <c r="CH75" s="1755"/>
      <c r="CI75" s="1755"/>
      <c r="CJ75" s="1755"/>
      <c r="CK75" s="1755"/>
      <c r="CL75" s="1755"/>
      <c r="CM75" s="1755"/>
      <c r="CN75" s="1756"/>
      <c r="CO75" s="1767"/>
    </row>
    <row r="76" spans="2:93" ht="28.5" x14ac:dyDescent="0.2">
      <c r="B76" s="170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76" s="1703" t="s">
        <v>953</v>
      </c>
      <c r="D76" s="1703" t="s">
        <v>952</v>
      </c>
      <c r="E76" s="1704" t="s">
        <v>913</v>
      </c>
      <c r="F76" s="1707" t="str">
        <f>VLOOKUP(TBL5_OptBen[[#This Row],[Option Type (defined list)]],'Option Typs_Grps'!B$2:C$47, 2, FALSE)</f>
        <v>Resource Options</v>
      </c>
      <c r="G76" s="1707" t="s">
        <v>863</v>
      </c>
      <c r="H76" s="1707" t="s">
        <v>1458</v>
      </c>
      <c r="I76" s="1703" t="s">
        <v>105</v>
      </c>
      <c r="J76" s="1707" t="s">
        <v>236</v>
      </c>
      <c r="K76" s="1751">
        <v>2</v>
      </c>
      <c r="L76" s="1752"/>
      <c r="M76" s="1752"/>
      <c r="N76" s="1752"/>
      <c r="O76" s="1754"/>
      <c r="P76" s="1766"/>
      <c r="Q76" s="1753"/>
      <c r="R76" s="1753"/>
      <c r="S76" s="1752"/>
      <c r="T76" s="1752"/>
      <c r="U76" s="1752"/>
      <c r="V76" s="1752"/>
      <c r="W76" s="1752"/>
      <c r="X76" s="1752"/>
      <c r="Y76" s="1752">
        <v>11</v>
      </c>
      <c r="Z76" s="1752">
        <v>11</v>
      </c>
      <c r="AA76" s="1752">
        <v>11</v>
      </c>
      <c r="AB76" s="1752">
        <v>11</v>
      </c>
      <c r="AC76" s="1752">
        <v>11</v>
      </c>
      <c r="AD76" s="1752">
        <v>11</v>
      </c>
      <c r="AE76" s="1752">
        <v>11</v>
      </c>
      <c r="AF76" s="1752">
        <v>11</v>
      </c>
      <c r="AG76" s="1752">
        <v>11</v>
      </c>
      <c r="AH76" s="1752">
        <v>11</v>
      </c>
      <c r="AI76" s="1752">
        <v>11</v>
      </c>
      <c r="AJ76" s="1752">
        <v>11</v>
      </c>
      <c r="AK76" s="1752">
        <v>11</v>
      </c>
      <c r="AL76" s="1752">
        <v>11</v>
      </c>
      <c r="AM76" s="1752">
        <v>11</v>
      </c>
      <c r="AN76" s="1752">
        <v>11</v>
      </c>
      <c r="AO76" s="1752">
        <v>11</v>
      </c>
      <c r="AP76" s="1752">
        <v>11</v>
      </c>
      <c r="AQ76" s="1752"/>
      <c r="AR76" s="1752"/>
      <c r="AS76" s="1752"/>
      <c r="AT76" s="1752"/>
      <c r="AU76" s="1752"/>
      <c r="AV76" s="1752"/>
      <c r="AW76" s="1752"/>
      <c r="AX76" s="1752"/>
      <c r="AY76" s="1752"/>
      <c r="AZ76" s="1752"/>
      <c r="BA76" s="1752"/>
      <c r="BB76" s="1752"/>
      <c r="BC76" s="1752"/>
      <c r="BD76" s="1752"/>
      <c r="BE76" s="1752"/>
      <c r="BF76" s="1752"/>
      <c r="BG76" s="1752"/>
      <c r="BH76" s="1752"/>
      <c r="BI76" s="1752"/>
      <c r="BJ76" s="1752"/>
      <c r="BK76" s="1752"/>
      <c r="BL76" s="1752"/>
      <c r="BM76" s="1752"/>
      <c r="BN76" s="1752"/>
      <c r="BO76" s="1752"/>
      <c r="BP76" s="1752"/>
      <c r="BQ76" s="1752"/>
      <c r="BR76" s="1752"/>
      <c r="BS76" s="1752"/>
      <c r="BT76" s="1752"/>
      <c r="BU76" s="1752"/>
      <c r="BV76" s="1752"/>
      <c r="BW76" s="1752"/>
      <c r="BX76" s="1752"/>
      <c r="BY76" s="1752"/>
      <c r="BZ76" s="1752"/>
      <c r="CA76" s="1752"/>
      <c r="CB76" s="1752"/>
      <c r="CC76" s="1752"/>
      <c r="CD76" s="1752"/>
      <c r="CE76" s="1752"/>
      <c r="CF76" s="1752"/>
      <c r="CG76" s="1752"/>
      <c r="CH76" s="1752"/>
      <c r="CI76" s="1752"/>
      <c r="CJ76" s="1752"/>
      <c r="CK76" s="1752"/>
      <c r="CL76" s="1752"/>
      <c r="CM76" s="1752"/>
      <c r="CN76" s="1752"/>
      <c r="CO76" s="1767"/>
    </row>
    <row r="77" spans="2:93" x14ac:dyDescent="0.2">
      <c r="B77" s="170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52bA</v>
      </c>
      <c r="C77" s="1707" t="s">
        <v>889</v>
      </c>
      <c r="D77" s="1707" t="s">
        <v>888</v>
      </c>
      <c r="E77" s="1704" t="s">
        <v>885</v>
      </c>
      <c r="F77" s="1707" t="str">
        <f>VLOOKUP(TBL5_OptBen[[#This Row],[Option Type (defined list)]],'Option Typs_Grps'!B$2:C$47, 2, FALSE)</f>
        <v>Production Options</v>
      </c>
      <c r="G77" s="1707" t="s">
        <v>863</v>
      </c>
      <c r="H77" s="1707" t="s">
        <v>1458</v>
      </c>
      <c r="I77" s="1703" t="s">
        <v>88</v>
      </c>
      <c r="J77" s="1707" t="s">
        <v>236</v>
      </c>
      <c r="K77" s="1751">
        <v>2</v>
      </c>
      <c r="L77" s="1752"/>
      <c r="M77" s="1752"/>
      <c r="N77" s="1752"/>
      <c r="O77" s="1754"/>
      <c r="P77" s="1766"/>
      <c r="Q77" s="1753"/>
      <c r="R77" s="1753"/>
      <c r="S77" s="1752"/>
      <c r="T77" s="1752"/>
      <c r="U77" s="1752"/>
      <c r="V77" s="1752">
        <v>0.9</v>
      </c>
      <c r="W77" s="1752">
        <v>0.9</v>
      </c>
      <c r="X77" s="1752">
        <v>0.9</v>
      </c>
      <c r="Y77" s="1752">
        <v>0.9</v>
      </c>
      <c r="Z77" s="1752">
        <v>0.9</v>
      </c>
      <c r="AA77" s="1752">
        <v>0.9</v>
      </c>
      <c r="AB77" s="1752">
        <v>0.9</v>
      </c>
      <c r="AC77" s="1752">
        <v>0.9</v>
      </c>
      <c r="AD77" s="1752">
        <v>0.9</v>
      </c>
      <c r="AE77" s="1752">
        <v>0.9</v>
      </c>
      <c r="AF77" s="1752">
        <v>0.9</v>
      </c>
      <c r="AG77" s="1752">
        <v>0.9</v>
      </c>
      <c r="AH77" s="1752">
        <v>0.9</v>
      </c>
      <c r="AI77" s="1752">
        <v>0.9</v>
      </c>
      <c r="AJ77" s="1752">
        <v>0.9</v>
      </c>
      <c r="AK77" s="1752">
        <v>0.9</v>
      </c>
      <c r="AL77" s="1752">
        <v>0.9</v>
      </c>
      <c r="AM77" s="1752">
        <v>0.9</v>
      </c>
      <c r="AN77" s="1752">
        <v>0.9</v>
      </c>
      <c r="AO77" s="1752">
        <v>0.9</v>
      </c>
      <c r="AP77" s="1752">
        <v>0.9</v>
      </c>
      <c r="AQ77" s="1752"/>
      <c r="AR77" s="1752"/>
      <c r="AS77" s="1752"/>
      <c r="AT77" s="1752"/>
      <c r="AU77" s="1752"/>
      <c r="AV77" s="1752"/>
      <c r="AW77" s="1752"/>
      <c r="AX77" s="1752"/>
      <c r="AY77" s="1752"/>
      <c r="AZ77" s="1752"/>
      <c r="BA77" s="1752"/>
      <c r="BB77" s="1752"/>
      <c r="BC77" s="1752"/>
      <c r="BD77" s="1752"/>
      <c r="BE77" s="1752"/>
      <c r="BF77" s="1752"/>
      <c r="BG77" s="1752"/>
      <c r="BH77" s="1752"/>
      <c r="BI77" s="1752"/>
      <c r="BJ77" s="1752"/>
      <c r="BK77" s="1752"/>
      <c r="BL77" s="1752"/>
      <c r="BM77" s="1752"/>
      <c r="BN77" s="1752"/>
      <c r="BO77" s="1752"/>
      <c r="BP77" s="1754"/>
      <c r="BQ77" s="1755"/>
      <c r="BR77" s="1755"/>
      <c r="BS77" s="1755"/>
      <c r="BT77" s="1755"/>
      <c r="BU77" s="1755"/>
      <c r="BV77" s="1755"/>
      <c r="BW77" s="1755"/>
      <c r="BX77" s="1755"/>
      <c r="BY77" s="1755"/>
      <c r="BZ77" s="1755"/>
      <c r="CA77" s="1755"/>
      <c r="CB77" s="1755"/>
      <c r="CC77" s="1755"/>
      <c r="CD77" s="1755"/>
      <c r="CE77" s="1755"/>
      <c r="CF77" s="1755"/>
      <c r="CG77" s="1755"/>
      <c r="CH77" s="1755"/>
      <c r="CI77" s="1755"/>
      <c r="CJ77" s="1755"/>
      <c r="CK77" s="1755"/>
      <c r="CL77" s="1755"/>
      <c r="CM77" s="1755"/>
      <c r="CN77" s="1756"/>
      <c r="CO77" s="1767"/>
    </row>
    <row r="78" spans="2:93" x14ac:dyDescent="0.2">
      <c r="B78" s="170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52bA</v>
      </c>
      <c r="C78" s="1707" t="s">
        <v>887</v>
      </c>
      <c r="D78" s="1707" t="s">
        <v>886</v>
      </c>
      <c r="E78" s="1704" t="s">
        <v>885</v>
      </c>
      <c r="F78" s="1707" t="str">
        <f>VLOOKUP(TBL5_OptBen[[#This Row],[Option Type (defined list)]],'Option Typs_Grps'!B$2:C$47, 2, FALSE)</f>
        <v>Production Options</v>
      </c>
      <c r="G78" s="1707" t="s">
        <v>863</v>
      </c>
      <c r="H78" s="1707" t="s">
        <v>1458</v>
      </c>
      <c r="I78" s="1703" t="s">
        <v>88</v>
      </c>
      <c r="J78" s="1707" t="s">
        <v>236</v>
      </c>
      <c r="K78" s="1751">
        <v>2</v>
      </c>
      <c r="L78" s="1752"/>
      <c r="M78" s="1752"/>
      <c r="N78" s="1752"/>
      <c r="O78" s="1754"/>
      <c r="P78" s="1766"/>
      <c r="Q78" s="1753"/>
      <c r="R78" s="1753"/>
      <c r="S78" s="1752"/>
      <c r="T78" s="1752"/>
      <c r="U78" s="1752"/>
      <c r="V78" s="1752">
        <v>2.75</v>
      </c>
      <c r="W78" s="1752">
        <v>2.75</v>
      </c>
      <c r="X78" s="1752">
        <v>2.75</v>
      </c>
      <c r="Y78" s="1752">
        <v>2.75</v>
      </c>
      <c r="Z78" s="1752">
        <v>2.75</v>
      </c>
      <c r="AA78" s="1752">
        <v>2.75</v>
      </c>
      <c r="AB78" s="1752">
        <v>2.75</v>
      </c>
      <c r="AC78" s="1752">
        <v>2.75</v>
      </c>
      <c r="AD78" s="1752">
        <v>2.75</v>
      </c>
      <c r="AE78" s="1752">
        <v>2.75</v>
      </c>
      <c r="AF78" s="1752">
        <v>2.75</v>
      </c>
      <c r="AG78" s="1752">
        <v>2.75</v>
      </c>
      <c r="AH78" s="1752">
        <v>2.75</v>
      </c>
      <c r="AI78" s="1752">
        <v>2.75</v>
      </c>
      <c r="AJ78" s="1752">
        <v>2.75</v>
      </c>
      <c r="AK78" s="1752">
        <v>2.75</v>
      </c>
      <c r="AL78" s="1752">
        <v>2.75</v>
      </c>
      <c r="AM78" s="1752">
        <v>2.75</v>
      </c>
      <c r="AN78" s="1752">
        <v>2.75</v>
      </c>
      <c r="AO78" s="1752">
        <v>2.75</v>
      </c>
      <c r="AP78" s="1752">
        <v>2.75</v>
      </c>
      <c r="AQ78" s="1752"/>
      <c r="AR78" s="1752"/>
      <c r="AS78" s="1752"/>
      <c r="AT78" s="1752"/>
      <c r="AU78" s="1752"/>
      <c r="AV78" s="1752"/>
      <c r="AW78" s="1752"/>
      <c r="AX78" s="1752"/>
      <c r="AY78" s="1752"/>
      <c r="AZ78" s="1752"/>
      <c r="BA78" s="1752"/>
      <c r="BB78" s="1752"/>
      <c r="BC78" s="1752"/>
      <c r="BD78" s="1752"/>
      <c r="BE78" s="1752"/>
      <c r="BF78" s="1752"/>
      <c r="BG78" s="1752"/>
      <c r="BH78" s="1752"/>
      <c r="BI78" s="1752"/>
      <c r="BJ78" s="1752"/>
      <c r="BK78" s="1752"/>
      <c r="BL78" s="1752"/>
      <c r="BM78" s="1752"/>
      <c r="BN78" s="1752"/>
      <c r="BO78" s="1752"/>
      <c r="BP78" s="1754"/>
      <c r="BQ78" s="1755"/>
      <c r="BR78" s="1755"/>
      <c r="BS78" s="1755"/>
      <c r="BT78" s="1755"/>
      <c r="BU78" s="1755"/>
      <c r="BV78" s="1755"/>
      <c r="BW78" s="1755"/>
      <c r="BX78" s="1755"/>
      <c r="BY78" s="1755"/>
      <c r="BZ78" s="1755"/>
      <c r="CA78" s="1755"/>
      <c r="CB78" s="1755"/>
      <c r="CC78" s="1755"/>
      <c r="CD78" s="1755"/>
      <c r="CE78" s="1755"/>
      <c r="CF78" s="1755"/>
      <c r="CG78" s="1755"/>
      <c r="CH78" s="1755"/>
      <c r="CI78" s="1755"/>
      <c r="CJ78" s="1755"/>
      <c r="CK78" s="1755"/>
      <c r="CL78" s="1755"/>
      <c r="CM78" s="1755"/>
      <c r="CN78" s="1756"/>
      <c r="CO78" s="1767"/>
    </row>
    <row r="79" spans="2:93" x14ac:dyDescent="0.2">
      <c r="B79" s="170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79" s="1707" t="s">
        <v>1463</v>
      </c>
      <c r="D79" s="1707" t="s">
        <v>890</v>
      </c>
      <c r="E79" s="1704" t="s">
        <v>875</v>
      </c>
      <c r="F79" s="1707" t="str">
        <f>VLOOKUP(TBL5_OptBen[[#This Row],[Option Type (defined list)]],'Option Typs_Grps'!B$2:C$47, 2, FALSE)</f>
        <v>Resource Options</v>
      </c>
      <c r="G79" s="1707" t="s">
        <v>863</v>
      </c>
      <c r="H79" s="1707" t="s">
        <v>1458</v>
      </c>
      <c r="I79" s="1703" t="s">
        <v>88</v>
      </c>
      <c r="J79" s="1707" t="s">
        <v>236</v>
      </c>
      <c r="K79" s="1751">
        <v>2</v>
      </c>
      <c r="L79" s="1752"/>
      <c r="M79" s="1752"/>
      <c r="N79" s="1752"/>
      <c r="O79" s="1754"/>
      <c r="P79" s="1766"/>
      <c r="Q79" s="1753"/>
      <c r="R79" s="1753"/>
      <c r="S79" s="1752"/>
      <c r="T79" s="1752"/>
      <c r="U79" s="1752"/>
      <c r="V79" s="1752"/>
      <c r="W79" s="1752">
        <v>8</v>
      </c>
      <c r="X79" s="1752">
        <v>8</v>
      </c>
      <c r="Y79" s="1752">
        <v>8</v>
      </c>
      <c r="Z79" s="1752">
        <v>8</v>
      </c>
      <c r="AA79" s="1752">
        <v>8</v>
      </c>
      <c r="AB79" s="1752">
        <v>8</v>
      </c>
      <c r="AC79" s="1752">
        <v>8</v>
      </c>
      <c r="AD79" s="1752">
        <v>8</v>
      </c>
      <c r="AE79" s="1752">
        <v>8</v>
      </c>
      <c r="AF79" s="1752">
        <v>8</v>
      </c>
      <c r="AG79" s="1752">
        <v>8</v>
      </c>
      <c r="AH79" s="1752">
        <v>8</v>
      </c>
      <c r="AI79" s="1752">
        <v>8</v>
      </c>
      <c r="AJ79" s="1752">
        <v>8</v>
      </c>
      <c r="AK79" s="1752">
        <v>8</v>
      </c>
      <c r="AL79" s="1752">
        <v>8</v>
      </c>
      <c r="AM79" s="1752">
        <v>8</v>
      </c>
      <c r="AN79" s="1752">
        <v>8</v>
      </c>
      <c r="AO79" s="1752">
        <v>8</v>
      </c>
      <c r="AP79" s="1752">
        <v>8</v>
      </c>
      <c r="AQ79" s="1752"/>
      <c r="AR79" s="1752"/>
      <c r="AS79" s="1752"/>
      <c r="AT79" s="1752"/>
      <c r="AU79" s="1752"/>
      <c r="AV79" s="1752"/>
      <c r="AW79" s="1752"/>
      <c r="AX79" s="1752"/>
      <c r="AY79" s="1752"/>
      <c r="AZ79" s="1752"/>
      <c r="BA79" s="1752"/>
      <c r="BB79" s="1752"/>
      <c r="BC79" s="1752"/>
      <c r="BD79" s="1752"/>
      <c r="BE79" s="1752"/>
      <c r="BF79" s="1752"/>
      <c r="BG79" s="1752"/>
      <c r="BH79" s="1752"/>
      <c r="BI79" s="1752"/>
      <c r="BJ79" s="1752"/>
      <c r="BK79" s="1752"/>
      <c r="BL79" s="1752"/>
      <c r="BM79" s="1752"/>
      <c r="BN79" s="1752"/>
      <c r="BO79" s="1752"/>
      <c r="BP79" s="1754"/>
      <c r="BQ79" s="1755"/>
      <c r="BR79" s="1755"/>
      <c r="BS79" s="1755"/>
      <c r="BT79" s="1755"/>
      <c r="BU79" s="1755"/>
      <c r="BV79" s="1755"/>
      <c r="BW79" s="1755"/>
      <c r="BX79" s="1755"/>
      <c r="BY79" s="1755"/>
      <c r="BZ79" s="1755"/>
      <c r="CA79" s="1755"/>
      <c r="CB79" s="1755"/>
      <c r="CC79" s="1755"/>
      <c r="CD79" s="1755"/>
      <c r="CE79" s="1755"/>
      <c r="CF79" s="1755"/>
      <c r="CG79" s="1755"/>
      <c r="CH79" s="1755"/>
      <c r="CI79" s="1755"/>
      <c r="CJ79" s="1755"/>
      <c r="CK79" s="1755"/>
      <c r="CL79" s="1755"/>
      <c r="CM79" s="1755"/>
      <c r="CN79" s="1756"/>
      <c r="CO79" s="1767"/>
    </row>
    <row r="80" spans="2:93" x14ac:dyDescent="0.2">
      <c r="B80" s="170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52bA</v>
      </c>
      <c r="C80" s="1703" t="s">
        <v>894</v>
      </c>
      <c r="D80" s="1703" t="s">
        <v>893</v>
      </c>
      <c r="E80" s="1704" t="s">
        <v>885</v>
      </c>
      <c r="F80" s="1707" t="str">
        <f>VLOOKUP(TBL5_OptBen[[#This Row],[Option Type (defined list)]],'Option Typs_Grps'!B$2:C$47, 2, FALSE)</f>
        <v>Production Options</v>
      </c>
      <c r="G80" s="1707" t="s">
        <v>863</v>
      </c>
      <c r="H80" s="1707" t="s">
        <v>1458</v>
      </c>
      <c r="I80" s="1703" t="s">
        <v>88</v>
      </c>
      <c r="J80" s="1707" t="s">
        <v>236</v>
      </c>
      <c r="K80" s="1751">
        <v>2</v>
      </c>
      <c r="L80" s="1752"/>
      <c r="M80" s="1752"/>
      <c r="N80" s="1752"/>
      <c r="O80" s="1754"/>
      <c r="P80" s="1766"/>
      <c r="Q80" s="1753"/>
      <c r="R80" s="1753"/>
      <c r="S80" s="1771"/>
      <c r="T80" s="1771"/>
      <c r="U80" s="1771"/>
      <c r="V80" s="1771">
        <v>0.2</v>
      </c>
      <c r="W80" s="1771">
        <v>0.2</v>
      </c>
      <c r="X80" s="1771">
        <v>0.2</v>
      </c>
      <c r="Y80" s="1771">
        <v>0.2</v>
      </c>
      <c r="Z80" s="1771">
        <v>0.2</v>
      </c>
      <c r="AA80" s="1771">
        <v>0.2</v>
      </c>
      <c r="AB80" s="1752">
        <v>0.2</v>
      </c>
      <c r="AC80" s="1752">
        <v>0.2</v>
      </c>
      <c r="AD80" s="1752">
        <v>0.2</v>
      </c>
      <c r="AE80" s="1752">
        <v>0.2</v>
      </c>
      <c r="AF80" s="1752">
        <v>0.2</v>
      </c>
      <c r="AG80" s="1752">
        <v>0.2</v>
      </c>
      <c r="AH80" s="1752">
        <v>0.2</v>
      </c>
      <c r="AI80" s="1752">
        <v>0.2</v>
      </c>
      <c r="AJ80" s="1752">
        <v>0.2</v>
      </c>
      <c r="AK80" s="1752">
        <v>0.2</v>
      </c>
      <c r="AL80" s="1752">
        <v>0.2</v>
      </c>
      <c r="AM80" s="1752">
        <v>0.2</v>
      </c>
      <c r="AN80" s="1752">
        <v>0.2</v>
      </c>
      <c r="AO80" s="1752">
        <v>0.2</v>
      </c>
      <c r="AP80" s="1752">
        <v>0.2</v>
      </c>
      <c r="AQ80" s="1752"/>
      <c r="AR80" s="1752"/>
      <c r="AS80" s="1752"/>
      <c r="AT80" s="1752"/>
      <c r="AU80" s="1752"/>
      <c r="AV80" s="1752"/>
      <c r="AW80" s="1752"/>
      <c r="AX80" s="1752"/>
      <c r="AY80" s="1752"/>
      <c r="AZ80" s="1752"/>
      <c r="BA80" s="1752"/>
      <c r="BB80" s="1752"/>
      <c r="BC80" s="1752"/>
      <c r="BD80" s="1752"/>
      <c r="BE80" s="1752"/>
      <c r="BF80" s="1752"/>
      <c r="BG80" s="1752"/>
      <c r="BH80" s="1752"/>
      <c r="BI80" s="1752"/>
      <c r="BJ80" s="1752"/>
      <c r="BK80" s="1752"/>
      <c r="BL80" s="1752"/>
      <c r="BM80" s="1752"/>
      <c r="BN80" s="1752"/>
      <c r="BO80" s="1752"/>
      <c r="BP80" s="1754"/>
      <c r="BQ80" s="1755"/>
      <c r="BR80" s="1755"/>
      <c r="BS80" s="1755"/>
      <c r="BT80" s="1755"/>
      <c r="BU80" s="1755"/>
      <c r="BV80" s="1755"/>
      <c r="BW80" s="1755"/>
      <c r="BX80" s="1755"/>
      <c r="BY80" s="1755"/>
      <c r="BZ80" s="1755"/>
      <c r="CA80" s="1755"/>
      <c r="CB80" s="1755"/>
      <c r="CC80" s="1755"/>
      <c r="CD80" s="1755"/>
      <c r="CE80" s="1755"/>
      <c r="CF80" s="1755"/>
      <c r="CG80" s="1755"/>
      <c r="CH80" s="1755"/>
      <c r="CI80" s="1755"/>
      <c r="CJ80" s="1755"/>
      <c r="CK80" s="1755"/>
      <c r="CL80" s="1755"/>
      <c r="CM80" s="1755"/>
      <c r="CN80" s="1752"/>
      <c r="CO80" s="1767"/>
    </row>
    <row r="81" spans="2:93" x14ac:dyDescent="0.2">
      <c r="B81" s="170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52bA</v>
      </c>
      <c r="C81" s="1707" t="s">
        <v>884</v>
      </c>
      <c r="D81" s="1707" t="s">
        <v>883</v>
      </c>
      <c r="E81" s="1704" t="s">
        <v>885</v>
      </c>
      <c r="F81" s="1707" t="str">
        <f>VLOOKUP(TBL5_OptBen[[#This Row],[Option Type (defined list)]],'Option Typs_Grps'!B$2:C$47, 2, FALSE)</f>
        <v>Production Options</v>
      </c>
      <c r="G81" s="1707" t="s">
        <v>863</v>
      </c>
      <c r="H81" s="1707" t="s">
        <v>1458</v>
      </c>
      <c r="I81" s="1703" t="s">
        <v>105</v>
      </c>
      <c r="J81" s="1707" t="s">
        <v>236</v>
      </c>
      <c r="K81" s="1751">
        <v>2</v>
      </c>
      <c r="L81" s="1752"/>
      <c r="M81" s="1752"/>
      <c r="N81" s="1752"/>
      <c r="O81" s="1754"/>
      <c r="P81" s="1766"/>
      <c r="Q81" s="1753"/>
      <c r="R81" s="1753"/>
      <c r="S81" s="1752"/>
      <c r="T81" s="1752"/>
      <c r="U81" s="1752"/>
      <c r="V81" s="1752">
        <v>2.15</v>
      </c>
      <c r="W81" s="1752">
        <v>2.15</v>
      </c>
      <c r="X81" s="1752">
        <v>2.15</v>
      </c>
      <c r="Y81" s="1752">
        <v>2.15</v>
      </c>
      <c r="Z81" s="1752">
        <v>2.15</v>
      </c>
      <c r="AA81" s="1752">
        <v>2.15</v>
      </c>
      <c r="AB81" s="1752">
        <v>2.15</v>
      </c>
      <c r="AC81" s="1752">
        <v>2.15</v>
      </c>
      <c r="AD81" s="1752">
        <v>2.15</v>
      </c>
      <c r="AE81" s="1752">
        <v>2.15</v>
      </c>
      <c r="AF81" s="1752">
        <v>2.15</v>
      </c>
      <c r="AG81" s="1752">
        <v>2.15</v>
      </c>
      <c r="AH81" s="1752">
        <v>2.15</v>
      </c>
      <c r="AI81" s="1752">
        <v>2.15</v>
      </c>
      <c r="AJ81" s="1752">
        <v>2.15</v>
      </c>
      <c r="AK81" s="1752">
        <v>2.15</v>
      </c>
      <c r="AL81" s="1752">
        <v>2.15</v>
      </c>
      <c r="AM81" s="1752">
        <v>2.15</v>
      </c>
      <c r="AN81" s="1752">
        <v>2.15</v>
      </c>
      <c r="AO81" s="1752">
        <v>2.15</v>
      </c>
      <c r="AP81" s="1752">
        <v>2.15</v>
      </c>
      <c r="AQ81" s="1752"/>
      <c r="AR81" s="1752"/>
      <c r="AS81" s="1752"/>
      <c r="AT81" s="1752"/>
      <c r="AU81" s="1752"/>
      <c r="AV81" s="1752"/>
      <c r="AW81" s="1752"/>
      <c r="AX81" s="1752"/>
      <c r="AY81" s="1752"/>
      <c r="AZ81" s="1752"/>
      <c r="BA81" s="1752"/>
      <c r="BB81" s="1752"/>
      <c r="BC81" s="1752"/>
      <c r="BD81" s="1752"/>
      <c r="BE81" s="1752"/>
      <c r="BF81" s="1752"/>
      <c r="BG81" s="1752"/>
      <c r="BH81" s="1752"/>
      <c r="BI81" s="1752"/>
      <c r="BJ81" s="1752"/>
      <c r="BK81" s="1752"/>
      <c r="BL81" s="1752"/>
      <c r="BM81" s="1752"/>
      <c r="BN81" s="1752"/>
      <c r="BO81" s="1752"/>
      <c r="BP81" s="1754"/>
      <c r="BQ81" s="1755"/>
      <c r="BR81" s="1755"/>
      <c r="BS81" s="1755"/>
      <c r="BT81" s="1755"/>
      <c r="BU81" s="1755"/>
      <c r="BV81" s="1755"/>
      <c r="BW81" s="1755"/>
      <c r="BX81" s="1755"/>
      <c r="BY81" s="1755"/>
      <c r="BZ81" s="1755"/>
      <c r="CA81" s="1755"/>
      <c r="CB81" s="1755"/>
      <c r="CC81" s="1755"/>
      <c r="CD81" s="1755"/>
      <c r="CE81" s="1755"/>
      <c r="CF81" s="1755"/>
      <c r="CG81" s="1755"/>
      <c r="CH81" s="1755"/>
      <c r="CI81" s="1755"/>
      <c r="CJ81" s="1755"/>
      <c r="CK81" s="1755"/>
      <c r="CL81" s="1755"/>
      <c r="CM81" s="1755"/>
      <c r="CN81" s="1756"/>
      <c r="CO81" s="1767"/>
    </row>
    <row r="82" spans="2:93" ht="28.5" x14ac:dyDescent="0.2">
      <c r="B82" s="170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82" s="1703" t="s">
        <v>1465</v>
      </c>
      <c r="D82" s="1703" t="s">
        <v>982</v>
      </c>
      <c r="E82" s="1704" t="s">
        <v>907</v>
      </c>
      <c r="F82" s="1707" t="str">
        <f>VLOOKUP(TBL5_OptBen[[#This Row],[Option Type (defined list)]],'Option Typs_Grps'!B$2:C$47, 2, FALSE)</f>
        <v>Distribution Options</v>
      </c>
      <c r="G82" s="1707" t="s">
        <v>863</v>
      </c>
      <c r="H82" s="1707" t="s">
        <v>1458</v>
      </c>
      <c r="I82" s="1703" t="s">
        <v>93</v>
      </c>
      <c r="J82" s="1707" t="s">
        <v>236</v>
      </c>
      <c r="K82" s="1751">
        <v>2</v>
      </c>
      <c r="L82" s="1752"/>
      <c r="M82" s="1752"/>
      <c r="N82" s="1752"/>
      <c r="O82" s="1754"/>
      <c r="P82" s="1766"/>
      <c r="Q82" s="1753"/>
      <c r="R82" s="1753"/>
      <c r="S82" s="1752"/>
      <c r="T82" s="1752"/>
      <c r="U82" s="1752">
        <v>1.5</v>
      </c>
      <c r="V82" s="1752">
        <v>1.5</v>
      </c>
      <c r="W82" s="1752">
        <v>2.0295329361999999</v>
      </c>
      <c r="X82" s="1752">
        <v>1.9060828163000001</v>
      </c>
      <c r="Y82" s="1752">
        <v>4.1368449257000002</v>
      </c>
      <c r="Z82" s="1752">
        <v>4.0343947545000001</v>
      </c>
      <c r="AA82" s="1752">
        <v>3.9336706105000001</v>
      </c>
      <c r="AB82" s="1752">
        <v>3.884653948</v>
      </c>
      <c r="AC82" s="1752">
        <v>3.833376543</v>
      </c>
      <c r="AD82" s="1752">
        <v>3.7855407959999998</v>
      </c>
      <c r="AE82" s="1752">
        <v>3.7610469444999999</v>
      </c>
      <c r="AF82" s="1752">
        <v>3.7307844341999998</v>
      </c>
      <c r="AG82" s="1752">
        <v>5.9654652165000002</v>
      </c>
      <c r="AH82" s="1752">
        <v>5.9385163406999997</v>
      </c>
      <c r="AI82" s="1752">
        <v>5.9110843089999996</v>
      </c>
      <c r="AJ82" s="1752">
        <v>5.8996280453000001</v>
      </c>
      <c r="AK82" s="1752">
        <v>5.8894365839000002</v>
      </c>
      <c r="AL82" s="1752">
        <v>8.0683290281000009</v>
      </c>
      <c r="AM82" s="1752">
        <v>8.0573922241999991</v>
      </c>
      <c r="AN82" s="1752">
        <v>8.0439720356999995</v>
      </c>
      <c r="AO82" s="1752">
        <v>8.0404811339000002</v>
      </c>
      <c r="AP82" s="1752">
        <v>8.0320152547999992</v>
      </c>
      <c r="AQ82" s="1752"/>
      <c r="AR82" s="1752"/>
      <c r="AS82" s="1752"/>
      <c r="AT82" s="1752"/>
      <c r="AU82" s="1752"/>
      <c r="AV82" s="1752"/>
      <c r="AW82" s="1752"/>
      <c r="AX82" s="1752"/>
      <c r="AY82" s="1752"/>
      <c r="AZ82" s="1752"/>
      <c r="BA82" s="1752"/>
      <c r="BB82" s="1752"/>
      <c r="BC82" s="1752"/>
      <c r="BD82" s="1752"/>
      <c r="BE82" s="1752"/>
      <c r="BF82" s="1752"/>
      <c r="BG82" s="1752"/>
      <c r="BH82" s="1752"/>
      <c r="BI82" s="1752"/>
      <c r="BJ82" s="1752"/>
      <c r="BK82" s="1752"/>
      <c r="BL82" s="1752"/>
      <c r="BM82" s="1752"/>
      <c r="BN82" s="1752"/>
      <c r="BO82" s="1752"/>
      <c r="BP82" s="1752"/>
      <c r="BQ82" s="1752"/>
      <c r="BR82" s="1752"/>
      <c r="BS82" s="1752"/>
      <c r="BT82" s="1752"/>
      <c r="BU82" s="1752"/>
      <c r="BV82" s="1752"/>
      <c r="BW82" s="1752"/>
      <c r="BX82" s="1752"/>
      <c r="BY82" s="1752"/>
      <c r="BZ82" s="1752"/>
      <c r="CA82" s="1752"/>
      <c r="CB82" s="1752"/>
      <c r="CC82" s="1752"/>
      <c r="CD82" s="1752"/>
      <c r="CE82" s="1752"/>
      <c r="CF82" s="1752"/>
      <c r="CG82" s="1752"/>
      <c r="CH82" s="1752"/>
      <c r="CI82" s="1752"/>
      <c r="CJ82" s="1752"/>
      <c r="CK82" s="1752"/>
      <c r="CL82" s="1752"/>
      <c r="CM82" s="1752"/>
      <c r="CN82" s="1752"/>
      <c r="CO82" s="1767"/>
    </row>
    <row r="83" spans="2:93" ht="28.5" x14ac:dyDescent="0.2">
      <c r="B83" s="170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83" s="1703" t="s">
        <v>1040</v>
      </c>
      <c r="D83" s="1703" t="s">
        <v>1039</v>
      </c>
      <c r="E83" s="1704" t="s">
        <v>1041</v>
      </c>
      <c r="F83" s="1707" t="str">
        <f>VLOOKUP(TBL5_OptBen[[#This Row],[Option Type (defined list)]],'Option Typs_Grps'!B$2:C$47, 2, FALSE)</f>
        <v>Resource Options</v>
      </c>
      <c r="G83" s="1707" t="s">
        <v>863</v>
      </c>
      <c r="H83" s="1707" t="s">
        <v>1458</v>
      </c>
      <c r="I83" s="1703" t="s">
        <v>105</v>
      </c>
      <c r="J83" s="1707" t="s">
        <v>236</v>
      </c>
      <c r="K83" s="1751">
        <v>2</v>
      </c>
      <c r="L83" s="1752"/>
      <c r="M83" s="1752"/>
      <c r="N83" s="1752"/>
      <c r="O83" s="1754"/>
      <c r="P83" s="1766"/>
      <c r="Q83" s="1753"/>
      <c r="R83" s="1753"/>
      <c r="S83" s="1752"/>
      <c r="T83" s="1752"/>
      <c r="U83" s="1752"/>
      <c r="V83" s="1752"/>
      <c r="W83" s="1752">
        <v>1</v>
      </c>
      <c r="X83" s="1752">
        <v>1</v>
      </c>
      <c r="Y83" s="1752">
        <v>1</v>
      </c>
      <c r="Z83" s="1752">
        <v>1</v>
      </c>
      <c r="AA83" s="1752">
        <v>1</v>
      </c>
      <c r="AB83" s="1752">
        <v>1</v>
      </c>
      <c r="AC83" s="1752">
        <v>1</v>
      </c>
      <c r="AD83" s="1752">
        <v>1</v>
      </c>
      <c r="AE83" s="1752">
        <v>1</v>
      </c>
      <c r="AF83" s="1752">
        <v>1</v>
      </c>
      <c r="AG83" s="1752">
        <v>1</v>
      </c>
      <c r="AH83" s="1752">
        <v>1</v>
      </c>
      <c r="AI83" s="1752">
        <v>1</v>
      </c>
      <c r="AJ83" s="1752">
        <v>1</v>
      </c>
      <c r="AK83" s="1752">
        <v>1</v>
      </c>
      <c r="AL83" s="1752">
        <v>1</v>
      </c>
      <c r="AM83" s="1752">
        <v>1</v>
      </c>
      <c r="AN83" s="1752">
        <v>1</v>
      </c>
      <c r="AO83" s="1752">
        <v>1</v>
      </c>
      <c r="AP83" s="1752">
        <v>1</v>
      </c>
      <c r="AQ83" s="1752"/>
      <c r="AR83" s="1752"/>
      <c r="AS83" s="1752"/>
      <c r="AT83" s="1752"/>
      <c r="AU83" s="1752"/>
      <c r="AV83" s="1752"/>
      <c r="AW83" s="1752"/>
      <c r="AX83" s="1752"/>
      <c r="AY83" s="1752"/>
      <c r="AZ83" s="1752"/>
      <c r="BA83" s="1752"/>
      <c r="BB83" s="1752"/>
      <c r="BC83" s="1752"/>
      <c r="BD83" s="1752"/>
      <c r="BE83" s="1752"/>
      <c r="BF83" s="1752"/>
      <c r="BG83" s="1752"/>
      <c r="BH83" s="1752"/>
      <c r="BI83" s="1752"/>
      <c r="BJ83" s="1752"/>
      <c r="BK83" s="1752"/>
      <c r="BL83" s="1752"/>
      <c r="BM83" s="1752"/>
      <c r="BN83" s="1752"/>
      <c r="BO83" s="1752"/>
      <c r="BP83" s="1752"/>
      <c r="BQ83" s="1752"/>
      <c r="BR83" s="1752"/>
      <c r="BS83" s="1752"/>
      <c r="BT83" s="1752"/>
      <c r="BU83" s="1752"/>
      <c r="BV83" s="1752"/>
      <c r="BW83" s="1752"/>
      <c r="BX83" s="1752"/>
      <c r="BY83" s="1752"/>
      <c r="BZ83" s="1752"/>
      <c r="CA83" s="1752"/>
      <c r="CB83" s="1752"/>
      <c r="CC83" s="1752"/>
      <c r="CD83" s="1752"/>
      <c r="CE83" s="1752"/>
      <c r="CF83" s="1752"/>
      <c r="CG83" s="1752"/>
      <c r="CH83" s="1752"/>
      <c r="CI83" s="1752"/>
      <c r="CJ83" s="1752"/>
      <c r="CK83" s="1752"/>
      <c r="CL83" s="1752"/>
      <c r="CM83" s="1752"/>
      <c r="CN83" s="1752"/>
      <c r="CO83" s="1767"/>
    </row>
    <row r="84" spans="2:93" ht="28.5" x14ac:dyDescent="0.2">
      <c r="B84" s="170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84" s="1703" t="s">
        <v>1034</v>
      </c>
      <c r="D84" s="1703" t="s">
        <v>984</v>
      </c>
      <c r="E84" s="1704" t="s">
        <v>907</v>
      </c>
      <c r="F84" s="1707" t="str">
        <f>VLOOKUP(TBL5_OptBen[[#This Row],[Option Type (defined list)]],'Option Typs_Grps'!B$2:C$47, 2, FALSE)</f>
        <v>Distribution Options</v>
      </c>
      <c r="G84" s="1707" t="s">
        <v>863</v>
      </c>
      <c r="H84" s="1707" t="s">
        <v>1458</v>
      </c>
      <c r="I84" s="1703" t="s">
        <v>102</v>
      </c>
      <c r="J84" s="1707" t="s">
        <v>236</v>
      </c>
      <c r="K84" s="1751">
        <v>2</v>
      </c>
      <c r="L84" s="1752"/>
      <c r="M84" s="1752"/>
      <c r="N84" s="1752"/>
      <c r="O84" s="1754"/>
      <c r="P84" s="1766"/>
      <c r="Q84" s="1753"/>
      <c r="R84" s="1753"/>
      <c r="S84" s="1752"/>
      <c r="T84" s="1752"/>
      <c r="U84" s="1752">
        <v>2.9450316892999999</v>
      </c>
      <c r="V84" s="1752">
        <v>2.9005775424000002</v>
      </c>
      <c r="W84" s="1752">
        <v>3.0855821452000001</v>
      </c>
      <c r="X84" s="1752">
        <v>2.8669679639000001</v>
      </c>
      <c r="Y84" s="1752">
        <v>6.5805440715000003</v>
      </c>
      <c r="Z84" s="1752">
        <v>6.5390018497</v>
      </c>
      <c r="AA84" s="1752">
        <v>6.4679891454999998</v>
      </c>
      <c r="AB84" s="1752">
        <v>6.4105918095999996</v>
      </c>
      <c r="AC84" s="1752">
        <v>6.3834717343999996</v>
      </c>
      <c r="AD84" s="1752">
        <v>6.3466478259999999</v>
      </c>
      <c r="AE84" s="1752">
        <v>6.3255704882000003</v>
      </c>
      <c r="AF84" s="1752">
        <v>6.3024316514000001</v>
      </c>
      <c r="AG84" s="1752">
        <v>6.7553447417000001</v>
      </c>
      <c r="AH84" s="1752">
        <v>6.7212932598000004</v>
      </c>
      <c r="AI84" s="1752">
        <v>6.6776400006000003</v>
      </c>
      <c r="AJ84" s="1752">
        <v>6.6552674400000003</v>
      </c>
      <c r="AK84" s="1752">
        <v>6.6564611108999996</v>
      </c>
      <c r="AL84" s="1752">
        <v>7.1468975633999996</v>
      </c>
      <c r="AM84" s="1752">
        <v>7.1580770106999996</v>
      </c>
      <c r="AN84" s="1752">
        <v>7.1695726660999997</v>
      </c>
      <c r="AO84" s="1752">
        <v>7.1919444838000004</v>
      </c>
      <c r="AP84" s="1752">
        <v>7.2050143504999999</v>
      </c>
      <c r="AQ84" s="1752"/>
      <c r="AR84" s="1752"/>
      <c r="AS84" s="1752"/>
      <c r="AT84" s="1752"/>
      <c r="AU84" s="1752"/>
      <c r="AV84" s="1752"/>
      <c r="AW84" s="1752"/>
      <c r="AX84" s="1752"/>
      <c r="AY84" s="1752"/>
      <c r="AZ84" s="1752"/>
      <c r="BA84" s="1752"/>
      <c r="BB84" s="1752"/>
      <c r="BC84" s="1752"/>
      <c r="BD84" s="1752"/>
      <c r="BE84" s="1752"/>
      <c r="BF84" s="1752"/>
      <c r="BG84" s="1752"/>
      <c r="BH84" s="1752"/>
      <c r="BI84" s="1752"/>
      <c r="BJ84" s="1752"/>
      <c r="BK84" s="1752"/>
      <c r="BL84" s="1752"/>
      <c r="BM84" s="1752"/>
      <c r="BN84" s="1752"/>
      <c r="BO84" s="1752"/>
      <c r="BP84" s="1752"/>
      <c r="BQ84" s="1752"/>
      <c r="BR84" s="1752"/>
      <c r="BS84" s="1752"/>
      <c r="BT84" s="1752"/>
      <c r="BU84" s="1752"/>
      <c r="BV84" s="1752"/>
      <c r="BW84" s="1752"/>
      <c r="BX84" s="1752"/>
      <c r="BY84" s="1752"/>
      <c r="BZ84" s="1752"/>
      <c r="CA84" s="1752"/>
      <c r="CB84" s="1752"/>
      <c r="CC84" s="1752"/>
      <c r="CD84" s="1752"/>
      <c r="CE84" s="1752"/>
      <c r="CF84" s="1752"/>
      <c r="CG84" s="1752"/>
      <c r="CH84" s="1752"/>
      <c r="CI84" s="1752"/>
      <c r="CJ84" s="1752"/>
      <c r="CK84" s="1752"/>
      <c r="CL84" s="1752"/>
      <c r="CM84" s="1752"/>
      <c r="CN84" s="1752"/>
      <c r="CO84" s="1767"/>
    </row>
    <row r="85" spans="2:93" x14ac:dyDescent="0.2">
      <c r="B85" s="170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85" s="1703" t="s">
        <v>874</v>
      </c>
      <c r="D85" s="1703" t="s">
        <v>873</v>
      </c>
      <c r="E85" s="1704" t="s">
        <v>875</v>
      </c>
      <c r="F85" s="1707" t="str">
        <f>VLOOKUP(TBL5_OptBen[[#This Row],[Option Type (defined list)]],'Option Typs_Grps'!B$2:C$47, 2, FALSE)</f>
        <v>Resource Options</v>
      </c>
      <c r="G85" s="1707" t="s">
        <v>863</v>
      </c>
      <c r="H85" s="1707" t="s">
        <v>1457</v>
      </c>
      <c r="I85" s="1703" t="s">
        <v>88</v>
      </c>
      <c r="J85" s="1707" t="s">
        <v>236</v>
      </c>
      <c r="K85" s="1751">
        <v>2</v>
      </c>
      <c r="L85" s="1752"/>
      <c r="M85" s="1752"/>
      <c r="N85" s="1752"/>
      <c r="O85" s="1754"/>
      <c r="P85" s="1766"/>
      <c r="Q85" s="1753"/>
      <c r="R85" s="1753"/>
      <c r="S85" s="1752"/>
      <c r="T85" s="1752">
        <v>10</v>
      </c>
      <c r="U85" s="1752">
        <v>10</v>
      </c>
      <c r="V85" s="1752">
        <v>10</v>
      </c>
      <c r="W85" s="1752">
        <v>10</v>
      </c>
      <c r="X85" s="1752">
        <v>10</v>
      </c>
      <c r="Y85" s="1752">
        <v>10</v>
      </c>
      <c r="Z85" s="1752">
        <v>10</v>
      </c>
      <c r="AA85" s="1752">
        <v>10</v>
      </c>
      <c r="AB85" s="1752">
        <v>10</v>
      </c>
      <c r="AC85" s="1752">
        <v>10</v>
      </c>
      <c r="AD85" s="1752">
        <v>10</v>
      </c>
      <c r="AE85" s="1752">
        <v>10</v>
      </c>
      <c r="AF85" s="1752">
        <v>10</v>
      </c>
      <c r="AG85" s="1752">
        <v>10</v>
      </c>
      <c r="AH85" s="1752">
        <v>10</v>
      </c>
      <c r="AI85" s="1752">
        <v>10</v>
      </c>
      <c r="AJ85" s="1752">
        <v>10</v>
      </c>
      <c r="AK85" s="1752">
        <v>10</v>
      </c>
      <c r="AL85" s="1752">
        <v>10</v>
      </c>
      <c r="AM85" s="1752">
        <v>10</v>
      </c>
      <c r="AN85" s="1752">
        <v>10</v>
      </c>
      <c r="AO85" s="1752">
        <v>10</v>
      </c>
      <c r="AP85" s="1752">
        <v>10</v>
      </c>
      <c r="AQ85" s="1752"/>
      <c r="AR85" s="1752"/>
      <c r="AS85" s="1752"/>
      <c r="AT85" s="1752"/>
      <c r="AU85" s="1752"/>
      <c r="AV85" s="1752"/>
      <c r="AW85" s="1752"/>
      <c r="AX85" s="1752"/>
      <c r="AY85" s="1752"/>
      <c r="AZ85" s="1752"/>
      <c r="BA85" s="1752"/>
      <c r="BB85" s="1752"/>
      <c r="BC85" s="1752"/>
      <c r="BD85" s="1752"/>
      <c r="BE85" s="1752"/>
      <c r="BF85" s="1752"/>
      <c r="BG85" s="1752"/>
      <c r="BH85" s="1752"/>
      <c r="BI85" s="1752"/>
      <c r="BJ85" s="1752"/>
      <c r="BK85" s="1752"/>
      <c r="BL85" s="1752"/>
      <c r="BM85" s="1752"/>
      <c r="BN85" s="1752"/>
      <c r="BO85" s="1752"/>
      <c r="BP85" s="1752"/>
      <c r="BQ85" s="1752"/>
      <c r="BR85" s="1752"/>
      <c r="BS85" s="1752"/>
      <c r="BT85" s="1752"/>
      <c r="BU85" s="1752"/>
      <c r="BV85" s="1752"/>
      <c r="BW85" s="1752"/>
      <c r="BX85" s="1752"/>
      <c r="BY85" s="1752"/>
      <c r="BZ85" s="1752"/>
      <c r="CA85" s="1752"/>
      <c r="CB85" s="1752"/>
      <c r="CC85" s="1752"/>
      <c r="CD85" s="1752"/>
      <c r="CE85" s="1752"/>
      <c r="CF85" s="1752"/>
      <c r="CG85" s="1752"/>
      <c r="CH85" s="1752"/>
      <c r="CI85" s="1752"/>
      <c r="CJ85" s="1752"/>
      <c r="CK85" s="1752"/>
      <c r="CL85" s="1752"/>
      <c r="CM85" s="1752"/>
      <c r="CN85" s="1752"/>
      <c r="CO85" s="1767"/>
    </row>
    <row r="86" spans="2:93" x14ac:dyDescent="0.2">
      <c r="B86" s="170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86" s="1703" t="s">
        <v>912</v>
      </c>
      <c r="D86" s="1703" t="s">
        <v>911</v>
      </c>
      <c r="E86" s="1704" t="s">
        <v>913</v>
      </c>
      <c r="F86" s="1707" t="str">
        <f>VLOOKUP(TBL5_OptBen[[#This Row],[Option Type (defined list)]],'Option Typs_Grps'!B$2:C$47, 2, FALSE)</f>
        <v>Resource Options</v>
      </c>
      <c r="G86" s="1707" t="s">
        <v>863</v>
      </c>
      <c r="H86" s="1707" t="s">
        <v>1457</v>
      </c>
      <c r="I86" s="1703" t="s">
        <v>105</v>
      </c>
      <c r="J86" s="1707" t="s">
        <v>236</v>
      </c>
      <c r="K86" s="1751">
        <v>2</v>
      </c>
      <c r="L86" s="1752"/>
      <c r="M86" s="1752"/>
      <c r="N86" s="1752"/>
      <c r="O86" s="1754"/>
      <c r="P86" s="1766"/>
      <c r="Q86" s="1753"/>
      <c r="R86" s="1753"/>
      <c r="S86" s="1752"/>
      <c r="T86" s="1752"/>
      <c r="U86" s="1752"/>
      <c r="V86" s="1752"/>
      <c r="W86" s="1752"/>
      <c r="X86" s="1752"/>
      <c r="Y86" s="1752">
        <v>16.399999999999999</v>
      </c>
      <c r="Z86" s="1752">
        <v>16.399999999999999</v>
      </c>
      <c r="AA86" s="1752">
        <v>16.399999999999999</v>
      </c>
      <c r="AB86" s="1752">
        <v>16.399999999999999</v>
      </c>
      <c r="AC86" s="1752">
        <v>16.399999999999999</v>
      </c>
      <c r="AD86" s="1752">
        <v>16.399999999999999</v>
      </c>
      <c r="AE86" s="1752">
        <v>16.399999999999999</v>
      </c>
      <c r="AF86" s="1752">
        <v>16.399999999999999</v>
      </c>
      <c r="AG86" s="1752">
        <v>16.399999999999999</v>
      </c>
      <c r="AH86" s="1752">
        <v>16.399999999999999</v>
      </c>
      <c r="AI86" s="1752">
        <v>16.399999999999999</v>
      </c>
      <c r="AJ86" s="1752">
        <v>16.399999999999999</v>
      </c>
      <c r="AK86" s="1752">
        <v>16.399999999999999</v>
      </c>
      <c r="AL86" s="1752">
        <v>16.399999999999999</v>
      </c>
      <c r="AM86" s="1752">
        <v>16.399999999999999</v>
      </c>
      <c r="AN86" s="1752">
        <v>16.399999999999999</v>
      </c>
      <c r="AO86" s="1752">
        <v>16.399999999999999</v>
      </c>
      <c r="AP86" s="1752">
        <v>16.399999999999999</v>
      </c>
      <c r="AQ86" s="1752"/>
      <c r="AR86" s="1752"/>
      <c r="AS86" s="1752"/>
      <c r="AT86" s="1752"/>
      <c r="AU86" s="1752"/>
      <c r="AV86" s="1752"/>
      <c r="AW86" s="1752"/>
      <c r="AX86" s="1752"/>
      <c r="AY86" s="1752"/>
      <c r="AZ86" s="1752"/>
      <c r="BA86" s="1752"/>
      <c r="BB86" s="1752"/>
      <c r="BC86" s="1752"/>
      <c r="BD86" s="1752"/>
      <c r="BE86" s="1752"/>
      <c r="BF86" s="1752"/>
      <c r="BG86" s="1752"/>
      <c r="BH86" s="1752"/>
      <c r="BI86" s="1752"/>
      <c r="BJ86" s="1752"/>
      <c r="BK86" s="1752"/>
      <c r="BL86" s="1752"/>
      <c r="BM86" s="1752"/>
      <c r="BN86" s="1752"/>
      <c r="BO86" s="1752"/>
      <c r="BP86" s="1754"/>
      <c r="BQ86" s="1755"/>
      <c r="BR86" s="1755"/>
      <c r="BS86" s="1755"/>
      <c r="BT86" s="1755"/>
      <c r="BU86" s="1755"/>
      <c r="BV86" s="1755"/>
      <c r="BW86" s="1755"/>
      <c r="BX86" s="1755"/>
      <c r="BY86" s="1755"/>
      <c r="BZ86" s="1755"/>
      <c r="CA86" s="1755"/>
      <c r="CB86" s="1755"/>
      <c r="CC86" s="1755"/>
      <c r="CD86" s="1755"/>
      <c r="CE86" s="1755"/>
      <c r="CF86" s="1755"/>
      <c r="CG86" s="1755"/>
      <c r="CH86" s="1755"/>
      <c r="CI86" s="1755"/>
      <c r="CJ86" s="1755"/>
      <c r="CK86" s="1755"/>
      <c r="CL86" s="1755"/>
      <c r="CM86" s="1755"/>
      <c r="CN86" s="1756"/>
      <c r="CO86" s="1767"/>
    </row>
    <row r="87" spans="2:93" ht="28.5" x14ac:dyDescent="0.2">
      <c r="B87" s="170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87" s="1703" t="s">
        <v>953</v>
      </c>
      <c r="D87" s="1703" t="s">
        <v>952</v>
      </c>
      <c r="E87" s="1704" t="s">
        <v>913</v>
      </c>
      <c r="F87" s="1707" t="str">
        <f>VLOOKUP(TBL5_OptBen[[#This Row],[Option Type (defined list)]],'Option Typs_Grps'!B$2:C$47, 2, FALSE)</f>
        <v>Resource Options</v>
      </c>
      <c r="G87" s="1707" t="s">
        <v>863</v>
      </c>
      <c r="H87" s="1707" t="s">
        <v>1457</v>
      </c>
      <c r="I87" s="1703" t="s">
        <v>105</v>
      </c>
      <c r="J87" s="1707" t="s">
        <v>236</v>
      </c>
      <c r="K87" s="1751">
        <v>2</v>
      </c>
      <c r="L87" s="1752"/>
      <c r="M87" s="1752"/>
      <c r="N87" s="1752"/>
      <c r="O87" s="1754"/>
      <c r="P87" s="1766"/>
      <c r="Q87" s="1753"/>
      <c r="R87" s="1753"/>
      <c r="S87" s="1752"/>
      <c r="T87" s="1752"/>
      <c r="U87" s="1752"/>
      <c r="V87" s="1752"/>
      <c r="W87" s="1752"/>
      <c r="X87" s="1752"/>
      <c r="Y87" s="1752">
        <v>11</v>
      </c>
      <c r="Z87" s="1752">
        <v>11</v>
      </c>
      <c r="AA87" s="1752">
        <v>11</v>
      </c>
      <c r="AB87" s="1752">
        <v>11</v>
      </c>
      <c r="AC87" s="1752">
        <v>11</v>
      </c>
      <c r="AD87" s="1752">
        <v>11</v>
      </c>
      <c r="AE87" s="1752">
        <v>11</v>
      </c>
      <c r="AF87" s="1752">
        <v>11</v>
      </c>
      <c r="AG87" s="1752">
        <v>11</v>
      </c>
      <c r="AH87" s="1752">
        <v>11</v>
      </c>
      <c r="AI87" s="1752">
        <v>11</v>
      </c>
      <c r="AJ87" s="1752">
        <v>11</v>
      </c>
      <c r="AK87" s="1752">
        <v>11</v>
      </c>
      <c r="AL87" s="1752">
        <v>11</v>
      </c>
      <c r="AM87" s="1752">
        <v>11</v>
      </c>
      <c r="AN87" s="1752">
        <v>11</v>
      </c>
      <c r="AO87" s="1752">
        <v>11</v>
      </c>
      <c r="AP87" s="1752">
        <v>11</v>
      </c>
      <c r="AQ87" s="1752"/>
      <c r="AR87" s="1752"/>
      <c r="AS87" s="1752"/>
      <c r="AT87" s="1752"/>
      <c r="AU87" s="1752"/>
      <c r="AV87" s="1752"/>
      <c r="AW87" s="1752"/>
      <c r="AX87" s="1752"/>
      <c r="AY87" s="1752"/>
      <c r="AZ87" s="1752"/>
      <c r="BA87" s="1752"/>
      <c r="BB87" s="1752"/>
      <c r="BC87" s="1752"/>
      <c r="BD87" s="1752"/>
      <c r="BE87" s="1752"/>
      <c r="BF87" s="1752"/>
      <c r="BG87" s="1752"/>
      <c r="BH87" s="1752"/>
      <c r="BI87" s="1752"/>
      <c r="BJ87" s="1752"/>
      <c r="BK87" s="1752"/>
      <c r="BL87" s="1752"/>
      <c r="BM87" s="1752"/>
      <c r="BN87" s="1752"/>
      <c r="BO87" s="1752"/>
      <c r="BP87" s="1752"/>
      <c r="BQ87" s="1752"/>
      <c r="BR87" s="1752"/>
      <c r="BS87" s="1752"/>
      <c r="BT87" s="1752"/>
      <c r="BU87" s="1752"/>
      <c r="BV87" s="1752"/>
      <c r="BW87" s="1752"/>
      <c r="BX87" s="1752"/>
      <c r="BY87" s="1752"/>
      <c r="BZ87" s="1752"/>
      <c r="CA87" s="1752"/>
      <c r="CB87" s="1752"/>
      <c r="CC87" s="1752"/>
      <c r="CD87" s="1752"/>
      <c r="CE87" s="1752"/>
      <c r="CF87" s="1752"/>
      <c r="CG87" s="1752"/>
      <c r="CH87" s="1752"/>
      <c r="CI87" s="1752"/>
      <c r="CJ87" s="1752"/>
      <c r="CK87" s="1752"/>
      <c r="CL87" s="1752"/>
      <c r="CM87" s="1752"/>
      <c r="CN87" s="1752"/>
      <c r="CO87" s="1767"/>
    </row>
    <row r="88" spans="2:93" ht="28.5" x14ac:dyDescent="0.2">
      <c r="B88" s="1707"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88" s="1707" t="s">
        <v>1469</v>
      </c>
      <c r="D88" s="1707" t="s">
        <v>1089</v>
      </c>
      <c r="E88" s="1707" t="s">
        <v>981</v>
      </c>
      <c r="F88" s="1707" t="str">
        <f>VLOOKUP(TBL5_OptBen[[#This Row],[Option Type (defined list)]],'Option Typs_Grps'!B$2:C$47, 2, FALSE)</f>
        <v>Resource Options</v>
      </c>
      <c r="G88" s="1707" t="s">
        <v>863</v>
      </c>
      <c r="H88" s="1707" t="s">
        <v>1457</v>
      </c>
      <c r="I88" s="1703" t="s">
        <v>105</v>
      </c>
      <c r="J88" s="1707" t="s">
        <v>236</v>
      </c>
      <c r="K88" s="1751">
        <v>2</v>
      </c>
      <c r="L88" s="1752"/>
      <c r="M88" s="1752"/>
      <c r="N88" s="1752"/>
      <c r="O88" s="1754"/>
      <c r="P88" s="1766"/>
      <c r="Q88" s="1753"/>
      <c r="R88" s="1753"/>
      <c r="S88" s="1752"/>
      <c r="T88" s="1752"/>
      <c r="U88" s="1752"/>
      <c r="V88" s="1752"/>
      <c r="W88" s="1752"/>
      <c r="X88" s="1752"/>
      <c r="Y88" s="1752"/>
      <c r="Z88" s="1752"/>
      <c r="AA88" s="1752"/>
      <c r="AB88" s="1752"/>
      <c r="AC88" s="1752"/>
      <c r="AD88" s="1752"/>
      <c r="AE88" s="1752"/>
      <c r="AF88" s="1752"/>
      <c r="AG88" s="1752">
        <v>18.5</v>
      </c>
      <c r="AH88" s="1752">
        <v>18.5</v>
      </c>
      <c r="AI88" s="1752">
        <v>18.5</v>
      </c>
      <c r="AJ88" s="1752">
        <v>18.5</v>
      </c>
      <c r="AK88" s="1752">
        <v>18.5</v>
      </c>
      <c r="AL88" s="1752">
        <v>18.5</v>
      </c>
      <c r="AM88" s="1752">
        <v>18.5</v>
      </c>
      <c r="AN88" s="1752">
        <v>18.5</v>
      </c>
      <c r="AO88" s="1752">
        <v>18.5</v>
      </c>
      <c r="AP88" s="1752">
        <v>18.5</v>
      </c>
      <c r="AQ88" s="1752"/>
      <c r="AR88" s="1752"/>
      <c r="AS88" s="1752"/>
      <c r="AT88" s="1752"/>
      <c r="AU88" s="1752"/>
      <c r="AV88" s="1752"/>
      <c r="AW88" s="1752"/>
      <c r="AX88" s="1752"/>
      <c r="AY88" s="1752"/>
      <c r="AZ88" s="1752"/>
      <c r="BA88" s="1752"/>
      <c r="BB88" s="1752"/>
      <c r="BC88" s="1752"/>
      <c r="BD88" s="1752"/>
      <c r="BE88" s="1752"/>
      <c r="BF88" s="1752"/>
      <c r="BG88" s="1752"/>
      <c r="BH88" s="1752"/>
      <c r="BI88" s="1752"/>
      <c r="BJ88" s="1752"/>
      <c r="BK88" s="1752"/>
      <c r="BL88" s="1752"/>
      <c r="BM88" s="1752"/>
      <c r="BN88" s="1752"/>
      <c r="BO88" s="1752"/>
      <c r="BP88" s="1754"/>
      <c r="BQ88" s="1755"/>
      <c r="BR88" s="1755"/>
      <c r="BS88" s="1755"/>
      <c r="BT88" s="1755"/>
      <c r="BU88" s="1755"/>
      <c r="BV88" s="1755"/>
      <c r="BW88" s="1755"/>
      <c r="BX88" s="1755"/>
      <c r="BY88" s="1755"/>
      <c r="BZ88" s="1755"/>
      <c r="CA88" s="1755"/>
      <c r="CB88" s="1755"/>
      <c r="CC88" s="1755"/>
      <c r="CD88" s="1755"/>
      <c r="CE88" s="1755"/>
      <c r="CF88" s="1755"/>
      <c r="CG88" s="1755"/>
      <c r="CH88" s="1755"/>
      <c r="CI88" s="1755"/>
      <c r="CJ88" s="1755"/>
      <c r="CK88" s="1755"/>
      <c r="CL88" s="1755"/>
      <c r="CM88" s="1755"/>
      <c r="CN88" s="1756"/>
      <c r="CO88" s="1767"/>
    </row>
    <row r="89" spans="2:93" x14ac:dyDescent="0.2">
      <c r="B89" s="170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52bA</v>
      </c>
      <c r="C89" s="1707" t="s">
        <v>889</v>
      </c>
      <c r="D89" s="1707" t="s">
        <v>888</v>
      </c>
      <c r="E89" s="1704" t="s">
        <v>885</v>
      </c>
      <c r="F89" s="1707" t="str">
        <f>VLOOKUP(TBL5_OptBen[[#This Row],[Option Type (defined list)]],'Option Typs_Grps'!B$2:C$47, 2, FALSE)</f>
        <v>Production Options</v>
      </c>
      <c r="G89" s="1707" t="s">
        <v>863</v>
      </c>
      <c r="H89" s="1707" t="s">
        <v>1457</v>
      </c>
      <c r="I89" s="1703" t="s">
        <v>88</v>
      </c>
      <c r="J89" s="1707" t="s">
        <v>236</v>
      </c>
      <c r="K89" s="1751">
        <v>2</v>
      </c>
      <c r="L89" s="1752"/>
      <c r="M89" s="1752"/>
      <c r="N89" s="1752"/>
      <c r="O89" s="1754"/>
      <c r="P89" s="1766"/>
      <c r="Q89" s="1753"/>
      <c r="R89" s="1753"/>
      <c r="S89" s="1752"/>
      <c r="T89" s="1752"/>
      <c r="U89" s="1752"/>
      <c r="V89" s="1752">
        <v>0.9</v>
      </c>
      <c r="W89" s="1752">
        <v>0.9</v>
      </c>
      <c r="X89" s="1752">
        <v>0.9</v>
      </c>
      <c r="Y89" s="1752">
        <v>0.9</v>
      </c>
      <c r="Z89" s="1752">
        <v>0.9</v>
      </c>
      <c r="AA89" s="1752">
        <v>0.9</v>
      </c>
      <c r="AB89" s="1752">
        <v>0.9</v>
      </c>
      <c r="AC89" s="1752">
        <v>0.9</v>
      </c>
      <c r="AD89" s="1752">
        <v>0.9</v>
      </c>
      <c r="AE89" s="1752">
        <v>0.9</v>
      </c>
      <c r="AF89" s="1752">
        <v>0.9</v>
      </c>
      <c r="AG89" s="1752">
        <v>0.9</v>
      </c>
      <c r="AH89" s="1752">
        <v>0.9</v>
      </c>
      <c r="AI89" s="1752">
        <v>0.9</v>
      </c>
      <c r="AJ89" s="1752">
        <v>0.9</v>
      </c>
      <c r="AK89" s="1752">
        <v>0.9</v>
      </c>
      <c r="AL89" s="1752">
        <v>0.9</v>
      </c>
      <c r="AM89" s="1752">
        <v>0.9</v>
      </c>
      <c r="AN89" s="1752">
        <v>0.9</v>
      </c>
      <c r="AO89" s="1752">
        <v>0.9</v>
      </c>
      <c r="AP89" s="1752">
        <v>0.9</v>
      </c>
      <c r="AQ89" s="1752"/>
      <c r="AR89" s="1752"/>
      <c r="AS89" s="1752"/>
      <c r="AT89" s="1752"/>
      <c r="AU89" s="1752"/>
      <c r="AV89" s="1752"/>
      <c r="AW89" s="1752"/>
      <c r="AX89" s="1752"/>
      <c r="AY89" s="1752"/>
      <c r="AZ89" s="1752"/>
      <c r="BA89" s="1752"/>
      <c r="BB89" s="1752"/>
      <c r="BC89" s="1752"/>
      <c r="BD89" s="1752"/>
      <c r="BE89" s="1752"/>
      <c r="BF89" s="1752"/>
      <c r="BG89" s="1752"/>
      <c r="BH89" s="1752"/>
      <c r="BI89" s="1752"/>
      <c r="BJ89" s="1752"/>
      <c r="BK89" s="1752"/>
      <c r="BL89" s="1752"/>
      <c r="BM89" s="1752"/>
      <c r="BN89" s="1752"/>
      <c r="BO89" s="1752"/>
      <c r="BP89" s="1754"/>
      <c r="BQ89" s="1755"/>
      <c r="BR89" s="1755"/>
      <c r="BS89" s="1755"/>
      <c r="BT89" s="1755"/>
      <c r="BU89" s="1755"/>
      <c r="BV89" s="1755"/>
      <c r="BW89" s="1755"/>
      <c r="BX89" s="1755"/>
      <c r="BY89" s="1755"/>
      <c r="BZ89" s="1755"/>
      <c r="CA89" s="1755"/>
      <c r="CB89" s="1755"/>
      <c r="CC89" s="1755"/>
      <c r="CD89" s="1755"/>
      <c r="CE89" s="1755"/>
      <c r="CF89" s="1755"/>
      <c r="CG89" s="1755"/>
      <c r="CH89" s="1755"/>
      <c r="CI89" s="1755"/>
      <c r="CJ89" s="1755"/>
      <c r="CK89" s="1755"/>
      <c r="CL89" s="1755"/>
      <c r="CM89" s="1755"/>
      <c r="CN89" s="1756"/>
      <c r="CO89" s="1767"/>
    </row>
    <row r="90" spans="2:93" x14ac:dyDescent="0.2">
      <c r="B90" s="170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52bA</v>
      </c>
      <c r="C90" s="1707" t="s">
        <v>887</v>
      </c>
      <c r="D90" s="1707" t="s">
        <v>886</v>
      </c>
      <c r="E90" s="1704" t="s">
        <v>885</v>
      </c>
      <c r="F90" s="1707" t="str">
        <f>VLOOKUP(TBL5_OptBen[[#This Row],[Option Type (defined list)]],'Option Typs_Grps'!B$2:C$47, 2, FALSE)</f>
        <v>Production Options</v>
      </c>
      <c r="G90" s="1707" t="s">
        <v>863</v>
      </c>
      <c r="H90" s="1707" t="s">
        <v>1457</v>
      </c>
      <c r="I90" s="1703" t="s">
        <v>88</v>
      </c>
      <c r="J90" s="1707" t="s">
        <v>236</v>
      </c>
      <c r="K90" s="1751">
        <v>2</v>
      </c>
      <c r="L90" s="1752"/>
      <c r="M90" s="1752"/>
      <c r="N90" s="1752"/>
      <c r="O90" s="1754"/>
      <c r="P90" s="1766"/>
      <c r="Q90" s="1753"/>
      <c r="R90" s="1753"/>
      <c r="S90" s="1752"/>
      <c r="T90" s="1752"/>
      <c r="U90" s="1752"/>
      <c r="V90" s="1752">
        <v>2.75</v>
      </c>
      <c r="W90" s="1752">
        <v>2.75</v>
      </c>
      <c r="X90" s="1752">
        <v>2.75</v>
      </c>
      <c r="Y90" s="1752">
        <v>2.75</v>
      </c>
      <c r="Z90" s="1752">
        <v>2.75</v>
      </c>
      <c r="AA90" s="1752">
        <v>2.75</v>
      </c>
      <c r="AB90" s="1752">
        <v>2.75</v>
      </c>
      <c r="AC90" s="1752">
        <v>2.75</v>
      </c>
      <c r="AD90" s="1752">
        <v>2.75</v>
      </c>
      <c r="AE90" s="1752">
        <v>2.75</v>
      </c>
      <c r="AF90" s="1752">
        <v>2.75</v>
      </c>
      <c r="AG90" s="1752">
        <v>2.75</v>
      </c>
      <c r="AH90" s="1752">
        <v>2.75</v>
      </c>
      <c r="AI90" s="1752">
        <v>2.75</v>
      </c>
      <c r="AJ90" s="1752">
        <v>2.75</v>
      </c>
      <c r="AK90" s="1752">
        <v>2.75</v>
      </c>
      <c r="AL90" s="1752">
        <v>2.75</v>
      </c>
      <c r="AM90" s="1752">
        <v>2.75</v>
      </c>
      <c r="AN90" s="1752">
        <v>2.75</v>
      </c>
      <c r="AO90" s="1752">
        <v>2.75</v>
      </c>
      <c r="AP90" s="1752">
        <v>2.75</v>
      </c>
      <c r="AQ90" s="1752"/>
      <c r="AR90" s="1752"/>
      <c r="AS90" s="1752"/>
      <c r="AT90" s="1752"/>
      <c r="AU90" s="1752"/>
      <c r="AV90" s="1752"/>
      <c r="AW90" s="1752"/>
      <c r="AX90" s="1752"/>
      <c r="AY90" s="1752"/>
      <c r="AZ90" s="1752"/>
      <c r="BA90" s="1752"/>
      <c r="BB90" s="1752"/>
      <c r="BC90" s="1752"/>
      <c r="BD90" s="1752"/>
      <c r="BE90" s="1752"/>
      <c r="BF90" s="1752"/>
      <c r="BG90" s="1752"/>
      <c r="BH90" s="1752"/>
      <c r="BI90" s="1752"/>
      <c r="BJ90" s="1752"/>
      <c r="BK90" s="1752"/>
      <c r="BL90" s="1752"/>
      <c r="BM90" s="1752"/>
      <c r="BN90" s="1752"/>
      <c r="BO90" s="1752"/>
      <c r="BP90" s="1754"/>
      <c r="BQ90" s="1755"/>
      <c r="BR90" s="1755"/>
      <c r="BS90" s="1755"/>
      <c r="BT90" s="1755"/>
      <c r="BU90" s="1755"/>
      <c r="BV90" s="1755"/>
      <c r="BW90" s="1755"/>
      <c r="BX90" s="1755"/>
      <c r="BY90" s="1755"/>
      <c r="BZ90" s="1755"/>
      <c r="CA90" s="1755"/>
      <c r="CB90" s="1755"/>
      <c r="CC90" s="1755"/>
      <c r="CD90" s="1755"/>
      <c r="CE90" s="1755"/>
      <c r="CF90" s="1755"/>
      <c r="CG90" s="1755"/>
      <c r="CH90" s="1755"/>
      <c r="CI90" s="1755"/>
      <c r="CJ90" s="1755"/>
      <c r="CK90" s="1755"/>
      <c r="CL90" s="1755"/>
      <c r="CM90" s="1755"/>
      <c r="CN90" s="1756"/>
      <c r="CO90" s="1767"/>
    </row>
    <row r="91" spans="2:93" ht="28.5" x14ac:dyDescent="0.2">
      <c r="B91" s="170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91" s="1707" t="s">
        <v>891</v>
      </c>
      <c r="D91" s="1707" t="s">
        <v>890</v>
      </c>
      <c r="E91" s="1704" t="s">
        <v>875</v>
      </c>
      <c r="F91" s="1707" t="str">
        <f>VLOOKUP(TBL5_OptBen[[#This Row],[Option Type (defined list)]],'Option Typs_Grps'!B$2:C$47, 2, FALSE)</f>
        <v>Resource Options</v>
      </c>
      <c r="G91" s="1707" t="s">
        <v>863</v>
      </c>
      <c r="H91" s="1707" t="s">
        <v>1457</v>
      </c>
      <c r="I91" s="1703" t="s">
        <v>88</v>
      </c>
      <c r="J91" s="1707" t="s">
        <v>236</v>
      </c>
      <c r="K91" s="1751">
        <v>2</v>
      </c>
      <c r="L91" s="1752"/>
      <c r="M91" s="1752"/>
      <c r="N91" s="1752"/>
      <c r="O91" s="1754"/>
      <c r="P91" s="1766"/>
      <c r="Q91" s="1753"/>
      <c r="R91" s="1753"/>
      <c r="S91" s="1752"/>
      <c r="T91" s="1752"/>
      <c r="U91" s="1752"/>
      <c r="V91" s="1752"/>
      <c r="W91" s="1752">
        <v>8</v>
      </c>
      <c r="X91" s="1752">
        <v>8</v>
      </c>
      <c r="Y91" s="1752">
        <v>8</v>
      </c>
      <c r="Z91" s="1752">
        <v>8</v>
      </c>
      <c r="AA91" s="1752">
        <v>8</v>
      </c>
      <c r="AB91" s="1752">
        <v>8</v>
      </c>
      <c r="AC91" s="1752">
        <v>8</v>
      </c>
      <c r="AD91" s="1752">
        <v>8</v>
      </c>
      <c r="AE91" s="1752">
        <v>8</v>
      </c>
      <c r="AF91" s="1752">
        <v>8</v>
      </c>
      <c r="AG91" s="1752">
        <v>8</v>
      </c>
      <c r="AH91" s="1752">
        <v>8</v>
      </c>
      <c r="AI91" s="1752">
        <v>8</v>
      </c>
      <c r="AJ91" s="1752">
        <v>8</v>
      </c>
      <c r="AK91" s="1752">
        <v>8</v>
      </c>
      <c r="AL91" s="1752">
        <v>8</v>
      </c>
      <c r="AM91" s="1752">
        <v>8</v>
      </c>
      <c r="AN91" s="1752">
        <v>8</v>
      </c>
      <c r="AO91" s="1752">
        <v>8</v>
      </c>
      <c r="AP91" s="1752">
        <v>8</v>
      </c>
      <c r="AQ91" s="1752"/>
      <c r="AR91" s="1752"/>
      <c r="AS91" s="1752"/>
      <c r="AT91" s="1752"/>
      <c r="AU91" s="1752"/>
      <c r="AV91" s="1752"/>
      <c r="AW91" s="1752"/>
      <c r="AX91" s="1752"/>
      <c r="AY91" s="1752"/>
      <c r="AZ91" s="1752"/>
      <c r="BA91" s="1752"/>
      <c r="BB91" s="1752"/>
      <c r="BC91" s="1752"/>
      <c r="BD91" s="1752"/>
      <c r="BE91" s="1752"/>
      <c r="BF91" s="1752"/>
      <c r="BG91" s="1752"/>
      <c r="BH91" s="1752"/>
      <c r="BI91" s="1752"/>
      <c r="BJ91" s="1752"/>
      <c r="BK91" s="1752"/>
      <c r="BL91" s="1752"/>
      <c r="BM91" s="1752"/>
      <c r="BN91" s="1752"/>
      <c r="BO91" s="1752"/>
      <c r="BP91" s="1754"/>
      <c r="BQ91" s="1755"/>
      <c r="BR91" s="1755"/>
      <c r="BS91" s="1755"/>
      <c r="BT91" s="1755"/>
      <c r="BU91" s="1755"/>
      <c r="BV91" s="1755"/>
      <c r="BW91" s="1755"/>
      <c r="BX91" s="1755"/>
      <c r="BY91" s="1755"/>
      <c r="BZ91" s="1755"/>
      <c r="CA91" s="1755"/>
      <c r="CB91" s="1755"/>
      <c r="CC91" s="1755"/>
      <c r="CD91" s="1755"/>
      <c r="CE91" s="1755"/>
      <c r="CF91" s="1755"/>
      <c r="CG91" s="1755"/>
      <c r="CH91" s="1755"/>
      <c r="CI91" s="1755"/>
      <c r="CJ91" s="1755"/>
      <c r="CK91" s="1755"/>
      <c r="CL91" s="1755"/>
      <c r="CM91" s="1755"/>
      <c r="CN91" s="1756"/>
      <c r="CO91" s="1767"/>
    </row>
    <row r="92" spans="2:93" x14ac:dyDescent="0.2">
      <c r="B92" s="170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52bA</v>
      </c>
      <c r="C92" s="1703" t="s">
        <v>894</v>
      </c>
      <c r="D92" s="1703" t="s">
        <v>893</v>
      </c>
      <c r="E92" s="1704" t="s">
        <v>885</v>
      </c>
      <c r="F92" s="1707" t="str">
        <f>VLOOKUP(TBL5_OptBen[[#This Row],[Option Type (defined list)]],'Option Typs_Grps'!B$2:C$47, 2, FALSE)</f>
        <v>Production Options</v>
      </c>
      <c r="G92" s="1707" t="s">
        <v>863</v>
      </c>
      <c r="H92" s="1707" t="s">
        <v>1457</v>
      </c>
      <c r="I92" s="1703" t="s">
        <v>88</v>
      </c>
      <c r="J92" s="1707" t="s">
        <v>236</v>
      </c>
      <c r="K92" s="1751">
        <v>2</v>
      </c>
      <c r="L92" s="1752"/>
      <c r="M92" s="1752"/>
      <c r="N92" s="1752"/>
      <c r="O92" s="1754"/>
      <c r="P92" s="1766"/>
      <c r="Q92" s="1753"/>
      <c r="R92" s="1753"/>
      <c r="S92" s="1752"/>
      <c r="T92" s="1752"/>
      <c r="U92" s="1752"/>
      <c r="V92" s="1752">
        <v>0.2</v>
      </c>
      <c r="W92" s="1752">
        <v>0.2</v>
      </c>
      <c r="X92" s="1752">
        <v>0.2</v>
      </c>
      <c r="Y92" s="1752">
        <v>0.2</v>
      </c>
      <c r="Z92" s="1752">
        <v>0.2</v>
      </c>
      <c r="AA92" s="1752">
        <v>0.2</v>
      </c>
      <c r="AB92" s="1752">
        <v>0.2</v>
      </c>
      <c r="AC92" s="1752">
        <v>0.2</v>
      </c>
      <c r="AD92" s="1752">
        <v>0.2</v>
      </c>
      <c r="AE92" s="1752">
        <v>0.2</v>
      </c>
      <c r="AF92" s="1752">
        <v>0.2</v>
      </c>
      <c r="AG92" s="1752">
        <v>0.2</v>
      </c>
      <c r="AH92" s="1752">
        <v>0.2</v>
      </c>
      <c r="AI92" s="1752">
        <v>0.2</v>
      </c>
      <c r="AJ92" s="1752">
        <v>0.2</v>
      </c>
      <c r="AK92" s="1752">
        <v>0.2</v>
      </c>
      <c r="AL92" s="1752">
        <v>0.2</v>
      </c>
      <c r="AM92" s="1752">
        <v>0.2</v>
      </c>
      <c r="AN92" s="1752">
        <v>0.2</v>
      </c>
      <c r="AO92" s="1752">
        <v>0.2</v>
      </c>
      <c r="AP92" s="1752">
        <v>0.2</v>
      </c>
      <c r="AQ92" s="1752"/>
      <c r="AR92" s="1752"/>
      <c r="AS92" s="1752"/>
      <c r="AT92" s="1752"/>
      <c r="AU92" s="1752"/>
      <c r="AV92" s="1752"/>
      <c r="AW92" s="1752"/>
      <c r="AX92" s="1752"/>
      <c r="AY92" s="1752"/>
      <c r="AZ92" s="1752"/>
      <c r="BA92" s="1752"/>
      <c r="BB92" s="1752"/>
      <c r="BC92" s="1752"/>
      <c r="BD92" s="1752"/>
      <c r="BE92" s="1752"/>
      <c r="BF92" s="1752"/>
      <c r="BG92" s="1752"/>
      <c r="BH92" s="1752"/>
      <c r="BI92" s="1752"/>
      <c r="BJ92" s="1752"/>
      <c r="BK92" s="1752"/>
      <c r="BL92" s="1752"/>
      <c r="BM92" s="1752"/>
      <c r="BN92" s="1752"/>
      <c r="BO92" s="1752"/>
      <c r="BP92" s="1754"/>
      <c r="BQ92" s="1755"/>
      <c r="BR92" s="1755"/>
      <c r="BS92" s="1755"/>
      <c r="BT92" s="1755"/>
      <c r="BU92" s="1755"/>
      <c r="BV92" s="1755"/>
      <c r="BW92" s="1755"/>
      <c r="BX92" s="1755"/>
      <c r="BY92" s="1755"/>
      <c r="BZ92" s="1755"/>
      <c r="CA92" s="1755"/>
      <c r="CB92" s="1755"/>
      <c r="CC92" s="1755"/>
      <c r="CD92" s="1755"/>
      <c r="CE92" s="1755"/>
      <c r="CF92" s="1755"/>
      <c r="CG92" s="1755"/>
      <c r="CH92" s="1755"/>
      <c r="CI92" s="1755"/>
      <c r="CJ92" s="1755"/>
      <c r="CK92" s="1755"/>
      <c r="CL92" s="1755"/>
      <c r="CM92" s="1755"/>
      <c r="CN92" s="1752"/>
      <c r="CO92" s="1767"/>
    </row>
    <row r="93" spans="2:93" x14ac:dyDescent="0.2">
      <c r="B93" s="170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52bA</v>
      </c>
      <c r="C93" s="1707" t="s">
        <v>884</v>
      </c>
      <c r="D93" s="1707" t="s">
        <v>883</v>
      </c>
      <c r="E93" s="1704" t="s">
        <v>885</v>
      </c>
      <c r="F93" s="1707" t="str">
        <f>VLOOKUP(TBL5_OptBen[[#This Row],[Option Type (defined list)]],'Option Typs_Grps'!B$2:C$47, 2, FALSE)</f>
        <v>Production Options</v>
      </c>
      <c r="G93" s="1707" t="s">
        <v>863</v>
      </c>
      <c r="H93" s="1707" t="s">
        <v>1457</v>
      </c>
      <c r="I93" s="1703" t="s">
        <v>105</v>
      </c>
      <c r="J93" s="1707" t="s">
        <v>236</v>
      </c>
      <c r="K93" s="1751">
        <v>2</v>
      </c>
      <c r="L93" s="1752"/>
      <c r="M93" s="1752"/>
      <c r="N93" s="1752"/>
      <c r="O93" s="1754"/>
      <c r="P93" s="1766"/>
      <c r="Q93" s="1753"/>
      <c r="R93" s="1753"/>
      <c r="S93" s="1752"/>
      <c r="T93" s="1752"/>
      <c r="U93" s="1752"/>
      <c r="V93" s="1752">
        <v>2.15</v>
      </c>
      <c r="W93" s="1752">
        <v>2.15</v>
      </c>
      <c r="X93" s="1752">
        <v>2.15</v>
      </c>
      <c r="Y93" s="1752">
        <v>2.15</v>
      </c>
      <c r="Z93" s="1752">
        <v>2.15</v>
      </c>
      <c r="AA93" s="1752">
        <v>2.15</v>
      </c>
      <c r="AB93" s="1752">
        <v>2.15</v>
      </c>
      <c r="AC93" s="1752">
        <v>2.15</v>
      </c>
      <c r="AD93" s="1752">
        <v>2.15</v>
      </c>
      <c r="AE93" s="1752">
        <v>2.15</v>
      </c>
      <c r="AF93" s="1752">
        <v>2.15</v>
      </c>
      <c r="AG93" s="1752">
        <v>2.15</v>
      </c>
      <c r="AH93" s="1752">
        <v>2.15</v>
      </c>
      <c r="AI93" s="1752">
        <v>2.15</v>
      </c>
      <c r="AJ93" s="1752">
        <v>2.15</v>
      </c>
      <c r="AK93" s="1752">
        <v>2.15</v>
      </c>
      <c r="AL93" s="1752">
        <v>2.15</v>
      </c>
      <c r="AM93" s="1752">
        <v>2.15</v>
      </c>
      <c r="AN93" s="1752">
        <v>2.15</v>
      </c>
      <c r="AO93" s="1752">
        <v>2.15</v>
      </c>
      <c r="AP93" s="1752">
        <v>2.15</v>
      </c>
      <c r="AQ93" s="1752"/>
      <c r="AR93" s="1752"/>
      <c r="AS93" s="1752"/>
      <c r="AT93" s="1752"/>
      <c r="AU93" s="1752"/>
      <c r="AV93" s="1752"/>
      <c r="AW93" s="1752"/>
      <c r="AX93" s="1752"/>
      <c r="AY93" s="1752"/>
      <c r="AZ93" s="1752"/>
      <c r="BA93" s="1752"/>
      <c r="BB93" s="1752"/>
      <c r="BC93" s="1752"/>
      <c r="BD93" s="1752"/>
      <c r="BE93" s="1752"/>
      <c r="BF93" s="1752"/>
      <c r="BG93" s="1752"/>
      <c r="BH93" s="1752"/>
      <c r="BI93" s="1752"/>
      <c r="BJ93" s="1752"/>
      <c r="BK93" s="1752"/>
      <c r="BL93" s="1752"/>
      <c r="BM93" s="1752"/>
      <c r="BN93" s="1752"/>
      <c r="BO93" s="1752"/>
      <c r="BP93" s="1754"/>
      <c r="BQ93" s="1755"/>
      <c r="BR93" s="1755"/>
      <c r="BS93" s="1755"/>
      <c r="BT93" s="1755"/>
      <c r="BU93" s="1755"/>
      <c r="BV93" s="1755"/>
      <c r="BW93" s="1755"/>
      <c r="BX93" s="1755"/>
      <c r="BY93" s="1755"/>
      <c r="BZ93" s="1755"/>
      <c r="CA93" s="1755"/>
      <c r="CB93" s="1755"/>
      <c r="CC93" s="1755"/>
      <c r="CD93" s="1755"/>
      <c r="CE93" s="1755"/>
      <c r="CF93" s="1755"/>
      <c r="CG93" s="1755"/>
      <c r="CH93" s="1755"/>
      <c r="CI93" s="1755"/>
      <c r="CJ93" s="1755"/>
      <c r="CK93" s="1755"/>
      <c r="CL93" s="1755"/>
      <c r="CM93" s="1755"/>
      <c r="CN93" s="1756"/>
      <c r="CO93" s="1767"/>
    </row>
    <row r="94" spans="2:93" ht="28.5" x14ac:dyDescent="0.2">
      <c r="B94" s="1707"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94" s="1703" t="s">
        <v>1465</v>
      </c>
      <c r="D94" s="1703" t="s">
        <v>982</v>
      </c>
      <c r="E94" s="1704" t="s">
        <v>907</v>
      </c>
      <c r="F94" s="1707" t="str">
        <f>VLOOKUP(TBL5_OptBen[[#This Row],[Option Type (defined list)]],'Option Typs_Grps'!B$2:C$47, 2, FALSE)</f>
        <v>Distribution Options</v>
      </c>
      <c r="G94" s="1707" t="s">
        <v>863</v>
      </c>
      <c r="H94" s="1707" t="s">
        <v>1457</v>
      </c>
      <c r="I94" s="1703" t="s">
        <v>93</v>
      </c>
      <c r="J94" s="1707" t="s">
        <v>236</v>
      </c>
      <c r="K94" s="1751">
        <v>2</v>
      </c>
      <c r="L94" s="1752"/>
      <c r="M94" s="1752"/>
      <c r="N94" s="1752"/>
      <c r="O94" s="1754"/>
      <c r="P94" s="1766"/>
      <c r="Q94" s="1753"/>
      <c r="R94" s="1753"/>
      <c r="S94" s="1752"/>
      <c r="T94" s="1752"/>
      <c r="U94" s="1752">
        <v>0.52981537984108951</v>
      </c>
      <c r="V94" s="1752">
        <v>0.41022915495426138</v>
      </c>
      <c r="W94" s="1752">
        <v>1.9969002474290551</v>
      </c>
      <c r="X94" s="1752">
        <v>1.9013283248532828</v>
      </c>
      <c r="Y94" s="1752">
        <v>4.132353579458325</v>
      </c>
      <c r="Z94" s="1752">
        <v>4.0303463650160074</v>
      </c>
      <c r="AA94" s="1752">
        <v>3.9299665038642964</v>
      </c>
      <c r="AB94" s="1752">
        <v>3.8811543549678813</v>
      </c>
      <c r="AC94" s="1752">
        <v>3.8301910463949911</v>
      </c>
      <c r="AD94" s="1752">
        <v>3.7825314736066251</v>
      </c>
      <c r="AE94" s="1752">
        <v>3.7582861267371013</v>
      </c>
      <c r="AF94" s="1752">
        <v>3.7283825950762579</v>
      </c>
      <c r="AG94" s="1752">
        <v>4.6033840907552888</v>
      </c>
      <c r="AH94" s="1752">
        <v>4.576671091952095</v>
      </c>
      <c r="AI94" s="1752">
        <v>4.54951954311794</v>
      </c>
      <c r="AJ94" s="1752">
        <v>4.5381927937372986</v>
      </c>
      <c r="AK94" s="1752">
        <v>4.5281645466344935</v>
      </c>
      <c r="AL94" s="1752">
        <v>5.347236636067028</v>
      </c>
      <c r="AM94" s="1752">
        <v>5.3364547211658282</v>
      </c>
      <c r="AN94" s="1752">
        <v>5.3231392274904987</v>
      </c>
      <c r="AO94" s="1752">
        <v>5.3197550071245763</v>
      </c>
      <c r="AP94" s="1752">
        <v>5.3114223719818474</v>
      </c>
      <c r="AQ94" s="1752"/>
      <c r="AR94" s="1752"/>
      <c r="AS94" s="1752"/>
      <c r="AT94" s="1752"/>
      <c r="AU94" s="1752"/>
      <c r="AV94" s="1752"/>
      <c r="AW94" s="1752"/>
      <c r="AX94" s="1752"/>
      <c r="AY94" s="1752"/>
      <c r="AZ94" s="1752"/>
      <c r="BA94" s="1752"/>
      <c r="BB94" s="1752"/>
      <c r="BC94" s="1752"/>
      <c r="BD94" s="1752"/>
      <c r="BE94" s="1752"/>
      <c r="BF94" s="1752"/>
      <c r="BG94" s="1752"/>
      <c r="BH94" s="1752"/>
      <c r="BI94" s="1752"/>
      <c r="BJ94" s="1752"/>
      <c r="BK94" s="1752"/>
      <c r="BL94" s="1752"/>
      <c r="BM94" s="1752"/>
      <c r="BN94" s="1752"/>
      <c r="BO94" s="1752"/>
      <c r="BP94" s="1752"/>
      <c r="BQ94" s="1752"/>
      <c r="BR94" s="1752"/>
      <c r="BS94" s="1752"/>
      <c r="BT94" s="1752"/>
      <c r="BU94" s="1752"/>
      <c r="BV94" s="1752"/>
      <c r="BW94" s="1752"/>
      <c r="BX94" s="1752"/>
      <c r="BY94" s="1752"/>
      <c r="BZ94" s="1752"/>
      <c r="CA94" s="1752"/>
      <c r="CB94" s="1752"/>
      <c r="CC94" s="1752"/>
      <c r="CD94" s="1752"/>
      <c r="CE94" s="1752"/>
      <c r="CF94" s="1752"/>
      <c r="CG94" s="1752"/>
      <c r="CH94" s="1752"/>
      <c r="CI94" s="1752"/>
      <c r="CJ94" s="1752"/>
      <c r="CK94" s="1752"/>
      <c r="CL94" s="1752"/>
      <c r="CM94" s="1752"/>
      <c r="CN94" s="1752"/>
      <c r="CO94" s="1767"/>
    </row>
    <row r="95" spans="2:93" ht="28.5" x14ac:dyDescent="0.2">
      <c r="B95" s="1707"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52cP</v>
      </c>
      <c r="C95" s="1703" t="s">
        <v>1465</v>
      </c>
      <c r="D95" s="1703" t="s">
        <v>982</v>
      </c>
      <c r="E95" s="1704" t="s">
        <v>907</v>
      </c>
      <c r="F95" s="1707" t="str">
        <f>VLOOKUP(TBL5_OptBen[[#This Row],[Option Type (defined list)]],'Option Typs_Grps'!B$2:C$47, 2, FALSE)</f>
        <v>Distribution Options</v>
      </c>
      <c r="G95" s="1707" t="s">
        <v>863</v>
      </c>
      <c r="H95" s="1707" t="s">
        <v>876</v>
      </c>
      <c r="I95" s="1707" t="s">
        <v>105</v>
      </c>
      <c r="J95" s="1707" t="s">
        <v>236</v>
      </c>
      <c r="K95" s="1751">
        <v>2</v>
      </c>
      <c r="L95" s="1752"/>
      <c r="M95" s="1752"/>
      <c r="N95" s="1752"/>
      <c r="O95" s="1754"/>
      <c r="P95" s="1766"/>
      <c r="Q95" s="1753"/>
      <c r="R95" s="1753"/>
      <c r="S95" s="1752"/>
      <c r="T95" s="1752"/>
      <c r="U95" s="1752">
        <v>-0.52981537984108951</v>
      </c>
      <c r="V95" s="1752">
        <v>-0.41022915495426138</v>
      </c>
      <c r="W95" s="1752">
        <v>-1.9969002474290551</v>
      </c>
      <c r="X95" s="1752">
        <v>-1.9013283248532828</v>
      </c>
      <c r="Y95" s="1752">
        <v>-4.132353579458325</v>
      </c>
      <c r="Z95" s="1752">
        <v>-4.0303463650160074</v>
      </c>
      <c r="AA95" s="1752">
        <v>-3.9299665038642964</v>
      </c>
      <c r="AB95" s="1752">
        <v>-3.8811543549678813</v>
      </c>
      <c r="AC95" s="1752">
        <v>-3.8301910463949911</v>
      </c>
      <c r="AD95" s="1752">
        <v>-3.7825314736066251</v>
      </c>
      <c r="AE95" s="1752">
        <v>-3.7582861267371013</v>
      </c>
      <c r="AF95" s="1752">
        <v>-3.7283825950762579</v>
      </c>
      <c r="AG95" s="1752">
        <v>-4.6033840907552888</v>
      </c>
      <c r="AH95" s="1752">
        <v>-4.576671091952095</v>
      </c>
      <c r="AI95" s="1752">
        <v>-4.54951954311794</v>
      </c>
      <c r="AJ95" s="1752">
        <v>-4.5381927937372986</v>
      </c>
      <c r="AK95" s="1752">
        <v>-4.5281645466344935</v>
      </c>
      <c r="AL95" s="1752">
        <v>-5.347236636067028</v>
      </c>
      <c r="AM95" s="1752">
        <v>-5.3364547211658282</v>
      </c>
      <c r="AN95" s="1752">
        <v>-5.3231392274904987</v>
      </c>
      <c r="AO95" s="1752">
        <v>-5.3197550071245763</v>
      </c>
      <c r="AP95" s="1752">
        <v>-5.3114223719818474</v>
      </c>
      <c r="AQ95" s="1752"/>
      <c r="AR95" s="1752"/>
      <c r="AS95" s="1752"/>
      <c r="AT95" s="1752"/>
      <c r="AU95" s="1752"/>
      <c r="AV95" s="1752"/>
      <c r="AW95" s="1752"/>
      <c r="AX95" s="1752"/>
      <c r="AY95" s="1752"/>
      <c r="AZ95" s="1752"/>
      <c r="BA95" s="1752"/>
      <c r="BB95" s="1752"/>
      <c r="BC95" s="1752"/>
      <c r="BD95" s="1752"/>
      <c r="BE95" s="1752"/>
      <c r="BF95" s="1752"/>
      <c r="BG95" s="1752"/>
      <c r="BH95" s="1752"/>
      <c r="BI95" s="1752"/>
      <c r="BJ95" s="1752"/>
      <c r="BK95" s="1752"/>
      <c r="BL95" s="1752"/>
      <c r="BM95" s="1752"/>
      <c r="BN95" s="1752"/>
      <c r="BO95" s="1752"/>
      <c r="BP95" s="1754"/>
      <c r="BQ95" s="1755"/>
      <c r="BR95" s="1755"/>
      <c r="BS95" s="1755"/>
      <c r="BT95" s="1755"/>
      <c r="BU95" s="1755"/>
      <c r="BV95" s="1755"/>
      <c r="BW95" s="1755"/>
      <c r="BX95" s="1755"/>
      <c r="BY95" s="1755"/>
      <c r="BZ95" s="1755"/>
      <c r="CA95" s="1755"/>
      <c r="CB95" s="1755"/>
      <c r="CC95" s="1755"/>
      <c r="CD95" s="1755"/>
      <c r="CE95" s="1755"/>
      <c r="CF95" s="1755"/>
      <c r="CG95" s="1755"/>
      <c r="CH95" s="1755"/>
      <c r="CI95" s="1755"/>
      <c r="CJ95" s="1755"/>
      <c r="CK95" s="1755"/>
      <c r="CL95" s="1755"/>
      <c r="CM95" s="1755"/>
      <c r="CN95" s="1756"/>
      <c r="CO95" s="1767"/>
    </row>
    <row r="96" spans="2:93" ht="28.5" x14ac:dyDescent="0.2">
      <c r="B96" s="1707"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96" s="1703" t="s">
        <v>1465</v>
      </c>
      <c r="D96" s="1703" t="s">
        <v>982</v>
      </c>
      <c r="E96" s="1704" t="s">
        <v>907</v>
      </c>
      <c r="F96" s="1707" t="str">
        <f>VLOOKUP(TBL5_OptBen[[#This Row],[Option Type (defined list)]],'Option Typs_Grps'!B$2:C$47, 2, FALSE)</f>
        <v>Distribution Options</v>
      </c>
      <c r="G96" s="1707" t="s">
        <v>863</v>
      </c>
      <c r="H96" s="1707" t="s">
        <v>1457</v>
      </c>
      <c r="I96" s="1707" t="s">
        <v>105</v>
      </c>
      <c r="J96" s="1707" t="s">
        <v>236</v>
      </c>
      <c r="K96" s="1751">
        <v>2</v>
      </c>
      <c r="L96" s="1752"/>
      <c r="M96" s="1752"/>
      <c r="N96" s="1752"/>
      <c r="O96" s="1754"/>
      <c r="P96" s="1766"/>
      <c r="Q96" s="1753"/>
      <c r="R96" s="1753"/>
      <c r="S96" s="1752"/>
      <c r="T96" s="1752"/>
      <c r="U96" s="1752">
        <v>-0.52981537984108951</v>
      </c>
      <c r="V96" s="1752">
        <v>-0.41022915495426138</v>
      </c>
      <c r="W96" s="1752">
        <v>-1.9969002474290551</v>
      </c>
      <c r="X96" s="1752">
        <v>-1.9013283248532828</v>
      </c>
      <c r="Y96" s="1752">
        <v>-4.132353579458325</v>
      </c>
      <c r="Z96" s="1752">
        <v>-4.0303463650160074</v>
      </c>
      <c r="AA96" s="1752">
        <v>-3.9299665038642964</v>
      </c>
      <c r="AB96" s="1752">
        <v>-3.8811543549678813</v>
      </c>
      <c r="AC96" s="1752">
        <v>-3.8301910463949911</v>
      </c>
      <c r="AD96" s="1752">
        <v>-3.7825314736066251</v>
      </c>
      <c r="AE96" s="1752">
        <v>-3.7582861267371013</v>
      </c>
      <c r="AF96" s="1752">
        <v>-3.7283825950762579</v>
      </c>
      <c r="AG96" s="1752">
        <v>-4.6033840907552888</v>
      </c>
      <c r="AH96" s="1752">
        <v>-4.576671091952095</v>
      </c>
      <c r="AI96" s="1752">
        <v>-4.54951954311794</v>
      </c>
      <c r="AJ96" s="1752">
        <v>-4.5381927937372986</v>
      </c>
      <c r="AK96" s="1752">
        <v>-4.5281645466344935</v>
      </c>
      <c r="AL96" s="1752">
        <v>-5.347236636067028</v>
      </c>
      <c r="AM96" s="1752">
        <v>-5.3364547211658282</v>
      </c>
      <c r="AN96" s="1752">
        <v>-5.3231392274904987</v>
      </c>
      <c r="AO96" s="1752">
        <v>-5.3197550071245763</v>
      </c>
      <c r="AP96" s="1752">
        <v>-5.3114223719818474</v>
      </c>
      <c r="AQ96" s="1752"/>
      <c r="AR96" s="1752"/>
      <c r="AS96" s="1752"/>
      <c r="AT96" s="1752"/>
      <c r="AU96" s="1752"/>
      <c r="AV96" s="1752"/>
      <c r="AW96" s="1752"/>
      <c r="AX96" s="1752"/>
      <c r="AY96" s="1752"/>
      <c r="AZ96" s="1752"/>
      <c r="BA96" s="1752"/>
      <c r="BB96" s="1752"/>
      <c r="BC96" s="1752"/>
      <c r="BD96" s="1752"/>
      <c r="BE96" s="1752"/>
      <c r="BF96" s="1752"/>
      <c r="BG96" s="1752"/>
      <c r="BH96" s="1752"/>
      <c r="BI96" s="1752"/>
      <c r="BJ96" s="1752"/>
      <c r="BK96" s="1752"/>
      <c r="BL96" s="1752"/>
      <c r="BM96" s="1752"/>
      <c r="BN96" s="1752"/>
      <c r="BO96" s="1752"/>
      <c r="BP96" s="1754"/>
      <c r="BQ96" s="1755"/>
      <c r="BR96" s="1755"/>
      <c r="BS96" s="1755"/>
      <c r="BT96" s="1755"/>
      <c r="BU96" s="1755"/>
      <c r="BV96" s="1755"/>
      <c r="BW96" s="1755"/>
      <c r="BX96" s="1755"/>
      <c r="BY96" s="1755"/>
      <c r="BZ96" s="1755"/>
      <c r="CA96" s="1755"/>
      <c r="CB96" s="1755"/>
      <c r="CC96" s="1755"/>
      <c r="CD96" s="1755"/>
      <c r="CE96" s="1755"/>
      <c r="CF96" s="1755"/>
      <c r="CG96" s="1755"/>
      <c r="CH96" s="1755"/>
      <c r="CI96" s="1755"/>
      <c r="CJ96" s="1755"/>
      <c r="CK96" s="1755"/>
      <c r="CL96" s="1755"/>
      <c r="CM96" s="1755"/>
      <c r="CN96" s="1756"/>
      <c r="CO96" s="1767"/>
    </row>
    <row r="97" spans="2:93" ht="28.5" x14ac:dyDescent="0.2">
      <c r="B97" s="1707"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97" s="1703" t="s">
        <v>1465</v>
      </c>
      <c r="D97" s="1703" t="s">
        <v>982</v>
      </c>
      <c r="E97" s="1704" t="s">
        <v>907</v>
      </c>
      <c r="F97" s="1707" t="str">
        <f>VLOOKUP(TBL5_OptBen[[#This Row],[Option Type (defined list)]],'Option Typs_Grps'!B$2:C$47, 2, FALSE)</f>
        <v>Distribution Options</v>
      </c>
      <c r="G97" s="1707" t="s">
        <v>863</v>
      </c>
      <c r="H97" s="1707" t="s">
        <v>1458</v>
      </c>
      <c r="I97" s="1707" t="s">
        <v>105</v>
      </c>
      <c r="J97" s="1707" t="s">
        <v>236</v>
      </c>
      <c r="K97" s="1751">
        <v>2</v>
      </c>
      <c r="L97" s="1752"/>
      <c r="M97" s="1752"/>
      <c r="N97" s="1752"/>
      <c r="O97" s="1754"/>
      <c r="P97" s="1766"/>
      <c r="Q97" s="1753"/>
      <c r="R97" s="1753"/>
      <c r="S97" s="1752"/>
      <c r="T97" s="1752"/>
      <c r="U97" s="1752">
        <v>-1.5</v>
      </c>
      <c r="V97" s="1752">
        <v>-1.5</v>
      </c>
      <c r="W97" s="1752">
        <v>-2.0295329361999999</v>
      </c>
      <c r="X97" s="1752">
        <v>-1.9060828163000001</v>
      </c>
      <c r="Y97" s="1752">
        <v>-4.1368449257000002</v>
      </c>
      <c r="Z97" s="1752">
        <v>-4.0343947545000001</v>
      </c>
      <c r="AA97" s="1752">
        <v>-3.9336706105000001</v>
      </c>
      <c r="AB97" s="1752">
        <v>-3.884653948</v>
      </c>
      <c r="AC97" s="1752">
        <v>-3.833376543</v>
      </c>
      <c r="AD97" s="1752">
        <v>-3.7855407959999998</v>
      </c>
      <c r="AE97" s="1752">
        <v>-3.7610469444999999</v>
      </c>
      <c r="AF97" s="1752">
        <v>-3.7307844341999998</v>
      </c>
      <c r="AG97" s="1752">
        <v>-5.9654652165000002</v>
      </c>
      <c r="AH97" s="1752">
        <v>-5.9385163406999997</v>
      </c>
      <c r="AI97" s="1752">
        <v>-5.9110843089999996</v>
      </c>
      <c r="AJ97" s="1752">
        <v>-5.8996280453000001</v>
      </c>
      <c r="AK97" s="1752">
        <v>-5.8894365839000002</v>
      </c>
      <c r="AL97" s="1752">
        <v>-8.0683290281000009</v>
      </c>
      <c r="AM97" s="1752">
        <v>-8.0573922241999991</v>
      </c>
      <c r="AN97" s="1752">
        <v>-8.0439720356999995</v>
      </c>
      <c r="AO97" s="1752">
        <v>-8.0404811339000002</v>
      </c>
      <c r="AP97" s="1752">
        <v>-8.0320152547999992</v>
      </c>
      <c r="AQ97" s="1752"/>
      <c r="AR97" s="1752"/>
      <c r="AS97" s="1752"/>
      <c r="AT97" s="1752"/>
      <c r="AU97" s="1752"/>
      <c r="AV97" s="1752"/>
      <c r="AW97" s="1752"/>
      <c r="AX97" s="1752"/>
      <c r="AY97" s="1752"/>
      <c r="AZ97" s="1752"/>
      <c r="BA97" s="1752"/>
      <c r="BB97" s="1752"/>
      <c r="BC97" s="1752"/>
      <c r="BD97" s="1752"/>
      <c r="BE97" s="1752"/>
      <c r="BF97" s="1752"/>
      <c r="BG97" s="1752"/>
      <c r="BH97" s="1752"/>
      <c r="BI97" s="1752"/>
      <c r="BJ97" s="1752"/>
      <c r="BK97" s="1752"/>
      <c r="BL97" s="1752"/>
      <c r="BM97" s="1752"/>
      <c r="BN97" s="1752"/>
      <c r="BO97" s="1752"/>
      <c r="BP97" s="1754"/>
      <c r="BQ97" s="1755"/>
      <c r="BR97" s="1755"/>
      <c r="BS97" s="1755"/>
      <c r="BT97" s="1755"/>
      <c r="BU97" s="1755"/>
      <c r="BV97" s="1755"/>
      <c r="BW97" s="1755"/>
      <c r="BX97" s="1755"/>
      <c r="BY97" s="1755"/>
      <c r="BZ97" s="1755"/>
      <c r="CA97" s="1755"/>
      <c r="CB97" s="1755"/>
      <c r="CC97" s="1755"/>
      <c r="CD97" s="1755"/>
      <c r="CE97" s="1755"/>
      <c r="CF97" s="1755"/>
      <c r="CG97" s="1755"/>
      <c r="CH97" s="1755"/>
      <c r="CI97" s="1755"/>
      <c r="CJ97" s="1755"/>
      <c r="CK97" s="1755"/>
      <c r="CL97" s="1755"/>
      <c r="CM97" s="1755"/>
      <c r="CN97" s="1756"/>
      <c r="CO97" s="1767"/>
    </row>
    <row r="98" spans="2:93" ht="28.5" x14ac:dyDescent="0.2">
      <c r="B98" s="1707"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98" s="1703" t="s">
        <v>1465</v>
      </c>
      <c r="D98" s="1703" t="s">
        <v>982</v>
      </c>
      <c r="E98" s="1704" t="s">
        <v>907</v>
      </c>
      <c r="F98" s="1707" t="str">
        <f>VLOOKUP(TBL5_OptBen[[#This Row],[Option Type (defined list)]],'Option Typs_Grps'!B$2:C$47, 2, FALSE)</f>
        <v>Distribution Options</v>
      </c>
      <c r="G98" s="1707" t="s">
        <v>863</v>
      </c>
      <c r="H98" s="1707" t="s">
        <v>1459</v>
      </c>
      <c r="I98" s="1707" t="s">
        <v>105</v>
      </c>
      <c r="J98" s="1707" t="s">
        <v>236</v>
      </c>
      <c r="K98" s="1751">
        <v>2</v>
      </c>
      <c r="L98" s="1752"/>
      <c r="M98" s="1752"/>
      <c r="N98" s="1752"/>
      <c r="O98" s="1754"/>
      <c r="P98" s="1766"/>
      <c r="Q98" s="1753"/>
      <c r="R98" s="1753"/>
      <c r="S98" s="1752"/>
      <c r="T98" s="1752"/>
      <c r="U98" s="1752">
        <v>-1.5</v>
      </c>
      <c r="V98" s="1752">
        <v>-1.5</v>
      </c>
      <c r="W98" s="1752">
        <v>-2.3361865263000001</v>
      </c>
      <c r="X98" s="1752">
        <v>-2.2603882184000001</v>
      </c>
      <c r="Y98" s="1752">
        <v>-4.5392974148</v>
      </c>
      <c r="Z98" s="1752">
        <v>-4.4852111232</v>
      </c>
      <c r="AA98" s="1752">
        <v>-4.4324484164999998</v>
      </c>
      <c r="AB98" s="1752">
        <v>-4.3923391014000002</v>
      </c>
      <c r="AC98" s="1752">
        <v>-4.3499804902000001</v>
      </c>
      <c r="AD98" s="1752">
        <v>-4.3113051507</v>
      </c>
      <c r="AE98" s="1752">
        <v>-4.2812281419999998</v>
      </c>
      <c r="AF98" s="1752">
        <v>-4.2453201475000002</v>
      </c>
      <c r="AG98" s="1752">
        <v>-5.1148707633999999</v>
      </c>
      <c r="AH98" s="1752">
        <v>-5.082976629</v>
      </c>
      <c r="AI98" s="1752">
        <v>-5.0506099038999999</v>
      </c>
      <c r="AJ98" s="1752">
        <v>-5.0343003138000002</v>
      </c>
      <c r="AK98" s="1752">
        <v>-5.0193320716000001</v>
      </c>
      <c r="AL98" s="1752">
        <v>-5.8337153274000002</v>
      </c>
      <c r="AM98" s="1752">
        <v>-5.8183254004</v>
      </c>
      <c r="AN98" s="1752">
        <v>-5.8005400879</v>
      </c>
      <c r="AO98" s="1752">
        <v>-5.7927578439999996</v>
      </c>
      <c r="AP98" s="1752">
        <v>-5.7800476711000002</v>
      </c>
      <c r="AQ98" s="1752"/>
      <c r="AR98" s="1752"/>
      <c r="AS98" s="1752"/>
      <c r="AT98" s="1752"/>
      <c r="AU98" s="1752"/>
      <c r="AV98" s="1752"/>
      <c r="AW98" s="1752"/>
      <c r="AX98" s="1752"/>
      <c r="AY98" s="1752"/>
      <c r="AZ98" s="1752"/>
      <c r="BA98" s="1752"/>
      <c r="BB98" s="1752"/>
      <c r="BC98" s="1752"/>
      <c r="BD98" s="1752"/>
      <c r="BE98" s="1752"/>
      <c r="BF98" s="1752"/>
      <c r="BG98" s="1752"/>
      <c r="BH98" s="1752"/>
      <c r="BI98" s="1752"/>
      <c r="BJ98" s="1752"/>
      <c r="BK98" s="1752"/>
      <c r="BL98" s="1752"/>
      <c r="BM98" s="1752"/>
      <c r="BN98" s="1752"/>
      <c r="BO98" s="1752"/>
      <c r="BP98" s="1754"/>
      <c r="BQ98" s="1755"/>
      <c r="BR98" s="1755"/>
      <c r="BS98" s="1755"/>
      <c r="BT98" s="1755"/>
      <c r="BU98" s="1755"/>
      <c r="BV98" s="1755"/>
      <c r="BW98" s="1755"/>
      <c r="BX98" s="1755"/>
      <c r="BY98" s="1755"/>
      <c r="BZ98" s="1755"/>
      <c r="CA98" s="1755"/>
      <c r="CB98" s="1755"/>
      <c r="CC98" s="1755"/>
      <c r="CD98" s="1755"/>
      <c r="CE98" s="1755"/>
      <c r="CF98" s="1755"/>
      <c r="CG98" s="1755"/>
      <c r="CH98" s="1755"/>
      <c r="CI98" s="1755"/>
      <c r="CJ98" s="1755"/>
      <c r="CK98" s="1755"/>
      <c r="CL98" s="1755"/>
      <c r="CM98" s="1755"/>
      <c r="CN98" s="1756"/>
      <c r="CO98" s="1767"/>
    </row>
    <row r="99" spans="2:93" ht="28.5" x14ac:dyDescent="0.2">
      <c r="B99" s="1707"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99" s="1703" t="s">
        <v>1465</v>
      </c>
      <c r="D99" s="1703" t="s">
        <v>982</v>
      </c>
      <c r="E99" s="1704" t="s">
        <v>907</v>
      </c>
      <c r="F99" s="1707" t="str">
        <f>VLOOKUP(TBL5_OptBen[[#This Row],[Option Type (defined list)]],'Option Typs_Grps'!B$2:C$47, 2, FALSE)</f>
        <v>Distribution Options</v>
      </c>
      <c r="G99" s="1707" t="s">
        <v>863</v>
      </c>
      <c r="H99" s="1707" t="s">
        <v>1460</v>
      </c>
      <c r="I99" s="1707" t="s">
        <v>105</v>
      </c>
      <c r="J99" s="1707" t="s">
        <v>236</v>
      </c>
      <c r="K99" s="1751">
        <v>2</v>
      </c>
      <c r="L99" s="1752"/>
      <c r="M99" s="1752"/>
      <c r="N99" s="1752"/>
      <c r="O99" s="1754"/>
      <c r="P99" s="1766"/>
      <c r="Q99" s="1753"/>
      <c r="R99" s="1753"/>
      <c r="S99" s="1752"/>
      <c r="T99" s="1752"/>
      <c r="U99" s="1752">
        <v>-0.52981537984108951</v>
      </c>
      <c r="V99" s="1752">
        <v>-0.41022915495426138</v>
      </c>
      <c r="W99" s="1752">
        <v>-1.9969002474290551</v>
      </c>
      <c r="X99" s="1752">
        <v>-1.9013283248532828</v>
      </c>
      <c r="Y99" s="1752">
        <v>-4.132353579458325</v>
      </c>
      <c r="Z99" s="1752">
        <v>-4.0303463650160074</v>
      </c>
      <c r="AA99" s="1752">
        <v>-3.9299665038642964</v>
      </c>
      <c r="AB99" s="1752">
        <v>-3.8811543549678813</v>
      </c>
      <c r="AC99" s="1752">
        <v>-3.8301910463949911</v>
      </c>
      <c r="AD99" s="1752">
        <v>-3.7825314736066251</v>
      </c>
      <c r="AE99" s="1752">
        <v>-3.7582861267371013</v>
      </c>
      <c r="AF99" s="1752">
        <v>-3.7283825950762579</v>
      </c>
      <c r="AG99" s="1752">
        <v>-4.6033840907552888</v>
      </c>
      <c r="AH99" s="1752">
        <v>-4.576671091952095</v>
      </c>
      <c r="AI99" s="1752">
        <v>-4.54951954311794</v>
      </c>
      <c r="AJ99" s="1752">
        <v>-4.5381927937372986</v>
      </c>
      <c r="AK99" s="1752">
        <v>-4.5281645466344935</v>
      </c>
      <c r="AL99" s="1752">
        <v>-5.347236636067028</v>
      </c>
      <c r="AM99" s="1752">
        <v>-5.3364547211658282</v>
      </c>
      <c r="AN99" s="1752">
        <v>-5.3231392274904987</v>
      </c>
      <c r="AO99" s="1752">
        <v>-5.3197550071245763</v>
      </c>
      <c r="AP99" s="1752">
        <v>-5.3114223719818474</v>
      </c>
      <c r="AQ99" s="1752"/>
      <c r="AR99" s="1752"/>
      <c r="AS99" s="1752"/>
      <c r="AT99" s="1752"/>
      <c r="AU99" s="1752"/>
      <c r="AV99" s="1752"/>
      <c r="AW99" s="1752"/>
      <c r="AX99" s="1752"/>
      <c r="AY99" s="1752"/>
      <c r="AZ99" s="1752"/>
      <c r="BA99" s="1752"/>
      <c r="BB99" s="1752"/>
      <c r="BC99" s="1752"/>
      <c r="BD99" s="1752"/>
      <c r="BE99" s="1752"/>
      <c r="BF99" s="1752"/>
      <c r="BG99" s="1752"/>
      <c r="BH99" s="1752"/>
      <c r="BI99" s="1752"/>
      <c r="BJ99" s="1752"/>
      <c r="BK99" s="1752"/>
      <c r="BL99" s="1752"/>
      <c r="BM99" s="1752"/>
      <c r="BN99" s="1752"/>
      <c r="BO99" s="1752"/>
      <c r="BP99" s="1754"/>
      <c r="BQ99" s="1755"/>
      <c r="BR99" s="1755"/>
      <c r="BS99" s="1755"/>
      <c r="BT99" s="1755"/>
      <c r="BU99" s="1755"/>
      <c r="BV99" s="1755"/>
      <c r="BW99" s="1755"/>
      <c r="BX99" s="1755"/>
      <c r="BY99" s="1755"/>
      <c r="BZ99" s="1755"/>
      <c r="CA99" s="1755"/>
      <c r="CB99" s="1755"/>
      <c r="CC99" s="1755"/>
      <c r="CD99" s="1755"/>
      <c r="CE99" s="1755"/>
      <c r="CF99" s="1755"/>
      <c r="CG99" s="1755"/>
      <c r="CH99" s="1755"/>
      <c r="CI99" s="1755"/>
      <c r="CJ99" s="1755"/>
      <c r="CK99" s="1755"/>
      <c r="CL99" s="1755"/>
      <c r="CM99" s="1755"/>
      <c r="CN99" s="1756"/>
      <c r="CO99" s="1767"/>
    </row>
    <row r="100" spans="2:93" ht="28.5" x14ac:dyDescent="0.2">
      <c r="B100" s="1707"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100" s="1703" t="s">
        <v>1465</v>
      </c>
      <c r="D100" s="1703" t="s">
        <v>982</v>
      </c>
      <c r="E100" s="1704" t="s">
        <v>907</v>
      </c>
      <c r="F100" s="1707" t="str">
        <f>VLOOKUP(TBL5_OptBen[[#This Row],[Option Type (defined list)]],'Option Typs_Grps'!B$2:C$47, 2, FALSE)</f>
        <v>Distribution Options</v>
      </c>
      <c r="G100" s="1707" t="s">
        <v>863</v>
      </c>
      <c r="H100" s="1707" t="s">
        <v>1462</v>
      </c>
      <c r="I100" s="1707" t="s">
        <v>105</v>
      </c>
      <c r="J100" s="1707" t="s">
        <v>236</v>
      </c>
      <c r="K100" s="1751">
        <v>2</v>
      </c>
      <c r="L100" s="1752"/>
      <c r="M100" s="1752"/>
      <c r="N100" s="1752"/>
      <c r="O100" s="1754"/>
      <c r="P100" s="1766"/>
      <c r="Q100" s="1753"/>
      <c r="R100" s="1753"/>
      <c r="S100" s="1752"/>
      <c r="T100" s="1752"/>
      <c r="U100" s="1752">
        <v>-1.5</v>
      </c>
      <c r="V100" s="1752">
        <v>-1.5</v>
      </c>
      <c r="W100" s="1752">
        <v>-2.0295329361999999</v>
      </c>
      <c r="X100" s="1752">
        <v>-1.9060828163000001</v>
      </c>
      <c r="Y100" s="1752">
        <v>-4.1368449257000002</v>
      </c>
      <c r="Z100" s="1752">
        <v>-4.0343947545000001</v>
      </c>
      <c r="AA100" s="1752">
        <v>-3.9336706105000001</v>
      </c>
      <c r="AB100" s="1752">
        <v>-3.884653948</v>
      </c>
      <c r="AC100" s="1752">
        <v>-3.833376543</v>
      </c>
      <c r="AD100" s="1752">
        <v>-3.7855407959999998</v>
      </c>
      <c r="AE100" s="1752">
        <v>-3.7610469444999999</v>
      </c>
      <c r="AF100" s="1752">
        <v>-3.7307844341999998</v>
      </c>
      <c r="AG100" s="1752">
        <v>-4.6054652164999998</v>
      </c>
      <c r="AH100" s="1752">
        <v>-4.5785163407000002</v>
      </c>
      <c r="AI100" s="1752">
        <v>-4.5510843090000002</v>
      </c>
      <c r="AJ100" s="1752">
        <v>-4.5396280452999997</v>
      </c>
      <c r="AK100" s="1752">
        <v>-4.5294365838999999</v>
      </c>
      <c r="AL100" s="1752">
        <v>-5.3483290281000002</v>
      </c>
      <c r="AM100" s="1752">
        <v>-5.3373922242000003</v>
      </c>
      <c r="AN100" s="1752">
        <v>-5.3239720356999998</v>
      </c>
      <c r="AO100" s="1752">
        <v>-5.3204811339000004</v>
      </c>
      <c r="AP100" s="1752">
        <v>-5.3120152548000004</v>
      </c>
      <c r="AQ100" s="1752"/>
      <c r="AR100" s="1752"/>
      <c r="AS100" s="1752"/>
      <c r="AT100" s="1752"/>
      <c r="AU100" s="1752"/>
      <c r="AV100" s="1752"/>
      <c r="AW100" s="1752"/>
      <c r="AX100" s="1752"/>
      <c r="AY100" s="1752"/>
      <c r="AZ100" s="1752"/>
      <c r="BA100" s="1752"/>
      <c r="BB100" s="1752"/>
      <c r="BC100" s="1752"/>
      <c r="BD100" s="1752"/>
      <c r="BE100" s="1752"/>
      <c r="BF100" s="1752"/>
      <c r="BG100" s="1752"/>
      <c r="BH100" s="1752"/>
      <c r="BI100" s="1752"/>
      <c r="BJ100" s="1752"/>
      <c r="BK100" s="1752"/>
      <c r="BL100" s="1752"/>
      <c r="BM100" s="1752"/>
      <c r="BN100" s="1752"/>
      <c r="BO100" s="1752"/>
      <c r="BP100" s="1754"/>
      <c r="BQ100" s="1755"/>
      <c r="BR100" s="1755"/>
      <c r="BS100" s="1755"/>
      <c r="BT100" s="1755"/>
      <c r="BU100" s="1755"/>
      <c r="BV100" s="1755"/>
      <c r="BW100" s="1755"/>
      <c r="BX100" s="1755"/>
      <c r="BY100" s="1755"/>
      <c r="BZ100" s="1755"/>
      <c r="CA100" s="1755"/>
      <c r="CB100" s="1755"/>
      <c r="CC100" s="1755"/>
      <c r="CD100" s="1755"/>
      <c r="CE100" s="1755"/>
      <c r="CF100" s="1755"/>
      <c r="CG100" s="1755"/>
      <c r="CH100" s="1755"/>
      <c r="CI100" s="1755"/>
      <c r="CJ100" s="1755"/>
      <c r="CK100" s="1755"/>
      <c r="CL100" s="1755"/>
      <c r="CM100" s="1755"/>
      <c r="CN100" s="1756"/>
      <c r="CO100" s="1767"/>
    </row>
    <row r="101" spans="2:93" ht="28.5" x14ac:dyDescent="0.2">
      <c r="B101" s="1707"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101" s="1703" t="s">
        <v>1465</v>
      </c>
      <c r="D101" s="1703" t="s">
        <v>982</v>
      </c>
      <c r="E101" s="1704" t="s">
        <v>907</v>
      </c>
      <c r="F101" s="1707" t="str">
        <f>VLOOKUP(TBL5_OptBen[[#This Row],[Option Type (defined list)]],'Option Typs_Grps'!B$2:C$47, 2, FALSE)</f>
        <v>Distribution Options</v>
      </c>
      <c r="G101" s="1707" t="s">
        <v>863</v>
      </c>
      <c r="H101" s="1707" t="s">
        <v>1461</v>
      </c>
      <c r="I101" s="1707" t="s">
        <v>105</v>
      </c>
      <c r="J101" s="1707" t="s">
        <v>236</v>
      </c>
      <c r="K101" s="1751">
        <v>2</v>
      </c>
      <c r="L101" s="1752"/>
      <c r="M101" s="1752"/>
      <c r="N101" s="1752"/>
      <c r="O101" s="1754"/>
      <c r="P101" s="1766"/>
      <c r="Q101" s="1753"/>
      <c r="R101" s="1753"/>
      <c r="S101" s="1752"/>
      <c r="T101" s="1752"/>
      <c r="U101" s="1752">
        <v>-0.52981537984108951</v>
      </c>
      <c r="V101" s="1752">
        <v>-0.41022915495426138</v>
      </c>
      <c r="W101" s="1752">
        <v>-1.9969002474290551</v>
      </c>
      <c r="X101" s="1752">
        <v>-1.9013283248532828</v>
      </c>
      <c r="Y101" s="1752">
        <v>-4.132353579458325</v>
      </c>
      <c r="Z101" s="1752">
        <v>-4.0303463650160074</v>
      </c>
      <c r="AA101" s="1752">
        <v>-3.9299665038642964</v>
      </c>
      <c r="AB101" s="1752">
        <v>-3.8811543549678813</v>
      </c>
      <c r="AC101" s="1752">
        <v>-3.8301910463949911</v>
      </c>
      <c r="AD101" s="1752">
        <v>-3.7825314736066251</v>
      </c>
      <c r="AE101" s="1752">
        <v>-3.7582861267371013</v>
      </c>
      <c r="AF101" s="1752">
        <v>-3.7283825950762579</v>
      </c>
      <c r="AG101" s="1752">
        <v>-4.6033840907552888</v>
      </c>
      <c r="AH101" s="1752">
        <v>-4.576671091952095</v>
      </c>
      <c r="AI101" s="1752">
        <v>-4.54951954311794</v>
      </c>
      <c r="AJ101" s="1752">
        <v>-4.5381927937372986</v>
      </c>
      <c r="AK101" s="1752">
        <v>-4.5281645466344935</v>
      </c>
      <c r="AL101" s="1752">
        <v>-5.347236636067028</v>
      </c>
      <c r="AM101" s="1752">
        <v>-5.3364547211658282</v>
      </c>
      <c r="AN101" s="1752">
        <v>-5.3231392274904987</v>
      </c>
      <c r="AO101" s="1752">
        <v>-5.3197550071245763</v>
      </c>
      <c r="AP101" s="1752">
        <v>-5.3114223719818474</v>
      </c>
      <c r="AQ101" s="1752"/>
      <c r="AR101" s="1752"/>
      <c r="AS101" s="1752"/>
      <c r="AT101" s="1752"/>
      <c r="AU101" s="1752"/>
      <c r="AV101" s="1752"/>
      <c r="AW101" s="1752"/>
      <c r="AX101" s="1752"/>
      <c r="AY101" s="1752"/>
      <c r="AZ101" s="1752"/>
      <c r="BA101" s="1752"/>
      <c r="BB101" s="1752"/>
      <c r="BC101" s="1752"/>
      <c r="BD101" s="1752"/>
      <c r="BE101" s="1752"/>
      <c r="BF101" s="1752"/>
      <c r="BG101" s="1752"/>
      <c r="BH101" s="1752"/>
      <c r="BI101" s="1752"/>
      <c r="BJ101" s="1752"/>
      <c r="BK101" s="1752"/>
      <c r="BL101" s="1752"/>
      <c r="BM101" s="1752"/>
      <c r="BN101" s="1752"/>
      <c r="BO101" s="1752"/>
      <c r="BP101" s="1754"/>
      <c r="BQ101" s="1755"/>
      <c r="BR101" s="1755"/>
      <c r="BS101" s="1755"/>
      <c r="BT101" s="1755"/>
      <c r="BU101" s="1755"/>
      <c r="BV101" s="1755"/>
      <c r="BW101" s="1755"/>
      <c r="BX101" s="1755"/>
      <c r="BY101" s="1755"/>
      <c r="BZ101" s="1755"/>
      <c r="CA101" s="1755"/>
      <c r="CB101" s="1755"/>
      <c r="CC101" s="1755"/>
      <c r="CD101" s="1755"/>
      <c r="CE101" s="1755"/>
      <c r="CF101" s="1755"/>
      <c r="CG101" s="1755"/>
      <c r="CH101" s="1755"/>
      <c r="CI101" s="1755"/>
      <c r="CJ101" s="1755"/>
      <c r="CK101" s="1755"/>
      <c r="CL101" s="1755"/>
      <c r="CM101" s="1755"/>
      <c r="CN101" s="1756"/>
      <c r="CO101" s="1767"/>
    </row>
    <row r="102" spans="2:93" ht="28.5" x14ac:dyDescent="0.2">
      <c r="B102" s="1707"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52cP</v>
      </c>
      <c r="C102" s="1703" t="s">
        <v>1034</v>
      </c>
      <c r="D102" s="1703" t="s">
        <v>984</v>
      </c>
      <c r="E102" s="1704" t="s">
        <v>907</v>
      </c>
      <c r="F102" s="1707" t="str">
        <f>VLOOKUP(TBL5_OptBen[[#This Row],[Option Type (defined list)]],'Option Typs_Grps'!B$2:C$47, 2, FALSE)</f>
        <v>Distribution Options</v>
      </c>
      <c r="G102" s="1707" t="s">
        <v>863</v>
      </c>
      <c r="H102" s="1707" t="s">
        <v>876</v>
      </c>
      <c r="I102" s="1707" t="s">
        <v>105</v>
      </c>
      <c r="J102" s="1707" t="s">
        <v>236</v>
      </c>
      <c r="K102" s="1751">
        <v>2</v>
      </c>
      <c r="L102" s="1752"/>
      <c r="M102" s="1752"/>
      <c r="N102" s="1752"/>
      <c r="O102" s="1754"/>
      <c r="P102" s="1766"/>
      <c r="Q102" s="1753"/>
      <c r="R102" s="1753"/>
      <c r="S102" s="1752"/>
      <c r="T102" s="1752"/>
      <c r="U102" s="1752">
        <v>-2.0191658334342422</v>
      </c>
      <c r="V102" s="1752">
        <v>-1.9750342851558536</v>
      </c>
      <c r="W102" s="1752">
        <v>-2.1602800871321528</v>
      </c>
      <c r="X102" s="1752">
        <v>-1.9415896480311743</v>
      </c>
      <c r="Y102" s="1752">
        <v>-5.654349269798713</v>
      </c>
      <c r="Z102" s="1752">
        <v>-5.613079458205263</v>
      </c>
      <c r="AA102" s="1752">
        <v>-5.5425060693968762</v>
      </c>
      <c r="AB102" s="1752">
        <v>-5.4853809871869776</v>
      </c>
      <c r="AC102" s="1752">
        <v>-5.4584486292165808</v>
      </c>
      <c r="AD102" s="1752">
        <v>-5.4218804505148581</v>
      </c>
      <c r="AE102" s="1752">
        <v>-5.4008407809205563</v>
      </c>
      <c r="AF102" s="1752">
        <v>-5.3775638656158131</v>
      </c>
      <c r="AG102" s="1752">
        <v>-6.0010081839225338</v>
      </c>
      <c r="AH102" s="1752">
        <v>-5.9673451728357021</v>
      </c>
      <c r="AI102" s="1752">
        <v>-5.9252281773674884</v>
      </c>
      <c r="AJ102" s="1752">
        <v>-5.9053244604307817</v>
      </c>
      <c r="AK102" s="1752">
        <v>-5.9066312118793931</v>
      </c>
      <c r="AL102" s="1752">
        <v>-6.547291354179122</v>
      </c>
      <c r="AM102" s="1752">
        <v>-6.5585931432347309</v>
      </c>
      <c r="AN102" s="1752">
        <v>-6.5702706405093627</v>
      </c>
      <c r="AO102" s="1752">
        <v>-6.5927342527358581</v>
      </c>
      <c r="AP102" s="1752">
        <v>-6.6051322929039378</v>
      </c>
      <c r="AQ102" s="1752"/>
      <c r="AR102" s="1752"/>
      <c r="AS102" s="1752"/>
      <c r="AT102" s="1752"/>
      <c r="AU102" s="1752"/>
      <c r="AV102" s="1752"/>
      <c r="AW102" s="1752"/>
      <c r="AX102" s="1752"/>
      <c r="AY102" s="1752"/>
      <c r="AZ102" s="1752"/>
      <c r="BA102" s="1752"/>
      <c r="BB102" s="1752"/>
      <c r="BC102" s="1752"/>
      <c r="BD102" s="1752"/>
      <c r="BE102" s="1752"/>
      <c r="BF102" s="1752"/>
      <c r="BG102" s="1752"/>
      <c r="BH102" s="1752"/>
      <c r="BI102" s="1752"/>
      <c r="BJ102" s="1752"/>
      <c r="BK102" s="1752"/>
      <c r="BL102" s="1752"/>
      <c r="BM102" s="1752"/>
      <c r="BN102" s="1752"/>
      <c r="BO102" s="1752"/>
      <c r="BP102" s="1754"/>
      <c r="BQ102" s="1755"/>
      <c r="BR102" s="1755"/>
      <c r="BS102" s="1755"/>
      <c r="BT102" s="1755"/>
      <c r="BU102" s="1755"/>
      <c r="BV102" s="1755"/>
      <c r="BW102" s="1755"/>
      <c r="BX102" s="1755"/>
      <c r="BY102" s="1755"/>
      <c r="BZ102" s="1755"/>
      <c r="CA102" s="1755"/>
      <c r="CB102" s="1755"/>
      <c r="CC102" s="1755"/>
      <c r="CD102" s="1755"/>
      <c r="CE102" s="1755"/>
      <c r="CF102" s="1755"/>
      <c r="CG102" s="1755"/>
      <c r="CH102" s="1755"/>
      <c r="CI102" s="1755"/>
      <c r="CJ102" s="1755"/>
      <c r="CK102" s="1755"/>
      <c r="CL102" s="1755"/>
      <c r="CM102" s="1755"/>
      <c r="CN102" s="1756"/>
      <c r="CO102" s="1767"/>
    </row>
    <row r="103" spans="2:93" ht="28.5" x14ac:dyDescent="0.2">
      <c r="B103" s="1707"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103" s="1703" t="s">
        <v>1034</v>
      </c>
      <c r="D103" s="1703" t="s">
        <v>984</v>
      </c>
      <c r="E103" s="1704" t="s">
        <v>907</v>
      </c>
      <c r="F103" s="1707" t="str">
        <f>VLOOKUP(TBL5_OptBen[[#This Row],[Option Type (defined list)]],'Option Typs_Grps'!B$2:C$47, 2, FALSE)</f>
        <v>Distribution Options</v>
      </c>
      <c r="G103" s="1707" t="s">
        <v>863</v>
      </c>
      <c r="H103" s="1707" t="s">
        <v>1457</v>
      </c>
      <c r="I103" s="1707" t="s">
        <v>105</v>
      </c>
      <c r="J103" s="1707" t="s">
        <v>236</v>
      </c>
      <c r="K103" s="1751">
        <v>2</v>
      </c>
      <c r="L103" s="1752"/>
      <c r="M103" s="1752"/>
      <c r="N103" s="1752"/>
      <c r="O103" s="1754"/>
      <c r="P103" s="1766"/>
      <c r="Q103" s="1753"/>
      <c r="R103" s="1753"/>
      <c r="S103" s="1752"/>
      <c r="T103" s="1752"/>
      <c r="U103" s="1752">
        <v>-4.6028583014544129</v>
      </c>
      <c r="V103" s="1752">
        <v>-4.5873980174188</v>
      </c>
      <c r="W103" s="1752">
        <v>-5.0495122395575107</v>
      </c>
      <c r="X103" s="1752">
        <v>-4.983283887939673</v>
      </c>
      <c r="Y103" s="1752">
        <v>-8.7926771564698338</v>
      </c>
      <c r="Z103" s="1752">
        <v>-8.7419979415445592</v>
      </c>
      <c r="AA103" s="1752">
        <v>-8.6851681257349611</v>
      </c>
      <c r="AB103" s="1752">
        <v>-8.6412518810503052</v>
      </c>
      <c r="AC103" s="1752">
        <v>-8.5950351880977571</v>
      </c>
      <c r="AD103" s="1752">
        <v>-8.5569685116676037</v>
      </c>
      <c r="AE103" s="1752">
        <v>-8.5457715116890558</v>
      </c>
      <c r="AF103" s="1752">
        <v>-8.5343186361910313</v>
      </c>
      <c r="AG103" s="1752">
        <v>-8.8455235325688157</v>
      </c>
      <c r="AH103" s="1752">
        <v>-8.809248986859652</v>
      </c>
      <c r="AI103" s="1752">
        <v>-8.7689650342075023</v>
      </c>
      <c r="AJ103" s="1752">
        <v>-8.7358590295124152</v>
      </c>
      <c r="AK103" s="1752">
        <v>-8.7365057913843387</v>
      </c>
      <c r="AL103" s="1752">
        <v>-9.06057802832993</v>
      </c>
      <c r="AM103" s="1752">
        <v>-9.0829655663075837</v>
      </c>
      <c r="AN103" s="1752">
        <v>-9.0897701681687018</v>
      </c>
      <c r="AO103" s="1752">
        <v>-9.1028541775498901</v>
      </c>
      <c r="AP103" s="1752">
        <v>-9.1236591575213204</v>
      </c>
      <c r="AQ103" s="1752"/>
      <c r="AR103" s="1752"/>
      <c r="AS103" s="1752"/>
      <c r="AT103" s="1752"/>
      <c r="AU103" s="1752"/>
      <c r="AV103" s="1752"/>
      <c r="AW103" s="1752"/>
      <c r="AX103" s="1752"/>
      <c r="AY103" s="1752"/>
      <c r="AZ103" s="1752"/>
      <c r="BA103" s="1752"/>
      <c r="BB103" s="1752"/>
      <c r="BC103" s="1752"/>
      <c r="BD103" s="1752"/>
      <c r="BE103" s="1752"/>
      <c r="BF103" s="1752"/>
      <c r="BG103" s="1752"/>
      <c r="BH103" s="1752"/>
      <c r="BI103" s="1752"/>
      <c r="BJ103" s="1752"/>
      <c r="BK103" s="1752"/>
      <c r="BL103" s="1752"/>
      <c r="BM103" s="1752"/>
      <c r="BN103" s="1752"/>
      <c r="BO103" s="1752"/>
      <c r="BP103" s="1754"/>
      <c r="BQ103" s="1755"/>
      <c r="BR103" s="1755"/>
      <c r="BS103" s="1755"/>
      <c r="BT103" s="1755"/>
      <c r="BU103" s="1755"/>
      <c r="BV103" s="1755"/>
      <c r="BW103" s="1755"/>
      <c r="BX103" s="1755"/>
      <c r="BY103" s="1755"/>
      <c r="BZ103" s="1755"/>
      <c r="CA103" s="1755"/>
      <c r="CB103" s="1755"/>
      <c r="CC103" s="1755"/>
      <c r="CD103" s="1755"/>
      <c r="CE103" s="1755"/>
      <c r="CF103" s="1755"/>
      <c r="CG103" s="1755"/>
      <c r="CH103" s="1755"/>
      <c r="CI103" s="1755"/>
      <c r="CJ103" s="1755"/>
      <c r="CK103" s="1755"/>
      <c r="CL103" s="1755"/>
      <c r="CM103" s="1755"/>
      <c r="CN103" s="1756"/>
      <c r="CO103" s="1767"/>
    </row>
    <row r="104" spans="2:93" ht="28.5" x14ac:dyDescent="0.2">
      <c r="B104" s="1707"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104" s="1703" t="s">
        <v>1034</v>
      </c>
      <c r="D104" s="1703" t="s">
        <v>984</v>
      </c>
      <c r="E104" s="1704" t="s">
        <v>907</v>
      </c>
      <c r="F104" s="1707" t="str">
        <f>VLOOKUP(TBL5_OptBen[[#This Row],[Option Type (defined list)]],'Option Typs_Grps'!B$2:C$47, 2, FALSE)</f>
        <v>Distribution Options</v>
      </c>
      <c r="G104" s="1707" t="s">
        <v>863</v>
      </c>
      <c r="H104" s="1707" t="s">
        <v>1458</v>
      </c>
      <c r="I104" s="1707" t="s">
        <v>105</v>
      </c>
      <c r="J104" s="1707" t="s">
        <v>236</v>
      </c>
      <c r="K104" s="1751">
        <v>2</v>
      </c>
      <c r="L104" s="1752"/>
      <c r="M104" s="1752"/>
      <c r="N104" s="1752"/>
      <c r="O104" s="1754"/>
      <c r="P104" s="1766"/>
      <c r="Q104" s="1753"/>
      <c r="R104" s="1753"/>
      <c r="S104" s="1752"/>
      <c r="T104" s="1752"/>
      <c r="U104" s="1752">
        <v>-2.9450316892999999</v>
      </c>
      <c r="V104" s="1752">
        <v>-2.9005775424000002</v>
      </c>
      <c r="W104" s="1752">
        <v>-3.0855821452000001</v>
      </c>
      <c r="X104" s="1752">
        <v>-2.8669679639000001</v>
      </c>
      <c r="Y104" s="1752">
        <v>-6.5805440715000003</v>
      </c>
      <c r="Z104" s="1752">
        <v>-6.5390018497</v>
      </c>
      <c r="AA104" s="1752">
        <v>-6.4679891454999998</v>
      </c>
      <c r="AB104" s="1752">
        <v>-6.4105918095999996</v>
      </c>
      <c r="AC104" s="1752">
        <v>-6.3834717343999996</v>
      </c>
      <c r="AD104" s="1752">
        <v>-6.3466478259999999</v>
      </c>
      <c r="AE104" s="1752">
        <v>-6.3255704882000003</v>
      </c>
      <c r="AF104" s="1752">
        <v>-6.3024316514000001</v>
      </c>
      <c r="AG104" s="1752">
        <v>-6.7553447417000001</v>
      </c>
      <c r="AH104" s="1752">
        <v>-6.7212932598000004</v>
      </c>
      <c r="AI104" s="1752">
        <v>-6.6776400006000003</v>
      </c>
      <c r="AJ104" s="1752">
        <v>-6.6552674400000003</v>
      </c>
      <c r="AK104" s="1752">
        <v>-6.6564611108999996</v>
      </c>
      <c r="AL104" s="1752">
        <v>-7.1468975633999996</v>
      </c>
      <c r="AM104" s="1752">
        <v>-7.1580770106999996</v>
      </c>
      <c r="AN104" s="1752">
        <v>-7.1695726660999997</v>
      </c>
      <c r="AO104" s="1752">
        <v>-7.1919444838000004</v>
      </c>
      <c r="AP104" s="1752">
        <v>-7.2050143504999999</v>
      </c>
      <c r="AQ104" s="1752"/>
      <c r="AR104" s="1752"/>
      <c r="AS104" s="1752"/>
      <c r="AT104" s="1752"/>
      <c r="AU104" s="1752"/>
      <c r="AV104" s="1752"/>
      <c r="AW104" s="1752"/>
      <c r="AX104" s="1752"/>
      <c r="AY104" s="1752"/>
      <c r="AZ104" s="1752"/>
      <c r="BA104" s="1752"/>
      <c r="BB104" s="1752"/>
      <c r="BC104" s="1752"/>
      <c r="BD104" s="1752"/>
      <c r="BE104" s="1752"/>
      <c r="BF104" s="1752"/>
      <c r="BG104" s="1752"/>
      <c r="BH104" s="1752"/>
      <c r="BI104" s="1752"/>
      <c r="BJ104" s="1752"/>
      <c r="BK104" s="1752"/>
      <c r="BL104" s="1752"/>
      <c r="BM104" s="1752"/>
      <c r="BN104" s="1752"/>
      <c r="BO104" s="1752"/>
      <c r="BP104" s="1754"/>
      <c r="BQ104" s="1755"/>
      <c r="BR104" s="1755"/>
      <c r="BS104" s="1755"/>
      <c r="BT104" s="1755"/>
      <c r="BU104" s="1755"/>
      <c r="BV104" s="1755"/>
      <c r="BW104" s="1755"/>
      <c r="BX104" s="1755"/>
      <c r="BY104" s="1755"/>
      <c r="BZ104" s="1755"/>
      <c r="CA104" s="1755"/>
      <c r="CB104" s="1755"/>
      <c r="CC104" s="1755"/>
      <c r="CD104" s="1755"/>
      <c r="CE104" s="1755"/>
      <c r="CF104" s="1755"/>
      <c r="CG104" s="1755"/>
      <c r="CH104" s="1755"/>
      <c r="CI104" s="1755"/>
      <c r="CJ104" s="1755"/>
      <c r="CK104" s="1755"/>
      <c r="CL104" s="1755"/>
      <c r="CM104" s="1755"/>
      <c r="CN104" s="1756"/>
      <c r="CO104" s="1767"/>
    </row>
    <row r="105" spans="2:93" ht="28.5" x14ac:dyDescent="0.2">
      <c r="B105" s="1707"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105" s="1703" t="s">
        <v>1034</v>
      </c>
      <c r="D105" s="1703" t="s">
        <v>984</v>
      </c>
      <c r="E105" s="1704" t="s">
        <v>907</v>
      </c>
      <c r="F105" s="1707" t="str">
        <f>VLOOKUP(TBL5_OptBen[[#This Row],[Option Type (defined list)]],'Option Typs_Grps'!B$2:C$47, 2, FALSE)</f>
        <v>Distribution Options</v>
      </c>
      <c r="G105" s="1707" t="s">
        <v>863</v>
      </c>
      <c r="H105" s="1707" t="s">
        <v>1459</v>
      </c>
      <c r="I105" s="1707" t="s">
        <v>105</v>
      </c>
      <c r="J105" s="1707" t="s">
        <v>236</v>
      </c>
      <c r="K105" s="1751">
        <v>2</v>
      </c>
      <c r="L105" s="1752"/>
      <c r="M105" s="1752"/>
      <c r="N105" s="1752"/>
      <c r="O105" s="1754"/>
      <c r="P105" s="1766"/>
      <c r="Q105" s="1753"/>
      <c r="R105" s="1753"/>
      <c r="S105" s="1752"/>
      <c r="T105" s="1752"/>
      <c r="U105" s="1752">
        <v>-3.0281946581999999</v>
      </c>
      <c r="V105" s="1752">
        <v>-3.0045473102</v>
      </c>
      <c r="W105" s="1752">
        <v>-3.2164088107</v>
      </c>
      <c r="X105" s="1752">
        <v>-3.0245855242999999</v>
      </c>
      <c r="Y105" s="1752">
        <v>-6.7649311369999996</v>
      </c>
      <c r="Z105" s="1752">
        <v>-6.7501433332999996</v>
      </c>
      <c r="AA105" s="1752">
        <v>-6.7058894820999999</v>
      </c>
      <c r="AB105" s="1752">
        <v>-6.6728863477000004</v>
      </c>
      <c r="AC105" s="1752">
        <v>-6.6701542262000002</v>
      </c>
      <c r="AD105" s="1752">
        <v>-6.6577787349999999</v>
      </c>
      <c r="AE105" s="1752">
        <v>-6.6499081610999999</v>
      </c>
      <c r="AF105" s="1752">
        <v>-6.6398381014999996</v>
      </c>
      <c r="AG105" s="1752">
        <v>-7.2755988146000004</v>
      </c>
      <c r="AH105" s="1752">
        <v>-7.2543807826000002</v>
      </c>
      <c r="AI105" s="1752">
        <v>-7.2235794550000003</v>
      </c>
      <c r="AJ105" s="1752">
        <v>-7.2140663683000001</v>
      </c>
      <c r="AK105" s="1752">
        <v>-7.2046119031</v>
      </c>
      <c r="AL105" s="1752">
        <v>-7.8348127261</v>
      </c>
      <c r="AM105" s="1752">
        <v>-7.8357632659999998</v>
      </c>
      <c r="AN105" s="1752">
        <v>-7.8371239181999997</v>
      </c>
      <c r="AO105" s="1752">
        <v>-7.8494357744999999</v>
      </c>
      <c r="AP105" s="1752">
        <v>-7.8524977523999997</v>
      </c>
      <c r="AQ105" s="1752"/>
      <c r="AR105" s="1752"/>
      <c r="AS105" s="1752"/>
      <c r="AT105" s="1752"/>
      <c r="AU105" s="1752"/>
      <c r="AV105" s="1752"/>
      <c r="AW105" s="1752"/>
      <c r="AX105" s="1752"/>
      <c r="AY105" s="1752"/>
      <c r="AZ105" s="1752"/>
      <c r="BA105" s="1752"/>
      <c r="BB105" s="1752"/>
      <c r="BC105" s="1752"/>
      <c r="BD105" s="1752"/>
      <c r="BE105" s="1752"/>
      <c r="BF105" s="1752"/>
      <c r="BG105" s="1752"/>
      <c r="BH105" s="1752"/>
      <c r="BI105" s="1752"/>
      <c r="BJ105" s="1752"/>
      <c r="BK105" s="1752"/>
      <c r="BL105" s="1752"/>
      <c r="BM105" s="1752"/>
      <c r="BN105" s="1752"/>
      <c r="BO105" s="1752"/>
      <c r="BP105" s="1754"/>
      <c r="BQ105" s="1755"/>
      <c r="BR105" s="1755"/>
      <c r="BS105" s="1755"/>
      <c r="BT105" s="1755"/>
      <c r="BU105" s="1755"/>
      <c r="BV105" s="1755"/>
      <c r="BW105" s="1755"/>
      <c r="BX105" s="1755"/>
      <c r="BY105" s="1755"/>
      <c r="BZ105" s="1755"/>
      <c r="CA105" s="1755"/>
      <c r="CB105" s="1755"/>
      <c r="CC105" s="1755"/>
      <c r="CD105" s="1755"/>
      <c r="CE105" s="1755"/>
      <c r="CF105" s="1755"/>
      <c r="CG105" s="1755"/>
      <c r="CH105" s="1755"/>
      <c r="CI105" s="1755"/>
      <c r="CJ105" s="1755"/>
      <c r="CK105" s="1755"/>
      <c r="CL105" s="1755"/>
      <c r="CM105" s="1755"/>
      <c r="CN105" s="1756"/>
      <c r="CO105" s="1767"/>
    </row>
    <row r="106" spans="2:93" ht="28.5" x14ac:dyDescent="0.2">
      <c r="B106" s="1707"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106" s="1703" t="s">
        <v>1034</v>
      </c>
      <c r="D106" s="1703" t="s">
        <v>984</v>
      </c>
      <c r="E106" s="1704" t="s">
        <v>907</v>
      </c>
      <c r="F106" s="1707" t="str">
        <f>VLOOKUP(TBL5_OptBen[[#This Row],[Option Type (defined list)]],'Option Typs_Grps'!B$2:C$47, 2, FALSE)</f>
        <v>Distribution Options</v>
      </c>
      <c r="G106" s="1707" t="s">
        <v>863</v>
      </c>
      <c r="H106" s="1707" t="s">
        <v>1460</v>
      </c>
      <c r="I106" s="1707" t="s">
        <v>105</v>
      </c>
      <c r="J106" s="1707" t="s">
        <v>236</v>
      </c>
      <c r="K106" s="1751">
        <v>2</v>
      </c>
      <c r="L106" s="1752"/>
      <c r="M106" s="1752"/>
      <c r="N106" s="1752"/>
      <c r="O106" s="1754"/>
      <c r="P106" s="1766"/>
      <c r="Q106" s="1753"/>
      <c r="R106" s="1753"/>
      <c r="S106" s="1752"/>
      <c r="T106" s="1752"/>
      <c r="U106" s="1752">
        <v>-2.0191658334342422</v>
      </c>
      <c r="V106" s="1752">
        <v>-1.9750342851558536</v>
      </c>
      <c r="W106" s="1752">
        <v>-2.1602800871321528</v>
      </c>
      <c r="X106" s="1752">
        <v>-1.9415896480311743</v>
      </c>
      <c r="Y106" s="1752">
        <v>-5.654349269798713</v>
      </c>
      <c r="Z106" s="1752">
        <v>-5.613079458205263</v>
      </c>
      <c r="AA106" s="1752">
        <v>-5.5425060693968762</v>
      </c>
      <c r="AB106" s="1752">
        <v>-5.4853809871869776</v>
      </c>
      <c r="AC106" s="1752">
        <v>-5.4584486292165808</v>
      </c>
      <c r="AD106" s="1752">
        <v>-5.4218804505148581</v>
      </c>
      <c r="AE106" s="1752">
        <v>-5.4008407809205563</v>
      </c>
      <c r="AF106" s="1752">
        <v>-5.3775638656158131</v>
      </c>
      <c r="AG106" s="1752">
        <v>-6.0010081839225338</v>
      </c>
      <c r="AH106" s="1752">
        <v>-5.9673451728357021</v>
      </c>
      <c r="AI106" s="1752">
        <v>-5.9252281773674884</v>
      </c>
      <c r="AJ106" s="1752">
        <v>-5.9053244604307817</v>
      </c>
      <c r="AK106" s="1752">
        <v>-5.9066312118793931</v>
      </c>
      <c r="AL106" s="1752">
        <v>-6.547291354179122</v>
      </c>
      <c r="AM106" s="1752">
        <v>-6.5585931432347309</v>
      </c>
      <c r="AN106" s="1752">
        <v>-6.5702706405093627</v>
      </c>
      <c r="AO106" s="1752">
        <v>-6.5927342527358581</v>
      </c>
      <c r="AP106" s="1752">
        <v>-6.6051322929039378</v>
      </c>
      <c r="AQ106" s="1752"/>
      <c r="AR106" s="1752"/>
      <c r="AS106" s="1752"/>
      <c r="AT106" s="1752"/>
      <c r="AU106" s="1752"/>
      <c r="AV106" s="1752"/>
      <c r="AW106" s="1752"/>
      <c r="AX106" s="1752"/>
      <c r="AY106" s="1752"/>
      <c r="AZ106" s="1752"/>
      <c r="BA106" s="1752"/>
      <c r="BB106" s="1752"/>
      <c r="BC106" s="1752"/>
      <c r="BD106" s="1752"/>
      <c r="BE106" s="1752"/>
      <c r="BF106" s="1752"/>
      <c r="BG106" s="1752"/>
      <c r="BH106" s="1752"/>
      <c r="BI106" s="1752"/>
      <c r="BJ106" s="1752"/>
      <c r="BK106" s="1752"/>
      <c r="BL106" s="1752"/>
      <c r="BM106" s="1752"/>
      <c r="BN106" s="1752"/>
      <c r="BO106" s="1752"/>
      <c r="BP106" s="1754"/>
      <c r="BQ106" s="1755"/>
      <c r="BR106" s="1755"/>
      <c r="BS106" s="1755"/>
      <c r="BT106" s="1755"/>
      <c r="BU106" s="1755"/>
      <c r="BV106" s="1755"/>
      <c r="BW106" s="1755"/>
      <c r="BX106" s="1755"/>
      <c r="BY106" s="1755"/>
      <c r="BZ106" s="1755"/>
      <c r="CA106" s="1755"/>
      <c r="CB106" s="1755"/>
      <c r="CC106" s="1755"/>
      <c r="CD106" s="1755"/>
      <c r="CE106" s="1755"/>
      <c r="CF106" s="1755"/>
      <c r="CG106" s="1755"/>
      <c r="CH106" s="1755"/>
      <c r="CI106" s="1755"/>
      <c r="CJ106" s="1755"/>
      <c r="CK106" s="1755"/>
      <c r="CL106" s="1755"/>
      <c r="CM106" s="1755"/>
      <c r="CN106" s="1756"/>
      <c r="CO106" s="1767"/>
    </row>
    <row r="107" spans="2:93" ht="28.5" x14ac:dyDescent="0.2">
      <c r="B107" s="1707"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107" s="1703" t="s">
        <v>1034</v>
      </c>
      <c r="D107" s="1703" t="s">
        <v>984</v>
      </c>
      <c r="E107" s="1704" t="s">
        <v>907</v>
      </c>
      <c r="F107" s="1707" t="str">
        <f>VLOOKUP(TBL5_OptBen[[#This Row],[Option Type (defined list)]],'Option Typs_Grps'!B$2:C$47, 2, FALSE)</f>
        <v>Distribution Options</v>
      </c>
      <c r="G107" s="1707" t="s">
        <v>863</v>
      </c>
      <c r="H107" s="1707" t="s">
        <v>1462</v>
      </c>
      <c r="I107" s="1707" t="s">
        <v>105</v>
      </c>
      <c r="J107" s="1707" t="s">
        <v>236</v>
      </c>
      <c r="K107" s="1751">
        <v>2</v>
      </c>
      <c r="L107" s="1752"/>
      <c r="M107" s="1752"/>
      <c r="N107" s="1752"/>
      <c r="O107" s="1754"/>
      <c r="P107" s="1766"/>
      <c r="Q107" s="1753"/>
      <c r="R107" s="1753"/>
      <c r="S107" s="1752"/>
      <c r="T107" s="1752"/>
      <c r="U107" s="1752">
        <f>U57*$U$2</f>
        <v>-2.9450316892999999</v>
      </c>
      <c r="V107" s="1752">
        <f t="shared" ref="V107:AP107" si="0">V57*$U$2</f>
        <v>-2.9005775424000002</v>
      </c>
      <c r="W107" s="1752">
        <f t="shared" si="0"/>
        <v>-3.0855821452000001</v>
      </c>
      <c r="X107" s="1752">
        <f t="shared" si="0"/>
        <v>-2.8669679639000001</v>
      </c>
      <c r="Y107" s="1752">
        <f t="shared" si="0"/>
        <v>-6.5805440715000003</v>
      </c>
      <c r="Z107" s="1752">
        <f t="shared" si="0"/>
        <v>-6.5390018497</v>
      </c>
      <c r="AA107" s="1752">
        <f t="shared" si="0"/>
        <v>-6.4679891454999998</v>
      </c>
      <c r="AB107" s="1752">
        <f t="shared" si="0"/>
        <v>-6.4105918095999996</v>
      </c>
      <c r="AC107" s="1752">
        <f t="shared" si="0"/>
        <v>-6.3834717343999996</v>
      </c>
      <c r="AD107" s="1752">
        <f t="shared" si="0"/>
        <v>-6.3466478259999999</v>
      </c>
      <c r="AE107" s="1752">
        <f t="shared" si="0"/>
        <v>-6.3255704882000003</v>
      </c>
      <c r="AF107" s="1752">
        <f t="shared" si="0"/>
        <v>-6.3024316514000001</v>
      </c>
      <c r="AG107" s="1752">
        <f t="shared" si="0"/>
        <v>-6.9253447417</v>
      </c>
      <c r="AH107" s="1752">
        <f t="shared" si="0"/>
        <v>-6.8912932598000003</v>
      </c>
      <c r="AI107" s="1752">
        <f t="shared" si="0"/>
        <v>-6.8476400006000002</v>
      </c>
      <c r="AJ107" s="1752">
        <f t="shared" si="0"/>
        <v>-6.8252674400000002</v>
      </c>
      <c r="AK107" s="1752">
        <f t="shared" si="0"/>
        <v>-6.8264611109000004</v>
      </c>
      <c r="AL107" s="1752">
        <f t="shared" si="0"/>
        <v>-7.4668975633999999</v>
      </c>
      <c r="AM107" s="1752">
        <f t="shared" si="0"/>
        <v>-7.4780770106999999</v>
      </c>
      <c r="AN107" s="1752">
        <f t="shared" si="0"/>
        <v>-7.4895726660999999</v>
      </c>
      <c r="AO107" s="1752">
        <f t="shared" si="0"/>
        <v>-7.5119444837999998</v>
      </c>
      <c r="AP107" s="1752">
        <f t="shared" si="0"/>
        <v>-7.5250143505000002</v>
      </c>
      <c r="AQ107" s="1752"/>
      <c r="AR107" s="1752"/>
      <c r="AS107" s="1752"/>
      <c r="AT107" s="1752"/>
      <c r="AU107" s="1752"/>
      <c r="AV107" s="1752"/>
      <c r="AW107" s="1752"/>
      <c r="AX107" s="1752"/>
      <c r="AY107" s="1752"/>
      <c r="AZ107" s="1752"/>
      <c r="BA107" s="1752"/>
      <c r="BB107" s="1752"/>
      <c r="BC107" s="1752"/>
      <c r="BD107" s="1752"/>
      <c r="BE107" s="1752"/>
      <c r="BF107" s="1752"/>
      <c r="BG107" s="1752"/>
      <c r="BH107" s="1752"/>
      <c r="BI107" s="1752"/>
      <c r="BJ107" s="1752"/>
      <c r="BK107" s="1752"/>
      <c r="BL107" s="1752"/>
      <c r="BM107" s="1752"/>
      <c r="BN107" s="1752"/>
      <c r="BO107" s="1752"/>
      <c r="BP107" s="1754"/>
      <c r="BQ107" s="1755"/>
      <c r="BR107" s="1755"/>
      <c r="BS107" s="1755"/>
      <c r="BT107" s="1755"/>
      <c r="BU107" s="1755"/>
      <c r="BV107" s="1755"/>
      <c r="BW107" s="1755"/>
      <c r="BX107" s="1755"/>
      <c r="BY107" s="1755"/>
      <c r="BZ107" s="1755"/>
      <c r="CA107" s="1755"/>
      <c r="CB107" s="1755"/>
      <c r="CC107" s="1755"/>
      <c r="CD107" s="1755"/>
      <c r="CE107" s="1755"/>
      <c r="CF107" s="1755"/>
      <c r="CG107" s="1755"/>
      <c r="CH107" s="1755"/>
      <c r="CI107" s="1755"/>
      <c r="CJ107" s="1755"/>
      <c r="CK107" s="1755"/>
      <c r="CL107" s="1755"/>
      <c r="CM107" s="1755"/>
      <c r="CN107" s="1756"/>
      <c r="CO107" s="1767"/>
    </row>
    <row r="108" spans="2:93" ht="28.5" x14ac:dyDescent="0.2">
      <c r="B108" s="1707"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108" s="1703" t="s">
        <v>1034</v>
      </c>
      <c r="D108" s="1703" t="s">
        <v>984</v>
      </c>
      <c r="E108" s="1704" t="s">
        <v>907</v>
      </c>
      <c r="F108" s="1707" t="str">
        <f>VLOOKUP(TBL5_OptBen[[#This Row],[Option Type (defined list)]],'Option Typs_Grps'!B$2:C$47, 2, FALSE)</f>
        <v>Distribution Options</v>
      </c>
      <c r="G108" s="1707" t="s">
        <v>863</v>
      </c>
      <c r="H108" s="1707" t="s">
        <v>1461</v>
      </c>
      <c r="I108" s="1707" t="s">
        <v>105</v>
      </c>
      <c r="J108" s="1707" t="s">
        <v>236</v>
      </c>
      <c r="K108" s="1751">
        <v>2</v>
      </c>
      <c r="L108" s="1752"/>
      <c r="M108" s="1752"/>
      <c r="N108" s="1752"/>
      <c r="O108" s="1754"/>
      <c r="P108" s="1766"/>
      <c r="Q108" s="1753"/>
      <c r="R108" s="1753"/>
      <c r="S108" s="1752"/>
      <c r="T108" s="1752"/>
      <c r="U108" s="1752">
        <v>-2.0191658334342422</v>
      </c>
      <c r="V108" s="1752">
        <v>-1.9750342851558536</v>
      </c>
      <c r="W108" s="1752">
        <v>-2.1602800871321528</v>
      </c>
      <c r="X108" s="1752">
        <v>-1.9415896480311743</v>
      </c>
      <c r="Y108" s="1752">
        <v>-5.654349269798713</v>
      </c>
      <c r="Z108" s="1752">
        <v>-5.613079458205263</v>
      </c>
      <c r="AA108" s="1752">
        <v>-5.5425060693968762</v>
      </c>
      <c r="AB108" s="1752">
        <v>-5.4853809871869776</v>
      </c>
      <c r="AC108" s="1752">
        <v>-5.4584486292165808</v>
      </c>
      <c r="AD108" s="1752">
        <v>-5.4218804505148581</v>
      </c>
      <c r="AE108" s="1752">
        <v>-5.4008407809205563</v>
      </c>
      <c r="AF108" s="1752">
        <v>-5.3775638656158131</v>
      </c>
      <c r="AG108" s="1752">
        <v>-6.0010081839225338</v>
      </c>
      <c r="AH108" s="1752">
        <v>-5.9673451728357021</v>
      </c>
      <c r="AI108" s="1752">
        <v>-5.9252281773674884</v>
      </c>
      <c r="AJ108" s="1752">
        <v>-5.9053244604307817</v>
      </c>
      <c r="AK108" s="1752">
        <v>-5.9066312118793931</v>
      </c>
      <c r="AL108" s="1752">
        <v>-6.547291354179122</v>
      </c>
      <c r="AM108" s="1752">
        <v>-6.5585931432347309</v>
      </c>
      <c r="AN108" s="1752">
        <v>-6.5702706405093627</v>
      </c>
      <c r="AO108" s="1752">
        <v>-6.5927342527358581</v>
      </c>
      <c r="AP108" s="1752">
        <v>-6.6051322929039378</v>
      </c>
      <c r="AQ108" s="1752"/>
      <c r="AR108" s="1752"/>
      <c r="AS108" s="1752"/>
      <c r="AT108" s="1752"/>
      <c r="AU108" s="1752"/>
      <c r="AV108" s="1752"/>
      <c r="AW108" s="1752"/>
      <c r="AX108" s="1752"/>
      <c r="AY108" s="1752"/>
      <c r="AZ108" s="1752"/>
      <c r="BA108" s="1752"/>
      <c r="BB108" s="1752"/>
      <c r="BC108" s="1752"/>
      <c r="BD108" s="1752"/>
      <c r="BE108" s="1752"/>
      <c r="BF108" s="1752"/>
      <c r="BG108" s="1752"/>
      <c r="BH108" s="1752"/>
      <c r="BI108" s="1752"/>
      <c r="BJ108" s="1752"/>
      <c r="BK108" s="1752"/>
      <c r="BL108" s="1752"/>
      <c r="BM108" s="1752"/>
      <c r="BN108" s="1752"/>
      <c r="BO108" s="1752"/>
      <c r="BP108" s="1754"/>
      <c r="BQ108" s="1755"/>
      <c r="BR108" s="1755"/>
      <c r="BS108" s="1755"/>
      <c r="BT108" s="1755"/>
      <c r="BU108" s="1755"/>
      <c r="BV108" s="1755"/>
      <c r="BW108" s="1755"/>
      <c r="BX108" s="1755"/>
      <c r="BY108" s="1755"/>
      <c r="BZ108" s="1755"/>
      <c r="CA108" s="1755"/>
      <c r="CB108" s="1755"/>
      <c r="CC108" s="1755"/>
      <c r="CD108" s="1755"/>
      <c r="CE108" s="1755"/>
      <c r="CF108" s="1755"/>
      <c r="CG108" s="1755"/>
      <c r="CH108" s="1755"/>
      <c r="CI108" s="1755"/>
      <c r="CJ108" s="1755"/>
      <c r="CK108" s="1755"/>
      <c r="CL108" s="1755"/>
      <c r="CM108" s="1755"/>
      <c r="CN108" s="1756"/>
      <c r="CO108" s="1767"/>
    </row>
    <row r="109" spans="2:93" ht="28.5" x14ac:dyDescent="0.2">
      <c r="B109" s="1707"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109" s="1703" t="s">
        <v>1034</v>
      </c>
      <c r="D109" s="1703" t="s">
        <v>984</v>
      </c>
      <c r="E109" s="1704" t="s">
        <v>907</v>
      </c>
      <c r="F109" s="1707" t="str">
        <f>VLOOKUP(TBL5_OptBen[[#This Row],[Option Type (defined list)]],'Option Typs_Grps'!B$2:C$47, 2, FALSE)</f>
        <v>Distribution Options</v>
      </c>
      <c r="G109" s="1707" t="s">
        <v>863</v>
      </c>
      <c r="H109" s="1707" t="s">
        <v>1456</v>
      </c>
      <c r="I109" s="1707" t="s">
        <v>105</v>
      </c>
      <c r="J109" s="1707" t="s">
        <v>236</v>
      </c>
      <c r="K109" s="1751">
        <v>2</v>
      </c>
      <c r="L109" s="1752"/>
      <c r="M109" s="1752"/>
      <c r="N109" s="1752"/>
      <c r="O109" s="1754"/>
      <c r="P109" s="1766"/>
      <c r="Q109" s="1753"/>
      <c r="R109" s="1753"/>
      <c r="S109" s="1752"/>
      <c r="T109" s="1752"/>
      <c r="U109" s="1752"/>
      <c r="V109" s="1752"/>
      <c r="W109" s="1752"/>
      <c r="X109" s="1752"/>
      <c r="Y109" s="1752">
        <v>-0.20856410954914378</v>
      </c>
      <c r="Z109" s="1752">
        <v>-0.14795702573516523</v>
      </c>
      <c r="AA109" s="1752">
        <v>-6.5392176763865162E-2</v>
      </c>
      <c r="AB109" s="1752">
        <v>-5.5851848014790706E-3</v>
      </c>
      <c r="AC109" s="1752"/>
      <c r="AD109" s="1752"/>
      <c r="AE109" s="1752"/>
      <c r="AF109" s="1752"/>
      <c r="AG109" s="1752"/>
      <c r="AH109" s="1752"/>
      <c r="AI109" s="1752"/>
      <c r="AJ109" s="1752"/>
      <c r="AK109" s="1752"/>
      <c r="AL109" s="1752"/>
      <c r="AM109" s="1752"/>
      <c r="AN109" s="1752"/>
      <c r="AO109" s="1752"/>
      <c r="AP109" s="1752"/>
      <c r="AQ109" s="1752"/>
      <c r="AR109" s="1752"/>
      <c r="AS109" s="1752"/>
      <c r="AT109" s="1752"/>
      <c r="AU109" s="1752"/>
      <c r="AV109" s="1752"/>
      <c r="AW109" s="1752"/>
      <c r="AX109" s="1752"/>
      <c r="AY109" s="1752"/>
      <c r="AZ109" s="1752"/>
      <c r="BA109" s="1752"/>
      <c r="BB109" s="1752"/>
      <c r="BC109" s="1752"/>
      <c r="BD109" s="1752"/>
      <c r="BE109" s="1752"/>
      <c r="BF109" s="1752"/>
      <c r="BG109" s="1752"/>
      <c r="BH109" s="1752"/>
      <c r="BI109" s="1752"/>
      <c r="BJ109" s="1752"/>
      <c r="BK109" s="1752"/>
      <c r="BL109" s="1752"/>
      <c r="BM109" s="1752"/>
      <c r="BN109" s="1752"/>
      <c r="BO109" s="1752"/>
      <c r="BP109" s="1754"/>
      <c r="BQ109" s="1755"/>
      <c r="BR109" s="1755"/>
      <c r="BS109" s="1755"/>
      <c r="BT109" s="1755"/>
      <c r="BU109" s="1755"/>
      <c r="BV109" s="1755"/>
      <c r="BW109" s="1755"/>
      <c r="BX109" s="1755"/>
      <c r="BY109" s="1755"/>
      <c r="BZ109" s="1755"/>
      <c r="CA109" s="1755"/>
      <c r="CB109" s="1755"/>
      <c r="CC109" s="1755"/>
      <c r="CD109" s="1755"/>
      <c r="CE109" s="1755"/>
      <c r="CF109" s="1755"/>
      <c r="CG109" s="1755"/>
      <c r="CH109" s="1755"/>
      <c r="CI109" s="1755"/>
      <c r="CJ109" s="1755"/>
      <c r="CK109" s="1755"/>
      <c r="CL109" s="1755"/>
      <c r="CM109" s="1755"/>
      <c r="CN109" s="1756"/>
      <c r="CO109" s="1767"/>
    </row>
    <row r="110" spans="2:93" ht="28.5" x14ac:dyDescent="0.2">
      <c r="B110" s="1707"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110" s="1703" t="s">
        <v>1040</v>
      </c>
      <c r="D110" s="1703" t="s">
        <v>1039</v>
      </c>
      <c r="E110" s="1704" t="s">
        <v>1041</v>
      </c>
      <c r="F110" s="1707" t="str">
        <f>VLOOKUP(TBL5_OptBen[[#This Row],[Option Type (defined list)]],'Option Typs_Grps'!B$2:C$47, 2, FALSE)</f>
        <v>Resource Options</v>
      </c>
      <c r="G110" s="1707" t="s">
        <v>863</v>
      </c>
      <c r="H110" s="1707" t="s">
        <v>1457</v>
      </c>
      <c r="I110" s="1703" t="s">
        <v>105</v>
      </c>
      <c r="J110" s="1707" t="s">
        <v>236</v>
      </c>
      <c r="K110" s="1751">
        <v>2</v>
      </c>
      <c r="L110" s="1752"/>
      <c r="M110" s="1752"/>
      <c r="N110" s="1752"/>
      <c r="O110" s="1754"/>
      <c r="P110" s="1766"/>
      <c r="Q110" s="1753"/>
      <c r="R110" s="1753"/>
      <c r="S110" s="1752"/>
      <c r="T110" s="1752"/>
      <c r="U110" s="1752"/>
      <c r="V110" s="1752"/>
      <c r="W110" s="1752">
        <v>1</v>
      </c>
      <c r="X110" s="1752">
        <v>1</v>
      </c>
      <c r="Y110" s="1752">
        <v>1</v>
      </c>
      <c r="Z110" s="1752">
        <v>1</v>
      </c>
      <c r="AA110" s="1752">
        <v>1</v>
      </c>
      <c r="AB110" s="1752">
        <v>1</v>
      </c>
      <c r="AC110" s="1752">
        <v>1</v>
      </c>
      <c r="AD110" s="1752">
        <v>1</v>
      </c>
      <c r="AE110" s="1752">
        <v>1</v>
      </c>
      <c r="AF110" s="1752">
        <v>1</v>
      </c>
      <c r="AG110" s="1752">
        <v>1</v>
      </c>
      <c r="AH110" s="1752">
        <v>1</v>
      </c>
      <c r="AI110" s="1752">
        <v>1</v>
      </c>
      <c r="AJ110" s="1752">
        <v>1</v>
      </c>
      <c r="AK110" s="1752">
        <v>1</v>
      </c>
      <c r="AL110" s="1752">
        <v>1</v>
      </c>
      <c r="AM110" s="1752">
        <v>1</v>
      </c>
      <c r="AN110" s="1752">
        <v>1</v>
      </c>
      <c r="AO110" s="1752">
        <v>1</v>
      </c>
      <c r="AP110" s="1752">
        <v>1</v>
      </c>
      <c r="AQ110" s="1752"/>
      <c r="AR110" s="1752"/>
      <c r="AS110" s="1752"/>
      <c r="AT110" s="1752"/>
      <c r="AU110" s="1752"/>
      <c r="AV110" s="1752"/>
      <c r="AW110" s="1752"/>
      <c r="AX110" s="1752"/>
      <c r="AY110" s="1752"/>
      <c r="AZ110" s="1752"/>
      <c r="BA110" s="1752"/>
      <c r="BB110" s="1752"/>
      <c r="BC110" s="1752"/>
      <c r="BD110" s="1752"/>
      <c r="BE110" s="1752"/>
      <c r="BF110" s="1752"/>
      <c r="BG110" s="1752"/>
      <c r="BH110" s="1752"/>
      <c r="BI110" s="1752"/>
      <c r="BJ110" s="1752"/>
      <c r="BK110" s="1752"/>
      <c r="BL110" s="1752"/>
      <c r="BM110" s="1752"/>
      <c r="BN110" s="1752"/>
      <c r="BO110" s="1752"/>
      <c r="BP110" s="1752"/>
      <c r="BQ110" s="1752"/>
      <c r="BR110" s="1752"/>
      <c r="BS110" s="1752"/>
      <c r="BT110" s="1752"/>
      <c r="BU110" s="1752"/>
      <c r="BV110" s="1752"/>
      <c r="BW110" s="1752"/>
      <c r="BX110" s="1752"/>
      <c r="BY110" s="1752"/>
      <c r="BZ110" s="1752"/>
      <c r="CA110" s="1752"/>
      <c r="CB110" s="1752"/>
      <c r="CC110" s="1752"/>
      <c r="CD110" s="1752"/>
      <c r="CE110" s="1752"/>
      <c r="CF110" s="1752"/>
      <c r="CG110" s="1752"/>
      <c r="CH110" s="1752"/>
      <c r="CI110" s="1752"/>
      <c r="CJ110" s="1752"/>
      <c r="CK110" s="1752"/>
      <c r="CL110" s="1752"/>
      <c r="CM110" s="1752"/>
      <c r="CN110" s="1752"/>
      <c r="CO110" s="1767"/>
    </row>
    <row r="111" spans="2:93" ht="28.5" x14ac:dyDescent="0.2">
      <c r="B111" s="170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111" s="1703" t="s">
        <v>1034</v>
      </c>
      <c r="D111" s="1703" t="s">
        <v>984</v>
      </c>
      <c r="E111" s="1704" t="s">
        <v>907</v>
      </c>
      <c r="F111" s="1707" t="str">
        <f>VLOOKUP(TBL5_OptBen[[#This Row],[Option Type (defined list)]],'Option Typs_Grps'!B$2:C$47, 2, FALSE)</f>
        <v>Distribution Options</v>
      </c>
      <c r="G111" s="1707" t="s">
        <v>863</v>
      </c>
      <c r="H111" s="1707" t="s">
        <v>1457</v>
      </c>
      <c r="I111" s="1703" t="s">
        <v>102</v>
      </c>
      <c r="J111" s="1707" t="s">
        <v>236</v>
      </c>
      <c r="K111" s="1751">
        <v>2</v>
      </c>
      <c r="L111" s="1752"/>
      <c r="M111" s="1752"/>
      <c r="N111" s="1752"/>
      <c r="O111" s="1754"/>
      <c r="P111" s="1766"/>
      <c r="Q111" s="1753"/>
      <c r="R111" s="1753"/>
      <c r="S111" s="1752"/>
      <c r="T111" s="1752"/>
      <c r="U111" s="1773">
        <v>4.6028583014544129</v>
      </c>
      <c r="V111" s="1773">
        <v>4.5873980174188</v>
      </c>
      <c r="W111" s="1773">
        <v>5.0495122395575107</v>
      </c>
      <c r="X111" s="1773">
        <v>4.983283887939673</v>
      </c>
      <c r="Y111" s="1774">
        <v>8.7926771564698338</v>
      </c>
      <c r="Z111" s="1773">
        <v>8.7419979415445592</v>
      </c>
      <c r="AA111" s="1773">
        <v>8.6851681257349611</v>
      </c>
      <c r="AB111" s="1774">
        <v>8.6412518810503052</v>
      </c>
      <c r="AC111" s="1774">
        <v>8.5950351880977571</v>
      </c>
      <c r="AD111" s="1774">
        <v>8.5569685116676037</v>
      </c>
      <c r="AE111" s="1774">
        <v>8.5457715116890558</v>
      </c>
      <c r="AF111" s="1774">
        <v>8.5343186361910313</v>
      </c>
      <c r="AG111" s="1774">
        <v>8.8455235325688157</v>
      </c>
      <c r="AH111" s="1774">
        <v>8.809248986859652</v>
      </c>
      <c r="AI111" s="1774">
        <v>8.7689650342075023</v>
      </c>
      <c r="AJ111" s="1774">
        <v>8.7358590295124152</v>
      </c>
      <c r="AK111" s="1774">
        <v>8.7365057913843387</v>
      </c>
      <c r="AL111" s="1774">
        <v>9.06057802832993</v>
      </c>
      <c r="AM111" s="1774">
        <v>9.0829655663075837</v>
      </c>
      <c r="AN111" s="1774">
        <v>9.0897701681687018</v>
      </c>
      <c r="AO111" s="1774">
        <v>9.1028541775498901</v>
      </c>
      <c r="AP111" s="1774">
        <v>9.1236591575213204</v>
      </c>
      <c r="AQ111" s="1752"/>
      <c r="AR111" s="1752"/>
      <c r="AS111" s="1752"/>
      <c r="AT111" s="1752"/>
      <c r="AU111" s="1752"/>
      <c r="AV111" s="1752"/>
      <c r="AW111" s="1752"/>
      <c r="AX111" s="1752"/>
      <c r="AY111" s="1752"/>
      <c r="AZ111" s="1752"/>
      <c r="BA111" s="1752"/>
      <c r="BB111" s="1752"/>
      <c r="BC111" s="1752"/>
      <c r="BD111" s="1752"/>
      <c r="BE111" s="1752"/>
      <c r="BF111" s="1752"/>
      <c r="BG111" s="1752"/>
      <c r="BH111" s="1752"/>
      <c r="BI111" s="1752"/>
      <c r="BJ111" s="1752"/>
      <c r="BK111" s="1752"/>
      <c r="BL111" s="1752"/>
      <c r="BM111" s="1752"/>
      <c r="BN111" s="1752"/>
      <c r="BO111" s="1752"/>
      <c r="BP111" s="1752"/>
      <c r="BQ111" s="1752"/>
      <c r="BR111" s="1752"/>
      <c r="BS111" s="1752"/>
      <c r="BT111" s="1752"/>
      <c r="BU111" s="1752"/>
      <c r="BV111" s="1752"/>
      <c r="BW111" s="1752"/>
      <c r="BX111" s="1752"/>
      <c r="BY111" s="1752"/>
      <c r="BZ111" s="1752"/>
      <c r="CA111" s="1752"/>
      <c r="CB111" s="1752"/>
      <c r="CC111" s="1752"/>
      <c r="CD111" s="1752"/>
      <c r="CE111" s="1752"/>
      <c r="CF111" s="1752"/>
      <c r="CG111" s="1752"/>
      <c r="CH111" s="1752"/>
      <c r="CI111" s="1752"/>
      <c r="CJ111" s="1752"/>
      <c r="CK111" s="1752"/>
      <c r="CL111" s="1752"/>
      <c r="CM111" s="1752"/>
      <c r="CN111" s="1752"/>
      <c r="CO111" s="1767"/>
    </row>
    <row r="112" spans="2:93" ht="28.5" x14ac:dyDescent="0.2">
      <c r="B112" s="1707"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52dP</v>
      </c>
      <c r="C112" s="1707" t="s">
        <v>1047</v>
      </c>
      <c r="D112" s="1707" t="s">
        <v>1046</v>
      </c>
      <c r="E112" s="1707" t="s">
        <v>885</v>
      </c>
      <c r="F112" s="1707" t="s">
        <v>1470</v>
      </c>
      <c r="G112" s="1707" t="s">
        <v>863</v>
      </c>
      <c r="H112" s="1707" t="s">
        <v>876</v>
      </c>
      <c r="I112" s="1707" t="s">
        <v>88</v>
      </c>
      <c r="J112" s="1707" t="s">
        <v>236</v>
      </c>
      <c r="K112" s="1751">
        <v>2</v>
      </c>
      <c r="L112" s="1768"/>
      <c r="M112" s="1771"/>
      <c r="N112" s="1771">
        <v>-5.7</v>
      </c>
      <c r="O112" s="1771">
        <v>-5.7</v>
      </c>
      <c r="P112" s="1771">
        <v>-5.7</v>
      </c>
      <c r="Q112" s="1771">
        <v>-5.7</v>
      </c>
      <c r="R112" s="1771">
        <v>-5.7</v>
      </c>
      <c r="S112" s="1771">
        <v>-5.7</v>
      </c>
      <c r="T112" s="1771">
        <v>-5.7</v>
      </c>
      <c r="U112" s="1771">
        <v>-5.7</v>
      </c>
      <c r="V112" s="1771">
        <v>-5.7</v>
      </c>
      <c r="W112" s="1771">
        <v>-5.7</v>
      </c>
      <c r="X112" s="1771"/>
      <c r="Y112" s="1771"/>
      <c r="Z112" s="1771"/>
      <c r="AA112" s="1771"/>
      <c r="AB112" s="1771"/>
      <c r="AC112" s="1771"/>
      <c r="AD112" s="1771"/>
      <c r="AE112" s="1771"/>
      <c r="AF112" s="1771"/>
      <c r="AG112" s="1771"/>
      <c r="AH112" s="1771"/>
      <c r="AI112" s="1771"/>
      <c r="AJ112" s="1771"/>
      <c r="AK112" s="1771"/>
      <c r="AL112" s="1771"/>
      <c r="AM112" s="1771"/>
      <c r="AN112" s="1771"/>
      <c r="AO112" s="1771"/>
      <c r="AP112" s="1771"/>
      <c r="AQ112" s="1771"/>
      <c r="AR112" s="1771"/>
      <c r="AS112" s="1771"/>
      <c r="AT112" s="1771"/>
      <c r="AU112" s="1771"/>
      <c r="AV112" s="1771"/>
      <c r="AW112" s="1771"/>
      <c r="AX112" s="1771"/>
      <c r="AY112" s="1771"/>
      <c r="AZ112" s="1771"/>
      <c r="BA112" s="1771"/>
      <c r="BB112" s="1771"/>
      <c r="BC112" s="1771"/>
      <c r="BD112" s="1771"/>
      <c r="BE112" s="1771"/>
      <c r="BF112" s="1771"/>
      <c r="BG112" s="1771"/>
      <c r="BH112" s="1771"/>
      <c r="BI112" s="1771"/>
      <c r="BJ112" s="1771"/>
      <c r="BK112" s="1771"/>
      <c r="BL112" s="1771"/>
      <c r="BM112" s="1771"/>
      <c r="BN112" s="1771"/>
      <c r="BO112" s="1771"/>
      <c r="BP112" s="1769"/>
      <c r="BQ112" s="1775"/>
      <c r="BR112" s="1775"/>
      <c r="BS112" s="1775"/>
      <c r="BT112" s="1775"/>
      <c r="BU112" s="1775"/>
      <c r="BV112" s="1775"/>
      <c r="BW112" s="1775"/>
      <c r="BX112" s="1775"/>
      <c r="BY112" s="1775"/>
      <c r="BZ112" s="1775"/>
      <c r="CA112" s="1775"/>
      <c r="CB112" s="1776"/>
      <c r="CC112" s="1776"/>
      <c r="CD112" s="1776"/>
      <c r="CE112" s="1776"/>
      <c r="CF112" s="1776"/>
      <c r="CG112" s="1776"/>
      <c r="CH112" s="1776"/>
      <c r="CI112" s="1776"/>
      <c r="CJ112" s="1776"/>
      <c r="CK112" s="1776"/>
      <c r="CL112" s="1776"/>
      <c r="CM112" s="1776"/>
      <c r="CN112" s="1777"/>
      <c r="CO112" s="1767"/>
    </row>
    <row r="113" spans="2:93" x14ac:dyDescent="0.2">
      <c r="B113" s="1707"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52aP</v>
      </c>
      <c r="C113" s="1707" t="s">
        <v>1048</v>
      </c>
      <c r="D113" s="1707" t="s">
        <v>1048</v>
      </c>
      <c r="E113" s="1707" t="s">
        <v>875</v>
      </c>
      <c r="F113" s="1707" t="str">
        <f>VLOOKUP(TBL5_OptBen[[#This Row],[Option Type (defined list)]],'Option Typs_Grps'!B$2:C$47, 2, FALSE)</f>
        <v>Resource Options</v>
      </c>
      <c r="G113" s="1707" t="s">
        <v>863</v>
      </c>
      <c r="H113" s="1707" t="s">
        <v>876</v>
      </c>
      <c r="I113" s="1707" t="s">
        <v>102</v>
      </c>
      <c r="J113" s="1707" t="s">
        <v>236</v>
      </c>
      <c r="K113" s="1751">
        <v>2</v>
      </c>
      <c r="L113" s="1752"/>
      <c r="M113" s="1752"/>
      <c r="N113" s="1752"/>
      <c r="O113" s="1754"/>
      <c r="P113" s="1766"/>
      <c r="Q113" s="1753"/>
      <c r="R113" s="1753">
        <v>2.27</v>
      </c>
      <c r="S113" s="1752">
        <v>2.27</v>
      </c>
      <c r="T113" s="1752">
        <v>2.27</v>
      </c>
      <c r="U113" s="1752"/>
      <c r="V113" s="1752"/>
      <c r="W113" s="1752"/>
      <c r="X113" s="1752"/>
      <c r="Y113" s="1752"/>
      <c r="Z113" s="1752"/>
      <c r="AA113" s="1752"/>
      <c r="AB113" s="1752"/>
      <c r="AC113" s="1752"/>
      <c r="AD113" s="1752"/>
      <c r="AE113" s="1752"/>
      <c r="AF113" s="1752"/>
      <c r="AG113" s="1752"/>
      <c r="AH113" s="1752"/>
      <c r="AI113" s="1752"/>
      <c r="AJ113" s="1752"/>
      <c r="AK113" s="1752"/>
      <c r="AL113" s="1752"/>
      <c r="AM113" s="1752"/>
      <c r="AN113" s="1752"/>
      <c r="AO113" s="1752"/>
      <c r="AP113" s="1752"/>
      <c r="AQ113" s="1752"/>
      <c r="AR113" s="1752"/>
      <c r="AS113" s="1752"/>
      <c r="AT113" s="1752"/>
      <c r="AU113" s="1752"/>
      <c r="AV113" s="1752"/>
      <c r="AW113" s="1752"/>
      <c r="AX113" s="1752"/>
      <c r="AY113" s="1752"/>
      <c r="AZ113" s="1752"/>
      <c r="BA113" s="1752"/>
      <c r="BB113" s="1752"/>
      <c r="BC113" s="1752"/>
      <c r="BD113" s="1752"/>
      <c r="BE113" s="1752"/>
      <c r="BF113" s="1752"/>
      <c r="BG113" s="1752"/>
      <c r="BH113" s="1752"/>
      <c r="BI113" s="1752"/>
      <c r="BJ113" s="1752"/>
      <c r="BK113" s="1752"/>
      <c r="BL113" s="1752"/>
      <c r="BM113" s="1752"/>
      <c r="BN113" s="1752"/>
      <c r="BO113" s="1752"/>
      <c r="BP113" s="1754"/>
      <c r="BQ113" s="1778"/>
      <c r="BR113" s="1778"/>
      <c r="BS113" s="1778"/>
      <c r="BT113" s="1778"/>
      <c r="BU113" s="1778"/>
      <c r="BV113" s="1778"/>
      <c r="BW113" s="1778"/>
      <c r="BX113" s="1778"/>
      <c r="BY113" s="1778"/>
      <c r="BZ113" s="1778"/>
      <c r="CA113" s="1778"/>
      <c r="CB113" s="1755"/>
      <c r="CC113" s="1755"/>
      <c r="CD113" s="1755"/>
      <c r="CE113" s="1755"/>
      <c r="CF113" s="1755"/>
      <c r="CG113" s="1755"/>
      <c r="CH113" s="1755"/>
      <c r="CI113" s="1755"/>
      <c r="CJ113" s="1755"/>
      <c r="CK113" s="1755"/>
      <c r="CL113" s="1755"/>
      <c r="CM113" s="1755"/>
      <c r="CN113" s="1756"/>
      <c r="CO113" s="1767"/>
    </row>
    <row r="114" spans="2:93" x14ac:dyDescent="0.2">
      <c r="B114" s="1707"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114" s="1707" t="s">
        <v>1048</v>
      </c>
      <c r="D114" s="1707" t="s">
        <v>1048</v>
      </c>
      <c r="E114" s="1707" t="s">
        <v>875</v>
      </c>
      <c r="F114" s="1707" t="str">
        <f>VLOOKUP(TBL5_OptBen[[#This Row],[Option Type (defined list)]],'Option Typs_Grps'!B$2:C$47, 2, FALSE)</f>
        <v>Resource Options</v>
      </c>
      <c r="G114" s="1707" t="s">
        <v>863</v>
      </c>
      <c r="H114" s="1707" t="s">
        <v>1457</v>
      </c>
      <c r="I114" s="1707" t="s">
        <v>102</v>
      </c>
      <c r="J114" s="1707" t="s">
        <v>236</v>
      </c>
      <c r="K114" s="1751">
        <v>2</v>
      </c>
      <c r="L114" s="1752"/>
      <c r="M114" s="1752"/>
      <c r="N114" s="1752"/>
      <c r="O114" s="1754"/>
      <c r="P114" s="1766"/>
      <c r="Q114" s="1753"/>
      <c r="R114" s="1753">
        <v>2.27</v>
      </c>
      <c r="S114" s="1752">
        <v>4.5644509394986503</v>
      </c>
      <c r="T114" s="1752">
        <v>4.6306319747453601</v>
      </c>
      <c r="U114" s="1752"/>
      <c r="V114" s="1752"/>
      <c r="W114" s="1752"/>
      <c r="X114" s="1752"/>
      <c r="Y114" s="1752"/>
      <c r="Z114" s="1752"/>
      <c r="AA114" s="1752"/>
      <c r="AB114" s="1752"/>
      <c r="AC114" s="1752"/>
      <c r="AD114" s="1752"/>
      <c r="AE114" s="1752"/>
      <c r="AF114" s="1752"/>
      <c r="AG114" s="1752"/>
      <c r="AH114" s="1752"/>
      <c r="AI114" s="1752"/>
      <c r="AJ114" s="1752"/>
      <c r="AK114" s="1752"/>
      <c r="AL114" s="1752"/>
      <c r="AM114" s="1752"/>
      <c r="AN114" s="1752"/>
      <c r="AO114" s="1752"/>
      <c r="AP114" s="1752"/>
      <c r="AQ114" s="1752"/>
      <c r="AR114" s="1752"/>
      <c r="AS114" s="1752"/>
      <c r="AT114" s="1752"/>
      <c r="AU114" s="1752"/>
      <c r="AV114" s="1752"/>
      <c r="AW114" s="1752"/>
      <c r="AX114" s="1752"/>
      <c r="AY114" s="1752"/>
      <c r="AZ114" s="1752"/>
      <c r="BA114" s="1752"/>
      <c r="BB114" s="1752"/>
      <c r="BC114" s="1752"/>
      <c r="BD114" s="1752"/>
      <c r="BE114" s="1752"/>
      <c r="BF114" s="1752"/>
      <c r="BG114" s="1752"/>
      <c r="BH114" s="1752"/>
      <c r="BI114" s="1752"/>
      <c r="BJ114" s="1752"/>
      <c r="BK114" s="1752"/>
      <c r="BL114" s="1752"/>
      <c r="BM114" s="1752"/>
      <c r="BN114" s="1752"/>
      <c r="BO114" s="1752"/>
      <c r="BP114" s="1754"/>
      <c r="BQ114" s="1755"/>
      <c r="BR114" s="1755"/>
      <c r="BS114" s="1755"/>
      <c r="BT114" s="1755"/>
      <c r="BU114" s="1755"/>
      <c r="BV114" s="1755"/>
      <c r="BW114" s="1755"/>
      <c r="BX114" s="1755"/>
      <c r="BY114" s="1755"/>
      <c r="BZ114" s="1755"/>
      <c r="CA114" s="1755"/>
      <c r="CB114" s="1755"/>
      <c r="CC114" s="1755"/>
      <c r="CD114" s="1755"/>
      <c r="CE114" s="1755"/>
      <c r="CF114" s="1755"/>
      <c r="CG114" s="1755"/>
      <c r="CH114" s="1755"/>
      <c r="CI114" s="1755"/>
      <c r="CJ114" s="1755"/>
      <c r="CK114" s="1755"/>
      <c r="CL114" s="1755"/>
      <c r="CM114" s="1755"/>
      <c r="CN114" s="1756"/>
      <c r="CO114" s="1767"/>
    </row>
    <row r="115" spans="2:93" x14ac:dyDescent="0.2">
      <c r="B115" s="1707"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115" s="1707" t="s">
        <v>1048</v>
      </c>
      <c r="D115" s="1707" t="s">
        <v>1048</v>
      </c>
      <c r="E115" s="1707" t="s">
        <v>875</v>
      </c>
      <c r="F115" s="1707" t="str">
        <f>VLOOKUP(TBL5_OptBen[[#This Row],[Option Type (defined list)]],'Option Typs_Grps'!B$2:C$47, 2, FALSE)</f>
        <v>Resource Options</v>
      </c>
      <c r="G115" s="1707" t="s">
        <v>863</v>
      </c>
      <c r="H115" s="1707" t="s">
        <v>1458</v>
      </c>
      <c r="I115" s="1707" t="s">
        <v>102</v>
      </c>
      <c r="J115" s="1707" t="s">
        <v>236</v>
      </c>
      <c r="K115" s="1751">
        <v>2</v>
      </c>
      <c r="L115" s="1752"/>
      <c r="M115" s="1752"/>
      <c r="N115" s="1752"/>
      <c r="O115" s="1754"/>
      <c r="P115" s="1766"/>
      <c r="Q115" s="1753"/>
      <c r="R115" s="1753">
        <v>2.27</v>
      </c>
      <c r="S115" s="1752">
        <v>2.27</v>
      </c>
      <c r="T115" s="1752">
        <v>2.27</v>
      </c>
      <c r="U115" s="1752"/>
      <c r="V115" s="1752"/>
      <c r="W115" s="1752"/>
      <c r="X115" s="1752"/>
      <c r="Y115" s="1752"/>
      <c r="Z115" s="1752"/>
      <c r="AA115" s="1752"/>
      <c r="AB115" s="1752"/>
      <c r="AC115" s="1752"/>
      <c r="AD115" s="1752"/>
      <c r="AE115" s="1752"/>
      <c r="AF115" s="1752"/>
      <c r="AG115" s="1752"/>
      <c r="AH115" s="1752"/>
      <c r="AI115" s="1752"/>
      <c r="AJ115" s="1752"/>
      <c r="AK115" s="1752"/>
      <c r="AL115" s="1752"/>
      <c r="AM115" s="1752"/>
      <c r="AN115" s="1752"/>
      <c r="AO115" s="1752"/>
      <c r="AP115" s="1752"/>
      <c r="AQ115" s="1752"/>
      <c r="AR115" s="1752"/>
      <c r="AS115" s="1752"/>
      <c r="AT115" s="1752"/>
      <c r="AU115" s="1752"/>
      <c r="AV115" s="1752"/>
      <c r="AW115" s="1752"/>
      <c r="AX115" s="1752"/>
      <c r="AY115" s="1752"/>
      <c r="AZ115" s="1752"/>
      <c r="BA115" s="1752"/>
      <c r="BB115" s="1752"/>
      <c r="BC115" s="1752"/>
      <c r="BD115" s="1752"/>
      <c r="BE115" s="1752"/>
      <c r="BF115" s="1752"/>
      <c r="BG115" s="1752"/>
      <c r="BH115" s="1752"/>
      <c r="BI115" s="1752"/>
      <c r="BJ115" s="1752"/>
      <c r="BK115" s="1752"/>
      <c r="BL115" s="1752"/>
      <c r="BM115" s="1752"/>
      <c r="BN115" s="1752"/>
      <c r="BO115" s="1752"/>
      <c r="BP115" s="1754"/>
      <c r="BQ115" s="1755"/>
      <c r="BR115" s="1755"/>
      <c r="BS115" s="1755"/>
      <c r="BT115" s="1755"/>
      <c r="BU115" s="1755"/>
      <c r="BV115" s="1755"/>
      <c r="BW115" s="1755"/>
      <c r="BX115" s="1755"/>
      <c r="BY115" s="1755"/>
      <c r="BZ115" s="1755"/>
      <c r="CA115" s="1755"/>
      <c r="CB115" s="1755"/>
      <c r="CC115" s="1755"/>
      <c r="CD115" s="1755"/>
      <c r="CE115" s="1755"/>
      <c r="CF115" s="1755"/>
      <c r="CG115" s="1755"/>
      <c r="CH115" s="1755"/>
      <c r="CI115" s="1755"/>
      <c r="CJ115" s="1755"/>
      <c r="CK115" s="1755"/>
      <c r="CL115" s="1755"/>
      <c r="CM115" s="1755"/>
      <c r="CN115" s="1756"/>
      <c r="CO115" s="1767"/>
    </row>
    <row r="116" spans="2:93" x14ac:dyDescent="0.2">
      <c r="B116" s="1707"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116" s="1707" t="s">
        <v>1048</v>
      </c>
      <c r="D116" s="1707" t="s">
        <v>1048</v>
      </c>
      <c r="E116" s="1707" t="s">
        <v>875</v>
      </c>
      <c r="F116" s="1707" t="str">
        <f>VLOOKUP(TBL5_OptBen[[#This Row],[Option Type (defined list)]],'Option Typs_Grps'!B$2:C$47, 2, FALSE)</f>
        <v>Resource Options</v>
      </c>
      <c r="G116" s="1707" t="s">
        <v>863</v>
      </c>
      <c r="H116" s="1707" t="s">
        <v>1462</v>
      </c>
      <c r="I116" s="1707" t="s">
        <v>102</v>
      </c>
      <c r="J116" s="1707" t="s">
        <v>236</v>
      </c>
      <c r="K116" s="1751">
        <v>2</v>
      </c>
      <c r="L116" s="1752"/>
      <c r="M116" s="1752"/>
      <c r="N116" s="1752"/>
      <c r="O116" s="1754"/>
      <c r="P116" s="1766"/>
      <c r="Q116" s="1753"/>
      <c r="R116" s="1753">
        <v>2.27</v>
      </c>
      <c r="S116" s="1752">
        <v>2.27</v>
      </c>
      <c r="T116" s="1752">
        <v>2.27</v>
      </c>
      <c r="U116" s="1752"/>
      <c r="V116" s="1752"/>
      <c r="W116" s="1752"/>
      <c r="X116" s="1752"/>
      <c r="Y116" s="1752"/>
      <c r="Z116" s="1752"/>
      <c r="AA116" s="1752"/>
      <c r="AB116" s="1752"/>
      <c r="AC116" s="1752"/>
      <c r="AD116" s="1752"/>
      <c r="AE116" s="1752"/>
      <c r="AF116" s="1752"/>
      <c r="AG116" s="1752"/>
      <c r="AH116" s="1752"/>
      <c r="AI116" s="1752"/>
      <c r="AJ116" s="1752"/>
      <c r="AK116" s="1752"/>
      <c r="AL116" s="1752"/>
      <c r="AM116" s="1752"/>
      <c r="AN116" s="1752"/>
      <c r="AO116" s="1752"/>
      <c r="AP116" s="1752"/>
      <c r="AQ116" s="1752"/>
      <c r="AR116" s="1752"/>
      <c r="AS116" s="1752"/>
      <c r="AT116" s="1752"/>
      <c r="AU116" s="1752"/>
      <c r="AV116" s="1752"/>
      <c r="AW116" s="1752"/>
      <c r="AX116" s="1752"/>
      <c r="AY116" s="1752"/>
      <c r="AZ116" s="1752"/>
      <c r="BA116" s="1752"/>
      <c r="BB116" s="1752"/>
      <c r="BC116" s="1752"/>
      <c r="BD116" s="1752"/>
      <c r="BE116" s="1752"/>
      <c r="BF116" s="1752"/>
      <c r="BG116" s="1752"/>
      <c r="BH116" s="1752"/>
      <c r="BI116" s="1752"/>
      <c r="BJ116" s="1752"/>
      <c r="BK116" s="1752"/>
      <c r="BL116" s="1752"/>
      <c r="BM116" s="1752"/>
      <c r="BN116" s="1752"/>
      <c r="BO116" s="1752"/>
      <c r="BP116" s="1754"/>
      <c r="BQ116" s="1755"/>
      <c r="BR116" s="1755"/>
      <c r="BS116" s="1755"/>
      <c r="BT116" s="1755"/>
      <c r="BU116" s="1755"/>
      <c r="BV116" s="1755"/>
      <c r="BW116" s="1755"/>
      <c r="BX116" s="1755"/>
      <c r="BY116" s="1755"/>
      <c r="BZ116" s="1755"/>
      <c r="CA116" s="1755"/>
      <c r="CB116" s="1755"/>
      <c r="CC116" s="1755"/>
      <c r="CD116" s="1755"/>
      <c r="CE116" s="1755"/>
      <c r="CF116" s="1755"/>
      <c r="CG116" s="1755"/>
      <c r="CH116" s="1755"/>
      <c r="CI116" s="1755"/>
      <c r="CJ116" s="1755"/>
      <c r="CK116" s="1755"/>
      <c r="CL116" s="1755"/>
      <c r="CM116" s="1755"/>
      <c r="CN116" s="1756"/>
      <c r="CO116" s="1767"/>
    </row>
    <row r="117" spans="2:93" x14ac:dyDescent="0.2">
      <c r="B117" s="1707"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117" s="1707" t="s">
        <v>1048</v>
      </c>
      <c r="D117" s="1707" t="s">
        <v>1048</v>
      </c>
      <c r="E117" s="1707" t="s">
        <v>875</v>
      </c>
      <c r="F117" s="1707" t="str">
        <f>VLOOKUP(TBL5_OptBen[[#This Row],[Option Type (defined list)]],'Option Typs_Grps'!B$2:C$47, 2, FALSE)</f>
        <v>Resource Options</v>
      </c>
      <c r="G117" s="1707" t="s">
        <v>863</v>
      </c>
      <c r="H117" s="1707" t="s">
        <v>1459</v>
      </c>
      <c r="I117" s="1707" t="s">
        <v>102</v>
      </c>
      <c r="J117" s="1707" t="s">
        <v>236</v>
      </c>
      <c r="K117" s="1751">
        <v>2</v>
      </c>
      <c r="L117" s="1752"/>
      <c r="M117" s="1752"/>
      <c r="N117" s="1752"/>
      <c r="O117" s="1754"/>
      <c r="P117" s="1766"/>
      <c r="Q117" s="1753"/>
      <c r="R117" s="1753">
        <v>2.27</v>
      </c>
      <c r="S117" s="1752">
        <v>2.27</v>
      </c>
      <c r="T117" s="1752">
        <v>2.27</v>
      </c>
      <c r="U117" s="1752"/>
      <c r="V117" s="1752"/>
      <c r="W117" s="1752"/>
      <c r="X117" s="1752"/>
      <c r="Y117" s="1752"/>
      <c r="Z117" s="1752"/>
      <c r="AA117" s="1752"/>
      <c r="AB117" s="1752"/>
      <c r="AC117" s="1752"/>
      <c r="AD117" s="1752"/>
      <c r="AE117" s="1752"/>
      <c r="AF117" s="1752"/>
      <c r="AG117" s="1752"/>
      <c r="AH117" s="1752"/>
      <c r="AI117" s="1752"/>
      <c r="AJ117" s="1752"/>
      <c r="AK117" s="1752"/>
      <c r="AL117" s="1752"/>
      <c r="AM117" s="1752"/>
      <c r="AN117" s="1752"/>
      <c r="AO117" s="1752"/>
      <c r="AP117" s="1752"/>
      <c r="AQ117" s="1752"/>
      <c r="AR117" s="1752"/>
      <c r="AS117" s="1752"/>
      <c r="AT117" s="1752"/>
      <c r="AU117" s="1752"/>
      <c r="AV117" s="1752"/>
      <c r="AW117" s="1752"/>
      <c r="AX117" s="1752"/>
      <c r="AY117" s="1752"/>
      <c r="AZ117" s="1752"/>
      <c r="BA117" s="1752"/>
      <c r="BB117" s="1752"/>
      <c r="BC117" s="1752"/>
      <c r="BD117" s="1752"/>
      <c r="BE117" s="1752"/>
      <c r="BF117" s="1752"/>
      <c r="BG117" s="1752"/>
      <c r="BH117" s="1752"/>
      <c r="BI117" s="1752"/>
      <c r="BJ117" s="1752"/>
      <c r="BK117" s="1752"/>
      <c r="BL117" s="1752"/>
      <c r="BM117" s="1752"/>
      <c r="BN117" s="1752"/>
      <c r="BO117" s="1752"/>
      <c r="BP117" s="1754"/>
      <c r="BQ117" s="1755"/>
      <c r="BR117" s="1755"/>
      <c r="BS117" s="1755"/>
      <c r="BT117" s="1755"/>
      <c r="BU117" s="1755"/>
      <c r="BV117" s="1755"/>
      <c r="BW117" s="1755"/>
      <c r="BX117" s="1755"/>
      <c r="BY117" s="1755"/>
      <c r="BZ117" s="1755"/>
      <c r="CA117" s="1755"/>
      <c r="CB117" s="1755"/>
      <c r="CC117" s="1755"/>
      <c r="CD117" s="1755"/>
      <c r="CE117" s="1755"/>
      <c r="CF117" s="1755"/>
      <c r="CG117" s="1755"/>
      <c r="CH117" s="1755"/>
      <c r="CI117" s="1755"/>
      <c r="CJ117" s="1755"/>
      <c r="CK117" s="1755"/>
      <c r="CL117" s="1755"/>
      <c r="CM117" s="1755"/>
      <c r="CN117" s="1756"/>
      <c r="CO117" s="1767"/>
    </row>
    <row r="118" spans="2:93" x14ac:dyDescent="0.2">
      <c r="B118" s="1707"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118" s="1707" t="s">
        <v>1048</v>
      </c>
      <c r="D118" s="1707" t="s">
        <v>1048</v>
      </c>
      <c r="E118" s="1707" t="s">
        <v>875</v>
      </c>
      <c r="F118" s="1707" t="str">
        <f>VLOOKUP(TBL5_OptBen[[#This Row],[Option Type (defined list)]],'Option Typs_Grps'!B$2:C$47, 2, FALSE)</f>
        <v>Resource Options</v>
      </c>
      <c r="G118" s="1707" t="s">
        <v>863</v>
      </c>
      <c r="H118" s="1707" t="s">
        <v>1460</v>
      </c>
      <c r="I118" s="1707" t="s">
        <v>102</v>
      </c>
      <c r="J118" s="1707" t="s">
        <v>236</v>
      </c>
      <c r="K118" s="1751">
        <v>2</v>
      </c>
      <c r="L118" s="1752"/>
      <c r="M118" s="1752"/>
      <c r="N118" s="1752"/>
      <c r="O118" s="1754"/>
      <c r="P118" s="1766"/>
      <c r="Q118" s="1753"/>
      <c r="R118" s="1753">
        <v>2.27</v>
      </c>
      <c r="S118" s="1752">
        <v>2.27</v>
      </c>
      <c r="T118" s="1752">
        <v>2.27</v>
      </c>
      <c r="U118" s="1752"/>
      <c r="V118" s="1752"/>
      <c r="W118" s="1752"/>
      <c r="X118" s="1752"/>
      <c r="Y118" s="1752"/>
      <c r="Z118" s="1752"/>
      <c r="AA118" s="1752"/>
      <c r="AB118" s="1752"/>
      <c r="AC118" s="1752"/>
      <c r="AD118" s="1752"/>
      <c r="AE118" s="1752"/>
      <c r="AF118" s="1752"/>
      <c r="AG118" s="1752"/>
      <c r="AH118" s="1752"/>
      <c r="AI118" s="1752"/>
      <c r="AJ118" s="1752"/>
      <c r="AK118" s="1752"/>
      <c r="AL118" s="1752"/>
      <c r="AM118" s="1752"/>
      <c r="AN118" s="1752"/>
      <c r="AO118" s="1752"/>
      <c r="AP118" s="1752"/>
      <c r="AQ118" s="1752"/>
      <c r="AR118" s="1752"/>
      <c r="AS118" s="1752"/>
      <c r="AT118" s="1752"/>
      <c r="AU118" s="1752"/>
      <c r="AV118" s="1752"/>
      <c r="AW118" s="1752"/>
      <c r="AX118" s="1752"/>
      <c r="AY118" s="1752"/>
      <c r="AZ118" s="1752"/>
      <c r="BA118" s="1752"/>
      <c r="BB118" s="1752"/>
      <c r="BC118" s="1752"/>
      <c r="BD118" s="1752"/>
      <c r="BE118" s="1752"/>
      <c r="BF118" s="1752"/>
      <c r="BG118" s="1752"/>
      <c r="BH118" s="1752"/>
      <c r="BI118" s="1752"/>
      <c r="BJ118" s="1752"/>
      <c r="BK118" s="1752"/>
      <c r="BL118" s="1752"/>
      <c r="BM118" s="1752"/>
      <c r="BN118" s="1752"/>
      <c r="BO118" s="1752"/>
      <c r="BP118" s="1754"/>
      <c r="BQ118" s="1755"/>
      <c r="BR118" s="1755"/>
      <c r="BS118" s="1755"/>
      <c r="BT118" s="1755"/>
      <c r="BU118" s="1755"/>
      <c r="BV118" s="1755"/>
      <c r="BW118" s="1755"/>
      <c r="BX118" s="1755"/>
      <c r="BY118" s="1755"/>
      <c r="BZ118" s="1755"/>
      <c r="CA118" s="1755"/>
      <c r="CB118" s="1755"/>
      <c r="CC118" s="1755"/>
      <c r="CD118" s="1755"/>
      <c r="CE118" s="1755"/>
      <c r="CF118" s="1755"/>
      <c r="CG118" s="1755"/>
      <c r="CH118" s="1755"/>
      <c r="CI118" s="1755"/>
      <c r="CJ118" s="1755"/>
      <c r="CK118" s="1755"/>
      <c r="CL118" s="1755"/>
      <c r="CM118" s="1755"/>
      <c r="CN118" s="1756"/>
      <c r="CO118" s="1767"/>
    </row>
    <row r="119" spans="2:93" x14ac:dyDescent="0.2">
      <c r="B119" s="1707"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119" s="1707" t="s">
        <v>1048</v>
      </c>
      <c r="D119" s="1707" t="s">
        <v>1048</v>
      </c>
      <c r="E119" s="1707" t="s">
        <v>875</v>
      </c>
      <c r="F119" s="1707" t="str">
        <f>VLOOKUP(TBL5_OptBen[[#This Row],[Option Type (defined list)]],'Option Typs_Grps'!B$2:C$47, 2, FALSE)</f>
        <v>Resource Options</v>
      </c>
      <c r="G119" s="1707" t="s">
        <v>863</v>
      </c>
      <c r="H119" s="1707" t="s">
        <v>1461</v>
      </c>
      <c r="I119" s="1707" t="s">
        <v>102</v>
      </c>
      <c r="J119" s="1707" t="s">
        <v>236</v>
      </c>
      <c r="K119" s="1751">
        <v>2</v>
      </c>
      <c r="L119" s="1752"/>
      <c r="M119" s="1752"/>
      <c r="N119" s="1752"/>
      <c r="O119" s="1754"/>
      <c r="P119" s="1766"/>
      <c r="Q119" s="1753"/>
      <c r="R119" s="1753">
        <v>2.27</v>
      </c>
      <c r="S119" s="1752">
        <v>2.27</v>
      </c>
      <c r="T119" s="1752">
        <v>2.27</v>
      </c>
      <c r="U119" s="1752"/>
      <c r="V119" s="1752"/>
      <c r="W119" s="1752"/>
      <c r="X119" s="1752"/>
      <c r="Y119" s="1752"/>
      <c r="Z119" s="1752"/>
      <c r="AA119" s="1752"/>
      <c r="AB119" s="1752"/>
      <c r="AC119" s="1752"/>
      <c r="AD119" s="1752"/>
      <c r="AE119" s="1752"/>
      <c r="AF119" s="1752"/>
      <c r="AG119" s="1752"/>
      <c r="AH119" s="1752"/>
      <c r="AI119" s="1752"/>
      <c r="AJ119" s="1752"/>
      <c r="AK119" s="1752"/>
      <c r="AL119" s="1752"/>
      <c r="AM119" s="1752"/>
      <c r="AN119" s="1752"/>
      <c r="AO119" s="1752"/>
      <c r="AP119" s="1752"/>
      <c r="AQ119" s="1752"/>
      <c r="AR119" s="1752"/>
      <c r="AS119" s="1752"/>
      <c r="AT119" s="1752"/>
      <c r="AU119" s="1752"/>
      <c r="AV119" s="1752"/>
      <c r="AW119" s="1752"/>
      <c r="AX119" s="1752"/>
      <c r="AY119" s="1752"/>
      <c r="AZ119" s="1752"/>
      <c r="BA119" s="1752"/>
      <c r="BB119" s="1752"/>
      <c r="BC119" s="1752"/>
      <c r="BD119" s="1752"/>
      <c r="BE119" s="1752"/>
      <c r="BF119" s="1752"/>
      <c r="BG119" s="1752"/>
      <c r="BH119" s="1752"/>
      <c r="BI119" s="1752"/>
      <c r="BJ119" s="1752"/>
      <c r="BK119" s="1752"/>
      <c r="BL119" s="1752"/>
      <c r="BM119" s="1752"/>
      <c r="BN119" s="1752"/>
      <c r="BO119" s="1752"/>
      <c r="BP119" s="1754"/>
      <c r="BQ119" s="1755"/>
      <c r="BR119" s="1755"/>
      <c r="BS119" s="1755"/>
      <c r="BT119" s="1755"/>
      <c r="BU119" s="1755"/>
      <c r="BV119" s="1755"/>
      <c r="BW119" s="1755"/>
      <c r="BX119" s="1755"/>
      <c r="BY119" s="1755"/>
      <c r="BZ119" s="1755"/>
      <c r="CA119" s="1755"/>
      <c r="CB119" s="1755"/>
      <c r="CC119" s="1755"/>
      <c r="CD119" s="1755"/>
      <c r="CE119" s="1755"/>
      <c r="CF119" s="1755"/>
      <c r="CG119" s="1755"/>
      <c r="CH119" s="1755"/>
      <c r="CI119" s="1755"/>
      <c r="CJ119" s="1755"/>
      <c r="CK119" s="1755"/>
      <c r="CL119" s="1755"/>
      <c r="CM119" s="1755"/>
      <c r="CN119" s="1756"/>
      <c r="CO119" s="1767"/>
    </row>
    <row r="120" spans="2:93" ht="28.5" x14ac:dyDescent="0.2">
      <c r="B120" s="1707"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120" s="1707" t="s">
        <v>1132</v>
      </c>
      <c r="D120" s="1707" t="s">
        <v>1132</v>
      </c>
      <c r="E120" s="1707" t="s">
        <v>875</v>
      </c>
      <c r="F120" s="1707" t="str">
        <f>VLOOKUP(TBL5_OptBen[[#This Row],[Option Type (defined list)]],'Option Typs_Grps'!B$2:C$47, 2, FALSE)</f>
        <v>Resource Options</v>
      </c>
      <c r="G120" s="1707" t="s">
        <v>863</v>
      </c>
      <c r="H120" s="1707" t="s">
        <v>1457</v>
      </c>
      <c r="I120" s="1707" t="s">
        <v>105</v>
      </c>
      <c r="J120" s="1707" t="s">
        <v>236</v>
      </c>
      <c r="K120" s="1751">
        <v>2</v>
      </c>
      <c r="L120" s="1752"/>
      <c r="M120" s="1752"/>
      <c r="N120" s="1752"/>
      <c r="O120" s="1754"/>
      <c r="P120" s="1766"/>
      <c r="Q120" s="1753"/>
      <c r="R120" s="1753"/>
      <c r="S120" s="1752">
        <v>17.481181840067549</v>
      </c>
      <c r="T120" s="1752">
        <v>18.417693983490992</v>
      </c>
      <c r="U120" s="1752">
        <v>21.923285329765505</v>
      </c>
      <c r="V120" s="1752">
        <v>19.102098550511045</v>
      </c>
      <c r="W120" s="1752">
        <v>8.7213469479650438</v>
      </c>
      <c r="X120" s="1752">
        <v>8.2409880852006143</v>
      </c>
      <c r="Y120" s="1752"/>
      <c r="Z120" s="1752"/>
      <c r="AA120" s="1752"/>
      <c r="AB120" s="1752"/>
      <c r="AC120" s="1752"/>
      <c r="AD120" s="1752"/>
      <c r="AE120" s="1752"/>
      <c r="AF120" s="1752"/>
      <c r="AG120" s="1752"/>
      <c r="AH120" s="1752"/>
      <c r="AI120" s="1752"/>
      <c r="AJ120" s="1752"/>
      <c r="AK120" s="1752"/>
      <c r="AL120" s="1752"/>
      <c r="AM120" s="1752"/>
      <c r="AN120" s="1752"/>
      <c r="AO120" s="1752"/>
      <c r="AP120" s="1752"/>
      <c r="AQ120" s="1752"/>
      <c r="AR120" s="1752"/>
      <c r="AS120" s="1752"/>
      <c r="AT120" s="1752"/>
      <c r="AU120" s="1752"/>
      <c r="AV120" s="1752"/>
      <c r="AW120" s="1752"/>
      <c r="AX120" s="1752"/>
      <c r="AY120" s="1752"/>
      <c r="AZ120" s="1752"/>
      <c r="BA120" s="1752"/>
      <c r="BB120" s="1752"/>
      <c r="BC120" s="1752"/>
      <c r="BD120" s="1752"/>
      <c r="BE120" s="1752"/>
      <c r="BF120" s="1752"/>
      <c r="BG120" s="1752"/>
      <c r="BH120" s="1752"/>
      <c r="BI120" s="1752"/>
      <c r="BJ120" s="1752"/>
      <c r="BK120" s="1752"/>
      <c r="BL120" s="1752"/>
      <c r="BM120" s="1752"/>
      <c r="BN120" s="1752"/>
      <c r="BO120" s="1752"/>
      <c r="BP120" s="1754"/>
      <c r="BQ120" s="1755"/>
      <c r="BR120" s="1755"/>
      <c r="BS120" s="1755"/>
      <c r="BT120" s="1755"/>
      <c r="BU120" s="1755"/>
      <c r="BV120" s="1755"/>
      <c r="BW120" s="1755"/>
      <c r="BX120" s="1755"/>
      <c r="BY120" s="1755"/>
      <c r="BZ120" s="1755"/>
      <c r="CA120" s="1755"/>
      <c r="CB120" s="1755"/>
      <c r="CC120" s="1755"/>
      <c r="CD120" s="1755"/>
      <c r="CE120" s="1755"/>
      <c r="CF120" s="1755"/>
      <c r="CG120" s="1755"/>
      <c r="CH120" s="1755"/>
      <c r="CI120" s="1755"/>
      <c r="CJ120" s="1755"/>
      <c r="CK120" s="1755"/>
      <c r="CL120" s="1755"/>
      <c r="CM120" s="1755"/>
      <c r="CN120" s="1756"/>
      <c r="CO120" s="1767"/>
    </row>
    <row r="121" spans="2:93" ht="42.75" x14ac:dyDescent="0.2">
      <c r="B121" s="1707"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52cP</v>
      </c>
      <c r="C121" s="1707" t="s">
        <v>190</v>
      </c>
      <c r="D121" s="1707" t="s">
        <v>190</v>
      </c>
      <c r="E121" s="1707" t="s">
        <v>907</v>
      </c>
      <c r="F121" s="1707" t="str">
        <f>VLOOKUP(TBL5_OptBen[[#This Row],[Option Type (defined list)]],'Option Typs_Grps'!B$2:C$47, 2, FALSE)</f>
        <v>Distribution Options</v>
      </c>
      <c r="G121" s="1707" t="s">
        <v>863</v>
      </c>
      <c r="H121" s="1707" t="s">
        <v>876</v>
      </c>
      <c r="I121" s="1707" t="s">
        <v>93</v>
      </c>
      <c r="J121" s="1707" t="s">
        <v>236</v>
      </c>
      <c r="K121" s="1751">
        <v>2</v>
      </c>
      <c r="L121" s="1752"/>
      <c r="M121" s="1752"/>
      <c r="N121" s="1752"/>
      <c r="O121" s="1754"/>
      <c r="P121" s="1766"/>
      <c r="Q121" s="1753"/>
      <c r="R121" s="1753"/>
      <c r="S121" s="1752">
        <v>0.65681876277180884</v>
      </c>
      <c r="T121" s="1752">
        <v>0.61905509567241546</v>
      </c>
      <c r="U121" s="1752"/>
      <c r="V121" s="1752"/>
      <c r="W121" s="1752"/>
      <c r="X121" s="1752"/>
      <c r="Y121" s="1752"/>
      <c r="Z121" s="1752"/>
      <c r="AA121" s="1752"/>
      <c r="AB121" s="1752"/>
      <c r="AC121" s="1752"/>
      <c r="AD121" s="1752"/>
      <c r="AE121" s="1752"/>
      <c r="AF121" s="1752"/>
      <c r="AG121" s="1752"/>
      <c r="AH121" s="1752"/>
      <c r="AI121" s="1752"/>
      <c r="AJ121" s="1752"/>
      <c r="AK121" s="1752"/>
      <c r="AL121" s="1752"/>
      <c r="AM121" s="1752"/>
      <c r="AN121" s="1752"/>
      <c r="AO121" s="1752"/>
      <c r="AP121" s="1752"/>
      <c r="AQ121" s="1752"/>
      <c r="AR121" s="1752"/>
      <c r="AS121" s="1752"/>
      <c r="AT121" s="1752"/>
      <c r="AU121" s="1752"/>
      <c r="AV121" s="1752"/>
      <c r="AW121" s="1752"/>
      <c r="AX121" s="1752"/>
      <c r="AY121" s="1752"/>
      <c r="AZ121" s="1752"/>
      <c r="BA121" s="1752"/>
      <c r="BB121" s="1752"/>
      <c r="BC121" s="1752"/>
      <c r="BD121" s="1752"/>
      <c r="BE121" s="1752"/>
      <c r="BF121" s="1752"/>
      <c r="BG121" s="1752"/>
      <c r="BH121" s="1752"/>
      <c r="BI121" s="1752"/>
      <c r="BJ121" s="1752"/>
      <c r="BK121" s="1752"/>
      <c r="BL121" s="1752"/>
      <c r="BM121" s="1752"/>
      <c r="BN121" s="1752"/>
      <c r="BO121" s="1752"/>
      <c r="BP121" s="1754"/>
      <c r="BQ121" s="1755"/>
      <c r="BR121" s="1755"/>
      <c r="BS121" s="1755"/>
      <c r="BT121" s="1755"/>
      <c r="BU121" s="1755"/>
      <c r="BV121" s="1755"/>
      <c r="BW121" s="1755"/>
      <c r="BX121" s="1755"/>
      <c r="BY121" s="1755"/>
      <c r="BZ121" s="1755"/>
      <c r="CA121" s="1755"/>
      <c r="CB121" s="1755"/>
      <c r="CC121" s="1755"/>
      <c r="CD121" s="1755"/>
      <c r="CE121" s="1755"/>
      <c r="CF121" s="1755"/>
      <c r="CG121" s="1755"/>
      <c r="CH121" s="1755"/>
      <c r="CI121" s="1755"/>
      <c r="CJ121" s="1755"/>
      <c r="CK121" s="1755"/>
      <c r="CL121" s="1755"/>
      <c r="CM121" s="1755"/>
      <c r="CN121" s="1756"/>
      <c r="CO121" s="1767"/>
    </row>
    <row r="122" spans="2:93" ht="42.75" x14ac:dyDescent="0.2">
      <c r="B122" s="1707"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122" s="1707" t="s">
        <v>190</v>
      </c>
      <c r="D122" s="1707" t="s">
        <v>190</v>
      </c>
      <c r="E122" s="1707" t="s">
        <v>907</v>
      </c>
      <c r="F122" s="1707" t="str">
        <f>VLOOKUP(TBL5_OptBen[[#This Row],[Option Type (defined list)]],'Option Typs_Grps'!B$2:C$47, 2, FALSE)</f>
        <v>Distribution Options</v>
      </c>
      <c r="G122" s="1707" t="s">
        <v>863</v>
      </c>
      <c r="H122" s="1707" t="s">
        <v>1457</v>
      </c>
      <c r="I122" s="1707" t="s">
        <v>93</v>
      </c>
      <c r="J122" s="1707" t="s">
        <v>236</v>
      </c>
      <c r="K122" s="1751">
        <v>2</v>
      </c>
      <c r="L122" s="1752"/>
      <c r="M122" s="1752"/>
      <c r="N122" s="1752"/>
      <c r="O122" s="1754"/>
      <c r="P122" s="1766"/>
      <c r="Q122" s="1753"/>
      <c r="R122" s="1753"/>
      <c r="S122" s="1752">
        <v>0.65681876277180884</v>
      </c>
      <c r="T122" s="1752">
        <v>0.61905509567241546</v>
      </c>
      <c r="U122" s="1752"/>
      <c r="V122" s="1752"/>
      <c r="W122" s="1752"/>
      <c r="X122" s="1752"/>
      <c r="Y122" s="1752"/>
      <c r="Z122" s="1752"/>
      <c r="AA122" s="1752"/>
      <c r="AB122" s="1752"/>
      <c r="AC122" s="1752"/>
      <c r="AD122" s="1752"/>
      <c r="AE122" s="1752"/>
      <c r="AF122" s="1752"/>
      <c r="AG122" s="1752"/>
      <c r="AH122" s="1752"/>
      <c r="AI122" s="1752"/>
      <c r="AJ122" s="1752"/>
      <c r="AK122" s="1752"/>
      <c r="AL122" s="1752"/>
      <c r="AM122" s="1752"/>
      <c r="AN122" s="1752"/>
      <c r="AO122" s="1752"/>
      <c r="AP122" s="1752"/>
      <c r="AQ122" s="1752"/>
      <c r="AR122" s="1752"/>
      <c r="AS122" s="1752"/>
      <c r="AT122" s="1752"/>
      <c r="AU122" s="1752"/>
      <c r="AV122" s="1752"/>
      <c r="AW122" s="1752"/>
      <c r="AX122" s="1752"/>
      <c r="AY122" s="1752"/>
      <c r="AZ122" s="1752"/>
      <c r="BA122" s="1752"/>
      <c r="BB122" s="1752"/>
      <c r="BC122" s="1752"/>
      <c r="BD122" s="1752"/>
      <c r="BE122" s="1752"/>
      <c r="BF122" s="1752"/>
      <c r="BG122" s="1752"/>
      <c r="BH122" s="1752"/>
      <c r="BI122" s="1752"/>
      <c r="BJ122" s="1752"/>
      <c r="BK122" s="1752"/>
      <c r="BL122" s="1752"/>
      <c r="BM122" s="1752"/>
      <c r="BN122" s="1752"/>
      <c r="BO122" s="1752"/>
      <c r="BP122" s="1754"/>
      <c r="BQ122" s="1755"/>
      <c r="BR122" s="1755"/>
      <c r="BS122" s="1755"/>
      <c r="BT122" s="1755"/>
      <c r="BU122" s="1755"/>
      <c r="BV122" s="1755"/>
      <c r="BW122" s="1755"/>
      <c r="BX122" s="1755"/>
      <c r="BY122" s="1755"/>
      <c r="BZ122" s="1755"/>
      <c r="CA122" s="1755"/>
      <c r="CB122" s="1755"/>
      <c r="CC122" s="1755"/>
      <c r="CD122" s="1755"/>
      <c r="CE122" s="1755"/>
      <c r="CF122" s="1755"/>
      <c r="CG122" s="1755"/>
      <c r="CH122" s="1755"/>
      <c r="CI122" s="1755"/>
      <c r="CJ122" s="1755"/>
      <c r="CK122" s="1755"/>
      <c r="CL122" s="1755"/>
      <c r="CM122" s="1755"/>
      <c r="CN122" s="1756"/>
      <c r="CO122" s="1767"/>
    </row>
    <row r="123" spans="2:93" ht="42.75" x14ac:dyDescent="0.2">
      <c r="B123" s="1707"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123" s="1707" t="s">
        <v>190</v>
      </c>
      <c r="D123" s="1707" t="s">
        <v>190</v>
      </c>
      <c r="E123" s="1707" t="s">
        <v>907</v>
      </c>
      <c r="F123" s="1707" t="str">
        <f>VLOOKUP(TBL5_OptBen[[#This Row],[Option Type (defined list)]],'Option Typs_Grps'!B$2:C$47, 2, FALSE)</f>
        <v>Distribution Options</v>
      </c>
      <c r="G123" s="1707" t="s">
        <v>863</v>
      </c>
      <c r="H123" s="1707" t="s">
        <v>1458</v>
      </c>
      <c r="I123" s="1707" t="s">
        <v>93</v>
      </c>
      <c r="J123" s="1707" t="s">
        <v>236</v>
      </c>
      <c r="K123" s="1751">
        <v>2</v>
      </c>
      <c r="L123" s="1752"/>
      <c r="M123" s="1752"/>
      <c r="N123" s="1752"/>
      <c r="O123" s="1754"/>
      <c r="P123" s="1766"/>
      <c r="Q123" s="1753"/>
      <c r="R123" s="1753"/>
      <c r="S123" s="1752">
        <v>0.65681876277180884</v>
      </c>
      <c r="T123" s="1752">
        <v>0.61905509567241546</v>
      </c>
      <c r="U123" s="1752"/>
      <c r="V123" s="1752"/>
      <c r="W123" s="1752"/>
      <c r="X123" s="1752"/>
      <c r="Y123" s="1752"/>
      <c r="Z123" s="1752"/>
      <c r="AA123" s="1752"/>
      <c r="AB123" s="1752"/>
      <c r="AC123" s="1752"/>
      <c r="AD123" s="1752"/>
      <c r="AE123" s="1752"/>
      <c r="AF123" s="1752"/>
      <c r="AG123" s="1752"/>
      <c r="AH123" s="1752"/>
      <c r="AI123" s="1752"/>
      <c r="AJ123" s="1752"/>
      <c r="AK123" s="1752"/>
      <c r="AL123" s="1752"/>
      <c r="AM123" s="1752"/>
      <c r="AN123" s="1752"/>
      <c r="AO123" s="1752"/>
      <c r="AP123" s="1752"/>
      <c r="AQ123" s="1752"/>
      <c r="AR123" s="1752"/>
      <c r="AS123" s="1752"/>
      <c r="AT123" s="1752"/>
      <c r="AU123" s="1752"/>
      <c r="AV123" s="1752"/>
      <c r="AW123" s="1752"/>
      <c r="AX123" s="1752"/>
      <c r="AY123" s="1752"/>
      <c r="AZ123" s="1752"/>
      <c r="BA123" s="1752"/>
      <c r="BB123" s="1752"/>
      <c r="BC123" s="1752"/>
      <c r="BD123" s="1752"/>
      <c r="BE123" s="1752"/>
      <c r="BF123" s="1752"/>
      <c r="BG123" s="1752"/>
      <c r="BH123" s="1752"/>
      <c r="BI123" s="1752"/>
      <c r="BJ123" s="1752"/>
      <c r="BK123" s="1752"/>
      <c r="BL123" s="1752"/>
      <c r="BM123" s="1752"/>
      <c r="BN123" s="1752"/>
      <c r="BO123" s="1752"/>
      <c r="BP123" s="1754"/>
      <c r="BQ123" s="1755"/>
      <c r="BR123" s="1755"/>
      <c r="BS123" s="1755"/>
      <c r="BT123" s="1755"/>
      <c r="BU123" s="1755"/>
      <c r="BV123" s="1755"/>
      <c r="BW123" s="1755"/>
      <c r="BX123" s="1755"/>
      <c r="BY123" s="1755"/>
      <c r="BZ123" s="1755"/>
      <c r="CA123" s="1755"/>
      <c r="CB123" s="1755"/>
      <c r="CC123" s="1755"/>
      <c r="CD123" s="1755"/>
      <c r="CE123" s="1755"/>
      <c r="CF123" s="1755"/>
      <c r="CG123" s="1755"/>
      <c r="CH123" s="1755"/>
      <c r="CI123" s="1755"/>
      <c r="CJ123" s="1755"/>
      <c r="CK123" s="1755"/>
      <c r="CL123" s="1755"/>
      <c r="CM123" s="1755"/>
      <c r="CN123" s="1756"/>
      <c r="CO123" s="1767"/>
    </row>
    <row r="124" spans="2:93" ht="42.75" x14ac:dyDescent="0.2">
      <c r="B124" s="1707"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124" s="1707" t="s">
        <v>190</v>
      </c>
      <c r="D124" s="1707" t="s">
        <v>190</v>
      </c>
      <c r="E124" s="1707" t="s">
        <v>907</v>
      </c>
      <c r="F124" s="1707" t="str">
        <f>VLOOKUP(TBL5_OptBen[[#This Row],[Option Type (defined list)]],'Option Typs_Grps'!B$2:C$47, 2, FALSE)</f>
        <v>Distribution Options</v>
      </c>
      <c r="G124" s="1707" t="s">
        <v>863</v>
      </c>
      <c r="H124" s="1707" t="s">
        <v>1462</v>
      </c>
      <c r="I124" s="1707" t="s">
        <v>93</v>
      </c>
      <c r="J124" s="1707" t="s">
        <v>236</v>
      </c>
      <c r="K124" s="1751">
        <v>2</v>
      </c>
      <c r="L124" s="1752"/>
      <c r="M124" s="1752"/>
      <c r="N124" s="1752"/>
      <c r="O124" s="1754"/>
      <c r="P124" s="1766"/>
      <c r="Q124" s="1753"/>
      <c r="R124" s="1753"/>
      <c r="S124" s="1752">
        <v>0.65681876277180884</v>
      </c>
      <c r="T124" s="1752">
        <v>0.61905509567241546</v>
      </c>
      <c r="U124" s="1752"/>
      <c r="V124" s="1752"/>
      <c r="W124" s="1752"/>
      <c r="X124" s="1752"/>
      <c r="Y124" s="1752"/>
      <c r="Z124" s="1752"/>
      <c r="AA124" s="1752"/>
      <c r="AB124" s="1752"/>
      <c r="AC124" s="1752"/>
      <c r="AD124" s="1752"/>
      <c r="AE124" s="1752"/>
      <c r="AF124" s="1752"/>
      <c r="AG124" s="1752"/>
      <c r="AH124" s="1752"/>
      <c r="AI124" s="1752"/>
      <c r="AJ124" s="1752"/>
      <c r="AK124" s="1752"/>
      <c r="AL124" s="1752"/>
      <c r="AM124" s="1752"/>
      <c r="AN124" s="1752"/>
      <c r="AO124" s="1752"/>
      <c r="AP124" s="1752"/>
      <c r="AQ124" s="1752"/>
      <c r="AR124" s="1752"/>
      <c r="AS124" s="1752"/>
      <c r="AT124" s="1752"/>
      <c r="AU124" s="1752"/>
      <c r="AV124" s="1752"/>
      <c r="AW124" s="1752"/>
      <c r="AX124" s="1752"/>
      <c r="AY124" s="1752"/>
      <c r="AZ124" s="1752"/>
      <c r="BA124" s="1752"/>
      <c r="BB124" s="1752"/>
      <c r="BC124" s="1752"/>
      <c r="BD124" s="1752"/>
      <c r="BE124" s="1752"/>
      <c r="BF124" s="1752"/>
      <c r="BG124" s="1752"/>
      <c r="BH124" s="1752"/>
      <c r="BI124" s="1752"/>
      <c r="BJ124" s="1752"/>
      <c r="BK124" s="1752"/>
      <c r="BL124" s="1752"/>
      <c r="BM124" s="1752"/>
      <c r="BN124" s="1752"/>
      <c r="BO124" s="1752"/>
      <c r="BP124" s="1754"/>
      <c r="BQ124" s="1755"/>
      <c r="BR124" s="1755"/>
      <c r="BS124" s="1755"/>
      <c r="BT124" s="1755"/>
      <c r="BU124" s="1755"/>
      <c r="BV124" s="1755"/>
      <c r="BW124" s="1755"/>
      <c r="BX124" s="1755"/>
      <c r="BY124" s="1755"/>
      <c r="BZ124" s="1755"/>
      <c r="CA124" s="1755"/>
      <c r="CB124" s="1755"/>
      <c r="CC124" s="1755"/>
      <c r="CD124" s="1755"/>
      <c r="CE124" s="1755"/>
      <c r="CF124" s="1755"/>
      <c r="CG124" s="1755"/>
      <c r="CH124" s="1755"/>
      <c r="CI124" s="1755"/>
      <c r="CJ124" s="1755"/>
      <c r="CK124" s="1755"/>
      <c r="CL124" s="1755"/>
      <c r="CM124" s="1755"/>
      <c r="CN124" s="1756"/>
      <c r="CO124" s="1767"/>
    </row>
    <row r="125" spans="2:93" ht="42.75" x14ac:dyDescent="0.2">
      <c r="B125" s="1707"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125" s="1707" t="s">
        <v>190</v>
      </c>
      <c r="D125" s="1707" t="s">
        <v>190</v>
      </c>
      <c r="E125" s="1707" t="s">
        <v>907</v>
      </c>
      <c r="F125" s="1707" t="str">
        <f>VLOOKUP(TBL5_OptBen[[#This Row],[Option Type (defined list)]],'Option Typs_Grps'!B$2:C$47, 2, FALSE)</f>
        <v>Distribution Options</v>
      </c>
      <c r="G125" s="1707" t="s">
        <v>863</v>
      </c>
      <c r="H125" s="1707" t="s">
        <v>1459</v>
      </c>
      <c r="I125" s="1707" t="s">
        <v>93</v>
      </c>
      <c r="J125" s="1707" t="s">
        <v>236</v>
      </c>
      <c r="K125" s="1751">
        <v>2</v>
      </c>
      <c r="L125" s="1752"/>
      <c r="M125" s="1752"/>
      <c r="N125" s="1752"/>
      <c r="O125" s="1754"/>
      <c r="P125" s="1766"/>
      <c r="Q125" s="1753"/>
      <c r="R125" s="1753"/>
      <c r="S125" s="1752">
        <v>0.65681876277180884</v>
      </c>
      <c r="T125" s="1752">
        <v>0.61905509567241546</v>
      </c>
      <c r="U125" s="1752"/>
      <c r="V125" s="1752"/>
      <c r="W125" s="1752"/>
      <c r="X125" s="1752"/>
      <c r="Y125" s="1752"/>
      <c r="Z125" s="1752"/>
      <c r="AA125" s="1752"/>
      <c r="AB125" s="1752"/>
      <c r="AC125" s="1752"/>
      <c r="AD125" s="1752"/>
      <c r="AE125" s="1752"/>
      <c r="AF125" s="1752"/>
      <c r="AG125" s="1752"/>
      <c r="AH125" s="1752"/>
      <c r="AI125" s="1752"/>
      <c r="AJ125" s="1752"/>
      <c r="AK125" s="1752"/>
      <c r="AL125" s="1752"/>
      <c r="AM125" s="1752"/>
      <c r="AN125" s="1752"/>
      <c r="AO125" s="1752"/>
      <c r="AP125" s="1752"/>
      <c r="AQ125" s="1752"/>
      <c r="AR125" s="1752"/>
      <c r="AS125" s="1752"/>
      <c r="AT125" s="1752"/>
      <c r="AU125" s="1752"/>
      <c r="AV125" s="1752"/>
      <c r="AW125" s="1752"/>
      <c r="AX125" s="1752"/>
      <c r="AY125" s="1752"/>
      <c r="AZ125" s="1752"/>
      <c r="BA125" s="1752"/>
      <c r="BB125" s="1752"/>
      <c r="BC125" s="1752"/>
      <c r="BD125" s="1752"/>
      <c r="BE125" s="1752"/>
      <c r="BF125" s="1752"/>
      <c r="BG125" s="1752"/>
      <c r="BH125" s="1752"/>
      <c r="BI125" s="1752"/>
      <c r="BJ125" s="1752"/>
      <c r="BK125" s="1752"/>
      <c r="BL125" s="1752"/>
      <c r="BM125" s="1752"/>
      <c r="BN125" s="1752"/>
      <c r="BO125" s="1752"/>
      <c r="BP125" s="1754"/>
      <c r="BQ125" s="1755"/>
      <c r="BR125" s="1755"/>
      <c r="BS125" s="1755"/>
      <c r="BT125" s="1755"/>
      <c r="BU125" s="1755"/>
      <c r="BV125" s="1755"/>
      <c r="BW125" s="1755"/>
      <c r="BX125" s="1755"/>
      <c r="BY125" s="1755"/>
      <c r="BZ125" s="1755"/>
      <c r="CA125" s="1755"/>
      <c r="CB125" s="1755"/>
      <c r="CC125" s="1755"/>
      <c r="CD125" s="1755"/>
      <c r="CE125" s="1755"/>
      <c r="CF125" s="1755"/>
      <c r="CG125" s="1755"/>
      <c r="CH125" s="1755"/>
      <c r="CI125" s="1755"/>
      <c r="CJ125" s="1755"/>
      <c r="CK125" s="1755"/>
      <c r="CL125" s="1755"/>
      <c r="CM125" s="1755"/>
      <c r="CN125" s="1756"/>
      <c r="CO125" s="1767"/>
    </row>
    <row r="126" spans="2:93" ht="42.75" x14ac:dyDescent="0.2">
      <c r="B126" s="1707"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126" s="1707" t="s">
        <v>190</v>
      </c>
      <c r="D126" s="1707" t="s">
        <v>190</v>
      </c>
      <c r="E126" s="1707" t="s">
        <v>907</v>
      </c>
      <c r="F126" s="1707" t="str">
        <f>VLOOKUP(TBL5_OptBen[[#This Row],[Option Type (defined list)]],'Option Typs_Grps'!B$2:C$47, 2, FALSE)</f>
        <v>Distribution Options</v>
      </c>
      <c r="G126" s="1707" t="s">
        <v>863</v>
      </c>
      <c r="H126" s="1707" t="s">
        <v>1460</v>
      </c>
      <c r="I126" s="1707" t="s">
        <v>93</v>
      </c>
      <c r="J126" s="1707" t="s">
        <v>236</v>
      </c>
      <c r="K126" s="1751">
        <v>2</v>
      </c>
      <c r="L126" s="1752"/>
      <c r="M126" s="1752"/>
      <c r="N126" s="1752"/>
      <c r="O126" s="1754"/>
      <c r="P126" s="1766"/>
      <c r="Q126" s="1753"/>
      <c r="R126" s="1753"/>
      <c r="S126" s="1752">
        <v>0.65681876277180884</v>
      </c>
      <c r="T126" s="1752">
        <v>0.61905509567241546</v>
      </c>
      <c r="U126" s="1752"/>
      <c r="V126" s="1752"/>
      <c r="W126" s="1752"/>
      <c r="X126" s="1752"/>
      <c r="Y126" s="1752"/>
      <c r="Z126" s="1752"/>
      <c r="AA126" s="1752"/>
      <c r="AB126" s="1752"/>
      <c r="AC126" s="1752"/>
      <c r="AD126" s="1752"/>
      <c r="AE126" s="1752"/>
      <c r="AF126" s="1752"/>
      <c r="AG126" s="1752"/>
      <c r="AH126" s="1752"/>
      <c r="AI126" s="1752"/>
      <c r="AJ126" s="1752"/>
      <c r="AK126" s="1752"/>
      <c r="AL126" s="1752"/>
      <c r="AM126" s="1752"/>
      <c r="AN126" s="1752"/>
      <c r="AO126" s="1752"/>
      <c r="AP126" s="1752"/>
      <c r="AQ126" s="1752"/>
      <c r="AR126" s="1752"/>
      <c r="AS126" s="1752"/>
      <c r="AT126" s="1752"/>
      <c r="AU126" s="1752"/>
      <c r="AV126" s="1752"/>
      <c r="AW126" s="1752"/>
      <c r="AX126" s="1752"/>
      <c r="AY126" s="1752"/>
      <c r="AZ126" s="1752"/>
      <c r="BA126" s="1752"/>
      <c r="BB126" s="1752"/>
      <c r="BC126" s="1752"/>
      <c r="BD126" s="1752"/>
      <c r="BE126" s="1752"/>
      <c r="BF126" s="1752"/>
      <c r="BG126" s="1752"/>
      <c r="BH126" s="1752"/>
      <c r="BI126" s="1752"/>
      <c r="BJ126" s="1752"/>
      <c r="BK126" s="1752"/>
      <c r="BL126" s="1752"/>
      <c r="BM126" s="1752"/>
      <c r="BN126" s="1752"/>
      <c r="BO126" s="1752"/>
      <c r="BP126" s="1754"/>
      <c r="BQ126" s="1755"/>
      <c r="BR126" s="1755"/>
      <c r="BS126" s="1755"/>
      <c r="BT126" s="1755"/>
      <c r="BU126" s="1755"/>
      <c r="BV126" s="1755"/>
      <c r="BW126" s="1755"/>
      <c r="BX126" s="1755"/>
      <c r="BY126" s="1755"/>
      <c r="BZ126" s="1755"/>
      <c r="CA126" s="1755"/>
      <c r="CB126" s="1755"/>
      <c r="CC126" s="1755"/>
      <c r="CD126" s="1755"/>
      <c r="CE126" s="1755"/>
      <c r="CF126" s="1755"/>
      <c r="CG126" s="1755"/>
      <c r="CH126" s="1755"/>
      <c r="CI126" s="1755"/>
      <c r="CJ126" s="1755"/>
      <c r="CK126" s="1755"/>
      <c r="CL126" s="1755"/>
      <c r="CM126" s="1755"/>
      <c r="CN126" s="1756"/>
      <c r="CO126" s="1767"/>
    </row>
    <row r="127" spans="2:93" ht="42.75" x14ac:dyDescent="0.2">
      <c r="B127" s="1707"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127" s="1707" t="s">
        <v>190</v>
      </c>
      <c r="D127" s="1707" t="s">
        <v>190</v>
      </c>
      <c r="E127" s="1707" t="s">
        <v>907</v>
      </c>
      <c r="F127" s="1707" t="str">
        <f>VLOOKUP(TBL5_OptBen[[#This Row],[Option Type (defined list)]],'Option Typs_Grps'!B$2:C$47, 2, FALSE)</f>
        <v>Distribution Options</v>
      </c>
      <c r="G127" s="1707" t="s">
        <v>863</v>
      </c>
      <c r="H127" s="1707" t="s">
        <v>1461</v>
      </c>
      <c r="I127" s="1707" t="s">
        <v>93</v>
      </c>
      <c r="J127" s="1707" t="s">
        <v>236</v>
      </c>
      <c r="K127" s="1751">
        <v>2</v>
      </c>
      <c r="L127" s="1752"/>
      <c r="M127" s="1752"/>
      <c r="N127" s="1752"/>
      <c r="O127" s="1754"/>
      <c r="P127" s="1766"/>
      <c r="Q127" s="1753"/>
      <c r="R127" s="1753"/>
      <c r="S127" s="1752">
        <v>0.65681876277180884</v>
      </c>
      <c r="T127" s="1752">
        <v>0.61905509567241546</v>
      </c>
      <c r="U127" s="1752"/>
      <c r="V127" s="1752"/>
      <c r="W127" s="1752"/>
      <c r="X127" s="1752"/>
      <c r="Y127" s="1752"/>
      <c r="Z127" s="1752"/>
      <c r="AA127" s="1752"/>
      <c r="AB127" s="1752"/>
      <c r="AC127" s="1752"/>
      <c r="AD127" s="1752"/>
      <c r="AE127" s="1752"/>
      <c r="AF127" s="1752"/>
      <c r="AG127" s="1752"/>
      <c r="AH127" s="1752"/>
      <c r="AI127" s="1752"/>
      <c r="AJ127" s="1752"/>
      <c r="AK127" s="1752"/>
      <c r="AL127" s="1752"/>
      <c r="AM127" s="1752"/>
      <c r="AN127" s="1752"/>
      <c r="AO127" s="1752"/>
      <c r="AP127" s="1752"/>
      <c r="AQ127" s="1752"/>
      <c r="AR127" s="1752"/>
      <c r="AS127" s="1752"/>
      <c r="AT127" s="1752"/>
      <c r="AU127" s="1752"/>
      <c r="AV127" s="1752"/>
      <c r="AW127" s="1752"/>
      <c r="AX127" s="1752"/>
      <c r="AY127" s="1752"/>
      <c r="AZ127" s="1752"/>
      <c r="BA127" s="1752"/>
      <c r="BB127" s="1752"/>
      <c r="BC127" s="1752"/>
      <c r="BD127" s="1752"/>
      <c r="BE127" s="1752"/>
      <c r="BF127" s="1752"/>
      <c r="BG127" s="1752"/>
      <c r="BH127" s="1752"/>
      <c r="BI127" s="1752"/>
      <c r="BJ127" s="1752"/>
      <c r="BK127" s="1752"/>
      <c r="BL127" s="1752"/>
      <c r="BM127" s="1752"/>
      <c r="BN127" s="1752"/>
      <c r="BO127" s="1752"/>
      <c r="BP127" s="1754"/>
      <c r="BQ127" s="1755"/>
      <c r="BR127" s="1755"/>
      <c r="BS127" s="1755"/>
      <c r="BT127" s="1755"/>
      <c r="BU127" s="1755"/>
      <c r="BV127" s="1755"/>
      <c r="BW127" s="1755"/>
      <c r="BX127" s="1755"/>
      <c r="BY127" s="1755"/>
      <c r="BZ127" s="1755"/>
      <c r="CA127" s="1755"/>
      <c r="CB127" s="1755"/>
      <c r="CC127" s="1755"/>
      <c r="CD127" s="1755"/>
      <c r="CE127" s="1755"/>
      <c r="CF127" s="1755"/>
      <c r="CG127" s="1755"/>
      <c r="CH127" s="1755"/>
      <c r="CI127" s="1755"/>
      <c r="CJ127" s="1755"/>
      <c r="CK127" s="1755"/>
      <c r="CL127" s="1755"/>
      <c r="CM127" s="1755"/>
      <c r="CN127" s="1756"/>
      <c r="CO127" s="1767"/>
    </row>
    <row r="128" spans="2:93" ht="42.75" x14ac:dyDescent="0.2">
      <c r="B128" s="1707"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52cP</v>
      </c>
      <c r="C128" s="1707" t="s">
        <v>190</v>
      </c>
      <c r="D128" s="1707" t="s">
        <v>190</v>
      </c>
      <c r="E128" s="1707" t="s">
        <v>907</v>
      </c>
      <c r="F128" s="1707" t="str">
        <f>VLOOKUP(TBL5_OptBen[[#This Row],[Option Type (defined list)]],'Option Typs_Grps'!B$2:C$47, 2, FALSE)</f>
        <v>Distribution Options</v>
      </c>
      <c r="G128" s="1707" t="s">
        <v>863</v>
      </c>
      <c r="H128" s="1707" t="s">
        <v>876</v>
      </c>
      <c r="I128" s="1707" t="s">
        <v>105</v>
      </c>
      <c r="J128" s="1707" t="s">
        <v>236</v>
      </c>
      <c r="K128" s="1751">
        <v>2</v>
      </c>
      <c r="L128" s="1752"/>
      <c r="M128" s="1752"/>
      <c r="N128" s="1752"/>
      <c r="O128" s="1754"/>
      <c r="P128" s="1766"/>
      <c r="Q128" s="1753"/>
      <c r="R128" s="1753"/>
      <c r="S128" s="1752">
        <v>-0.65681876277180895</v>
      </c>
      <c r="T128" s="1752">
        <v>-0.61905509567241501</v>
      </c>
      <c r="U128" s="1752"/>
      <c r="V128" s="1752"/>
      <c r="W128" s="1752"/>
      <c r="X128" s="1752"/>
      <c r="Y128" s="1752"/>
      <c r="Z128" s="1752"/>
      <c r="AA128" s="1752"/>
      <c r="AB128" s="1752"/>
      <c r="AC128" s="1752"/>
      <c r="AD128" s="1752"/>
      <c r="AE128" s="1752"/>
      <c r="AF128" s="1752"/>
      <c r="AG128" s="1752"/>
      <c r="AH128" s="1752"/>
      <c r="AI128" s="1752"/>
      <c r="AJ128" s="1752"/>
      <c r="AK128" s="1752"/>
      <c r="AL128" s="1752"/>
      <c r="AM128" s="1752"/>
      <c r="AN128" s="1752"/>
      <c r="AO128" s="1752"/>
      <c r="AP128" s="1752"/>
      <c r="AQ128" s="1752"/>
      <c r="AR128" s="1752"/>
      <c r="AS128" s="1752"/>
      <c r="AT128" s="1752"/>
      <c r="AU128" s="1752"/>
      <c r="AV128" s="1752"/>
      <c r="AW128" s="1752"/>
      <c r="AX128" s="1752"/>
      <c r="AY128" s="1752"/>
      <c r="AZ128" s="1752"/>
      <c r="BA128" s="1752"/>
      <c r="BB128" s="1752"/>
      <c r="BC128" s="1752"/>
      <c r="BD128" s="1752"/>
      <c r="BE128" s="1752"/>
      <c r="BF128" s="1752"/>
      <c r="BG128" s="1752"/>
      <c r="BH128" s="1752"/>
      <c r="BI128" s="1752"/>
      <c r="BJ128" s="1752"/>
      <c r="BK128" s="1752"/>
      <c r="BL128" s="1752"/>
      <c r="BM128" s="1752"/>
      <c r="BN128" s="1752"/>
      <c r="BO128" s="1752"/>
      <c r="BP128" s="1754"/>
      <c r="BQ128" s="1755"/>
      <c r="BR128" s="1755"/>
      <c r="BS128" s="1755"/>
      <c r="BT128" s="1755"/>
      <c r="BU128" s="1755"/>
      <c r="BV128" s="1755"/>
      <c r="BW128" s="1755"/>
      <c r="BX128" s="1755"/>
      <c r="BY128" s="1755"/>
      <c r="BZ128" s="1755"/>
      <c r="CA128" s="1755"/>
      <c r="CB128" s="1755"/>
      <c r="CC128" s="1755"/>
      <c r="CD128" s="1755"/>
      <c r="CE128" s="1755"/>
      <c r="CF128" s="1755"/>
      <c r="CG128" s="1755"/>
      <c r="CH128" s="1755"/>
      <c r="CI128" s="1755"/>
      <c r="CJ128" s="1755"/>
      <c r="CK128" s="1755"/>
      <c r="CL128" s="1755"/>
      <c r="CM128" s="1755"/>
      <c r="CN128" s="1756"/>
      <c r="CO128" s="1767"/>
    </row>
    <row r="129" spans="2:93" ht="42.75" x14ac:dyDescent="0.2">
      <c r="B129" s="1707"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129" s="1707" t="s">
        <v>190</v>
      </c>
      <c r="D129" s="1707" t="s">
        <v>190</v>
      </c>
      <c r="E129" s="1707" t="s">
        <v>907</v>
      </c>
      <c r="F129" s="1707" t="str">
        <f>VLOOKUP(TBL5_OptBen[[#This Row],[Option Type (defined list)]],'Option Typs_Grps'!B$2:C$47, 2, FALSE)</f>
        <v>Distribution Options</v>
      </c>
      <c r="G129" s="1707" t="s">
        <v>863</v>
      </c>
      <c r="H129" s="1707" t="s">
        <v>1457</v>
      </c>
      <c r="I129" s="1707" t="s">
        <v>105</v>
      </c>
      <c r="J129" s="1707" t="s">
        <v>236</v>
      </c>
      <c r="K129" s="1751">
        <v>2</v>
      </c>
      <c r="L129" s="1752"/>
      <c r="M129" s="1752"/>
      <c r="N129" s="1752"/>
      <c r="O129" s="1754"/>
      <c r="P129" s="1766"/>
      <c r="Q129" s="1753"/>
      <c r="R129" s="1753"/>
      <c r="S129" s="1752">
        <v>-0.65681876277180895</v>
      </c>
      <c r="T129" s="1752">
        <v>-0.61905509567241501</v>
      </c>
      <c r="U129" s="1752"/>
      <c r="V129" s="1752"/>
      <c r="W129" s="1752"/>
      <c r="X129" s="1752"/>
      <c r="Y129" s="1752"/>
      <c r="Z129" s="1752"/>
      <c r="AA129" s="1752"/>
      <c r="AB129" s="1752"/>
      <c r="AC129" s="1752"/>
      <c r="AD129" s="1752"/>
      <c r="AE129" s="1752"/>
      <c r="AF129" s="1752"/>
      <c r="AG129" s="1752"/>
      <c r="AH129" s="1752"/>
      <c r="AI129" s="1752"/>
      <c r="AJ129" s="1752"/>
      <c r="AK129" s="1752"/>
      <c r="AL129" s="1752"/>
      <c r="AM129" s="1752"/>
      <c r="AN129" s="1752"/>
      <c r="AO129" s="1752"/>
      <c r="AP129" s="1752"/>
      <c r="AQ129" s="1752"/>
      <c r="AR129" s="1752"/>
      <c r="AS129" s="1752"/>
      <c r="AT129" s="1752"/>
      <c r="AU129" s="1752"/>
      <c r="AV129" s="1752"/>
      <c r="AW129" s="1752"/>
      <c r="AX129" s="1752"/>
      <c r="AY129" s="1752"/>
      <c r="AZ129" s="1752"/>
      <c r="BA129" s="1752"/>
      <c r="BB129" s="1752"/>
      <c r="BC129" s="1752"/>
      <c r="BD129" s="1752"/>
      <c r="BE129" s="1752"/>
      <c r="BF129" s="1752"/>
      <c r="BG129" s="1752"/>
      <c r="BH129" s="1752"/>
      <c r="BI129" s="1752"/>
      <c r="BJ129" s="1752"/>
      <c r="BK129" s="1752"/>
      <c r="BL129" s="1752"/>
      <c r="BM129" s="1752"/>
      <c r="BN129" s="1752"/>
      <c r="BO129" s="1752"/>
      <c r="BP129" s="1754"/>
      <c r="BQ129" s="1755"/>
      <c r="BR129" s="1755"/>
      <c r="BS129" s="1755"/>
      <c r="BT129" s="1755"/>
      <c r="BU129" s="1755"/>
      <c r="BV129" s="1755"/>
      <c r="BW129" s="1755"/>
      <c r="BX129" s="1755"/>
      <c r="BY129" s="1755"/>
      <c r="BZ129" s="1755"/>
      <c r="CA129" s="1755"/>
      <c r="CB129" s="1755"/>
      <c r="CC129" s="1755"/>
      <c r="CD129" s="1755"/>
      <c r="CE129" s="1755"/>
      <c r="CF129" s="1755"/>
      <c r="CG129" s="1755"/>
      <c r="CH129" s="1755"/>
      <c r="CI129" s="1755"/>
      <c r="CJ129" s="1755"/>
      <c r="CK129" s="1755"/>
      <c r="CL129" s="1755"/>
      <c r="CM129" s="1755"/>
      <c r="CN129" s="1756"/>
      <c r="CO129" s="1767"/>
    </row>
    <row r="130" spans="2:93" ht="42.75" x14ac:dyDescent="0.2">
      <c r="B130" s="1707"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130" s="1707" t="s">
        <v>190</v>
      </c>
      <c r="D130" s="1707" t="s">
        <v>190</v>
      </c>
      <c r="E130" s="1707" t="s">
        <v>907</v>
      </c>
      <c r="F130" s="1707" t="str">
        <f>VLOOKUP(TBL5_OptBen[[#This Row],[Option Type (defined list)]],'Option Typs_Grps'!B$2:C$47, 2, FALSE)</f>
        <v>Distribution Options</v>
      </c>
      <c r="G130" s="1707" t="s">
        <v>863</v>
      </c>
      <c r="H130" s="1707" t="s">
        <v>1458</v>
      </c>
      <c r="I130" s="1707" t="s">
        <v>105</v>
      </c>
      <c r="J130" s="1707" t="s">
        <v>236</v>
      </c>
      <c r="K130" s="1751">
        <v>2</v>
      </c>
      <c r="L130" s="1752"/>
      <c r="M130" s="1752"/>
      <c r="N130" s="1752"/>
      <c r="O130" s="1754"/>
      <c r="P130" s="1766"/>
      <c r="Q130" s="1753"/>
      <c r="R130" s="1753"/>
      <c r="S130" s="1752">
        <v>-0.65681876277180895</v>
      </c>
      <c r="T130" s="1752">
        <v>-0.61905509567241501</v>
      </c>
      <c r="U130" s="1752"/>
      <c r="V130" s="1752"/>
      <c r="W130" s="1752"/>
      <c r="X130" s="1752"/>
      <c r="Y130" s="1752"/>
      <c r="Z130" s="1752"/>
      <c r="AA130" s="1752"/>
      <c r="AB130" s="1752"/>
      <c r="AC130" s="1752"/>
      <c r="AD130" s="1752"/>
      <c r="AE130" s="1752"/>
      <c r="AF130" s="1752"/>
      <c r="AG130" s="1752"/>
      <c r="AH130" s="1752"/>
      <c r="AI130" s="1752"/>
      <c r="AJ130" s="1752"/>
      <c r="AK130" s="1752"/>
      <c r="AL130" s="1752"/>
      <c r="AM130" s="1752"/>
      <c r="AN130" s="1752"/>
      <c r="AO130" s="1752"/>
      <c r="AP130" s="1752"/>
      <c r="AQ130" s="1752"/>
      <c r="AR130" s="1752"/>
      <c r="AS130" s="1752"/>
      <c r="AT130" s="1752"/>
      <c r="AU130" s="1752"/>
      <c r="AV130" s="1752"/>
      <c r="AW130" s="1752"/>
      <c r="AX130" s="1752"/>
      <c r="AY130" s="1752"/>
      <c r="AZ130" s="1752"/>
      <c r="BA130" s="1752"/>
      <c r="BB130" s="1752"/>
      <c r="BC130" s="1752"/>
      <c r="BD130" s="1752"/>
      <c r="BE130" s="1752"/>
      <c r="BF130" s="1752"/>
      <c r="BG130" s="1752"/>
      <c r="BH130" s="1752"/>
      <c r="BI130" s="1752"/>
      <c r="BJ130" s="1752"/>
      <c r="BK130" s="1752"/>
      <c r="BL130" s="1752"/>
      <c r="BM130" s="1752"/>
      <c r="BN130" s="1752"/>
      <c r="BO130" s="1752"/>
      <c r="BP130" s="1754"/>
      <c r="BQ130" s="1755"/>
      <c r="BR130" s="1755"/>
      <c r="BS130" s="1755"/>
      <c r="BT130" s="1755"/>
      <c r="BU130" s="1755"/>
      <c r="BV130" s="1755"/>
      <c r="BW130" s="1755"/>
      <c r="BX130" s="1755"/>
      <c r="BY130" s="1755"/>
      <c r="BZ130" s="1755"/>
      <c r="CA130" s="1755"/>
      <c r="CB130" s="1755"/>
      <c r="CC130" s="1755"/>
      <c r="CD130" s="1755"/>
      <c r="CE130" s="1755"/>
      <c r="CF130" s="1755"/>
      <c r="CG130" s="1755"/>
      <c r="CH130" s="1755"/>
      <c r="CI130" s="1755"/>
      <c r="CJ130" s="1755"/>
      <c r="CK130" s="1755"/>
      <c r="CL130" s="1755"/>
      <c r="CM130" s="1755"/>
      <c r="CN130" s="1756"/>
      <c r="CO130" s="1767"/>
    </row>
    <row r="131" spans="2:93" ht="42.75" x14ac:dyDescent="0.2">
      <c r="B131" s="1707"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131" s="1707" t="s">
        <v>190</v>
      </c>
      <c r="D131" s="1707" t="s">
        <v>190</v>
      </c>
      <c r="E131" s="1707" t="s">
        <v>907</v>
      </c>
      <c r="F131" s="1707" t="str">
        <f>VLOOKUP(TBL5_OptBen[[#This Row],[Option Type (defined list)]],'Option Typs_Grps'!B$2:C$47, 2, FALSE)</f>
        <v>Distribution Options</v>
      </c>
      <c r="G131" s="1707" t="s">
        <v>863</v>
      </c>
      <c r="H131" s="1707" t="s">
        <v>1462</v>
      </c>
      <c r="I131" s="1707" t="s">
        <v>105</v>
      </c>
      <c r="J131" s="1707" t="s">
        <v>236</v>
      </c>
      <c r="K131" s="1751">
        <v>2</v>
      </c>
      <c r="L131" s="1752"/>
      <c r="M131" s="1752"/>
      <c r="N131" s="1752"/>
      <c r="O131" s="1754"/>
      <c r="P131" s="1766"/>
      <c r="Q131" s="1753"/>
      <c r="R131" s="1753"/>
      <c r="S131" s="1752">
        <v>-0.65681876277180895</v>
      </c>
      <c r="T131" s="1752">
        <v>-0.61905509567241501</v>
      </c>
      <c r="U131" s="1752"/>
      <c r="V131" s="1752"/>
      <c r="W131" s="1752"/>
      <c r="X131" s="1752"/>
      <c r="Y131" s="1752"/>
      <c r="Z131" s="1752"/>
      <c r="AA131" s="1752"/>
      <c r="AB131" s="1752"/>
      <c r="AC131" s="1752"/>
      <c r="AD131" s="1752"/>
      <c r="AE131" s="1752"/>
      <c r="AF131" s="1752"/>
      <c r="AG131" s="1752"/>
      <c r="AH131" s="1752"/>
      <c r="AI131" s="1752"/>
      <c r="AJ131" s="1752"/>
      <c r="AK131" s="1752"/>
      <c r="AL131" s="1752"/>
      <c r="AM131" s="1752"/>
      <c r="AN131" s="1752"/>
      <c r="AO131" s="1752"/>
      <c r="AP131" s="1752"/>
      <c r="AQ131" s="1752"/>
      <c r="AR131" s="1752"/>
      <c r="AS131" s="1752"/>
      <c r="AT131" s="1752"/>
      <c r="AU131" s="1752"/>
      <c r="AV131" s="1752"/>
      <c r="AW131" s="1752"/>
      <c r="AX131" s="1752"/>
      <c r="AY131" s="1752"/>
      <c r="AZ131" s="1752"/>
      <c r="BA131" s="1752"/>
      <c r="BB131" s="1752"/>
      <c r="BC131" s="1752"/>
      <c r="BD131" s="1752"/>
      <c r="BE131" s="1752"/>
      <c r="BF131" s="1752"/>
      <c r="BG131" s="1752"/>
      <c r="BH131" s="1752"/>
      <c r="BI131" s="1752"/>
      <c r="BJ131" s="1752"/>
      <c r="BK131" s="1752"/>
      <c r="BL131" s="1752"/>
      <c r="BM131" s="1752"/>
      <c r="BN131" s="1752"/>
      <c r="BO131" s="1752"/>
      <c r="BP131" s="1754"/>
      <c r="BQ131" s="1755"/>
      <c r="BR131" s="1755"/>
      <c r="BS131" s="1755"/>
      <c r="BT131" s="1755"/>
      <c r="BU131" s="1755"/>
      <c r="BV131" s="1755"/>
      <c r="BW131" s="1755"/>
      <c r="BX131" s="1755"/>
      <c r="BY131" s="1755"/>
      <c r="BZ131" s="1755"/>
      <c r="CA131" s="1755"/>
      <c r="CB131" s="1755"/>
      <c r="CC131" s="1755"/>
      <c r="CD131" s="1755"/>
      <c r="CE131" s="1755"/>
      <c r="CF131" s="1755"/>
      <c r="CG131" s="1755"/>
      <c r="CH131" s="1755"/>
      <c r="CI131" s="1755"/>
      <c r="CJ131" s="1755"/>
      <c r="CK131" s="1755"/>
      <c r="CL131" s="1755"/>
      <c r="CM131" s="1755"/>
      <c r="CN131" s="1756"/>
      <c r="CO131" s="1767"/>
    </row>
    <row r="132" spans="2:93" ht="42.75" x14ac:dyDescent="0.2">
      <c r="B132" s="1707"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132" s="1707" t="s">
        <v>190</v>
      </c>
      <c r="D132" s="1707" t="s">
        <v>190</v>
      </c>
      <c r="E132" s="1707" t="s">
        <v>907</v>
      </c>
      <c r="F132" s="1707" t="str">
        <f>VLOOKUP(TBL5_OptBen[[#This Row],[Option Type (defined list)]],'Option Typs_Grps'!B$2:C$47, 2, FALSE)</f>
        <v>Distribution Options</v>
      </c>
      <c r="G132" s="1707" t="s">
        <v>863</v>
      </c>
      <c r="H132" s="1707" t="s">
        <v>1459</v>
      </c>
      <c r="I132" s="1707" t="s">
        <v>105</v>
      </c>
      <c r="J132" s="1707" t="s">
        <v>236</v>
      </c>
      <c r="K132" s="1751">
        <v>2</v>
      </c>
      <c r="L132" s="1752"/>
      <c r="M132" s="1752"/>
      <c r="N132" s="1752"/>
      <c r="O132" s="1754"/>
      <c r="P132" s="1766"/>
      <c r="Q132" s="1753"/>
      <c r="R132" s="1753"/>
      <c r="S132" s="1752">
        <v>-0.65681876277180895</v>
      </c>
      <c r="T132" s="1752">
        <v>-0.61905509567241501</v>
      </c>
      <c r="U132" s="1752"/>
      <c r="V132" s="1752"/>
      <c r="W132" s="1752"/>
      <c r="X132" s="1752"/>
      <c r="Y132" s="1752"/>
      <c r="Z132" s="1752"/>
      <c r="AA132" s="1752"/>
      <c r="AB132" s="1752"/>
      <c r="AC132" s="1752"/>
      <c r="AD132" s="1752"/>
      <c r="AE132" s="1752"/>
      <c r="AF132" s="1752"/>
      <c r="AG132" s="1752"/>
      <c r="AH132" s="1752"/>
      <c r="AI132" s="1752"/>
      <c r="AJ132" s="1752"/>
      <c r="AK132" s="1752"/>
      <c r="AL132" s="1752"/>
      <c r="AM132" s="1752"/>
      <c r="AN132" s="1752"/>
      <c r="AO132" s="1752"/>
      <c r="AP132" s="1752"/>
      <c r="AQ132" s="1752"/>
      <c r="AR132" s="1752"/>
      <c r="AS132" s="1752"/>
      <c r="AT132" s="1752"/>
      <c r="AU132" s="1752"/>
      <c r="AV132" s="1752"/>
      <c r="AW132" s="1752"/>
      <c r="AX132" s="1752"/>
      <c r="AY132" s="1752"/>
      <c r="AZ132" s="1752"/>
      <c r="BA132" s="1752"/>
      <c r="BB132" s="1752"/>
      <c r="BC132" s="1752"/>
      <c r="BD132" s="1752"/>
      <c r="BE132" s="1752"/>
      <c r="BF132" s="1752"/>
      <c r="BG132" s="1752"/>
      <c r="BH132" s="1752"/>
      <c r="BI132" s="1752"/>
      <c r="BJ132" s="1752"/>
      <c r="BK132" s="1752"/>
      <c r="BL132" s="1752"/>
      <c r="BM132" s="1752"/>
      <c r="BN132" s="1752"/>
      <c r="BO132" s="1752"/>
      <c r="BP132" s="1754"/>
      <c r="BQ132" s="1755"/>
      <c r="BR132" s="1755"/>
      <c r="BS132" s="1755"/>
      <c r="BT132" s="1755"/>
      <c r="BU132" s="1755"/>
      <c r="BV132" s="1755"/>
      <c r="BW132" s="1755"/>
      <c r="BX132" s="1755"/>
      <c r="BY132" s="1755"/>
      <c r="BZ132" s="1755"/>
      <c r="CA132" s="1755"/>
      <c r="CB132" s="1755"/>
      <c r="CC132" s="1755"/>
      <c r="CD132" s="1755"/>
      <c r="CE132" s="1755"/>
      <c r="CF132" s="1755"/>
      <c r="CG132" s="1755"/>
      <c r="CH132" s="1755"/>
      <c r="CI132" s="1755"/>
      <c r="CJ132" s="1755"/>
      <c r="CK132" s="1755"/>
      <c r="CL132" s="1755"/>
      <c r="CM132" s="1755"/>
      <c r="CN132" s="1756"/>
      <c r="CO132" s="1767"/>
    </row>
    <row r="133" spans="2:93" ht="42.75" x14ac:dyDescent="0.2">
      <c r="B133" s="1707"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133" s="1707" t="s">
        <v>190</v>
      </c>
      <c r="D133" s="1707" t="s">
        <v>190</v>
      </c>
      <c r="E133" s="1707" t="s">
        <v>907</v>
      </c>
      <c r="F133" s="1707" t="str">
        <f>VLOOKUP(TBL5_OptBen[[#This Row],[Option Type (defined list)]],'Option Typs_Grps'!B$2:C$47, 2, FALSE)</f>
        <v>Distribution Options</v>
      </c>
      <c r="G133" s="1707" t="s">
        <v>863</v>
      </c>
      <c r="H133" s="1707" t="s">
        <v>1460</v>
      </c>
      <c r="I133" s="1707" t="s">
        <v>105</v>
      </c>
      <c r="J133" s="1707" t="s">
        <v>236</v>
      </c>
      <c r="K133" s="1751">
        <v>2</v>
      </c>
      <c r="L133" s="1752"/>
      <c r="M133" s="1752"/>
      <c r="N133" s="1752"/>
      <c r="O133" s="1754"/>
      <c r="P133" s="1766"/>
      <c r="Q133" s="1753"/>
      <c r="R133" s="1753"/>
      <c r="S133" s="1752">
        <v>-0.65681876277180895</v>
      </c>
      <c r="T133" s="1752">
        <v>-0.61905509567241501</v>
      </c>
      <c r="U133" s="1752"/>
      <c r="V133" s="1752"/>
      <c r="W133" s="1752"/>
      <c r="X133" s="1752"/>
      <c r="Y133" s="1752"/>
      <c r="Z133" s="1752"/>
      <c r="AA133" s="1752"/>
      <c r="AB133" s="1752"/>
      <c r="AC133" s="1752"/>
      <c r="AD133" s="1752"/>
      <c r="AE133" s="1752"/>
      <c r="AF133" s="1752"/>
      <c r="AG133" s="1752"/>
      <c r="AH133" s="1752"/>
      <c r="AI133" s="1752"/>
      <c r="AJ133" s="1752"/>
      <c r="AK133" s="1752"/>
      <c r="AL133" s="1752"/>
      <c r="AM133" s="1752"/>
      <c r="AN133" s="1752"/>
      <c r="AO133" s="1752"/>
      <c r="AP133" s="1752"/>
      <c r="AQ133" s="1752"/>
      <c r="AR133" s="1752"/>
      <c r="AS133" s="1752"/>
      <c r="AT133" s="1752"/>
      <c r="AU133" s="1752"/>
      <c r="AV133" s="1752"/>
      <c r="AW133" s="1752"/>
      <c r="AX133" s="1752"/>
      <c r="AY133" s="1752"/>
      <c r="AZ133" s="1752"/>
      <c r="BA133" s="1752"/>
      <c r="BB133" s="1752"/>
      <c r="BC133" s="1752"/>
      <c r="BD133" s="1752"/>
      <c r="BE133" s="1752"/>
      <c r="BF133" s="1752"/>
      <c r="BG133" s="1752"/>
      <c r="BH133" s="1752"/>
      <c r="BI133" s="1752"/>
      <c r="BJ133" s="1752"/>
      <c r="BK133" s="1752"/>
      <c r="BL133" s="1752"/>
      <c r="BM133" s="1752"/>
      <c r="BN133" s="1752"/>
      <c r="BO133" s="1752"/>
      <c r="BP133" s="1754"/>
      <c r="BQ133" s="1755"/>
      <c r="BR133" s="1755"/>
      <c r="BS133" s="1755"/>
      <c r="BT133" s="1755"/>
      <c r="BU133" s="1755"/>
      <c r="BV133" s="1755"/>
      <c r="BW133" s="1755"/>
      <c r="BX133" s="1755"/>
      <c r="BY133" s="1755"/>
      <c r="BZ133" s="1755"/>
      <c r="CA133" s="1755"/>
      <c r="CB133" s="1755"/>
      <c r="CC133" s="1755"/>
      <c r="CD133" s="1755"/>
      <c r="CE133" s="1755"/>
      <c r="CF133" s="1755"/>
      <c r="CG133" s="1755"/>
      <c r="CH133" s="1755"/>
      <c r="CI133" s="1755"/>
      <c r="CJ133" s="1755"/>
      <c r="CK133" s="1755"/>
      <c r="CL133" s="1755"/>
      <c r="CM133" s="1755"/>
      <c r="CN133" s="1756"/>
      <c r="CO133" s="1767"/>
    </row>
    <row r="134" spans="2:93" ht="42.75" x14ac:dyDescent="0.2">
      <c r="B134" s="1707"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134" s="1707" t="s">
        <v>190</v>
      </c>
      <c r="D134" s="1707" t="s">
        <v>190</v>
      </c>
      <c r="E134" s="1707" t="s">
        <v>907</v>
      </c>
      <c r="F134" s="1707" t="str">
        <f>VLOOKUP(TBL5_OptBen[[#This Row],[Option Type (defined list)]],'Option Typs_Grps'!B$2:C$47, 2, FALSE)</f>
        <v>Distribution Options</v>
      </c>
      <c r="G134" s="1707" t="s">
        <v>863</v>
      </c>
      <c r="H134" s="1707" t="s">
        <v>1461</v>
      </c>
      <c r="I134" s="1707" t="s">
        <v>105</v>
      </c>
      <c r="J134" s="1707" t="s">
        <v>236</v>
      </c>
      <c r="K134" s="1751">
        <v>2</v>
      </c>
      <c r="L134" s="1779"/>
      <c r="M134" s="1779"/>
      <c r="N134" s="1779"/>
      <c r="O134" s="1780"/>
      <c r="P134" s="1781"/>
      <c r="Q134" s="1782"/>
      <c r="R134" s="1782"/>
      <c r="S134" s="1779">
        <v>-0.65681876277180895</v>
      </c>
      <c r="T134" s="1779">
        <v>-0.61905509567241501</v>
      </c>
      <c r="U134" s="1779"/>
      <c r="V134" s="1779"/>
      <c r="W134" s="1779"/>
      <c r="X134" s="1779"/>
      <c r="Y134" s="1779"/>
      <c r="Z134" s="1779"/>
      <c r="AA134" s="1779"/>
      <c r="AB134" s="1779"/>
      <c r="AC134" s="1779"/>
      <c r="AD134" s="1779"/>
      <c r="AE134" s="1779"/>
      <c r="AF134" s="1779"/>
      <c r="AG134" s="1779"/>
      <c r="AH134" s="1779"/>
      <c r="AI134" s="1779"/>
      <c r="AJ134" s="1779"/>
      <c r="AK134" s="1779"/>
      <c r="AL134" s="1779"/>
      <c r="AM134" s="1779"/>
      <c r="AN134" s="1779"/>
      <c r="AO134" s="1779"/>
      <c r="AP134" s="1779"/>
      <c r="AQ134" s="1779"/>
      <c r="AR134" s="1779"/>
      <c r="AS134" s="1779"/>
      <c r="AT134" s="1779"/>
      <c r="AU134" s="1779"/>
      <c r="AV134" s="1779"/>
      <c r="AW134" s="1779"/>
      <c r="AX134" s="1779"/>
      <c r="AY134" s="1779"/>
      <c r="AZ134" s="1779"/>
      <c r="BA134" s="1779"/>
      <c r="BB134" s="1779"/>
      <c r="BC134" s="1779"/>
      <c r="BD134" s="1779"/>
      <c r="BE134" s="1779"/>
      <c r="BF134" s="1779"/>
      <c r="BG134" s="1779"/>
      <c r="BH134" s="1779"/>
      <c r="BI134" s="1779"/>
      <c r="BJ134" s="1779"/>
      <c r="BK134" s="1779"/>
      <c r="BL134" s="1779"/>
      <c r="BM134" s="1779"/>
      <c r="BN134" s="1779"/>
      <c r="BO134" s="1779"/>
      <c r="BP134" s="1780"/>
      <c r="BQ134" s="1776"/>
      <c r="BR134" s="1776"/>
      <c r="BS134" s="1776"/>
      <c r="BT134" s="1776"/>
      <c r="BU134" s="1776"/>
      <c r="BV134" s="1776"/>
      <c r="BW134" s="1776"/>
      <c r="BX134" s="1776"/>
      <c r="BY134" s="1776"/>
      <c r="BZ134" s="1776"/>
      <c r="CA134" s="1776"/>
      <c r="CB134" s="1776"/>
      <c r="CC134" s="1776"/>
      <c r="CD134" s="1776"/>
      <c r="CE134" s="1776"/>
      <c r="CF134" s="1776"/>
      <c r="CG134" s="1776"/>
      <c r="CH134" s="1776"/>
      <c r="CI134" s="1776"/>
      <c r="CJ134" s="1776"/>
      <c r="CK134" s="1776"/>
      <c r="CL134" s="1776"/>
      <c r="CM134" s="1776"/>
      <c r="CN134" s="1777"/>
      <c r="CO134" s="1783"/>
    </row>
    <row r="135" spans="2:93" ht="28.5" x14ac:dyDescent="0.2">
      <c r="B135" s="1747"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135" s="1747" t="s">
        <v>1034</v>
      </c>
      <c r="D135" s="1707" t="s">
        <v>984</v>
      </c>
      <c r="E135" s="1747" t="s">
        <v>907</v>
      </c>
      <c r="F135" s="1747" t="s">
        <v>1471</v>
      </c>
      <c r="G135" s="1747" t="s">
        <v>863</v>
      </c>
      <c r="H135" s="1747" t="s">
        <v>1456</v>
      </c>
      <c r="I135" s="1747" t="s">
        <v>102</v>
      </c>
      <c r="J135" s="1747" t="s">
        <v>236</v>
      </c>
      <c r="K135" s="1760">
        <v>2</v>
      </c>
      <c r="L135" s="1768"/>
      <c r="M135" s="1768"/>
      <c r="N135" s="1768"/>
      <c r="O135" s="1768"/>
      <c r="P135" s="1768"/>
      <c r="Q135" s="1768"/>
      <c r="R135" s="1768"/>
      <c r="S135" s="1768"/>
      <c r="T135" s="1768"/>
      <c r="U135" s="1768"/>
      <c r="V135" s="1768"/>
      <c r="W135" s="1768"/>
      <c r="X135" s="1768"/>
      <c r="Y135" s="1768">
        <f>ESWHRT!T278</f>
        <v>0.20856410954914378</v>
      </c>
      <c r="Z135" s="1768">
        <f>ESWHRT!U278</f>
        <v>0.14795702573516523</v>
      </c>
      <c r="AA135" s="1768">
        <f>ESWHRT!V278</f>
        <v>6.5392176763865162E-2</v>
      </c>
      <c r="AB135" s="1768">
        <f>ESWHRT!W278</f>
        <v>5.5851848014790706E-3</v>
      </c>
      <c r="AC135" s="1768"/>
      <c r="AD135" s="1768"/>
      <c r="AE135" s="1768"/>
      <c r="AF135" s="1768"/>
      <c r="AG135" s="1768"/>
      <c r="AH135" s="1768"/>
      <c r="AI135" s="1768"/>
      <c r="AJ135" s="1768"/>
      <c r="AK135" s="1768"/>
      <c r="AL135" s="1768"/>
      <c r="AM135" s="1768"/>
      <c r="AN135" s="1768"/>
      <c r="AO135" s="1768"/>
      <c r="AP135" s="1768"/>
      <c r="AQ135" s="1768"/>
      <c r="AR135" s="1768"/>
      <c r="AS135" s="1768"/>
      <c r="AT135" s="1768"/>
      <c r="AU135" s="1768"/>
      <c r="AV135" s="1768"/>
      <c r="AW135" s="1768"/>
      <c r="AX135" s="1768"/>
      <c r="AY135" s="1768"/>
      <c r="AZ135" s="1768"/>
      <c r="BA135" s="1768"/>
      <c r="BB135" s="1768"/>
      <c r="BC135" s="1768"/>
      <c r="BD135" s="1768"/>
      <c r="BE135" s="1768"/>
      <c r="BF135" s="1768"/>
      <c r="BG135" s="1768"/>
      <c r="BH135" s="1768"/>
      <c r="BI135" s="1768"/>
      <c r="BJ135" s="1768"/>
      <c r="BK135" s="1768"/>
      <c r="BL135" s="1768"/>
      <c r="BM135" s="1768"/>
      <c r="BN135" s="1768"/>
      <c r="BO135" s="1768"/>
      <c r="BP135" s="1768"/>
      <c r="BQ135" s="1768"/>
      <c r="BR135" s="1768"/>
      <c r="BS135" s="1768"/>
      <c r="BT135" s="1768"/>
      <c r="BU135" s="1768"/>
      <c r="BV135" s="1768"/>
      <c r="BW135" s="1768"/>
      <c r="BX135" s="1768"/>
      <c r="BY135" s="1768"/>
      <c r="BZ135" s="1768"/>
      <c r="CA135" s="1768"/>
      <c r="CB135" s="1768"/>
      <c r="CC135" s="1768"/>
      <c r="CD135" s="1768"/>
      <c r="CE135" s="1768"/>
      <c r="CF135" s="1768"/>
      <c r="CG135" s="1768"/>
      <c r="CH135" s="1768"/>
      <c r="CI135" s="1768"/>
      <c r="CJ135" s="1768"/>
      <c r="CK135" s="1768"/>
      <c r="CL135" s="1768"/>
      <c r="CM135" s="1768"/>
      <c r="CN135" s="1784"/>
      <c r="CO135" s="1719"/>
    </row>
    <row r="136" spans="2:93" s="1785" customFormat="1" x14ac:dyDescent="0.2">
      <c r="B136" s="1707"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136" s="1703" t="s">
        <v>874</v>
      </c>
      <c r="D136" s="1703" t="s">
        <v>873</v>
      </c>
      <c r="E136" s="1707" t="s">
        <v>875</v>
      </c>
      <c r="F136" s="1707" t="str">
        <f>VLOOKUP(TBL5_OptBen[[#This Row],[Option Type (defined list)]],'Option Typs_Grps'!B$2:C$47, 2, FALSE)</f>
        <v>Resource Options</v>
      </c>
      <c r="G136" s="1707" t="s">
        <v>863</v>
      </c>
      <c r="H136" s="1707" t="s">
        <v>1456</v>
      </c>
      <c r="I136" s="1707" t="s">
        <v>88</v>
      </c>
      <c r="J136" s="1707" t="s">
        <v>236</v>
      </c>
      <c r="K136" s="1751">
        <v>2</v>
      </c>
      <c r="L136" s="1752"/>
      <c r="M136" s="1752"/>
      <c r="N136" s="1752"/>
      <c r="O136" s="1754"/>
      <c r="P136" s="1766"/>
      <c r="Q136" s="1753"/>
      <c r="R136" s="1753"/>
      <c r="S136" s="1752"/>
      <c r="T136" s="1752">
        <v>10</v>
      </c>
      <c r="U136" s="1752">
        <v>10</v>
      </c>
      <c r="V136" s="1752">
        <v>10</v>
      </c>
      <c r="W136" s="1752">
        <v>10</v>
      </c>
      <c r="X136" s="1752">
        <v>10</v>
      </c>
      <c r="Y136" s="1752">
        <v>10</v>
      </c>
      <c r="Z136" s="1752">
        <v>10</v>
      </c>
      <c r="AA136" s="1752">
        <v>10</v>
      </c>
      <c r="AB136" s="1752">
        <v>10</v>
      </c>
      <c r="AC136" s="1752">
        <v>10</v>
      </c>
      <c r="AD136" s="1752">
        <v>10</v>
      </c>
      <c r="AE136" s="1752">
        <v>10</v>
      </c>
      <c r="AF136" s="1752">
        <v>10</v>
      </c>
      <c r="AG136" s="1752">
        <v>10</v>
      </c>
      <c r="AH136" s="1752">
        <v>10</v>
      </c>
      <c r="AI136" s="1752">
        <v>10</v>
      </c>
      <c r="AJ136" s="1752">
        <v>10</v>
      </c>
      <c r="AK136" s="1752">
        <v>10</v>
      </c>
      <c r="AL136" s="1752">
        <v>10</v>
      </c>
      <c r="AM136" s="1752">
        <v>10</v>
      </c>
      <c r="AN136" s="1752">
        <v>10</v>
      </c>
      <c r="AO136" s="1752">
        <v>10</v>
      </c>
      <c r="AP136" s="1752">
        <v>10</v>
      </c>
      <c r="AQ136" s="1752"/>
      <c r="AR136" s="1752"/>
      <c r="AS136" s="1752"/>
      <c r="AT136" s="1752"/>
      <c r="AU136" s="1752"/>
      <c r="AV136" s="1752"/>
      <c r="AW136" s="1752"/>
      <c r="AX136" s="1752"/>
      <c r="AY136" s="1752"/>
      <c r="AZ136" s="1752"/>
      <c r="BA136" s="1752"/>
      <c r="BB136" s="1752"/>
      <c r="BC136" s="1752"/>
      <c r="BD136" s="1752"/>
      <c r="BE136" s="1752"/>
      <c r="BF136" s="1752"/>
      <c r="BG136" s="1752"/>
      <c r="BH136" s="1752"/>
      <c r="BI136" s="1752"/>
      <c r="BJ136" s="1752"/>
      <c r="BK136" s="1752"/>
      <c r="BL136" s="1752"/>
      <c r="BM136" s="1752"/>
      <c r="BN136" s="1752"/>
      <c r="BO136" s="1752"/>
      <c r="BP136" s="1754"/>
      <c r="BQ136" s="1786"/>
      <c r="BR136" s="1786"/>
      <c r="BS136" s="1786"/>
      <c r="BT136" s="1786"/>
      <c r="BU136" s="1786"/>
      <c r="BV136" s="1786"/>
      <c r="BW136" s="1786"/>
      <c r="BX136" s="1786"/>
      <c r="BY136" s="1786"/>
      <c r="BZ136" s="1786"/>
      <c r="CA136" s="1786"/>
      <c r="CB136" s="1786"/>
      <c r="CC136" s="1786"/>
      <c r="CD136" s="1786"/>
      <c r="CE136" s="1786"/>
      <c r="CF136" s="1786"/>
      <c r="CG136" s="1786"/>
      <c r="CH136" s="1786"/>
      <c r="CI136" s="1786"/>
      <c r="CJ136" s="1786"/>
      <c r="CK136" s="1786"/>
      <c r="CL136" s="1786"/>
      <c r="CM136" s="1786"/>
      <c r="CN136" s="1787"/>
      <c r="CO136" s="1788"/>
    </row>
    <row r="137" spans="2:93" ht="28.5" x14ac:dyDescent="0.2">
      <c r="B137" s="1707"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52aP</v>
      </c>
      <c r="C137" s="1707" t="s">
        <v>881</v>
      </c>
      <c r="D137" s="1707" t="s">
        <v>880</v>
      </c>
      <c r="E137" s="1707" t="s">
        <v>1472</v>
      </c>
      <c r="F137" s="1707" t="s">
        <v>1473</v>
      </c>
      <c r="G137" s="1707" t="s">
        <v>863</v>
      </c>
      <c r="H137" s="1707" t="s">
        <v>876</v>
      </c>
      <c r="I137" s="1707" t="s">
        <v>88</v>
      </c>
      <c r="J137" s="1707" t="s">
        <v>236</v>
      </c>
      <c r="K137" s="1751">
        <v>2</v>
      </c>
      <c r="L137" s="1753"/>
      <c r="M137" s="1753"/>
      <c r="N137" s="1753"/>
      <c r="O137" s="1753"/>
      <c r="P137" s="1753"/>
      <c r="Q137" s="1753"/>
      <c r="R137" s="1753"/>
      <c r="S137" s="1753"/>
      <c r="T137" s="1753">
        <v>-3.5</v>
      </c>
      <c r="U137" s="1753">
        <v>-3.5</v>
      </c>
      <c r="V137" s="1753">
        <v>-3.5</v>
      </c>
      <c r="W137" s="1753">
        <v>-3.5</v>
      </c>
      <c r="X137" s="1753">
        <v>-3.5</v>
      </c>
      <c r="Y137" s="1753">
        <v>-3.5</v>
      </c>
      <c r="Z137" s="1753">
        <v>-3.5</v>
      </c>
      <c r="AA137" s="1753"/>
      <c r="AB137" s="1753"/>
      <c r="AC137" s="1753"/>
      <c r="AD137" s="1753"/>
      <c r="AE137" s="1753"/>
      <c r="AF137" s="1753"/>
      <c r="AG137" s="1753"/>
      <c r="AH137" s="1753"/>
      <c r="AI137" s="1753"/>
      <c r="AJ137" s="1753"/>
      <c r="AK137" s="1753"/>
      <c r="AL137" s="1753"/>
      <c r="AM137" s="1753"/>
      <c r="AN137" s="1753"/>
      <c r="AO137" s="1753"/>
      <c r="AP137" s="1753"/>
      <c r="AQ137" s="1779"/>
      <c r="AR137" s="1779"/>
      <c r="AS137" s="1779"/>
      <c r="AT137" s="1779"/>
      <c r="AU137" s="1779"/>
      <c r="AV137" s="1779"/>
      <c r="AW137" s="1779"/>
      <c r="AX137" s="1779"/>
      <c r="AY137" s="1779"/>
      <c r="AZ137" s="1779"/>
      <c r="BA137" s="1779"/>
      <c r="BB137" s="1779"/>
      <c r="BC137" s="1779"/>
      <c r="BD137" s="1779"/>
      <c r="BE137" s="1779"/>
      <c r="BF137" s="1779"/>
      <c r="BG137" s="1779"/>
      <c r="BH137" s="1779"/>
      <c r="BI137" s="1779"/>
      <c r="BJ137" s="1779"/>
      <c r="BK137" s="1779"/>
      <c r="BL137" s="1779"/>
      <c r="BM137" s="1779"/>
      <c r="BN137" s="1779"/>
      <c r="BO137" s="1779"/>
      <c r="BP137" s="1780"/>
      <c r="BQ137" s="1789"/>
      <c r="BR137" s="1789"/>
      <c r="BS137" s="1789"/>
      <c r="BT137" s="1789"/>
      <c r="BU137" s="1789"/>
      <c r="BV137" s="1789"/>
      <c r="BW137" s="1789"/>
      <c r="BX137" s="1789"/>
      <c r="BY137" s="1789"/>
      <c r="BZ137" s="1789"/>
      <c r="CA137" s="1789"/>
      <c r="CB137" s="1789"/>
      <c r="CC137" s="1789"/>
      <c r="CD137" s="1789"/>
      <c r="CE137" s="1789"/>
      <c r="CF137" s="1789"/>
      <c r="CG137" s="1789"/>
      <c r="CH137" s="1789"/>
      <c r="CI137" s="1789"/>
      <c r="CJ137" s="1789"/>
      <c r="CK137" s="1789"/>
      <c r="CL137" s="1789"/>
      <c r="CM137" s="1789"/>
      <c r="CN137" s="1790"/>
      <c r="CO137" s="1757"/>
    </row>
    <row r="138" spans="2:93" ht="28.5" x14ac:dyDescent="0.2">
      <c r="B138" s="1707"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138" s="1747" t="s">
        <v>881</v>
      </c>
      <c r="D138" s="1747" t="s">
        <v>880</v>
      </c>
      <c r="E138" s="1707" t="s">
        <v>1472</v>
      </c>
      <c r="F138" s="1747" t="s">
        <v>1473</v>
      </c>
      <c r="G138" s="1747" t="s">
        <v>863</v>
      </c>
      <c r="H138" s="1747" t="s">
        <v>1460</v>
      </c>
      <c r="I138" s="1747" t="s">
        <v>88</v>
      </c>
      <c r="J138" s="1747" t="s">
        <v>236</v>
      </c>
      <c r="K138" s="1761">
        <v>2</v>
      </c>
      <c r="L138" s="1768"/>
      <c r="M138" s="1768"/>
      <c r="N138" s="1768"/>
      <c r="O138" s="1768"/>
      <c r="P138" s="1768"/>
      <c r="Q138" s="1768"/>
      <c r="R138" s="1768"/>
      <c r="S138" s="1768"/>
      <c r="T138" s="1768">
        <v>-3.5</v>
      </c>
      <c r="U138" s="1768">
        <v>-3.5</v>
      </c>
      <c r="V138" s="1768">
        <v>-3.5</v>
      </c>
      <c r="W138" s="1768">
        <v>-3.5</v>
      </c>
      <c r="X138" s="1768">
        <v>-3.5</v>
      </c>
      <c r="Y138" s="1768">
        <v>-3.5</v>
      </c>
      <c r="Z138" s="1768">
        <v>-3.5</v>
      </c>
      <c r="AA138" s="1768"/>
      <c r="AB138" s="1768"/>
      <c r="AC138" s="1768"/>
      <c r="AD138" s="1768"/>
      <c r="AE138" s="1768"/>
      <c r="AF138" s="1768"/>
      <c r="AG138" s="1768"/>
      <c r="AH138" s="1768"/>
      <c r="AI138" s="1768"/>
      <c r="AJ138" s="1768"/>
      <c r="AK138" s="1768"/>
      <c r="AL138" s="1768"/>
      <c r="AM138" s="1768"/>
      <c r="AN138" s="1768"/>
      <c r="AO138" s="1768"/>
      <c r="AP138" s="1768"/>
      <c r="AQ138" s="1779"/>
      <c r="AR138" s="1779"/>
      <c r="AS138" s="1779"/>
      <c r="AT138" s="1779"/>
      <c r="AU138" s="1779"/>
      <c r="AV138" s="1779"/>
      <c r="AW138" s="1779"/>
      <c r="AX138" s="1779"/>
      <c r="AY138" s="1779"/>
      <c r="AZ138" s="1779"/>
      <c r="BA138" s="1779"/>
      <c r="BB138" s="1779"/>
      <c r="BC138" s="1779"/>
      <c r="BD138" s="1779"/>
      <c r="BE138" s="1779"/>
      <c r="BF138" s="1779"/>
      <c r="BG138" s="1779"/>
      <c r="BH138" s="1779"/>
      <c r="BI138" s="1779"/>
      <c r="BJ138" s="1779"/>
      <c r="BK138" s="1779"/>
      <c r="BL138" s="1779"/>
      <c r="BM138" s="1779"/>
      <c r="BN138" s="1779"/>
      <c r="BO138" s="1779"/>
      <c r="BP138" s="1780"/>
      <c r="BQ138" s="1789"/>
      <c r="BR138" s="1789"/>
      <c r="BS138" s="1789"/>
      <c r="BT138" s="1789"/>
      <c r="BU138" s="1789"/>
      <c r="BV138" s="1789"/>
      <c r="BW138" s="1789"/>
      <c r="BX138" s="1789"/>
      <c r="BY138" s="1789"/>
      <c r="BZ138" s="1789"/>
      <c r="CA138" s="1789"/>
      <c r="CB138" s="1789"/>
      <c r="CC138" s="1789"/>
      <c r="CD138" s="1789"/>
      <c r="CE138" s="1789"/>
      <c r="CF138" s="1789"/>
      <c r="CG138" s="1789"/>
      <c r="CH138" s="1789"/>
      <c r="CI138" s="1789"/>
      <c r="CJ138" s="1789"/>
      <c r="CK138" s="1789"/>
      <c r="CL138" s="1789"/>
      <c r="CM138" s="1789"/>
      <c r="CN138" s="1790"/>
      <c r="CO138" s="1767"/>
    </row>
    <row r="139" spans="2:93" ht="28.5" x14ac:dyDescent="0.2">
      <c r="B139" s="1707"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139" s="1747" t="s">
        <v>881</v>
      </c>
      <c r="D139" s="1747" t="s">
        <v>880</v>
      </c>
      <c r="E139" s="1707" t="s">
        <v>1472</v>
      </c>
      <c r="F139" s="1747" t="s">
        <v>1473</v>
      </c>
      <c r="G139" s="1747" t="s">
        <v>863</v>
      </c>
      <c r="H139" s="1747" t="s">
        <v>1461</v>
      </c>
      <c r="I139" s="1747" t="s">
        <v>88</v>
      </c>
      <c r="J139" s="1747" t="s">
        <v>236</v>
      </c>
      <c r="K139" s="1761">
        <v>2</v>
      </c>
      <c r="L139" s="1768"/>
      <c r="M139" s="1768"/>
      <c r="N139" s="1768"/>
      <c r="O139" s="1768"/>
      <c r="P139" s="1768"/>
      <c r="Q139" s="1768"/>
      <c r="R139" s="1768"/>
      <c r="S139" s="1768"/>
      <c r="T139" s="1768">
        <v>-3.5</v>
      </c>
      <c r="U139" s="1768">
        <v>-3.5</v>
      </c>
      <c r="V139" s="1768">
        <v>-3.5</v>
      </c>
      <c r="W139" s="1768">
        <v>-3.5</v>
      </c>
      <c r="X139" s="1768">
        <v>-3.5</v>
      </c>
      <c r="Y139" s="1768">
        <v>-3.5</v>
      </c>
      <c r="Z139" s="1768">
        <v>-3.5</v>
      </c>
      <c r="AA139" s="1768"/>
      <c r="AB139" s="1768"/>
      <c r="AC139" s="1768"/>
      <c r="AD139" s="1768"/>
      <c r="AE139" s="1768"/>
      <c r="AF139" s="1768"/>
      <c r="AG139" s="1768"/>
      <c r="AH139" s="1768"/>
      <c r="AI139" s="1768"/>
      <c r="AJ139" s="1768"/>
      <c r="AK139" s="1768"/>
      <c r="AL139" s="1768"/>
      <c r="AM139" s="1768"/>
      <c r="AN139" s="1768"/>
      <c r="AO139" s="1768"/>
      <c r="AP139" s="1768"/>
      <c r="AQ139" s="1779"/>
      <c r="AR139" s="1779"/>
      <c r="AS139" s="1779"/>
      <c r="AT139" s="1779"/>
      <c r="AU139" s="1779"/>
      <c r="AV139" s="1779"/>
      <c r="AW139" s="1779"/>
      <c r="AX139" s="1779"/>
      <c r="AY139" s="1779"/>
      <c r="AZ139" s="1779"/>
      <c r="BA139" s="1779"/>
      <c r="BB139" s="1779"/>
      <c r="BC139" s="1779"/>
      <c r="BD139" s="1779"/>
      <c r="BE139" s="1779"/>
      <c r="BF139" s="1779"/>
      <c r="BG139" s="1779"/>
      <c r="BH139" s="1779"/>
      <c r="BI139" s="1779"/>
      <c r="BJ139" s="1779"/>
      <c r="BK139" s="1779"/>
      <c r="BL139" s="1779"/>
      <c r="BM139" s="1779"/>
      <c r="BN139" s="1779"/>
      <c r="BO139" s="1779"/>
      <c r="BP139" s="1780"/>
      <c r="BQ139" s="1789"/>
      <c r="BR139" s="1789"/>
      <c r="BS139" s="1789"/>
      <c r="BT139" s="1789"/>
      <c r="BU139" s="1789"/>
      <c r="BV139" s="1789"/>
      <c r="BW139" s="1789"/>
      <c r="BX139" s="1789"/>
      <c r="BY139" s="1789"/>
      <c r="BZ139" s="1789"/>
      <c r="CA139" s="1789"/>
      <c r="CB139" s="1789"/>
      <c r="CC139" s="1789"/>
      <c r="CD139" s="1789"/>
      <c r="CE139" s="1789"/>
      <c r="CF139" s="1789"/>
      <c r="CG139" s="1789"/>
      <c r="CH139" s="1789"/>
      <c r="CI139" s="1789"/>
      <c r="CJ139" s="1789"/>
      <c r="CK139" s="1789"/>
      <c r="CL139" s="1789"/>
      <c r="CM139" s="1789"/>
      <c r="CN139" s="1790"/>
      <c r="CO139" s="1767"/>
    </row>
    <row r="140" spans="2:93" ht="28.5" x14ac:dyDescent="0.2">
      <c r="B140" s="1707"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140" s="1747" t="s">
        <v>881</v>
      </c>
      <c r="D140" s="1747" t="s">
        <v>880</v>
      </c>
      <c r="E140" s="1707" t="s">
        <v>1472</v>
      </c>
      <c r="F140" s="1747" t="s">
        <v>1473</v>
      </c>
      <c r="G140" s="1747" t="s">
        <v>863</v>
      </c>
      <c r="H140" s="1747" t="s">
        <v>1462</v>
      </c>
      <c r="I140" s="1747" t="s">
        <v>88</v>
      </c>
      <c r="J140" s="1747" t="s">
        <v>236</v>
      </c>
      <c r="K140" s="1761">
        <v>2</v>
      </c>
      <c r="L140" s="1768"/>
      <c r="M140" s="1768"/>
      <c r="N140" s="1768"/>
      <c r="O140" s="1768"/>
      <c r="P140" s="1768"/>
      <c r="Q140" s="1768"/>
      <c r="R140" s="1768"/>
      <c r="S140" s="1768"/>
      <c r="T140" s="1768">
        <v>-3.5</v>
      </c>
      <c r="U140" s="1768">
        <v>-3.5</v>
      </c>
      <c r="V140" s="1768">
        <v>-3.5</v>
      </c>
      <c r="W140" s="1768">
        <v>-3.5</v>
      </c>
      <c r="X140" s="1768">
        <v>-3.5</v>
      </c>
      <c r="Y140" s="1768">
        <v>-3.5</v>
      </c>
      <c r="Z140" s="1768">
        <v>-3.5</v>
      </c>
      <c r="AA140" s="1768"/>
      <c r="AB140" s="1768"/>
      <c r="AC140" s="1768"/>
      <c r="AD140" s="1768"/>
      <c r="AE140" s="1768"/>
      <c r="AF140" s="1768"/>
      <c r="AG140" s="1768"/>
      <c r="AH140" s="1768"/>
      <c r="AI140" s="1768"/>
      <c r="AJ140" s="1768"/>
      <c r="AK140" s="1768"/>
      <c r="AL140" s="1768"/>
      <c r="AM140" s="1768"/>
      <c r="AN140" s="1768"/>
      <c r="AO140" s="1768"/>
      <c r="AP140" s="1768"/>
      <c r="AQ140" s="1779"/>
      <c r="AR140" s="1779"/>
      <c r="AS140" s="1779"/>
      <c r="AT140" s="1779"/>
      <c r="AU140" s="1779"/>
      <c r="AV140" s="1779"/>
      <c r="AW140" s="1779"/>
      <c r="AX140" s="1779"/>
      <c r="AY140" s="1779"/>
      <c r="AZ140" s="1779"/>
      <c r="BA140" s="1779"/>
      <c r="BB140" s="1779"/>
      <c r="BC140" s="1779"/>
      <c r="BD140" s="1779"/>
      <c r="BE140" s="1779"/>
      <c r="BF140" s="1779"/>
      <c r="BG140" s="1779"/>
      <c r="BH140" s="1779"/>
      <c r="BI140" s="1779"/>
      <c r="BJ140" s="1779"/>
      <c r="BK140" s="1779"/>
      <c r="BL140" s="1779"/>
      <c r="BM140" s="1779"/>
      <c r="BN140" s="1779"/>
      <c r="BO140" s="1779"/>
      <c r="BP140" s="1780"/>
      <c r="BQ140" s="1789"/>
      <c r="BR140" s="1789"/>
      <c r="BS140" s="1789"/>
      <c r="BT140" s="1789"/>
      <c r="BU140" s="1789"/>
      <c r="BV140" s="1789"/>
      <c r="BW140" s="1789"/>
      <c r="BX140" s="1789"/>
      <c r="BY140" s="1789"/>
      <c r="BZ140" s="1789"/>
      <c r="CA140" s="1789"/>
      <c r="CB140" s="1789"/>
      <c r="CC140" s="1789"/>
      <c r="CD140" s="1789"/>
      <c r="CE140" s="1789"/>
      <c r="CF140" s="1789"/>
      <c r="CG140" s="1789"/>
      <c r="CH140" s="1789"/>
      <c r="CI140" s="1789"/>
      <c r="CJ140" s="1789"/>
      <c r="CK140" s="1789"/>
      <c r="CL140" s="1789"/>
      <c r="CM140" s="1789"/>
      <c r="CN140" s="1790"/>
      <c r="CO140" s="1767"/>
    </row>
    <row r="141" spans="2:93" ht="28.5" x14ac:dyDescent="0.2">
      <c r="B141" s="1707"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141" s="1747" t="s">
        <v>881</v>
      </c>
      <c r="D141" s="1747" t="s">
        <v>880</v>
      </c>
      <c r="E141" s="1707" t="s">
        <v>1472</v>
      </c>
      <c r="F141" s="1747" t="s">
        <v>1473</v>
      </c>
      <c r="G141" s="1747" t="s">
        <v>863</v>
      </c>
      <c r="H141" s="1747" t="s">
        <v>1459</v>
      </c>
      <c r="I141" s="1747" t="s">
        <v>88</v>
      </c>
      <c r="J141" s="1747" t="s">
        <v>236</v>
      </c>
      <c r="K141" s="1761">
        <v>2</v>
      </c>
      <c r="L141" s="1768"/>
      <c r="M141" s="1768"/>
      <c r="N141" s="1768"/>
      <c r="O141" s="1768"/>
      <c r="P141" s="1768"/>
      <c r="Q141" s="1768"/>
      <c r="R141" s="1768"/>
      <c r="S141" s="1768"/>
      <c r="T141" s="1768">
        <v>-3.5</v>
      </c>
      <c r="U141" s="1768">
        <v>-3.5</v>
      </c>
      <c r="V141" s="1768">
        <v>-3.5</v>
      </c>
      <c r="W141" s="1768">
        <v>-3.5</v>
      </c>
      <c r="X141" s="1768">
        <v>-3.5</v>
      </c>
      <c r="Y141" s="1768">
        <v>-3.5</v>
      </c>
      <c r="Z141" s="1768">
        <v>-3.5</v>
      </c>
      <c r="AA141" s="1768"/>
      <c r="AB141" s="1768"/>
      <c r="AC141" s="1768"/>
      <c r="AD141" s="1768"/>
      <c r="AE141" s="1768"/>
      <c r="AF141" s="1768"/>
      <c r="AG141" s="1768"/>
      <c r="AH141" s="1768"/>
      <c r="AI141" s="1768"/>
      <c r="AJ141" s="1768"/>
      <c r="AK141" s="1768"/>
      <c r="AL141" s="1768"/>
      <c r="AM141" s="1768"/>
      <c r="AN141" s="1768"/>
      <c r="AO141" s="1768"/>
      <c r="AP141" s="1768"/>
      <c r="AQ141" s="1779"/>
      <c r="AR141" s="1779"/>
      <c r="AS141" s="1779"/>
      <c r="AT141" s="1779"/>
      <c r="AU141" s="1779"/>
      <c r="AV141" s="1779"/>
      <c r="AW141" s="1779"/>
      <c r="AX141" s="1779"/>
      <c r="AY141" s="1779"/>
      <c r="AZ141" s="1779"/>
      <c r="BA141" s="1779"/>
      <c r="BB141" s="1779"/>
      <c r="BC141" s="1779"/>
      <c r="BD141" s="1779"/>
      <c r="BE141" s="1779"/>
      <c r="BF141" s="1779"/>
      <c r="BG141" s="1779"/>
      <c r="BH141" s="1779"/>
      <c r="BI141" s="1779"/>
      <c r="BJ141" s="1779"/>
      <c r="BK141" s="1779"/>
      <c r="BL141" s="1779"/>
      <c r="BM141" s="1779"/>
      <c r="BN141" s="1779"/>
      <c r="BO141" s="1779"/>
      <c r="BP141" s="1780"/>
      <c r="BQ141" s="1789"/>
      <c r="BR141" s="1789"/>
      <c r="BS141" s="1789"/>
      <c r="BT141" s="1789"/>
      <c r="BU141" s="1789"/>
      <c r="BV141" s="1789"/>
      <c r="BW141" s="1789"/>
      <c r="BX141" s="1789"/>
      <c r="BY141" s="1789"/>
      <c r="BZ141" s="1789"/>
      <c r="CA141" s="1789"/>
      <c r="CB141" s="1789"/>
      <c r="CC141" s="1789"/>
      <c r="CD141" s="1789"/>
      <c r="CE141" s="1789"/>
      <c r="CF141" s="1789"/>
      <c r="CG141" s="1789"/>
      <c r="CH141" s="1789"/>
      <c r="CI141" s="1789"/>
      <c r="CJ141" s="1789"/>
      <c r="CK141" s="1789"/>
      <c r="CL141" s="1789"/>
      <c r="CM141" s="1789"/>
      <c r="CN141" s="1790"/>
      <c r="CO141" s="1767"/>
    </row>
    <row r="142" spans="2:93" ht="28.5" x14ac:dyDescent="0.2">
      <c r="B142" s="1707"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142" s="1747" t="s">
        <v>881</v>
      </c>
      <c r="D142" s="1747" t="s">
        <v>880</v>
      </c>
      <c r="E142" s="1707" t="s">
        <v>1472</v>
      </c>
      <c r="F142" s="1747" t="s">
        <v>1473</v>
      </c>
      <c r="G142" s="1747" t="s">
        <v>863</v>
      </c>
      <c r="H142" s="1747" t="s">
        <v>1458</v>
      </c>
      <c r="I142" s="1747" t="s">
        <v>88</v>
      </c>
      <c r="J142" s="1747" t="s">
        <v>236</v>
      </c>
      <c r="K142" s="1761">
        <v>2</v>
      </c>
      <c r="L142" s="1768"/>
      <c r="M142" s="1768"/>
      <c r="N142" s="1768"/>
      <c r="O142" s="1768"/>
      <c r="P142" s="1768"/>
      <c r="Q142" s="1768"/>
      <c r="R142" s="1768"/>
      <c r="S142" s="1768"/>
      <c r="T142" s="1768">
        <v>-3.5</v>
      </c>
      <c r="U142" s="1768">
        <v>-3.5</v>
      </c>
      <c r="V142" s="1768">
        <v>-3.5</v>
      </c>
      <c r="W142" s="1768">
        <v>-3.5</v>
      </c>
      <c r="X142" s="1768">
        <v>-3.5</v>
      </c>
      <c r="Y142" s="1768">
        <v>-3.5</v>
      </c>
      <c r="Z142" s="1768">
        <v>-3.5</v>
      </c>
      <c r="AA142" s="1768"/>
      <c r="AB142" s="1768"/>
      <c r="AC142" s="1768"/>
      <c r="AD142" s="1768"/>
      <c r="AE142" s="1768"/>
      <c r="AF142" s="1768"/>
      <c r="AG142" s="1768"/>
      <c r="AH142" s="1768"/>
      <c r="AI142" s="1768"/>
      <c r="AJ142" s="1768"/>
      <c r="AK142" s="1768"/>
      <c r="AL142" s="1768"/>
      <c r="AM142" s="1768"/>
      <c r="AN142" s="1768"/>
      <c r="AO142" s="1768"/>
      <c r="AP142" s="1768"/>
      <c r="AQ142" s="1779"/>
      <c r="AR142" s="1779"/>
      <c r="AS142" s="1779"/>
      <c r="AT142" s="1779"/>
      <c r="AU142" s="1779"/>
      <c r="AV142" s="1779"/>
      <c r="AW142" s="1779"/>
      <c r="AX142" s="1779"/>
      <c r="AY142" s="1779"/>
      <c r="AZ142" s="1779"/>
      <c r="BA142" s="1779"/>
      <c r="BB142" s="1779"/>
      <c r="BC142" s="1779"/>
      <c r="BD142" s="1779"/>
      <c r="BE142" s="1779"/>
      <c r="BF142" s="1779"/>
      <c r="BG142" s="1779"/>
      <c r="BH142" s="1779"/>
      <c r="BI142" s="1779"/>
      <c r="BJ142" s="1779"/>
      <c r="BK142" s="1779"/>
      <c r="BL142" s="1779"/>
      <c r="BM142" s="1779"/>
      <c r="BN142" s="1779"/>
      <c r="BO142" s="1779"/>
      <c r="BP142" s="1780"/>
      <c r="BQ142" s="1789"/>
      <c r="BR142" s="1789"/>
      <c r="BS142" s="1789"/>
      <c r="BT142" s="1789"/>
      <c r="BU142" s="1789"/>
      <c r="BV142" s="1789"/>
      <c r="BW142" s="1789"/>
      <c r="BX142" s="1789"/>
      <c r="BY142" s="1789"/>
      <c r="BZ142" s="1789"/>
      <c r="CA142" s="1789"/>
      <c r="CB142" s="1789"/>
      <c r="CC142" s="1789"/>
      <c r="CD142" s="1789"/>
      <c r="CE142" s="1789"/>
      <c r="CF142" s="1789"/>
      <c r="CG142" s="1789"/>
      <c r="CH142" s="1789"/>
      <c r="CI142" s="1789"/>
      <c r="CJ142" s="1789"/>
      <c r="CK142" s="1789"/>
      <c r="CL142" s="1789"/>
      <c r="CM142" s="1789"/>
      <c r="CN142" s="1790"/>
      <c r="CO142" s="1767"/>
    </row>
    <row r="143" spans="2:93" ht="28.5" x14ac:dyDescent="0.2">
      <c r="B143" s="1707"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143" s="1747" t="s">
        <v>881</v>
      </c>
      <c r="D143" s="1747" t="s">
        <v>880</v>
      </c>
      <c r="E143" s="1707" t="s">
        <v>1472</v>
      </c>
      <c r="F143" s="1747" t="s">
        <v>1473</v>
      </c>
      <c r="G143" s="1747" t="s">
        <v>863</v>
      </c>
      <c r="H143" s="1747" t="s">
        <v>1457</v>
      </c>
      <c r="I143" s="1747" t="s">
        <v>88</v>
      </c>
      <c r="J143" s="1747" t="s">
        <v>236</v>
      </c>
      <c r="K143" s="1761">
        <v>2</v>
      </c>
      <c r="L143" s="1768"/>
      <c r="M143" s="1768"/>
      <c r="N143" s="1768"/>
      <c r="O143" s="1768"/>
      <c r="P143" s="1768"/>
      <c r="Q143" s="1768"/>
      <c r="R143" s="1768"/>
      <c r="S143" s="1768"/>
      <c r="T143" s="1768">
        <v>-3.5</v>
      </c>
      <c r="U143" s="1768">
        <v>-3.5</v>
      </c>
      <c r="V143" s="1768">
        <v>-3.5</v>
      </c>
      <c r="W143" s="1768">
        <v>-3.5</v>
      </c>
      <c r="X143" s="1768">
        <v>-3.5</v>
      </c>
      <c r="Y143" s="1768">
        <v>-3.5</v>
      </c>
      <c r="Z143" s="1768">
        <v>-3.5</v>
      </c>
      <c r="AA143" s="1768"/>
      <c r="AB143" s="1768"/>
      <c r="AC143" s="1768"/>
      <c r="AD143" s="1768"/>
      <c r="AE143" s="1768"/>
      <c r="AF143" s="1768"/>
      <c r="AG143" s="1768"/>
      <c r="AH143" s="1768"/>
      <c r="AI143" s="1768"/>
      <c r="AJ143" s="1768"/>
      <c r="AK143" s="1768"/>
      <c r="AL143" s="1768"/>
      <c r="AM143" s="1768"/>
      <c r="AN143" s="1768"/>
      <c r="AO143" s="1768"/>
      <c r="AP143" s="1768"/>
      <c r="AQ143" s="1779"/>
      <c r="AR143" s="1779"/>
      <c r="AS143" s="1779"/>
      <c r="AT143" s="1779"/>
      <c r="AU143" s="1779"/>
      <c r="AV143" s="1779"/>
      <c r="AW143" s="1779"/>
      <c r="AX143" s="1779"/>
      <c r="AY143" s="1779"/>
      <c r="AZ143" s="1779"/>
      <c r="BA143" s="1779"/>
      <c r="BB143" s="1779"/>
      <c r="BC143" s="1779"/>
      <c r="BD143" s="1779"/>
      <c r="BE143" s="1779"/>
      <c r="BF143" s="1779"/>
      <c r="BG143" s="1779"/>
      <c r="BH143" s="1779"/>
      <c r="BI143" s="1779"/>
      <c r="BJ143" s="1779"/>
      <c r="BK143" s="1779"/>
      <c r="BL143" s="1779"/>
      <c r="BM143" s="1779"/>
      <c r="BN143" s="1779"/>
      <c r="BO143" s="1779"/>
      <c r="BP143" s="1780"/>
      <c r="BQ143" s="1789"/>
      <c r="BR143" s="1789"/>
      <c r="BS143" s="1789"/>
      <c r="BT143" s="1789"/>
      <c r="BU143" s="1789"/>
      <c r="BV143" s="1789"/>
      <c r="BW143" s="1789"/>
      <c r="BX143" s="1789"/>
      <c r="BY143" s="1789"/>
      <c r="BZ143" s="1789"/>
      <c r="CA143" s="1789"/>
      <c r="CB143" s="1789"/>
      <c r="CC143" s="1789"/>
      <c r="CD143" s="1789"/>
      <c r="CE143" s="1789"/>
      <c r="CF143" s="1789"/>
      <c r="CG143" s="1789"/>
      <c r="CH143" s="1789"/>
      <c r="CI143" s="1789"/>
      <c r="CJ143" s="1789"/>
      <c r="CK143" s="1789"/>
      <c r="CL143" s="1789"/>
      <c r="CM143" s="1789"/>
      <c r="CN143" s="1790"/>
      <c r="CO143" s="1767"/>
    </row>
    <row r="144" spans="2:93" ht="28.5" x14ac:dyDescent="0.2">
      <c r="B144" s="1707"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52aA</v>
      </c>
      <c r="C144" s="1747" t="s">
        <v>881</v>
      </c>
      <c r="D144" s="1747" t="s">
        <v>880</v>
      </c>
      <c r="E144" s="1707" t="s">
        <v>1472</v>
      </c>
      <c r="F144" s="1747" t="s">
        <v>1473</v>
      </c>
      <c r="G144" s="1747" t="s">
        <v>863</v>
      </c>
      <c r="H144" s="1747" t="s">
        <v>1456</v>
      </c>
      <c r="I144" s="1747" t="s">
        <v>88</v>
      </c>
      <c r="J144" s="1747" t="s">
        <v>236</v>
      </c>
      <c r="K144" s="1761">
        <v>2</v>
      </c>
      <c r="L144" s="1768"/>
      <c r="M144" s="1768"/>
      <c r="N144" s="1768"/>
      <c r="O144" s="1768"/>
      <c r="P144" s="1768"/>
      <c r="Q144" s="1768"/>
      <c r="R144" s="1768"/>
      <c r="S144" s="1768"/>
      <c r="T144" s="1768">
        <v>-3.5</v>
      </c>
      <c r="U144" s="1768">
        <v>-3.5</v>
      </c>
      <c r="V144" s="1768">
        <v>-3.5</v>
      </c>
      <c r="W144" s="1768">
        <v>-3.5</v>
      </c>
      <c r="X144" s="1768">
        <v>-3.5</v>
      </c>
      <c r="Y144" s="1768">
        <v>-3.5</v>
      </c>
      <c r="Z144" s="1768">
        <v>-3.5</v>
      </c>
      <c r="AA144" s="1768"/>
      <c r="AB144" s="1768"/>
      <c r="AC144" s="1768"/>
      <c r="AD144" s="1768"/>
      <c r="AE144" s="1768"/>
      <c r="AF144" s="1768"/>
      <c r="AG144" s="1768"/>
      <c r="AH144" s="1768"/>
      <c r="AI144" s="1768"/>
      <c r="AJ144" s="1768"/>
      <c r="AK144" s="1768"/>
      <c r="AL144" s="1768"/>
      <c r="AM144" s="1768"/>
      <c r="AN144" s="1768"/>
      <c r="AO144" s="1768"/>
      <c r="AP144" s="1768"/>
      <c r="AQ144" s="1779"/>
      <c r="AR144" s="1779"/>
      <c r="AS144" s="1779"/>
      <c r="AT144" s="1779"/>
      <c r="AU144" s="1779"/>
      <c r="AV144" s="1779"/>
      <c r="AW144" s="1779"/>
      <c r="AX144" s="1779"/>
      <c r="AY144" s="1779"/>
      <c r="AZ144" s="1779"/>
      <c r="BA144" s="1779"/>
      <c r="BB144" s="1779"/>
      <c r="BC144" s="1779"/>
      <c r="BD144" s="1779"/>
      <c r="BE144" s="1779"/>
      <c r="BF144" s="1779"/>
      <c r="BG144" s="1779"/>
      <c r="BH144" s="1779"/>
      <c r="BI144" s="1779"/>
      <c r="BJ144" s="1779"/>
      <c r="BK144" s="1779"/>
      <c r="BL144" s="1779"/>
      <c r="BM144" s="1779"/>
      <c r="BN144" s="1779"/>
      <c r="BO144" s="1779"/>
      <c r="BP144" s="1780"/>
      <c r="BQ144" s="1789"/>
      <c r="BR144" s="1789"/>
      <c r="BS144" s="1789"/>
      <c r="BT144" s="1789"/>
      <c r="BU144" s="1789"/>
      <c r="BV144" s="1789"/>
      <c r="BW144" s="1789"/>
      <c r="BX144" s="1789"/>
      <c r="BY144" s="1789"/>
      <c r="BZ144" s="1789"/>
      <c r="CA144" s="1789"/>
      <c r="CB144" s="1789"/>
      <c r="CC144" s="1789"/>
      <c r="CD144" s="1789"/>
      <c r="CE144" s="1789"/>
      <c r="CF144" s="1789"/>
      <c r="CG144" s="1789"/>
      <c r="CH144" s="1789"/>
      <c r="CI144" s="1789"/>
      <c r="CJ144" s="1789"/>
      <c r="CK144" s="1789"/>
      <c r="CL144" s="1789"/>
      <c r="CM144" s="1789"/>
      <c r="CN144" s="1790"/>
      <c r="CO144" s="1767"/>
    </row>
    <row r="145" spans="2:93" x14ac:dyDescent="0.2">
      <c r="B145" s="1763"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52dP</v>
      </c>
      <c r="C145" s="1762" t="s">
        <v>1052</v>
      </c>
      <c r="D145" s="1763" t="s">
        <v>1051</v>
      </c>
      <c r="E145" s="1763" t="s">
        <v>1052</v>
      </c>
      <c r="F145" s="1763" t="s">
        <v>1470</v>
      </c>
      <c r="G145" s="1763" t="s">
        <v>863</v>
      </c>
      <c r="H145" s="1763" t="s">
        <v>876</v>
      </c>
      <c r="I145" s="1763" t="s">
        <v>88</v>
      </c>
      <c r="J145" s="1763" t="s">
        <v>236</v>
      </c>
      <c r="K145" s="1764">
        <v>2</v>
      </c>
      <c r="L145" s="1753"/>
      <c r="M145" s="1753"/>
      <c r="N145" s="1753">
        <v>16</v>
      </c>
      <c r="O145" s="1753">
        <v>16</v>
      </c>
      <c r="P145" s="1753">
        <v>16</v>
      </c>
      <c r="Q145" s="1753">
        <v>16</v>
      </c>
      <c r="R145" s="1753">
        <v>16</v>
      </c>
      <c r="S145" s="1753">
        <v>16</v>
      </c>
      <c r="T145" s="1753">
        <v>16</v>
      </c>
      <c r="U145" s="1753">
        <v>16</v>
      </c>
      <c r="V145" s="1753">
        <v>16</v>
      </c>
      <c r="W145" s="1753">
        <v>16</v>
      </c>
      <c r="X145" s="1753">
        <v>16</v>
      </c>
      <c r="Y145" s="1753">
        <v>16</v>
      </c>
      <c r="Z145" s="1753">
        <v>16</v>
      </c>
      <c r="AA145" s="1753">
        <v>16</v>
      </c>
      <c r="AB145" s="1753">
        <v>16</v>
      </c>
      <c r="AC145" s="1753">
        <v>16</v>
      </c>
      <c r="AD145" s="1753">
        <v>16</v>
      </c>
      <c r="AE145" s="1753">
        <v>16</v>
      </c>
      <c r="AF145" s="1753">
        <v>16</v>
      </c>
      <c r="AG145" s="1753">
        <v>16</v>
      </c>
      <c r="AH145" s="1753">
        <v>16</v>
      </c>
      <c r="AI145" s="1753">
        <v>16</v>
      </c>
      <c r="AJ145" s="1753">
        <v>16</v>
      </c>
      <c r="AK145" s="1753">
        <v>16</v>
      </c>
      <c r="AL145" s="1753">
        <v>16</v>
      </c>
      <c r="AM145" s="1753">
        <v>16</v>
      </c>
      <c r="AN145" s="1753">
        <v>16</v>
      </c>
      <c r="AO145" s="1753">
        <v>16</v>
      </c>
      <c r="AP145" s="1753">
        <v>16</v>
      </c>
      <c r="AQ145" s="1779"/>
      <c r="AR145" s="1779"/>
      <c r="AS145" s="1779"/>
      <c r="AT145" s="1779"/>
      <c r="AU145" s="1779"/>
      <c r="AV145" s="1779"/>
      <c r="AW145" s="1779"/>
      <c r="AX145" s="1779"/>
      <c r="AY145" s="1779"/>
      <c r="AZ145" s="1779"/>
      <c r="BA145" s="1779"/>
      <c r="BB145" s="1779"/>
      <c r="BC145" s="1779"/>
      <c r="BD145" s="1779"/>
      <c r="BE145" s="1779"/>
      <c r="BF145" s="1779"/>
      <c r="BG145" s="1779"/>
      <c r="BH145" s="1779"/>
      <c r="BI145" s="1779"/>
      <c r="BJ145" s="1779"/>
      <c r="BK145" s="1779"/>
      <c r="BL145" s="1779"/>
      <c r="BM145" s="1779"/>
      <c r="BN145" s="1779"/>
      <c r="BO145" s="1779"/>
      <c r="BP145" s="1780"/>
      <c r="BQ145" s="1789"/>
      <c r="BR145" s="1789"/>
      <c r="BS145" s="1789"/>
      <c r="BT145" s="1789"/>
      <c r="BU145" s="1789"/>
      <c r="BV145" s="1789"/>
      <c r="BW145" s="1789"/>
      <c r="BX145" s="1789"/>
      <c r="BY145" s="1789"/>
      <c r="BZ145" s="1789"/>
      <c r="CA145" s="1789"/>
      <c r="CB145" s="1789"/>
      <c r="CC145" s="1789"/>
      <c r="CD145" s="1789"/>
      <c r="CE145" s="1789"/>
      <c r="CF145" s="1789"/>
      <c r="CG145" s="1789"/>
      <c r="CH145" s="1789"/>
      <c r="CI145" s="1789"/>
      <c r="CJ145" s="1789"/>
      <c r="CK145" s="1789"/>
      <c r="CL145" s="1789"/>
      <c r="CM145" s="1789"/>
      <c r="CN145" s="1790"/>
      <c r="CO145" s="1757"/>
    </row>
    <row r="146" spans="2:93" x14ac:dyDescent="0.2">
      <c r="B146" s="1747"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52dP</v>
      </c>
      <c r="C146" s="1707" t="s">
        <v>1052</v>
      </c>
      <c r="D146" s="1747" t="s">
        <v>1051</v>
      </c>
      <c r="E146" s="1747" t="s">
        <v>1052</v>
      </c>
      <c r="F146" s="1747" t="s">
        <v>1470</v>
      </c>
      <c r="G146" s="1747" t="s">
        <v>863</v>
      </c>
      <c r="H146" s="1747" t="s">
        <v>876</v>
      </c>
      <c r="I146" s="1747" t="s">
        <v>93</v>
      </c>
      <c r="J146" s="1747" t="s">
        <v>236</v>
      </c>
      <c r="K146" s="1760">
        <v>2</v>
      </c>
      <c r="L146" s="1768"/>
      <c r="M146" s="1768"/>
      <c r="N146" s="1768">
        <v>0.56196775129138377</v>
      </c>
      <c r="O146" s="1768">
        <v>0.56098551561311139</v>
      </c>
      <c r="P146" s="1768">
        <v>0.54042307966133263</v>
      </c>
      <c r="Q146" s="1768">
        <v>0.53105987093583762</v>
      </c>
      <c r="R146" s="1768">
        <v>0.51870798545913988</v>
      </c>
      <c r="S146" s="1768">
        <v>0.51531734399295592</v>
      </c>
      <c r="T146" s="1768">
        <v>0.51221897509395931</v>
      </c>
      <c r="U146" s="1768">
        <v>0.50317508689781199</v>
      </c>
      <c r="V146" s="1768">
        <v>0.47917946755533014</v>
      </c>
      <c r="W146" s="1768">
        <v>0.45092093322196958</v>
      </c>
      <c r="X146" s="1768">
        <v>0.43694180327222432</v>
      </c>
      <c r="Y146" s="1768">
        <v>0.43107348409504465</v>
      </c>
      <c r="Z146" s="1768">
        <v>0.42393881556024793</v>
      </c>
      <c r="AA146" s="1768">
        <v>0.41695742174332828</v>
      </c>
      <c r="AB146" s="1768">
        <v>0.41503255168982134</v>
      </c>
      <c r="AC146" s="1768">
        <v>0.41321612621159592</v>
      </c>
      <c r="AD146" s="1768">
        <v>0.41153776052418334</v>
      </c>
      <c r="AE146" s="1768">
        <v>0.41001716434713187</v>
      </c>
      <c r="AF146" s="1768">
        <v>0.40826817933328524</v>
      </c>
      <c r="AG146" s="1768">
        <v>0.4058587102116038</v>
      </c>
      <c r="AH146" s="1768">
        <v>0.40406182218465514</v>
      </c>
      <c r="AI146" s="1768">
        <v>0.40245910342680841</v>
      </c>
      <c r="AJ146" s="1768">
        <v>0.4025341842479559</v>
      </c>
      <c r="AK146" s="1768">
        <v>0.40266357289062238</v>
      </c>
      <c r="AL146" s="1768">
        <v>0.40279248094243914</v>
      </c>
      <c r="AM146" s="1768">
        <v>0.40304587489311217</v>
      </c>
      <c r="AN146" s="1768">
        <v>0.40331684387406824</v>
      </c>
      <c r="AO146" s="1768">
        <v>0.403668082641368</v>
      </c>
      <c r="AP146" s="1768">
        <v>0.4039941938470572</v>
      </c>
      <c r="AQ146" s="1779"/>
      <c r="AR146" s="1779"/>
      <c r="AS146" s="1779"/>
      <c r="AT146" s="1779"/>
      <c r="AU146" s="1779"/>
      <c r="AV146" s="1779"/>
      <c r="AW146" s="1779"/>
      <c r="AX146" s="1779"/>
      <c r="AY146" s="1779"/>
      <c r="AZ146" s="1779"/>
      <c r="BA146" s="1779"/>
      <c r="BB146" s="1779"/>
      <c r="BC146" s="1779"/>
      <c r="BD146" s="1779"/>
      <c r="BE146" s="1779"/>
      <c r="BF146" s="1779"/>
      <c r="BG146" s="1779"/>
      <c r="BH146" s="1779"/>
      <c r="BI146" s="1779"/>
      <c r="BJ146" s="1779"/>
      <c r="BK146" s="1779"/>
      <c r="BL146" s="1779"/>
      <c r="BM146" s="1779"/>
      <c r="BN146" s="1779"/>
      <c r="BO146" s="1779"/>
      <c r="BP146" s="1780"/>
      <c r="BQ146" s="1776"/>
      <c r="BR146" s="1776"/>
      <c r="BS146" s="1776"/>
      <c r="BT146" s="1776"/>
      <c r="BU146" s="1776"/>
      <c r="BV146" s="1776"/>
      <c r="BW146" s="1776"/>
      <c r="BX146" s="1776"/>
      <c r="BY146" s="1776"/>
      <c r="BZ146" s="1776"/>
      <c r="CA146" s="1776"/>
      <c r="CB146" s="1776"/>
      <c r="CC146" s="1776"/>
      <c r="CD146" s="1776"/>
      <c r="CE146" s="1776"/>
      <c r="CF146" s="1776"/>
      <c r="CG146" s="1776"/>
      <c r="CH146" s="1776"/>
      <c r="CI146" s="1776"/>
      <c r="CJ146" s="1776"/>
      <c r="CK146" s="1776"/>
      <c r="CL146" s="1776"/>
      <c r="CM146" s="1776"/>
      <c r="CN146" s="1777"/>
      <c r="CO146" s="1767"/>
    </row>
    <row r="147" spans="2:93" x14ac:dyDescent="0.2">
      <c r="B147" s="1747"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52dP</v>
      </c>
      <c r="C147" s="1707" t="s">
        <v>1052</v>
      </c>
      <c r="D147" s="1747" t="s">
        <v>1051</v>
      </c>
      <c r="E147" s="1747" t="s">
        <v>1052</v>
      </c>
      <c r="F147" s="1747" t="s">
        <v>1470</v>
      </c>
      <c r="G147" s="1747" t="s">
        <v>863</v>
      </c>
      <c r="H147" s="1747" t="s">
        <v>876</v>
      </c>
      <c r="I147" s="1747" t="s">
        <v>102</v>
      </c>
      <c r="J147" s="1747" t="s">
        <v>236</v>
      </c>
      <c r="K147" s="1760">
        <v>2</v>
      </c>
      <c r="L147" s="1768"/>
      <c r="M147" s="1768"/>
      <c r="N147" s="1768">
        <v>0.43328262222033609</v>
      </c>
      <c r="O147" s="1768">
        <v>0.43938299452265295</v>
      </c>
      <c r="P147" s="1768">
        <v>0.4302387972878946</v>
      </c>
      <c r="Q147" s="1768">
        <v>0.41098302982203827</v>
      </c>
      <c r="R147" s="1768">
        <v>0.38028984793346549</v>
      </c>
      <c r="S147" s="1768">
        <v>0.3602416007237168</v>
      </c>
      <c r="T147" s="1768">
        <v>0.36984452497855302</v>
      </c>
      <c r="U147" s="1768">
        <v>0.37021996484493647</v>
      </c>
      <c r="V147" s="1768">
        <v>0.36916493378332049</v>
      </c>
      <c r="W147" s="1768">
        <v>0.36791952990139337</v>
      </c>
      <c r="X147" s="1768">
        <v>0.36626166457699899</v>
      </c>
      <c r="Y147" s="1768">
        <v>0.36429244627103752</v>
      </c>
      <c r="Z147" s="1768">
        <v>0.36128564068149494</v>
      </c>
      <c r="AA147" s="1768">
        <v>0.35836749267741241</v>
      </c>
      <c r="AB147" s="1768">
        <v>0.35572005104500182</v>
      </c>
      <c r="AC147" s="1768">
        <v>0.35310843555069449</v>
      </c>
      <c r="AD147" s="1768">
        <v>0.35055501916810961</v>
      </c>
      <c r="AE147" s="1768">
        <v>0.34805688134554302</v>
      </c>
      <c r="AF147" s="1768">
        <v>0.34533086366841814</v>
      </c>
      <c r="AG147" s="1768">
        <v>0.34225252569032449</v>
      </c>
      <c r="AH147" s="1768">
        <v>0.3394897442434982</v>
      </c>
      <c r="AI147" s="1768">
        <v>0.33691168224217283</v>
      </c>
      <c r="AJ147" s="1768">
        <v>0.33567792609046093</v>
      </c>
      <c r="AK147" s="1768">
        <v>0.33676593441807057</v>
      </c>
      <c r="AL147" s="1768">
        <v>0.33779731916037981</v>
      </c>
      <c r="AM147" s="1768">
        <v>0.33891187196066619</v>
      </c>
      <c r="AN147" s="1768">
        <v>0.34007948941540311</v>
      </c>
      <c r="AO147" s="1768">
        <v>0.34134278156848397</v>
      </c>
      <c r="AP147" s="1768">
        <v>0.34260849803452265</v>
      </c>
      <c r="AQ147" s="1779"/>
      <c r="AR147" s="1779"/>
      <c r="AS147" s="1779"/>
      <c r="AT147" s="1779"/>
      <c r="AU147" s="1779"/>
      <c r="AV147" s="1779"/>
      <c r="AW147" s="1779"/>
      <c r="AX147" s="1779"/>
      <c r="AY147" s="1779"/>
      <c r="AZ147" s="1779"/>
      <c r="BA147" s="1779"/>
      <c r="BB147" s="1779"/>
      <c r="BC147" s="1779"/>
      <c r="BD147" s="1779"/>
      <c r="BE147" s="1779"/>
      <c r="BF147" s="1779"/>
      <c r="BG147" s="1779"/>
      <c r="BH147" s="1779"/>
      <c r="BI147" s="1779"/>
      <c r="BJ147" s="1779"/>
      <c r="BK147" s="1779"/>
      <c r="BL147" s="1779"/>
      <c r="BM147" s="1779"/>
      <c r="BN147" s="1779"/>
      <c r="BO147" s="1779"/>
      <c r="BP147" s="1780"/>
      <c r="BQ147" s="1776"/>
      <c r="BR147" s="1776"/>
      <c r="BS147" s="1776"/>
      <c r="BT147" s="1776"/>
      <c r="BU147" s="1776"/>
      <c r="BV147" s="1776"/>
      <c r="BW147" s="1776"/>
      <c r="BX147" s="1776"/>
      <c r="BY147" s="1776"/>
      <c r="BZ147" s="1776"/>
      <c r="CA147" s="1776"/>
      <c r="CB147" s="1776"/>
      <c r="CC147" s="1776"/>
      <c r="CD147" s="1776"/>
      <c r="CE147" s="1776"/>
      <c r="CF147" s="1776"/>
      <c r="CG147" s="1776"/>
      <c r="CH147" s="1776"/>
      <c r="CI147" s="1776"/>
      <c r="CJ147" s="1776"/>
      <c r="CK147" s="1776"/>
      <c r="CL147" s="1776"/>
      <c r="CM147" s="1776"/>
      <c r="CN147" s="1777"/>
      <c r="CO147" s="1767"/>
    </row>
    <row r="148" spans="2:93" x14ac:dyDescent="0.2">
      <c r="B148" s="1747"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52dP</v>
      </c>
      <c r="C148" s="1707" t="s">
        <v>1052</v>
      </c>
      <c r="D148" s="1747" t="s">
        <v>1051</v>
      </c>
      <c r="E148" s="1747" t="s">
        <v>1052</v>
      </c>
      <c r="F148" s="1747" t="s">
        <v>1470</v>
      </c>
      <c r="G148" s="1747" t="s">
        <v>863</v>
      </c>
      <c r="H148" s="1747" t="s">
        <v>876</v>
      </c>
      <c r="I148" s="1747" t="s">
        <v>105</v>
      </c>
      <c r="J148" s="1747" t="s">
        <v>236</v>
      </c>
      <c r="K148" s="1760">
        <v>2</v>
      </c>
      <c r="L148" s="1768"/>
      <c r="M148" s="1768"/>
      <c r="N148" s="1768">
        <v>3.5004794165974826</v>
      </c>
      <c r="O148" s="1768">
        <v>3.3744633255132452</v>
      </c>
      <c r="P148" s="1768">
        <v>3.3591867269437676</v>
      </c>
      <c r="Q148" s="1768">
        <v>3.3113465388984613</v>
      </c>
      <c r="R148" s="1768">
        <v>3.2076174313820611</v>
      </c>
      <c r="S148" s="1768">
        <v>3.0982878673412513</v>
      </c>
      <c r="T148" s="1768">
        <v>2.9060452248363138</v>
      </c>
      <c r="U148" s="1768">
        <v>2.7169128111381964</v>
      </c>
      <c r="V148" s="1768">
        <v>2.5889010084849353</v>
      </c>
      <c r="W148" s="1768">
        <v>2.5426640037345707</v>
      </c>
      <c r="X148" s="1768">
        <v>2.5266852694960997</v>
      </c>
      <c r="Y148" s="1768">
        <v>2.4997307998018758</v>
      </c>
      <c r="Z148" s="1768">
        <v>2.4665565529203413</v>
      </c>
      <c r="AA148" s="1768">
        <v>2.4455900570498299</v>
      </c>
      <c r="AB148" s="1768">
        <v>2.43003822040831</v>
      </c>
      <c r="AC148" s="1768">
        <v>2.4149271666858496</v>
      </c>
      <c r="AD148" s="1768">
        <v>2.4000004671999156</v>
      </c>
      <c r="AE148" s="1768">
        <v>2.3863347718917205</v>
      </c>
      <c r="AF148" s="1768">
        <v>2.3733827739153268</v>
      </c>
      <c r="AG148" s="1768">
        <v>2.3579961506711662</v>
      </c>
      <c r="AH148" s="1768">
        <v>2.3452100900489183</v>
      </c>
      <c r="AI148" s="1768">
        <v>2.3335793724165148</v>
      </c>
      <c r="AJ148" s="1768">
        <v>2.3319248771344796</v>
      </c>
      <c r="AK148" s="1768">
        <v>2.3303187671984498</v>
      </c>
      <c r="AL148" s="1768">
        <v>2.3285654809685266</v>
      </c>
      <c r="AM148" s="1768">
        <v>2.3273719089165255</v>
      </c>
      <c r="AN148" s="1768">
        <v>2.3260076961937726</v>
      </c>
      <c r="AO148" s="1768">
        <v>2.3248168921623487</v>
      </c>
      <c r="AP148" s="1768">
        <v>2.3230814996449083</v>
      </c>
      <c r="AQ148" s="1779"/>
      <c r="AR148" s="1779"/>
      <c r="AS148" s="1779"/>
      <c r="AT148" s="1779"/>
      <c r="AU148" s="1779"/>
      <c r="AV148" s="1779"/>
      <c r="AW148" s="1779"/>
      <c r="AX148" s="1779"/>
      <c r="AY148" s="1779"/>
      <c r="AZ148" s="1779"/>
      <c r="BA148" s="1779"/>
      <c r="BB148" s="1779"/>
      <c r="BC148" s="1779"/>
      <c r="BD148" s="1779"/>
      <c r="BE148" s="1779"/>
      <c r="BF148" s="1779"/>
      <c r="BG148" s="1779"/>
      <c r="BH148" s="1779"/>
      <c r="BI148" s="1779"/>
      <c r="BJ148" s="1779"/>
      <c r="BK148" s="1779"/>
      <c r="BL148" s="1779"/>
      <c r="BM148" s="1779"/>
      <c r="BN148" s="1779"/>
      <c r="BO148" s="1779"/>
      <c r="BP148" s="1780"/>
      <c r="BQ148" s="1776"/>
      <c r="BR148" s="1776"/>
      <c r="BS148" s="1776"/>
      <c r="BT148" s="1776"/>
      <c r="BU148" s="1776"/>
      <c r="BV148" s="1776"/>
      <c r="BW148" s="1776"/>
      <c r="BX148" s="1776"/>
      <c r="BY148" s="1776"/>
      <c r="BZ148" s="1776"/>
      <c r="CA148" s="1776"/>
      <c r="CB148" s="1776"/>
      <c r="CC148" s="1776"/>
      <c r="CD148" s="1776"/>
      <c r="CE148" s="1776"/>
      <c r="CF148" s="1776"/>
      <c r="CG148" s="1776"/>
      <c r="CH148" s="1776"/>
      <c r="CI148" s="1776"/>
      <c r="CJ148" s="1776"/>
      <c r="CK148" s="1776"/>
      <c r="CL148" s="1776"/>
      <c r="CM148" s="1776"/>
      <c r="CN148" s="1777"/>
      <c r="CO148" s="1767"/>
    </row>
    <row r="149" spans="2:93" x14ac:dyDescent="0.2">
      <c r="B149" s="1707"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49" s="1707" t="s">
        <v>1052</v>
      </c>
      <c r="D149" s="1747" t="s">
        <v>1054</v>
      </c>
      <c r="E149" s="1707" t="s">
        <v>1052</v>
      </c>
      <c r="F149" s="1707" t="s">
        <v>1470</v>
      </c>
      <c r="G149" s="1707" t="s">
        <v>863</v>
      </c>
      <c r="H149" s="1747" t="s">
        <v>1456</v>
      </c>
      <c r="I149" s="1707" t="s">
        <v>88</v>
      </c>
      <c r="J149" s="1707" t="s">
        <v>236</v>
      </c>
      <c r="K149" s="1751">
        <v>2</v>
      </c>
      <c r="L149" s="1752"/>
      <c r="M149" s="1752"/>
      <c r="N149" s="1752">
        <v>16</v>
      </c>
      <c r="O149" s="1752">
        <v>16</v>
      </c>
      <c r="P149" s="1752">
        <v>16</v>
      </c>
      <c r="Q149" s="1752">
        <v>16</v>
      </c>
      <c r="R149" s="1752">
        <v>16</v>
      </c>
      <c r="S149" s="1752">
        <v>16</v>
      </c>
      <c r="T149" s="1752">
        <v>16</v>
      </c>
      <c r="U149" s="1752">
        <v>16</v>
      </c>
      <c r="V149" s="1752">
        <v>16</v>
      </c>
      <c r="W149" s="1752">
        <v>16</v>
      </c>
      <c r="X149" s="1752">
        <v>16</v>
      </c>
      <c r="Y149" s="1752">
        <v>16</v>
      </c>
      <c r="Z149" s="1752">
        <v>16</v>
      </c>
      <c r="AA149" s="1752">
        <v>16</v>
      </c>
      <c r="AB149" s="1752">
        <v>16</v>
      </c>
      <c r="AC149" s="1752">
        <v>16</v>
      </c>
      <c r="AD149" s="1752">
        <v>16</v>
      </c>
      <c r="AE149" s="1752">
        <v>16</v>
      </c>
      <c r="AF149" s="1752">
        <v>16</v>
      </c>
      <c r="AG149" s="1752">
        <v>16</v>
      </c>
      <c r="AH149" s="1752">
        <v>16</v>
      </c>
      <c r="AI149" s="1752">
        <v>16</v>
      </c>
      <c r="AJ149" s="1752">
        <v>16</v>
      </c>
      <c r="AK149" s="1752">
        <v>16</v>
      </c>
      <c r="AL149" s="1752">
        <v>16</v>
      </c>
      <c r="AM149" s="1752">
        <v>16</v>
      </c>
      <c r="AN149" s="1752">
        <v>16</v>
      </c>
      <c r="AO149" s="1752">
        <v>16</v>
      </c>
      <c r="AP149" s="1752">
        <v>16</v>
      </c>
      <c r="AQ149" s="1779"/>
      <c r="AR149" s="1779"/>
      <c r="AS149" s="1779"/>
      <c r="AT149" s="1779"/>
      <c r="AU149" s="1779"/>
      <c r="AV149" s="1779"/>
      <c r="AW149" s="1779"/>
      <c r="AX149" s="1779"/>
      <c r="AY149" s="1779"/>
      <c r="AZ149" s="1779"/>
      <c r="BA149" s="1779"/>
      <c r="BB149" s="1779"/>
      <c r="BC149" s="1779"/>
      <c r="BD149" s="1779"/>
      <c r="BE149" s="1779"/>
      <c r="BF149" s="1779"/>
      <c r="BG149" s="1779"/>
      <c r="BH149" s="1779"/>
      <c r="BI149" s="1779"/>
      <c r="BJ149" s="1779"/>
      <c r="BK149" s="1779"/>
      <c r="BL149" s="1779"/>
      <c r="BM149" s="1779"/>
      <c r="BN149" s="1779"/>
      <c r="BO149" s="1779"/>
      <c r="BP149" s="1780"/>
      <c r="BQ149" s="1776"/>
      <c r="BR149" s="1776"/>
      <c r="BS149" s="1776"/>
      <c r="BT149" s="1776"/>
      <c r="BU149" s="1776"/>
      <c r="BV149" s="1776"/>
      <c r="BW149" s="1776"/>
      <c r="BX149" s="1776"/>
      <c r="BY149" s="1776"/>
      <c r="BZ149" s="1776"/>
      <c r="CA149" s="1776"/>
      <c r="CB149" s="1776"/>
      <c r="CC149" s="1776"/>
      <c r="CD149" s="1776"/>
      <c r="CE149" s="1776"/>
      <c r="CF149" s="1776"/>
      <c r="CG149" s="1776"/>
      <c r="CH149" s="1776"/>
      <c r="CI149" s="1776"/>
      <c r="CJ149" s="1776"/>
      <c r="CK149" s="1776"/>
      <c r="CL149" s="1776"/>
      <c r="CM149" s="1776"/>
      <c r="CN149" s="1777"/>
      <c r="CO149" s="1767"/>
    </row>
    <row r="150" spans="2:93" x14ac:dyDescent="0.2">
      <c r="B150" s="1707"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50" s="1707" t="s">
        <v>1052</v>
      </c>
      <c r="D150" s="1747" t="s">
        <v>1054</v>
      </c>
      <c r="E150" s="1707" t="s">
        <v>1052</v>
      </c>
      <c r="F150" s="1707" t="s">
        <v>1470</v>
      </c>
      <c r="G150" s="1707" t="s">
        <v>863</v>
      </c>
      <c r="H150" s="1747" t="s">
        <v>1456</v>
      </c>
      <c r="I150" s="1707" t="s">
        <v>93</v>
      </c>
      <c r="J150" s="1707" t="s">
        <v>236</v>
      </c>
      <c r="K150" s="1751">
        <v>2</v>
      </c>
      <c r="L150" s="1752"/>
      <c r="M150" s="1771"/>
      <c r="N150" s="1771">
        <v>0.57720403670028597</v>
      </c>
      <c r="O150" s="1769">
        <v>0.57570487083744704</v>
      </c>
      <c r="P150" s="1770">
        <v>0.55501289095453876</v>
      </c>
      <c r="Q150" s="1768">
        <v>0.54558184007945942</v>
      </c>
      <c r="R150" s="1768">
        <v>0.53305424018716518</v>
      </c>
      <c r="S150" s="1771">
        <v>0.52968093620338152</v>
      </c>
      <c r="T150" s="1771">
        <v>0.52663046289707693</v>
      </c>
      <c r="U150" s="1771">
        <v>0.51741019865680404</v>
      </c>
      <c r="V150" s="1771">
        <v>0.49433250264925765</v>
      </c>
      <c r="W150" s="1771">
        <v>0.46785689304863076</v>
      </c>
      <c r="X150" s="1771">
        <v>0.45444750716627735</v>
      </c>
      <c r="Y150" s="1771">
        <v>0.44834527803884361</v>
      </c>
      <c r="Z150" s="1771">
        <v>0.44092622900784972</v>
      </c>
      <c r="AA150" s="1771">
        <v>0.4336671400646257</v>
      </c>
      <c r="AB150" s="1771">
        <v>0.43167493605989909</v>
      </c>
      <c r="AC150" s="1771">
        <v>0.42979591814252294</v>
      </c>
      <c r="AD150" s="1771">
        <v>0.42806107818335626</v>
      </c>
      <c r="AE150" s="1771">
        <v>0.4264905801425542</v>
      </c>
      <c r="AF150" s="1771">
        <v>0.42468210955986918</v>
      </c>
      <c r="AG150" s="1771">
        <v>0.422186089209586</v>
      </c>
      <c r="AH150" s="1771">
        <v>0.42033005858050854</v>
      </c>
      <c r="AI150" s="1771">
        <v>0.41867586799706447</v>
      </c>
      <c r="AJ150" s="1771">
        <v>0.41876635472698676</v>
      </c>
      <c r="AK150" s="1771">
        <v>0.41891341855435643</v>
      </c>
      <c r="AL150" s="1771">
        <v>0.41905975802223194</v>
      </c>
      <c r="AM150" s="1771">
        <v>0.41933557828751078</v>
      </c>
      <c r="AN150" s="1771">
        <v>0.41962978994876299</v>
      </c>
      <c r="AO150" s="1771">
        <v>0.42000763055728113</v>
      </c>
      <c r="AP150" s="1771">
        <v>0.4203595861863052</v>
      </c>
      <c r="AQ150" s="1779"/>
      <c r="AR150" s="1779"/>
      <c r="AS150" s="1779"/>
      <c r="AT150" s="1779"/>
      <c r="AU150" s="1779"/>
      <c r="AV150" s="1779"/>
      <c r="AW150" s="1779"/>
      <c r="AX150" s="1779"/>
      <c r="AY150" s="1779"/>
      <c r="AZ150" s="1779"/>
      <c r="BA150" s="1779"/>
      <c r="BB150" s="1779"/>
      <c r="BC150" s="1779"/>
      <c r="BD150" s="1779"/>
      <c r="BE150" s="1779"/>
      <c r="BF150" s="1779"/>
      <c r="BG150" s="1779"/>
      <c r="BH150" s="1779"/>
      <c r="BI150" s="1779"/>
      <c r="BJ150" s="1779"/>
      <c r="BK150" s="1779"/>
      <c r="BL150" s="1779"/>
      <c r="BM150" s="1779"/>
      <c r="BN150" s="1779"/>
      <c r="BO150" s="1779"/>
      <c r="BP150" s="1780"/>
      <c r="BQ150" s="1776"/>
      <c r="BR150" s="1776"/>
      <c r="BS150" s="1776"/>
      <c r="BT150" s="1776"/>
      <c r="BU150" s="1776"/>
      <c r="BV150" s="1776"/>
      <c r="BW150" s="1776"/>
      <c r="BX150" s="1776"/>
      <c r="BY150" s="1776"/>
      <c r="BZ150" s="1776"/>
      <c r="CA150" s="1776"/>
      <c r="CB150" s="1776"/>
      <c r="CC150" s="1776"/>
      <c r="CD150" s="1776"/>
      <c r="CE150" s="1776"/>
      <c r="CF150" s="1776"/>
      <c r="CG150" s="1776"/>
      <c r="CH150" s="1776"/>
      <c r="CI150" s="1776"/>
      <c r="CJ150" s="1776"/>
      <c r="CK150" s="1776"/>
      <c r="CL150" s="1776"/>
      <c r="CM150" s="1776"/>
      <c r="CN150" s="1777"/>
      <c r="CO150" s="1767"/>
    </row>
    <row r="151" spans="2:93" x14ac:dyDescent="0.2">
      <c r="B151" s="1707"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51" s="1707" t="s">
        <v>1052</v>
      </c>
      <c r="D151" s="1747" t="s">
        <v>1054</v>
      </c>
      <c r="E151" s="1707" t="s">
        <v>1052</v>
      </c>
      <c r="F151" s="1707" t="s">
        <v>1470</v>
      </c>
      <c r="G151" s="1707" t="s">
        <v>863</v>
      </c>
      <c r="H151" s="1747" t="s">
        <v>1456</v>
      </c>
      <c r="I151" s="1707" t="s">
        <v>102</v>
      </c>
      <c r="J151" s="1707" t="s">
        <v>236</v>
      </c>
      <c r="K151" s="1751">
        <v>2</v>
      </c>
      <c r="L151" s="1752"/>
      <c r="M151" s="1771"/>
      <c r="N151" s="1771">
        <v>0.44369315660463848</v>
      </c>
      <c r="O151" s="1769">
        <v>0.44951664386808265</v>
      </c>
      <c r="P151" s="1770">
        <v>0.44020975143715613</v>
      </c>
      <c r="Q151" s="1768">
        <v>0.42087224193130857</v>
      </c>
      <c r="R151" s="1768">
        <v>0.39264830087930136</v>
      </c>
      <c r="S151" s="1771">
        <v>0.37510695582559117</v>
      </c>
      <c r="T151" s="1771">
        <v>0.38513803215475395</v>
      </c>
      <c r="U151" s="1771">
        <v>0.38554572253836067</v>
      </c>
      <c r="V151" s="1771">
        <v>0.38446150574571958</v>
      </c>
      <c r="W151" s="1771">
        <v>0.3831765453179814</v>
      </c>
      <c r="X151" s="1771">
        <v>0.38145933042587254</v>
      </c>
      <c r="Y151" s="1771">
        <v>0.37941719096378634</v>
      </c>
      <c r="Z151" s="1771">
        <v>0.37629410944244313</v>
      </c>
      <c r="AA151" s="1771">
        <v>0.37326320120242218</v>
      </c>
      <c r="AB151" s="1771">
        <v>0.37051383179485831</v>
      </c>
      <c r="AC151" s="1771">
        <v>0.36780157036112665</v>
      </c>
      <c r="AD151" s="1771">
        <v>0.36514979075209741</v>
      </c>
      <c r="AE151" s="1771">
        <v>0.36255532435229754</v>
      </c>
      <c r="AF151" s="1771">
        <v>0.35972303437360487</v>
      </c>
      <c r="AG151" s="1771">
        <v>0.35652497916479531</v>
      </c>
      <c r="AH151" s="1771">
        <v>0.35365752254823601</v>
      </c>
      <c r="AI151" s="1771">
        <v>0.35098214069406652</v>
      </c>
      <c r="AJ151" s="1771">
        <v>0.34970677073796119</v>
      </c>
      <c r="AK151" s="1771">
        <v>0.35084993313589019</v>
      </c>
      <c r="AL151" s="1771">
        <v>0.35193394300442921</v>
      </c>
      <c r="AM151" s="1771">
        <v>0.35310446364647091</v>
      </c>
      <c r="AN151" s="1771">
        <v>0.35433022231955602</v>
      </c>
      <c r="AO151" s="1771">
        <v>0.35565561822049663</v>
      </c>
      <c r="AP151" s="1771">
        <v>0.35698352048763682</v>
      </c>
      <c r="AQ151" s="1779"/>
      <c r="AR151" s="1779"/>
      <c r="AS151" s="1779"/>
      <c r="AT151" s="1779"/>
      <c r="AU151" s="1779"/>
      <c r="AV151" s="1779"/>
      <c r="AW151" s="1779"/>
      <c r="AX151" s="1779"/>
      <c r="AY151" s="1779"/>
      <c r="AZ151" s="1779"/>
      <c r="BA151" s="1779"/>
      <c r="BB151" s="1779"/>
      <c r="BC151" s="1779"/>
      <c r="BD151" s="1779"/>
      <c r="BE151" s="1779"/>
      <c r="BF151" s="1779"/>
      <c r="BG151" s="1779"/>
      <c r="BH151" s="1779"/>
      <c r="BI151" s="1779"/>
      <c r="BJ151" s="1779"/>
      <c r="BK151" s="1779"/>
      <c r="BL151" s="1779"/>
      <c r="BM151" s="1779"/>
      <c r="BN151" s="1779"/>
      <c r="BO151" s="1779"/>
      <c r="BP151" s="1780"/>
      <c r="BQ151" s="1776"/>
      <c r="BR151" s="1776"/>
      <c r="BS151" s="1776"/>
      <c r="BT151" s="1776"/>
      <c r="BU151" s="1776"/>
      <c r="BV151" s="1776"/>
      <c r="BW151" s="1776"/>
      <c r="BX151" s="1776"/>
      <c r="BY151" s="1776"/>
      <c r="BZ151" s="1776"/>
      <c r="CA151" s="1776"/>
      <c r="CB151" s="1776"/>
      <c r="CC151" s="1776"/>
      <c r="CD151" s="1776"/>
      <c r="CE151" s="1776"/>
      <c r="CF151" s="1776"/>
      <c r="CG151" s="1776"/>
      <c r="CH151" s="1776"/>
      <c r="CI151" s="1776"/>
      <c r="CJ151" s="1776"/>
      <c r="CK151" s="1776"/>
      <c r="CL151" s="1776"/>
      <c r="CM151" s="1776"/>
      <c r="CN151" s="1777"/>
      <c r="CO151" s="1767"/>
    </row>
    <row r="152" spans="2:93" x14ac:dyDescent="0.2">
      <c r="B152" s="1747"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52" s="1707" t="s">
        <v>1052</v>
      </c>
      <c r="D152" s="1747" t="s">
        <v>1054</v>
      </c>
      <c r="E152" s="1747" t="s">
        <v>1052</v>
      </c>
      <c r="F152" s="1747" t="s">
        <v>1470</v>
      </c>
      <c r="G152" s="1747" t="s">
        <v>863</v>
      </c>
      <c r="H152" s="1747" t="s">
        <v>1456</v>
      </c>
      <c r="I152" s="1747" t="s">
        <v>105</v>
      </c>
      <c r="J152" s="1747" t="s">
        <v>236</v>
      </c>
      <c r="K152" s="1760">
        <v>2</v>
      </c>
      <c r="L152" s="1779"/>
      <c r="M152" s="1791"/>
      <c r="N152" s="1791">
        <v>3.5691231200196647</v>
      </c>
      <c r="O152" s="1792">
        <v>3.4457828579651046</v>
      </c>
      <c r="P152" s="1793">
        <v>3.430468664692468</v>
      </c>
      <c r="Q152" s="1794">
        <v>3.3837386565090735</v>
      </c>
      <c r="R152" s="1794">
        <v>3.2819917447544253</v>
      </c>
      <c r="S152" s="1791">
        <v>3.1775198329266914</v>
      </c>
      <c r="T152" s="1791">
        <v>2.9922159166239712</v>
      </c>
      <c r="U152" s="1791">
        <v>2.813751995493226</v>
      </c>
      <c r="V152" s="1791">
        <v>2.6932811399345296</v>
      </c>
      <c r="W152" s="1791">
        <v>2.6490399414201331</v>
      </c>
      <c r="X152" s="1791">
        <v>2.6324369191337862</v>
      </c>
      <c r="Y152" s="1791">
        <v>2.604387610250674</v>
      </c>
      <c r="Z152" s="1791">
        <v>2.5698581627297581</v>
      </c>
      <c r="AA152" s="1791">
        <v>2.548057465835162</v>
      </c>
      <c r="AB152" s="1791">
        <v>2.5319040474981893</v>
      </c>
      <c r="AC152" s="1791">
        <v>2.5162218771879736</v>
      </c>
      <c r="AD152" s="1791">
        <v>2.5007300661868435</v>
      </c>
      <c r="AE152" s="1791">
        <v>2.4865507222127641</v>
      </c>
      <c r="AF152" s="1791">
        <v>2.473113841461946</v>
      </c>
      <c r="AG152" s="1791">
        <v>2.4571360352302971</v>
      </c>
      <c r="AH152" s="1791">
        <v>2.4438680528634436</v>
      </c>
      <c r="AI152" s="1791">
        <v>2.4318020972092231</v>
      </c>
      <c r="AJ152" s="1791">
        <v>2.4301300080204769</v>
      </c>
      <c r="AK152" s="1791">
        <v>2.4285070317961703</v>
      </c>
      <c r="AL152" s="1791">
        <v>2.4267290405306632</v>
      </c>
      <c r="AM152" s="1791">
        <v>2.4255330682775487</v>
      </c>
      <c r="AN152" s="1791">
        <v>2.4241581341530258</v>
      </c>
      <c r="AO152" s="1791">
        <v>2.422962847986776</v>
      </c>
      <c r="AP152" s="1791">
        <v>2.421199060785892</v>
      </c>
      <c r="AQ152" s="1779"/>
      <c r="AR152" s="1779"/>
      <c r="AS152" s="1779"/>
      <c r="AT152" s="1779"/>
      <c r="AU152" s="1779"/>
      <c r="AV152" s="1779"/>
      <c r="AW152" s="1779"/>
      <c r="AX152" s="1779"/>
      <c r="AY152" s="1779"/>
      <c r="AZ152" s="1779"/>
      <c r="BA152" s="1779"/>
      <c r="BB152" s="1779"/>
      <c r="BC152" s="1779"/>
      <c r="BD152" s="1779"/>
      <c r="BE152" s="1779"/>
      <c r="BF152" s="1779"/>
      <c r="BG152" s="1779"/>
      <c r="BH152" s="1779"/>
      <c r="BI152" s="1779"/>
      <c r="BJ152" s="1779"/>
      <c r="BK152" s="1779"/>
      <c r="BL152" s="1779"/>
      <c r="BM152" s="1779"/>
      <c r="BN152" s="1779"/>
      <c r="BO152" s="1779"/>
      <c r="BP152" s="1780"/>
      <c r="BQ152" s="1776"/>
      <c r="BR152" s="1776"/>
      <c r="BS152" s="1776"/>
      <c r="BT152" s="1776"/>
      <c r="BU152" s="1776"/>
      <c r="BV152" s="1776"/>
      <c r="BW152" s="1776"/>
      <c r="BX152" s="1776"/>
      <c r="BY152" s="1776"/>
      <c r="BZ152" s="1776"/>
      <c r="CA152" s="1776"/>
      <c r="CB152" s="1776"/>
      <c r="CC152" s="1776"/>
      <c r="CD152" s="1776"/>
      <c r="CE152" s="1776"/>
      <c r="CF152" s="1776"/>
      <c r="CG152" s="1776"/>
      <c r="CH152" s="1776"/>
      <c r="CI152" s="1776"/>
      <c r="CJ152" s="1776"/>
      <c r="CK152" s="1776"/>
      <c r="CL152" s="1776"/>
      <c r="CM152" s="1776"/>
      <c r="CN152" s="1777"/>
      <c r="CO152" s="1767"/>
    </row>
    <row r="153" spans="2:93" x14ac:dyDescent="0.2">
      <c r="B153" s="1747"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53" s="1762" t="s">
        <v>1052</v>
      </c>
      <c r="D153" s="1763" t="s">
        <v>1051</v>
      </c>
      <c r="E153" s="1763" t="s">
        <v>1052</v>
      </c>
      <c r="F153" s="1763" t="s">
        <v>1470</v>
      </c>
      <c r="G153" s="1763" t="s">
        <v>863</v>
      </c>
      <c r="H153" s="1763" t="s">
        <v>1460</v>
      </c>
      <c r="I153" s="1763" t="s">
        <v>88</v>
      </c>
      <c r="J153" s="1763" t="s">
        <v>236</v>
      </c>
      <c r="K153" s="1764">
        <v>2</v>
      </c>
      <c r="L153" s="1753"/>
      <c r="M153" s="1753"/>
      <c r="N153" s="1753">
        <v>16</v>
      </c>
      <c r="O153" s="1753">
        <v>16</v>
      </c>
      <c r="P153" s="1753">
        <v>16</v>
      </c>
      <c r="Q153" s="1753">
        <v>16</v>
      </c>
      <c r="R153" s="1753">
        <v>16</v>
      </c>
      <c r="S153" s="1753">
        <v>16</v>
      </c>
      <c r="T153" s="1753">
        <v>16</v>
      </c>
      <c r="U153" s="1753">
        <v>12</v>
      </c>
      <c r="V153" s="1753">
        <v>12</v>
      </c>
      <c r="W153" s="1753">
        <v>12</v>
      </c>
      <c r="X153" s="1753">
        <v>12</v>
      </c>
      <c r="Y153" s="1753">
        <v>12</v>
      </c>
      <c r="Z153" s="1753">
        <v>12</v>
      </c>
      <c r="AA153" s="1753">
        <v>12</v>
      </c>
      <c r="AB153" s="1753">
        <v>12</v>
      </c>
      <c r="AC153" s="1753">
        <v>12</v>
      </c>
      <c r="AD153" s="1753">
        <v>12</v>
      </c>
      <c r="AE153" s="1753">
        <v>12</v>
      </c>
      <c r="AF153" s="1753">
        <v>12</v>
      </c>
      <c r="AG153" s="1753">
        <v>12</v>
      </c>
      <c r="AH153" s="1753">
        <v>12</v>
      </c>
      <c r="AI153" s="1753">
        <v>12</v>
      </c>
      <c r="AJ153" s="1753">
        <v>12</v>
      </c>
      <c r="AK153" s="1753">
        <v>12</v>
      </c>
      <c r="AL153" s="1753">
        <v>12</v>
      </c>
      <c r="AM153" s="1753">
        <v>12</v>
      </c>
      <c r="AN153" s="1753">
        <v>12</v>
      </c>
      <c r="AO153" s="1753">
        <v>12</v>
      </c>
      <c r="AP153" s="1753">
        <v>12</v>
      </c>
      <c r="AQ153" s="1779"/>
      <c r="AR153" s="1779"/>
      <c r="AS153" s="1779"/>
      <c r="AT153" s="1779"/>
      <c r="AU153" s="1779"/>
      <c r="AV153" s="1779"/>
      <c r="AW153" s="1779"/>
      <c r="AX153" s="1779"/>
      <c r="AY153" s="1779"/>
      <c r="AZ153" s="1779"/>
      <c r="BA153" s="1779"/>
      <c r="BB153" s="1779"/>
      <c r="BC153" s="1779"/>
      <c r="BD153" s="1779"/>
      <c r="BE153" s="1779"/>
      <c r="BF153" s="1779"/>
      <c r="BG153" s="1779"/>
      <c r="BH153" s="1779"/>
      <c r="BI153" s="1779"/>
      <c r="BJ153" s="1779"/>
      <c r="BK153" s="1779"/>
      <c r="BL153" s="1779"/>
      <c r="BM153" s="1779"/>
      <c r="BN153" s="1779"/>
      <c r="BO153" s="1779"/>
      <c r="BP153" s="1780"/>
      <c r="BQ153" s="1776"/>
      <c r="BR153" s="1776"/>
      <c r="BS153" s="1776"/>
      <c r="BT153" s="1776"/>
      <c r="BU153" s="1776"/>
      <c r="BV153" s="1776"/>
      <c r="BW153" s="1776"/>
      <c r="BX153" s="1776"/>
      <c r="BY153" s="1776"/>
      <c r="BZ153" s="1776"/>
      <c r="CA153" s="1776"/>
      <c r="CB153" s="1776"/>
      <c r="CC153" s="1776"/>
      <c r="CD153" s="1776"/>
      <c r="CE153" s="1776"/>
      <c r="CF153" s="1776"/>
      <c r="CG153" s="1776"/>
      <c r="CH153" s="1776"/>
      <c r="CI153" s="1776"/>
      <c r="CJ153" s="1776"/>
      <c r="CK153" s="1776"/>
      <c r="CL153" s="1776"/>
      <c r="CM153" s="1776"/>
      <c r="CN153" s="1777"/>
      <c r="CO153" s="1767"/>
    </row>
    <row r="154" spans="2:93" x14ac:dyDescent="0.2">
      <c r="B154" s="1747"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54" s="1707" t="s">
        <v>1052</v>
      </c>
      <c r="D154" s="1747" t="s">
        <v>1051</v>
      </c>
      <c r="E154" s="1747" t="s">
        <v>1052</v>
      </c>
      <c r="F154" s="1747" t="s">
        <v>1470</v>
      </c>
      <c r="G154" s="1747" t="s">
        <v>863</v>
      </c>
      <c r="H154" s="1763" t="s">
        <v>1460</v>
      </c>
      <c r="I154" s="1747" t="s">
        <v>93</v>
      </c>
      <c r="J154" s="1747" t="s">
        <v>236</v>
      </c>
      <c r="K154" s="1760">
        <v>2</v>
      </c>
      <c r="L154" s="1768"/>
      <c r="M154" s="1768"/>
      <c r="N154" s="1768">
        <v>0.56196775129138377</v>
      </c>
      <c r="O154" s="1768">
        <v>0.56098551561311139</v>
      </c>
      <c r="P154" s="1768">
        <v>0.54042307966133263</v>
      </c>
      <c r="Q154" s="1768">
        <v>0.53105987093583762</v>
      </c>
      <c r="R154" s="1768">
        <v>0.51870798545913988</v>
      </c>
      <c r="S154" s="1768">
        <v>0.51531734399295592</v>
      </c>
      <c r="T154" s="1768">
        <v>0.51221897509395931</v>
      </c>
      <c r="U154" s="1768">
        <v>0.50317508689781199</v>
      </c>
      <c r="V154" s="1768">
        <v>0.47917946755533014</v>
      </c>
      <c r="W154" s="1768">
        <v>0.45092093322196958</v>
      </c>
      <c r="X154" s="1768">
        <v>0.43694180327222432</v>
      </c>
      <c r="Y154" s="1768">
        <v>0.43107348409504465</v>
      </c>
      <c r="Z154" s="1768">
        <v>0.42393881556024793</v>
      </c>
      <c r="AA154" s="1768">
        <v>0.41695742174332828</v>
      </c>
      <c r="AB154" s="1768">
        <v>0.41503255168982134</v>
      </c>
      <c r="AC154" s="1768">
        <v>0.41321612621159592</v>
      </c>
      <c r="AD154" s="1768">
        <v>0.41153776052418334</v>
      </c>
      <c r="AE154" s="1768">
        <v>0.41001716434713187</v>
      </c>
      <c r="AF154" s="1768">
        <v>0.40826817933328524</v>
      </c>
      <c r="AG154" s="1768">
        <v>0.4058587102116038</v>
      </c>
      <c r="AH154" s="1768">
        <v>0.40406182218465514</v>
      </c>
      <c r="AI154" s="1768">
        <v>0.40245910342680841</v>
      </c>
      <c r="AJ154" s="1768">
        <v>0.4025341842479559</v>
      </c>
      <c r="AK154" s="1768">
        <v>0.40266357289062238</v>
      </c>
      <c r="AL154" s="1768">
        <v>0.40279248094243914</v>
      </c>
      <c r="AM154" s="1768">
        <v>0.40304587489311217</v>
      </c>
      <c r="AN154" s="1768">
        <v>0.40331684387406824</v>
      </c>
      <c r="AO154" s="1768">
        <v>0.403668082641368</v>
      </c>
      <c r="AP154" s="1768">
        <v>0.4039941938470572</v>
      </c>
      <c r="AQ154" s="1779"/>
      <c r="AR154" s="1779"/>
      <c r="AS154" s="1779"/>
      <c r="AT154" s="1779"/>
      <c r="AU154" s="1779"/>
      <c r="AV154" s="1779"/>
      <c r="AW154" s="1779"/>
      <c r="AX154" s="1779"/>
      <c r="AY154" s="1779"/>
      <c r="AZ154" s="1779"/>
      <c r="BA154" s="1779"/>
      <c r="BB154" s="1779"/>
      <c r="BC154" s="1779"/>
      <c r="BD154" s="1779"/>
      <c r="BE154" s="1779"/>
      <c r="BF154" s="1779"/>
      <c r="BG154" s="1779"/>
      <c r="BH154" s="1779"/>
      <c r="BI154" s="1779"/>
      <c r="BJ154" s="1779"/>
      <c r="BK154" s="1779"/>
      <c r="BL154" s="1779"/>
      <c r="BM154" s="1779"/>
      <c r="BN154" s="1779"/>
      <c r="BO154" s="1779"/>
      <c r="BP154" s="1780"/>
      <c r="BQ154" s="1776"/>
      <c r="BR154" s="1776"/>
      <c r="BS154" s="1776"/>
      <c r="BT154" s="1776"/>
      <c r="BU154" s="1776"/>
      <c r="BV154" s="1776"/>
      <c r="BW154" s="1776"/>
      <c r="BX154" s="1776"/>
      <c r="BY154" s="1776"/>
      <c r="BZ154" s="1776"/>
      <c r="CA154" s="1776"/>
      <c r="CB154" s="1776"/>
      <c r="CC154" s="1776"/>
      <c r="CD154" s="1776"/>
      <c r="CE154" s="1776"/>
      <c r="CF154" s="1776"/>
      <c r="CG154" s="1776"/>
      <c r="CH154" s="1776"/>
      <c r="CI154" s="1776"/>
      <c r="CJ154" s="1776"/>
      <c r="CK154" s="1776"/>
      <c r="CL154" s="1776"/>
      <c r="CM154" s="1776"/>
      <c r="CN154" s="1777"/>
      <c r="CO154" s="1767"/>
    </row>
    <row r="155" spans="2:93" x14ac:dyDescent="0.2">
      <c r="B155" s="1747"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55" s="1707" t="s">
        <v>1052</v>
      </c>
      <c r="D155" s="1747" t="s">
        <v>1051</v>
      </c>
      <c r="E155" s="1747" t="s">
        <v>1052</v>
      </c>
      <c r="F155" s="1747" t="s">
        <v>1470</v>
      </c>
      <c r="G155" s="1747" t="s">
        <v>863</v>
      </c>
      <c r="H155" s="1763" t="s">
        <v>1460</v>
      </c>
      <c r="I155" s="1747" t="s">
        <v>102</v>
      </c>
      <c r="J155" s="1747" t="s">
        <v>236</v>
      </c>
      <c r="K155" s="1760">
        <v>2</v>
      </c>
      <c r="L155" s="1768"/>
      <c r="M155" s="1768"/>
      <c r="N155" s="1768">
        <v>0.43328262222033609</v>
      </c>
      <c r="O155" s="1768">
        <v>0.43938299452265295</v>
      </c>
      <c r="P155" s="1768">
        <v>0.4302387972878946</v>
      </c>
      <c r="Q155" s="1768">
        <v>0.41098302982203827</v>
      </c>
      <c r="R155" s="1768">
        <v>0.38028984793346549</v>
      </c>
      <c r="S155" s="1768">
        <v>0.3602416007237168</v>
      </c>
      <c r="T155" s="1768">
        <v>0.36984452497855302</v>
      </c>
      <c r="U155" s="1768">
        <v>0.37021996484493647</v>
      </c>
      <c r="V155" s="1768">
        <v>0.36916493378332049</v>
      </c>
      <c r="W155" s="1768">
        <v>0.36791952990139337</v>
      </c>
      <c r="X155" s="1768">
        <v>0.36626166457699899</v>
      </c>
      <c r="Y155" s="1768">
        <v>0.36429244627103752</v>
      </c>
      <c r="Z155" s="1768">
        <v>0.36128564068149494</v>
      </c>
      <c r="AA155" s="1768">
        <v>0.35836749267741241</v>
      </c>
      <c r="AB155" s="1768">
        <v>0.35572005104500182</v>
      </c>
      <c r="AC155" s="1768">
        <v>0.35310843555069449</v>
      </c>
      <c r="AD155" s="1768">
        <v>0.35055501916810961</v>
      </c>
      <c r="AE155" s="1768">
        <v>0.34805688134554302</v>
      </c>
      <c r="AF155" s="1768">
        <v>0.34533086366841814</v>
      </c>
      <c r="AG155" s="1768">
        <v>0.34225252569032449</v>
      </c>
      <c r="AH155" s="1768">
        <v>0.3394897442434982</v>
      </c>
      <c r="AI155" s="1768">
        <v>0.33691168224217283</v>
      </c>
      <c r="AJ155" s="1768">
        <v>0.33567792609046093</v>
      </c>
      <c r="AK155" s="1768">
        <v>0.33676593441807057</v>
      </c>
      <c r="AL155" s="1768">
        <v>0.33779731916037981</v>
      </c>
      <c r="AM155" s="1768">
        <v>0.33891187196066619</v>
      </c>
      <c r="AN155" s="1768">
        <v>0.34007948941540311</v>
      </c>
      <c r="AO155" s="1768">
        <v>0.34134278156848397</v>
      </c>
      <c r="AP155" s="1768">
        <v>0.34260849803452265</v>
      </c>
      <c r="AQ155" s="1779"/>
      <c r="AR155" s="1779"/>
      <c r="AS155" s="1779"/>
      <c r="AT155" s="1779"/>
      <c r="AU155" s="1779"/>
      <c r="AV155" s="1779"/>
      <c r="AW155" s="1779"/>
      <c r="AX155" s="1779"/>
      <c r="AY155" s="1779"/>
      <c r="AZ155" s="1779"/>
      <c r="BA155" s="1779"/>
      <c r="BB155" s="1779"/>
      <c r="BC155" s="1779"/>
      <c r="BD155" s="1779"/>
      <c r="BE155" s="1779"/>
      <c r="BF155" s="1779"/>
      <c r="BG155" s="1779"/>
      <c r="BH155" s="1779"/>
      <c r="BI155" s="1779"/>
      <c r="BJ155" s="1779"/>
      <c r="BK155" s="1779"/>
      <c r="BL155" s="1779"/>
      <c r="BM155" s="1779"/>
      <c r="BN155" s="1779"/>
      <c r="BO155" s="1779"/>
      <c r="BP155" s="1780"/>
      <c r="BQ155" s="1776"/>
      <c r="BR155" s="1776"/>
      <c r="BS155" s="1776"/>
      <c r="BT155" s="1776"/>
      <c r="BU155" s="1776"/>
      <c r="BV155" s="1776"/>
      <c r="BW155" s="1776"/>
      <c r="BX155" s="1776"/>
      <c r="BY155" s="1776"/>
      <c r="BZ155" s="1776"/>
      <c r="CA155" s="1776"/>
      <c r="CB155" s="1776"/>
      <c r="CC155" s="1776"/>
      <c r="CD155" s="1776"/>
      <c r="CE155" s="1776"/>
      <c r="CF155" s="1776"/>
      <c r="CG155" s="1776"/>
      <c r="CH155" s="1776"/>
      <c r="CI155" s="1776"/>
      <c r="CJ155" s="1776"/>
      <c r="CK155" s="1776"/>
      <c r="CL155" s="1776"/>
      <c r="CM155" s="1776"/>
      <c r="CN155" s="1777"/>
      <c r="CO155" s="1767"/>
    </row>
    <row r="156" spans="2:93" x14ac:dyDescent="0.2">
      <c r="B156" s="1747"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56" s="1707" t="s">
        <v>1052</v>
      </c>
      <c r="D156" s="1747" t="s">
        <v>1051</v>
      </c>
      <c r="E156" s="1747" t="s">
        <v>1052</v>
      </c>
      <c r="F156" s="1747" t="s">
        <v>1470</v>
      </c>
      <c r="G156" s="1747" t="s">
        <v>863</v>
      </c>
      <c r="H156" s="1763" t="s">
        <v>1460</v>
      </c>
      <c r="I156" s="1747" t="s">
        <v>105</v>
      </c>
      <c r="J156" s="1747" t="s">
        <v>236</v>
      </c>
      <c r="K156" s="1760">
        <v>2</v>
      </c>
      <c r="L156" s="1768"/>
      <c r="M156" s="1768"/>
      <c r="N156" s="1768">
        <v>3.5004794165974826</v>
      </c>
      <c r="O156" s="1768">
        <v>3.3744633255132452</v>
      </c>
      <c r="P156" s="1768">
        <v>3.3591867269437676</v>
      </c>
      <c r="Q156" s="1768">
        <v>3.3113465388984613</v>
      </c>
      <c r="R156" s="1768">
        <v>3.2076174313820611</v>
      </c>
      <c r="S156" s="1768">
        <v>3.0982878673412513</v>
      </c>
      <c r="T156" s="1768">
        <v>2.9060452248363138</v>
      </c>
      <c r="U156" s="1768">
        <v>2.7169128111381964</v>
      </c>
      <c r="V156" s="1768">
        <v>2.5889010084849353</v>
      </c>
      <c r="W156" s="1768">
        <v>2.5426640037345707</v>
      </c>
      <c r="X156" s="1768">
        <v>2.5266852694960997</v>
      </c>
      <c r="Y156" s="1768">
        <v>2.4997307998018758</v>
      </c>
      <c r="Z156" s="1768">
        <v>2.4665565529203413</v>
      </c>
      <c r="AA156" s="1768">
        <v>2.4455900570498299</v>
      </c>
      <c r="AB156" s="1768">
        <v>2.43003822040831</v>
      </c>
      <c r="AC156" s="1768">
        <v>2.4149271666858496</v>
      </c>
      <c r="AD156" s="1768">
        <v>2.4000004671999156</v>
      </c>
      <c r="AE156" s="1768">
        <v>2.3863347718917205</v>
      </c>
      <c r="AF156" s="1768">
        <v>2.3733827739153268</v>
      </c>
      <c r="AG156" s="1768">
        <v>2.3579961506711662</v>
      </c>
      <c r="AH156" s="1768">
        <v>2.3452100900489183</v>
      </c>
      <c r="AI156" s="1768">
        <v>2.3335793724165148</v>
      </c>
      <c r="AJ156" s="1768">
        <v>2.3319248771344796</v>
      </c>
      <c r="AK156" s="1768">
        <v>2.3303187671984498</v>
      </c>
      <c r="AL156" s="1768">
        <v>2.3285654809685266</v>
      </c>
      <c r="AM156" s="1768">
        <v>2.3273719089165255</v>
      </c>
      <c r="AN156" s="1768">
        <v>2.3260076961937726</v>
      </c>
      <c r="AO156" s="1768">
        <v>2.3248168921623487</v>
      </c>
      <c r="AP156" s="1768">
        <v>2.3230814996449083</v>
      </c>
      <c r="AQ156" s="1779"/>
      <c r="AR156" s="1779"/>
      <c r="AS156" s="1779"/>
      <c r="AT156" s="1779"/>
      <c r="AU156" s="1779"/>
      <c r="AV156" s="1779"/>
      <c r="AW156" s="1779"/>
      <c r="AX156" s="1779"/>
      <c r="AY156" s="1779"/>
      <c r="AZ156" s="1779"/>
      <c r="BA156" s="1779"/>
      <c r="BB156" s="1779"/>
      <c r="BC156" s="1779"/>
      <c r="BD156" s="1779"/>
      <c r="BE156" s="1779"/>
      <c r="BF156" s="1779"/>
      <c r="BG156" s="1779"/>
      <c r="BH156" s="1779"/>
      <c r="BI156" s="1779"/>
      <c r="BJ156" s="1779"/>
      <c r="BK156" s="1779"/>
      <c r="BL156" s="1779"/>
      <c r="BM156" s="1779"/>
      <c r="BN156" s="1779"/>
      <c r="BO156" s="1779"/>
      <c r="BP156" s="1780"/>
      <c r="BQ156" s="1776"/>
      <c r="BR156" s="1776"/>
      <c r="BS156" s="1776"/>
      <c r="BT156" s="1776"/>
      <c r="BU156" s="1776"/>
      <c r="BV156" s="1776"/>
      <c r="BW156" s="1776"/>
      <c r="BX156" s="1776"/>
      <c r="BY156" s="1776"/>
      <c r="BZ156" s="1776"/>
      <c r="CA156" s="1776"/>
      <c r="CB156" s="1776"/>
      <c r="CC156" s="1776"/>
      <c r="CD156" s="1776"/>
      <c r="CE156" s="1776"/>
      <c r="CF156" s="1776"/>
      <c r="CG156" s="1776"/>
      <c r="CH156" s="1776"/>
      <c r="CI156" s="1776"/>
      <c r="CJ156" s="1776"/>
      <c r="CK156" s="1776"/>
      <c r="CL156" s="1776"/>
      <c r="CM156" s="1776"/>
      <c r="CN156" s="1777"/>
      <c r="CO156" s="1767"/>
    </row>
    <row r="157" spans="2:93" x14ac:dyDescent="0.2">
      <c r="B157" s="1747"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57" s="1762" t="s">
        <v>1052</v>
      </c>
      <c r="D157" s="1763" t="s">
        <v>1051</v>
      </c>
      <c r="E157" s="1763" t="s">
        <v>1052</v>
      </c>
      <c r="F157" s="1763" t="s">
        <v>1470</v>
      </c>
      <c r="G157" s="1763" t="s">
        <v>863</v>
      </c>
      <c r="H157" s="1763" t="s">
        <v>1461</v>
      </c>
      <c r="I157" s="1763" t="s">
        <v>88</v>
      </c>
      <c r="J157" s="1763" t="s">
        <v>236</v>
      </c>
      <c r="K157" s="1764">
        <v>2</v>
      </c>
      <c r="L157" s="1753"/>
      <c r="M157" s="1753"/>
      <c r="N157" s="1753">
        <v>16</v>
      </c>
      <c r="O157" s="1753">
        <v>16</v>
      </c>
      <c r="P157" s="1753">
        <v>16</v>
      </c>
      <c r="Q157" s="1753">
        <v>16</v>
      </c>
      <c r="R157" s="1753">
        <v>16</v>
      </c>
      <c r="S157" s="1753">
        <v>16</v>
      </c>
      <c r="T157" s="1753">
        <v>16</v>
      </c>
      <c r="U157" s="1753">
        <v>12</v>
      </c>
      <c r="V157" s="1753">
        <v>12</v>
      </c>
      <c r="W157" s="1753">
        <v>12</v>
      </c>
      <c r="X157" s="1753">
        <v>12</v>
      </c>
      <c r="Y157" s="1753">
        <v>12</v>
      </c>
      <c r="Z157" s="1753">
        <v>12</v>
      </c>
      <c r="AA157" s="1753">
        <v>12</v>
      </c>
      <c r="AB157" s="1753">
        <v>12</v>
      </c>
      <c r="AC157" s="1753">
        <v>12</v>
      </c>
      <c r="AD157" s="1753">
        <v>12</v>
      </c>
      <c r="AE157" s="1753">
        <v>12</v>
      </c>
      <c r="AF157" s="1753">
        <v>12</v>
      </c>
      <c r="AG157" s="1753">
        <v>12</v>
      </c>
      <c r="AH157" s="1753">
        <v>12</v>
      </c>
      <c r="AI157" s="1753">
        <v>12</v>
      </c>
      <c r="AJ157" s="1753">
        <v>12</v>
      </c>
      <c r="AK157" s="1753">
        <v>12</v>
      </c>
      <c r="AL157" s="1753">
        <v>12</v>
      </c>
      <c r="AM157" s="1753">
        <v>12</v>
      </c>
      <c r="AN157" s="1753">
        <v>12</v>
      </c>
      <c r="AO157" s="1753">
        <v>12</v>
      </c>
      <c r="AP157" s="1753">
        <v>12</v>
      </c>
      <c r="AQ157" s="1779"/>
      <c r="AR157" s="1779"/>
      <c r="AS157" s="1779"/>
      <c r="AT157" s="1779"/>
      <c r="AU157" s="1779"/>
      <c r="AV157" s="1779"/>
      <c r="AW157" s="1779"/>
      <c r="AX157" s="1779"/>
      <c r="AY157" s="1779"/>
      <c r="AZ157" s="1779"/>
      <c r="BA157" s="1779"/>
      <c r="BB157" s="1779"/>
      <c r="BC157" s="1779"/>
      <c r="BD157" s="1779"/>
      <c r="BE157" s="1779"/>
      <c r="BF157" s="1779"/>
      <c r="BG157" s="1779"/>
      <c r="BH157" s="1779"/>
      <c r="BI157" s="1779"/>
      <c r="BJ157" s="1779"/>
      <c r="BK157" s="1779"/>
      <c r="BL157" s="1779"/>
      <c r="BM157" s="1779"/>
      <c r="BN157" s="1779"/>
      <c r="BO157" s="1779"/>
      <c r="BP157" s="1780"/>
      <c r="BQ157" s="1776"/>
      <c r="BR157" s="1776"/>
      <c r="BS157" s="1776"/>
      <c r="BT157" s="1776"/>
      <c r="BU157" s="1776"/>
      <c r="BV157" s="1776"/>
      <c r="BW157" s="1776"/>
      <c r="BX157" s="1776"/>
      <c r="BY157" s="1776"/>
      <c r="BZ157" s="1776"/>
      <c r="CA157" s="1776"/>
      <c r="CB157" s="1776"/>
      <c r="CC157" s="1776"/>
      <c r="CD157" s="1776"/>
      <c r="CE157" s="1776"/>
      <c r="CF157" s="1776"/>
      <c r="CG157" s="1776"/>
      <c r="CH157" s="1776"/>
      <c r="CI157" s="1776"/>
      <c r="CJ157" s="1776"/>
      <c r="CK157" s="1776"/>
      <c r="CL157" s="1776"/>
      <c r="CM157" s="1776"/>
      <c r="CN157" s="1777"/>
      <c r="CO157" s="1767"/>
    </row>
    <row r="158" spans="2:93" x14ac:dyDescent="0.2">
      <c r="B158" s="1747"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58" s="1707" t="s">
        <v>1052</v>
      </c>
      <c r="D158" s="1747" t="s">
        <v>1051</v>
      </c>
      <c r="E158" s="1747" t="s">
        <v>1052</v>
      </c>
      <c r="F158" s="1747" t="s">
        <v>1470</v>
      </c>
      <c r="G158" s="1747" t="s">
        <v>863</v>
      </c>
      <c r="H158" s="1763" t="s">
        <v>1461</v>
      </c>
      <c r="I158" s="1747" t="s">
        <v>93</v>
      </c>
      <c r="J158" s="1747" t="s">
        <v>236</v>
      </c>
      <c r="K158" s="1760">
        <v>2</v>
      </c>
      <c r="L158" s="1768"/>
      <c r="M158" s="1768"/>
      <c r="N158" s="1768">
        <v>0.56196775129138377</v>
      </c>
      <c r="O158" s="1768">
        <v>0.56098551561311139</v>
      </c>
      <c r="P158" s="1768">
        <v>0.54042307966133263</v>
      </c>
      <c r="Q158" s="1768">
        <v>0.53105987093583762</v>
      </c>
      <c r="R158" s="1768">
        <v>0.51870798545913988</v>
      </c>
      <c r="S158" s="1768">
        <v>0.51531734399295592</v>
      </c>
      <c r="T158" s="1768">
        <v>0.51221897509395931</v>
      </c>
      <c r="U158" s="1768">
        <v>0.50317508689781199</v>
      </c>
      <c r="V158" s="1768">
        <v>0.47917946755533014</v>
      </c>
      <c r="W158" s="1768">
        <v>0.45092093322196958</v>
      </c>
      <c r="X158" s="1768">
        <v>0.43694180327222432</v>
      </c>
      <c r="Y158" s="1768">
        <v>0.43107348409504465</v>
      </c>
      <c r="Z158" s="1768">
        <v>0.42393881556024793</v>
      </c>
      <c r="AA158" s="1768">
        <v>0.41695742174332828</v>
      </c>
      <c r="AB158" s="1768">
        <v>0.41503255168982134</v>
      </c>
      <c r="AC158" s="1768">
        <v>0.41321612621159592</v>
      </c>
      <c r="AD158" s="1768">
        <v>0.41153776052418334</v>
      </c>
      <c r="AE158" s="1768">
        <v>0.41001716434713187</v>
      </c>
      <c r="AF158" s="1768">
        <v>0.40826817933328524</v>
      </c>
      <c r="AG158" s="1768">
        <v>0.4058587102116038</v>
      </c>
      <c r="AH158" s="1768">
        <v>0.40406182218465514</v>
      </c>
      <c r="AI158" s="1768">
        <v>0.40245910342680841</v>
      </c>
      <c r="AJ158" s="1768">
        <v>0.4025341842479559</v>
      </c>
      <c r="AK158" s="1768">
        <v>0.40266357289062238</v>
      </c>
      <c r="AL158" s="1768">
        <v>0.40279248094243914</v>
      </c>
      <c r="AM158" s="1768">
        <v>0.40304587489311217</v>
      </c>
      <c r="AN158" s="1768">
        <v>0.40331684387406824</v>
      </c>
      <c r="AO158" s="1768">
        <v>0.403668082641368</v>
      </c>
      <c r="AP158" s="1768">
        <v>0.4039941938470572</v>
      </c>
      <c r="AQ158" s="1779"/>
      <c r="AR158" s="1779"/>
      <c r="AS158" s="1779"/>
      <c r="AT158" s="1779"/>
      <c r="AU158" s="1779"/>
      <c r="AV158" s="1779"/>
      <c r="AW158" s="1779"/>
      <c r="AX158" s="1779"/>
      <c r="AY158" s="1779"/>
      <c r="AZ158" s="1779"/>
      <c r="BA158" s="1779"/>
      <c r="BB158" s="1779"/>
      <c r="BC158" s="1779"/>
      <c r="BD158" s="1779"/>
      <c r="BE158" s="1779"/>
      <c r="BF158" s="1779"/>
      <c r="BG158" s="1779"/>
      <c r="BH158" s="1779"/>
      <c r="BI158" s="1779"/>
      <c r="BJ158" s="1779"/>
      <c r="BK158" s="1779"/>
      <c r="BL158" s="1779"/>
      <c r="BM158" s="1779"/>
      <c r="BN158" s="1779"/>
      <c r="BO158" s="1779"/>
      <c r="BP158" s="1780"/>
      <c r="BQ158" s="1776"/>
      <c r="BR158" s="1776"/>
      <c r="BS158" s="1776"/>
      <c r="BT158" s="1776"/>
      <c r="BU158" s="1776"/>
      <c r="BV158" s="1776"/>
      <c r="BW158" s="1776"/>
      <c r="BX158" s="1776"/>
      <c r="BY158" s="1776"/>
      <c r="BZ158" s="1776"/>
      <c r="CA158" s="1776"/>
      <c r="CB158" s="1776"/>
      <c r="CC158" s="1776"/>
      <c r="CD158" s="1776"/>
      <c r="CE158" s="1776"/>
      <c r="CF158" s="1776"/>
      <c r="CG158" s="1776"/>
      <c r="CH158" s="1776"/>
      <c r="CI158" s="1776"/>
      <c r="CJ158" s="1776"/>
      <c r="CK158" s="1776"/>
      <c r="CL158" s="1776"/>
      <c r="CM158" s="1776"/>
      <c r="CN158" s="1777"/>
      <c r="CO158" s="1767"/>
    </row>
    <row r="159" spans="2:93" x14ac:dyDescent="0.2">
      <c r="B159" s="1747"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59" s="1707" t="s">
        <v>1052</v>
      </c>
      <c r="D159" s="1747" t="s">
        <v>1051</v>
      </c>
      <c r="E159" s="1747" t="s">
        <v>1052</v>
      </c>
      <c r="F159" s="1747" t="s">
        <v>1470</v>
      </c>
      <c r="G159" s="1747" t="s">
        <v>863</v>
      </c>
      <c r="H159" s="1763" t="s">
        <v>1461</v>
      </c>
      <c r="I159" s="1747" t="s">
        <v>102</v>
      </c>
      <c r="J159" s="1747" t="s">
        <v>236</v>
      </c>
      <c r="K159" s="1760">
        <v>2</v>
      </c>
      <c r="L159" s="1768"/>
      <c r="M159" s="1768"/>
      <c r="N159" s="1768">
        <v>0.43328262222033609</v>
      </c>
      <c r="O159" s="1768">
        <v>0.43938299452265295</v>
      </c>
      <c r="P159" s="1768">
        <v>0.4302387972878946</v>
      </c>
      <c r="Q159" s="1768">
        <v>0.41098302982203827</v>
      </c>
      <c r="R159" s="1768">
        <v>0.38028984793346549</v>
      </c>
      <c r="S159" s="1768">
        <v>0.3602416007237168</v>
      </c>
      <c r="T159" s="1768">
        <v>0.36984452497855302</v>
      </c>
      <c r="U159" s="1768">
        <v>0.37021996484493647</v>
      </c>
      <c r="V159" s="1768">
        <v>0.36916493378332049</v>
      </c>
      <c r="W159" s="1768">
        <v>0.36791952990139337</v>
      </c>
      <c r="X159" s="1768">
        <v>0.36626166457699899</v>
      </c>
      <c r="Y159" s="1768">
        <v>0.36429244627103752</v>
      </c>
      <c r="Z159" s="1768">
        <v>0.36128564068149494</v>
      </c>
      <c r="AA159" s="1768">
        <v>0.35836749267741241</v>
      </c>
      <c r="AB159" s="1768">
        <v>0.35572005104500182</v>
      </c>
      <c r="AC159" s="1768">
        <v>0.35310843555069449</v>
      </c>
      <c r="AD159" s="1768">
        <v>0.35055501916810961</v>
      </c>
      <c r="AE159" s="1768">
        <v>0.34805688134554302</v>
      </c>
      <c r="AF159" s="1768">
        <v>0.34533086366841814</v>
      </c>
      <c r="AG159" s="1768">
        <v>0.34225252569032449</v>
      </c>
      <c r="AH159" s="1768">
        <v>0.3394897442434982</v>
      </c>
      <c r="AI159" s="1768">
        <v>0.33691168224217283</v>
      </c>
      <c r="AJ159" s="1768">
        <v>0.33567792609046093</v>
      </c>
      <c r="AK159" s="1768">
        <v>0.33676593441807057</v>
      </c>
      <c r="AL159" s="1768">
        <v>0.33779731916037981</v>
      </c>
      <c r="AM159" s="1768">
        <v>0.33891187196066619</v>
      </c>
      <c r="AN159" s="1768">
        <v>0.34007948941540311</v>
      </c>
      <c r="AO159" s="1768">
        <v>0.34134278156848397</v>
      </c>
      <c r="AP159" s="1768">
        <v>0.34260849803452265</v>
      </c>
      <c r="AQ159" s="1779"/>
      <c r="AR159" s="1779"/>
      <c r="AS159" s="1779"/>
      <c r="AT159" s="1779"/>
      <c r="AU159" s="1779"/>
      <c r="AV159" s="1779"/>
      <c r="AW159" s="1779"/>
      <c r="AX159" s="1779"/>
      <c r="AY159" s="1779"/>
      <c r="AZ159" s="1779"/>
      <c r="BA159" s="1779"/>
      <c r="BB159" s="1779"/>
      <c r="BC159" s="1779"/>
      <c r="BD159" s="1779"/>
      <c r="BE159" s="1779"/>
      <c r="BF159" s="1779"/>
      <c r="BG159" s="1779"/>
      <c r="BH159" s="1779"/>
      <c r="BI159" s="1779"/>
      <c r="BJ159" s="1779"/>
      <c r="BK159" s="1779"/>
      <c r="BL159" s="1779"/>
      <c r="BM159" s="1779"/>
      <c r="BN159" s="1779"/>
      <c r="BO159" s="1779"/>
      <c r="BP159" s="1780"/>
      <c r="BQ159" s="1776"/>
      <c r="BR159" s="1776"/>
      <c r="BS159" s="1776"/>
      <c r="BT159" s="1776"/>
      <c r="BU159" s="1776"/>
      <c r="BV159" s="1776"/>
      <c r="BW159" s="1776"/>
      <c r="BX159" s="1776"/>
      <c r="BY159" s="1776"/>
      <c r="BZ159" s="1776"/>
      <c r="CA159" s="1776"/>
      <c r="CB159" s="1776"/>
      <c r="CC159" s="1776"/>
      <c r="CD159" s="1776"/>
      <c r="CE159" s="1776"/>
      <c r="CF159" s="1776"/>
      <c r="CG159" s="1776"/>
      <c r="CH159" s="1776"/>
      <c r="CI159" s="1776"/>
      <c r="CJ159" s="1776"/>
      <c r="CK159" s="1776"/>
      <c r="CL159" s="1776"/>
      <c r="CM159" s="1776"/>
      <c r="CN159" s="1777"/>
      <c r="CO159" s="1767"/>
    </row>
    <row r="160" spans="2:93" x14ac:dyDescent="0.2">
      <c r="B160" s="1747"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60" s="1707" t="s">
        <v>1052</v>
      </c>
      <c r="D160" s="1747" t="s">
        <v>1051</v>
      </c>
      <c r="E160" s="1747" t="s">
        <v>1052</v>
      </c>
      <c r="F160" s="1747" t="s">
        <v>1470</v>
      </c>
      <c r="G160" s="1747" t="s">
        <v>863</v>
      </c>
      <c r="H160" s="1763" t="s">
        <v>1461</v>
      </c>
      <c r="I160" s="1747" t="s">
        <v>105</v>
      </c>
      <c r="J160" s="1747" t="s">
        <v>236</v>
      </c>
      <c r="K160" s="1760">
        <v>2</v>
      </c>
      <c r="L160" s="1768"/>
      <c r="M160" s="1768"/>
      <c r="N160" s="1768">
        <v>3.5004794165974826</v>
      </c>
      <c r="O160" s="1768">
        <v>3.3744633255132452</v>
      </c>
      <c r="P160" s="1768">
        <v>3.3591867269437676</v>
      </c>
      <c r="Q160" s="1768">
        <v>3.3113465388984613</v>
      </c>
      <c r="R160" s="1768">
        <v>3.2076174313820611</v>
      </c>
      <c r="S160" s="1768">
        <v>3.0982878673412513</v>
      </c>
      <c r="T160" s="1768">
        <v>2.9060452248363138</v>
      </c>
      <c r="U160" s="1768">
        <v>2.7169128111381964</v>
      </c>
      <c r="V160" s="1768">
        <v>2.5889010084849353</v>
      </c>
      <c r="W160" s="1768">
        <v>2.5426640037345707</v>
      </c>
      <c r="X160" s="1768">
        <v>2.5266852694960997</v>
      </c>
      <c r="Y160" s="1768">
        <v>2.4997307998018758</v>
      </c>
      <c r="Z160" s="1768">
        <v>2.4665565529203413</v>
      </c>
      <c r="AA160" s="1768">
        <v>2.4455900570498299</v>
      </c>
      <c r="AB160" s="1768">
        <v>2.43003822040831</v>
      </c>
      <c r="AC160" s="1768">
        <v>2.4149271666858496</v>
      </c>
      <c r="AD160" s="1768">
        <v>2.4000004671999156</v>
      </c>
      <c r="AE160" s="1768">
        <v>2.3863347718917205</v>
      </c>
      <c r="AF160" s="1768">
        <v>2.3733827739153268</v>
      </c>
      <c r="AG160" s="1768">
        <v>2.3579961506711662</v>
      </c>
      <c r="AH160" s="1768">
        <v>2.3452100900489183</v>
      </c>
      <c r="AI160" s="1768">
        <v>2.3335793724165148</v>
      </c>
      <c r="AJ160" s="1768">
        <v>2.3319248771344796</v>
      </c>
      <c r="AK160" s="1768">
        <v>2.3303187671984498</v>
      </c>
      <c r="AL160" s="1768">
        <v>2.3285654809685266</v>
      </c>
      <c r="AM160" s="1768">
        <v>2.3273719089165255</v>
      </c>
      <c r="AN160" s="1768">
        <v>2.3260076961937726</v>
      </c>
      <c r="AO160" s="1768">
        <v>2.3248168921623487</v>
      </c>
      <c r="AP160" s="1768">
        <v>2.3230814996449083</v>
      </c>
      <c r="AQ160" s="1779"/>
      <c r="AR160" s="1779"/>
      <c r="AS160" s="1779"/>
      <c r="AT160" s="1779"/>
      <c r="AU160" s="1779"/>
      <c r="AV160" s="1779"/>
      <c r="AW160" s="1779"/>
      <c r="AX160" s="1779"/>
      <c r="AY160" s="1779"/>
      <c r="AZ160" s="1779"/>
      <c r="BA160" s="1779"/>
      <c r="BB160" s="1779"/>
      <c r="BC160" s="1779"/>
      <c r="BD160" s="1779"/>
      <c r="BE160" s="1779"/>
      <c r="BF160" s="1779"/>
      <c r="BG160" s="1779"/>
      <c r="BH160" s="1779"/>
      <c r="BI160" s="1779"/>
      <c r="BJ160" s="1779"/>
      <c r="BK160" s="1779"/>
      <c r="BL160" s="1779"/>
      <c r="BM160" s="1779"/>
      <c r="BN160" s="1779"/>
      <c r="BO160" s="1779"/>
      <c r="BP160" s="1780"/>
      <c r="BQ160" s="1776"/>
      <c r="BR160" s="1776"/>
      <c r="BS160" s="1776"/>
      <c r="BT160" s="1776"/>
      <c r="BU160" s="1776"/>
      <c r="BV160" s="1776"/>
      <c r="BW160" s="1776"/>
      <c r="BX160" s="1776"/>
      <c r="BY160" s="1776"/>
      <c r="BZ160" s="1776"/>
      <c r="CA160" s="1776"/>
      <c r="CB160" s="1776"/>
      <c r="CC160" s="1776"/>
      <c r="CD160" s="1776"/>
      <c r="CE160" s="1776"/>
      <c r="CF160" s="1776"/>
      <c r="CG160" s="1776"/>
      <c r="CH160" s="1776"/>
      <c r="CI160" s="1776"/>
      <c r="CJ160" s="1776"/>
      <c r="CK160" s="1776"/>
      <c r="CL160" s="1776"/>
      <c r="CM160" s="1776"/>
      <c r="CN160" s="1777"/>
      <c r="CO160" s="1767"/>
    </row>
    <row r="161" spans="2:93" x14ac:dyDescent="0.2">
      <c r="B161" s="1747"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61" s="1762" t="s">
        <v>1052</v>
      </c>
      <c r="D161" s="1763" t="s">
        <v>1051</v>
      </c>
      <c r="E161" s="1763" t="s">
        <v>1052</v>
      </c>
      <c r="F161" s="1763" t="s">
        <v>1470</v>
      </c>
      <c r="G161" s="1763" t="s">
        <v>863</v>
      </c>
      <c r="H161" s="1763" t="s">
        <v>1457</v>
      </c>
      <c r="I161" s="1763" t="s">
        <v>88</v>
      </c>
      <c r="J161" s="1763" t="s">
        <v>236</v>
      </c>
      <c r="K161" s="1764">
        <v>2</v>
      </c>
      <c r="L161" s="1753"/>
      <c r="M161" s="1753"/>
      <c r="N161" s="1753">
        <v>16</v>
      </c>
      <c r="O161" s="1753">
        <v>16</v>
      </c>
      <c r="P161" s="1753">
        <v>16</v>
      </c>
      <c r="Q161" s="1753">
        <v>16</v>
      </c>
      <c r="R161" s="1753">
        <v>16</v>
      </c>
      <c r="S161" s="1753">
        <v>16</v>
      </c>
      <c r="T161" s="1753">
        <v>16</v>
      </c>
      <c r="U161" s="1753">
        <v>12</v>
      </c>
      <c r="V161" s="1753">
        <v>12</v>
      </c>
      <c r="W161" s="1753">
        <v>12</v>
      </c>
      <c r="X161" s="1753">
        <v>12</v>
      </c>
      <c r="Y161" s="1753">
        <v>12</v>
      </c>
      <c r="Z161" s="1753">
        <v>12</v>
      </c>
      <c r="AA161" s="1753">
        <v>12</v>
      </c>
      <c r="AB161" s="1753">
        <v>12</v>
      </c>
      <c r="AC161" s="1753">
        <v>12</v>
      </c>
      <c r="AD161" s="1753">
        <v>12</v>
      </c>
      <c r="AE161" s="1753">
        <v>12</v>
      </c>
      <c r="AF161" s="1753">
        <v>12</v>
      </c>
      <c r="AG161" s="1753">
        <v>12</v>
      </c>
      <c r="AH161" s="1753">
        <v>12</v>
      </c>
      <c r="AI161" s="1753">
        <v>12</v>
      </c>
      <c r="AJ161" s="1753">
        <v>12</v>
      </c>
      <c r="AK161" s="1753">
        <v>12</v>
      </c>
      <c r="AL161" s="1753">
        <v>12</v>
      </c>
      <c r="AM161" s="1753">
        <v>12</v>
      </c>
      <c r="AN161" s="1753">
        <v>12</v>
      </c>
      <c r="AO161" s="1753">
        <v>12</v>
      </c>
      <c r="AP161" s="1753">
        <v>12</v>
      </c>
      <c r="AQ161" s="1779"/>
      <c r="AR161" s="1779"/>
      <c r="AS161" s="1779"/>
      <c r="AT161" s="1779"/>
      <c r="AU161" s="1779"/>
      <c r="AV161" s="1779"/>
      <c r="AW161" s="1779"/>
      <c r="AX161" s="1779"/>
      <c r="AY161" s="1779"/>
      <c r="AZ161" s="1779"/>
      <c r="BA161" s="1779"/>
      <c r="BB161" s="1779"/>
      <c r="BC161" s="1779"/>
      <c r="BD161" s="1779"/>
      <c r="BE161" s="1779"/>
      <c r="BF161" s="1779"/>
      <c r="BG161" s="1779"/>
      <c r="BH161" s="1779"/>
      <c r="BI161" s="1779"/>
      <c r="BJ161" s="1779"/>
      <c r="BK161" s="1779"/>
      <c r="BL161" s="1779"/>
      <c r="BM161" s="1779"/>
      <c r="BN161" s="1779"/>
      <c r="BO161" s="1779"/>
      <c r="BP161" s="1780"/>
      <c r="BQ161" s="1776"/>
      <c r="BR161" s="1776"/>
      <c r="BS161" s="1776"/>
      <c r="BT161" s="1776"/>
      <c r="BU161" s="1776"/>
      <c r="BV161" s="1776"/>
      <c r="BW161" s="1776"/>
      <c r="BX161" s="1776"/>
      <c r="BY161" s="1776"/>
      <c r="BZ161" s="1776"/>
      <c r="CA161" s="1776"/>
      <c r="CB161" s="1776"/>
      <c r="CC161" s="1776"/>
      <c r="CD161" s="1776"/>
      <c r="CE161" s="1776"/>
      <c r="CF161" s="1776"/>
      <c r="CG161" s="1776"/>
      <c r="CH161" s="1776"/>
      <c r="CI161" s="1776"/>
      <c r="CJ161" s="1776"/>
      <c r="CK161" s="1776"/>
      <c r="CL161" s="1776"/>
      <c r="CM161" s="1776"/>
      <c r="CN161" s="1777"/>
      <c r="CO161" s="1767"/>
    </row>
    <row r="162" spans="2:93" x14ac:dyDescent="0.2">
      <c r="B162" s="1747"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62" s="1707" t="s">
        <v>1052</v>
      </c>
      <c r="D162" s="1747" t="s">
        <v>1051</v>
      </c>
      <c r="E162" s="1747" t="s">
        <v>1052</v>
      </c>
      <c r="F162" s="1747" t="s">
        <v>1470</v>
      </c>
      <c r="G162" s="1747" t="s">
        <v>863</v>
      </c>
      <c r="H162" s="1763" t="s">
        <v>1457</v>
      </c>
      <c r="I162" s="1747" t="s">
        <v>93</v>
      </c>
      <c r="J162" s="1747" t="s">
        <v>236</v>
      </c>
      <c r="K162" s="1760">
        <v>2</v>
      </c>
      <c r="L162" s="1768"/>
      <c r="M162" s="1768"/>
      <c r="N162" s="1768">
        <v>0.56196775129138377</v>
      </c>
      <c r="O162" s="1768">
        <v>0.56098551561311139</v>
      </c>
      <c r="P162" s="1768">
        <v>0.54042307966133263</v>
      </c>
      <c r="Q162" s="1768">
        <v>0.53105987093583762</v>
      </c>
      <c r="R162" s="1768">
        <v>0.51870798545913988</v>
      </c>
      <c r="S162" s="1768">
        <v>0.51531734399295592</v>
      </c>
      <c r="T162" s="1768">
        <v>0.51221897509395931</v>
      </c>
      <c r="U162" s="1768">
        <v>0.50317508689781199</v>
      </c>
      <c r="V162" s="1768">
        <v>0.47917946755533014</v>
      </c>
      <c r="W162" s="1768">
        <v>0.45092093322196958</v>
      </c>
      <c r="X162" s="1768">
        <v>0.43694180327222432</v>
      </c>
      <c r="Y162" s="1768">
        <v>0.43107348409504465</v>
      </c>
      <c r="Z162" s="1768">
        <v>0.42393881556024793</v>
      </c>
      <c r="AA162" s="1768">
        <v>0.41695742174332828</v>
      </c>
      <c r="AB162" s="1768">
        <v>0.41503255168982134</v>
      </c>
      <c r="AC162" s="1768">
        <v>0.41321612621159592</v>
      </c>
      <c r="AD162" s="1768">
        <v>0.41153776052418334</v>
      </c>
      <c r="AE162" s="1768">
        <v>0.41001716434713187</v>
      </c>
      <c r="AF162" s="1768">
        <v>0.40826817933328524</v>
      </c>
      <c r="AG162" s="1768">
        <v>0.4058587102116038</v>
      </c>
      <c r="AH162" s="1768">
        <v>0.40406182218465514</v>
      </c>
      <c r="AI162" s="1768">
        <v>0.40245910342680841</v>
      </c>
      <c r="AJ162" s="1768">
        <v>0.4025341842479559</v>
      </c>
      <c r="AK162" s="1768">
        <v>0.40266357289062238</v>
      </c>
      <c r="AL162" s="1768">
        <v>0.40279248094243914</v>
      </c>
      <c r="AM162" s="1768">
        <v>0.40304587489311217</v>
      </c>
      <c r="AN162" s="1768">
        <v>0.40331684387406824</v>
      </c>
      <c r="AO162" s="1768">
        <v>0.403668082641368</v>
      </c>
      <c r="AP162" s="1768">
        <v>0.4039941938470572</v>
      </c>
      <c r="AQ162" s="1779"/>
      <c r="AR162" s="1779"/>
      <c r="AS162" s="1779"/>
      <c r="AT162" s="1779"/>
      <c r="AU162" s="1779"/>
      <c r="AV162" s="1779"/>
      <c r="AW162" s="1779"/>
      <c r="AX162" s="1779"/>
      <c r="AY162" s="1779"/>
      <c r="AZ162" s="1779"/>
      <c r="BA162" s="1779"/>
      <c r="BB162" s="1779"/>
      <c r="BC162" s="1779"/>
      <c r="BD162" s="1779"/>
      <c r="BE162" s="1779"/>
      <c r="BF162" s="1779"/>
      <c r="BG162" s="1779"/>
      <c r="BH162" s="1779"/>
      <c r="BI162" s="1779"/>
      <c r="BJ162" s="1779"/>
      <c r="BK162" s="1779"/>
      <c r="BL162" s="1779"/>
      <c r="BM162" s="1779"/>
      <c r="BN162" s="1779"/>
      <c r="BO162" s="1779"/>
      <c r="BP162" s="1780"/>
      <c r="BQ162" s="1776"/>
      <c r="BR162" s="1776"/>
      <c r="BS162" s="1776"/>
      <c r="BT162" s="1776"/>
      <c r="BU162" s="1776"/>
      <c r="BV162" s="1776"/>
      <c r="BW162" s="1776"/>
      <c r="BX162" s="1776"/>
      <c r="BY162" s="1776"/>
      <c r="BZ162" s="1776"/>
      <c r="CA162" s="1776"/>
      <c r="CB162" s="1776"/>
      <c r="CC162" s="1776"/>
      <c r="CD162" s="1776"/>
      <c r="CE162" s="1776"/>
      <c r="CF162" s="1776"/>
      <c r="CG162" s="1776"/>
      <c r="CH162" s="1776"/>
      <c r="CI162" s="1776"/>
      <c r="CJ162" s="1776"/>
      <c r="CK162" s="1776"/>
      <c r="CL162" s="1776"/>
      <c r="CM162" s="1776"/>
      <c r="CN162" s="1777"/>
      <c r="CO162" s="1767"/>
    </row>
    <row r="163" spans="2:93" x14ac:dyDescent="0.2">
      <c r="B163" s="1747"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63" s="1707" t="s">
        <v>1052</v>
      </c>
      <c r="D163" s="1747" t="s">
        <v>1051</v>
      </c>
      <c r="E163" s="1747" t="s">
        <v>1052</v>
      </c>
      <c r="F163" s="1747" t="s">
        <v>1470</v>
      </c>
      <c r="G163" s="1747" t="s">
        <v>863</v>
      </c>
      <c r="H163" s="1763" t="s">
        <v>1457</v>
      </c>
      <c r="I163" s="1747" t="s">
        <v>102</v>
      </c>
      <c r="J163" s="1747" t="s">
        <v>236</v>
      </c>
      <c r="K163" s="1760">
        <v>2</v>
      </c>
      <c r="L163" s="1768"/>
      <c r="M163" s="1768"/>
      <c r="N163" s="1768">
        <v>0.43328262222033609</v>
      </c>
      <c r="O163" s="1768">
        <v>0.43938299452265295</v>
      </c>
      <c r="P163" s="1768">
        <v>0.4302387972878946</v>
      </c>
      <c r="Q163" s="1768">
        <v>0.41098302982203827</v>
      </c>
      <c r="R163" s="1768">
        <v>0.38028984793346549</v>
      </c>
      <c r="S163" s="1768">
        <v>0.3602416007237168</v>
      </c>
      <c r="T163" s="1768">
        <v>0.36984452497855302</v>
      </c>
      <c r="U163" s="1768">
        <v>0.37021996484493647</v>
      </c>
      <c r="V163" s="1768">
        <v>0.36916493378332049</v>
      </c>
      <c r="W163" s="1768">
        <v>0.36791952990139337</v>
      </c>
      <c r="X163" s="1768">
        <v>0.36626166457699899</v>
      </c>
      <c r="Y163" s="1768">
        <v>0.36429244627103752</v>
      </c>
      <c r="Z163" s="1768">
        <v>0.36128564068149494</v>
      </c>
      <c r="AA163" s="1768">
        <v>0.35836749267741241</v>
      </c>
      <c r="AB163" s="1768">
        <v>0.35572005104500182</v>
      </c>
      <c r="AC163" s="1768">
        <v>0.35310843555069449</v>
      </c>
      <c r="AD163" s="1768">
        <v>0.35055501916810961</v>
      </c>
      <c r="AE163" s="1768">
        <v>0.34805688134554302</v>
      </c>
      <c r="AF163" s="1768">
        <v>0.34533086366841814</v>
      </c>
      <c r="AG163" s="1768">
        <v>0.34225252569032449</v>
      </c>
      <c r="AH163" s="1768">
        <v>0.3394897442434982</v>
      </c>
      <c r="AI163" s="1768">
        <v>0.33691168224217283</v>
      </c>
      <c r="AJ163" s="1768">
        <v>0.33567792609046093</v>
      </c>
      <c r="AK163" s="1768">
        <v>0.33676593441807057</v>
      </c>
      <c r="AL163" s="1768">
        <v>0.33779731916037981</v>
      </c>
      <c r="AM163" s="1768">
        <v>0.33891187196066619</v>
      </c>
      <c r="AN163" s="1768">
        <v>0.34007948941540311</v>
      </c>
      <c r="AO163" s="1768">
        <v>0.34134278156848397</v>
      </c>
      <c r="AP163" s="1768">
        <v>0.34260849803452265</v>
      </c>
      <c r="AQ163" s="1779"/>
      <c r="AR163" s="1779"/>
      <c r="AS163" s="1779"/>
      <c r="AT163" s="1779"/>
      <c r="AU163" s="1779"/>
      <c r="AV163" s="1779"/>
      <c r="AW163" s="1779"/>
      <c r="AX163" s="1779"/>
      <c r="AY163" s="1779"/>
      <c r="AZ163" s="1779"/>
      <c r="BA163" s="1779"/>
      <c r="BB163" s="1779"/>
      <c r="BC163" s="1779"/>
      <c r="BD163" s="1779"/>
      <c r="BE163" s="1779"/>
      <c r="BF163" s="1779"/>
      <c r="BG163" s="1779"/>
      <c r="BH163" s="1779"/>
      <c r="BI163" s="1779"/>
      <c r="BJ163" s="1779"/>
      <c r="BK163" s="1779"/>
      <c r="BL163" s="1779"/>
      <c r="BM163" s="1779"/>
      <c r="BN163" s="1779"/>
      <c r="BO163" s="1779"/>
      <c r="BP163" s="1780"/>
      <c r="BQ163" s="1776"/>
      <c r="BR163" s="1776"/>
      <c r="BS163" s="1776"/>
      <c r="BT163" s="1776"/>
      <c r="BU163" s="1776"/>
      <c r="BV163" s="1776"/>
      <c r="BW163" s="1776"/>
      <c r="BX163" s="1776"/>
      <c r="BY163" s="1776"/>
      <c r="BZ163" s="1776"/>
      <c r="CA163" s="1776"/>
      <c r="CB163" s="1776"/>
      <c r="CC163" s="1776"/>
      <c r="CD163" s="1776"/>
      <c r="CE163" s="1776"/>
      <c r="CF163" s="1776"/>
      <c r="CG163" s="1776"/>
      <c r="CH163" s="1776"/>
      <c r="CI163" s="1776"/>
      <c r="CJ163" s="1776"/>
      <c r="CK163" s="1776"/>
      <c r="CL163" s="1776"/>
      <c r="CM163" s="1776"/>
      <c r="CN163" s="1777"/>
      <c r="CO163" s="1767"/>
    </row>
    <row r="164" spans="2:93" x14ac:dyDescent="0.2">
      <c r="B164" s="1747"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64" s="1707" t="s">
        <v>1052</v>
      </c>
      <c r="D164" s="1747" t="s">
        <v>1051</v>
      </c>
      <c r="E164" s="1747" t="s">
        <v>1052</v>
      </c>
      <c r="F164" s="1747" t="s">
        <v>1470</v>
      </c>
      <c r="G164" s="1747" t="s">
        <v>863</v>
      </c>
      <c r="H164" s="1763" t="s">
        <v>1457</v>
      </c>
      <c r="I164" s="1747" t="s">
        <v>105</v>
      </c>
      <c r="J164" s="1747" t="s">
        <v>236</v>
      </c>
      <c r="K164" s="1760">
        <v>2</v>
      </c>
      <c r="L164" s="1768"/>
      <c r="M164" s="1768"/>
      <c r="N164" s="1768">
        <v>3.5004794165974826</v>
      </c>
      <c r="O164" s="1768">
        <v>3.3744633255132452</v>
      </c>
      <c r="P164" s="1768">
        <v>3.3591867269437676</v>
      </c>
      <c r="Q164" s="1768">
        <v>3.3113465388984613</v>
      </c>
      <c r="R164" s="1768">
        <v>3.2076174313820611</v>
      </c>
      <c r="S164" s="1768">
        <v>3.0982878673412513</v>
      </c>
      <c r="T164" s="1768">
        <v>2.9060452248363138</v>
      </c>
      <c r="U164" s="1768">
        <v>2.7169128111381964</v>
      </c>
      <c r="V164" s="1768">
        <v>2.5889010084849353</v>
      </c>
      <c r="W164" s="1768">
        <v>2.5426640037345707</v>
      </c>
      <c r="X164" s="1768">
        <v>2.5266852694960997</v>
      </c>
      <c r="Y164" s="1768">
        <v>2.4997307998018758</v>
      </c>
      <c r="Z164" s="1768">
        <v>2.4665565529203413</v>
      </c>
      <c r="AA164" s="1768">
        <v>2.4455900570498299</v>
      </c>
      <c r="AB164" s="1768">
        <v>2.43003822040831</v>
      </c>
      <c r="AC164" s="1768">
        <v>2.4149271666858496</v>
      </c>
      <c r="AD164" s="1768">
        <v>2.4000004671999156</v>
      </c>
      <c r="AE164" s="1768">
        <v>2.3863347718917205</v>
      </c>
      <c r="AF164" s="1768">
        <v>2.3733827739153268</v>
      </c>
      <c r="AG164" s="1768">
        <v>2.3579961506711662</v>
      </c>
      <c r="AH164" s="1768">
        <v>2.3452100900489183</v>
      </c>
      <c r="AI164" s="1768">
        <v>2.3335793724165148</v>
      </c>
      <c r="AJ164" s="1768">
        <v>2.3319248771344796</v>
      </c>
      <c r="AK164" s="1768">
        <v>2.3303187671984498</v>
      </c>
      <c r="AL164" s="1768">
        <v>2.3285654809685266</v>
      </c>
      <c r="AM164" s="1768">
        <v>2.3273719089165255</v>
      </c>
      <c r="AN164" s="1768">
        <v>2.3260076961937726</v>
      </c>
      <c r="AO164" s="1768">
        <v>2.3248168921623487</v>
      </c>
      <c r="AP164" s="1768">
        <v>2.3230814996449083</v>
      </c>
      <c r="AQ164" s="1779"/>
      <c r="AR164" s="1779"/>
      <c r="AS164" s="1779"/>
      <c r="AT164" s="1779"/>
      <c r="AU164" s="1779"/>
      <c r="AV164" s="1779"/>
      <c r="AW164" s="1779"/>
      <c r="AX164" s="1779"/>
      <c r="AY164" s="1779"/>
      <c r="AZ164" s="1779"/>
      <c r="BA164" s="1779"/>
      <c r="BB164" s="1779"/>
      <c r="BC164" s="1779"/>
      <c r="BD164" s="1779"/>
      <c r="BE164" s="1779"/>
      <c r="BF164" s="1779"/>
      <c r="BG164" s="1779"/>
      <c r="BH164" s="1779"/>
      <c r="BI164" s="1779"/>
      <c r="BJ164" s="1779"/>
      <c r="BK164" s="1779"/>
      <c r="BL164" s="1779"/>
      <c r="BM164" s="1779"/>
      <c r="BN164" s="1779"/>
      <c r="BO164" s="1779"/>
      <c r="BP164" s="1780"/>
      <c r="BQ164" s="1776"/>
      <c r="BR164" s="1776"/>
      <c r="BS164" s="1776"/>
      <c r="BT164" s="1776"/>
      <c r="BU164" s="1776"/>
      <c r="BV164" s="1776"/>
      <c r="BW164" s="1776"/>
      <c r="BX164" s="1776"/>
      <c r="BY164" s="1776"/>
      <c r="BZ164" s="1776"/>
      <c r="CA164" s="1776"/>
      <c r="CB164" s="1776"/>
      <c r="CC164" s="1776"/>
      <c r="CD164" s="1776"/>
      <c r="CE164" s="1776"/>
      <c r="CF164" s="1776"/>
      <c r="CG164" s="1776"/>
      <c r="CH164" s="1776"/>
      <c r="CI164" s="1776"/>
      <c r="CJ164" s="1776"/>
      <c r="CK164" s="1776"/>
      <c r="CL164" s="1776"/>
      <c r="CM164" s="1776"/>
      <c r="CN164" s="1777"/>
      <c r="CO164" s="1767"/>
    </row>
    <row r="165" spans="2:93" x14ac:dyDescent="0.2">
      <c r="B165" s="1747"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65" s="1762" t="s">
        <v>1052</v>
      </c>
      <c r="D165" s="1763" t="s">
        <v>1051</v>
      </c>
      <c r="E165" s="1763" t="s">
        <v>1052</v>
      </c>
      <c r="F165" s="1763" t="s">
        <v>1470</v>
      </c>
      <c r="G165" s="1763" t="s">
        <v>863</v>
      </c>
      <c r="H165" s="1763" t="s">
        <v>1462</v>
      </c>
      <c r="I165" s="1763" t="s">
        <v>88</v>
      </c>
      <c r="J165" s="1763" t="s">
        <v>236</v>
      </c>
      <c r="K165" s="1764">
        <v>2</v>
      </c>
      <c r="L165" s="1753"/>
      <c r="M165" s="1753"/>
      <c r="N165" s="1753">
        <v>16</v>
      </c>
      <c r="O165" s="1753">
        <v>16</v>
      </c>
      <c r="P165" s="1753">
        <v>16</v>
      </c>
      <c r="Q165" s="1753">
        <v>16</v>
      </c>
      <c r="R165" s="1753">
        <v>16</v>
      </c>
      <c r="S165" s="1753">
        <v>16</v>
      </c>
      <c r="T165" s="1753">
        <v>16</v>
      </c>
      <c r="U165" s="1753">
        <v>12</v>
      </c>
      <c r="V165" s="1753">
        <v>12</v>
      </c>
      <c r="W165" s="1753">
        <v>12</v>
      </c>
      <c r="X165" s="1753">
        <v>12</v>
      </c>
      <c r="Y165" s="1753">
        <v>12</v>
      </c>
      <c r="Z165" s="1753">
        <v>12</v>
      </c>
      <c r="AA165" s="1753">
        <v>12</v>
      </c>
      <c r="AB165" s="1753">
        <v>12</v>
      </c>
      <c r="AC165" s="1753">
        <v>12</v>
      </c>
      <c r="AD165" s="1753">
        <v>12</v>
      </c>
      <c r="AE165" s="1753">
        <v>12</v>
      </c>
      <c r="AF165" s="1753">
        <v>12</v>
      </c>
      <c r="AG165" s="1753">
        <v>12</v>
      </c>
      <c r="AH165" s="1753">
        <v>12</v>
      </c>
      <c r="AI165" s="1753">
        <v>12</v>
      </c>
      <c r="AJ165" s="1753">
        <v>12</v>
      </c>
      <c r="AK165" s="1753">
        <v>12</v>
      </c>
      <c r="AL165" s="1753">
        <v>12</v>
      </c>
      <c r="AM165" s="1753">
        <v>12</v>
      </c>
      <c r="AN165" s="1753">
        <v>12</v>
      </c>
      <c r="AO165" s="1753">
        <v>12</v>
      </c>
      <c r="AP165" s="1753">
        <v>12</v>
      </c>
      <c r="AQ165" s="1779"/>
      <c r="AR165" s="1779"/>
      <c r="AS165" s="1779"/>
      <c r="AT165" s="1779"/>
      <c r="AU165" s="1779"/>
      <c r="AV165" s="1779"/>
      <c r="AW165" s="1779"/>
      <c r="AX165" s="1779"/>
      <c r="AY165" s="1779"/>
      <c r="AZ165" s="1779"/>
      <c r="BA165" s="1779"/>
      <c r="BB165" s="1779"/>
      <c r="BC165" s="1779"/>
      <c r="BD165" s="1779"/>
      <c r="BE165" s="1779"/>
      <c r="BF165" s="1779"/>
      <c r="BG165" s="1779"/>
      <c r="BH165" s="1779"/>
      <c r="BI165" s="1779"/>
      <c r="BJ165" s="1779"/>
      <c r="BK165" s="1779"/>
      <c r="BL165" s="1779"/>
      <c r="BM165" s="1779"/>
      <c r="BN165" s="1779"/>
      <c r="BO165" s="1779"/>
      <c r="BP165" s="1780"/>
      <c r="BQ165" s="1776"/>
      <c r="BR165" s="1776"/>
      <c r="BS165" s="1776"/>
      <c r="BT165" s="1776"/>
      <c r="BU165" s="1776"/>
      <c r="BV165" s="1776"/>
      <c r="BW165" s="1776"/>
      <c r="BX165" s="1776"/>
      <c r="BY165" s="1776"/>
      <c r="BZ165" s="1776"/>
      <c r="CA165" s="1776"/>
      <c r="CB165" s="1776"/>
      <c r="CC165" s="1776"/>
      <c r="CD165" s="1776"/>
      <c r="CE165" s="1776"/>
      <c r="CF165" s="1776"/>
      <c r="CG165" s="1776"/>
      <c r="CH165" s="1776"/>
      <c r="CI165" s="1776"/>
      <c r="CJ165" s="1776"/>
      <c r="CK165" s="1776"/>
      <c r="CL165" s="1776"/>
      <c r="CM165" s="1776"/>
      <c r="CN165" s="1777"/>
      <c r="CO165" s="1767"/>
    </row>
    <row r="166" spans="2:93" x14ac:dyDescent="0.2">
      <c r="B166" s="1747"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66" s="1707" t="s">
        <v>1052</v>
      </c>
      <c r="D166" s="1747" t="s">
        <v>1051</v>
      </c>
      <c r="E166" s="1747" t="s">
        <v>1052</v>
      </c>
      <c r="F166" s="1747" t="s">
        <v>1470</v>
      </c>
      <c r="G166" s="1747" t="s">
        <v>863</v>
      </c>
      <c r="H166" s="1763" t="s">
        <v>1462</v>
      </c>
      <c r="I166" s="1747" t="s">
        <v>93</v>
      </c>
      <c r="J166" s="1747" t="s">
        <v>236</v>
      </c>
      <c r="K166" s="1760">
        <v>2</v>
      </c>
      <c r="L166" s="1768"/>
      <c r="M166" s="1768"/>
      <c r="N166" s="1768">
        <v>0.56196775129138377</v>
      </c>
      <c r="O166" s="1768">
        <v>0.56098551561311139</v>
      </c>
      <c r="P166" s="1768">
        <v>0.54042307966133263</v>
      </c>
      <c r="Q166" s="1768">
        <v>0.53105987093583762</v>
      </c>
      <c r="R166" s="1768">
        <v>0.51870798545913988</v>
      </c>
      <c r="S166" s="1768">
        <v>0.51531734399295592</v>
      </c>
      <c r="T166" s="1768">
        <v>0.51221897509395931</v>
      </c>
      <c r="U166" s="1768">
        <v>0.50317508689781199</v>
      </c>
      <c r="V166" s="1768">
        <v>0.47917946755533014</v>
      </c>
      <c r="W166" s="1768">
        <v>0.45092093322196958</v>
      </c>
      <c r="X166" s="1768">
        <v>0.43694180327222432</v>
      </c>
      <c r="Y166" s="1768">
        <v>0.43107348409504465</v>
      </c>
      <c r="Z166" s="1768">
        <v>0.42393881556024793</v>
      </c>
      <c r="AA166" s="1768">
        <v>0.41695742174332828</v>
      </c>
      <c r="AB166" s="1768">
        <v>0.41503255168982134</v>
      </c>
      <c r="AC166" s="1768">
        <v>0.41321612621159592</v>
      </c>
      <c r="AD166" s="1768">
        <v>0.41153776052418334</v>
      </c>
      <c r="AE166" s="1768">
        <v>0.41001716434713187</v>
      </c>
      <c r="AF166" s="1768">
        <v>0.40826817933328524</v>
      </c>
      <c r="AG166" s="1768">
        <v>0.4058587102116038</v>
      </c>
      <c r="AH166" s="1768">
        <v>0.40406182218465514</v>
      </c>
      <c r="AI166" s="1768">
        <v>0.40245910342680841</v>
      </c>
      <c r="AJ166" s="1768">
        <v>0.4025341842479559</v>
      </c>
      <c r="AK166" s="1768">
        <v>0.40266357289062238</v>
      </c>
      <c r="AL166" s="1768">
        <v>0.40279248094243914</v>
      </c>
      <c r="AM166" s="1768">
        <v>0.40304587489311217</v>
      </c>
      <c r="AN166" s="1768">
        <v>0.40331684387406824</v>
      </c>
      <c r="AO166" s="1768">
        <v>0.403668082641368</v>
      </c>
      <c r="AP166" s="1768">
        <v>0.4039941938470572</v>
      </c>
      <c r="AQ166" s="1779"/>
      <c r="AR166" s="1779"/>
      <c r="AS166" s="1779"/>
      <c r="AT166" s="1779"/>
      <c r="AU166" s="1779"/>
      <c r="AV166" s="1779"/>
      <c r="AW166" s="1779"/>
      <c r="AX166" s="1779"/>
      <c r="AY166" s="1779"/>
      <c r="AZ166" s="1779"/>
      <c r="BA166" s="1779"/>
      <c r="BB166" s="1779"/>
      <c r="BC166" s="1779"/>
      <c r="BD166" s="1779"/>
      <c r="BE166" s="1779"/>
      <c r="BF166" s="1779"/>
      <c r="BG166" s="1779"/>
      <c r="BH166" s="1779"/>
      <c r="BI166" s="1779"/>
      <c r="BJ166" s="1779"/>
      <c r="BK166" s="1779"/>
      <c r="BL166" s="1779"/>
      <c r="BM166" s="1779"/>
      <c r="BN166" s="1779"/>
      <c r="BO166" s="1779"/>
      <c r="BP166" s="1780"/>
      <c r="BQ166" s="1776"/>
      <c r="BR166" s="1776"/>
      <c r="BS166" s="1776"/>
      <c r="BT166" s="1776"/>
      <c r="BU166" s="1776"/>
      <c r="BV166" s="1776"/>
      <c r="BW166" s="1776"/>
      <c r="BX166" s="1776"/>
      <c r="BY166" s="1776"/>
      <c r="BZ166" s="1776"/>
      <c r="CA166" s="1776"/>
      <c r="CB166" s="1776"/>
      <c r="CC166" s="1776"/>
      <c r="CD166" s="1776"/>
      <c r="CE166" s="1776"/>
      <c r="CF166" s="1776"/>
      <c r="CG166" s="1776"/>
      <c r="CH166" s="1776"/>
      <c r="CI166" s="1776"/>
      <c r="CJ166" s="1776"/>
      <c r="CK166" s="1776"/>
      <c r="CL166" s="1776"/>
      <c r="CM166" s="1776"/>
      <c r="CN166" s="1777"/>
      <c r="CO166" s="1767"/>
    </row>
    <row r="167" spans="2:93" x14ac:dyDescent="0.2">
      <c r="B167" s="1747"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67" s="1707" t="s">
        <v>1052</v>
      </c>
      <c r="D167" s="1747" t="s">
        <v>1051</v>
      </c>
      <c r="E167" s="1747" t="s">
        <v>1052</v>
      </c>
      <c r="F167" s="1747" t="s">
        <v>1470</v>
      </c>
      <c r="G167" s="1747" t="s">
        <v>863</v>
      </c>
      <c r="H167" s="1763" t="s">
        <v>1462</v>
      </c>
      <c r="I167" s="1747" t="s">
        <v>102</v>
      </c>
      <c r="J167" s="1747" t="s">
        <v>236</v>
      </c>
      <c r="K167" s="1760">
        <v>2</v>
      </c>
      <c r="L167" s="1768"/>
      <c r="M167" s="1768"/>
      <c r="N167" s="1768">
        <v>0.43328262222033609</v>
      </c>
      <c r="O167" s="1768">
        <v>0.43938299452265295</v>
      </c>
      <c r="P167" s="1768">
        <v>0.4302387972878946</v>
      </c>
      <c r="Q167" s="1768">
        <v>0.41098302982203827</v>
      </c>
      <c r="R167" s="1768">
        <v>0.38028984793346549</v>
      </c>
      <c r="S167" s="1768">
        <v>0.3602416007237168</v>
      </c>
      <c r="T167" s="1768">
        <v>0.36984452497855302</v>
      </c>
      <c r="U167" s="1768">
        <v>0.37021996484493647</v>
      </c>
      <c r="V167" s="1768">
        <v>0.36916493378332049</v>
      </c>
      <c r="W167" s="1768">
        <v>0.36791952990139337</v>
      </c>
      <c r="X167" s="1768">
        <v>0.36626166457699899</v>
      </c>
      <c r="Y167" s="1768">
        <v>0.36429244627103752</v>
      </c>
      <c r="Z167" s="1768">
        <v>0.36128564068149494</v>
      </c>
      <c r="AA167" s="1768">
        <v>0.35836749267741241</v>
      </c>
      <c r="AB167" s="1768">
        <v>0.35572005104500182</v>
      </c>
      <c r="AC167" s="1768">
        <v>0.35310843555069449</v>
      </c>
      <c r="AD167" s="1768">
        <v>0.35055501916810961</v>
      </c>
      <c r="AE167" s="1768">
        <v>0.34805688134554302</v>
      </c>
      <c r="AF167" s="1768">
        <v>0.34533086366841814</v>
      </c>
      <c r="AG167" s="1768">
        <v>0.34225252569032449</v>
      </c>
      <c r="AH167" s="1768">
        <v>0.3394897442434982</v>
      </c>
      <c r="AI167" s="1768">
        <v>0.33691168224217283</v>
      </c>
      <c r="AJ167" s="1768">
        <v>0.33567792609046093</v>
      </c>
      <c r="AK167" s="1768">
        <v>0.33676593441807057</v>
      </c>
      <c r="AL167" s="1768">
        <v>0.33779731916037981</v>
      </c>
      <c r="AM167" s="1768">
        <v>0.33891187196066619</v>
      </c>
      <c r="AN167" s="1768">
        <v>0.34007948941540311</v>
      </c>
      <c r="AO167" s="1768">
        <v>0.34134278156848397</v>
      </c>
      <c r="AP167" s="1768">
        <v>0.34260849803452265</v>
      </c>
      <c r="AQ167" s="1779"/>
      <c r="AR167" s="1779"/>
      <c r="AS167" s="1779"/>
      <c r="AT167" s="1779"/>
      <c r="AU167" s="1779"/>
      <c r="AV167" s="1779"/>
      <c r="AW167" s="1779"/>
      <c r="AX167" s="1779"/>
      <c r="AY167" s="1779"/>
      <c r="AZ167" s="1779"/>
      <c r="BA167" s="1779"/>
      <c r="BB167" s="1779"/>
      <c r="BC167" s="1779"/>
      <c r="BD167" s="1779"/>
      <c r="BE167" s="1779"/>
      <c r="BF167" s="1779"/>
      <c r="BG167" s="1779"/>
      <c r="BH167" s="1779"/>
      <c r="BI167" s="1779"/>
      <c r="BJ167" s="1779"/>
      <c r="BK167" s="1779"/>
      <c r="BL167" s="1779"/>
      <c r="BM167" s="1779"/>
      <c r="BN167" s="1779"/>
      <c r="BO167" s="1779"/>
      <c r="BP167" s="1780"/>
      <c r="BQ167" s="1776"/>
      <c r="BR167" s="1776"/>
      <c r="BS167" s="1776"/>
      <c r="BT167" s="1776"/>
      <c r="BU167" s="1776"/>
      <c r="BV167" s="1776"/>
      <c r="BW167" s="1776"/>
      <c r="BX167" s="1776"/>
      <c r="BY167" s="1776"/>
      <c r="BZ167" s="1776"/>
      <c r="CA167" s="1776"/>
      <c r="CB167" s="1776"/>
      <c r="CC167" s="1776"/>
      <c r="CD167" s="1776"/>
      <c r="CE167" s="1776"/>
      <c r="CF167" s="1776"/>
      <c r="CG167" s="1776"/>
      <c r="CH167" s="1776"/>
      <c r="CI167" s="1776"/>
      <c r="CJ167" s="1776"/>
      <c r="CK167" s="1776"/>
      <c r="CL167" s="1776"/>
      <c r="CM167" s="1776"/>
      <c r="CN167" s="1777"/>
      <c r="CO167" s="1767"/>
    </row>
    <row r="168" spans="2:93" x14ac:dyDescent="0.2">
      <c r="B168" s="1747"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68" s="1707" t="s">
        <v>1052</v>
      </c>
      <c r="D168" s="1747" t="s">
        <v>1051</v>
      </c>
      <c r="E168" s="1747" t="s">
        <v>1052</v>
      </c>
      <c r="F168" s="1747" t="s">
        <v>1470</v>
      </c>
      <c r="G168" s="1747" t="s">
        <v>863</v>
      </c>
      <c r="H168" s="1763" t="s">
        <v>1462</v>
      </c>
      <c r="I168" s="1747" t="s">
        <v>105</v>
      </c>
      <c r="J168" s="1747" t="s">
        <v>236</v>
      </c>
      <c r="K168" s="1760">
        <v>2</v>
      </c>
      <c r="L168" s="1768"/>
      <c r="M168" s="1768"/>
      <c r="N168" s="1768">
        <v>3.5004794165974826</v>
      </c>
      <c r="O168" s="1768">
        <v>3.3744633255132452</v>
      </c>
      <c r="P168" s="1768">
        <v>3.3591867269437676</v>
      </c>
      <c r="Q168" s="1768">
        <v>3.3113465388984613</v>
      </c>
      <c r="R168" s="1768">
        <v>3.2076174313820611</v>
      </c>
      <c r="S168" s="1768">
        <v>3.0982878673412513</v>
      </c>
      <c r="T168" s="1768">
        <v>2.9060452248363138</v>
      </c>
      <c r="U168" s="1768">
        <v>2.7169128111381964</v>
      </c>
      <c r="V168" s="1768">
        <v>2.5889010084849353</v>
      </c>
      <c r="W168" s="1768">
        <v>2.5426640037345707</v>
      </c>
      <c r="X168" s="1768">
        <v>2.5266852694960997</v>
      </c>
      <c r="Y168" s="1768">
        <v>2.4997307998018758</v>
      </c>
      <c r="Z168" s="1768">
        <v>2.4665565529203413</v>
      </c>
      <c r="AA168" s="1768">
        <v>2.4455900570498299</v>
      </c>
      <c r="AB168" s="1768">
        <v>2.43003822040831</v>
      </c>
      <c r="AC168" s="1768">
        <v>2.4149271666858496</v>
      </c>
      <c r="AD168" s="1768">
        <v>2.4000004671999156</v>
      </c>
      <c r="AE168" s="1768">
        <v>2.3863347718917205</v>
      </c>
      <c r="AF168" s="1768">
        <v>2.3733827739153268</v>
      </c>
      <c r="AG168" s="1768">
        <v>2.3579961506711662</v>
      </c>
      <c r="AH168" s="1768">
        <v>2.3452100900489183</v>
      </c>
      <c r="AI168" s="1768">
        <v>2.3335793724165148</v>
      </c>
      <c r="AJ168" s="1768">
        <v>2.3319248771344796</v>
      </c>
      <c r="AK168" s="1768">
        <v>2.3303187671984498</v>
      </c>
      <c r="AL168" s="1768">
        <v>2.3285654809685266</v>
      </c>
      <c r="AM168" s="1768">
        <v>2.3273719089165255</v>
      </c>
      <c r="AN168" s="1768">
        <v>2.3260076961937726</v>
      </c>
      <c r="AO168" s="1768">
        <v>2.3248168921623487</v>
      </c>
      <c r="AP168" s="1768">
        <v>2.3230814996449083</v>
      </c>
      <c r="AQ168" s="1779"/>
      <c r="AR168" s="1779"/>
      <c r="AS168" s="1779"/>
      <c r="AT168" s="1779"/>
      <c r="AU168" s="1779"/>
      <c r="AV168" s="1779"/>
      <c r="AW168" s="1779"/>
      <c r="AX168" s="1779"/>
      <c r="AY168" s="1779"/>
      <c r="AZ168" s="1779"/>
      <c r="BA168" s="1779"/>
      <c r="BB168" s="1779"/>
      <c r="BC168" s="1779"/>
      <c r="BD168" s="1779"/>
      <c r="BE168" s="1779"/>
      <c r="BF168" s="1779"/>
      <c r="BG168" s="1779"/>
      <c r="BH168" s="1779"/>
      <c r="BI168" s="1779"/>
      <c r="BJ168" s="1779"/>
      <c r="BK168" s="1779"/>
      <c r="BL168" s="1779"/>
      <c r="BM168" s="1779"/>
      <c r="BN168" s="1779"/>
      <c r="BO168" s="1779"/>
      <c r="BP168" s="1780"/>
      <c r="BQ168" s="1776"/>
      <c r="BR168" s="1776"/>
      <c r="BS168" s="1776"/>
      <c r="BT168" s="1776"/>
      <c r="BU168" s="1776"/>
      <c r="BV168" s="1776"/>
      <c r="BW168" s="1776"/>
      <c r="BX168" s="1776"/>
      <c r="BY168" s="1776"/>
      <c r="BZ168" s="1776"/>
      <c r="CA168" s="1776"/>
      <c r="CB168" s="1776"/>
      <c r="CC168" s="1776"/>
      <c r="CD168" s="1776"/>
      <c r="CE168" s="1776"/>
      <c r="CF168" s="1776"/>
      <c r="CG168" s="1776"/>
      <c r="CH168" s="1776"/>
      <c r="CI168" s="1776"/>
      <c r="CJ168" s="1776"/>
      <c r="CK168" s="1776"/>
      <c r="CL168" s="1776"/>
      <c r="CM168" s="1776"/>
      <c r="CN168" s="1777"/>
      <c r="CO168" s="1767"/>
    </row>
    <row r="169" spans="2:93" x14ac:dyDescent="0.2">
      <c r="B169" s="1747"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69" s="1762" t="s">
        <v>1052</v>
      </c>
      <c r="D169" s="1763" t="s">
        <v>1051</v>
      </c>
      <c r="E169" s="1763" t="s">
        <v>1052</v>
      </c>
      <c r="F169" s="1763" t="s">
        <v>1470</v>
      </c>
      <c r="G169" s="1763" t="s">
        <v>863</v>
      </c>
      <c r="H169" s="1763" t="s">
        <v>1459</v>
      </c>
      <c r="I169" s="1763" t="s">
        <v>88</v>
      </c>
      <c r="J169" s="1763" t="s">
        <v>236</v>
      </c>
      <c r="K169" s="1764">
        <v>2</v>
      </c>
      <c r="L169" s="1753"/>
      <c r="M169" s="1753"/>
      <c r="N169" s="1753">
        <v>16</v>
      </c>
      <c r="O169" s="1753">
        <v>16</v>
      </c>
      <c r="P169" s="1753">
        <v>16</v>
      </c>
      <c r="Q169" s="1753">
        <v>16</v>
      </c>
      <c r="R169" s="1753">
        <v>16</v>
      </c>
      <c r="S169" s="1753">
        <v>16</v>
      </c>
      <c r="T169" s="1753">
        <v>16</v>
      </c>
      <c r="U169" s="1753">
        <v>12</v>
      </c>
      <c r="V169" s="1753">
        <v>12</v>
      </c>
      <c r="W169" s="1753">
        <v>12</v>
      </c>
      <c r="X169" s="1753">
        <v>12</v>
      </c>
      <c r="Y169" s="1753">
        <v>12</v>
      </c>
      <c r="Z169" s="1753">
        <v>12</v>
      </c>
      <c r="AA169" s="1753">
        <v>12</v>
      </c>
      <c r="AB169" s="1753">
        <v>12</v>
      </c>
      <c r="AC169" s="1753">
        <v>12</v>
      </c>
      <c r="AD169" s="1753">
        <v>12</v>
      </c>
      <c r="AE169" s="1753">
        <v>12</v>
      </c>
      <c r="AF169" s="1753">
        <v>12</v>
      </c>
      <c r="AG169" s="1753">
        <v>12</v>
      </c>
      <c r="AH169" s="1753">
        <v>12</v>
      </c>
      <c r="AI169" s="1753">
        <v>12</v>
      </c>
      <c r="AJ169" s="1753">
        <v>12</v>
      </c>
      <c r="AK169" s="1753">
        <v>12</v>
      </c>
      <c r="AL169" s="1753">
        <v>12</v>
      </c>
      <c r="AM169" s="1753">
        <v>12</v>
      </c>
      <c r="AN169" s="1753">
        <v>12</v>
      </c>
      <c r="AO169" s="1753">
        <v>12</v>
      </c>
      <c r="AP169" s="1753">
        <v>12</v>
      </c>
      <c r="AQ169" s="1779"/>
      <c r="AR169" s="1779"/>
      <c r="AS169" s="1779"/>
      <c r="AT169" s="1779"/>
      <c r="AU169" s="1779"/>
      <c r="AV169" s="1779"/>
      <c r="AW169" s="1779"/>
      <c r="AX169" s="1779"/>
      <c r="AY169" s="1779"/>
      <c r="AZ169" s="1779"/>
      <c r="BA169" s="1779"/>
      <c r="BB169" s="1779"/>
      <c r="BC169" s="1779"/>
      <c r="BD169" s="1779"/>
      <c r="BE169" s="1779"/>
      <c r="BF169" s="1779"/>
      <c r="BG169" s="1779"/>
      <c r="BH169" s="1779"/>
      <c r="BI169" s="1779"/>
      <c r="BJ169" s="1779"/>
      <c r="BK169" s="1779"/>
      <c r="BL169" s="1779"/>
      <c r="BM169" s="1779"/>
      <c r="BN169" s="1779"/>
      <c r="BO169" s="1779"/>
      <c r="BP169" s="1780"/>
      <c r="BQ169" s="1776"/>
      <c r="BR169" s="1776"/>
      <c r="BS169" s="1776"/>
      <c r="BT169" s="1776"/>
      <c r="BU169" s="1776"/>
      <c r="BV169" s="1776"/>
      <c r="BW169" s="1776"/>
      <c r="BX169" s="1776"/>
      <c r="BY169" s="1776"/>
      <c r="BZ169" s="1776"/>
      <c r="CA169" s="1776"/>
      <c r="CB169" s="1776"/>
      <c r="CC169" s="1776"/>
      <c r="CD169" s="1776"/>
      <c r="CE169" s="1776"/>
      <c r="CF169" s="1776"/>
      <c r="CG169" s="1776"/>
      <c r="CH169" s="1776"/>
      <c r="CI169" s="1776"/>
      <c r="CJ169" s="1776"/>
      <c r="CK169" s="1776"/>
      <c r="CL169" s="1776"/>
      <c r="CM169" s="1776"/>
      <c r="CN169" s="1777"/>
      <c r="CO169" s="1767"/>
    </row>
    <row r="170" spans="2:93" x14ac:dyDescent="0.2">
      <c r="B170" s="1747"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70" s="1707" t="s">
        <v>1052</v>
      </c>
      <c r="D170" s="1747" t="s">
        <v>1051</v>
      </c>
      <c r="E170" s="1747" t="s">
        <v>1052</v>
      </c>
      <c r="F170" s="1747" t="s">
        <v>1470</v>
      </c>
      <c r="G170" s="1747" t="s">
        <v>863</v>
      </c>
      <c r="H170" s="1763" t="s">
        <v>1459</v>
      </c>
      <c r="I170" s="1747" t="s">
        <v>93</v>
      </c>
      <c r="J170" s="1747" t="s">
        <v>236</v>
      </c>
      <c r="K170" s="1760">
        <v>2</v>
      </c>
      <c r="L170" s="1768"/>
      <c r="M170" s="1768"/>
      <c r="N170" s="1768">
        <v>0.56196775129138377</v>
      </c>
      <c r="O170" s="1768">
        <v>0.56098551561311139</v>
      </c>
      <c r="P170" s="1768">
        <v>0.54042307966133263</v>
      </c>
      <c r="Q170" s="1768">
        <v>0.53105987093583762</v>
      </c>
      <c r="R170" s="1768">
        <v>0.51870798545913988</v>
      </c>
      <c r="S170" s="1768">
        <v>0.51531734399295592</v>
      </c>
      <c r="T170" s="1768">
        <v>0.51221897509395931</v>
      </c>
      <c r="U170" s="1768">
        <v>0.50317508689781199</v>
      </c>
      <c r="V170" s="1768">
        <v>0.47917946755533014</v>
      </c>
      <c r="W170" s="1768">
        <v>0.45092093322196958</v>
      </c>
      <c r="X170" s="1768">
        <v>0.43694180327222432</v>
      </c>
      <c r="Y170" s="1768">
        <v>0.43107348409504465</v>
      </c>
      <c r="Z170" s="1768">
        <v>0.42393881556024793</v>
      </c>
      <c r="AA170" s="1768">
        <v>0.41695742174332828</v>
      </c>
      <c r="AB170" s="1768">
        <v>0.41503255168982134</v>
      </c>
      <c r="AC170" s="1768">
        <v>0.41321612621159592</v>
      </c>
      <c r="AD170" s="1768">
        <v>0.41153776052418334</v>
      </c>
      <c r="AE170" s="1768">
        <v>0.41001716434713187</v>
      </c>
      <c r="AF170" s="1768">
        <v>0.40826817933328524</v>
      </c>
      <c r="AG170" s="1768">
        <v>0.4058587102116038</v>
      </c>
      <c r="AH170" s="1768">
        <v>0.40406182218465514</v>
      </c>
      <c r="AI170" s="1768">
        <v>0.40245910342680841</v>
      </c>
      <c r="AJ170" s="1768">
        <v>0.4025341842479559</v>
      </c>
      <c r="AK170" s="1768">
        <v>0.40266357289062238</v>
      </c>
      <c r="AL170" s="1768">
        <v>0.40279248094243914</v>
      </c>
      <c r="AM170" s="1768">
        <v>0.40304587489311217</v>
      </c>
      <c r="AN170" s="1768">
        <v>0.40331684387406824</v>
      </c>
      <c r="AO170" s="1768">
        <v>0.403668082641368</v>
      </c>
      <c r="AP170" s="1768">
        <v>0.4039941938470572</v>
      </c>
      <c r="AQ170" s="1779"/>
      <c r="AR170" s="1779"/>
      <c r="AS170" s="1779"/>
      <c r="AT170" s="1779"/>
      <c r="AU170" s="1779"/>
      <c r="AV170" s="1779"/>
      <c r="AW170" s="1779"/>
      <c r="AX170" s="1779"/>
      <c r="AY170" s="1779"/>
      <c r="AZ170" s="1779"/>
      <c r="BA170" s="1779"/>
      <c r="BB170" s="1779"/>
      <c r="BC170" s="1779"/>
      <c r="BD170" s="1779"/>
      <c r="BE170" s="1779"/>
      <c r="BF170" s="1779"/>
      <c r="BG170" s="1779"/>
      <c r="BH170" s="1779"/>
      <c r="BI170" s="1779"/>
      <c r="BJ170" s="1779"/>
      <c r="BK170" s="1779"/>
      <c r="BL170" s="1779"/>
      <c r="BM170" s="1779"/>
      <c r="BN170" s="1779"/>
      <c r="BO170" s="1779"/>
      <c r="BP170" s="1780"/>
      <c r="BQ170" s="1776"/>
      <c r="BR170" s="1776"/>
      <c r="BS170" s="1776"/>
      <c r="BT170" s="1776"/>
      <c r="BU170" s="1776"/>
      <c r="BV170" s="1776"/>
      <c r="BW170" s="1776"/>
      <c r="BX170" s="1776"/>
      <c r="BY170" s="1776"/>
      <c r="BZ170" s="1776"/>
      <c r="CA170" s="1776"/>
      <c r="CB170" s="1776"/>
      <c r="CC170" s="1776"/>
      <c r="CD170" s="1776"/>
      <c r="CE170" s="1776"/>
      <c r="CF170" s="1776"/>
      <c r="CG170" s="1776"/>
      <c r="CH170" s="1776"/>
      <c r="CI170" s="1776"/>
      <c r="CJ170" s="1776"/>
      <c r="CK170" s="1776"/>
      <c r="CL170" s="1776"/>
      <c r="CM170" s="1776"/>
      <c r="CN170" s="1777"/>
      <c r="CO170" s="1767"/>
    </row>
    <row r="171" spans="2:93" x14ac:dyDescent="0.2">
      <c r="B171" s="1747"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71" s="1707" t="s">
        <v>1052</v>
      </c>
      <c r="D171" s="1747" t="s">
        <v>1051</v>
      </c>
      <c r="E171" s="1747" t="s">
        <v>1052</v>
      </c>
      <c r="F171" s="1747" t="s">
        <v>1470</v>
      </c>
      <c r="G171" s="1747" t="s">
        <v>863</v>
      </c>
      <c r="H171" s="1763" t="s">
        <v>1459</v>
      </c>
      <c r="I171" s="1747" t="s">
        <v>102</v>
      </c>
      <c r="J171" s="1747" t="s">
        <v>236</v>
      </c>
      <c r="K171" s="1760">
        <v>2</v>
      </c>
      <c r="L171" s="1768"/>
      <c r="M171" s="1768"/>
      <c r="N171" s="1768">
        <v>0.43328262222033609</v>
      </c>
      <c r="O171" s="1768">
        <v>0.43938299452265295</v>
      </c>
      <c r="P171" s="1768">
        <v>0.4302387972878946</v>
      </c>
      <c r="Q171" s="1768">
        <v>0.41098302982203827</v>
      </c>
      <c r="R171" s="1768">
        <v>0.38028984793346549</v>
      </c>
      <c r="S171" s="1768">
        <v>0.3602416007237168</v>
      </c>
      <c r="T171" s="1768">
        <v>0.36984452497855302</v>
      </c>
      <c r="U171" s="1768">
        <v>0.37021996484493647</v>
      </c>
      <c r="V171" s="1768">
        <v>0.36916493378332049</v>
      </c>
      <c r="W171" s="1768">
        <v>0.36791952990139337</v>
      </c>
      <c r="X171" s="1768">
        <v>0.36626166457699899</v>
      </c>
      <c r="Y171" s="1768">
        <v>0.36429244627103752</v>
      </c>
      <c r="Z171" s="1768">
        <v>0.36128564068149494</v>
      </c>
      <c r="AA171" s="1768">
        <v>0.35836749267741241</v>
      </c>
      <c r="AB171" s="1768">
        <v>0.35572005104500182</v>
      </c>
      <c r="AC171" s="1768">
        <v>0.35310843555069449</v>
      </c>
      <c r="AD171" s="1768">
        <v>0.35055501916810961</v>
      </c>
      <c r="AE171" s="1768">
        <v>0.34805688134554302</v>
      </c>
      <c r="AF171" s="1768">
        <v>0.34533086366841814</v>
      </c>
      <c r="AG171" s="1768">
        <v>0.34225252569032449</v>
      </c>
      <c r="AH171" s="1768">
        <v>0.3394897442434982</v>
      </c>
      <c r="AI171" s="1768">
        <v>0.33691168224217283</v>
      </c>
      <c r="AJ171" s="1768">
        <v>0.33567792609046093</v>
      </c>
      <c r="AK171" s="1768">
        <v>0.33676593441807057</v>
      </c>
      <c r="AL171" s="1768">
        <v>0.33779731916037981</v>
      </c>
      <c r="AM171" s="1768">
        <v>0.33891187196066619</v>
      </c>
      <c r="AN171" s="1768">
        <v>0.34007948941540311</v>
      </c>
      <c r="AO171" s="1768">
        <v>0.34134278156848397</v>
      </c>
      <c r="AP171" s="1768">
        <v>0.34260849803452265</v>
      </c>
      <c r="AQ171" s="1779"/>
      <c r="AR171" s="1779"/>
      <c r="AS171" s="1779"/>
      <c r="AT171" s="1779"/>
      <c r="AU171" s="1779"/>
      <c r="AV171" s="1779"/>
      <c r="AW171" s="1779"/>
      <c r="AX171" s="1779"/>
      <c r="AY171" s="1779"/>
      <c r="AZ171" s="1779"/>
      <c r="BA171" s="1779"/>
      <c r="BB171" s="1779"/>
      <c r="BC171" s="1779"/>
      <c r="BD171" s="1779"/>
      <c r="BE171" s="1779"/>
      <c r="BF171" s="1779"/>
      <c r="BG171" s="1779"/>
      <c r="BH171" s="1779"/>
      <c r="BI171" s="1779"/>
      <c r="BJ171" s="1779"/>
      <c r="BK171" s="1779"/>
      <c r="BL171" s="1779"/>
      <c r="BM171" s="1779"/>
      <c r="BN171" s="1779"/>
      <c r="BO171" s="1779"/>
      <c r="BP171" s="1780"/>
      <c r="BQ171" s="1776"/>
      <c r="BR171" s="1776"/>
      <c r="BS171" s="1776"/>
      <c r="BT171" s="1776"/>
      <c r="BU171" s="1776"/>
      <c r="BV171" s="1776"/>
      <c r="BW171" s="1776"/>
      <c r="BX171" s="1776"/>
      <c r="BY171" s="1776"/>
      <c r="BZ171" s="1776"/>
      <c r="CA171" s="1776"/>
      <c r="CB171" s="1776"/>
      <c r="CC171" s="1776"/>
      <c r="CD171" s="1776"/>
      <c r="CE171" s="1776"/>
      <c r="CF171" s="1776"/>
      <c r="CG171" s="1776"/>
      <c r="CH171" s="1776"/>
      <c r="CI171" s="1776"/>
      <c r="CJ171" s="1776"/>
      <c r="CK171" s="1776"/>
      <c r="CL171" s="1776"/>
      <c r="CM171" s="1776"/>
      <c r="CN171" s="1777"/>
      <c r="CO171" s="1767"/>
    </row>
    <row r="172" spans="2:93" x14ac:dyDescent="0.2">
      <c r="B172" s="1747"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72" s="1707" t="s">
        <v>1052</v>
      </c>
      <c r="D172" s="1747" t="s">
        <v>1051</v>
      </c>
      <c r="E172" s="1747" t="s">
        <v>1052</v>
      </c>
      <c r="F172" s="1747" t="s">
        <v>1470</v>
      </c>
      <c r="G172" s="1747" t="s">
        <v>863</v>
      </c>
      <c r="H172" s="1763" t="s">
        <v>1459</v>
      </c>
      <c r="I172" s="1747" t="s">
        <v>105</v>
      </c>
      <c r="J172" s="1747" t="s">
        <v>236</v>
      </c>
      <c r="K172" s="1760">
        <v>2</v>
      </c>
      <c r="L172" s="1768"/>
      <c r="M172" s="1768"/>
      <c r="N172" s="1768">
        <v>3.5004794165974826</v>
      </c>
      <c r="O172" s="1768">
        <v>3.3744633255132452</v>
      </c>
      <c r="P172" s="1768">
        <v>3.3591867269437676</v>
      </c>
      <c r="Q172" s="1768">
        <v>3.3113465388984613</v>
      </c>
      <c r="R172" s="1768">
        <v>3.2076174313820611</v>
      </c>
      <c r="S172" s="1768">
        <v>3.0982878673412513</v>
      </c>
      <c r="T172" s="1768">
        <v>2.9060452248363138</v>
      </c>
      <c r="U172" s="1768">
        <v>2.7169128111381964</v>
      </c>
      <c r="V172" s="1768">
        <v>2.5889010084849353</v>
      </c>
      <c r="W172" s="1768">
        <v>2.5426640037345707</v>
      </c>
      <c r="X172" s="1768">
        <v>2.5266852694960997</v>
      </c>
      <c r="Y172" s="1768">
        <v>2.4997307998018758</v>
      </c>
      <c r="Z172" s="1768">
        <v>2.4665565529203413</v>
      </c>
      <c r="AA172" s="1768">
        <v>2.4455900570498299</v>
      </c>
      <c r="AB172" s="1768">
        <v>2.43003822040831</v>
      </c>
      <c r="AC172" s="1768">
        <v>2.4149271666858496</v>
      </c>
      <c r="AD172" s="1768">
        <v>2.4000004671999156</v>
      </c>
      <c r="AE172" s="1768">
        <v>2.3863347718917205</v>
      </c>
      <c r="AF172" s="1768">
        <v>2.3733827739153268</v>
      </c>
      <c r="AG172" s="1768">
        <v>2.3579961506711662</v>
      </c>
      <c r="AH172" s="1768">
        <v>2.3452100900489183</v>
      </c>
      <c r="AI172" s="1768">
        <v>2.3335793724165148</v>
      </c>
      <c r="AJ172" s="1768">
        <v>2.3319248771344796</v>
      </c>
      <c r="AK172" s="1768">
        <v>2.3303187671984498</v>
      </c>
      <c r="AL172" s="1768">
        <v>2.3285654809685266</v>
      </c>
      <c r="AM172" s="1768">
        <v>2.3273719089165255</v>
      </c>
      <c r="AN172" s="1768">
        <v>2.3260076961937726</v>
      </c>
      <c r="AO172" s="1768">
        <v>2.3248168921623487</v>
      </c>
      <c r="AP172" s="1768">
        <v>2.3230814996449083</v>
      </c>
      <c r="AQ172" s="1779"/>
      <c r="AR172" s="1779"/>
      <c r="AS172" s="1779"/>
      <c r="AT172" s="1779"/>
      <c r="AU172" s="1779"/>
      <c r="AV172" s="1779"/>
      <c r="AW172" s="1779"/>
      <c r="AX172" s="1779"/>
      <c r="AY172" s="1779"/>
      <c r="AZ172" s="1779"/>
      <c r="BA172" s="1779"/>
      <c r="BB172" s="1779"/>
      <c r="BC172" s="1779"/>
      <c r="BD172" s="1779"/>
      <c r="BE172" s="1779"/>
      <c r="BF172" s="1779"/>
      <c r="BG172" s="1779"/>
      <c r="BH172" s="1779"/>
      <c r="BI172" s="1779"/>
      <c r="BJ172" s="1779"/>
      <c r="BK172" s="1779"/>
      <c r="BL172" s="1779"/>
      <c r="BM172" s="1779"/>
      <c r="BN172" s="1779"/>
      <c r="BO172" s="1779"/>
      <c r="BP172" s="1780"/>
      <c r="BQ172" s="1776"/>
      <c r="BR172" s="1776"/>
      <c r="BS172" s="1776"/>
      <c r="BT172" s="1776"/>
      <c r="BU172" s="1776"/>
      <c r="BV172" s="1776"/>
      <c r="BW172" s="1776"/>
      <c r="BX172" s="1776"/>
      <c r="BY172" s="1776"/>
      <c r="BZ172" s="1776"/>
      <c r="CA172" s="1776"/>
      <c r="CB172" s="1776"/>
      <c r="CC172" s="1776"/>
      <c r="CD172" s="1776"/>
      <c r="CE172" s="1776"/>
      <c r="CF172" s="1776"/>
      <c r="CG172" s="1776"/>
      <c r="CH172" s="1776"/>
      <c r="CI172" s="1776"/>
      <c r="CJ172" s="1776"/>
      <c r="CK172" s="1776"/>
      <c r="CL172" s="1776"/>
      <c r="CM172" s="1776"/>
      <c r="CN172" s="1777"/>
      <c r="CO172" s="1767"/>
    </row>
    <row r="173" spans="2:93" x14ac:dyDescent="0.2">
      <c r="B173" s="1747"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73" s="1762" t="s">
        <v>1052</v>
      </c>
      <c r="D173" s="1763" t="s">
        <v>1051</v>
      </c>
      <c r="E173" s="1763" t="s">
        <v>1052</v>
      </c>
      <c r="F173" s="1763" t="s">
        <v>1470</v>
      </c>
      <c r="G173" s="1763" t="s">
        <v>863</v>
      </c>
      <c r="H173" s="1763" t="s">
        <v>1458</v>
      </c>
      <c r="I173" s="1763" t="s">
        <v>88</v>
      </c>
      <c r="J173" s="1763" t="s">
        <v>236</v>
      </c>
      <c r="K173" s="1764">
        <v>2</v>
      </c>
      <c r="L173" s="1753"/>
      <c r="M173" s="1753"/>
      <c r="N173" s="1753">
        <v>16</v>
      </c>
      <c r="O173" s="1753">
        <v>16</v>
      </c>
      <c r="P173" s="1753">
        <v>16</v>
      </c>
      <c r="Q173" s="1753">
        <v>16</v>
      </c>
      <c r="R173" s="1753">
        <v>16</v>
      </c>
      <c r="S173" s="1753">
        <v>16</v>
      </c>
      <c r="T173" s="1753">
        <v>16</v>
      </c>
      <c r="U173" s="1753">
        <v>12</v>
      </c>
      <c r="V173" s="1753">
        <v>12</v>
      </c>
      <c r="W173" s="1753">
        <v>12</v>
      </c>
      <c r="X173" s="1753">
        <v>12</v>
      </c>
      <c r="Y173" s="1753">
        <v>12</v>
      </c>
      <c r="Z173" s="1753">
        <v>12</v>
      </c>
      <c r="AA173" s="1753">
        <v>12</v>
      </c>
      <c r="AB173" s="1753">
        <v>12</v>
      </c>
      <c r="AC173" s="1753">
        <v>12</v>
      </c>
      <c r="AD173" s="1753">
        <v>12</v>
      </c>
      <c r="AE173" s="1753">
        <v>12</v>
      </c>
      <c r="AF173" s="1753">
        <v>12</v>
      </c>
      <c r="AG173" s="1753">
        <v>12</v>
      </c>
      <c r="AH173" s="1753">
        <v>12</v>
      </c>
      <c r="AI173" s="1753">
        <v>12</v>
      </c>
      <c r="AJ173" s="1753">
        <v>12</v>
      </c>
      <c r="AK173" s="1753">
        <v>12</v>
      </c>
      <c r="AL173" s="1753">
        <v>12</v>
      </c>
      <c r="AM173" s="1753">
        <v>12</v>
      </c>
      <c r="AN173" s="1753">
        <v>12</v>
      </c>
      <c r="AO173" s="1753">
        <v>12</v>
      </c>
      <c r="AP173" s="1753">
        <v>12</v>
      </c>
      <c r="AQ173" s="1779"/>
      <c r="AR173" s="1779"/>
      <c r="AS173" s="1779"/>
      <c r="AT173" s="1779"/>
      <c r="AU173" s="1779"/>
      <c r="AV173" s="1779"/>
      <c r="AW173" s="1779"/>
      <c r="AX173" s="1779"/>
      <c r="AY173" s="1779"/>
      <c r="AZ173" s="1779"/>
      <c r="BA173" s="1779"/>
      <c r="BB173" s="1779"/>
      <c r="BC173" s="1779"/>
      <c r="BD173" s="1779"/>
      <c r="BE173" s="1779"/>
      <c r="BF173" s="1779"/>
      <c r="BG173" s="1779"/>
      <c r="BH173" s="1779"/>
      <c r="BI173" s="1779"/>
      <c r="BJ173" s="1779"/>
      <c r="BK173" s="1779"/>
      <c r="BL173" s="1779"/>
      <c r="BM173" s="1779"/>
      <c r="BN173" s="1779"/>
      <c r="BO173" s="1779"/>
      <c r="BP173" s="1780"/>
      <c r="BQ173" s="1776"/>
      <c r="BR173" s="1776"/>
      <c r="BS173" s="1776"/>
      <c r="BT173" s="1776"/>
      <c r="BU173" s="1776"/>
      <c r="BV173" s="1776"/>
      <c r="BW173" s="1776"/>
      <c r="BX173" s="1776"/>
      <c r="BY173" s="1776"/>
      <c r="BZ173" s="1776"/>
      <c r="CA173" s="1776"/>
      <c r="CB173" s="1776"/>
      <c r="CC173" s="1776"/>
      <c r="CD173" s="1776"/>
      <c r="CE173" s="1776"/>
      <c r="CF173" s="1776"/>
      <c r="CG173" s="1776"/>
      <c r="CH173" s="1776"/>
      <c r="CI173" s="1776"/>
      <c r="CJ173" s="1776"/>
      <c r="CK173" s="1776"/>
      <c r="CL173" s="1776"/>
      <c r="CM173" s="1776"/>
      <c r="CN173" s="1777"/>
      <c r="CO173" s="1767"/>
    </row>
    <row r="174" spans="2:93" x14ac:dyDescent="0.2">
      <c r="B174" s="1747"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74" s="1707" t="s">
        <v>1052</v>
      </c>
      <c r="D174" s="1747" t="s">
        <v>1051</v>
      </c>
      <c r="E174" s="1747" t="s">
        <v>1052</v>
      </c>
      <c r="F174" s="1747" t="s">
        <v>1470</v>
      </c>
      <c r="G174" s="1747" t="s">
        <v>863</v>
      </c>
      <c r="H174" s="1763" t="s">
        <v>1458</v>
      </c>
      <c r="I174" s="1747" t="s">
        <v>93</v>
      </c>
      <c r="J174" s="1747" t="s">
        <v>236</v>
      </c>
      <c r="K174" s="1760">
        <v>2</v>
      </c>
      <c r="L174" s="1768"/>
      <c r="M174" s="1768"/>
      <c r="N174" s="1768">
        <v>0.56196775129138377</v>
      </c>
      <c r="O174" s="1768">
        <v>0.56098551561311139</v>
      </c>
      <c r="P174" s="1768">
        <v>0.54042307966133263</v>
      </c>
      <c r="Q174" s="1768">
        <v>0.53105987093583762</v>
      </c>
      <c r="R174" s="1768">
        <v>0.51870798545913988</v>
      </c>
      <c r="S174" s="1768">
        <v>0.51531734399295592</v>
      </c>
      <c r="T174" s="1768">
        <v>0.51221897509395931</v>
      </c>
      <c r="U174" s="1768">
        <v>0.50317508689781199</v>
      </c>
      <c r="V174" s="1768">
        <v>0.47917946755533014</v>
      </c>
      <c r="W174" s="1768">
        <v>0.45092093322196958</v>
      </c>
      <c r="X174" s="1768">
        <v>0.43694180327222432</v>
      </c>
      <c r="Y174" s="1768">
        <v>0.43107348409504465</v>
      </c>
      <c r="Z174" s="1768">
        <v>0.42393881556024793</v>
      </c>
      <c r="AA174" s="1768">
        <v>0.41695742174332828</v>
      </c>
      <c r="AB174" s="1768">
        <v>0.41503255168982134</v>
      </c>
      <c r="AC174" s="1768">
        <v>0.41321612621159592</v>
      </c>
      <c r="AD174" s="1768">
        <v>0.41153776052418334</v>
      </c>
      <c r="AE174" s="1768">
        <v>0.41001716434713187</v>
      </c>
      <c r="AF174" s="1768">
        <v>0.40826817933328524</v>
      </c>
      <c r="AG174" s="1768">
        <v>0.4058587102116038</v>
      </c>
      <c r="AH174" s="1768">
        <v>0.40406182218465514</v>
      </c>
      <c r="AI174" s="1768">
        <v>0.40245910342680841</v>
      </c>
      <c r="AJ174" s="1768">
        <v>0.4025341842479559</v>
      </c>
      <c r="AK174" s="1768">
        <v>0.40266357289062238</v>
      </c>
      <c r="AL174" s="1768">
        <v>0.40279248094243914</v>
      </c>
      <c r="AM174" s="1768">
        <v>0.40304587489311217</v>
      </c>
      <c r="AN174" s="1768">
        <v>0.40331684387406824</v>
      </c>
      <c r="AO174" s="1768">
        <v>0.403668082641368</v>
      </c>
      <c r="AP174" s="1768">
        <v>0.4039941938470572</v>
      </c>
      <c r="AQ174" s="1779"/>
      <c r="AR174" s="1779"/>
      <c r="AS174" s="1779"/>
      <c r="AT174" s="1779"/>
      <c r="AU174" s="1779"/>
      <c r="AV174" s="1779"/>
      <c r="AW174" s="1779"/>
      <c r="AX174" s="1779"/>
      <c r="AY174" s="1779"/>
      <c r="AZ174" s="1779"/>
      <c r="BA174" s="1779"/>
      <c r="BB174" s="1779"/>
      <c r="BC174" s="1779"/>
      <c r="BD174" s="1779"/>
      <c r="BE174" s="1779"/>
      <c r="BF174" s="1779"/>
      <c r="BG174" s="1779"/>
      <c r="BH174" s="1779"/>
      <c r="BI174" s="1779"/>
      <c r="BJ174" s="1779"/>
      <c r="BK174" s="1779"/>
      <c r="BL174" s="1779"/>
      <c r="BM174" s="1779"/>
      <c r="BN174" s="1779"/>
      <c r="BO174" s="1779"/>
      <c r="BP174" s="1780"/>
      <c r="BQ174" s="1776"/>
      <c r="BR174" s="1776"/>
      <c r="BS174" s="1776"/>
      <c r="BT174" s="1776"/>
      <c r="BU174" s="1776"/>
      <c r="BV174" s="1776"/>
      <c r="BW174" s="1776"/>
      <c r="BX174" s="1776"/>
      <c r="BY174" s="1776"/>
      <c r="BZ174" s="1776"/>
      <c r="CA174" s="1776"/>
      <c r="CB174" s="1776"/>
      <c r="CC174" s="1776"/>
      <c r="CD174" s="1776"/>
      <c r="CE174" s="1776"/>
      <c r="CF174" s="1776"/>
      <c r="CG174" s="1776"/>
      <c r="CH174" s="1776"/>
      <c r="CI174" s="1776"/>
      <c r="CJ174" s="1776"/>
      <c r="CK174" s="1776"/>
      <c r="CL174" s="1776"/>
      <c r="CM174" s="1776"/>
      <c r="CN174" s="1777"/>
      <c r="CO174" s="1767"/>
    </row>
    <row r="175" spans="2:93" x14ac:dyDescent="0.2">
      <c r="B175" s="1747"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75" s="1707" t="s">
        <v>1052</v>
      </c>
      <c r="D175" s="1747" t="s">
        <v>1051</v>
      </c>
      <c r="E175" s="1747" t="s">
        <v>1052</v>
      </c>
      <c r="F175" s="1747" t="s">
        <v>1470</v>
      </c>
      <c r="G175" s="1747" t="s">
        <v>863</v>
      </c>
      <c r="H175" s="1763" t="s">
        <v>1458</v>
      </c>
      <c r="I175" s="1747" t="s">
        <v>102</v>
      </c>
      <c r="J175" s="1747" t="s">
        <v>236</v>
      </c>
      <c r="K175" s="1760">
        <v>2</v>
      </c>
      <c r="L175" s="1768"/>
      <c r="M175" s="1768"/>
      <c r="N175" s="1768">
        <v>0.43328262222033609</v>
      </c>
      <c r="O175" s="1768">
        <v>0.43938299452265295</v>
      </c>
      <c r="P175" s="1768">
        <v>0.4302387972878946</v>
      </c>
      <c r="Q175" s="1768">
        <v>0.41098302982203827</v>
      </c>
      <c r="R175" s="1768">
        <v>0.38028984793346549</v>
      </c>
      <c r="S175" s="1768">
        <v>0.3602416007237168</v>
      </c>
      <c r="T175" s="1768">
        <v>0.36984452497855302</v>
      </c>
      <c r="U175" s="1768">
        <v>0.37021996484493647</v>
      </c>
      <c r="V175" s="1768">
        <v>0.36916493378332049</v>
      </c>
      <c r="W175" s="1768">
        <v>0.36791952990139337</v>
      </c>
      <c r="X175" s="1768">
        <v>0.36626166457699899</v>
      </c>
      <c r="Y175" s="1768">
        <v>0.36429244627103752</v>
      </c>
      <c r="Z175" s="1768">
        <v>0.36128564068149494</v>
      </c>
      <c r="AA175" s="1768">
        <v>0.35836749267741241</v>
      </c>
      <c r="AB175" s="1768">
        <v>0.35572005104500182</v>
      </c>
      <c r="AC175" s="1768">
        <v>0.35310843555069449</v>
      </c>
      <c r="AD175" s="1768">
        <v>0.35055501916810961</v>
      </c>
      <c r="AE175" s="1768">
        <v>0.34805688134554302</v>
      </c>
      <c r="AF175" s="1768">
        <v>0.34533086366841814</v>
      </c>
      <c r="AG175" s="1768">
        <v>0.34225252569032449</v>
      </c>
      <c r="AH175" s="1768">
        <v>0.3394897442434982</v>
      </c>
      <c r="AI175" s="1768">
        <v>0.33691168224217283</v>
      </c>
      <c r="AJ175" s="1768">
        <v>0.33567792609046093</v>
      </c>
      <c r="AK175" s="1768">
        <v>0.33676593441807057</v>
      </c>
      <c r="AL175" s="1768">
        <v>0.33779731916037981</v>
      </c>
      <c r="AM175" s="1768">
        <v>0.33891187196066619</v>
      </c>
      <c r="AN175" s="1768">
        <v>0.34007948941540311</v>
      </c>
      <c r="AO175" s="1768">
        <v>0.34134278156848397</v>
      </c>
      <c r="AP175" s="1768">
        <v>0.34260849803452265</v>
      </c>
      <c r="AQ175" s="1779"/>
      <c r="AR175" s="1779"/>
      <c r="AS175" s="1779"/>
      <c r="AT175" s="1779"/>
      <c r="AU175" s="1779"/>
      <c r="AV175" s="1779"/>
      <c r="AW175" s="1779"/>
      <c r="AX175" s="1779"/>
      <c r="AY175" s="1779"/>
      <c r="AZ175" s="1779"/>
      <c r="BA175" s="1779"/>
      <c r="BB175" s="1779"/>
      <c r="BC175" s="1779"/>
      <c r="BD175" s="1779"/>
      <c r="BE175" s="1779"/>
      <c r="BF175" s="1779"/>
      <c r="BG175" s="1779"/>
      <c r="BH175" s="1779"/>
      <c r="BI175" s="1779"/>
      <c r="BJ175" s="1779"/>
      <c r="BK175" s="1779"/>
      <c r="BL175" s="1779"/>
      <c r="BM175" s="1779"/>
      <c r="BN175" s="1779"/>
      <c r="BO175" s="1779"/>
      <c r="BP175" s="1780"/>
      <c r="BQ175" s="1776"/>
      <c r="BR175" s="1776"/>
      <c r="BS175" s="1776"/>
      <c r="BT175" s="1776"/>
      <c r="BU175" s="1776"/>
      <c r="BV175" s="1776"/>
      <c r="BW175" s="1776"/>
      <c r="BX175" s="1776"/>
      <c r="BY175" s="1776"/>
      <c r="BZ175" s="1776"/>
      <c r="CA175" s="1776"/>
      <c r="CB175" s="1776"/>
      <c r="CC175" s="1776"/>
      <c r="CD175" s="1776"/>
      <c r="CE175" s="1776"/>
      <c r="CF175" s="1776"/>
      <c r="CG175" s="1776"/>
      <c r="CH175" s="1776"/>
      <c r="CI175" s="1776"/>
      <c r="CJ175" s="1776"/>
      <c r="CK175" s="1776"/>
      <c r="CL175" s="1776"/>
      <c r="CM175" s="1776"/>
      <c r="CN175" s="1777"/>
      <c r="CO175" s="1767"/>
    </row>
    <row r="176" spans="2:93" x14ac:dyDescent="0.2">
      <c r="B176" s="1747"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76" s="1707" t="s">
        <v>1052</v>
      </c>
      <c r="D176" s="1747" t="s">
        <v>1051</v>
      </c>
      <c r="E176" s="1747" t="s">
        <v>1052</v>
      </c>
      <c r="F176" s="1747" t="s">
        <v>1470</v>
      </c>
      <c r="G176" s="1747" t="s">
        <v>863</v>
      </c>
      <c r="H176" s="1763" t="s">
        <v>1458</v>
      </c>
      <c r="I176" s="1747" t="s">
        <v>105</v>
      </c>
      <c r="J176" s="1747" t="s">
        <v>236</v>
      </c>
      <c r="K176" s="1760">
        <v>2</v>
      </c>
      <c r="L176" s="1768"/>
      <c r="M176" s="1768"/>
      <c r="N176" s="1768">
        <v>3.5004794165974826</v>
      </c>
      <c r="O176" s="1768">
        <v>3.3744633255132452</v>
      </c>
      <c r="P176" s="1768">
        <v>3.3591867269437676</v>
      </c>
      <c r="Q176" s="1768">
        <v>3.3113465388984613</v>
      </c>
      <c r="R176" s="1768">
        <v>3.2076174313820611</v>
      </c>
      <c r="S176" s="1768">
        <v>3.0982878673412513</v>
      </c>
      <c r="T176" s="1768">
        <v>2.9060452248363138</v>
      </c>
      <c r="U176" s="1768">
        <v>2.7169128111381964</v>
      </c>
      <c r="V176" s="1768">
        <v>2.5889010084849353</v>
      </c>
      <c r="W176" s="1768">
        <v>2.5426640037345707</v>
      </c>
      <c r="X176" s="1768">
        <v>2.5266852694960997</v>
      </c>
      <c r="Y176" s="1768">
        <v>2.4997307998018758</v>
      </c>
      <c r="Z176" s="1768">
        <v>2.4665565529203413</v>
      </c>
      <c r="AA176" s="1768">
        <v>2.4455900570498299</v>
      </c>
      <c r="AB176" s="1768">
        <v>2.43003822040831</v>
      </c>
      <c r="AC176" s="1768">
        <v>2.4149271666858496</v>
      </c>
      <c r="AD176" s="1768">
        <v>2.4000004671999156</v>
      </c>
      <c r="AE176" s="1768">
        <v>2.3863347718917205</v>
      </c>
      <c r="AF176" s="1768">
        <v>2.3733827739153268</v>
      </c>
      <c r="AG176" s="1768">
        <v>2.3579961506711662</v>
      </c>
      <c r="AH176" s="1768">
        <v>2.3452100900489183</v>
      </c>
      <c r="AI176" s="1768">
        <v>2.3335793724165148</v>
      </c>
      <c r="AJ176" s="1768">
        <v>2.3319248771344796</v>
      </c>
      <c r="AK176" s="1768">
        <v>2.3303187671984498</v>
      </c>
      <c r="AL176" s="1768">
        <v>2.3285654809685266</v>
      </c>
      <c r="AM176" s="1768">
        <v>2.3273719089165255</v>
      </c>
      <c r="AN176" s="1768">
        <v>2.3260076961937726</v>
      </c>
      <c r="AO176" s="1768">
        <v>2.3248168921623487</v>
      </c>
      <c r="AP176" s="1768">
        <v>2.3230814996449083</v>
      </c>
      <c r="AQ176" s="1779"/>
      <c r="AR176" s="1779"/>
      <c r="AS176" s="1779"/>
      <c r="AT176" s="1779"/>
      <c r="AU176" s="1779"/>
      <c r="AV176" s="1779"/>
      <c r="AW176" s="1779"/>
      <c r="AX176" s="1779"/>
      <c r="AY176" s="1779"/>
      <c r="AZ176" s="1779"/>
      <c r="BA176" s="1779"/>
      <c r="BB176" s="1779"/>
      <c r="BC176" s="1779"/>
      <c r="BD176" s="1779"/>
      <c r="BE176" s="1779"/>
      <c r="BF176" s="1779"/>
      <c r="BG176" s="1779"/>
      <c r="BH176" s="1779"/>
      <c r="BI176" s="1779"/>
      <c r="BJ176" s="1779"/>
      <c r="BK176" s="1779"/>
      <c r="BL176" s="1779"/>
      <c r="BM176" s="1779"/>
      <c r="BN176" s="1779"/>
      <c r="BO176" s="1779"/>
      <c r="BP176" s="1780"/>
      <c r="BQ176" s="1776"/>
      <c r="BR176" s="1776"/>
      <c r="BS176" s="1776"/>
      <c r="BT176" s="1776"/>
      <c r="BU176" s="1776"/>
      <c r="BV176" s="1776"/>
      <c r="BW176" s="1776"/>
      <c r="BX176" s="1776"/>
      <c r="BY176" s="1776"/>
      <c r="BZ176" s="1776"/>
      <c r="CA176" s="1776"/>
      <c r="CB176" s="1776"/>
      <c r="CC176" s="1776"/>
      <c r="CD176" s="1776"/>
      <c r="CE176" s="1776"/>
      <c r="CF176" s="1776"/>
      <c r="CG176" s="1776"/>
      <c r="CH176" s="1776"/>
      <c r="CI176" s="1776"/>
      <c r="CJ176" s="1776"/>
      <c r="CK176" s="1776"/>
      <c r="CL176" s="1776"/>
      <c r="CM176" s="1776"/>
      <c r="CN176" s="1777"/>
      <c r="CO176" s="1767"/>
    </row>
    <row r="177" spans="2:93" ht="15" x14ac:dyDescent="0.25">
      <c r="B177" s="1747"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52dP</v>
      </c>
      <c r="C177" s="1703" t="s">
        <v>1067</v>
      </c>
      <c r="D177" s="1765" t="s">
        <v>1066</v>
      </c>
      <c r="E177" s="1723" t="s">
        <v>1068</v>
      </c>
      <c r="F177" s="1747" t="str">
        <f>VLOOKUP(TBL5_OptBen[[#This Row],[Option Type (defined list)]],'Option Typs_Grps'!B$2:C$47, 2, FALSE)</f>
        <v>Customer Options</v>
      </c>
      <c r="G177" s="1747" t="s">
        <v>863</v>
      </c>
      <c r="H177" s="1747" t="s">
        <v>876</v>
      </c>
      <c r="I177" s="1747" t="s">
        <v>88</v>
      </c>
      <c r="J177" s="1747" t="s">
        <v>236</v>
      </c>
      <c r="K177" s="1760">
        <v>2</v>
      </c>
      <c r="L177" s="1779"/>
      <c r="M177" s="1779"/>
      <c r="N177" s="1779">
        <v>0</v>
      </c>
      <c r="O177" s="1780">
        <v>0</v>
      </c>
      <c r="P177" s="1780">
        <v>0</v>
      </c>
      <c r="Q177" s="1779">
        <v>0</v>
      </c>
      <c r="R177" s="1779">
        <v>0.25548594418635373</v>
      </c>
      <c r="S177" s="1779">
        <v>-3.092069346680848E-2</v>
      </c>
      <c r="T177" s="1779">
        <v>8.884789488267586E-2</v>
      </c>
      <c r="U177" s="1779">
        <v>0.76192657355699822</v>
      </c>
      <c r="V177" s="1779">
        <v>1.3909079865855531</v>
      </c>
      <c r="W177" s="1779">
        <v>1.9029789757946176</v>
      </c>
      <c r="X177" s="1779">
        <v>2.3650971410544912</v>
      </c>
      <c r="Y177" s="1779">
        <v>2.7945724268152823</v>
      </c>
      <c r="Z177" s="1779">
        <v>3.1804383747871654</v>
      </c>
      <c r="AA177" s="1779">
        <v>3.5142260703109685</v>
      </c>
      <c r="AB177" s="1779">
        <v>3.3434916559364609</v>
      </c>
      <c r="AC177" s="1779">
        <v>3.0945582750446405</v>
      </c>
      <c r="AD177" s="1779">
        <v>2.9865524585861607</v>
      </c>
      <c r="AE177" s="1779">
        <v>2.8827633376370372</v>
      </c>
      <c r="AF177" s="1779">
        <v>2.782344085523988</v>
      </c>
      <c r="AG177" s="1779">
        <v>3.3149737036035347</v>
      </c>
      <c r="AH177" s="1779">
        <v>3.2089435296160147</v>
      </c>
      <c r="AI177" s="1779">
        <v>3.1079558430222036</v>
      </c>
      <c r="AJ177" s="1779">
        <v>3.0208934997324519</v>
      </c>
      <c r="AK177" s="1779">
        <v>2.9369146499209364</v>
      </c>
      <c r="AL177" s="1779">
        <v>2.3887513428359881</v>
      </c>
      <c r="AM177" s="1779">
        <v>3.2271296088724739</v>
      </c>
      <c r="AN177" s="1779">
        <v>3.1649748097323567</v>
      </c>
      <c r="AO177" s="1779">
        <v>3.5425899547780375</v>
      </c>
      <c r="AP177" s="1779">
        <v>3.480406096233537</v>
      </c>
      <c r="AQ177" s="1779"/>
      <c r="AR177" s="1779"/>
      <c r="AS177" s="1779"/>
      <c r="AT177" s="1779"/>
      <c r="AU177" s="1779"/>
      <c r="AV177" s="1779"/>
      <c r="AW177" s="1779"/>
      <c r="AX177" s="1779"/>
      <c r="AY177" s="1779"/>
      <c r="AZ177" s="1779"/>
      <c r="BA177" s="1779"/>
      <c r="BB177" s="1779"/>
      <c r="BC177" s="1779"/>
      <c r="BD177" s="1779"/>
      <c r="BE177" s="1779"/>
      <c r="BF177" s="1779"/>
      <c r="BG177" s="1779"/>
      <c r="BH177" s="1779"/>
      <c r="BI177" s="1779"/>
      <c r="BJ177" s="1779"/>
      <c r="BK177" s="1779"/>
      <c r="BL177" s="1779"/>
      <c r="BM177" s="1779"/>
      <c r="BN177" s="1779"/>
      <c r="BO177" s="1779"/>
      <c r="BP177" s="1780"/>
      <c r="BQ177" s="1776"/>
      <c r="BR177" s="1776"/>
      <c r="BS177" s="1776"/>
      <c r="BT177" s="1776"/>
      <c r="BU177" s="1776"/>
      <c r="BV177" s="1776"/>
      <c r="BW177" s="1776"/>
      <c r="BX177" s="1776"/>
      <c r="BY177" s="1776"/>
      <c r="BZ177" s="1776"/>
      <c r="CA177" s="1776"/>
      <c r="CB177" s="1776"/>
      <c r="CC177" s="1776"/>
      <c r="CD177" s="1776"/>
      <c r="CE177" s="1776"/>
      <c r="CF177" s="1776"/>
      <c r="CG177" s="1776"/>
      <c r="CH177" s="1776"/>
      <c r="CI177" s="1776"/>
      <c r="CJ177" s="1776"/>
      <c r="CK177" s="1776"/>
      <c r="CL177" s="1776"/>
      <c r="CM177" s="1776"/>
      <c r="CN177" s="1777"/>
      <c r="CO177" s="1767"/>
    </row>
    <row r="178" spans="2:93" ht="15" x14ac:dyDescent="0.25">
      <c r="B178" s="1747"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52dP</v>
      </c>
      <c r="C178" s="1703" t="s">
        <v>1075</v>
      </c>
      <c r="D178" s="1765" t="s">
        <v>1074</v>
      </c>
      <c r="E178" s="1723" t="s">
        <v>987</v>
      </c>
      <c r="F178" s="1747" t="str">
        <f>VLOOKUP(TBL5_OptBen[[#This Row],[Option Type (defined list)]],'Option Typs_Grps'!B$2:C$47, 2, FALSE)</f>
        <v>Customer Options</v>
      </c>
      <c r="G178" s="1747" t="s">
        <v>863</v>
      </c>
      <c r="H178" s="1747" t="s">
        <v>876</v>
      </c>
      <c r="I178" s="1747" t="s">
        <v>88</v>
      </c>
      <c r="J178" s="1747" t="s">
        <v>236</v>
      </c>
      <c r="K178" s="1760">
        <v>2</v>
      </c>
      <c r="L178" s="1779"/>
      <c r="M178" s="1779"/>
      <c r="N178" s="1779">
        <v>0</v>
      </c>
      <c r="O178" s="1780">
        <v>0</v>
      </c>
      <c r="P178" s="1780">
        <v>0</v>
      </c>
      <c r="Q178" s="1779">
        <v>0</v>
      </c>
      <c r="R178" s="1779">
        <v>1.7845553514899848</v>
      </c>
      <c r="S178" s="1779">
        <v>3.5427161896240023</v>
      </c>
      <c r="T178" s="1779">
        <v>5.301341843348041</v>
      </c>
      <c r="U178" s="1779">
        <v>7.0548901413500289</v>
      </c>
      <c r="V178" s="1779">
        <v>8.8017889097570219</v>
      </c>
      <c r="W178" s="1779">
        <v>10.429981474727015</v>
      </c>
      <c r="X178" s="1779">
        <v>12.068957709225003</v>
      </c>
      <c r="Y178" s="1779">
        <v>13.674687179018008</v>
      </c>
      <c r="Z178" s="1779">
        <v>15.294847217407039</v>
      </c>
      <c r="AA178" s="1779">
        <v>16.879356808488012</v>
      </c>
      <c r="AB178" s="1779">
        <v>18.44385474211299</v>
      </c>
      <c r="AC178" s="1779">
        <v>20.00352694480398</v>
      </c>
      <c r="AD178" s="1779">
        <v>21.562955433935031</v>
      </c>
      <c r="AE178" s="1779">
        <v>23.122440401790982</v>
      </c>
      <c r="AF178" s="1779">
        <v>24.682466350742004</v>
      </c>
      <c r="AG178" s="1779">
        <v>25.957712072483048</v>
      </c>
      <c r="AH178" s="1779">
        <v>27.439454714885017</v>
      </c>
      <c r="AI178" s="1779">
        <v>28.918699829364982</v>
      </c>
      <c r="AJ178" s="1779">
        <v>30.404427840733035</v>
      </c>
      <c r="AK178" s="1779">
        <v>31.895840944686995</v>
      </c>
      <c r="AL178" s="1779">
        <v>31.788858451086014</v>
      </c>
      <c r="AM178" s="1779">
        <v>31.332790846662988</v>
      </c>
      <c r="AN178" s="1779">
        <v>31.309348296239989</v>
      </c>
      <c r="AO178" s="1779">
        <v>31.076947050443039</v>
      </c>
      <c r="AP178" s="1779">
        <v>31.057228542454993</v>
      </c>
      <c r="AQ178" s="1779"/>
      <c r="AR178" s="1779"/>
      <c r="AS178" s="1779"/>
      <c r="AT178" s="1779"/>
      <c r="AU178" s="1779"/>
      <c r="AV178" s="1779"/>
      <c r="AW178" s="1779"/>
      <c r="AX178" s="1779"/>
      <c r="AY178" s="1779"/>
      <c r="AZ178" s="1779"/>
      <c r="BA178" s="1779"/>
      <c r="BB178" s="1779"/>
      <c r="BC178" s="1779"/>
      <c r="BD178" s="1779"/>
      <c r="BE178" s="1779"/>
      <c r="BF178" s="1779"/>
      <c r="BG178" s="1779"/>
      <c r="BH178" s="1779"/>
      <c r="BI178" s="1779"/>
      <c r="BJ178" s="1779"/>
      <c r="BK178" s="1779"/>
      <c r="BL178" s="1779"/>
      <c r="BM178" s="1779"/>
      <c r="BN178" s="1779"/>
      <c r="BO178" s="1779"/>
      <c r="BP178" s="1780"/>
      <c r="BQ178" s="1776"/>
      <c r="BR178" s="1776"/>
      <c r="BS178" s="1776"/>
      <c r="BT178" s="1776"/>
      <c r="BU178" s="1776"/>
      <c r="BV178" s="1776"/>
      <c r="BW178" s="1776"/>
      <c r="BX178" s="1776"/>
      <c r="BY178" s="1776"/>
      <c r="BZ178" s="1776"/>
      <c r="CA178" s="1776"/>
      <c r="CB178" s="1776"/>
      <c r="CC178" s="1776"/>
      <c r="CD178" s="1776"/>
      <c r="CE178" s="1776"/>
      <c r="CF178" s="1776"/>
      <c r="CG178" s="1776"/>
      <c r="CH178" s="1776"/>
      <c r="CI178" s="1776"/>
      <c r="CJ178" s="1776"/>
      <c r="CK178" s="1776"/>
      <c r="CL178" s="1776"/>
      <c r="CM178" s="1776"/>
      <c r="CN178" s="1777"/>
      <c r="CO178" s="1767"/>
    </row>
    <row r="179" spans="2:93" x14ac:dyDescent="0.2">
      <c r="B179" s="1747"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52dP</v>
      </c>
      <c r="C179" s="1707" t="s">
        <v>1123</v>
      </c>
      <c r="D179" s="1765" t="s">
        <v>1122</v>
      </c>
      <c r="E179" s="1714" t="s">
        <v>987</v>
      </c>
      <c r="F179" s="1747" t="str">
        <f>VLOOKUP(TBL5_OptBen[[#This Row],[Option Type (defined list)]],'Option Typs_Grps'!B$2:C$47, 2, FALSE)</f>
        <v>Customer Options</v>
      </c>
      <c r="G179" s="1747" t="s">
        <v>863</v>
      </c>
      <c r="H179" s="1747" t="s">
        <v>876</v>
      </c>
      <c r="I179" s="1747" t="s">
        <v>88</v>
      </c>
      <c r="J179" s="1747" t="s">
        <v>236</v>
      </c>
      <c r="K179" s="1760">
        <v>2</v>
      </c>
      <c r="L179" s="1779"/>
      <c r="M179" s="1779"/>
      <c r="N179" s="1779">
        <v>0</v>
      </c>
      <c r="O179" s="1780">
        <v>0</v>
      </c>
      <c r="P179" s="1780">
        <v>0</v>
      </c>
      <c r="Q179" s="1779">
        <v>0</v>
      </c>
      <c r="R179" s="1779">
        <v>0.3924923376629863</v>
      </c>
      <c r="S179" s="1779">
        <v>0.89869818923500588</v>
      </c>
      <c r="T179" s="1779">
        <v>1.4329337923949765</v>
      </c>
      <c r="U179" s="1779">
        <v>2.0498898722319723</v>
      </c>
      <c r="V179" s="1779">
        <v>2.6688176557329939</v>
      </c>
      <c r="W179" s="1779">
        <v>3.3308395793119985</v>
      </c>
      <c r="X179" s="1779">
        <v>3.9953987912889488</v>
      </c>
      <c r="Y179" s="1779">
        <v>4.6481904925039998</v>
      </c>
      <c r="Z179" s="1779">
        <v>5.3052100090949921</v>
      </c>
      <c r="AA179" s="1779">
        <v>5.9492754186389902</v>
      </c>
      <c r="AB179" s="1779">
        <v>5.9340687684090199</v>
      </c>
      <c r="AC179" s="1779">
        <v>5.9198723915180267</v>
      </c>
      <c r="AD179" s="1779">
        <v>5.9077166858349983</v>
      </c>
      <c r="AE179" s="1779">
        <v>5.897255206924001</v>
      </c>
      <c r="AF179" s="1779">
        <v>5.8882750428390409</v>
      </c>
      <c r="AG179" s="1779">
        <v>5.827184490149989</v>
      </c>
      <c r="AH179" s="1779">
        <v>5.8166739062820056</v>
      </c>
      <c r="AI179" s="1779">
        <v>5.8067710572390183</v>
      </c>
      <c r="AJ179" s="1779">
        <v>5.799097413977961</v>
      </c>
      <c r="AK179" s="1779">
        <v>5.7931888720469829</v>
      </c>
      <c r="AL179" s="1779">
        <v>5.77375781856</v>
      </c>
      <c r="AM179" s="1779">
        <v>5.690923013375027</v>
      </c>
      <c r="AN179" s="1779">
        <v>5.6866651816879994</v>
      </c>
      <c r="AO179" s="1779">
        <v>5.6444545275359701</v>
      </c>
      <c r="AP179" s="1779">
        <v>5.6408730875230049</v>
      </c>
      <c r="AQ179" s="1779"/>
      <c r="AR179" s="1779"/>
      <c r="AS179" s="1779"/>
      <c r="AT179" s="1779"/>
      <c r="AU179" s="1779"/>
      <c r="AV179" s="1779"/>
      <c r="AW179" s="1779"/>
      <c r="AX179" s="1779"/>
      <c r="AY179" s="1779"/>
      <c r="AZ179" s="1779"/>
      <c r="BA179" s="1779"/>
      <c r="BB179" s="1779"/>
      <c r="BC179" s="1779"/>
      <c r="BD179" s="1779"/>
      <c r="BE179" s="1779"/>
      <c r="BF179" s="1779"/>
      <c r="BG179" s="1779"/>
      <c r="BH179" s="1779"/>
      <c r="BI179" s="1779"/>
      <c r="BJ179" s="1779"/>
      <c r="BK179" s="1779"/>
      <c r="BL179" s="1779"/>
      <c r="BM179" s="1779"/>
      <c r="BN179" s="1779"/>
      <c r="BO179" s="1779"/>
      <c r="BP179" s="1780"/>
      <c r="BQ179" s="1776"/>
      <c r="BR179" s="1776"/>
      <c r="BS179" s="1776"/>
      <c r="BT179" s="1776"/>
      <c r="BU179" s="1776"/>
      <c r="BV179" s="1776"/>
      <c r="BW179" s="1776"/>
      <c r="BX179" s="1776"/>
      <c r="BY179" s="1776"/>
      <c r="BZ179" s="1776"/>
      <c r="CA179" s="1776"/>
      <c r="CB179" s="1776"/>
      <c r="CC179" s="1776"/>
      <c r="CD179" s="1776"/>
      <c r="CE179" s="1776"/>
      <c r="CF179" s="1776"/>
      <c r="CG179" s="1776"/>
      <c r="CH179" s="1776"/>
      <c r="CI179" s="1776"/>
      <c r="CJ179" s="1776"/>
      <c r="CK179" s="1776"/>
      <c r="CL179" s="1776"/>
      <c r="CM179" s="1776"/>
      <c r="CN179" s="1777"/>
      <c r="CO179" s="1767"/>
    </row>
    <row r="180" spans="2:93" x14ac:dyDescent="0.2">
      <c r="B180" s="1747"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52cP</v>
      </c>
      <c r="C180" s="1703" t="s">
        <v>1082</v>
      </c>
      <c r="D180" s="1765" t="s">
        <v>1081</v>
      </c>
      <c r="E180" s="1723" t="s">
        <v>860</v>
      </c>
      <c r="F180" s="1747" t="str">
        <f>VLOOKUP(TBL5_OptBen[[#This Row],[Option Type (defined list)]],'Option Typs_Grps'!B$2:C$47, 2, FALSE)</f>
        <v>Distribution Options</v>
      </c>
      <c r="G180" s="1747" t="s">
        <v>863</v>
      </c>
      <c r="H180" s="1747" t="s">
        <v>876</v>
      </c>
      <c r="I180" s="1747" t="s">
        <v>88</v>
      </c>
      <c r="J180" s="1747" t="s">
        <v>236</v>
      </c>
      <c r="K180" s="1760">
        <v>2</v>
      </c>
      <c r="L180" s="1779"/>
      <c r="M180" s="1779"/>
      <c r="N180" s="1779">
        <v>0</v>
      </c>
      <c r="O180" s="1780">
        <v>0</v>
      </c>
      <c r="P180" s="1780">
        <v>0</v>
      </c>
      <c r="Q180" s="1779">
        <v>0</v>
      </c>
      <c r="R180" s="1779">
        <v>0.20073762673171558</v>
      </c>
      <c r="S180" s="1779">
        <v>0.29801494813901996</v>
      </c>
      <c r="T180" s="1779">
        <v>0.51191100626656549</v>
      </c>
      <c r="U180" s="1779">
        <v>0.75059362418681985</v>
      </c>
      <c r="V180" s="1779">
        <v>0.97522665298276934</v>
      </c>
      <c r="W180" s="1779">
        <v>1.2145459467451332</v>
      </c>
      <c r="X180" s="1779">
        <v>1.4687096962615058</v>
      </c>
      <c r="Y180" s="1779">
        <v>1.7256591258397194</v>
      </c>
      <c r="Z180" s="1779">
        <v>1.9857823804679029</v>
      </c>
      <c r="AA180" s="1779">
        <v>2.2479190307479442</v>
      </c>
      <c r="AB180" s="1779">
        <v>2.5806751697819195</v>
      </c>
      <c r="AC180" s="1779">
        <v>2.9813902851822078</v>
      </c>
      <c r="AD180" s="1779">
        <v>3.3809279878573832</v>
      </c>
      <c r="AE180" s="1779">
        <v>3.7792671091138459</v>
      </c>
      <c r="AF180" s="1779">
        <v>4.1763729228050295</v>
      </c>
      <c r="AG180" s="1779">
        <v>4.5722173257201035</v>
      </c>
      <c r="AH180" s="1779">
        <v>4.9667536497860567</v>
      </c>
      <c r="AI180" s="1779">
        <v>5.3599507409911631</v>
      </c>
      <c r="AJ180" s="1779">
        <v>5.751775386922688</v>
      </c>
      <c r="AK180" s="1779">
        <v>6.1421917847893326</v>
      </c>
      <c r="AL180" s="1779">
        <v>6.5311798575882065</v>
      </c>
      <c r="AM180" s="1779">
        <v>6.9187030262528495</v>
      </c>
      <c r="AN180" s="1779">
        <v>7.304730563180577</v>
      </c>
      <c r="AO180" s="1779">
        <v>7.689232706873689</v>
      </c>
      <c r="AP180" s="1779">
        <v>8.0721821576318078</v>
      </c>
      <c r="AQ180" s="1779"/>
      <c r="AR180" s="1779"/>
      <c r="AS180" s="1779"/>
      <c r="AT180" s="1779"/>
      <c r="AU180" s="1779"/>
      <c r="AV180" s="1779"/>
      <c r="AW180" s="1779"/>
      <c r="AX180" s="1779"/>
      <c r="AY180" s="1779"/>
      <c r="AZ180" s="1779"/>
      <c r="BA180" s="1779"/>
      <c r="BB180" s="1779"/>
      <c r="BC180" s="1779"/>
      <c r="BD180" s="1779"/>
      <c r="BE180" s="1779"/>
      <c r="BF180" s="1779"/>
      <c r="BG180" s="1779"/>
      <c r="BH180" s="1779"/>
      <c r="BI180" s="1779"/>
      <c r="BJ180" s="1779"/>
      <c r="BK180" s="1779"/>
      <c r="BL180" s="1779"/>
      <c r="BM180" s="1779"/>
      <c r="BN180" s="1779"/>
      <c r="BO180" s="1779"/>
      <c r="BP180" s="1780"/>
      <c r="BQ180" s="1776"/>
      <c r="BR180" s="1776"/>
      <c r="BS180" s="1776"/>
      <c r="BT180" s="1776"/>
      <c r="BU180" s="1776"/>
      <c r="BV180" s="1776"/>
      <c r="BW180" s="1776"/>
      <c r="BX180" s="1776"/>
      <c r="BY180" s="1776"/>
      <c r="BZ180" s="1776"/>
      <c r="CA180" s="1776"/>
      <c r="CB180" s="1776"/>
      <c r="CC180" s="1776"/>
      <c r="CD180" s="1776"/>
      <c r="CE180" s="1776"/>
      <c r="CF180" s="1776"/>
      <c r="CG180" s="1776"/>
      <c r="CH180" s="1776"/>
      <c r="CI180" s="1776"/>
      <c r="CJ180" s="1776"/>
      <c r="CK180" s="1776"/>
      <c r="CL180" s="1776"/>
      <c r="CM180" s="1776"/>
      <c r="CN180" s="1777"/>
      <c r="CO180" s="1767"/>
    </row>
    <row r="181" spans="2:93" ht="15" x14ac:dyDescent="0.25">
      <c r="B181" s="1747"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52dP</v>
      </c>
      <c r="C181" s="1703" t="s">
        <v>1119</v>
      </c>
      <c r="D181" s="1765" t="s">
        <v>1118</v>
      </c>
      <c r="E181" s="1723" t="s">
        <v>1099</v>
      </c>
      <c r="F181" s="1747" t="str">
        <f>VLOOKUP(TBL5_OptBen[[#This Row],[Option Type (defined list)]],'Option Typs_Grps'!B$2:C$47, 2, FALSE)</f>
        <v>Customer Options</v>
      </c>
      <c r="G181" s="1747" t="s">
        <v>863</v>
      </c>
      <c r="H181" s="1747" t="s">
        <v>876</v>
      </c>
      <c r="I181" s="1747" t="s">
        <v>88</v>
      </c>
      <c r="J181" s="1747" t="s">
        <v>236</v>
      </c>
      <c r="K181" s="1760">
        <v>2</v>
      </c>
      <c r="L181" s="1779"/>
      <c r="M181" s="1779"/>
      <c r="N181" s="1779">
        <v>0</v>
      </c>
      <c r="O181" s="1780">
        <v>0</v>
      </c>
      <c r="P181" s="1780">
        <v>0</v>
      </c>
      <c r="Q181" s="1779">
        <v>0</v>
      </c>
      <c r="R181" s="1779">
        <v>0.29382917326828861</v>
      </c>
      <c r="S181" s="1779">
        <v>0.69111865186097721</v>
      </c>
      <c r="T181" s="1779">
        <v>0.97178939373343498</v>
      </c>
      <c r="U181" s="1779">
        <v>1.227673575813184</v>
      </c>
      <c r="V181" s="1779">
        <v>1.4976073470172411</v>
      </c>
      <c r="W181" s="1779">
        <v>1.7528548532548744</v>
      </c>
      <c r="X181" s="1779">
        <v>1.9932579037385003</v>
      </c>
      <c r="Y181" s="1779">
        <v>2.2308752741602946</v>
      </c>
      <c r="Z181" s="1779">
        <v>2.4653188195321061</v>
      </c>
      <c r="AA181" s="1779">
        <v>2.6977489692520633</v>
      </c>
      <c r="AB181" s="1779">
        <v>2.8595596302180972</v>
      </c>
      <c r="AC181" s="1779">
        <v>2.9534113148178083</v>
      </c>
      <c r="AD181" s="1779">
        <v>3.0484404121426358</v>
      </c>
      <c r="AE181" s="1779">
        <v>3.1446680908861695</v>
      </c>
      <c r="AF181" s="1779">
        <v>3.2421290771949862</v>
      </c>
      <c r="AG181" s="1779">
        <v>3.3408514742799129</v>
      </c>
      <c r="AH181" s="1779">
        <v>3.4408819502139698</v>
      </c>
      <c r="AI181" s="1779">
        <v>3.5422516590088637</v>
      </c>
      <c r="AJ181" s="1779">
        <v>3.6449938130773338</v>
      </c>
      <c r="AK181" s="1779">
        <v>3.7491442152106935</v>
      </c>
      <c r="AL181" s="1779">
        <v>3.8547229424118234</v>
      </c>
      <c r="AM181" s="1779">
        <v>3.9617665737471786</v>
      </c>
      <c r="AN181" s="1779">
        <v>4.0703058368194487</v>
      </c>
      <c r="AO181" s="1779">
        <v>4.1803704931263326</v>
      </c>
      <c r="AP181" s="1779">
        <v>4.2919878423681972</v>
      </c>
      <c r="AQ181" s="1779"/>
      <c r="AR181" s="1779"/>
      <c r="AS181" s="1779"/>
      <c r="AT181" s="1779"/>
      <c r="AU181" s="1779"/>
      <c r="AV181" s="1779"/>
      <c r="AW181" s="1779"/>
      <c r="AX181" s="1779"/>
      <c r="AY181" s="1779"/>
      <c r="AZ181" s="1779"/>
      <c r="BA181" s="1779"/>
      <c r="BB181" s="1779"/>
      <c r="BC181" s="1779"/>
      <c r="BD181" s="1779"/>
      <c r="BE181" s="1779"/>
      <c r="BF181" s="1779"/>
      <c r="BG181" s="1779"/>
      <c r="BH181" s="1779"/>
      <c r="BI181" s="1779"/>
      <c r="BJ181" s="1779"/>
      <c r="BK181" s="1779"/>
      <c r="BL181" s="1779"/>
      <c r="BM181" s="1779"/>
      <c r="BN181" s="1779"/>
      <c r="BO181" s="1779"/>
      <c r="BP181" s="1780"/>
      <c r="BQ181" s="1776"/>
      <c r="BR181" s="1776"/>
      <c r="BS181" s="1776"/>
      <c r="BT181" s="1776"/>
      <c r="BU181" s="1776"/>
      <c r="BV181" s="1776"/>
      <c r="BW181" s="1776"/>
      <c r="BX181" s="1776"/>
      <c r="BY181" s="1776"/>
      <c r="BZ181" s="1776"/>
      <c r="CA181" s="1776"/>
      <c r="CB181" s="1776"/>
      <c r="CC181" s="1776"/>
      <c r="CD181" s="1776"/>
      <c r="CE181" s="1776"/>
      <c r="CF181" s="1776"/>
      <c r="CG181" s="1776"/>
      <c r="CH181" s="1776"/>
      <c r="CI181" s="1776"/>
      <c r="CJ181" s="1776"/>
      <c r="CK181" s="1776"/>
      <c r="CL181" s="1776"/>
      <c r="CM181" s="1776"/>
      <c r="CN181" s="1777"/>
      <c r="CO181" s="1767"/>
    </row>
    <row r="182" spans="2:93" x14ac:dyDescent="0.2">
      <c r="B182" s="1747"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52dP</v>
      </c>
      <c r="C182" s="1707" t="s">
        <v>1125</v>
      </c>
      <c r="D182" s="1765" t="s">
        <v>1474</v>
      </c>
      <c r="E182" s="1714" t="s">
        <v>987</v>
      </c>
      <c r="F182" s="1747" t="str">
        <f>VLOOKUP(TBL5_OptBen[[#This Row],[Option Type (defined list)]],'Option Typs_Grps'!B$2:C$47, 2, FALSE)</f>
        <v>Customer Options</v>
      </c>
      <c r="G182" s="1747" t="s">
        <v>863</v>
      </c>
      <c r="H182" s="1747" t="s">
        <v>876</v>
      </c>
      <c r="I182" s="1747" t="s">
        <v>88</v>
      </c>
      <c r="J182" s="1747" t="s">
        <v>236</v>
      </c>
      <c r="K182" s="1760">
        <v>2</v>
      </c>
      <c r="L182" s="1779"/>
      <c r="M182" s="1779"/>
      <c r="N182" s="1779">
        <v>0</v>
      </c>
      <c r="O182" s="1780">
        <v>0</v>
      </c>
      <c r="P182" s="1780">
        <v>0</v>
      </c>
      <c r="Q182" s="1779">
        <v>0</v>
      </c>
      <c r="R182" s="1779">
        <v>0.21881778981997968</v>
      </c>
      <c r="S182" s="1779">
        <v>0.4376355796400162</v>
      </c>
      <c r="T182" s="1779">
        <v>0.65645336946005273</v>
      </c>
      <c r="U182" s="1779">
        <v>0.87527115927997556</v>
      </c>
      <c r="V182" s="1779">
        <v>1.0940889491000121</v>
      </c>
      <c r="W182" s="1779">
        <v>1.5919921443120302</v>
      </c>
      <c r="X182" s="1779">
        <v>2.0898953395249578</v>
      </c>
      <c r="Y182" s="1779">
        <v>2.5877985347369759</v>
      </c>
      <c r="Z182" s="1779">
        <v>3.0857017299500171</v>
      </c>
      <c r="AA182" s="1779">
        <v>3.5836049251619784</v>
      </c>
      <c r="AB182" s="1779">
        <v>4.0541975499959904</v>
      </c>
      <c r="AC182" s="1779">
        <v>4.5247901748300023</v>
      </c>
      <c r="AD182" s="1779">
        <v>4.9953827996629911</v>
      </c>
      <c r="AE182" s="1779">
        <v>4.9953827996629911</v>
      </c>
      <c r="AF182" s="1779">
        <v>4.995382799663048</v>
      </c>
      <c r="AG182" s="1779">
        <v>4.9953827996620248</v>
      </c>
      <c r="AH182" s="1779">
        <v>4.9953827996620248</v>
      </c>
      <c r="AI182" s="1779">
        <v>4.9953827996629911</v>
      </c>
      <c r="AJ182" s="1779">
        <v>4.9953827996620248</v>
      </c>
      <c r="AK182" s="1779">
        <v>4.995382799661968</v>
      </c>
      <c r="AL182" s="1779">
        <v>4.9953827996629911</v>
      </c>
      <c r="AM182" s="1779">
        <v>4.995382799661968</v>
      </c>
      <c r="AN182" s="1779">
        <v>4.9953827996620248</v>
      </c>
      <c r="AO182" s="1779">
        <v>4.995382799663048</v>
      </c>
      <c r="AP182" s="1779">
        <v>4.9953827996620248</v>
      </c>
      <c r="AQ182" s="1779"/>
      <c r="AR182" s="1779"/>
      <c r="AS182" s="1779"/>
      <c r="AT182" s="1779"/>
      <c r="AU182" s="1779"/>
      <c r="AV182" s="1779"/>
      <c r="AW182" s="1779"/>
      <c r="AX182" s="1779"/>
      <c r="AY182" s="1779"/>
      <c r="AZ182" s="1779"/>
      <c r="BA182" s="1779"/>
      <c r="BB182" s="1779"/>
      <c r="BC182" s="1779"/>
      <c r="BD182" s="1779"/>
      <c r="BE182" s="1779"/>
      <c r="BF182" s="1779"/>
      <c r="BG182" s="1779"/>
      <c r="BH182" s="1779"/>
      <c r="BI182" s="1779"/>
      <c r="BJ182" s="1779"/>
      <c r="BK182" s="1779"/>
      <c r="BL182" s="1779"/>
      <c r="BM182" s="1779"/>
      <c r="BN182" s="1779"/>
      <c r="BO182" s="1779"/>
      <c r="BP182" s="1780"/>
      <c r="BQ182" s="1776"/>
      <c r="BR182" s="1776"/>
      <c r="BS182" s="1776"/>
      <c r="BT182" s="1776"/>
      <c r="BU182" s="1776"/>
      <c r="BV182" s="1776"/>
      <c r="BW182" s="1776"/>
      <c r="BX182" s="1776"/>
      <c r="BY182" s="1776"/>
      <c r="BZ182" s="1776"/>
      <c r="CA182" s="1776"/>
      <c r="CB182" s="1776"/>
      <c r="CC182" s="1776"/>
      <c r="CD182" s="1776"/>
      <c r="CE182" s="1776"/>
      <c r="CF182" s="1776"/>
      <c r="CG182" s="1776"/>
      <c r="CH182" s="1776"/>
      <c r="CI182" s="1776"/>
      <c r="CJ182" s="1776"/>
      <c r="CK182" s="1776"/>
      <c r="CL182" s="1776"/>
      <c r="CM182" s="1776"/>
      <c r="CN182" s="1777"/>
      <c r="CO182" s="1767"/>
    </row>
    <row r="183" spans="2:93" x14ac:dyDescent="0.2">
      <c r="B183" s="1747"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52dP</v>
      </c>
      <c r="C183" s="1703" t="s">
        <v>1079</v>
      </c>
      <c r="D183" s="1765" t="s">
        <v>1078</v>
      </c>
      <c r="E183" s="1714" t="s">
        <v>987</v>
      </c>
      <c r="F183" s="1747" t="str">
        <f>VLOOKUP(TBL5_OptBen[[#This Row],[Option Type (defined list)]],'Option Typs_Grps'!B$2:C$47, 2, FALSE)</f>
        <v>Customer Options</v>
      </c>
      <c r="G183" s="1747" t="s">
        <v>863</v>
      </c>
      <c r="H183" s="1747" t="s">
        <v>876</v>
      </c>
      <c r="I183" s="1747" t="s">
        <v>88</v>
      </c>
      <c r="J183" s="1747" t="s">
        <v>236</v>
      </c>
      <c r="K183" s="1760">
        <v>2</v>
      </c>
      <c r="L183" s="1779"/>
      <c r="M183" s="1779"/>
      <c r="N183" s="1779">
        <v>0</v>
      </c>
      <c r="O183" s="1780">
        <v>0</v>
      </c>
      <c r="P183" s="1780">
        <v>0</v>
      </c>
      <c r="Q183" s="1779">
        <v>0</v>
      </c>
      <c r="R183" s="1779">
        <v>0</v>
      </c>
      <c r="S183" s="1779">
        <v>0</v>
      </c>
      <c r="T183" s="1779">
        <v>0.59987779025402688</v>
      </c>
      <c r="U183" s="1779">
        <v>1.1974770082609894</v>
      </c>
      <c r="V183" s="1779">
        <v>1.794592738115</v>
      </c>
      <c r="W183" s="1779">
        <v>2.3821657852000158</v>
      </c>
      <c r="X183" s="1779">
        <v>2.9708490950779947</v>
      </c>
      <c r="Y183" s="1779">
        <v>3.5502161519579545</v>
      </c>
      <c r="Z183" s="1779">
        <v>4.7817647159629928</v>
      </c>
      <c r="AA183" s="1779">
        <v>5.9977293890730152</v>
      </c>
      <c r="AB183" s="1779">
        <v>7.2140606238340297</v>
      </c>
      <c r="AC183" s="1779">
        <v>8.4272968684659872</v>
      </c>
      <c r="AD183" s="1779">
        <v>9.6362828601490378</v>
      </c>
      <c r="AE183" s="1779">
        <v>10.843386621460979</v>
      </c>
      <c r="AF183" s="1779">
        <v>12.049227284313019</v>
      </c>
      <c r="AG183" s="1779">
        <v>13.133936390835004</v>
      </c>
      <c r="AH183" s="1779">
        <v>14.317832073316026</v>
      </c>
      <c r="AI183" s="1779">
        <v>15.500731567574974</v>
      </c>
      <c r="AJ183" s="1779">
        <v>15.885754161050045</v>
      </c>
      <c r="AK183" s="1779">
        <v>16.276372133927964</v>
      </c>
      <c r="AL183" s="1779">
        <v>16.627234504373007</v>
      </c>
      <c r="AM183" s="1779">
        <v>16.788341602771993</v>
      </c>
      <c r="AN183" s="1779">
        <v>17.175152163831001</v>
      </c>
      <c r="AO183" s="1779">
        <v>17.444088101313014</v>
      </c>
      <c r="AP183" s="1779">
        <v>17.829206713579993</v>
      </c>
      <c r="AQ183" s="1779"/>
      <c r="AR183" s="1779"/>
      <c r="AS183" s="1779"/>
      <c r="AT183" s="1779"/>
      <c r="AU183" s="1779"/>
      <c r="AV183" s="1779"/>
      <c r="AW183" s="1779"/>
      <c r="AX183" s="1779"/>
      <c r="AY183" s="1779"/>
      <c r="AZ183" s="1779"/>
      <c r="BA183" s="1779"/>
      <c r="BB183" s="1779"/>
      <c r="BC183" s="1779"/>
      <c r="BD183" s="1779"/>
      <c r="BE183" s="1779"/>
      <c r="BF183" s="1779"/>
      <c r="BG183" s="1779"/>
      <c r="BH183" s="1779"/>
      <c r="BI183" s="1779"/>
      <c r="BJ183" s="1779"/>
      <c r="BK183" s="1779"/>
      <c r="BL183" s="1779"/>
      <c r="BM183" s="1779"/>
      <c r="BN183" s="1779"/>
      <c r="BO183" s="1779"/>
      <c r="BP183" s="1780"/>
      <c r="BQ183" s="1776"/>
      <c r="BR183" s="1776"/>
      <c r="BS183" s="1776"/>
      <c r="BT183" s="1776"/>
      <c r="BU183" s="1776"/>
      <c r="BV183" s="1776"/>
      <c r="BW183" s="1776"/>
      <c r="BX183" s="1776"/>
      <c r="BY183" s="1776"/>
      <c r="BZ183" s="1776"/>
      <c r="CA183" s="1776"/>
      <c r="CB183" s="1776"/>
      <c r="CC183" s="1776"/>
      <c r="CD183" s="1776"/>
      <c r="CE183" s="1776"/>
      <c r="CF183" s="1776"/>
      <c r="CG183" s="1776"/>
      <c r="CH183" s="1776"/>
      <c r="CI183" s="1776"/>
      <c r="CJ183" s="1776"/>
      <c r="CK183" s="1776"/>
      <c r="CL183" s="1776"/>
      <c r="CM183" s="1776"/>
      <c r="CN183" s="1777"/>
      <c r="CO183" s="1767"/>
    </row>
    <row r="184" spans="2:93" ht="15" x14ac:dyDescent="0.25">
      <c r="B184" s="1747"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84" s="1707" t="s">
        <v>1092</v>
      </c>
      <c r="D184" s="1765" t="s">
        <v>1091</v>
      </c>
      <c r="E184" s="1723" t="s">
        <v>1068</v>
      </c>
      <c r="F184" s="1747" t="str">
        <f>VLOOKUP(TBL5_OptBen[[#This Row],[Option Type (defined list)]],'Option Typs_Grps'!B$2:C$47, 2, FALSE)</f>
        <v>Customer Options</v>
      </c>
      <c r="G184" s="1747" t="s">
        <v>863</v>
      </c>
      <c r="H184" s="1747" t="s">
        <v>1456</v>
      </c>
      <c r="I184" s="1747" t="s">
        <v>88</v>
      </c>
      <c r="J184" s="1747" t="s">
        <v>236</v>
      </c>
      <c r="K184" s="1760">
        <v>2</v>
      </c>
      <c r="L184" s="1779"/>
      <c r="M184" s="1779"/>
      <c r="N184" s="1779">
        <v>0</v>
      </c>
      <c r="O184" s="1780">
        <v>0</v>
      </c>
      <c r="P184" s="1780">
        <v>0</v>
      </c>
      <c r="Q184" s="1779">
        <v>0</v>
      </c>
      <c r="R184" s="1779">
        <v>1.1081862361666808</v>
      </c>
      <c r="S184" s="1779">
        <v>2.0583686014494678</v>
      </c>
      <c r="T184" s="1779">
        <v>2.98733754945318</v>
      </c>
      <c r="U184" s="1779">
        <v>4.4284237987176738</v>
      </c>
      <c r="V184" s="1779">
        <v>5.8917253617049177</v>
      </c>
      <c r="W184" s="1779">
        <v>7.166198402243257</v>
      </c>
      <c r="X184" s="1779">
        <v>8.3178479461405601</v>
      </c>
      <c r="Y184" s="1779">
        <v>9.4138195220427008</v>
      </c>
      <c r="Z184" s="1779">
        <v>10.424094967864285</v>
      </c>
      <c r="AA184" s="1779">
        <v>11.35661708099007</v>
      </c>
      <c r="AB184" s="1779">
        <v>11.335030351172861</v>
      </c>
      <c r="AC184" s="1779">
        <v>10.872258957923158</v>
      </c>
      <c r="AD184" s="1779">
        <v>10.587236609078801</v>
      </c>
      <c r="AE184" s="1779">
        <v>10.311468200240157</v>
      </c>
      <c r="AF184" s="1779">
        <v>10.041806248183491</v>
      </c>
      <c r="AG184" s="1779">
        <v>9.7489779336924869</v>
      </c>
      <c r="AH184" s="1779">
        <v>9.4957329581312564</v>
      </c>
      <c r="AI184" s="1779">
        <v>9.2525000476465067</v>
      </c>
      <c r="AJ184" s="1779">
        <v>9.0477173058330038</v>
      </c>
      <c r="AK184" s="1779">
        <v>8.8487587881572125</v>
      </c>
      <c r="AL184" s="1779">
        <v>8.71307981821748</v>
      </c>
      <c r="AM184" s="1779">
        <v>8.5831300833783786</v>
      </c>
      <c r="AN184" s="1779">
        <v>8.4560320716076944</v>
      </c>
      <c r="AO184" s="1779">
        <v>8.3324073421187563</v>
      </c>
      <c r="AP184" s="1779">
        <v>8.2121932503017092</v>
      </c>
      <c r="AQ184" s="1779"/>
      <c r="AR184" s="1779"/>
      <c r="AS184" s="1779"/>
      <c r="AT184" s="1779"/>
      <c r="AU184" s="1779"/>
      <c r="AV184" s="1779"/>
      <c r="AW184" s="1779"/>
      <c r="AX184" s="1779"/>
      <c r="AY184" s="1779"/>
      <c r="AZ184" s="1779"/>
      <c r="BA184" s="1779"/>
      <c r="BB184" s="1779"/>
      <c r="BC184" s="1779"/>
      <c r="BD184" s="1779"/>
      <c r="BE184" s="1779"/>
      <c r="BF184" s="1779"/>
      <c r="BG184" s="1779"/>
      <c r="BH184" s="1779"/>
      <c r="BI184" s="1779"/>
      <c r="BJ184" s="1779"/>
      <c r="BK184" s="1779"/>
      <c r="BL184" s="1779"/>
      <c r="BM184" s="1779"/>
      <c r="BN184" s="1779"/>
      <c r="BO184" s="1779"/>
      <c r="BP184" s="1780"/>
      <c r="BQ184" s="1776"/>
      <c r="BR184" s="1776"/>
      <c r="BS184" s="1776"/>
      <c r="BT184" s="1776"/>
      <c r="BU184" s="1776"/>
      <c r="BV184" s="1776"/>
      <c r="BW184" s="1776"/>
      <c r="BX184" s="1776"/>
      <c r="BY184" s="1776"/>
      <c r="BZ184" s="1776"/>
      <c r="CA184" s="1776"/>
      <c r="CB184" s="1776"/>
      <c r="CC184" s="1776"/>
      <c r="CD184" s="1776"/>
      <c r="CE184" s="1776"/>
      <c r="CF184" s="1776"/>
      <c r="CG184" s="1776"/>
      <c r="CH184" s="1776"/>
      <c r="CI184" s="1776"/>
      <c r="CJ184" s="1776"/>
      <c r="CK184" s="1776"/>
      <c r="CL184" s="1776"/>
      <c r="CM184" s="1776"/>
      <c r="CN184" s="1777"/>
      <c r="CO184" s="1767"/>
    </row>
    <row r="185" spans="2:93" ht="28.5" x14ac:dyDescent="0.2">
      <c r="B185" s="1747"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85" s="1707" t="s">
        <v>1094</v>
      </c>
      <c r="D185" s="1765" t="s">
        <v>1093</v>
      </c>
      <c r="E185" s="1747" t="s">
        <v>987</v>
      </c>
      <c r="F185" s="1747" t="str">
        <f>VLOOKUP(TBL5_OptBen[[#This Row],[Option Type (defined list)]],'Option Typs_Grps'!B$2:C$47, 2, FALSE)</f>
        <v>Customer Options</v>
      </c>
      <c r="G185" s="1747" t="s">
        <v>863</v>
      </c>
      <c r="H185" s="1747" t="s">
        <v>1456</v>
      </c>
      <c r="I185" s="1747" t="s">
        <v>88</v>
      </c>
      <c r="J185" s="1747" t="s">
        <v>236</v>
      </c>
      <c r="K185" s="1760">
        <v>2</v>
      </c>
      <c r="L185" s="1779"/>
      <c r="M185" s="1779"/>
      <c r="N185" s="1779">
        <v>0</v>
      </c>
      <c r="O185" s="1780">
        <v>0</v>
      </c>
      <c r="P185" s="1780">
        <v>0</v>
      </c>
      <c r="Q185" s="1779">
        <v>0</v>
      </c>
      <c r="R185" s="1779">
        <v>0</v>
      </c>
      <c r="S185" s="1779">
        <v>0</v>
      </c>
      <c r="T185" s="1779">
        <v>0.76728658856700349</v>
      </c>
      <c r="U185" s="1779">
        <v>1.5306544510339677</v>
      </c>
      <c r="V185" s="1779">
        <v>2.2923991144310207</v>
      </c>
      <c r="W185" s="1779">
        <v>3.0414858941360308</v>
      </c>
      <c r="X185" s="1779">
        <v>3.7914711572939837</v>
      </c>
      <c r="Y185" s="1779">
        <v>4.529160758379021</v>
      </c>
      <c r="Z185" s="1779">
        <v>6.0977016439849763</v>
      </c>
      <c r="AA185" s="1779">
        <v>7.6453799903030131</v>
      </c>
      <c r="AB185" s="1779">
        <v>9.1928706333540049</v>
      </c>
      <c r="AC185" s="1779">
        <v>10.736394241985977</v>
      </c>
      <c r="AD185" s="1779">
        <v>12.273723559827999</v>
      </c>
      <c r="AE185" s="1779">
        <v>13.807878254314971</v>
      </c>
      <c r="AF185" s="1779">
        <v>15.339649590753027</v>
      </c>
      <c r="AG185" s="1779">
        <v>16.862315855903034</v>
      </c>
      <c r="AH185" s="1779">
        <v>18.378620289313005</v>
      </c>
      <c r="AI185" s="1779">
        <v>19.893060891529956</v>
      </c>
      <c r="AJ185" s="1779">
        <v>20.383042107431038</v>
      </c>
      <c r="AK185" s="1779">
        <v>20.87994247416799</v>
      </c>
      <c r="AL185" s="1779">
        <v>21.376354285079003</v>
      </c>
      <c r="AM185" s="1779">
        <v>21.871280397368992</v>
      </c>
      <c r="AN185" s="1779">
        <v>22.371201446295004</v>
      </c>
      <c r="AO185" s="1779">
        <v>22.873616269711988</v>
      </c>
      <c r="AP185" s="1779">
        <v>23.375054017762977</v>
      </c>
      <c r="AQ185" s="1779"/>
      <c r="AR185" s="1779"/>
      <c r="AS185" s="1779"/>
      <c r="AT185" s="1779"/>
      <c r="AU185" s="1779"/>
      <c r="AV185" s="1779"/>
      <c r="AW185" s="1779"/>
      <c r="AX185" s="1779"/>
      <c r="AY185" s="1779"/>
      <c r="AZ185" s="1779"/>
      <c r="BA185" s="1779"/>
      <c r="BB185" s="1779"/>
      <c r="BC185" s="1779"/>
      <c r="BD185" s="1779"/>
      <c r="BE185" s="1779"/>
      <c r="BF185" s="1779"/>
      <c r="BG185" s="1779"/>
      <c r="BH185" s="1779"/>
      <c r="BI185" s="1779"/>
      <c r="BJ185" s="1779"/>
      <c r="BK185" s="1779"/>
      <c r="BL185" s="1779"/>
      <c r="BM185" s="1779"/>
      <c r="BN185" s="1779"/>
      <c r="BO185" s="1779"/>
      <c r="BP185" s="1780"/>
      <c r="BQ185" s="1776"/>
      <c r="BR185" s="1776"/>
      <c r="BS185" s="1776"/>
      <c r="BT185" s="1776"/>
      <c r="BU185" s="1776"/>
      <c r="BV185" s="1776"/>
      <c r="BW185" s="1776"/>
      <c r="BX185" s="1776"/>
      <c r="BY185" s="1776"/>
      <c r="BZ185" s="1776"/>
      <c r="CA185" s="1776"/>
      <c r="CB185" s="1776"/>
      <c r="CC185" s="1776"/>
      <c r="CD185" s="1776"/>
      <c r="CE185" s="1776"/>
      <c r="CF185" s="1776"/>
      <c r="CG185" s="1776"/>
      <c r="CH185" s="1776"/>
      <c r="CI185" s="1776"/>
      <c r="CJ185" s="1776"/>
      <c r="CK185" s="1776"/>
      <c r="CL185" s="1776"/>
      <c r="CM185" s="1776"/>
      <c r="CN185" s="1777"/>
      <c r="CO185" s="1767"/>
    </row>
    <row r="186" spans="2:93" ht="28.5" x14ac:dyDescent="0.2">
      <c r="B186" s="1747"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186" s="1707" t="s">
        <v>1096</v>
      </c>
      <c r="D186" s="1765" t="s">
        <v>1475</v>
      </c>
      <c r="E186" s="1723" t="s">
        <v>860</v>
      </c>
      <c r="F186" s="1747" t="str">
        <f>VLOOKUP(TBL5_OptBen[[#This Row],[Option Type (defined list)]],'Option Typs_Grps'!B$2:C$47, 2, FALSE)</f>
        <v>Distribution Options</v>
      </c>
      <c r="G186" s="1747" t="s">
        <v>863</v>
      </c>
      <c r="H186" s="1747" t="s">
        <v>1456</v>
      </c>
      <c r="I186" s="1747" t="s">
        <v>88</v>
      </c>
      <c r="J186" s="1747" t="s">
        <v>236</v>
      </c>
      <c r="K186" s="1760">
        <v>2</v>
      </c>
      <c r="L186" s="1779"/>
      <c r="M186" s="1779"/>
      <c r="N186" s="1779">
        <v>0</v>
      </c>
      <c r="O186" s="1780">
        <v>0</v>
      </c>
      <c r="P186" s="1780">
        <v>0</v>
      </c>
      <c r="Q186" s="1779">
        <v>0</v>
      </c>
      <c r="R186" s="1779">
        <v>0.20073762673171558</v>
      </c>
      <c r="S186" s="1779">
        <v>0.29801494813901996</v>
      </c>
      <c r="T186" s="1779">
        <v>0.51191100626656549</v>
      </c>
      <c r="U186" s="1779">
        <v>0.75059362418681985</v>
      </c>
      <c r="V186" s="1779">
        <v>0.97522665298276934</v>
      </c>
      <c r="W186" s="1779">
        <v>1.2145459467451332</v>
      </c>
      <c r="X186" s="1779">
        <v>1.4687096962615058</v>
      </c>
      <c r="Y186" s="1779">
        <v>1.7256591258397194</v>
      </c>
      <c r="Z186" s="1779">
        <v>1.9857823804679029</v>
      </c>
      <c r="AA186" s="1779">
        <v>2.2479190307479442</v>
      </c>
      <c r="AB186" s="1779">
        <v>2.5806751697819195</v>
      </c>
      <c r="AC186" s="1779">
        <v>2.9813902851822078</v>
      </c>
      <c r="AD186" s="1779">
        <v>3.3809279878573832</v>
      </c>
      <c r="AE186" s="1779">
        <v>3.7792671091138459</v>
      </c>
      <c r="AF186" s="1779">
        <v>4.1763729228050295</v>
      </c>
      <c r="AG186" s="1779">
        <v>4.5722173257201035</v>
      </c>
      <c r="AH186" s="1779">
        <v>4.9667536497860567</v>
      </c>
      <c r="AI186" s="1779">
        <v>5.3599507409911631</v>
      </c>
      <c r="AJ186" s="1779">
        <v>5.751775386922688</v>
      </c>
      <c r="AK186" s="1779">
        <v>6.1421917847893326</v>
      </c>
      <c r="AL186" s="1779">
        <v>6.5311798575882065</v>
      </c>
      <c r="AM186" s="1779">
        <v>6.9187030262528495</v>
      </c>
      <c r="AN186" s="1779">
        <v>7.304730563180577</v>
      </c>
      <c r="AO186" s="1779">
        <v>7.689232706873689</v>
      </c>
      <c r="AP186" s="1779">
        <v>8.0721821576318078</v>
      </c>
      <c r="AQ186" s="1779"/>
      <c r="AR186" s="1779"/>
      <c r="AS186" s="1779"/>
      <c r="AT186" s="1779"/>
      <c r="AU186" s="1779"/>
      <c r="AV186" s="1779"/>
      <c r="AW186" s="1779"/>
      <c r="AX186" s="1779"/>
      <c r="AY186" s="1779"/>
      <c r="AZ186" s="1779"/>
      <c r="BA186" s="1779"/>
      <c r="BB186" s="1779"/>
      <c r="BC186" s="1779"/>
      <c r="BD186" s="1779"/>
      <c r="BE186" s="1779"/>
      <c r="BF186" s="1779"/>
      <c r="BG186" s="1779"/>
      <c r="BH186" s="1779"/>
      <c r="BI186" s="1779"/>
      <c r="BJ186" s="1779"/>
      <c r="BK186" s="1779"/>
      <c r="BL186" s="1779"/>
      <c r="BM186" s="1779"/>
      <c r="BN186" s="1779"/>
      <c r="BO186" s="1779"/>
      <c r="BP186" s="1780"/>
      <c r="BQ186" s="1776"/>
      <c r="BR186" s="1776"/>
      <c r="BS186" s="1776"/>
      <c r="BT186" s="1776"/>
      <c r="BU186" s="1776"/>
      <c r="BV186" s="1776"/>
      <c r="BW186" s="1776"/>
      <c r="BX186" s="1776"/>
      <c r="BY186" s="1776"/>
      <c r="BZ186" s="1776"/>
      <c r="CA186" s="1776"/>
      <c r="CB186" s="1776"/>
      <c r="CC186" s="1776"/>
      <c r="CD186" s="1776"/>
      <c r="CE186" s="1776"/>
      <c r="CF186" s="1776"/>
      <c r="CG186" s="1776"/>
      <c r="CH186" s="1776"/>
      <c r="CI186" s="1776"/>
      <c r="CJ186" s="1776"/>
      <c r="CK186" s="1776"/>
      <c r="CL186" s="1776"/>
      <c r="CM186" s="1776"/>
      <c r="CN186" s="1777"/>
      <c r="CO186" s="1767"/>
    </row>
    <row r="187" spans="2:93" ht="28.5" x14ac:dyDescent="0.25">
      <c r="B187" s="1747"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87" s="1703" t="s">
        <v>1098</v>
      </c>
      <c r="D187" s="1765" t="s">
        <v>1476</v>
      </c>
      <c r="E187" s="1723" t="s">
        <v>1099</v>
      </c>
      <c r="F187" s="1747" t="str">
        <f>VLOOKUP(TBL5_OptBen[[#This Row],[Option Type (defined list)]],'Option Typs_Grps'!B$2:C$47, 2, FALSE)</f>
        <v>Customer Options</v>
      </c>
      <c r="G187" s="1747" t="s">
        <v>863</v>
      </c>
      <c r="H187" s="1747" t="s">
        <v>1456</v>
      </c>
      <c r="I187" s="1747" t="s">
        <v>88</v>
      </c>
      <c r="J187" s="1747" t="s">
        <v>236</v>
      </c>
      <c r="K187" s="1760">
        <v>2</v>
      </c>
      <c r="L187" s="1779"/>
      <c r="M187" s="1779"/>
      <c r="N187" s="1779">
        <v>0</v>
      </c>
      <c r="O187" s="1780">
        <v>0</v>
      </c>
      <c r="P187" s="1780">
        <v>0</v>
      </c>
      <c r="Q187" s="1779">
        <v>0</v>
      </c>
      <c r="R187" s="1779">
        <v>0.29382917326828861</v>
      </c>
      <c r="S187" s="1779">
        <v>0.69111865186097721</v>
      </c>
      <c r="T187" s="1779">
        <v>0.97178939373343498</v>
      </c>
      <c r="U187" s="1779">
        <v>1.227673575813184</v>
      </c>
      <c r="V187" s="1779">
        <v>1.4976073470172411</v>
      </c>
      <c r="W187" s="1779">
        <v>1.7528548532548744</v>
      </c>
      <c r="X187" s="1779">
        <v>1.9932579037385003</v>
      </c>
      <c r="Y187" s="1779">
        <v>2.2308752741602946</v>
      </c>
      <c r="Z187" s="1779">
        <v>2.4653188195321061</v>
      </c>
      <c r="AA187" s="1779">
        <v>2.6977489692520633</v>
      </c>
      <c r="AB187" s="1779">
        <v>2.8595596302180972</v>
      </c>
      <c r="AC187" s="1779">
        <v>2.9534113148178083</v>
      </c>
      <c r="AD187" s="1779">
        <v>3.0484404121426358</v>
      </c>
      <c r="AE187" s="1779">
        <v>3.1446680908861695</v>
      </c>
      <c r="AF187" s="1779">
        <v>3.2421290771949862</v>
      </c>
      <c r="AG187" s="1779">
        <v>3.3408514742799129</v>
      </c>
      <c r="AH187" s="1779">
        <v>3.4408819502139698</v>
      </c>
      <c r="AI187" s="1779">
        <v>3.5422516590088637</v>
      </c>
      <c r="AJ187" s="1779">
        <v>3.6449938130773338</v>
      </c>
      <c r="AK187" s="1779">
        <v>3.7491442152106935</v>
      </c>
      <c r="AL187" s="1779">
        <v>3.8547229424118234</v>
      </c>
      <c r="AM187" s="1779">
        <v>3.9617665737471786</v>
      </c>
      <c r="AN187" s="1779">
        <v>4.0703058368194487</v>
      </c>
      <c r="AO187" s="1779">
        <v>4.1803704931263326</v>
      </c>
      <c r="AP187" s="1779">
        <v>4.2919878423681972</v>
      </c>
      <c r="AQ187" s="1779"/>
      <c r="AR187" s="1779"/>
      <c r="AS187" s="1779"/>
      <c r="AT187" s="1779"/>
      <c r="AU187" s="1779"/>
      <c r="AV187" s="1779"/>
      <c r="AW187" s="1779"/>
      <c r="AX187" s="1779"/>
      <c r="AY187" s="1779"/>
      <c r="AZ187" s="1779"/>
      <c r="BA187" s="1779"/>
      <c r="BB187" s="1779"/>
      <c r="BC187" s="1779"/>
      <c r="BD187" s="1779"/>
      <c r="BE187" s="1779"/>
      <c r="BF187" s="1779"/>
      <c r="BG187" s="1779"/>
      <c r="BH187" s="1779"/>
      <c r="BI187" s="1779"/>
      <c r="BJ187" s="1779"/>
      <c r="BK187" s="1779"/>
      <c r="BL187" s="1779"/>
      <c r="BM187" s="1779"/>
      <c r="BN187" s="1779"/>
      <c r="BO187" s="1779"/>
      <c r="BP187" s="1780"/>
      <c r="BQ187" s="1776"/>
      <c r="BR187" s="1776"/>
      <c r="BS187" s="1776"/>
      <c r="BT187" s="1776"/>
      <c r="BU187" s="1776"/>
      <c r="BV187" s="1776"/>
      <c r="BW187" s="1776"/>
      <c r="BX187" s="1776"/>
      <c r="BY187" s="1776"/>
      <c r="BZ187" s="1776"/>
      <c r="CA187" s="1776"/>
      <c r="CB187" s="1776"/>
      <c r="CC187" s="1776"/>
      <c r="CD187" s="1776"/>
      <c r="CE187" s="1776"/>
      <c r="CF187" s="1776"/>
      <c r="CG187" s="1776"/>
      <c r="CH187" s="1776"/>
      <c r="CI187" s="1776"/>
      <c r="CJ187" s="1776"/>
      <c r="CK187" s="1776"/>
      <c r="CL187" s="1776"/>
      <c r="CM187" s="1776"/>
      <c r="CN187" s="1777"/>
      <c r="CO187" s="1767"/>
    </row>
    <row r="188" spans="2:93" ht="15" x14ac:dyDescent="0.25">
      <c r="B188" s="1747"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88" s="1707" t="s">
        <v>1101</v>
      </c>
      <c r="D188" s="1765" t="s">
        <v>1100</v>
      </c>
      <c r="E188" s="1723" t="s">
        <v>987</v>
      </c>
      <c r="F188" s="1747" t="str">
        <f>VLOOKUP(TBL5_OptBen[[#This Row],[Option Type (defined list)]],'Option Typs_Grps'!B$2:C$47, 2, FALSE)</f>
        <v>Customer Options</v>
      </c>
      <c r="G188" s="1747" t="s">
        <v>863</v>
      </c>
      <c r="H188" s="1747" t="s">
        <v>1456</v>
      </c>
      <c r="I188" s="1747" t="s">
        <v>88</v>
      </c>
      <c r="J188" s="1747" t="s">
        <v>236</v>
      </c>
      <c r="K188" s="1760">
        <v>2</v>
      </c>
      <c r="L188" s="1779"/>
      <c r="M188" s="1779"/>
      <c r="N188" s="1779">
        <v>0</v>
      </c>
      <c r="O188" s="1780">
        <v>0</v>
      </c>
      <c r="P188" s="1780">
        <v>0</v>
      </c>
      <c r="Q188" s="1779">
        <v>0</v>
      </c>
      <c r="R188" s="1779">
        <v>2.2957159907799678</v>
      </c>
      <c r="S188" s="1779">
        <v>4.5405059104379575</v>
      </c>
      <c r="T188" s="1779">
        <v>6.7807952951329753</v>
      </c>
      <c r="U188" s="1779">
        <v>9.0177923433340084</v>
      </c>
      <c r="V188" s="1779">
        <v>11.243338209054002</v>
      </c>
      <c r="W188" s="1779">
        <v>13.316722844634</v>
      </c>
      <c r="X188" s="1779">
        <v>15.402702590632998</v>
      </c>
      <c r="Y188" s="1779">
        <v>17.445376254109021</v>
      </c>
      <c r="Z188" s="1779">
        <v>19.503974068555976</v>
      </c>
      <c r="AA188" s="1779">
        <v>21.516325332699012</v>
      </c>
      <c r="AB188" s="1779">
        <v>23.502986662523028</v>
      </c>
      <c r="AC188" s="1779">
        <v>25.484536128449975</v>
      </c>
      <c r="AD188" s="1779">
        <v>27.464714140294006</v>
      </c>
      <c r="AE188" s="1779">
        <v>29.443923117034956</v>
      </c>
      <c r="AF188" s="1779">
        <v>31.422793837483027</v>
      </c>
      <c r="AG188" s="1779">
        <v>33.326424526328992</v>
      </c>
      <c r="AH188" s="1779">
        <v>35.221765178440023</v>
      </c>
      <c r="AI188" s="1779">
        <v>37.113181019975968</v>
      </c>
      <c r="AJ188" s="1779">
        <v>39.011980586324</v>
      </c>
      <c r="AK188" s="1779">
        <v>40.917184653332015</v>
      </c>
      <c r="AL188" s="1779">
        <v>40.868486000480004</v>
      </c>
      <c r="AM188" s="1779">
        <v>40.819294153886972</v>
      </c>
      <c r="AN188" s="1779">
        <v>40.781457491970002</v>
      </c>
      <c r="AO188" s="1779">
        <v>40.749746133904978</v>
      </c>
      <c r="AP188" s="1779">
        <v>40.717705867920984</v>
      </c>
      <c r="AQ188" s="1779"/>
      <c r="AR188" s="1779"/>
      <c r="AS188" s="1779"/>
      <c r="AT188" s="1779"/>
      <c r="AU188" s="1779"/>
      <c r="AV188" s="1779"/>
      <c r="AW188" s="1779"/>
      <c r="AX188" s="1779"/>
      <c r="AY188" s="1779"/>
      <c r="AZ188" s="1779"/>
      <c r="BA188" s="1779"/>
      <c r="BB188" s="1779"/>
      <c r="BC188" s="1779"/>
      <c r="BD188" s="1779"/>
      <c r="BE188" s="1779"/>
      <c r="BF188" s="1779"/>
      <c r="BG188" s="1779"/>
      <c r="BH188" s="1779"/>
      <c r="BI188" s="1779"/>
      <c r="BJ188" s="1779"/>
      <c r="BK188" s="1779"/>
      <c r="BL188" s="1779"/>
      <c r="BM188" s="1779"/>
      <c r="BN188" s="1779"/>
      <c r="BO188" s="1779"/>
      <c r="BP188" s="1780"/>
      <c r="BQ188" s="1776"/>
      <c r="BR188" s="1776"/>
      <c r="BS188" s="1776"/>
      <c r="BT188" s="1776"/>
      <c r="BU188" s="1776"/>
      <c r="BV188" s="1776"/>
      <c r="BW188" s="1776"/>
      <c r="BX188" s="1776"/>
      <c r="BY188" s="1776"/>
      <c r="BZ188" s="1776"/>
      <c r="CA188" s="1776"/>
      <c r="CB188" s="1776"/>
      <c r="CC188" s="1776"/>
      <c r="CD188" s="1776"/>
      <c r="CE188" s="1776"/>
      <c r="CF188" s="1776"/>
      <c r="CG188" s="1776"/>
      <c r="CH188" s="1776"/>
      <c r="CI188" s="1776"/>
      <c r="CJ188" s="1776"/>
      <c r="CK188" s="1776"/>
      <c r="CL188" s="1776"/>
      <c r="CM188" s="1776"/>
      <c r="CN188" s="1777"/>
      <c r="CO188" s="1767"/>
    </row>
    <row r="189" spans="2:93" x14ac:dyDescent="0.2">
      <c r="B189" s="1747"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89" s="1707" t="s">
        <v>1104</v>
      </c>
      <c r="D189" s="1765" t="s">
        <v>1103</v>
      </c>
      <c r="E189" s="1714" t="s">
        <v>987</v>
      </c>
      <c r="F189" s="1747" t="str">
        <f>VLOOKUP(TBL5_OptBen[[#This Row],[Option Type (defined list)]],'Option Typs_Grps'!B$2:C$47, 2, FALSE)</f>
        <v>Customer Options</v>
      </c>
      <c r="G189" s="1747" t="s">
        <v>863</v>
      </c>
      <c r="H189" s="1747" t="s">
        <v>1456</v>
      </c>
      <c r="I189" s="1747" t="s">
        <v>88</v>
      </c>
      <c r="J189" s="1747" t="s">
        <v>236</v>
      </c>
      <c r="K189" s="1760">
        <v>2</v>
      </c>
      <c r="L189" s="1779"/>
      <c r="M189" s="1779"/>
      <c r="N189" s="1779">
        <v>0</v>
      </c>
      <c r="O189" s="1780">
        <v>0</v>
      </c>
      <c r="P189" s="1780">
        <v>0</v>
      </c>
      <c r="Q189" s="1779">
        <v>0</v>
      </c>
      <c r="R189" s="1779">
        <v>0.50491621628702887</v>
      </c>
      <c r="S189" s="1779">
        <v>1.1518124008550217</v>
      </c>
      <c r="T189" s="1779">
        <v>1.8328247837670233</v>
      </c>
      <c r="U189" s="1779">
        <v>2.6202365769159996</v>
      </c>
      <c r="V189" s="1779">
        <v>3.4091273750549931</v>
      </c>
      <c r="W189" s="1779">
        <v>4.2527273538420332</v>
      </c>
      <c r="X189" s="1779">
        <v>5.099026841908028</v>
      </c>
      <c r="Y189" s="1779">
        <v>5.9298930191939689</v>
      </c>
      <c r="Z189" s="1779">
        <v>6.7651985649050062</v>
      </c>
      <c r="AA189" s="1779">
        <v>7.5836151136319927</v>
      </c>
      <c r="AB189" s="1779">
        <v>7.5617782219879928</v>
      </c>
      <c r="AC189" s="1779">
        <v>7.5419300933140221</v>
      </c>
      <c r="AD189" s="1779">
        <v>7.5246526616169831</v>
      </c>
      <c r="AE189" s="1779">
        <v>7.5095156867940318</v>
      </c>
      <c r="AF189" s="1779">
        <v>7.4962546327529935</v>
      </c>
      <c r="AG189" s="1779">
        <v>7.4813690655680034</v>
      </c>
      <c r="AH189" s="1779">
        <v>7.4663846120629955</v>
      </c>
      <c r="AI189" s="1779">
        <v>7.4521934478549952</v>
      </c>
      <c r="AJ189" s="1779">
        <v>7.4408331877650085</v>
      </c>
      <c r="AK189" s="1779">
        <v>7.4317206190060006</v>
      </c>
      <c r="AL189" s="1779">
        <v>7.4228755631800141</v>
      </c>
      <c r="AM189" s="1779">
        <v>7.4139409293900371</v>
      </c>
      <c r="AN189" s="1779">
        <v>7.407068719023016</v>
      </c>
      <c r="AO189" s="1779">
        <v>7.4013090374720036</v>
      </c>
      <c r="AP189" s="1779">
        <v>7.3954896169179847</v>
      </c>
      <c r="AQ189" s="1779"/>
      <c r="AR189" s="1779"/>
      <c r="AS189" s="1779"/>
      <c r="AT189" s="1779"/>
      <c r="AU189" s="1779"/>
      <c r="AV189" s="1779"/>
      <c r="AW189" s="1779"/>
      <c r="AX189" s="1779"/>
      <c r="AY189" s="1779"/>
      <c r="AZ189" s="1779"/>
      <c r="BA189" s="1779"/>
      <c r="BB189" s="1779"/>
      <c r="BC189" s="1779"/>
      <c r="BD189" s="1779"/>
      <c r="BE189" s="1779"/>
      <c r="BF189" s="1779"/>
      <c r="BG189" s="1779"/>
      <c r="BH189" s="1779"/>
      <c r="BI189" s="1779"/>
      <c r="BJ189" s="1779"/>
      <c r="BK189" s="1779"/>
      <c r="BL189" s="1779"/>
      <c r="BM189" s="1779"/>
      <c r="BN189" s="1779"/>
      <c r="BO189" s="1779"/>
      <c r="BP189" s="1780"/>
      <c r="BQ189" s="1776"/>
      <c r="BR189" s="1776"/>
      <c r="BS189" s="1776"/>
      <c r="BT189" s="1776"/>
      <c r="BU189" s="1776"/>
      <c r="BV189" s="1776"/>
      <c r="BW189" s="1776"/>
      <c r="BX189" s="1776"/>
      <c r="BY189" s="1776"/>
      <c r="BZ189" s="1776"/>
      <c r="CA189" s="1776"/>
      <c r="CB189" s="1776"/>
      <c r="CC189" s="1776"/>
      <c r="CD189" s="1776"/>
      <c r="CE189" s="1776"/>
      <c r="CF189" s="1776"/>
      <c r="CG189" s="1776"/>
      <c r="CH189" s="1776"/>
      <c r="CI189" s="1776"/>
      <c r="CJ189" s="1776"/>
      <c r="CK189" s="1776"/>
      <c r="CL189" s="1776"/>
      <c r="CM189" s="1776"/>
      <c r="CN189" s="1777"/>
      <c r="CO189" s="1767"/>
    </row>
    <row r="190" spans="2:93" x14ac:dyDescent="0.2">
      <c r="B190" s="1747"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90" s="1707" t="s">
        <v>1106</v>
      </c>
      <c r="D190" s="1765" t="s">
        <v>1477</v>
      </c>
      <c r="E190" s="1714" t="s">
        <v>987</v>
      </c>
      <c r="F190" s="1747" t="str">
        <f>VLOOKUP(TBL5_OptBen[[#This Row],[Option Type (defined list)]],'Option Typs_Grps'!B$2:C$47, 2, FALSE)</f>
        <v>Customer Options</v>
      </c>
      <c r="G190" s="1747" t="s">
        <v>863</v>
      </c>
      <c r="H190" s="1747" t="s">
        <v>1456</v>
      </c>
      <c r="I190" s="1747" t="s">
        <v>88</v>
      </c>
      <c r="J190" s="1747" t="s">
        <v>236</v>
      </c>
      <c r="K190" s="1760">
        <v>2</v>
      </c>
      <c r="L190" s="1779"/>
      <c r="M190" s="1779"/>
      <c r="N190" s="1779">
        <v>0</v>
      </c>
      <c r="O190" s="1780">
        <v>0</v>
      </c>
      <c r="P190" s="1780">
        <v>0</v>
      </c>
      <c r="Q190" s="1779">
        <v>0</v>
      </c>
      <c r="R190" s="1779">
        <v>0.21881778981997968</v>
      </c>
      <c r="S190" s="1779">
        <v>0.43763557963995936</v>
      </c>
      <c r="T190" s="1779">
        <v>0.65645336945999588</v>
      </c>
      <c r="U190" s="1779">
        <v>0.87527115927997556</v>
      </c>
      <c r="V190" s="1779">
        <v>1.0940889491000121</v>
      </c>
      <c r="W190" s="1779">
        <v>1.5919921443129965</v>
      </c>
      <c r="X190" s="1779">
        <v>2.0898953395250146</v>
      </c>
      <c r="Y190" s="1779">
        <v>2.5877985347369759</v>
      </c>
      <c r="Z190" s="1779">
        <v>3.0857017299500171</v>
      </c>
      <c r="AA190" s="1779">
        <v>3.5836049251630016</v>
      </c>
      <c r="AB190" s="1779">
        <v>4.0541975499959904</v>
      </c>
      <c r="AC190" s="1779">
        <v>4.5247901748289792</v>
      </c>
      <c r="AD190" s="1779">
        <v>4.995382799661968</v>
      </c>
      <c r="AE190" s="1779">
        <v>4.9953827996629911</v>
      </c>
      <c r="AF190" s="1779">
        <v>4.9953827996620248</v>
      </c>
      <c r="AG190" s="1779">
        <v>4.9953827996620248</v>
      </c>
      <c r="AH190" s="1779">
        <v>4.9953827996629911</v>
      </c>
      <c r="AI190" s="1779">
        <v>4.995382799661968</v>
      </c>
      <c r="AJ190" s="1779">
        <v>4.995382799663048</v>
      </c>
      <c r="AK190" s="1779">
        <v>4.9953827996629911</v>
      </c>
      <c r="AL190" s="1779">
        <v>4.995382799663048</v>
      </c>
      <c r="AM190" s="1779">
        <v>4.995382799661968</v>
      </c>
      <c r="AN190" s="1779">
        <v>4.9953827996620248</v>
      </c>
      <c r="AO190" s="1779">
        <v>4.9953827996629911</v>
      </c>
      <c r="AP190" s="1779">
        <v>4.995382799661968</v>
      </c>
      <c r="AQ190" s="1779"/>
      <c r="AR190" s="1779"/>
      <c r="AS190" s="1779"/>
      <c r="AT190" s="1779"/>
      <c r="AU190" s="1779"/>
      <c r="AV190" s="1779"/>
      <c r="AW190" s="1779"/>
      <c r="AX190" s="1779"/>
      <c r="AY190" s="1779"/>
      <c r="AZ190" s="1779"/>
      <c r="BA190" s="1779"/>
      <c r="BB190" s="1779"/>
      <c r="BC190" s="1779"/>
      <c r="BD190" s="1779"/>
      <c r="BE190" s="1779"/>
      <c r="BF190" s="1779"/>
      <c r="BG190" s="1779"/>
      <c r="BH190" s="1779"/>
      <c r="BI190" s="1779"/>
      <c r="BJ190" s="1779"/>
      <c r="BK190" s="1779"/>
      <c r="BL190" s="1779"/>
      <c r="BM190" s="1779"/>
      <c r="BN190" s="1779"/>
      <c r="BO190" s="1779"/>
      <c r="BP190" s="1780"/>
      <c r="BQ190" s="1776"/>
      <c r="BR190" s="1776"/>
      <c r="BS190" s="1776"/>
      <c r="BT190" s="1776"/>
      <c r="BU190" s="1776"/>
      <c r="BV190" s="1776"/>
      <c r="BW190" s="1776"/>
      <c r="BX190" s="1776"/>
      <c r="BY190" s="1776"/>
      <c r="BZ190" s="1776"/>
      <c r="CA190" s="1776"/>
      <c r="CB190" s="1776"/>
      <c r="CC190" s="1776"/>
      <c r="CD190" s="1776"/>
      <c r="CE190" s="1776"/>
      <c r="CF190" s="1776"/>
      <c r="CG190" s="1776"/>
      <c r="CH190" s="1776"/>
      <c r="CI190" s="1776"/>
      <c r="CJ190" s="1776"/>
      <c r="CK190" s="1776"/>
      <c r="CL190" s="1776"/>
      <c r="CM190" s="1776"/>
      <c r="CN190" s="1777"/>
      <c r="CO190" s="1767"/>
    </row>
    <row r="191" spans="2:93" ht="15" x14ac:dyDescent="0.25">
      <c r="B191" s="1747"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52dP</v>
      </c>
      <c r="C191" s="1703" t="s">
        <v>1067</v>
      </c>
      <c r="D191" s="1765" t="s">
        <v>1066</v>
      </c>
      <c r="E191" s="1723" t="s">
        <v>1068</v>
      </c>
      <c r="F191" s="1747" t="str">
        <f>VLOOKUP(TBL5_OptBen[[#This Row],[Option Type (defined list)]],'Option Typs_Grps'!B$2:C$47, 2, FALSE)</f>
        <v>Customer Options</v>
      </c>
      <c r="G191" s="1747" t="s">
        <v>863</v>
      </c>
      <c r="H191" s="1747" t="s">
        <v>876</v>
      </c>
      <c r="I191" s="1747" t="s">
        <v>93</v>
      </c>
      <c r="J191" s="1747" t="s">
        <v>236</v>
      </c>
      <c r="K191" s="1760">
        <v>2</v>
      </c>
      <c r="L191" s="1779"/>
      <c r="M191" s="1779"/>
      <c r="N191" s="1779">
        <v>0</v>
      </c>
      <c r="O191" s="1780">
        <v>0</v>
      </c>
      <c r="P191" s="1780">
        <v>0</v>
      </c>
      <c r="Q191" s="1779">
        <v>0</v>
      </c>
      <c r="R191" s="1779">
        <v>-1.239423019077545E-2</v>
      </c>
      <c r="S191" s="1779">
        <v>-2.6197635865993579E-2</v>
      </c>
      <c r="T191" s="1779">
        <v>-2.9348911188556148E-2</v>
      </c>
      <c r="U191" s="1779">
        <v>-3.2194129703357999E-2</v>
      </c>
      <c r="V191" s="1779">
        <v>-4.3354738690610239E-3</v>
      </c>
      <c r="W191" s="1779">
        <v>4.7866620393365089E-2</v>
      </c>
      <c r="X191" s="1779">
        <v>7.166159097846736E-2</v>
      </c>
      <c r="Y191" s="1779">
        <v>8.3740839638092646E-2</v>
      </c>
      <c r="Z191" s="1779">
        <v>9.435644887196748E-2</v>
      </c>
      <c r="AA191" s="1779">
        <v>0.10431333255891417</v>
      </c>
      <c r="AB191" s="1779">
        <v>0.10346768948320517</v>
      </c>
      <c r="AC191" s="1779">
        <v>0.10274879289052752</v>
      </c>
      <c r="AD191" s="1779">
        <v>0.1021515708056735</v>
      </c>
      <c r="AE191" s="1779">
        <v>0.1016145597188165</v>
      </c>
      <c r="AF191" s="1779">
        <v>0.10101919097799095</v>
      </c>
      <c r="AG191" s="1779">
        <v>0.1003093338119303</v>
      </c>
      <c r="AH191" s="1779">
        <v>9.983590642150042E-2</v>
      </c>
      <c r="AI191" s="1779">
        <v>9.942483494829335E-2</v>
      </c>
      <c r="AJ191" s="1779">
        <v>9.9409754245551651E-2</v>
      </c>
      <c r="AK191" s="1779">
        <v>9.9437109876129304E-2</v>
      </c>
      <c r="AL191" s="1779">
        <v>9.9466811409989475E-2</v>
      </c>
      <c r="AM191" s="1779">
        <v>9.9550088853337382E-2</v>
      </c>
      <c r="AN191" s="1779">
        <v>9.9652709035356724E-2</v>
      </c>
      <c r="AO191" s="1779">
        <v>9.9774774146949019E-2</v>
      </c>
      <c r="AP191" s="1779">
        <v>9.9895984993572107E-2</v>
      </c>
      <c r="AQ191" s="1779"/>
      <c r="AR191" s="1779"/>
      <c r="AS191" s="1779"/>
      <c r="AT191" s="1779"/>
      <c r="AU191" s="1779"/>
      <c r="AV191" s="1779"/>
      <c r="AW191" s="1779"/>
      <c r="AX191" s="1779"/>
      <c r="AY191" s="1779"/>
      <c r="AZ191" s="1779"/>
      <c r="BA191" s="1779"/>
      <c r="BB191" s="1779"/>
      <c r="BC191" s="1779"/>
      <c r="BD191" s="1779"/>
      <c r="BE191" s="1779"/>
      <c r="BF191" s="1779"/>
      <c r="BG191" s="1779"/>
      <c r="BH191" s="1779"/>
      <c r="BI191" s="1779"/>
      <c r="BJ191" s="1779"/>
      <c r="BK191" s="1779"/>
      <c r="BL191" s="1779"/>
      <c r="BM191" s="1779"/>
      <c r="BN191" s="1779"/>
      <c r="BO191" s="1779"/>
      <c r="BP191" s="1780"/>
      <c r="BQ191" s="1776"/>
      <c r="BR191" s="1776"/>
      <c r="BS191" s="1776"/>
      <c r="BT191" s="1776"/>
      <c r="BU191" s="1776"/>
      <c r="BV191" s="1776"/>
      <c r="BW191" s="1776"/>
      <c r="BX191" s="1776"/>
      <c r="BY191" s="1776"/>
      <c r="BZ191" s="1776"/>
      <c r="CA191" s="1776"/>
      <c r="CB191" s="1776"/>
      <c r="CC191" s="1776"/>
      <c r="CD191" s="1776"/>
      <c r="CE191" s="1776"/>
      <c r="CF191" s="1776"/>
      <c r="CG191" s="1776"/>
      <c r="CH191" s="1776"/>
      <c r="CI191" s="1776"/>
      <c r="CJ191" s="1776"/>
      <c r="CK191" s="1776"/>
      <c r="CL191" s="1776"/>
      <c r="CM191" s="1776"/>
      <c r="CN191" s="1777"/>
      <c r="CO191" s="1767"/>
    </row>
    <row r="192" spans="2:93" ht="15" x14ac:dyDescent="0.25">
      <c r="B192" s="1747"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52dP</v>
      </c>
      <c r="C192" s="1703" t="s">
        <v>1075</v>
      </c>
      <c r="D192" s="1765" t="s">
        <v>1074</v>
      </c>
      <c r="E192" s="1723" t="s">
        <v>987</v>
      </c>
      <c r="F192" s="1747" t="str">
        <f>VLOOKUP(TBL5_OptBen[[#This Row],[Option Type (defined list)]],'Option Typs_Grps'!B$2:C$47, 2, FALSE)</f>
        <v>Customer Options</v>
      </c>
      <c r="G192" s="1747" t="s">
        <v>863</v>
      </c>
      <c r="H192" s="1747" t="s">
        <v>876</v>
      </c>
      <c r="I192" s="1747" t="s">
        <v>93</v>
      </c>
      <c r="J192" s="1747" t="s">
        <v>236</v>
      </c>
      <c r="K192" s="1760">
        <v>2</v>
      </c>
      <c r="L192" s="1779"/>
      <c r="M192" s="1779"/>
      <c r="N192" s="1779">
        <v>0</v>
      </c>
      <c r="O192" s="1780">
        <v>0</v>
      </c>
      <c r="P192" s="1780">
        <v>0</v>
      </c>
      <c r="Q192" s="1779">
        <v>0</v>
      </c>
      <c r="R192" s="1779">
        <v>3.5689960635599149E-2</v>
      </c>
      <c r="S192" s="1779">
        <v>7.0850369439400041E-2</v>
      </c>
      <c r="T192" s="1779">
        <v>0.10570749970590043</v>
      </c>
      <c r="U192" s="1779">
        <v>0.14014606036050026</v>
      </c>
      <c r="V192" s="1779">
        <v>0.17382879107720051</v>
      </c>
      <c r="W192" s="1779">
        <v>0.20583829676770016</v>
      </c>
      <c r="X192" s="1779">
        <v>0.23781771826189946</v>
      </c>
      <c r="Y192" s="1779">
        <v>0.26963649374980037</v>
      </c>
      <c r="Z192" s="1779">
        <v>0.3011656579377</v>
      </c>
      <c r="AA192" s="1779">
        <v>0.33249119538979954</v>
      </c>
      <c r="AB192" s="1779">
        <v>0.34078230931220155</v>
      </c>
      <c r="AC192" s="1779">
        <v>0.34896819786899869</v>
      </c>
      <c r="AD192" s="1779">
        <v>0.35726778101169998</v>
      </c>
      <c r="AE192" s="1779">
        <v>0.3656342848338987</v>
      </c>
      <c r="AF192" s="1779">
        <v>0.37379066380550086</v>
      </c>
      <c r="AG192" s="1779">
        <v>0.38159369376059971</v>
      </c>
      <c r="AH192" s="1779">
        <v>0.38953120982329992</v>
      </c>
      <c r="AI192" s="1779">
        <v>0.3974834677502006</v>
      </c>
      <c r="AJ192" s="1779">
        <v>0.40547642921410088</v>
      </c>
      <c r="AK192" s="1779">
        <v>0.41348851048780055</v>
      </c>
      <c r="AL192" s="1779">
        <v>0.42116409856060066</v>
      </c>
      <c r="AM192" s="1779">
        <v>0.42885439317410068</v>
      </c>
      <c r="AN192" s="1779">
        <v>0.4366501854895013</v>
      </c>
      <c r="AO192" s="1779">
        <v>0.44453823180630003</v>
      </c>
      <c r="AP192" s="1779">
        <v>0.44401369463800044</v>
      </c>
      <c r="AQ192" s="1779"/>
      <c r="AR192" s="1779"/>
      <c r="AS192" s="1779"/>
      <c r="AT192" s="1779"/>
      <c r="AU192" s="1779"/>
      <c r="AV192" s="1779"/>
      <c r="AW192" s="1779"/>
      <c r="AX192" s="1779"/>
      <c r="AY192" s="1779"/>
      <c r="AZ192" s="1779"/>
      <c r="BA192" s="1779"/>
      <c r="BB192" s="1779"/>
      <c r="BC192" s="1779"/>
      <c r="BD192" s="1779"/>
      <c r="BE192" s="1779"/>
      <c r="BF192" s="1779"/>
      <c r="BG192" s="1779"/>
      <c r="BH192" s="1779"/>
      <c r="BI192" s="1779"/>
      <c r="BJ192" s="1779"/>
      <c r="BK192" s="1779"/>
      <c r="BL192" s="1779"/>
      <c r="BM192" s="1779"/>
      <c r="BN192" s="1779"/>
      <c r="BO192" s="1779"/>
      <c r="BP192" s="1780"/>
      <c r="BQ192" s="1776"/>
      <c r="BR192" s="1776"/>
      <c r="BS192" s="1776"/>
      <c r="BT192" s="1776"/>
      <c r="BU192" s="1776"/>
      <c r="BV192" s="1776"/>
      <c r="BW192" s="1776"/>
      <c r="BX192" s="1776"/>
      <c r="BY192" s="1776"/>
      <c r="BZ192" s="1776"/>
      <c r="CA192" s="1776"/>
      <c r="CB192" s="1776"/>
      <c r="CC192" s="1776"/>
      <c r="CD192" s="1776"/>
      <c r="CE192" s="1776"/>
      <c r="CF192" s="1776"/>
      <c r="CG192" s="1776"/>
      <c r="CH192" s="1776"/>
      <c r="CI192" s="1776"/>
      <c r="CJ192" s="1776"/>
      <c r="CK192" s="1776"/>
      <c r="CL192" s="1776"/>
      <c r="CM192" s="1776"/>
      <c r="CN192" s="1777"/>
      <c r="CO192" s="1767"/>
    </row>
    <row r="193" spans="2:93" x14ac:dyDescent="0.2">
      <c r="B193" s="1747"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52dP</v>
      </c>
      <c r="C193" s="1707" t="s">
        <v>1123</v>
      </c>
      <c r="D193" s="1765" t="s">
        <v>1122</v>
      </c>
      <c r="E193" s="1714" t="s">
        <v>987</v>
      </c>
      <c r="F193" s="1747" t="str">
        <f>VLOOKUP(TBL5_OptBen[[#This Row],[Option Type (defined list)]],'Option Typs_Grps'!B$2:C$47, 2, FALSE)</f>
        <v>Customer Options</v>
      </c>
      <c r="G193" s="1747" t="s">
        <v>863</v>
      </c>
      <c r="H193" s="1747" t="s">
        <v>876</v>
      </c>
      <c r="I193" s="1747" t="s">
        <v>93</v>
      </c>
      <c r="J193" s="1747" t="s">
        <v>236</v>
      </c>
      <c r="K193" s="1760">
        <v>2</v>
      </c>
      <c r="L193" s="1779"/>
      <c r="M193" s="1779"/>
      <c r="N193" s="1779">
        <v>0</v>
      </c>
      <c r="O193" s="1780">
        <v>0</v>
      </c>
      <c r="P193" s="1780">
        <v>0</v>
      </c>
      <c r="Q193" s="1779">
        <v>0</v>
      </c>
      <c r="R193" s="1779">
        <v>1.3178471333400665E-2</v>
      </c>
      <c r="S193" s="1779">
        <v>3.9369086072099435E-2</v>
      </c>
      <c r="T193" s="1779">
        <v>4.3887993163000516E-2</v>
      </c>
      <c r="U193" s="1779">
        <v>8.3937061854401307E-2</v>
      </c>
      <c r="V193" s="1779">
        <v>0.12562484537389906</v>
      </c>
      <c r="W193" s="1779">
        <v>0.14181290059669927</v>
      </c>
      <c r="X193" s="1779">
        <v>0.15804796262260012</v>
      </c>
      <c r="Y193" s="1779">
        <v>0.17419540958569968</v>
      </c>
      <c r="Z193" s="1779">
        <v>0.19019893628089868</v>
      </c>
      <c r="AA193" s="1779">
        <v>0.2060964717269993</v>
      </c>
      <c r="AB193" s="1779">
        <v>0.20549936133209989</v>
      </c>
      <c r="AC193" s="1779">
        <v>0.20485197174890146</v>
      </c>
      <c r="AD193" s="1779">
        <v>0.20427678766820101</v>
      </c>
      <c r="AE193" s="1779">
        <v>0.20376090528110069</v>
      </c>
      <c r="AF193" s="1779">
        <v>0.20317404311090037</v>
      </c>
      <c r="AG193" s="1779">
        <v>0.20256742403909911</v>
      </c>
      <c r="AH193" s="1779">
        <v>0.20204244947000127</v>
      </c>
      <c r="AI193" s="1779">
        <v>0.20154988315639955</v>
      </c>
      <c r="AJ193" s="1779">
        <v>0.20109600900439872</v>
      </c>
      <c r="AK193" s="1779">
        <v>0.2006715365935996</v>
      </c>
      <c r="AL193" s="1779">
        <v>0.20025402051919983</v>
      </c>
      <c r="AM193" s="1779">
        <v>0.19986082533180038</v>
      </c>
      <c r="AN193" s="1779">
        <v>0.19953306732709919</v>
      </c>
      <c r="AO193" s="1779">
        <v>0.19926368990329912</v>
      </c>
      <c r="AP193" s="1779">
        <v>0.20748931640120105</v>
      </c>
      <c r="AQ193" s="1779"/>
      <c r="AR193" s="1779"/>
      <c r="AS193" s="1779"/>
      <c r="AT193" s="1779"/>
      <c r="AU193" s="1779"/>
      <c r="AV193" s="1779"/>
      <c r="AW193" s="1779"/>
      <c r="AX193" s="1779"/>
      <c r="AY193" s="1779"/>
      <c r="AZ193" s="1779"/>
      <c r="BA193" s="1779"/>
      <c r="BB193" s="1779"/>
      <c r="BC193" s="1779"/>
      <c r="BD193" s="1779"/>
      <c r="BE193" s="1779"/>
      <c r="BF193" s="1779"/>
      <c r="BG193" s="1779"/>
      <c r="BH193" s="1779"/>
      <c r="BI193" s="1779"/>
      <c r="BJ193" s="1779"/>
      <c r="BK193" s="1779"/>
      <c r="BL193" s="1779"/>
      <c r="BM193" s="1779"/>
      <c r="BN193" s="1779"/>
      <c r="BO193" s="1779"/>
      <c r="BP193" s="1780"/>
      <c r="BQ193" s="1776"/>
      <c r="BR193" s="1776"/>
      <c r="BS193" s="1776"/>
      <c r="BT193" s="1776"/>
      <c r="BU193" s="1776"/>
      <c r="BV193" s="1776"/>
      <c r="BW193" s="1776"/>
      <c r="BX193" s="1776"/>
      <c r="BY193" s="1776"/>
      <c r="BZ193" s="1776"/>
      <c r="CA193" s="1776"/>
      <c r="CB193" s="1776"/>
      <c r="CC193" s="1776"/>
      <c r="CD193" s="1776"/>
      <c r="CE193" s="1776"/>
      <c r="CF193" s="1776"/>
      <c r="CG193" s="1776"/>
      <c r="CH193" s="1776"/>
      <c r="CI193" s="1776"/>
      <c r="CJ193" s="1776"/>
      <c r="CK193" s="1776"/>
      <c r="CL193" s="1776"/>
      <c r="CM193" s="1776"/>
      <c r="CN193" s="1777"/>
      <c r="CO193" s="1767"/>
    </row>
    <row r="194" spans="2:93" x14ac:dyDescent="0.2">
      <c r="B194" s="1747"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52cP</v>
      </c>
      <c r="C194" s="1703" t="s">
        <v>1082</v>
      </c>
      <c r="D194" s="1765" t="s">
        <v>1081</v>
      </c>
      <c r="E194" s="1723" t="s">
        <v>860</v>
      </c>
      <c r="F194" s="1747" t="str">
        <f>VLOOKUP(TBL5_OptBen[[#This Row],[Option Type (defined list)]],'Option Typs_Grps'!B$2:C$47, 2, FALSE)</f>
        <v>Distribution Options</v>
      </c>
      <c r="G194" s="1747" t="s">
        <v>863</v>
      </c>
      <c r="H194" s="1747" t="s">
        <v>876</v>
      </c>
      <c r="I194" s="1747" t="s">
        <v>93</v>
      </c>
      <c r="J194" s="1747" t="s">
        <v>236</v>
      </c>
      <c r="K194" s="1760">
        <v>2</v>
      </c>
      <c r="L194" s="1779"/>
      <c r="M194" s="1779"/>
      <c r="N194" s="1779">
        <v>0</v>
      </c>
      <c r="O194" s="1780">
        <v>0</v>
      </c>
      <c r="P194" s="1780">
        <v>0</v>
      </c>
      <c r="Q194" s="1779">
        <v>0</v>
      </c>
      <c r="R194" s="1779">
        <v>1.6012833302289531E-2</v>
      </c>
      <c r="S194" s="1779">
        <v>3.2297784268105145E-2</v>
      </c>
      <c r="T194" s="1779">
        <v>4.6891326556159241E-2</v>
      </c>
      <c r="U194" s="1779">
        <v>6.1476061398944459E-2</v>
      </c>
      <c r="V194" s="1779">
        <v>6.7704838780245469E-2</v>
      </c>
      <c r="W194" s="1779">
        <v>6.8220328336446867E-2</v>
      </c>
      <c r="X194" s="1779">
        <v>7.6904546290095466E-2</v>
      </c>
      <c r="Y194" s="1779">
        <v>9.1173372840745115E-2</v>
      </c>
      <c r="Z194" s="1779">
        <v>0.10542791179829925</v>
      </c>
      <c r="AA194" s="1779">
        <v>0.11966776006978419</v>
      </c>
      <c r="AB194" s="1779">
        <v>0.1338935329489499</v>
      </c>
      <c r="AC194" s="1779">
        <v>0.14810483085964576</v>
      </c>
      <c r="AD194" s="1779">
        <v>0.16230273066300716</v>
      </c>
      <c r="AE194" s="1779">
        <v>0.17648917044213785</v>
      </c>
      <c r="AF194" s="1779">
        <v>0.19066368741453266</v>
      </c>
      <c r="AG194" s="1779">
        <v>0.20481992820443029</v>
      </c>
      <c r="AH194" s="1779">
        <v>0.21895815868837754</v>
      </c>
      <c r="AI194" s="1779">
        <v>0.23308594445252351</v>
      </c>
      <c r="AJ194" s="1779">
        <v>0.24720120862646122</v>
      </c>
      <c r="AK194" s="1779">
        <v>0.26130520094276699</v>
      </c>
      <c r="AL194" s="1779">
        <v>0.27539827539136907</v>
      </c>
      <c r="AM194" s="1779">
        <v>0.28948165215975519</v>
      </c>
      <c r="AN194" s="1779">
        <v>0.30355690303425731</v>
      </c>
      <c r="AO194" s="1779">
        <v>0.31762429344060794</v>
      </c>
      <c r="AP194" s="1779">
        <v>0.33168332357691122</v>
      </c>
      <c r="AQ194" s="1779"/>
      <c r="AR194" s="1779"/>
      <c r="AS194" s="1779"/>
      <c r="AT194" s="1779"/>
      <c r="AU194" s="1779"/>
      <c r="AV194" s="1779"/>
      <c r="AW194" s="1779"/>
      <c r="AX194" s="1779"/>
      <c r="AY194" s="1779"/>
      <c r="AZ194" s="1779"/>
      <c r="BA194" s="1779"/>
      <c r="BB194" s="1779"/>
      <c r="BC194" s="1779"/>
      <c r="BD194" s="1779"/>
      <c r="BE194" s="1779"/>
      <c r="BF194" s="1779"/>
      <c r="BG194" s="1779"/>
      <c r="BH194" s="1779"/>
      <c r="BI194" s="1779"/>
      <c r="BJ194" s="1779"/>
      <c r="BK194" s="1779"/>
      <c r="BL194" s="1779"/>
      <c r="BM194" s="1779"/>
      <c r="BN194" s="1779"/>
      <c r="BO194" s="1779"/>
      <c r="BP194" s="1780"/>
      <c r="BQ194" s="1776"/>
      <c r="BR194" s="1776"/>
      <c r="BS194" s="1776"/>
      <c r="BT194" s="1776"/>
      <c r="BU194" s="1776"/>
      <c r="BV194" s="1776"/>
      <c r="BW194" s="1776"/>
      <c r="BX194" s="1776"/>
      <c r="BY194" s="1776"/>
      <c r="BZ194" s="1776"/>
      <c r="CA194" s="1776"/>
      <c r="CB194" s="1776"/>
      <c r="CC194" s="1776"/>
      <c r="CD194" s="1776"/>
      <c r="CE194" s="1776"/>
      <c r="CF194" s="1776"/>
      <c r="CG194" s="1776"/>
      <c r="CH194" s="1776"/>
      <c r="CI194" s="1776"/>
      <c r="CJ194" s="1776"/>
      <c r="CK194" s="1776"/>
      <c r="CL194" s="1776"/>
      <c r="CM194" s="1776"/>
      <c r="CN194" s="1777"/>
      <c r="CO194" s="1767"/>
    </row>
    <row r="195" spans="2:93" ht="15" x14ac:dyDescent="0.25">
      <c r="B195" s="1747"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52dP</v>
      </c>
      <c r="C195" s="1703" t="s">
        <v>1119</v>
      </c>
      <c r="D195" s="1765" t="s">
        <v>1118</v>
      </c>
      <c r="E195" s="1723" t="s">
        <v>1099</v>
      </c>
      <c r="F195" s="1747" t="str">
        <f>VLOOKUP(TBL5_OptBen[[#This Row],[Option Type (defined list)]],'Option Typs_Grps'!B$2:C$47, 2, FALSE)</f>
        <v>Customer Options</v>
      </c>
      <c r="G195" s="1747" t="s">
        <v>863</v>
      </c>
      <c r="H195" s="1747" t="s">
        <v>876</v>
      </c>
      <c r="I195" s="1747" t="s">
        <v>93</v>
      </c>
      <c r="J195" s="1747" t="s">
        <v>236</v>
      </c>
      <c r="K195" s="1760">
        <v>2</v>
      </c>
      <c r="L195" s="1779"/>
      <c r="M195" s="1779"/>
      <c r="N195" s="1779">
        <v>0</v>
      </c>
      <c r="O195" s="1780">
        <v>0</v>
      </c>
      <c r="P195" s="1780">
        <v>0</v>
      </c>
      <c r="Q195" s="1779">
        <v>0</v>
      </c>
      <c r="R195" s="1779">
        <v>-3.4263330228962406E-4</v>
      </c>
      <c r="S195" s="1779">
        <v>-9.5738426810537854E-4</v>
      </c>
      <c r="T195" s="1779">
        <v>1.192734438405299E-4</v>
      </c>
      <c r="U195" s="1779">
        <v>1.2047386010554384E-3</v>
      </c>
      <c r="V195" s="1779">
        <v>1.0646161219754301E-2</v>
      </c>
      <c r="W195" s="1779">
        <v>2.580087166355283E-2</v>
      </c>
      <c r="X195" s="1779">
        <v>3.2786853709904314E-2</v>
      </c>
      <c r="Y195" s="1779">
        <v>3.4188227159254521E-2</v>
      </c>
      <c r="Z195" s="1779">
        <v>3.5603888201700525E-2</v>
      </c>
      <c r="AA195" s="1779">
        <v>3.70342399302157E-2</v>
      </c>
      <c r="AB195" s="1779">
        <v>3.8478667051049797E-2</v>
      </c>
      <c r="AC195" s="1779">
        <v>3.9937569140353874E-2</v>
      </c>
      <c r="AD195" s="1779">
        <v>4.1409869336992353E-2</v>
      </c>
      <c r="AE195" s="1779">
        <v>4.2893629557861718E-2</v>
      </c>
      <c r="AF195" s="1779">
        <v>4.4389312585466904E-2</v>
      </c>
      <c r="AG195" s="1779">
        <v>4.5903271795569175E-2</v>
      </c>
      <c r="AH195" s="1779">
        <v>4.7435241311621787E-2</v>
      </c>
      <c r="AI195" s="1779">
        <v>4.897765554747599E-2</v>
      </c>
      <c r="AJ195" s="1779">
        <v>5.0532591373538299E-2</v>
      </c>
      <c r="AK195" s="1779">
        <v>5.209879905723229E-2</v>
      </c>
      <c r="AL195" s="1779">
        <v>5.3675924608630209E-2</v>
      </c>
      <c r="AM195" s="1779">
        <v>5.5262747840244097E-2</v>
      </c>
      <c r="AN195" s="1779">
        <v>5.6857696965741972E-2</v>
      </c>
      <c r="AO195" s="1779">
        <v>5.846050655939123E-2</v>
      </c>
      <c r="AP195" s="1779">
        <v>6.0071676423088909E-2</v>
      </c>
      <c r="AQ195" s="1779"/>
      <c r="AR195" s="1779"/>
      <c r="AS195" s="1779"/>
      <c r="AT195" s="1779"/>
      <c r="AU195" s="1779"/>
      <c r="AV195" s="1779"/>
      <c r="AW195" s="1779"/>
      <c r="AX195" s="1779"/>
      <c r="AY195" s="1779"/>
      <c r="AZ195" s="1779"/>
      <c r="BA195" s="1779"/>
      <c r="BB195" s="1779"/>
      <c r="BC195" s="1779"/>
      <c r="BD195" s="1779"/>
      <c r="BE195" s="1779"/>
      <c r="BF195" s="1779"/>
      <c r="BG195" s="1779"/>
      <c r="BH195" s="1779"/>
      <c r="BI195" s="1779"/>
      <c r="BJ195" s="1779"/>
      <c r="BK195" s="1779"/>
      <c r="BL195" s="1779"/>
      <c r="BM195" s="1779"/>
      <c r="BN195" s="1779"/>
      <c r="BO195" s="1779"/>
      <c r="BP195" s="1780"/>
      <c r="BQ195" s="1776"/>
      <c r="BR195" s="1776"/>
      <c r="BS195" s="1776"/>
      <c r="BT195" s="1776"/>
      <c r="BU195" s="1776"/>
      <c r="BV195" s="1776"/>
      <c r="BW195" s="1776"/>
      <c r="BX195" s="1776"/>
      <c r="BY195" s="1776"/>
      <c r="BZ195" s="1776"/>
      <c r="CA195" s="1776"/>
      <c r="CB195" s="1776"/>
      <c r="CC195" s="1776"/>
      <c r="CD195" s="1776"/>
      <c r="CE195" s="1776"/>
      <c r="CF195" s="1776"/>
      <c r="CG195" s="1776"/>
      <c r="CH195" s="1776"/>
      <c r="CI195" s="1776"/>
      <c r="CJ195" s="1776"/>
      <c r="CK195" s="1776"/>
      <c r="CL195" s="1776"/>
      <c r="CM195" s="1776"/>
      <c r="CN195" s="1777"/>
      <c r="CO195" s="1767"/>
    </row>
    <row r="196" spans="2:93" x14ac:dyDescent="0.2">
      <c r="B196" s="1747"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52dP</v>
      </c>
      <c r="C196" s="1707" t="s">
        <v>1125</v>
      </c>
      <c r="D196" s="1765" t="s">
        <v>1474</v>
      </c>
      <c r="E196" s="1714" t="s">
        <v>987</v>
      </c>
      <c r="F196" s="1747" t="str">
        <f>VLOOKUP(TBL5_OptBen[[#This Row],[Option Type (defined list)]],'Option Typs_Grps'!B$2:C$47, 2, FALSE)</f>
        <v>Customer Options</v>
      </c>
      <c r="G196" s="1747" t="s">
        <v>863</v>
      </c>
      <c r="H196" s="1747" t="s">
        <v>876</v>
      </c>
      <c r="I196" s="1747" t="s">
        <v>93</v>
      </c>
      <c r="J196" s="1747" t="s">
        <v>236</v>
      </c>
      <c r="K196" s="1760">
        <v>2</v>
      </c>
      <c r="L196" s="1779"/>
      <c r="M196" s="1779"/>
      <c r="N196" s="1779">
        <v>0</v>
      </c>
      <c r="O196" s="1780">
        <v>0</v>
      </c>
      <c r="P196" s="1780">
        <v>0</v>
      </c>
      <c r="Q196" s="1779">
        <v>0</v>
      </c>
      <c r="R196" s="1779">
        <v>1.0144563675199336E-2</v>
      </c>
      <c r="S196" s="1779">
        <v>2.0289127350499925E-2</v>
      </c>
      <c r="T196" s="1779">
        <v>3.0433691025800513E-2</v>
      </c>
      <c r="U196" s="1779">
        <v>4.0578254701101102E-2</v>
      </c>
      <c r="V196" s="1779">
        <v>5.0722818376399914E-2</v>
      </c>
      <c r="W196" s="1779">
        <v>7.2467705815599359E-2</v>
      </c>
      <c r="X196" s="1779">
        <v>9.4212593254999533E-2</v>
      </c>
      <c r="Y196" s="1779">
        <v>0.11595748069419898</v>
      </c>
      <c r="Z196" s="1779">
        <v>0.13770236813349968</v>
      </c>
      <c r="AA196" s="1779">
        <v>0.1594472555727986</v>
      </c>
      <c r="AB196" s="1779">
        <v>0.17964585081410078</v>
      </c>
      <c r="AC196" s="1779">
        <v>0.19984444605529994</v>
      </c>
      <c r="AD196" s="1779">
        <v>0.22004304129650087</v>
      </c>
      <c r="AE196" s="1779">
        <v>0.2200430412964991</v>
      </c>
      <c r="AF196" s="1779">
        <v>0.22004304129650087</v>
      </c>
      <c r="AG196" s="1779">
        <v>0.2200430412964991</v>
      </c>
      <c r="AH196" s="1779">
        <v>0.22004304129650087</v>
      </c>
      <c r="AI196" s="1779">
        <v>0.22004304129650087</v>
      </c>
      <c r="AJ196" s="1779">
        <v>0.22004304129650087</v>
      </c>
      <c r="AK196" s="1779">
        <v>0.2200430412964991</v>
      </c>
      <c r="AL196" s="1779">
        <v>0.22004304129650087</v>
      </c>
      <c r="AM196" s="1779">
        <v>0.22004304129650087</v>
      </c>
      <c r="AN196" s="1779">
        <v>0.22004304129650087</v>
      </c>
      <c r="AO196" s="1779">
        <v>0.2200430412964991</v>
      </c>
      <c r="AP196" s="1779">
        <v>0.22004304129650087</v>
      </c>
      <c r="AQ196" s="1779"/>
      <c r="AR196" s="1779"/>
      <c r="AS196" s="1779"/>
      <c r="AT196" s="1779"/>
      <c r="AU196" s="1779"/>
      <c r="AV196" s="1779"/>
      <c r="AW196" s="1779"/>
      <c r="AX196" s="1779"/>
      <c r="AY196" s="1779"/>
      <c r="AZ196" s="1779"/>
      <c r="BA196" s="1779"/>
      <c r="BB196" s="1779"/>
      <c r="BC196" s="1779"/>
      <c r="BD196" s="1779"/>
      <c r="BE196" s="1779"/>
      <c r="BF196" s="1779"/>
      <c r="BG196" s="1779"/>
      <c r="BH196" s="1779"/>
      <c r="BI196" s="1779"/>
      <c r="BJ196" s="1779"/>
      <c r="BK196" s="1779"/>
      <c r="BL196" s="1779"/>
      <c r="BM196" s="1779"/>
      <c r="BN196" s="1779"/>
      <c r="BO196" s="1779"/>
      <c r="BP196" s="1780"/>
      <c r="BQ196" s="1776"/>
      <c r="BR196" s="1776"/>
      <c r="BS196" s="1776"/>
      <c r="BT196" s="1776"/>
      <c r="BU196" s="1776"/>
      <c r="BV196" s="1776"/>
      <c r="BW196" s="1776"/>
      <c r="BX196" s="1776"/>
      <c r="BY196" s="1776"/>
      <c r="BZ196" s="1776"/>
      <c r="CA196" s="1776"/>
      <c r="CB196" s="1776"/>
      <c r="CC196" s="1776"/>
      <c r="CD196" s="1776"/>
      <c r="CE196" s="1776"/>
      <c r="CF196" s="1776"/>
      <c r="CG196" s="1776"/>
      <c r="CH196" s="1776"/>
      <c r="CI196" s="1776"/>
      <c r="CJ196" s="1776"/>
      <c r="CK196" s="1776"/>
      <c r="CL196" s="1776"/>
      <c r="CM196" s="1776"/>
      <c r="CN196" s="1777"/>
      <c r="CO196" s="1767"/>
    </row>
    <row r="197" spans="2:93" x14ac:dyDescent="0.2">
      <c r="B197" s="1747"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52dP</v>
      </c>
      <c r="C197" s="1703" t="s">
        <v>1079</v>
      </c>
      <c r="D197" s="1765" t="s">
        <v>1078</v>
      </c>
      <c r="E197" s="1714" t="s">
        <v>987</v>
      </c>
      <c r="F197" s="1747" t="str">
        <f>VLOOKUP(TBL5_OptBen[[#This Row],[Option Type (defined list)]],'Option Typs_Grps'!B$2:C$47, 2, FALSE)</f>
        <v>Customer Options</v>
      </c>
      <c r="G197" s="1747" t="s">
        <v>863</v>
      </c>
      <c r="H197" s="1747" t="s">
        <v>876</v>
      </c>
      <c r="I197" s="1747" t="s">
        <v>93</v>
      </c>
      <c r="J197" s="1747" t="s">
        <v>236</v>
      </c>
      <c r="K197" s="1760">
        <v>2</v>
      </c>
      <c r="L197" s="1779"/>
      <c r="M197" s="1779"/>
      <c r="N197" s="1779">
        <v>0</v>
      </c>
      <c r="O197" s="1780">
        <v>0</v>
      </c>
      <c r="P197" s="1780">
        <v>0</v>
      </c>
      <c r="Q197" s="1779">
        <v>0</v>
      </c>
      <c r="R197" s="1779">
        <v>0</v>
      </c>
      <c r="S197" s="1779">
        <v>0</v>
      </c>
      <c r="T197" s="1779">
        <v>1.2316154623000841E-2</v>
      </c>
      <c r="U197" s="1779">
        <v>2.4492761570900967E-2</v>
      </c>
      <c r="V197" s="1779">
        <v>3.6494205364698828E-2</v>
      </c>
      <c r="W197" s="1779">
        <v>4.840714577579952E-2</v>
      </c>
      <c r="X197" s="1779">
        <v>6.0274776207499769E-2</v>
      </c>
      <c r="Y197" s="1779">
        <v>7.2075016762699562E-2</v>
      </c>
      <c r="Z197" s="1779">
        <v>9.6940235992798662E-2</v>
      </c>
      <c r="AA197" s="1779">
        <v>0.12163387279989912</v>
      </c>
      <c r="AB197" s="1779">
        <v>0.14620955217790055</v>
      </c>
      <c r="AC197" s="1779">
        <v>0.17063373049670005</v>
      </c>
      <c r="AD197" s="1779">
        <v>0.19495479254990045</v>
      </c>
      <c r="AE197" s="1779">
        <v>0.2192086231135999</v>
      </c>
      <c r="AF197" s="1779">
        <v>0.2432107743487002</v>
      </c>
      <c r="AG197" s="1779">
        <v>0.26704516829710023</v>
      </c>
      <c r="AH197" s="1779">
        <v>0.29089161678320075</v>
      </c>
      <c r="AI197" s="1779">
        <v>0.31469205759239927</v>
      </c>
      <c r="AJ197" s="1779">
        <v>0.32222836230859997</v>
      </c>
      <c r="AK197" s="1779">
        <v>0.32981805983060042</v>
      </c>
      <c r="AL197" s="1779">
        <v>0.33738307145740087</v>
      </c>
      <c r="AM197" s="1779">
        <v>0.34497200784130122</v>
      </c>
      <c r="AN197" s="1779">
        <v>0.35268172673660025</v>
      </c>
      <c r="AO197" s="1779">
        <v>0.3604911591194</v>
      </c>
      <c r="AP197" s="1779">
        <v>0.36835618440450091</v>
      </c>
      <c r="AQ197" s="1779"/>
      <c r="AR197" s="1779"/>
      <c r="AS197" s="1779"/>
      <c r="AT197" s="1779"/>
      <c r="AU197" s="1779"/>
      <c r="AV197" s="1779"/>
      <c r="AW197" s="1779"/>
      <c r="AX197" s="1779"/>
      <c r="AY197" s="1779"/>
      <c r="AZ197" s="1779"/>
      <c r="BA197" s="1779"/>
      <c r="BB197" s="1779"/>
      <c r="BC197" s="1779"/>
      <c r="BD197" s="1779"/>
      <c r="BE197" s="1779"/>
      <c r="BF197" s="1779"/>
      <c r="BG197" s="1779"/>
      <c r="BH197" s="1779"/>
      <c r="BI197" s="1779"/>
      <c r="BJ197" s="1779"/>
      <c r="BK197" s="1779"/>
      <c r="BL197" s="1779"/>
      <c r="BM197" s="1779"/>
      <c r="BN197" s="1779"/>
      <c r="BO197" s="1779"/>
      <c r="BP197" s="1780"/>
      <c r="BQ197" s="1776"/>
      <c r="BR197" s="1776"/>
      <c r="BS197" s="1776"/>
      <c r="BT197" s="1776"/>
      <c r="BU197" s="1776"/>
      <c r="BV197" s="1776"/>
      <c r="BW197" s="1776"/>
      <c r="BX197" s="1776"/>
      <c r="BY197" s="1776"/>
      <c r="BZ197" s="1776"/>
      <c r="CA197" s="1776"/>
      <c r="CB197" s="1776"/>
      <c r="CC197" s="1776"/>
      <c r="CD197" s="1776"/>
      <c r="CE197" s="1776"/>
      <c r="CF197" s="1776"/>
      <c r="CG197" s="1776"/>
      <c r="CH197" s="1776"/>
      <c r="CI197" s="1776"/>
      <c r="CJ197" s="1776"/>
      <c r="CK197" s="1776"/>
      <c r="CL197" s="1776"/>
      <c r="CM197" s="1776"/>
      <c r="CN197" s="1777"/>
      <c r="CO197" s="1767"/>
    </row>
    <row r="198" spans="2:93" ht="15" x14ac:dyDescent="0.25">
      <c r="B198" s="1747"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98" s="1707" t="s">
        <v>1092</v>
      </c>
      <c r="D198" s="1765" t="s">
        <v>1091</v>
      </c>
      <c r="E198" s="1723" t="s">
        <v>1068</v>
      </c>
      <c r="F198" s="1747" t="str">
        <f>VLOOKUP(TBL5_OptBen[[#This Row],[Option Type (defined list)]],'Option Typs_Grps'!B$2:C$47, 2, FALSE)</f>
        <v>Customer Options</v>
      </c>
      <c r="G198" s="1747" t="s">
        <v>863</v>
      </c>
      <c r="H198" s="1747" t="s">
        <v>1456</v>
      </c>
      <c r="I198" s="1747" t="s">
        <v>93</v>
      </c>
      <c r="J198" s="1747" t="s">
        <v>236</v>
      </c>
      <c r="K198" s="1760">
        <v>2</v>
      </c>
      <c r="L198" s="1779"/>
      <c r="M198" s="1779"/>
      <c r="N198" s="1779">
        <v>0</v>
      </c>
      <c r="O198" s="1780">
        <v>0</v>
      </c>
      <c r="P198" s="1780">
        <v>0</v>
      </c>
      <c r="Q198" s="1779">
        <v>0</v>
      </c>
      <c r="R198" s="1779">
        <v>-4.4053186732658227E-2</v>
      </c>
      <c r="S198" s="1779">
        <v>-9.3138730139015108E-2</v>
      </c>
      <c r="T198" s="1779">
        <v>-0.10415708573317733</v>
      </c>
      <c r="U198" s="1779">
        <v>-0.11411030193737498</v>
      </c>
      <c r="V198" s="1779">
        <v>1.0340731134713732E-2</v>
      </c>
      <c r="W198" s="1779">
        <v>0.2277766279500909</v>
      </c>
      <c r="X198" s="1779">
        <v>0.31452218896869366</v>
      </c>
      <c r="Y198" s="1779">
        <v>0.3221416473564549</v>
      </c>
      <c r="Z198" s="1779">
        <v>0.32759178770505026</v>
      </c>
      <c r="AA198" s="1779">
        <v>0.33241742262951046</v>
      </c>
      <c r="AB198" s="1779">
        <v>0.32760129782292924</v>
      </c>
      <c r="AC198" s="1779">
        <v>0.32294553941699777</v>
      </c>
      <c r="AD198" s="1779">
        <v>0.31842169827566269</v>
      </c>
      <c r="AE198" s="1779">
        <v>0.31404373246899864</v>
      </c>
      <c r="AF198" s="1779">
        <v>0.30961700364165323</v>
      </c>
      <c r="AG198" s="1779">
        <v>0.30519741695049318</v>
      </c>
      <c r="AH198" s="1779">
        <v>0.30112164133325048</v>
      </c>
      <c r="AI198" s="1779">
        <v>0.29725341381501491</v>
      </c>
      <c r="AJ198" s="1779">
        <v>0.29476855388971779</v>
      </c>
      <c r="AK198" s="1779">
        <v>0.29235244455545106</v>
      </c>
      <c r="AL198" s="1779">
        <v>0.28999727029003242</v>
      </c>
      <c r="AM198" s="1779">
        <v>0.28777529349523978</v>
      </c>
      <c r="AN198" s="1779">
        <v>0.28557358834283364</v>
      </c>
      <c r="AO198" s="1779">
        <v>0.28341879998868236</v>
      </c>
      <c r="AP198" s="1779">
        <v>0.28121248201337012</v>
      </c>
      <c r="AQ198" s="1779"/>
      <c r="AR198" s="1779"/>
      <c r="AS198" s="1779"/>
      <c r="AT198" s="1779"/>
      <c r="AU198" s="1779"/>
      <c r="AV198" s="1779"/>
      <c r="AW198" s="1779"/>
      <c r="AX198" s="1779"/>
      <c r="AY198" s="1779"/>
      <c r="AZ198" s="1779"/>
      <c r="BA198" s="1779"/>
      <c r="BB198" s="1779"/>
      <c r="BC198" s="1779"/>
      <c r="BD198" s="1779"/>
      <c r="BE198" s="1779"/>
      <c r="BF198" s="1779"/>
      <c r="BG198" s="1779"/>
      <c r="BH198" s="1779"/>
      <c r="BI198" s="1779"/>
      <c r="BJ198" s="1779"/>
      <c r="BK198" s="1779"/>
      <c r="BL198" s="1779"/>
      <c r="BM198" s="1779"/>
      <c r="BN198" s="1779"/>
      <c r="BO198" s="1779"/>
      <c r="BP198" s="1780"/>
      <c r="BQ198" s="1776"/>
      <c r="BR198" s="1776"/>
      <c r="BS198" s="1776"/>
      <c r="BT198" s="1776"/>
      <c r="BU198" s="1776"/>
      <c r="BV198" s="1776"/>
      <c r="BW198" s="1776"/>
      <c r="BX198" s="1776"/>
      <c r="BY198" s="1776"/>
      <c r="BZ198" s="1776"/>
      <c r="CA198" s="1776"/>
      <c r="CB198" s="1776"/>
      <c r="CC198" s="1776"/>
      <c r="CD198" s="1776"/>
      <c r="CE198" s="1776"/>
      <c r="CF198" s="1776"/>
      <c r="CG198" s="1776"/>
      <c r="CH198" s="1776"/>
      <c r="CI198" s="1776"/>
      <c r="CJ198" s="1776"/>
      <c r="CK198" s="1776"/>
      <c r="CL198" s="1776"/>
      <c r="CM198" s="1776"/>
      <c r="CN198" s="1777"/>
      <c r="CO198" s="1767"/>
    </row>
    <row r="199" spans="2:93" ht="28.5" x14ac:dyDescent="0.2">
      <c r="B199" s="1747"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199" s="1707" t="s">
        <v>1094</v>
      </c>
      <c r="D199" s="1765" t="s">
        <v>1093</v>
      </c>
      <c r="E199" s="1747" t="s">
        <v>987</v>
      </c>
      <c r="F199" s="1747" t="str">
        <f>VLOOKUP(TBL5_OptBen[[#This Row],[Option Type (defined list)]],'Option Typs_Grps'!B$2:C$47, 2, FALSE)</f>
        <v>Customer Options</v>
      </c>
      <c r="G199" s="1747" t="s">
        <v>863</v>
      </c>
      <c r="H199" s="1747" t="s">
        <v>1456</v>
      </c>
      <c r="I199" s="1747" t="s">
        <v>93</v>
      </c>
      <c r="J199" s="1747" t="s">
        <v>236</v>
      </c>
      <c r="K199" s="1760">
        <v>2</v>
      </c>
      <c r="L199" s="1779"/>
      <c r="M199" s="1779"/>
      <c r="N199" s="1779">
        <v>0</v>
      </c>
      <c r="O199" s="1780">
        <v>0</v>
      </c>
      <c r="P199" s="1780">
        <v>0</v>
      </c>
      <c r="Q199" s="1779">
        <v>0</v>
      </c>
      <c r="R199" s="1779">
        <v>0</v>
      </c>
      <c r="S199" s="1779">
        <v>0</v>
      </c>
      <c r="T199" s="1779">
        <v>1.3332861753600156E-2</v>
      </c>
      <c r="U199" s="1779">
        <v>2.6475060398599481E-2</v>
      </c>
      <c r="V199" s="1779">
        <v>3.939287342900144E-2</v>
      </c>
      <c r="W199" s="1779">
        <v>5.221242590460129E-2</v>
      </c>
      <c r="X199" s="1779">
        <v>6.501273698970067E-2</v>
      </c>
      <c r="Y199" s="1779">
        <v>7.773848348410084E-2</v>
      </c>
      <c r="Z199" s="1779">
        <v>0.10455599856419973</v>
      </c>
      <c r="AA199" s="1779">
        <v>0.13118644731430074</v>
      </c>
      <c r="AB199" s="1779">
        <v>0.15768382713720008</v>
      </c>
      <c r="AC199" s="1779">
        <v>0.18401665959700075</v>
      </c>
      <c r="AD199" s="1779">
        <v>0.21022883989770058</v>
      </c>
      <c r="AE199" s="1779">
        <v>0.23635903928349933</v>
      </c>
      <c r="AF199" s="1779">
        <v>0.26222111732779929</v>
      </c>
      <c r="AG199" s="1779">
        <v>0.28789968387789955</v>
      </c>
      <c r="AH199" s="1779">
        <v>0.31357616404130084</v>
      </c>
      <c r="AI199" s="1779">
        <v>0.33919454044669983</v>
      </c>
      <c r="AJ199" s="1779">
        <v>0.34727299584710103</v>
      </c>
      <c r="AK199" s="1779">
        <v>0.35540323763579984</v>
      </c>
      <c r="AL199" s="1779">
        <v>0.36350419557210145</v>
      </c>
      <c r="AM199" s="1779">
        <v>0.37162499721040021</v>
      </c>
      <c r="AN199" s="1779">
        <v>0.37986351179760014</v>
      </c>
      <c r="AO199" s="1779">
        <v>0.38819867359920046</v>
      </c>
      <c r="AP199" s="1779">
        <v>0.39658616295309912</v>
      </c>
      <c r="AQ199" s="1779"/>
      <c r="AR199" s="1779"/>
      <c r="AS199" s="1779"/>
      <c r="AT199" s="1779"/>
      <c r="AU199" s="1779"/>
      <c r="AV199" s="1779"/>
      <c r="AW199" s="1779"/>
      <c r="AX199" s="1779"/>
      <c r="AY199" s="1779"/>
      <c r="AZ199" s="1779"/>
      <c r="BA199" s="1779"/>
      <c r="BB199" s="1779"/>
      <c r="BC199" s="1779"/>
      <c r="BD199" s="1779"/>
      <c r="BE199" s="1779"/>
      <c r="BF199" s="1779"/>
      <c r="BG199" s="1779"/>
      <c r="BH199" s="1779"/>
      <c r="BI199" s="1779"/>
      <c r="BJ199" s="1779"/>
      <c r="BK199" s="1779"/>
      <c r="BL199" s="1779"/>
      <c r="BM199" s="1779"/>
      <c r="BN199" s="1779"/>
      <c r="BO199" s="1779"/>
      <c r="BP199" s="1780"/>
      <c r="BQ199" s="1776"/>
      <c r="BR199" s="1776"/>
      <c r="BS199" s="1776"/>
      <c r="BT199" s="1776"/>
      <c r="BU199" s="1776"/>
      <c r="BV199" s="1776"/>
      <c r="BW199" s="1776"/>
      <c r="BX199" s="1776"/>
      <c r="BY199" s="1776"/>
      <c r="BZ199" s="1776"/>
      <c r="CA199" s="1776"/>
      <c r="CB199" s="1776"/>
      <c r="CC199" s="1776"/>
      <c r="CD199" s="1776"/>
      <c r="CE199" s="1776"/>
      <c r="CF199" s="1776"/>
      <c r="CG199" s="1776"/>
      <c r="CH199" s="1776"/>
      <c r="CI199" s="1776"/>
      <c r="CJ199" s="1776"/>
      <c r="CK199" s="1776"/>
      <c r="CL199" s="1776"/>
      <c r="CM199" s="1776"/>
      <c r="CN199" s="1777"/>
      <c r="CO199" s="1767"/>
    </row>
    <row r="200" spans="2:93" ht="28.5" x14ac:dyDescent="0.2">
      <c r="B200" s="1747"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200" s="1707" t="s">
        <v>1096</v>
      </c>
      <c r="D200" s="1765" t="s">
        <v>1475</v>
      </c>
      <c r="E200" s="1723" t="s">
        <v>860</v>
      </c>
      <c r="F200" s="1747" t="str">
        <f>VLOOKUP(TBL5_OptBen[[#This Row],[Option Type (defined list)]],'Option Typs_Grps'!B$2:C$47, 2, FALSE)</f>
        <v>Distribution Options</v>
      </c>
      <c r="G200" s="1747" t="s">
        <v>863</v>
      </c>
      <c r="H200" s="1747" t="s">
        <v>1456</v>
      </c>
      <c r="I200" s="1747" t="s">
        <v>93</v>
      </c>
      <c r="J200" s="1747" t="s">
        <v>236</v>
      </c>
      <c r="K200" s="1760">
        <v>2</v>
      </c>
      <c r="L200" s="1779"/>
      <c r="M200" s="1779"/>
      <c r="N200" s="1779">
        <v>0</v>
      </c>
      <c r="O200" s="1780">
        <v>0</v>
      </c>
      <c r="P200" s="1780">
        <v>0</v>
      </c>
      <c r="Q200" s="1779">
        <v>0</v>
      </c>
      <c r="R200" s="1779">
        <v>1.6012833302289531E-2</v>
      </c>
      <c r="S200" s="1779">
        <v>3.2297784268105145E-2</v>
      </c>
      <c r="T200" s="1779">
        <v>4.6891326556159241E-2</v>
      </c>
      <c r="U200" s="1779">
        <v>6.1476061398944459E-2</v>
      </c>
      <c r="V200" s="1779">
        <v>6.7704838780245469E-2</v>
      </c>
      <c r="W200" s="1779">
        <v>6.8220328336446867E-2</v>
      </c>
      <c r="X200" s="1779">
        <v>7.6904546290095466E-2</v>
      </c>
      <c r="Y200" s="1779">
        <v>9.1173372840745115E-2</v>
      </c>
      <c r="Z200" s="1779">
        <v>0.10542791179829925</v>
      </c>
      <c r="AA200" s="1779">
        <v>0.11966776006978419</v>
      </c>
      <c r="AB200" s="1779">
        <v>0.1338935329489499</v>
      </c>
      <c r="AC200" s="1779">
        <v>0.14810483085964576</v>
      </c>
      <c r="AD200" s="1779">
        <v>0.16230273066300716</v>
      </c>
      <c r="AE200" s="1779">
        <v>0.17648917044213785</v>
      </c>
      <c r="AF200" s="1779">
        <v>0.19066368741453266</v>
      </c>
      <c r="AG200" s="1779">
        <v>0.20481992820443029</v>
      </c>
      <c r="AH200" s="1779">
        <v>0.21895815868837754</v>
      </c>
      <c r="AI200" s="1779">
        <v>0.23308594445252351</v>
      </c>
      <c r="AJ200" s="1779">
        <v>0.24720120862646122</v>
      </c>
      <c r="AK200" s="1779">
        <v>0.26130520094276699</v>
      </c>
      <c r="AL200" s="1779">
        <v>0.27539827539136907</v>
      </c>
      <c r="AM200" s="1779">
        <v>0.28948165215975519</v>
      </c>
      <c r="AN200" s="1779">
        <v>0.30355690303425731</v>
      </c>
      <c r="AO200" s="1779">
        <v>0.31762429344060794</v>
      </c>
      <c r="AP200" s="1779">
        <v>0.33168332357691122</v>
      </c>
      <c r="AQ200" s="1779"/>
      <c r="AR200" s="1779"/>
      <c r="AS200" s="1779"/>
      <c r="AT200" s="1779"/>
      <c r="AU200" s="1779"/>
      <c r="AV200" s="1779"/>
      <c r="AW200" s="1779"/>
      <c r="AX200" s="1779"/>
      <c r="AY200" s="1779"/>
      <c r="AZ200" s="1779"/>
      <c r="BA200" s="1779"/>
      <c r="BB200" s="1779"/>
      <c r="BC200" s="1779"/>
      <c r="BD200" s="1779"/>
      <c r="BE200" s="1779"/>
      <c r="BF200" s="1779"/>
      <c r="BG200" s="1779"/>
      <c r="BH200" s="1779"/>
      <c r="BI200" s="1779"/>
      <c r="BJ200" s="1779"/>
      <c r="BK200" s="1779"/>
      <c r="BL200" s="1779"/>
      <c r="BM200" s="1779"/>
      <c r="BN200" s="1779"/>
      <c r="BO200" s="1779"/>
      <c r="BP200" s="1780"/>
      <c r="BQ200" s="1776"/>
      <c r="BR200" s="1776"/>
      <c r="BS200" s="1776"/>
      <c r="BT200" s="1776"/>
      <c r="BU200" s="1776"/>
      <c r="BV200" s="1776"/>
      <c r="BW200" s="1776"/>
      <c r="BX200" s="1776"/>
      <c r="BY200" s="1776"/>
      <c r="BZ200" s="1776"/>
      <c r="CA200" s="1776"/>
      <c r="CB200" s="1776"/>
      <c r="CC200" s="1776"/>
      <c r="CD200" s="1776"/>
      <c r="CE200" s="1776"/>
      <c r="CF200" s="1776"/>
      <c r="CG200" s="1776"/>
      <c r="CH200" s="1776"/>
      <c r="CI200" s="1776"/>
      <c r="CJ200" s="1776"/>
      <c r="CK200" s="1776"/>
      <c r="CL200" s="1776"/>
      <c r="CM200" s="1776"/>
      <c r="CN200" s="1777"/>
      <c r="CO200" s="1767"/>
    </row>
    <row r="201" spans="2:93" ht="28.5" x14ac:dyDescent="0.25">
      <c r="B201" s="1747"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01" s="1703" t="s">
        <v>1098</v>
      </c>
      <c r="D201" s="1765" t="s">
        <v>1476</v>
      </c>
      <c r="E201" s="1723" t="s">
        <v>1099</v>
      </c>
      <c r="F201" s="1747" t="str">
        <f>VLOOKUP(TBL5_OptBen[[#This Row],[Option Type (defined list)]],'Option Typs_Grps'!B$2:C$47, 2, FALSE)</f>
        <v>Customer Options</v>
      </c>
      <c r="G201" s="1747" t="s">
        <v>863</v>
      </c>
      <c r="H201" s="1747" t="s">
        <v>1456</v>
      </c>
      <c r="I201" s="1747" t="s">
        <v>93</v>
      </c>
      <c r="J201" s="1747" t="s">
        <v>236</v>
      </c>
      <c r="K201" s="1760">
        <v>2</v>
      </c>
      <c r="L201" s="1779"/>
      <c r="M201" s="1779"/>
      <c r="N201" s="1779">
        <v>0</v>
      </c>
      <c r="O201" s="1780">
        <v>0</v>
      </c>
      <c r="P201" s="1780">
        <v>0</v>
      </c>
      <c r="Q201" s="1779">
        <v>0</v>
      </c>
      <c r="R201" s="1779">
        <v>-3.4263330228962406E-4</v>
      </c>
      <c r="S201" s="1779">
        <v>-9.5738426810537854E-4</v>
      </c>
      <c r="T201" s="1779">
        <v>1.192734438405299E-4</v>
      </c>
      <c r="U201" s="1779">
        <v>1.2047386010554384E-3</v>
      </c>
      <c r="V201" s="1779">
        <v>1.0646161219754301E-2</v>
      </c>
      <c r="W201" s="1779">
        <v>2.580087166355283E-2</v>
      </c>
      <c r="X201" s="1779">
        <v>3.2786853709904314E-2</v>
      </c>
      <c r="Y201" s="1779">
        <v>3.4188227159254521E-2</v>
      </c>
      <c r="Z201" s="1779">
        <v>3.5603888201700525E-2</v>
      </c>
      <c r="AA201" s="1779">
        <v>3.70342399302157E-2</v>
      </c>
      <c r="AB201" s="1779">
        <v>3.8478667051049797E-2</v>
      </c>
      <c r="AC201" s="1779">
        <v>3.9937569140353874E-2</v>
      </c>
      <c r="AD201" s="1779">
        <v>4.1409869336992353E-2</v>
      </c>
      <c r="AE201" s="1779">
        <v>4.2893629557861718E-2</v>
      </c>
      <c r="AF201" s="1779">
        <v>4.4389312585466904E-2</v>
      </c>
      <c r="AG201" s="1779">
        <v>4.5903271795569175E-2</v>
      </c>
      <c r="AH201" s="1779">
        <v>4.7435241311621787E-2</v>
      </c>
      <c r="AI201" s="1779">
        <v>4.897765554747599E-2</v>
      </c>
      <c r="AJ201" s="1779">
        <v>5.0532591373538299E-2</v>
      </c>
      <c r="AK201" s="1779">
        <v>5.209879905723229E-2</v>
      </c>
      <c r="AL201" s="1779">
        <v>5.3675924608630209E-2</v>
      </c>
      <c r="AM201" s="1779">
        <v>5.5262747840244097E-2</v>
      </c>
      <c r="AN201" s="1779">
        <v>5.6857696965741972E-2</v>
      </c>
      <c r="AO201" s="1779">
        <v>5.846050655939123E-2</v>
      </c>
      <c r="AP201" s="1779">
        <v>6.0071676423088909E-2</v>
      </c>
      <c r="AQ201" s="1779"/>
      <c r="AR201" s="1779"/>
      <c r="AS201" s="1779"/>
      <c r="AT201" s="1779"/>
      <c r="AU201" s="1779"/>
      <c r="AV201" s="1779"/>
      <c r="AW201" s="1779"/>
      <c r="AX201" s="1779"/>
      <c r="AY201" s="1779"/>
      <c r="AZ201" s="1779"/>
      <c r="BA201" s="1779"/>
      <c r="BB201" s="1779"/>
      <c r="BC201" s="1779"/>
      <c r="BD201" s="1779"/>
      <c r="BE201" s="1779"/>
      <c r="BF201" s="1779"/>
      <c r="BG201" s="1779"/>
      <c r="BH201" s="1779"/>
      <c r="BI201" s="1779"/>
      <c r="BJ201" s="1779"/>
      <c r="BK201" s="1779"/>
      <c r="BL201" s="1779"/>
      <c r="BM201" s="1779"/>
      <c r="BN201" s="1779"/>
      <c r="BO201" s="1779"/>
      <c r="BP201" s="1780"/>
      <c r="BQ201" s="1776"/>
      <c r="BR201" s="1776"/>
      <c r="BS201" s="1776"/>
      <c r="BT201" s="1776"/>
      <c r="BU201" s="1776"/>
      <c r="BV201" s="1776"/>
      <c r="BW201" s="1776"/>
      <c r="BX201" s="1776"/>
      <c r="BY201" s="1776"/>
      <c r="BZ201" s="1776"/>
      <c r="CA201" s="1776"/>
      <c r="CB201" s="1776"/>
      <c r="CC201" s="1776"/>
      <c r="CD201" s="1776"/>
      <c r="CE201" s="1776"/>
      <c r="CF201" s="1776"/>
      <c r="CG201" s="1776"/>
      <c r="CH201" s="1776"/>
      <c r="CI201" s="1776"/>
      <c r="CJ201" s="1776"/>
      <c r="CK201" s="1776"/>
      <c r="CL201" s="1776"/>
      <c r="CM201" s="1776"/>
      <c r="CN201" s="1777"/>
      <c r="CO201" s="1767"/>
    </row>
    <row r="202" spans="2:93" ht="15" x14ac:dyDescent="0.25">
      <c r="B202" s="1747"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02" s="1707" t="s">
        <v>1101</v>
      </c>
      <c r="D202" s="1765" t="s">
        <v>1100</v>
      </c>
      <c r="E202" s="1723" t="s">
        <v>987</v>
      </c>
      <c r="F202" s="1747" t="str">
        <f>VLOOKUP(TBL5_OptBen[[#This Row],[Option Type (defined list)]],'Option Typs_Grps'!B$2:C$47, 2, FALSE)</f>
        <v>Customer Options</v>
      </c>
      <c r="G202" s="1747" t="s">
        <v>863</v>
      </c>
      <c r="H202" s="1747" t="s">
        <v>1456</v>
      </c>
      <c r="I202" s="1747" t="s">
        <v>93</v>
      </c>
      <c r="J202" s="1747" t="s">
        <v>236</v>
      </c>
      <c r="K202" s="1760">
        <v>2</v>
      </c>
      <c r="L202" s="1779"/>
      <c r="M202" s="1779"/>
      <c r="N202" s="1779">
        <v>0</v>
      </c>
      <c r="O202" s="1780">
        <v>0</v>
      </c>
      <c r="P202" s="1780">
        <v>0</v>
      </c>
      <c r="Q202" s="1779">
        <v>0</v>
      </c>
      <c r="R202" s="1779">
        <v>3.9039348978700872E-2</v>
      </c>
      <c r="S202" s="1779">
        <v>7.7020026794601293E-2</v>
      </c>
      <c r="T202" s="1779">
        <v>0.11473525070240065</v>
      </c>
      <c r="U202" s="1779">
        <v>0.15187925306269889</v>
      </c>
      <c r="V202" s="1779">
        <v>0.18811074060570121</v>
      </c>
      <c r="W202" s="1779">
        <v>0.22257473204300027</v>
      </c>
      <c r="X202" s="1779">
        <v>0.25715284378060055</v>
      </c>
      <c r="Y202" s="1779">
        <v>0.29155000604700021</v>
      </c>
      <c r="Z202" s="1779">
        <v>0.32563591390860047</v>
      </c>
      <c r="AA202" s="1779">
        <v>0.35949708024440064</v>
      </c>
      <c r="AB202" s="1779">
        <v>0.37003737395509972</v>
      </c>
      <c r="AC202" s="1779">
        <v>0.38045263783789984</v>
      </c>
      <c r="AD202" s="1779">
        <v>0.39096372069760044</v>
      </c>
      <c r="AE202" s="1779">
        <v>0.40152353779640038</v>
      </c>
      <c r="AF202" s="1779">
        <v>0.41185259538519858</v>
      </c>
      <c r="AG202" s="1779">
        <v>0.42173950889379874</v>
      </c>
      <c r="AH202" s="1779">
        <v>0.43174373484020023</v>
      </c>
      <c r="AI202" s="1779">
        <v>0.44174488932529954</v>
      </c>
      <c r="AJ202" s="1779">
        <v>0.45176943592089991</v>
      </c>
      <c r="AK202" s="1779">
        <v>0.46179582869019953</v>
      </c>
      <c r="AL202" s="1779">
        <v>0.47139154082340085</v>
      </c>
      <c r="AM202" s="1779">
        <v>0.48098567641059908</v>
      </c>
      <c r="AN202" s="1779">
        <v>0.49067011496580015</v>
      </c>
      <c r="AO202" s="1779">
        <v>0.5004319725799995</v>
      </c>
      <c r="AP202" s="1779">
        <v>0.49968573029019936</v>
      </c>
      <c r="AQ202" s="1779"/>
      <c r="AR202" s="1779"/>
      <c r="AS202" s="1779"/>
      <c r="AT202" s="1779"/>
      <c r="AU202" s="1779"/>
      <c r="AV202" s="1779"/>
      <c r="AW202" s="1779"/>
      <c r="AX202" s="1779"/>
      <c r="AY202" s="1779"/>
      <c r="AZ202" s="1779"/>
      <c r="BA202" s="1779"/>
      <c r="BB202" s="1779"/>
      <c r="BC202" s="1779"/>
      <c r="BD202" s="1779"/>
      <c r="BE202" s="1779"/>
      <c r="BF202" s="1779"/>
      <c r="BG202" s="1779"/>
      <c r="BH202" s="1779"/>
      <c r="BI202" s="1779"/>
      <c r="BJ202" s="1779"/>
      <c r="BK202" s="1779"/>
      <c r="BL202" s="1779"/>
      <c r="BM202" s="1779"/>
      <c r="BN202" s="1779"/>
      <c r="BO202" s="1779"/>
      <c r="BP202" s="1780"/>
      <c r="BQ202" s="1776"/>
      <c r="BR202" s="1776"/>
      <c r="BS202" s="1776"/>
      <c r="BT202" s="1776"/>
      <c r="BU202" s="1776"/>
      <c r="BV202" s="1776"/>
      <c r="BW202" s="1776"/>
      <c r="BX202" s="1776"/>
      <c r="BY202" s="1776"/>
      <c r="BZ202" s="1776"/>
      <c r="CA202" s="1776"/>
      <c r="CB202" s="1776"/>
      <c r="CC202" s="1776"/>
      <c r="CD202" s="1776"/>
      <c r="CE202" s="1776"/>
      <c r="CF202" s="1776"/>
      <c r="CG202" s="1776"/>
      <c r="CH202" s="1776"/>
      <c r="CI202" s="1776"/>
      <c r="CJ202" s="1776"/>
      <c r="CK202" s="1776"/>
      <c r="CL202" s="1776"/>
      <c r="CM202" s="1776"/>
      <c r="CN202" s="1777"/>
      <c r="CO202" s="1767"/>
    </row>
    <row r="203" spans="2:93" x14ac:dyDescent="0.2">
      <c r="B203" s="1747"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03" s="1707" t="s">
        <v>1104</v>
      </c>
      <c r="D203" s="1765" t="s">
        <v>1103</v>
      </c>
      <c r="E203" s="1714" t="s">
        <v>987</v>
      </c>
      <c r="F203" s="1747" t="str">
        <f>VLOOKUP(TBL5_OptBen[[#This Row],[Option Type (defined list)]],'Option Typs_Grps'!B$2:C$47, 2, FALSE)</f>
        <v>Customer Options</v>
      </c>
      <c r="G203" s="1747" t="s">
        <v>863</v>
      </c>
      <c r="H203" s="1747" t="s">
        <v>1456</v>
      </c>
      <c r="I203" s="1747" t="s">
        <v>93</v>
      </c>
      <c r="J203" s="1747" t="s">
        <v>236</v>
      </c>
      <c r="K203" s="1760">
        <v>2</v>
      </c>
      <c r="L203" s="1779"/>
      <c r="M203" s="1779"/>
      <c r="N203" s="1779">
        <v>0</v>
      </c>
      <c r="O203" s="1780">
        <v>0</v>
      </c>
      <c r="P203" s="1780">
        <v>0</v>
      </c>
      <c r="Q203" s="1779">
        <v>0</v>
      </c>
      <c r="R203" s="1779">
        <v>1.6815340473598894E-2</v>
      </c>
      <c r="S203" s="1779">
        <v>4.6810634358799064E-2</v>
      </c>
      <c r="T203" s="1779">
        <v>5.4938719248198709E-2</v>
      </c>
      <c r="U203" s="1779">
        <v>0.10014342087040085</v>
      </c>
      <c r="V203" s="1779">
        <v>0.14522704573929879</v>
      </c>
      <c r="W203" s="1779">
        <v>0.16257060815619973</v>
      </c>
      <c r="X203" s="1779">
        <v>0.18018854970349985</v>
      </c>
      <c r="Y203" s="1779">
        <v>0.1977071465777005</v>
      </c>
      <c r="Z203" s="1779">
        <v>0.2150696040511999</v>
      </c>
      <c r="AA203" s="1779">
        <v>0.2323140264138992</v>
      </c>
      <c r="AB203" s="1779">
        <v>0.23161406030430065</v>
      </c>
      <c r="AC203" s="1779">
        <v>0.23086284514150002</v>
      </c>
      <c r="AD203" s="1779">
        <v>0.23018401378059927</v>
      </c>
      <c r="AE203" s="1779">
        <v>0.2295647467370987</v>
      </c>
      <c r="AF203" s="1779">
        <v>0.22887371632929998</v>
      </c>
      <c r="AG203" s="1779">
        <v>0.2281625147805002</v>
      </c>
      <c r="AH203" s="1779">
        <v>0.22753344207820092</v>
      </c>
      <c r="AI203" s="1779">
        <v>0.22693713208649946</v>
      </c>
      <c r="AJ203" s="1779">
        <v>0.22638006171070124</v>
      </c>
      <c r="AK203" s="1779">
        <v>0.22585295457330012</v>
      </c>
      <c r="AL203" s="1779">
        <v>0.22533324137399902</v>
      </c>
      <c r="AM203" s="1779">
        <v>0.22483847704630122</v>
      </c>
      <c r="AN203" s="1779">
        <v>0.22441022457500104</v>
      </c>
      <c r="AO203" s="1779">
        <v>0.22404152312389947</v>
      </c>
      <c r="AP203" s="1779">
        <v>0.23424974008709931</v>
      </c>
      <c r="AQ203" s="1779"/>
      <c r="AR203" s="1779"/>
      <c r="AS203" s="1779"/>
      <c r="AT203" s="1779"/>
      <c r="AU203" s="1779"/>
      <c r="AV203" s="1779"/>
      <c r="AW203" s="1779"/>
      <c r="AX203" s="1779"/>
      <c r="AY203" s="1779"/>
      <c r="AZ203" s="1779"/>
      <c r="BA203" s="1779"/>
      <c r="BB203" s="1779"/>
      <c r="BC203" s="1779"/>
      <c r="BD203" s="1779"/>
      <c r="BE203" s="1779"/>
      <c r="BF203" s="1779"/>
      <c r="BG203" s="1779"/>
      <c r="BH203" s="1779"/>
      <c r="BI203" s="1779"/>
      <c r="BJ203" s="1779"/>
      <c r="BK203" s="1779"/>
      <c r="BL203" s="1779"/>
      <c r="BM203" s="1779"/>
      <c r="BN203" s="1779"/>
      <c r="BO203" s="1779"/>
      <c r="BP203" s="1780"/>
      <c r="BQ203" s="1776"/>
      <c r="BR203" s="1776"/>
      <c r="BS203" s="1776"/>
      <c r="BT203" s="1776"/>
      <c r="BU203" s="1776"/>
      <c r="BV203" s="1776"/>
      <c r="BW203" s="1776"/>
      <c r="BX203" s="1776"/>
      <c r="BY203" s="1776"/>
      <c r="BZ203" s="1776"/>
      <c r="CA203" s="1776"/>
      <c r="CB203" s="1776"/>
      <c r="CC203" s="1776"/>
      <c r="CD203" s="1776"/>
      <c r="CE203" s="1776"/>
      <c r="CF203" s="1776"/>
      <c r="CG203" s="1776"/>
      <c r="CH203" s="1776"/>
      <c r="CI203" s="1776"/>
      <c r="CJ203" s="1776"/>
      <c r="CK203" s="1776"/>
      <c r="CL203" s="1776"/>
      <c r="CM203" s="1776"/>
      <c r="CN203" s="1777"/>
      <c r="CO203" s="1767"/>
    </row>
    <row r="204" spans="2:93" x14ac:dyDescent="0.2">
      <c r="B204" s="1747"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04" s="1707" t="s">
        <v>1106</v>
      </c>
      <c r="D204" s="1765" t="s">
        <v>1477</v>
      </c>
      <c r="E204" s="1714" t="s">
        <v>987</v>
      </c>
      <c r="F204" s="1747" t="str">
        <f>VLOOKUP(TBL5_OptBen[[#This Row],[Option Type (defined list)]],'Option Typs_Grps'!B$2:C$47, 2, FALSE)</f>
        <v>Customer Options</v>
      </c>
      <c r="G204" s="1747" t="s">
        <v>863</v>
      </c>
      <c r="H204" s="1747" t="s">
        <v>1456</v>
      </c>
      <c r="I204" s="1747" t="s">
        <v>93</v>
      </c>
      <c r="J204" s="1747" t="s">
        <v>236</v>
      </c>
      <c r="K204" s="1760">
        <v>2</v>
      </c>
      <c r="L204" s="1779"/>
      <c r="M204" s="1779"/>
      <c r="N204" s="1779">
        <v>0</v>
      </c>
      <c r="O204" s="1780">
        <v>0</v>
      </c>
      <c r="P204" s="1780">
        <v>0</v>
      </c>
      <c r="Q204" s="1779">
        <v>0</v>
      </c>
      <c r="R204" s="1779">
        <v>1.0144563675201113E-2</v>
      </c>
      <c r="S204" s="1779">
        <v>2.0289127350499925E-2</v>
      </c>
      <c r="T204" s="1779">
        <v>3.0433691025800513E-2</v>
      </c>
      <c r="U204" s="1779">
        <v>4.0578254701099326E-2</v>
      </c>
      <c r="V204" s="1779">
        <v>5.0722818376300438E-2</v>
      </c>
      <c r="W204" s="1779">
        <v>7.2467705815601136E-2</v>
      </c>
      <c r="X204" s="1779">
        <v>9.4212593254900057E-2</v>
      </c>
      <c r="Y204" s="1779">
        <v>0.11595748069430023</v>
      </c>
      <c r="Z204" s="1779">
        <v>0.13770236813360093</v>
      </c>
      <c r="AA204" s="1779">
        <v>0.15944725557280037</v>
      </c>
      <c r="AB204" s="1779">
        <v>0.17964585081410078</v>
      </c>
      <c r="AC204" s="1779">
        <v>0.19984444605529994</v>
      </c>
      <c r="AD204" s="1779">
        <v>0.22004304129650087</v>
      </c>
      <c r="AE204" s="1779">
        <v>0.22004304129660035</v>
      </c>
      <c r="AF204" s="1779">
        <v>0.2200430412964991</v>
      </c>
      <c r="AG204" s="1779">
        <v>0.2200430412964991</v>
      </c>
      <c r="AH204" s="1779">
        <v>0.22004304129650087</v>
      </c>
      <c r="AI204" s="1779">
        <v>0.2200430412964991</v>
      </c>
      <c r="AJ204" s="1779">
        <v>0.22004304129650087</v>
      </c>
      <c r="AK204" s="1779">
        <v>0.2200430412964991</v>
      </c>
      <c r="AL204" s="1779">
        <v>0.22004304129650087</v>
      </c>
      <c r="AM204" s="1779">
        <v>0.2200430412964991</v>
      </c>
      <c r="AN204" s="1779">
        <v>0.22004304129650087</v>
      </c>
      <c r="AO204" s="1779">
        <v>0.2200430412964991</v>
      </c>
      <c r="AP204" s="1779">
        <v>0.2200430412964991</v>
      </c>
      <c r="AQ204" s="1779"/>
      <c r="AR204" s="1779"/>
      <c r="AS204" s="1779"/>
      <c r="AT204" s="1779"/>
      <c r="AU204" s="1779"/>
      <c r="AV204" s="1779"/>
      <c r="AW204" s="1779"/>
      <c r="AX204" s="1779"/>
      <c r="AY204" s="1779"/>
      <c r="AZ204" s="1779"/>
      <c r="BA204" s="1779"/>
      <c r="BB204" s="1779"/>
      <c r="BC204" s="1779"/>
      <c r="BD204" s="1779"/>
      <c r="BE204" s="1779"/>
      <c r="BF204" s="1779"/>
      <c r="BG204" s="1779"/>
      <c r="BH204" s="1779"/>
      <c r="BI204" s="1779"/>
      <c r="BJ204" s="1779"/>
      <c r="BK204" s="1779"/>
      <c r="BL204" s="1779"/>
      <c r="BM204" s="1779"/>
      <c r="BN204" s="1779"/>
      <c r="BO204" s="1779"/>
      <c r="BP204" s="1780"/>
      <c r="BQ204" s="1776"/>
      <c r="BR204" s="1776"/>
      <c r="BS204" s="1776"/>
      <c r="BT204" s="1776"/>
      <c r="BU204" s="1776"/>
      <c r="BV204" s="1776"/>
      <c r="BW204" s="1776"/>
      <c r="BX204" s="1776"/>
      <c r="BY204" s="1776"/>
      <c r="BZ204" s="1776"/>
      <c r="CA204" s="1776"/>
      <c r="CB204" s="1776"/>
      <c r="CC204" s="1776"/>
      <c r="CD204" s="1776"/>
      <c r="CE204" s="1776"/>
      <c r="CF204" s="1776"/>
      <c r="CG204" s="1776"/>
      <c r="CH204" s="1776"/>
      <c r="CI204" s="1776"/>
      <c r="CJ204" s="1776"/>
      <c r="CK204" s="1776"/>
      <c r="CL204" s="1776"/>
      <c r="CM204" s="1776"/>
      <c r="CN204" s="1777"/>
      <c r="CO204" s="1767"/>
    </row>
    <row r="205" spans="2:93" ht="15" x14ac:dyDescent="0.25">
      <c r="B205" s="1747"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52dP</v>
      </c>
      <c r="C205" s="1703" t="s">
        <v>1067</v>
      </c>
      <c r="D205" s="1765" t="s">
        <v>1066</v>
      </c>
      <c r="E205" s="1723" t="s">
        <v>1068</v>
      </c>
      <c r="F205" s="1747" t="str">
        <f>VLOOKUP(TBL5_OptBen[[#This Row],[Option Type (defined list)]],'Option Typs_Grps'!B$2:C$47, 2, FALSE)</f>
        <v>Customer Options</v>
      </c>
      <c r="G205" s="1747" t="s">
        <v>863</v>
      </c>
      <c r="H205" s="1747" t="s">
        <v>876</v>
      </c>
      <c r="I205" s="1747" t="s">
        <v>102</v>
      </c>
      <c r="J205" s="1747" t="s">
        <v>236</v>
      </c>
      <c r="K205" s="1760">
        <v>2</v>
      </c>
      <c r="L205" s="1779"/>
      <c r="M205" s="1779"/>
      <c r="N205" s="1779">
        <v>0</v>
      </c>
      <c r="O205" s="1780">
        <v>2.5757174171303632E-14</v>
      </c>
      <c r="P205" s="1780">
        <v>4.0856207306205761E-14</v>
      </c>
      <c r="Q205" s="1779">
        <v>0</v>
      </c>
      <c r="R205" s="1779">
        <v>2.8222942254962025E-2</v>
      </c>
      <c r="S205" s="1779">
        <v>5.102355375825951E-2</v>
      </c>
      <c r="T205" s="1779">
        <v>-3.463498264699183E-2</v>
      </c>
      <c r="U205" s="1779">
        <v>-4.0982019910842382E-2</v>
      </c>
      <c r="V205" s="1779">
        <v>-4.4940511999577382E-2</v>
      </c>
      <c r="W205" s="1779">
        <v>-4.775765604458293E-2</v>
      </c>
      <c r="X205" s="1779">
        <v>-4.8309414629620129E-2</v>
      </c>
      <c r="Y205" s="1779">
        <v>-4.7194492905036134E-2</v>
      </c>
      <c r="Z205" s="1779">
        <v>-4.5687750903295077E-2</v>
      </c>
      <c r="AA205" s="1779">
        <v>-4.3850077526514042E-2</v>
      </c>
      <c r="AB205" s="1779">
        <v>-4.251077120807617E-2</v>
      </c>
      <c r="AC205" s="1779">
        <v>-4.0811700950468266E-2</v>
      </c>
      <c r="AD205" s="1779">
        <v>-3.8842439729724676E-2</v>
      </c>
      <c r="AE205" s="1779">
        <v>-3.6734993318920717E-2</v>
      </c>
      <c r="AF205" s="1779">
        <v>-3.4514656625783124E-2</v>
      </c>
      <c r="AG205" s="1779">
        <v>-3.2990954233751757E-2</v>
      </c>
      <c r="AH205" s="1779">
        <v>-3.0526067857536643E-2</v>
      </c>
      <c r="AI205" s="1779">
        <v>-2.828810780484603E-2</v>
      </c>
      <c r="AJ205" s="1779">
        <v>-2.6948396809237662E-2</v>
      </c>
      <c r="AK205" s="1779">
        <v>-2.6745392207197627E-2</v>
      </c>
      <c r="AL205" s="1779">
        <v>-2.6597930185511709E-2</v>
      </c>
      <c r="AM205" s="1779">
        <v>-2.6563086591654517E-2</v>
      </c>
      <c r="AN205" s="1779">
        <v>-2.6636264602878157E-2</v>
      </c>
      <c r="AO205" s="1779">
        <v>-2.6832454923069959E-2</v>
      </c>
      <c r="AP205" s="1779">
        <v>-2.6965253032190883E-2</v>
      </c>
      <c r="AQ205" s="1779"/>
      <c r="AR205" s="1779"/>
      <c r="AS205" s="1779"/>
      <c r="AT205" s="1779"/>
      <c r="AU205" s="1779"/>
      <c r="AV205" s="1779"/>
      <c r="AW205" s="1779"/>
      <c r="AX205" s="1779"/>
      <c r="AY205" s="1779"/>
      <c r="AZ205" s="1779"/>
      <c r="BA205" s="1779"/>
      <c r="BB205" s="1779"/>
      <c r="BC205" s="1779"/>
      <c r="BD205" s="1779"/>
      <c r="BE205" s="1779"/>
      <c r="BF205" s="1779"/>
      <c r="BG205" s="1779"/>
      <c r="BH205" s="1779"/>
      <c r="BI205" s="1779"/>
      <c r="BJ205" s="1779"/>
      <c r="BK205" s="1779"/>
      <c r="BL205" s="1779"/>
      <c r="BM205" s="1779"/>
      <c r="BN205" s="1779"/>
      <c r="BO205" s="1779"/>
      <c r="BP205" s="1780"/>
      <c r="BQ205" s="1776"/>
      <c r="BR205" s="1776"/>
      <c r="BS205" s="1776"/>
      <c r="BT205" s="1776"/>
      <c r="BU205" s="1776"/>
      <c r="BV205" s="1776"/>
      <c r="BW205" s="1776"/>
      <c r="BX205" s="1776"/>
      <c r="BY205" s="1776"/>
      <c r="BZ205" s="1776"/>
      <c r="CA205" s="1776"/>
      <c r="CB205" s="1776"/>
      <c r="CC205" s="1776"/>
      <c r="CD205" s="1776"/>
      <c r="CE205" s="1776"/>
      <c r="CF205" s="1776"/>
      <c r="CG205" s="1776"/>
      <c r="CH205" s="1776"/>
      <c r="CI205" s="1776"/>
      <c r="CJ205" s="1776"/>
      <c r="CK205" s="1776"/>
      <c r="CL205" s="1776"/>
      <c r="CM205" s="1776"/>
      <c r="CN205" s="1777"/>
      <c r="CO205" s="1767"/>
    </row>
    <row r="206" spans="2:93" ht="15" x14ac:dyDescent="0.25">
      <c r="B206" s="1747"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52dP</v>
      </c>
      <c r="C206" s="1703" t="s">
        <v>1075</v>
      </c>
      <c r="D206" s="1765" t="s">
        <v>1074</v>
      </c>
      <c r="E206" s="1723" t="s">
        <v>987</v>
      </c>
      <c r="F206" s="1747" t="str">
        <f>VLOOKUP(TBL5_OptBen[[#This Row],[Option Type (defined list)]],'Option Typs_Grps'!B$2:C$47, 2, FALSE)</f>
        <v>Customer Options</v>
      </c>
      <c r="G206" s="1747" t="s">
        <v>863</v>
      </c>
      <c r="H206" s="1747" t="s">
        <v>876</v>
      </c>
      <c r="I206" s="1747" t="s">
        <v>102</v>
      </c>
      <c r="J206" s="1747" t="s">
        <v>236</v>
      </c>
      <c r="K206" s="1760">
        <v>2</v>
      </c>
      <c r="L206" s="1779"/>
      <c r="M206" s="1779"/>
      <c r="N206" s="1779">
        <v>0</v>
      </c>
      <c r="O206" s="1780">
        <v>0</v>
      </c>
      <c r="P206" s="1780">
        <v>0</v>
      </c>
      <c r="Q206" s="1779">
        <v>0</v>
      </c>
      <c r="R206" s="1779">
        <v>2.6466184574900353E-2</v>
      </c>
      <c r="S206" s="1779">
        <v>5.2703045370600776E-2</v>
      </c>
      <c r="T206" s="1779">
        <v>7.8838269622799828E-2</v>
      </c>
      <c r="U206" s="1779">
        <v>0.10477022753389953</v>
      </c>
      <c r="V206" s="1779">
        <v>0.13037979739119976</v>
      </c>
      <c r="W206" s="1779">
        <v>0.15447090153770127</v>
      </c>
      <c r="X206" s="1779">
        <v>0.178389663577601</v>
      </c>
      <c r="Y206" s="1779">
        <v>0.20212094995099861</v>
      </c>
      <c r="Z206" s="1779">
        <v>0.22569794914289965</v>
      </c>
      <c r="AA206" s="1779">
        <v>0.24915739999269881</v>
      </c>
      <c r="AB206" s="1779">
        <v>0.2720656474501002</v>
      </c>
      <c r="AC206" s="1779">
        <v>0.29486199233470067</v>
      </c>
      <c r="AD206" s="1779">
        <v>0.31768700526280114</v>
      </c>
      <c r="AE206" s="1779">
        <v>0.34038776342729982</v>
      </c>
      <c r="AF206" s="1779">
        <v>0.36273496351030055</v>
      </c>
      <c r="AG206" s="1779">
        <v>0.38414449070080003</v>
      </c>
      <c r="AH206" s="1779">
        <v>0.4054621388136006</v>
      </c>
      <c r="AI206" s="1779">
        <v>0.42676131530109984</v>
      </c>
      <c r="AJ206" s="1779">
        <v>0.44802374330889982</v>
      </c>
      <c r="AK206" s="1779">
        <v>0.44685892045979969</v>
      </c>
      <c r="AL206" s="1779">
        <v>0.44567043903500014</v>
      </c>
      <c r="AM206" s="1779">
        <v>0.4444983119407997</v>
      </c>
      <c r="AN206" s="1779">
        <v>0.44352353592370086</v>
      </c>
      <c r="AO206" s="1779">
        <v>0.44272260925770013</v>
      </c>
      <c r="AP206" s="1779">
        <v>0.4420649494759008</v>
      </c>
      <c r="AQ206" s="1779"/>
      <c r="AR206" s="1779"/>
      <c r="AS206" s="1779"/>
      <c r="AT206" s="1779"/>
      <c r="AU206" s="1779"/>
      <c r="AV206" s="1779"/>
      <c r="AW206" s="1779"/>
      <c r="AX206" s="1779"/>
      <c r="AY206" s="1779"/>
      <c r="AZ206" s="1779"/>
      <c r="BA206" s="1779"/>
      <c r="BB206" s="1779"/>
      <c r="BC206" s="1779"/>
      <c r="BD206" s="1779"/>
      <c r="BE206" s="1779"/>
      <c r="BF206" s="1779"/>
      <c r="BG206" s="1779"/>
      <c r="BH206" s="1779"/>
      <c r="BI206" s="1779"/>
      <c r="BJ206" s="1779"/>
      <c r="BK206" s="1779"/>
      <c r="BL206" s="1779"/>
      <c r="BM206" s="1779"/>
      <c r="BN206" s="1779"/>
      <c r="BO206" s="1779"/>
      <c r="BP206" s="1780"/>
      <c r="BQ206" s="1776"/>
      <c r="BR206" s="1776"/>
      <c r="BS206" s="1776"/>
      <c r="BT206" s="1776"/>
      <c r="BU206" s="1776"/>
      <c r="BV206" s="1776"/>
      <c r="BW206" s="1776"/>
      <c r="BX206" s="1776"/>
      <c r="BY206" s="1776"/>
      <c r="BZ206" s="1776"/>
      <c r="CA206" s="1776"/>
      <c r="CB206" s="1776"/>
      <c r="CC206" s="1776"/>
      <c r="CD206" s="1776"/>
      <c r="CE206" s="1776"/>
      <c r="CF206" s="1776"/>
      <c r="CG206" s="1776"/>
      <c r="CH206" s="1776"/>
      <c r="CI206" s="1776"/>
      <c r="CJ206" s="1776"/>
      <c r="CK206" s="1776"/>
      <c r="CL206" s="1776"/>
      <c r="CM206" s="1776"/>
      <c r="CN206" s="1777"/>
      <c r="CO206" s="1767"/>
    </row>
    <row r="207" spans="2:93" x14ac:dyDescent="0.2">
      <c r="B207" s="1747"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52dP</v>
      </c>
      <c r="C207" s="1707" t="s">
        <v>1123</v>
      </c>
      <c r="D207" s="1765" t="s">
        <v>1122</v>
      </c>
      <c r="E207" s="1714" t="s">
        <v>987</v>
      </c>
      <c r="F207" s="1747" t="str">
        <f>VLOOKUP(TBL5_OptBen[[#This Row],[Option Type (defined list)]],'Option Typs_Grps'!B$2:C$47, 2, FALSE)</f>
        <v>Customer Options</v>
      </c>
      <c r="G207" s="1747" t="s">
        <v>863</v>
      </c>
      <c r="H207" s="1747" t="s">
        <v>876</v>
      </c>
      <c r="I207" s="1747" t="s">
        <v>102</v>
      </c>
      <c r="J207" s="1747" t="s">
        <v>236</v>
      </c>
      <c r="K207" s="1760">
        <v>2</v>
      </c>
      <c r="L207" s="1779"/>
      <c r="M207" s="1779"/>
      <c r="N207" s="1779">
        <v>0</v>
      </c>
      <c r="O207" s="1780">
        <v>0</v>
      </c>
      <c r="P207" s="1780">
        <v>0</v>
      </c>
      <c r="Q207" s="1779">
        <v>0</v>
      </c>
      <c r="R207" s="1779">
        <v>7.6893942480005251E-4</v>
      </c>
      <c r="S207" s="1779">
        <v>9.1903375258990394E-3</v>
      </c>
      <c r="T207" s="1779">
        <v>2.2905399728010423E-3</v>
      </c>
      <c r="U207" s="1779">
        <v>3.0439581597008214E-3</v>
      </c>
      <c r="V207" s="1779">
        <v>3.7880097950999669E-3</v>
      </c>
      <c r="W207" s="1779">
        <v>4.5072612840986181E-3</v>
      </c>
      <c r="X207" s="1779">
        <v>5.2213450049993781E-3</v>
      </c>
      <c r="Y207" s="1779">
        <v>5.9298262703002536E-3</v>
      </c>
      <c r="Z207" s="1779">
        <v>6.6336833909996784E-3</v>
      </c>
      <c r="AA207" s="1779">
        <v>7.3340038329998691E-3</v>
      </c>
      <c r="AB207" s="1779">
        <v>7.310275623499507E-3</v>
      </c>
      <c r="AC207" s="1779">
        <v>7.2875865650985361E-3</v>
      </c>
      <c r="AD207" s="1779">
        <v>7.2689216290005021E-3</v>
      </c>
      <c r="AE207" s="1779">
        <v>7.2501894383005805E-3</v>
      </c>
      <c r="AF207" s="1779">
        <v>7.2268345811998813E-3</v>
      </c>
      <c r="AG207" s="1779">
        <v>7.2018840931988848E-3</v>
      </c>
      <c r="AH207" s="1779">
        <v>7.1780868481994275E-3</v>
      </c>
      <c r="AI207" s="1779">
        <v>7.1564912776995726E-3</v>
      </c>
      <c r="AJ207" s="1779">
        <v>7.136475193899372E-3</v>
      </c>
      <c r="AK207" s="1779">
        <v>7.1179209777998409E-3</v>
      </c>
      <c r="AL207" s="1779">
        <v>7.0989899091991049E-3</v>
      </c>
      <c r="AM207" s="1779">
        <v>7.080319345300623E-3</v>
      </c>
      <c r="AN207" s="1779">
        <v>7.0647923447992866E-3</v>
      </c>
      <c r="AO207" s="1779">
        <v>7.052034553801434E-3</v>
      </c>
      <c r="AP207" s="1779">
        <v>7.0415588305987598E-3</v>
      </c>
      <c r="AQ207" s="1779"/>
      <c r="AR207" s="1779"/>
      <c r="AS207" s="1779"/>
      <c r="AT207" s="1779"/>
      <c r="AU207" s="1779"/>
      <c r="AV207" s="1779"/>
      <c r="AW207" s="1779"/>
      <c r="AX207" s="1779"/>
      <c r="AY207" s="1779"/>
      <c r="AZ207" s="1779"/>
      <c r="BA207" s="1779"/>
      <c r="BB207" s="1779"/>
      <c r="BC207" s="1779"/>
      <c r="BD207" s="1779"/>
      <c r="BE207" s="1779"/>
      <c r="BF207" s="1779"/>
      <c r="BG207" s="1779"/>
      <c r="BH207" s="1779"/>
      <c r="BI207" s="1779"/>
      <c r="BJ207" s="1779"/>
      <c r="BK207" s="1779"/>
      <c r="BL207" s="1779"/>
      <c r="BM207" s="1779"/>
      <c r="BN207" s="1779"/>
      <c r="BO207" s="1779"/>
      <c r="BP207" s="1780"/>
      <c r="BQ207" s="1776"/>
      <c r="BR207" s="1776"/>
      <c r="BS207" s="1776"/>
      <c r="BT207" s="1776"/>
      <c r="BU207" s="1776"/>
      <c r="BV207" s="1776"/>
      <c r="BW207" s="1776"/>
      <c r="BX207" s="1776"/>
      <c r="BY207" s="1776"/>
      <c r="BZ207" s="1776"/>
      <c r="CA207" s="1776"/>
      <c r="CB207" s="1776"/>
      <c r="CC207" s="1776"/>
      <c r="CD207" s="1776"/>
      <c r="CE207" s="1776"/>
      <c r="CF207" s="1776"/>
      <c r="CG207" s="1776"/>
      <c r="CH207" s="1776"/>
      <c r="CI207" s="1776"/>
      <c r="CJ207" s="1776"/>
      <c r="CK207" s="1776"/>
      <c r="CL207" s="1776"/>
      <c r="CM207" s="1776"/>
      <c r="CN207" s="1777"/>
      <c r="CO207" s="1767"/>
    </row>
    <row r="208" spans="2:93" x14ac:dyDescent="0.2">
      <c r="B208" s="1747"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52cP</v>
      </c>
      <c r="C208" s="1703" t="s">
        <v>1082</v>
      </c>
      <c r="D208" s="1765" t="s">
        <v>1081</v>
      </c>
      <c r="E208" s="1723" t="s">
        <v>860</v>
      </c>
      <c r="F208" s="1747" t="str">
        <f>VLOOKUP(TBL5_OptBen[[#This Row],[Option Type (defined list)]],'Option Typs_Grps'!B$2:C$47, 2, FALSE)</f>
        <v>Distribution Options</v>
      </c>
      <c r="G208" s="1747" t="s">
        <v>863</v>
      </c>
      <c r="H208" s="1747" t="s">
        <v>876</v>
      </c>
      <c r="I208" s="1747" t="s">
        <v>102</v>
      </c>
      <c r="J208" s="1747" t="s">
        <v>236</v>
      </c>
      <c r="K208" s="1760">
        <v>2</v>
      </c>
      <c r="L208" s="1779"/>
      <c r="M208" s="1779"/>
      <c r="N208" s="1779">
        <v>0</v>
      </c>
      <c r="O208" s="1780">
        <v>0</v>
      </c>
      <c r="P208" s="1780">
        <v>0</v>
      </c>
      <c r="Q208" s="1779">
        <v>0</v>
      </c>
      <c r="R208" s="1779">
        <v>-1.6145513693702762E-3</v>
      </c>
      <c r="S208" s="1779">
        <v>-2.862783471225816E-3</v>
      </c>
      <c r="T208" s="1779">
        <v>4.2861807559981813E-3</v>
      </c>
      <c r="U208" s="1779">
        <v>1.1415347046815683E-2</v>
      </c>
      <c r="V208" s="1779">
        <v>1.8531374394505473E-2</v>
      </c>
      <c r="W208" s="1779">
        <v>2.5451428441384927E-2</v>
      </c>
      <c r="X208" s="1779">
        <v>3.2180298944493591E-2</v>
      </c>
      <c r="Y208" s="1779">
        <v>3.8899833363210901E-2</v>
      </c>
      <c r="Z208" s="1779">
        <v>4.5608061135080202E-2</v>
      </c>
      <c r="AA208" s="1779">
        <v>5.2304537552386288E-2</v>
      </c>
      <c r="AB208" s="1779">
        <v>5.8990056648910771E-2</v>
      </c>
      <c r="AC208" s="1779">
        <v>6.5666109426501196E-2</v>
      </c>
      <c r="AD208" s="1779">
        <v>7.2333316033205697E-2</v>
      </c>
      <c r="AE208" s="1779">
        <v>7.8990073448521048E-2</v>
      </c>
      <c r="AF208" s="1779">
        <v>8.5637468534773387E-2</v>
      </c>
      <c r="AG208" s="1779">
        <v>9.2272138106391566E-2</v>
      </c>
      <c r="AH208" s="1779">
        <v>9.8894373222669807E-2</v>
      </c>
      <c r="AI208" s="1779">
        <v>0.10550826501916322</v>
      </c>
      <c r="AJ208" s="1779">
        <v>0.11211449054613076</v>
      </c>
      <c r="AK208" s="1779">
        <v>0.11871315190985066</v>
      </c>
      <c r="AL208" s="1779">
        <v>0.1253036603091634</v>
      </c>
      <c r="AM208" s="1779">
        <v>0.13188627416948917</v>
      </c>
      <c r="AN208" s="1779">
        <v>0.13846030482426297</v>
      </c>
      <c r="AO208" s="1779">
        <v>0.14502519801332275</v>
      </c>
      <c r="AP208" s="1779">
        <v>0.15158118891372041</v>
      </c>
      <c r="AQ208" s="1779"/>
      <c r="AR208" s="1779"/>
      <c r="AS208" s="1779"/>
      <c r="AT208" s="1779"/>
      <c r="AU208" s="1779"/>
      <c r="AV208" s="1779"/>
      <c r="AW208" s="1779"/>
      <c r="AX208" s="1779"/>
      <c r="AY208" s="1779"/>
      <c r="AZ208" s="1779"/>
      <c r="BA208" s="1779"/>
      <c r="BB208" s="1779"/>
      <c r="BC208" s="1779"/>
      <c r="BD208" s="1779"/>
      <c r="BE208" s="1779"/>
      <c r="BF208" s="1779"/>
      <c r="BG208" s="1779"/>
      <c r="BH208" s="1779"/>
      <c r="BI208" s="1779"/>
      <c r="BJ208" s="1779"/>
      <c r="BK208" s="1779"/>
      <c r="BL208" s="1779"/>
      <c r="BM208" s="1779"/>
      <c r="BN208" s="1779"/>
      <c r="BO208" s="1779"/>
      <c r="BP208" s="1780"/>
      <c r="BQ208" s="1776"/>
      <c r="BR208" s="1776"/>
      <c r="BS208" s="1776"/>
      <c r="BT208" s="1776"/>
      <c r="BU208" s="1776"/>
      <c r="BV208" s="1776"/>
      <c r="BW208" s="1776"/>
      <c r="BX208" s="1776"/>
      <c r="BY208" s="1776"/>
      <c r="BZ208" s="1776"/>
      <c r="CA208" s="1776"/>
      <c r="CB208" s="1776"/>
      <c r="CC208" s="1776"/>
      <c r="CD208" s="1776"/>
      <c r="CE208" s="1776"/>
      <c r="CF208" s="1776"/>
      <c r="CG208" s="1776"/>
      <c r="CH208" s="1776"/>
      <c r="CI208" s="1776"/>
      <c r="CJ208" s="1776"/>
      <c r="CK208" s="1776"/>
      <c r="CL208" s="1776"/>
      <c r="CM208" s="1776"/>
      <c r="CN208" s="1777"/>
      <c r="CO208" s="1767"/>
    </row>
    <row r="209" spans="2:93" ht="15" x14ac:dyDescent="0.25">
      <c r="B209" s="1747"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52dP</v>
      </c>
      <c r="C209" s="1703" t="s">
        <v>1119</v>
      </c>
      <c r="D209" s="1765" t="s">
        <v>1118</v>
      </c>
      <c r="E209" s="1723" t="s">
        <v>1099</v>
      </c>
      <c r="F209" s="1747" t="str">
        <f>VLOOKUP(TBL5_OptBen[[#This Row],[Option Type (defined list)]],'Option Typs_Grps'!B$2:C$47, 2, FALSE)</f>
        <v>Customer Options</v>
      </c>
      <c r="G209" s="1747" t="s">
        <v>863</v>
      </c>
      <c r="H209" s="1747" t="s">
        <v>876</v>
      </c>
      <c r="I209" s="1747" t="s">
        <v>102</v>
      </c>
      <c r="J209" s="1747" t="s">
        <v>236</v>
      </c>
      <c r="K209" s="1760">
        <v>2</v>
      </c>
      <c r="L209" s="1779"/>
      <c r="M209" s="1779"/>
      <c r="N209" s="1779">
        <v>0</v>
      </c>
      <c r="O209" s="1780">
        <v>0</v>
      </c>
      <c r="P209" s="1780">
        <v>0</v>
      </c>
      <c r="Q209" s="1779">
        <v>0</v>
      </c>
      <c r="R209" s="1779">
        <v>9.2039513693702429E-3</v>
      </c>
      <c r="S209" s="1779">
        <v>1.8041583471225781E-2</v>
      </c>
      <c r="T209" s="1779">
        <v>1.8482019244001648E-2</v>
      </c>
      <c r="U209" s="1779">
        <v>1.8942252953184201E-2</v>
      </c>
      <c r="V209" s="1779">
        <v>1.9415625605494376E-2</v>
      </c>
      <c r="W209" s="1779">
        <v>2.0084971558614897E-2</v>
      </c>
      <c r="X209" s="1779">
        <v>2.0945501055506202E-2</v>
      </c>
      <c r="Y209" s="1779">
        <v>2.1815366636788788E-2</v>
      </c>
      <c r="Z209" s="1779">
        <v>2.2696538864919541E-2</v>
      </c>
      <c r="AA209" s="1779">
        <v>2.358946244761341E-2</v>
      </c>
      <c r="AB209" s="1779">
        <v>2.4493343351088825E-2</v>
      </c>
      <c r="AC209" s="1779">
        <v>2.5406690573498487E-2</v>
      </c>
      <c r="AD209" s="1779">
        <v>2.6328883966793899E-2</v>
      </c>
      <c r="AE209" s="1779">
        <v>2.726152655147851E-2</v>
      </c>
      <c r="AF209" s="1779">
        <v>2.8203531465226167E-2</v>
      </c>
      <c r="AG209" s="1779">
        <v>2.9158261893607956E-2</v>
      </c>
      <c r="AH209" s="1779">
        <v>3.0125426777329566E-2</v>
      </c>
      <c r="AI209" s="1779">
        <v>3.110093498083619E-2</v>
      </c>
      <c r="AJ209" s="1779">
        <v>3.2084109453868609E-2</v>
      </c>
      <c r="AK209" s="1779">
        <v>3.3074848090148691E-2</v>
      </c>
      <c r="AL209" s="1779">
        <v>3.4073739690835922E-2</v>
      </c>
      <c r="AM209" s="1779">
        <v>3.5080525830510134E-2</v>
      </c>
      <c r="AN209" s="1779">
        <v>3.6095895175736276E-2</v>
      </c>
      <c r="AO209" s="1779">
        <v>3.7120401986676516E-2</v>
      </c>
      <c r="AP209" s="1779">
        <v>3.8153811086279611E-2</v>
      </c>
      <c r="AQ209" s="1779"/>
      <c r="AR209" s="1779"/>
      <c r="AS209" s="1779"/>
      <c r="AT209" s="1779"/>
      <c r="AU209" s="1779"/>
      <c r="AV209" s="1779"/>
      <c r="AW209" s="1779"/>
      <c r="AX209" s="1779"/>
      <c r="AY209" s="1779"/>
      <c r="AZ209" s="1779"/>
      <c r="BA209" s="1779"/>
      <c r="BB209" s="1779"/>
      <c r="BC209" s="1779"/>
      <c r="BD209" s="1779"/>
      <c r="BE209" s="1779"/>
      <c r="BF209" s="1779"/>
      <c r="BG209" s="1779"/>
      <c r="BH209" s="1779"/>
      <c r="BI209" s="1779"/>
      <c r="BJ209" s="1779"/>
      <c r="BK209" s="1779"/>
      <c r="BL209" s="1779"/>
      <c r="BM209" s="1779"/>
      <c r="BN209" s="1779"/>
      <c r="BO209" s="1779"/>
      <c r="BP209" s="1780"/>
      <c r="BQ209" s="1776"/>
      <c r="BR209" s="1776"/>
      <c r="BS209" s="1776"/>
      <c r="BT209" s="1776"/>
      <c r="BU209" s="1776"/>
      <c r="BV209" s="1776"/>
      <c r="BW209" s="1776"/>
      <c r="BX209" s="1776"/>
      <c r="BY209" s="1776"/>
      <c r="BZ209" s="1776"/>
      <c r="CA209" s="1776"/>
      <c r="CB209" s="1776"/>
      <c r="CC209" s="1776"/>
      <c r="CD209" s="1776"/>
      <c r="CE209" s="1776"/>
      <c r="CF209" s="1776"/>
      <c r="CG209" s="1776"/>
      <c r="CH209" s="1776"/>
      <c r="CI209" s="1776"/>
      <c r="CJ209" s="1776"/>
      <c r="CK209" s="1776"/>
      <c r="CL209" s="1776"/>
      <c r="CM209" s="1776"/>
      <c r="CN209" s="1777"/>
      <c r="CO209" s="1767"/>
    </row>
    <row r="210" spans="2:93" x14ac:dyDescent="0.2">
      <c r="B210" s="1747"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52dP</v>
      </c>
      <c r="C210" s="1707" t="s">
        <v>1125</v>
      </c>
      <c r="D210" s="1765" t="s">
        <v>1474</v>
      </c>
      <c r="E210" s="1714" t="s">
        <v>987</v>
      </c>
      <c r="F210" s="1747" t="str">
        <f>VLOOKUP(TBL5_OptBen[[#This Row],[Option Type (defined list)]],'Option Typs_Grps'!B$2:C$47, 2, FALSE)</f>
        <v>Customer Options</v>
      </c>
      <c r="G210" s="1747" t="s">
        <v>863</v>
      </c>
      <c r="H210" s="1747" t="s">
        <v>876</v>
      </c>
      <c r="I210" s="1747" t="s">
        <v>102</v>
      </c>
      <c r="J210" s="1747" t="s">
        <v>236</v>
      </c>
      <c r="K210" s="1760">
        <v>2</v>
      </c>
      <c r="L210" s="1779"/>
      <c r="M210" s="1779"/>
      <c r="N210" s="1779">
        <v>0</v>
      </c>
      <c r="O210" s="1780">
        <v>0</v>
      </c>
      <c r="P210" s="1780">
        <v>0</v>
      </c>
      <c r="Q210" s="1779">
        <v>0</v>
      </c>
      <c r="R210" s="1779">
        <v>7.6395995637987824E-3</v>
      </c>
      <c r="S210" s="1779">
        <v>1.5279199127601117E-2</v>
      </c>
      <c r="T210" s="1779">
        <v>2.2918798691300424E-2</v>
      </c>
      <c r="U210" s="1779">
        <v>3.0558398255099206E-2</v>
      </c>
      <c r="V210" s="1779">
        <v>3.8197997818800289E-2</v>
      </c>
      <c r="W210" s="1779">
        <v>5.4573490931600688E-2</v>
      </c>
      <c r="X210" s="1779">
        <v>7.0948984044200358E-2</v>
      </c>
      <c r="Y210" s="1779">
        <v>8.7324477156998981E-2</v>
      </c>
      <c r="Z210" s="1779">
        <v>0.1036999702696999</v>
      </c>
      <c r="AA210" s="1779">
        <v>0.12007546338239905</v>
      </c>
      <c r="AB210" s="1779">
        <v>0.13528648519999997</v>
      </c>
      <c r="AC210" s="1779">
        <v>0.15049750701740017</v>
      </c>
      <c r="AD210" s="1779">
        <v>0.16570852883490161</v>
      </c>
      <c r="AE210" s="1779">
        <v>0.16570852883489984</v>
      </c>
      <c r="AF210" s="1779">
        <v>0.16570852883500109</v>
      </c>
      <c r="AG210" s="1779">
        <v>0.16570852883499931</v>
      </c>
      <c r="AH210" s="1779">
        <v>0.16570852883489984</v>
      </c>
      <c r="AI210" s="1779">
        <v>0.16570852883499931</v>
      </c>
      <c r="AJ210" s="1779">
        <v>0.16570852883489984</v>
      </c>
      <c r="AK210" s="1779">
        <v>0.16570852883499931</v>
      </c>
      <c r="AL210" s="1779">
        <v>0.16570852883499931</v>
      </c>
      <c r="AM210" s="1779">
        <v>0.16570852883489984</v>
      </c>
      <c r="AN210" s="1779">
        <v>0.16570852883500109</v>
      </c>
      <c r="AO210" s="1779">
        <v>0.16570852883489984</v>
      </c>
      <c r="AP210" s="1779">
        <v>0.16570852883500109</v>
      </c>
      <c r="AQ210" s="1779"/>
      <c r="AR210" s="1779"/>
      <c r="AS210" s="1779"/>
      <c r="AT210" s="1779"/>
      <c r="AU210" s="1779"/>
      <c r="AV210" s="1779"/>
      <c r="AW210" s="1779"/>
      <c r="AX210" s="1779"/>
      <c r="AY210" s="1779"/>
      <c r="AZ210" s="1779"/>
      <c r="BA210" s="1779"/>
      <c r="BB210" s="1779"/>
      <c r="BC210" s="1779"/>
      <c r="BD210" s="1779"/>
      <c r="BE210" s="1779"/>
      <c r="BF210" s="1779"/>
      <c r="BG210" s="1779"/>
      <c r="BH210" s="1779"/>
      <c r="BI210" s="1779"/>
      <c r="BJ210" s="1779"/>
      <c r="BK210" s="1779"/>
      <c r="BL210" s="1779"/>
      <c r="BM210" s="1779"/>
      <c r="BN210" s="1779"/>
      <c r="BO210" s="1779"/>
      <c r="BP210" s="1780"/>
      <c r="BQ210" s="1776"/>
      <c r="BR210" s="1776"/>
      <c r="BS210" s="1776"/>
      <c r="BT210" s="1776"/>
      <c r="BU210" s="1776"/>
      <c r="BV210" s="1776"/>
      <c r="BW210" s="1776"/>
      <c r="BX210" s="1776"/>
      <c r="BY210" s="1776"/>
      <c r="BZ210" s="1776"/>
      <c r="CA210" s="1776"/>
      <c r="CB210" s="1776"/>
      <c r="CC210" s="1776"/>
      <c r="CD210" s="1776"/>
      <c r="CE210" s="1776"/>
      <c r="CF210" s="1776"/>
      <c r="CG210" s="1776"/>
      <c r="CH210" s="1776"/>
      <c r="CI210" s="1776"/>
      <c r="CJ210" s="1776"/>
      <c r="CK210" s="1776"/>
      <c r="CL210" s="1776"/>
      <c r="CM210" s="1776"/>
      <c r="CN210" s="1777"/>
      <c r="CO210" s="1767"/>
    </row>
    <row r="211" spans="2:93" x14ac:dyDescent="0.2">
      <c r="B211" s="1747"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52dP</v>
      </c>
      <c r="C211" s="1703" t="s">
        <v>1079</v>
      </c>
      <c r="D211" s="1765" t="s">
        <v>1078</v>
      </c>
      <c r="E211" s="1714" t="s">
        <v>987</v>
      </c>
      <c r="F211" s="1747" t="str">
        <f>VLOOKUP(TBL5_OptBen[[#This Row],[Option Type (defined list)]],'Option Typs_Grps'!B$2:C$47, 2, FALSE)</f>
        <v>Customer Options</v>
      </c>
      <c r="G211" s="1747" t="s">
        <v>863</v>
      </c>
      <c r="H211" s="1747" t="s">
        <v>876</v>
      </c>
      <c r="I211" s="1747" t="s">
        <v>102</v>
      </c>
      <c r="J211" s="1747" t="s">
        <v>236</v>
      </c>
      <c r="K211" s="1760">
        <v>2</v>
      </c>
      <c r="L211" s="1779"/>
      <c r="M211" s="1779"/>
      <c r="N211" s="1779">
        <v>0</v>
      </c>
      <c r="O211" s="1780">
        <v>0</v>
      </c>
      <c r="P211" s="1780">
        <v>0</v>
      </c>
      <c r="Q211" s="1779">
        <v>0</v>
      </c>
      <c r="R211" s="1779">
        <v>0</v>
      </c>
      <c r="S211" s="1779">
        <v>0</v>
      </c>
      <c r="T211" s="1779">
        <v>9.4103258283002589E-3</v>
      </c>
      <c r="U211" s="1779">
        <v>1.8758815812800478E-2</v>
      </c>
      <c r="V211" s="1779">
        <v>2.8041152727400487E-2</v>
      </c>
      <c r="W211" s="1779">
        <v>3.72156604469005E-2</v>
      </c>
      <c r="X211" s="1779">
        <v>4.6320273715700466E-2</v>
      </c>
      <c r="Y211" s="1779">
        <v>5.5352766276298482E-2</v>
      </c>
      <c r="Z211" s="1779">
        <v>7.4432272134398403E-2</v>
      </c>
      <c r="AA211" s="1779">
        <v>9.3388923077800001E-2</v>
      </c>
      <c r="AB211" s="1779">
        <v>0.11225156561260086</v>
      </c>
      <c r="AC211" s="1779">
        <v>0.13103614773550021</v>
      </c>
      <c r="AD211" s="1779">
        <v>0.14975844047660125</v>
      </c>
      <c r="AE211" s="1779">
        <v>0.16838205952520013</v>
      </c>
      <c r="AF211" s="1779">
        <v>0.18678872830479953</v>
      </c>
      <c r="AG211" s="1779">
        <v>0.20502825271989877</v>
      </c>
      <c r="AH211" s="1779">
        <v>0.22317353806890061</v>
      </c>
      <c r="AI211" s="1779">
        <v>0.24129542120090086</v>
      </c>
      <c r="AJ211" s="1779">
        <v>0.24692362060729955</v>
      </c>
      <c r="AK211" s="1779">
        <v>0.25259487094830035</v>
      </c>
      <c r="AL211" s="1779">
        <v>0.25821975220410032</v>
      </c>
      <c r="AM211" s="1779">
        <v>0.26382100824690013</v>
      </c>
      <c r="AN211" s="1779">
        <v>0.26950931389390043</v>
      </c>
      <c r="AO211" s="1779">
        <v>0.27527842000570146</v>
      </c>
      <c r="AP211" s="1779">
        <v>0.28111624695820048</v>
      </c>
      <c r="AQ211" s="1779"/>
      <c r="AR211" s="1779"/>
      <c r="AS211" s="1779"/>
      <c r="AT211" s="1779"/>
      <c r="AU211" s="1779"/>
      <c r="AV211" s="1779"/>
      <c r="AW211" s="1779"/>
      <c r="AX211" s="1779"/>
      <c r="AY211" s="1779"/>
      <c r="AZ211" s="1779"/>
      <c r="BA211" s="1779"/>
      <c r="BB211" s="1779"/>
      <c r="BC211" s="1779"/>
      <c r="BD211" s="1779"/>
      <c r="BE211" s="1779"/>
      <c r="BF211" s="1779"/>
      <c r="BG211" s="1779"/>
      <c r="BH211" s="1779"/>
      <c r="BI211" s="1779"/>
      <c r="BJ211" s="1779"/>
      <c r="BK211" s="1779"/>
      <c r="BL211" s="1779"/>
      <c r="BM211" s="1779"/>
      <c r="BN211" s="1779"/>
      <c r="BO211" s="1779"/>
      <c r="BP211" s="1780"/>
      <c r="BQ211" s="1776"/>
      <c r="BR211" s="1776"/>
      <c r="BS211" s="1776"/>
      <c r="BT211" s="1776"/>
      <c r="BU211" s="1776"/>
      <c r="BV211" s="1776"/>
      <c r="BW211" s="1776"/>
      <c r="BX211" s="1776"/>
      <c r="BY211" s="1776"/>
      <c r="BZ211" s="1776"/>
      <c r="CA211" s="1776"/>
      <c r="CB211" s="1776"/>
      <c r="CC211" s="1776"/>
      <c r="CD211" s="1776"/>
      <c r="CE211" s="1776"/>
      <c r="CF211" s="1776"/>
      <c r="CG211" s="1776"/>
      <c r="CH211" s="1776"/>
      <c r="CI211" s="1776"/>
      <c r="CJ211" s="1776"/>
      <c r="CK211" s="1776"/>
      <c r="CL211" s="1776"/>
      <c r="CM211" s="1776"/>
      <c r="CN211" s="1777"/>
      <c r="CO211" s="1767"/>
    </row>
    <row r="212" spans="2:93" ht="15" x14ac:dyDescent="0.25">
      <c r="B212" s="1747"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12" s="1707" t="s">
        <v>1092</v>
      </c>
      <c r="D212" s="1765" t="s">
        <v>1091</v>
      </c>
      <c r="E212" s="1723" t="s">
        <v>1068</v>
      </c>
      <c r="F212" s="1747" t="str">
        <f>VLOOKUP(TBL5_OptBen[[#This Row],[Option Type (defined list)]],'Option Typs_Grps'!B$2:C$47, 2, FALSE)</f>
        <v>Customer Options</v>
      </c>
      <c r="G212" s="1747" t="s">
        <v>863</v>
      </c>
      <c r="H212" s="1747" t="s">
        <v>1456</v>
      </c>
      <c r="I212" s="1747" t="s">
        <v>102</v>
      </c>
      <c r="J212" s="1747" t="s">
        <v>236</v>
      </c>
      <c r="K212" s="1760">
        <v>2</v>
      </c>
      <c r="L212" s="1779"/>
      <c r="M212" s="1779"/>
      <c r="N212" s="1779">
        <v>0</v>
      </c>
      <c r="O212" s="1780">
        <v>-1.5099033134902129E-14</v>
      </c>
      <c r="P212" s="1780">
        <v>2.8421709430404007E-14</v>
      </c>
      <c r="Q212" s="1779">
        <v>7.9936057773011271E-15</v>
      </c>
      <c r="R212" s="1779">
        <v>0.18533047111639078</v>
      </c>
      <c r="S212" s="1779">
        <v>0.37302709987335891</v>
      </c>
      <c r="T212" s="1779">
        <v>0.27399452339876795</v>
      </c>
      <c r="U212" s="1779">
        <v>0.25516620541956669</v>
      </c>
      <c r="V212" s="1779">
        <v>0.23890337151363195</v>
      </c>
      <c r="W212" s="1779">
        <v>0.22769880452005253</v>
      </c>
      <c r="X212" s="1779">
        <v>0.22258003905680557</v>
      </c>
      <c r="Y212" s="1779">
        <v>0.21920700876856969</v>
      </c>
      <c r="Z212" s="1779">
        <v>0.21552891373788807</v>
      </c>
      <c r="AA212" s="1779">
        <v>0.2122530800944693</v>
      </c>
      <c r="AB212" s="1779">
        <v>0.20883094656485435</v>
      </c>
      <c r="AC212" s="1779">
        <v>0.20583748754316866</v>
      </c>
      <c r="AD212" s="1779">
        <v>0.20315834092668716</v>
      </c>
      <c r="AE212" s="1779">
        <v>0.20073825129310019</v>
      </c>
      <c r="AF212" s="1779">
        <v>0.19847171267802255</v>
      </c>
      <c r="AG212" s="1779">
        <v>0.19568907503984811</v>
      </c>
      <c r="AH212" s="1779">
        <v>0.19402490894761515</v>
      </c>
      <c r="AI212" s="1779">
        <v>0.19230010387278385</v>
      </c>
      <c r="AJ212" s="1779">
        <v>0.19069172220353403</v>
      </c>
      <c r="AK212" s="1779">
        <v>0.18953963434632226</v>
      </c>
      <c r="AL212" s="1779">
        <v>0.18832912424638537</v>
      </c>
      <c r="AM212" s="1779">
        <v>0.18708135680373861</v>
      </c>
      <c r="AN212" s="1779">
        <v>0.18572096354989043</v>
      </c>
      <c r="AO212" s="1779">
        <v>0.18425991882962012</v>
      </c>
      <c r="AP212" s="1779">
        <v>0.18280773329197708</v>
      </c>
      <c r="AQ212" s="1779"/>
      <c r="AR212" s="1779"/>
      <c r="AS212" s="1779"/>
      <c r="AT212" s="1779"/>
      <c r="AU212" s="1779"/>
      <c r="AV212" s="1779"/>
      <c r="AW212" s="1779"/>
      <c r="AX212" s="1779"/>
      <c r="AY212" s="1779"/>
      <c r="AZ212" s="1779"/>
      <c r="BA212" s="1779"/>
      <c r="BB212" s="1779"/>
      <c r="BC212" s="1779"/>
      <c r="BD212" s="1779"/>
      <c r="BE212" s="1779"/>
      <c r="BF212" s="1779"/>
      <c r="BG212" s="1779"/>
      <c r="BH212" s="1779"/>
      <c r="BI212" s="1779"/>
      <c r="BJ212" s="1779"/>
      <c r="BK212" s="1779"/>
      <c r="BL212" s="1779"/>
      <c r="BM212" s="1779"/>
      <c r="BN212" s="1779"/>
      <c r="BO212" s="1779"/>
      <c r="BP212" s="1780"/>
      <c r="BQ212" s="1776"/>
      <c r="BR212" s="1776"/>
      <c r="BS212" s="1776"/>
      <c r="BT212" s="1776"/>
      <c r="BU212" s="1776"/>
      <c r="BV212" s="1776"/>
      <c r="BW212" s="1776"/>
      <c r="BX212" s="1776"/>
      <c r="BY212" s="1776"/>
      <c r="BZ212" s="1776"/>
      <c r="CA212" s="1776"/>
      <c r="CB212" s="1776"/>
      <c r="CC212" s="1776"/>
      <c r="CD212" s="1776"/>
      <c r="CE212" s="1776"/>
      <c r="CF212" s="1776"/>
      <c r="CG212" s="1776"/>
      <c r="CH212" s="1776"/>
      <c r="CI212" s="1776"/>
      <c r="CJ212" s="1776"/>
      <c r="CK212" s="1776"/>
      <c r="CL212" s="1776"/>
      <c r="CM212" s="1776"/>
      <c r="CN212" s="1777"/>
      <c r="CO212" s="1767"/>
    </row>
    <row r="213" spans="2:93" ht="28.5" x14ac:dyDescent="0.2">
      <c r="B213" s="1747"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13" s="1707" t="s">
        <v>1094</v>
      </c>
      <c r="D213" s="1765" t="s">
        <v>1093</v>
      </c>
      <c r="E213" s="1747" t="s">
        <v>987</v>
      </c>
      <c r="F213" s="1747" t="str">
        <f>VLOOKUP(TBL5_OptBen[[#This Row],[Option Type (defined list)]],'Option Typs_Grps'!B$2:C$47, 2, FALSE)</f>
        <v>Customer Options</v>
      </c>
      <c r="G213" s="1747" t="s">
        <v>863</v>
      </c>
      <c r="H213" s="1747" t="s">
        <v>1456</v>
      </c>
      <c r="I213" s="1747" t="s">
        <v>102</v>
      </c>
      <c r="J213" s="1747" t="s">
        <v>236</v>
      </c>
      <c r="K213" s="1760">
        <v>2</v>
      </c>
      <c r="L213" s="1779"/>
      <c r="M213" s="1779"/>
      <c r="N213" s="1779">
        <v>0</v>
      </c>
      <c r="O213" s="1780">
        <v>0</v>
      </c>
      <c r="P213" s="1780">
        <v>0</v>
      </c>
      <c r="Q213" s="1779">
        <v>0</v>
      </c>
      <c r="R213" s="1779">
        <v>0</v>
      </c>
      <c r="S213" s="1779">
        <v>0</v>
      </c>
      <c r="T213" s="1779">
        <v>1.0314214802599864E-2</v>
      </c>
      <c r="U213" s="1779">
        <v>2.0520044647801328E-2</v>
      </c>
      <c r="V213" s="1779">
        <v>3.0615249466800165E-2</v>
      </c>
      <c r="W213" s="1779">
        <v>4.0586735559401177E-2</v>
      </c>
      <c r="X213" s="1779">
        <v>5.0500690692199868E-2</v>
      </c>
      <c r="Y213" s="1779">
        <v>6.032980382049935E-2</v>
      </c>
      <c r="Z213" s="1779">
        <v>8.1098930416100501E-2</v>
      </c>
      <c r="AA213" s="1779">
        <v>0.10171915247400065</v>
      </c>
      <c r="AB213" s="1779">
        <v>0.12222002181800029</v>
      </c>
      <c r="AC213" s="1779">
        <v>0.14262022829909959</v>
      </c>
      <c r="AD213" s="1779">
        <v>0.16293188798290004</v>
      </c>
      <c r="AE213" s="1779">
        <v>0.18312094546069879</v>
      </c>
      <c r="AF213" s="1779">
        <v>0.20306843899420102</v>
      </c>
      <c r="AG213" s="1779">
        <v>0.22282495940200064</v>
      </c>
      <c r="AH213" s="1779">
        <v>0.24246445470260092</v>
      </c>
      <c r="AI213" s="1779">
        <v>0.26206088655730042</v>
      </c>
      <c r="AJ213" s="1779">
        <v>0.26807654025270011</v>
      </c>
      <c r="AK213" s="1779">
        <v>0.27413195838659909</v>
      </c>
      <c r="AL213" s="1779">
        <v>0.28013501375090044</v>
      </c>
      <c r="AM213" s="1779">
        <v>0.28610876323769929</v>
      </c>
      <c r="AN213" s="1779">
        <v>0.29216506047730029</v>
      </c>
      <c r="AO213" s="1779">
        <v>0.29829783154280065</v>
      </c>
      <c r="AP213" s="1779">
        <v>0.30449510263690094</v>
      </c>
      <c r="AQ213" s="1779"/>
      <c r="AR213" s="1779"/>
      <c r="AS213" s="1779"/>
      <c r="AT213" s="1779"/>
      <c r="AU213" s="1779"/>
      <c r="AV213" s="1779"/>
      <c r="AW213" s="1779"/>
      <c r="AX213" s="1779"/>
      <c r="AY213" s="1779"/>
      <c r="AZ213" s="1779"/>
      <c r="BA213" s="1779"/>
      <c r="BB213" s="1779"/>
      <c r="BC213" s="1779"/>
      <c r="BD213" s="1779"/>
      <c r="BE213" s="1779"/>
      <c r="BF213" s="1779"/>
      <c r="BG213" s="1779"/>
      <c r="BH213" s="1779"/>
      <c r="BI213" s="1779"/>
      <c r="BJ213" s="1779"/>
      <c r="BK213" s="1779"/>
      <c r="BL213" s="1779"/>
      <c r="BM213" s="1779"/>
      <c r="BN213" s="1779"/>
      <c r="BO213" s="1779"/>
      <c r="BP213" s="1780"/>
      <c r="BQ213" s="1776"/>
      <c r="BR213" s="1776"/>
      <c r="BS213" s="1776"/>
      <c r="BT213" s="1776"/>
      <c r="BU213" s="1776"/>
      <c r="BV213" s="1776"/>
      <c r="BW213" s="1776"/>
      <c r="BX213" s="1776"/>
      <c r="BY213" s="1776"/>
      <c r="BZ213" s="1776"/>
      <c r="CA213" s="1776"/>
      <c r="CB213" s="1776"/>
      <c r="CC213" s="1776"/>
      <c r="CD213" s="1776"/>
      <c r="CE213" s="1776"/>
      <c r="CF213" s="1776"/>
      <c r="CG213" s="1776"/>
      <c r="CH213" s="1776"/>
      <c r="CI213" s="1776"/>
      <c r="CJ213" s="1776"/>
      <c r="CK213" s="1776"/>
      <c r="CL213" s="1776"/>
      <c r="CM213" s="1776"/>
      <c r="CN213" s="1777"/>
      <c r="CO213" s="1767"/>
    </row>
    <row r="214" spans="2:93" ht="28.5" x14ac:dyDescent="0.2">
      <c r="B214" s="1747"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214" s="1707" t="s">
        <v>1096</v>
      </c>
      <c r="D214" s="1765" t="s">
        <v>1475</v>
      </c>
      <c r="E214" s="1723" t="s">
        <v>860</v>
      </c>
      <c r="F214" s="1747" t="str">
        <f>VLOOKUP(TBL5_OptBen[[#This Row],[Option Type (defined list)]],'Option Typs_Grps'!B$2:C$47, 2, FALSE)</f>
        <v>Distribution Options</v>
      </c>
      <c r="G214" s="1747" t="s">
        <v>863</v>
      </c>
      <c r="H214" s="1747" t="s">
        <v>1456</v>
      </c>
      <c r="I214" s="1747" t="s">
        <v>102</v>
      </c>
      <c r="J214" s="1747" t="s">
        <v>236</v>
      </c>
      <c r="K214" s="1760">
        <v>2</v>
      </c>
      <c r="L214" s="1779"/>
      <c r="M214" s="1779"/>
      <c r="N214" s="1779">
        <v>0</v>
      </c>
      <c r="O214" s="1780">
        <v>0</v>
      </c>
      <c r="P214" s="1780">
        <v>0</v>
      </c>
      <c r="Q214" s="1779">
        <v>0</v>
      </c>
      <c r="R214" s="1779">
        <v>-1.6145513693702762E-3</v>
      </c>
      <c r="S214" s="1779">
        <v>-2.862783471225816E-3</v>
      </c>
      <c r="T214" s="1779">
        <v>4.2861807559981813E-3</v>
      </c>
      <c r="U214" s="1779">
        <v>1.1415347046815683E-2</v>
      </c>
      <c r="V214" s="1779">
        <v>1.8531374394505473E-2</v>
      </c>
      <c r="W214" s="1779">
        <v>2.5451428441384927E-2</v>
      </c>
      <c r="X214" s="1779">
        <v>3.2180298944493591E-2</v>
      </c>
      <c r="Y214" s="1779">
        <v>3.8899833363210901E-2</v>
      </c>
      <c r="Z214" s="1779">
        <v>4.5608061135080202E-2</v>
      </c>
      <c r="AA214" s="1779">
        <v>5.2304537552386288E-2</v>
      </c>
      <c r="AB214" s="1779">
        <v>5.8990056648910771E-2</v>
      </c>
      <c r="AC214" s="1779">
        <v>6.5666109426501196E-2</v>
      </c>
      <c r="AD214" s="1779">
        <v>7.2333316033205697E-2</v>
      </c>
      <c r="AE214" s="1779">
        <v>7.8990073448521048E-2</v>
      </c>
      <c r="AF214" s="1779">
        <v>8.5637468534773387E-2</v>
      </c>
      <c r="AG214" s="1779">
        <v>9.2272138106391566E-2</v>
      </c>
      <c r="AH214" s="1779">
        <v>9.8894373222669807E-2</v>
      </c>
      <c r="AI214" s="1779">
        <v>0.10550826501916322</v>
      </c>
      <c r="AJ214" s="1779">
        <v>0.11211449054613076</v>
      </c>
      <c r="AK214" s="1779">
        <v>0.11871315190985066</v>
      </c>
      <c r="AL214" s="1779">
        <v>0.1253036603091634</v>
      </c>
      <c r="AM214" s="1779">
        <v>0.13188627416948917</v>
      </c>
      <c r="AN214" s="1779">
        <v>0.13846030482426297</v>
      </c>
      <c r="AO214" s="1779">
        <v>0.14502519801332275</v>
      </c>
      <c r="AP214" s="1779">
        <v>0.15158118891372041</v>
      </c>
      <c r="AQ214" s="1779"/>
      <c r="AR214" s="1779"/>
      <c r="AS214" s="1779"/>
      <c r="AT214" s="1779"/>
      <c r="AU214" s="1779"/>
      <c r="AV214" s="1779"/>
      <c r="AW214" s="1779"/>
      <c r="AX214" s="1779"/>
      <c r="AY214" s="1779"/>
      <c r="AZ214" s="1779"/>
      <c r="BA214" s="1779"/>
      <c r="BB214" s="1779"/>
      <c r="BC214" s="1779"/>
      <c r="BD214" s="1779"/>
      <c r="BE214" s="1779"/>
      <c r="BF214" s="1779"/>
      <c r="BG214" s="1779"/>
      <c r="BH214" s="1779"/>
      <c r="BI214" s="1779"/>
      <c r="BJ214" s="1779"/>
      <c r="BK214" s="1779"/>
      <c r="BL214" s="1779"/>
      <c r="BM214" s="1779"/>
      <c r="BN214" s="1779"/>
      <c r="BO214" s="1779"/>
      <c r="BP214" s="1780"/>
      <c r="BQ214" s="1776"/>
      <c r="BR214" s="1776"/>
      <c r="BS214" s="1776"/>
      <c r="BT214" s="1776"/>
      <c r="BU214" s="1776"/>
      <c r="BV214" s="1776"/>
      <c r="BW214" s="1776"/>
      <c r="BX214" s="1776"/>
      <c r="BY214" s="1776"/>
      <c r="BZ214" s="1776"/>
      <c r="CA214" s="1776"/>
      <c r="CB214" s="1776"/>
      <c r="CC214" s="1776"/>
      <c r="CD214" s="1776"/>
      <c r="CE214" s="1776"/>
      <c r="CF214" s="1776"/>
      <c r="CG214" s="1776"/>
      <c r="CH214" s="1776"/>
      <c r="CI214" s="1776"/>
      <c r="CJ214" s="1776"/>
      <c r="CK214" s="1776"/>
      <c r="CL214" s="1776"/>
      <c r="CM214" s="1776"/>
      <c r="CN214" s="1777"/>
      <c r="CO214" s="1767"/>
    </row>
    <row r="215" spans="2:93" ht="28.5" x14ac:dyDescent="0.25">
      <c r="B215" s="1747"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15" s="1703" t="s">
        <v>1098</v>
      </c>
      <c r="D215" s="1765" t="s">
        <v>1476</v>
      </c>
      <c r="E215" s="1723" t="s">
        <v>1099</v>
      </c>
      <c r="F215" s="1747" t="str">
        <f>VLOOKUP(TBL5_OptBen[[#This Row],[Option Type (defined list)]],'Option Typs_Grps'!B$2:C$47, 2, FALSE)</f>
        <v>Customer Options</v>
      </c>
      <c r="G215" s="1747" t="s">
        <v>863</v>
      </c>
      <c r="H215" s="1747" t="s">
        <v>1456</v>
      </c>
      <c r="I215" s="1747" t="s">
        <v>102</v>
      </c>
      <c r="J215" s="1747" t="s">
        <v>236</v>
      </c>
      <c r="K215" s="1760">
        <v>2</v>
      </c>
      <c r="L215" s="1779"/>
      <c r="M215" s="1779"/>
      <c r="N215" s="1779">
        <v>0</v>
      </c>
      <c r="O215" s="1780">
        <v>0</v>
      </c>
      <c r="P215" s="1780">
        <v>0</v>
      </c>
      <c r="Q215" s="1779">
        <v>0</v>
      </c>
      <c r="R215" s="1779">
        <v>9.2039513693702429E-3</v>
      </c>
      <c r="S215" s="1779">
        <v>1.8041583471225781E-2</v>
      </c>
      <c r="T215" s="1779">
        <v>1.8482019244001648E-2</v>
      </c>
      <c r="U215" s="1779">
        <v>1.8942252953184201E-2</v>
      </c>
      <c r="V215" s="1779">
        <v>1.9415625605494376E-2</v>
      </c>
      <c r="W215" s="1779">
        <v>2.0084971558614897E-2</v>
      </c>
      <c r="X215" s="1779">
        <v>2.0945501055506202E-2</v>
      </c>
      <c r="Y215" s="1779">
        <v>2.1815366636788788E-2</v>
      </c>
      <c r="Z215" s="1779">
        <v>2.2696538864919541E-2</v>
      </c>
      <c r="AA215" s="1779">
        <v>2.358946244761341E-2</v>
      </c>
      <c r="AB215" s="1779">
        <v>2.4493343351088825E-2</v>
      </c>
      <c r="AC215" s="1779">
        <v>2.5406690573498487E-2</v>
      </c>
      <c r="AD215" s="1779">
        <v>2.6328883966793899E-2</v>
      </c>
      <c r="AE215" s="1779">
        <v>2.726152655147851E-2</v>
      </c>
      <c r="AF215" s="1779">
        <v>2.8203531465226167E-2</v>
      </c>
      <c r="AG215" s="1779">
        <v>2.9158261893607956E-2</v>
      </c>
      <c r="AH215" s="1779">
        <v>3.0125426777329566E-2</v>
      </c>
      <c r="AI215" s="1779">
        <v>3.110093498083619E-2</v>
      </c>
      <c r="AJ215" s="1779">
        <v>3.2084109453868609E-2</v>
      </c>
      <c r="AK215" s="1779">
        <v>3.3074848090148691E-2</v>
      </c>
      <c r="AL215" s="1779">
        <v>3.4073739690835922E-2</v>
      </c>
      <c r="AM215" s="1779">
        <v>3.5080525830510134E-2</v>
      </c>
      <c r="AN215" s="1779">
        <v>3.6095895175736276E-2</v>
      </c>
      <c r="AO215" s="1779">
        <v>3.7120401986676516E-2</v>
      </c>
      <c r="AP215" s="1779">
        <v>3.8153811086279611E-2</v>
      </c>
      <c r="AQ215" s="1779"/>
      <c r="AR215" s="1779"/>
      <c r="AS215" s="1779"/>
      <c r="AT215" s="1779"/>
      <c r="AU215" s="1779"/>
      <c r="AV215" s="1779"/>
      <c r="AW215" s="1779"/>
      <c r="AX215" s="1779"/>
      <c r="AY215" s="1779"/>
      <c r="AZ215" s="1779"/>
      <c r="BA215" s="1779"/>
      <c r="BB215" s="1779"/>
      <c r="BC215" s="1779"/>
      <c r="BD215" s="1779"/>
      <c r="BE215" s="1779"/>
      <c r="BF215" s="1779"/>
      <c r="BG215" s="1779"/>
      <c r="BH215" s="1779"/>
      <c r="BI215" s="1779"/>
      <c r="BJ215" s="1779"/>
      <c r="BK215" s="1779"/>
      <c r="BL215" s="1779"/>
      <c r="BM215" s="1779"/>
      <c r="BN215" s="1779"/>
      <c r="BO215" s="1779"/>
      <c r="BP215" s="1780"/>
      <c r="BQ215" s="1776"/>
      <c r="BR215" s="1776"/>
      <c r="BS215" s="1776"/>
      <c r="BT215" s="1776"/>
      <c r="BU215" s="1776"/>
      <c r="BV215" s="1776"/>
      <c r="BW215" s="1776"/>
      <c r="BX215" s="1776"/>
      <c r="BY215" s="1776"/>
      <c r="BZ215" s="1776"/>
      <c r="CA215" s="1776"/>
      <c r="CB215" s="1776"/>
      <c r="CC215" s="1776"/>
      <c r="CD215" s="1776"/>
      <c r="CE215" s="1776"/>
      <c r="CF215" s="1776"/>
      <c r="CG215" s="1776"/>
      <c r="CH215" s="1776"/>
      <c r="CI215" s="1776"/>
      <c r="CJ215" s="1776"/>
      <c r="CK215" s="1776"/>
      <c r="CL215" s="1776"/>
      <c r="CM215" s="1776"/>
      <c r="CN215" s="1777"/>
      <c r="CO215" s="1767"/>
    </row>
    <row r="216" spans="2:93" ht="15" x14ac:dyDescent="0.25">
      <c r="B216" s="1747"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16" s="1707" t="s">
        <v>1101</v>
      </c>
      <c r="D216" s="1765" t="s">
        <v>1100</v>
      </c>
      <c r="E216" s="1723" t="s">
        <v>987</v>
      </c>
      <c r="F216" s="1747" t="str">
        <f>VLOOKUP(TBL5_OptBen[[#This Row],[Option Type (defined list)]],'Option Typs_Grps'!B$2:C$47, 2, FALSE)</f>
        <v>Customer Options</v>
      </c>
      <c r="G216" s="1747" t="s">
        <v>863</v>
      </c>
      <c r="H216" s="1747" t="s">
        <v>1456</v>
      </c>
      <c r="I216" s="1747" t="s">
        <v>102</v>
      </c>
      <c r="J216" s="1747" t="s">
        <v>236</v>
      </c>
      <c r="K216" s="1760">
        <v>2</v>
      </c>
      <c r="L216" s="1779"/>
      <c r="M216" s="1779"/>
      <c r="N216" s="1779">
        <v>0</v>
      </c>
      <c r="O216" s="1780">
        <v>0</v>
      </c>
      <c r="P216" s="1780">
        <v>0</v>
      </c>
      <c r="Q216" s="1779">
        <v>0</v>
      </c>
      <c r="R216" s="1779">
        <v>2.9245732979999772E-2</v>
      </c>
      <c r="S216" s="1779">
        <v>5.788098552690002E-2</v>
      </c>
      <c r="T216" s="1779">
        <v>8.6410913117200394E-2</v>
      </c>
      <c r="U216" s="1779">
        <v>0.11460690100139992</v>
      </c>
      <c r="V216" s="1779">
        <v>0.14234828579830072</v>
      </c>
      <c r="W216" s="1779">
        <v>0.16846321030070044</v>
      </c>
      <c r="X216" s="1779">
        <v>0.1944893779838992</v>
      </c>
      <c r="Y216" s="1779">
        <v>0.22029463166649954</v>
      </c>
      <c r="Z216" s="1779">
        <v>0.24591298569450082</v>
      </c>
      <c r="AA216" s="1779">
        <v>0.27138207321210039</v>
      </c>
      <c r="AB216" s="1779">
        <v>0.29622633043759983</v>
      </c>
      <c r="AC216" s="1779">
        <v>0.32092888405420084</v>
      </c>
      <c r="AD216" s="1779">
        <v>0.34563222874350075</v>
      </c>
      <c r="AE216" s="1779">
        <v>0.37018272159049914</v>
      </c>
      <c r="AF216" s="1779">
        <v>0.39434939933020097</v>
      </c>
      <c r="AG216" s="1779">
        <v>0.41748870904070046</v>
      </c>
      <c r="AH216" s="1779">
        <v>0.44050991547060114</v>
      </c>
      <c r="AI216" s="1779">
        <v>0.46348765376299994</v>
      </c>
      <c r="AJ216" s="1779">
        <v>0.48640407410969999</v>
      </c>
      <c r="AK216" s="1779">
        <v>0.48495961350399952</v>
      </c>
      <c r="AL216" s="1779">
        <v>0.4834947501180995</v>
      </c>
      <c r="AM216" s="1779">
        <v>0.48204979253049984</v>
      </c>
      <c r="AN216" s="1779">
        <v>0.48080743045220053</v>
      </c>
      <c r="AO216" s="1779">
        <v>0.47974408714549988</v>
      </c>
      <c r="AP216" s="1779">
        <v>0.47882900266100137</v>
      </c>
      <c r="AQ216" s="1779"/>
      <c r="AR216" s="1779"/>
      <c r="AS216" s="1779"/>
      <c r="AT216" s="1779"/>
      <c r="AU216" s="1779"/>
      <c r="AV216" s="1779"/>
      <c r="AW216" s="1779"/>
      <c r="AX216" s="1779"/>
      <c r="AY216" s="1779"/>
      <c r="AZ216" s="1779"/>
      <c r="BA216" s="1779"/>
      <c r="BB216" s="1779"/>
      <c r="BC216" s="1779"/>
      <c r="BD216" s="1779"/>
      <c r="BE216" s="1779"/>
      <c r="BF216" s="1779"/>
      <c r="BG216" s="1779"/>
      <c r="BH216" s="1779"/>
      <c r="BI216" s="1779"/>
      <c r="BJ216" s="1779"/>
      <c r="BK216" s="1779"/>
      <c r="BL216" s="1779"/>
      <c r="BM216" s="1779"/>
      <c r="BN216" s="1779"/>
      <c r="BO216" s="1779"/>
      <c r="BP216" s="1780"/>
      <c r="BQ216" s="1776"/>
      <c r="BR216" s="1776"/>
      <c r="BS216" s="1776"/>
      <c r="BT216" s="1776"/>
      <c r="BU216" s="1776"/>
      <c r="BV216" s="1776"/>
      <c r="BW216" s="1776"/>
      <c r="BX216" s="1776"/>
      <c r="BY216" s="1776"/>
      <c r="BZ216" s="1776"/>
      <c r="CA216" s="1776"/>
      <c r="CB216" s="1776"/>
      <c r="CC216" s="1776"/>
      <c r="CD216" s="1776"/>
      <c r="CE216" s="1776"/>
      <c r="CF216" s="1776"/>
      <c r="CG216" s="1776"/>
      <c r="CH216" s="1776"/>
      <c r="CI216" s="1776"/>
      <c r="CJ216" s="1776"/>
      <c r="CK216" s="1776"/>
      <c r="CL216" s="1776"/>
      <c r="CM216" s="1776"/>
      <c r="CN216" s="1777"/>
      <c r="CO216" s="1767"/>
    </row>
    <row r="217" spans="2:93" x14ac:dyDescent="0.2">
      <c r="B217" s="1747"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17" s="1707" t="s">
        <v>1104</v>
      </c>
      <c r="D217" s="1765" t="s">
        <v>1103</v>
      </c>
      <c r="E217" s="1714" t="s">
        <v>987</v>
      </c>
      <c r="F217" s="1747" t="str">
        <f>VLOOKUP(TBL5_OptBen[[#This Row],[Option Type (defined list)]],'Option Typs_Grps'!B$2:C$47, 2, FALSE)</f>
        <v>Customer Options</v>
      </c>
      <c r="G217" s="1747" t="s">
        <v>863</v>
      </c>
      <c r="H217" s="1747" t="s">
        <v>1456</v>
      </c>
      <c r="I217" s="1747" t="s">
        <v>102</v>
      </c>
      <c r="J217" s="1747" t="s">
        <v>236</v>
      </c>
      <c r="K217" s="1760">
        <v>2</v>
      </c>
      <c r="L217" s="1779"/>
      <c r="M217" s="1779"/>
      <c r="N217" s="1779">
        <v>0</v>
      </c>
      <c r="O217" s="1780">
        <v>0</v>
      </c>
      <c r="P217" s="1780">
        <v>0</v>
      </c>
      <c r="Q217" s="1779">
        <v>0</v>
      </c>
      <c r="R217" s="1779">
        <v>8.4969546820090613E-4</v>
      </c>
      <c r="S217" s="1779">
        <v>9.4142384433002491E-3</v>
      </c>
      <c r="T217" s="1779">
        <v>2.5105529526001646E-3</v>
      </c>
      <c r="U217" s="1779">
        <v>3.3297494878006262E-3</v>
      </c>
      <c r="V217" s="1779">
        <v>4.1357381412989724E-3</v>
      </c>
      <c r="W217" s="1779">
        <v>4.9155387715007492E-3</v>
      </c>
      <c r="X217" s="1779">
        <v>5.6925727752012989E-3</v>
      </c>
      <c r="Y217" s="1779">
        <v>6.4630059100014847E-3</v>
      </c>
      <c r="Z217" s="1779">
        <v>7.2278409928987486E-3</v>
      </c>
      <c r="AA217" s="1779">
        <v>7.9881920632995929E-3</v>
      </c>
      <c r="AB217" s="1779">
        <v>7.959461779599053E-3</v>
      </c>
      <c r="AC217" s="1779">
        <v>7.9318361964997308E-3</v>
      </c>
      <c r="AD217" s="1779">
        <v>7.9083297130999597E-3</v>
      </c>
      <c r="AE217" s="1779">
        <v>7.8848159267010942E-3</v>
      </c>
      <c r="AF217" s="1779">
        <v>7.8566947297993295E-3</v>
      </c>
      <c r="AG217" s="1779">
        <v>7.82701656669893E-3</v>
      </c>
      <c r="AH217" s="1779">
        <v>7.7985541140996872E-3</v>
      </c>
      <c r="AI217" s="1779">
        <v>7.7723665022002564E-3</v>
      </c>
      <c r="AJ217" s="1779">
        <v>7.7478273438007506E-3</v>
      </c>
      <c r="AK217" s="1779">
        <v>7.7248188372003312E-3</v>
      </c>
      <c r="AL217" s="1779">
        <v>7.7014853389005822E-3</v>
      </c>
      <c r="AM217" s="1779">
        <v>7.6784689159996589E-3</v>
      </c>
      <c r="AN217" s="1779">
        <v>7.6586795939004304E-3</v>
      </c>
      <c r="AO217" s="1779">
        <v>7.6417418238996504E-3</v>
      </c>
      <c r="AP217" s="1779">
        <v>7.6271656371993402E-3</v>
      </c>
      <c r="AQ217" s="1779"/>
      <c r="AR217" s="1779"/>
      <c r="AS217" s="1779"/>
      <c r="AT217" s="1779"/>
      <c r="AU217" s="1779"/>
      <c r="AV217" s="1779"/>
      <c r="AW217" s="1779"/>
      <c r="AX217" s="1779"/>
      <c r="AY217" s="1779"/>
      <c r="AZ217" s="1779"/>
      <c r="BA217" s="1779"/>
      <c r="BB217" s="1779"/>
      <c r="BC217" s="1779"/>
      <c r="BD217" s="1779"/>
      <c r="BE217" s="1779"/>
      <c r="BF217" s="1779"/>
      <c r="BG217" s="1779"/>
      <c r="BH217" s="1779"/>
      <c r="BI217" s="1779"/>
      <c r="BJ217" s="1779"/>
      <c r="BK217" s="1779"/>
      <c r="BL217" s="1779"/>
      <c r="BM217" s="1779"/>
      <c r="BN217" s="1779"/>
      <c r="BO217" s="1779"/>
      <c r="BP217" s="1780"/>
      <c r="BQ217" s="1776"/>
      <c r="BR217" s="1776"/>
      <c r="BS217" s="1776"/>
      <c r="BT217" s="1776"/>
      <c r="BU217" s="1776"/>
      <c r="BV217" s="1776"/>
      <c r="BW217" s="1776"/>
      <c r="BX217" s="1776"/>
      <c r="BY217" s="1776"/>
      <c r="BZ217" s="1776"/>
      <c r="CA217" s="1776"/>
      <c r="CB217" s="1776"/>
      <c r="CC217" s="1776"/>
      <c r="CD217" s="1776"/>
      <c r="CE217" s="1776"/>
      <c r="CF217" s="1776"/>
      <c r="CG217" s="1776"/>
      <c r="CH217" s="1776"/>
      <c r="CI217" s="1776"/>
      <c r="CJ217" s="1776"/>
      <c r="CK217" s="1776"/>
      <c r="CL217" s="1776"/>
      <c r="CM217" s="1776"/>
      <c r="CN217" s="1777"/>
      <c r="CO217" s="1767"/>
    </row>
    <row r="218" spans="2:93" x14ac:dyDescent="0.2">
      <c r="B218" s="1747"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18" s="1707" t="s">
        <v>1106</v>
      </c>
      <c r="D218" s="1765" t="s">
        <v>1477</v>
      </c>
      <c r="E218" s="1714" t="s">
        <v>987</v>
      </c>
      <c r="F218" s="1747" t="str">
        <f>VLOOKUP(TBL5_OptBen[[#This Row],[Option Type (defined list)]],'Option Typs_Grps'!B$2:C$47, 2, FALSE)</f>
        <v>Customer Options</v>
      </c>
      <c r="G218" s="1747" t="s">
        <v>863</v>
      </c>
      <c r="H218" s="1747" t="s">
        <v>1456</v>
      </c>
      <c r="I218" s="1747" t="s">
        <v>102</v>
      </c>
      <c r="J218" s="1747" t="s">
        <v>236</v>
      </c>
      <c r="K218" s="1760">
        <v>2</v>
      </c>
      <c r="L218" s="1779"/>
      <c r="M218" s="1779"/>
      <c r="N218" s="1779">
        <v>0</v>
      </c>
      <c r="O218" s="1780">
        <v>0</v>
      </c>
      <c r="P218" s="1780">
        <v>0</v>
      </c>
      <c r="Q218" s="1779">
        <v>0</v>
      </c>
      <c r="R218" s="1779">
        <v>7.6395995638005587E-3</v>
      </c>
      <c r="S218" s="1779">
        <v>1.5279199127499865E-2</v>
      </c>
      <c r="T218" s="1779">
        <v>2.2918798691300424E-2</v>
      </c>
      <c r="U218" s="1779">
        <v>3.0558398255100983E-2</v>
      </c>
      <c r="V218" s="1779">
        <v>3.8197997818800289E-2</v>
      </c>
      <c r="W218" s="1779">
        <v>5.4573490931600688E-2</v>
      </c>
      <c r="X218" s="1779">
        <v>7.0948984044299834E-2</v>
      </c>
      <c r="Y218" s="1779">
        <v>8.7324477157000757E-2</v>
      </c>
      <c r="Z218" s="1779">
        <v>0.1036999702696999</v>
      </c>
      <c r="AA218" s="1779">
        <v>0.12007546338240083</v>
      </c>
      <c r="AB218" s="1779">
        <v>0.13528648519989872</v>
      </c>
      <c r="AC218" s="1779">
        <v>0.15049750701740017</v>
      </c>
      <c r="AD218" s="1779">
        <v>0.16570852883499931</v>
      </c>
      <c r="AE218" s="1779">
        <v>0.16570852883499931</v>
      </c>
      <c r="AF218" s="1779">
        <v>0.16570852883500109</v>
      </c>
      <c r="AG218" s="1779">
        <v>0.16570852883489984</v>
      </c>
      <c r="AH218" s="1779">
        <v>0.16570852883489984</v>
      </c>
      <c r="AI218" s="1779">
        <v>0.16570852883500109</v>
      </c>
      <c r="AJ218" s="1779">
        <v>0.16570852883500109</v>
      </c>
      <c r="AK218" s="1779">
        <v>0.16570852883499931</v>
      </c>
      <c r="AL218" s="1779">
        <v>0.16570852883489984</v>
      </c>
      <c r="AM218" s="1779">
        <v>0.16570852883499931</v>
      </c>
      <c r="AN218" s="1779">
        <v>0.16570852883489984</v>
      </c>
      <c r="AO218" s="1779">
        <v>0.16570852883499931</v>
      </c>
      <c r="AP218" s="1779">
        <v>0.16570852883500109</v>
      </c>
      <c r="AQ218" s="1779"/>
      <c r="AR218" s="1779"/>
      <c r="AS218" s="1779"/>
      <c r="AT218" s="1779"/>
      <c r="AU218" s="1779"/>
      <c r="AV218" s="1779"/>
      <c r="AW218" s="1779"/>
      <c r="AX218" s="1779"/>
      <c r="AY218" s="1779"/>
      <c r="AZ218" s="1779"/>
      <c r="BA218" s="1779"/>
      <c r="BB218" s="1779"/>
      <c r="BC218" s="1779"/>
      <c r="BD218" s="1779"/>
      <c r="BE218" s="1779"/>
      <c r="BF218" s="1779"/>
      <c r="BG218" s="1779"/>
      <c r="BH218" s="1779"/>
      <c r="BI218" s="1779"/>
      <c r="BJ218" s="1779"/>
      <c r="BK218" s="1779"/>
      <c r="BL218" s="1779"/>
      <c r="BM218" s="1779"/>
      <c r="BN218" s="1779"/>
      <c r="BO218" s="1779"/>
      <c r="BP218" s="1780"/>
      <c r="BQ218" s="1776"/>
      <c r="BR218" s="1776"/>
      <c r="BS218" s="1776"/>
      <c r="BT218" s="1776"/>
      <c r="BU218" s="1776"/>
      <c r="BV218" s="1776"/>
      <c r="BW218" s="1776"/>
      <c r="BX218" s="1776"/>
      <c r="BY218" s="1776"/>
      <c r="BZ218" s="1776"/>
      <c r="CA218" s="1776"/>
      <c r="CB218" s="1776"/>
      <c r="CC218" s="1776"/>
      <c r="CD218" s="1776"/>
      <c r="CE218" s="1776"/>
      <c r="CF218" s="1776"/>
      <c r="CG218" s="1776"/>
      <c r="CH218" s="1776"/>
      <c r="CI218" s="1776"/>
      <c r="CJ218" s="1776"/>
      <c r="CK218" s="1776"/>
      <c r="CL218" s="1776"/>
      <c r="CM218" s="1776"/>
      <c r="CN218" s="1777"/>
      <c r="CO218" s="1767"/>
    </row>
    <row r="219" spans="2:93" x14ac:dyDescent="0.2">
      <c r="B219" s="1747"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52dP</v>
      </c>
      <c r="C219" s="1747" t="s">
        <v>1067</v>
      </c>
      <c r="D219" s="1747" t="s">
        <v>1066</v>
      </c>
      <c r="E219" s="1747" t="s">
        <v>1068</v>
      </c>
      <c r="F219" s="1747" t="s">
        <v>1470</v>
      </c>
      <c r="G219" s="1747" t="s">
        <v>863</v>
      </c>
      <c r="H219" s="1747" t="s">
        <v>876</v>
      </c>
      <c r="I219" s="1747" t="s">
        <v>105</v>
      </c>
      <c r="J219" s="1747" t="s">
        <v>236</v>
      </c>
      <c r="K219" s="1760">
        <v>2</v>
      </c>
      <c r="L219" s="1779"/>
      <c r="M219" s="1779"/>
      <c r="N219" s="1779">
        <v>0</v>
      </c>
      <c r="O219" s="1780">
        <v>0</v>
      </c>
      <c r="P219" s="1780">
        <v>0</v>
      </c>
      <c r="Q219" s="1779">
        <v>0</v>
      </c>
      <c r="R219" s="1779">
        <v>-3.0250176832678055E-2</v>
      </c>
      <c r="S219" s="1779">
        <v>0.22092509792618942</v>
      </c>
      <c r="T219" s="1779">
        <v>0.44180783531048951</v>
      </c>
      <c r="U219" s="1779">
        <v>0.65676649195386716</v>
      </c>
      <c r="V219" s="1779">
        <v>0.74603012807686042</v>
      </c>
      <c r="W219" s="1779">
        <v>0.67123336816176948</v>
      </c>
      <c r="X219" s="1779">
        <v>0.56160146727783111</v>
      </c>
      <c r="Y219" s="1779">
        <v>0.569141486410361</v>
      </c>
      <c r="Z219" s="1779">
        <v>0.56222283464014211</v>
      </c>
      <c r="AA219" s="1779">
        <v>0.57604467671953508</v>
      </c>
      <c r="AB219" s="1779">
        <v>0.58287426680638443</v>
      </c>
      <c r="AC219" s="1779">
        <v>0.5918935824934346</v>
      </c>
      <c r="AD219" s="1779">
        <v>0.60111067476332636</v>
      </c>
      <c r="AE219" s="1779">
        <v>0.61075432210265568</v>
      </c>
      <c r="AF219" s="1779">
        <v>0.62047119950066865</v>
      </c>
      <c r="AG219" s="1779">
        <v>0.62710990671047462</v>
      </c>
      <c r="AH219" s="1779">
        <v>0.63765170324713516</v>
      </c>
      <c r="AI219" s="1779">
        <v>0.64710000505310106</v>
      </c>
      <c r="AJ219" s="1779">
        <v>0.65750529700698657</v>
      </c>
      <c r="AK219" s="1779">
        <v>0.66793736733069409</v>
      </c>
      <c r="AL219" s="1779">
        <v>0.67795511886693127</v>
      </c>
      <c r="AM219" s="1779">
        <v>0.68819476295195159</v>
      </c>
      <c r="AN219" s="1779">
        <v>0.69833323270556491</v>
      </c>
      <c r="AO219" s="1779">
        <v>0.708452004238044</v>
      </c>
      <c r="AP219" s="1779">
        <v>0.71892658861624348</v>
      </c>
      <c r="AQ219" s="1779"/>
      <c r="AR219" s="1779"/>
      <c r="AS219" s="1779"/>
      <c r="AT219" s="1779"/>
      <c r="AU219" s="1779"/>
      <c r="AV219" s="1779"/>
      <c r="AW219" s="1779"/>
      <c r="AX219" s="1779"/>
      <c r="AY219" s="1779"/>
      <c r="AZ219" s="1779"/>
      <c r="BA219" s="1779"/>
      <c r="BB219" s="1779"/>
      <c r="BC219" s="1779"/>
      <c r="BD219" s="1779"/>
      <c r="BE219" s="1779"/>
      <c r="BF219" s="1779"/>
      <c r="BG219" s="1779"/>
      <c r="BH219" s="1779"/>
      <c r="BI219" s="1779"/>
      <c r="BJ219" s="1779"/>
      <c r="BK219" s="1779"/>
      <c r="BL219" s="1779"/>
      <c r="BM219" s="1779"/>
      <c r="BN219" s="1779"/>
      <c r="BO219" s="1779"/>
      <c r="BP219" s="1780"/>
      <c r="BQ219" s="1776"/>
      <c r="BR219" s="1776"/>
      <c r="BS219" s="1776"/>
      <c r="BT219" s="1776"/>
      <c r="BU219" s="1776"/>
      <c r="BV219" s="1776"/>
      <c r="BW219" s="1776"/>
      <c r="BX219" s="1776"/>
      <c r="BY219" s="1776"/>
      <c r="BZ219" s="1776"/>
      <c r="CA219" s="1776"/>
      <c r="CB219" s="1776"/>
      <c r="CC219" s="1776"/>
      <c r="CD219" s="1776"/>
      <c r="CE219" s="1776"/>
      <c r="CF219" s="1776"/>
      <c r="CG219" s="1776"/>
      <c r="CH219" s="1776"/>
      <c r="CI219" s="1776"/>
      <c r="CJ219" s="1776"/>
      <c r="CK219" s="1776"/>
      <c r="CL219" s="1776"/>
      <c r="CM219" s="1776"/>
      <c r="CN219" s="1777"/>
      <c r="CO219" s="1767"/>
    </row>
    <row r="220" spans="2:93" x14ac:dyDescent="0.2">
      <c r="B220" s="1747"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52dP</v>
      </c>
      <c r="C220" s="1747" t="s">
        <v>1075</v>
      </c>
      <c r="D220" s="1747" t="s">
        <v>1074</v>
      </c>
      <c r="E220" s="1747" t="s">
        <v>987</v>
      </c>
      <c r="F220" s="1747" t="s">
        <v>1470</v>
      </c>
      <c r="G220" s="1747" t="s">
        <v>863</v>
      </c>
      <c r="H220" s="1747" t="s">
        <v>876</v>
      </c>
      <c r="I220" s="1747" t="s">
        <v>105</v>
      </c>
      <c r="J220" s="1747" t="s">
        <v>236</v>
      </c>
      <c r="K220" s="1760">
        <v>2</v>
      </c>
      <c r="L220" s="1779"/>
      <c r="M220" s="1779"/>
      <c r="N220" s="1779">
        <v>0</v>
      </c>
      <c r="O220" s="1780">
        <v>0</v>
      </c>
      <c r="P220" s="1780">
        <v>0</v>
      </c>
      <c r="Q220" s="1779">
        <v>0</v>
      </c>
      <c r="R220" s="1779">
        <v>0.22449124655680208</v>
      </c>
      <c r="S220" s="1779">
        <v>0.44594592523610288</v>
      </c>
      <c r="T220" s="1779">
        <v>0.6662845238058992</v>
      </c>
      <c r="U220" s="1779">
        <v>0.88511942941270405</v>
      </c>
      <c r="V220" s="1779">
        <v>1.1020394620337015</v>
      </c>
      <c r="W220" s="1779">
        <v>1.3069039598269043</v>
      </c>
      <c r="X220" s="1779">
        <v>1.5109756718536005</v>
      </c>
      <c r="Y220" s="1779">
        <v>1.7137361579889046</v>
      </c>
      <c r="Z220" s="1779">
        <v>1.9155081107526968</v>
      </c>
      <c r="AA220" s="1779">
        <v>2.1171663775421052</v>
      </c>
      <c r="AB220" s="1779">
        <v>2.1854288201938985</v>
      </c>
      <c r="AC220" s="1779">
        <v>2.2525336110454006</v>
      </c>
      <c r="AD220" s="1779">
        <v>2.3186815926924993</v>
      </c>
      <c r="AE220" s="1779">
        <v>2.3845916997709011</v>
      </c>
      <c r="AF220" s="1779">
        <v>2.4508174073359967</v>
      </c>
      <c r="AG220" s="1779">
        <v>2.5142781679200965</v>
      </c>
      <c r="AH220" s="1779">
        <v>2.5768563611098969</v>
      </c>
      <c r="AI220" s="1779">
        <v>2.6386977728547976</v>
      </c>
      <c r="AJ220" s="1779">
        <v>2.6998942294479988</v>
      </c>
      <c r="AK220" s="1779">
        <v>2.7603311018409045</v>
      </c>
      <c r="AL220" s="1779">
        <v>2.8174101032381955</v>
      </c>
      <c r="AM220" s="1779">
        <v>2.8736127788586998</v>
      </c>
      <c r="AN220" s="1779">
        <v>2.9293708811567996</v>
      </c>
      <c r="AO220" s="1779">
        <v>2.9847736388110988</v>
      </c>
      <c r="AP220" s="1779">
        <v>2.9767429813442021</v>
      </c>
      <c r="AQ220" s="1779"/>
      <c r="AR220" s="1779"/>
      <c r="AS220" s="1779"/>
      <c r="AT220" s="1779"/>
      <c r="AU220" s="1779"/>
      <c r="AV220" s="1779"/>
      <c r="AW220" s="1779"/>
      <c r="AX220" s="1779"/>
      <c r="AY220" s="1779"/>
      <c r="AZ220" s="1779"/>
      <c r="BA220" s="1779"/>
      <c r="BB220" s="1779"/>
      <c r="BC220" s="1779"/>
      <c r="BD220" s="1779"/>
      <c r="BE220" s="1779"/>
      <c r="BF220" s="1779"/>
      <c r="BG220" s="1779"/>
      <c r="BH220" s="1779"/>
      <c r="BI220" s="1779"/>
      <c r="BJ220" s="1779"/>
      <c r="BK220" s="1779"/>
      <c r="BL220" s="1779"/>
      <c r="BM220" s="1779"/>
      <c r="BN220" s="1779"/>
      <c r="BO220" s="1779"/>
      <c r="BP220" s="1780"/>
      <c r="BQ220" s="1776"/>
      <c r="BR220" s="1776"/>
      <c r="BS220" s="1776"/>
      <c r="BT220" s="1776"/>
      <c r="BU220" s="1776"/>
      <c r="BV220" s="1776"/>
      <c r="BW220" s="1776"/>
      <c r="BX220" s="1776"/>
      <c r="BY220" s="1776"/>
      <c r="BZ220" s="1776"/>
      <c r="CA220" s="1776"/>
      <c r="CB220" s="1776"/>
      <c r="CC220" s="1776"/>
      <c r="CD220" s="1776"/>
      <c r="CE220" s="1776"/>
      <c r="CF220" s="1776"/>
      <c r="CG220" s="1776"/>
      <c r="CH220" s="1776"/>
      <c r="CI220" s="1776"/>
      <c r="CJ220" s="1776"/>
      <c r="CK220" s="1776"/>
      <c r="CL220" s="1776"/>
      <c r="CM220" s="1776"/>
      <c r="CN220" s="1777"/>
      <c r="CO220" s="1767"/>
    </row>
    <row r="221" spans="2:93" x14ac:dyDescent="0.2">
      <c r="B221" s="1747"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52dP</v>
      </c>
      <c r="C221" s="1747" t="s">
        <v>1123</v>
      </c>
      <c r="D221" s="1747" t="s">
        <v>1122</v>
      </c>
      <c r="E221" s="1747" t="s">
        <v>987</v>
      </c>
      <c r="F221" s="1747" t="s">
        <v>1470</v>
      </c>
      <c r="G221" s="1747" t="s">
        <v>863</v>
      </c>
      <c r="H221" s="1747" t="s">
        <v>876</v>
      </c>
      <c r="I221" s="1747" t="s">
        <v>105</v>
      </c>
      <c r="J221" s="1747" t="s">
        <v>236</v>
      </c>
      <c r="K221" s="1760">
        <v>2</v>
      </c>
      <c r="L221" s="1779"/>
      <c r="M221" s="1779"/>
      <c r="N221" s="1779">
        <v>0</v>
      </c>
      <c r="O221" s="1780">
        <v>0</v>
      </c>
      <c r="P221" s="1780">
        <v>0</v>
      </c>
      <c r="Q221" s="1779">
        <v>0</v>
      </c>
      <c r="R221" s="1779">
        <v>0.25285197876790022</v>
      </c>
      <c r="S221" s="1779">
        <v>0.28915600381380102</v>
      </c>
      <c r="T221" s="1779">
        <v>0.85611904685490003</v>
      </c>
      <c r="U221" s="1779">
        <v>1.1682636737810981</v>
      </c>
      <c r="V221" s="1779">
        <v>1.2988043173646986</v>
      </c>
      <c r="W221" s="1779">
        <v>1.3410526156413951</v>
      </c>
      <c r="X221" s="1779">
        <v>1.3833378679479011</v>
      </c>
      <c r="Y221" s="1779">
        <v>1.4249758066094955</v>
      </c>
      <c r="Z221" s="1779">
        <v>1.4661822578709049</v>
      </c>
      <c r="AA221" s="1779">
        <v>1.376736671158497</v>
      </c>
      <c r="AB221" s="1779">
        <v>1.3711449088019023</v>
      </c>
      <c r="AC221" s="1779">
        <v>1.3655705656969985</v>
      </c>
      <c r="AD221" s="1779">
        <v>1.3600865454248989</v>
      </c>
      <c r="AE221" s="1779">
        <v>1.3549934973377944</v>
      </c>
      <c r="AF221" s="1779">
        <v>1.3505218764641995</v>
      </c>
      <c r="AG221" s="1779">
        <v>1.3462455303585017</v>
      </c>
      <c r="AH221" s="1779">
        <v>1.3420285073993981</v>
      </c>
      <c r="AI221" s="1779">
        <v>1.3379199848717036</v>
      </c>
      <c r="AJ221" s="1779">
        <v>1.3339463027527998</v>
      </c>
      <c r="AK221" s="1779">
        <v>1.3300438899332008</v>
      </c>
      <c r="AL221" s="1779">
        <v>1.3260841828720018</v>
      </c>
      <c r="AM221" s="1779">
        <v>1.3221056454912983</v>
      </c>
      <c r="AN221" s="1779">
        <v>1.3182852448858</v>
      </c>
      <c r="AO221" s="1779">
        <v>1.3146506739254988</v>
      </c>
      <c r="AP221" s="1779">
        <v>1.3739241314790007</v>
      </c>
      <c r="AQ221" s="1779"/>
      <c r="AR221" s="1779"/>
      <c r="AS221" s="1779"/>
      <c r="AT221" s="1779"/>
      <c r="AU221" s="1779"/>
      <c r="AV221" s="1779"/>
      <c r="AW221" s="1779"/>
      <c r="AX221" s="1779"/>
      <c r="AY221" s="1779"/>
      <c r="AZ221" s="1779"/>
      <c r="BA221" s="1779"/>
      <c r="BB221" s="1779"/>
      <c r="BC221" s="1779"/>
      <c r="BD221" s="1779"/>
      <c r="BE221" s="1779"/>
      <c r="BF221" s="1779"/>
      <c r="BG221" s="1779"/>
      <c r="BH221" s="1779"/>
      <c r="BI221" s="1779"/>
      <c r="BJ221" s="1779"/>
      <c r="BK221" s="1779"/>
      <c r="BL221" s="1779"/>
      <c r="BM221" s="1779"/>
      <c r="BN221" s="1779"/>
      <c r="BO221" s="1779"/>
      <c r="BP221" s="1780"/>
      <c r="BQ221" s="1776"/>
      <c r="BR221" s="1776"/>
      <c r="BS221" s="1776"/>
      <c r="BT221" s="1776"/>
      <c r="BU221" s="1776"/>
      <c r="BV221" s="1776"/>
      <c r="BW221" s="1776"/>
      <c r="BX221" s="1776"/>
      <c r="BY221" s="1776"/>
      <c r="BZ221" s="1776"/>
      <c r="CA221" s="1776"/>
      <c r="CB221" s="1776"/>
      <c r="CC221" s="1776"/>
      <c r="CD221" s="1776"/>
      <c r="CE221" s="1776"/>
      <c r="CF221" s="1776"/>
      <c r="CG221" s="1776"/>
      <c r="CH221" s="1776"/>
      <c r="CI221" s="1776"/>
      <c r="CJ221" s="1776"/>
      <c r="CK221" s="1776"/>
      <c r="CL221" s="1776"/>
      <c r="CM221" s="1776"/>
      <c r="CN221" s="1777"/>
      <c r="CO221" s="1767"/>
    </row>
    <row r="222" spans="2:93" x14ac:dyDescent="0.2">
      <c r="B222" s="1747"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52cP</v>
      </c>
      <c r="C222" s="1747" t="s">
        <v>1082</v>
      </c>
      <c r="D222" s="1747" t="s">
        <v>1081</v>
      </c>
      <c r="E222" s="1747" t="s">
        <v>860</v>
      </c>
      <c r="F222" s="1747" t="s">
        <v>1471</v>
      </c>
      <c r="G222" s="1747" t="s">
        <v>863</v>
      </c>
      <c r="H222" s="1747" t="s">
        <v>876</v>
      </c>
      <c r="I222" s="1747" t="s">
        <v>105</v>
      </c>
      <c r="J222" s="1747" t="s">
        <v>236</v>
      </c>
      <c r="K222" s="1760">
        <v>2</v>
      </c>
      <c r="L222" s="1779"/>
      <c r="M222" s="1779"/>
      <c r="N222" s="1779">
        <v>0</v>
      </c>
      <c r="O222" s="1780">
        <v>0</v>
      </c>
      <c r="P222" s="1780">
        <v>0</v>
      </c>
      <c r="Q222" s="1779">
        <v>0</v>
      </c>
      <c r="R222" s="1779">
        <v>2.0497010939743765E-2</v>
      </c>
      <c r="S222" s="1779">
        <v>2.8131052956422264E-2</v>
      </c>
      <c r="T222" s="1779">
        <v>9.7854674088195814E-3</v>
      </c>
      <c r="U222" s="1779">
        <v>-2.0179402831490112E-2</v>
      </c>
      <c r="V222" s="1779">
        <v>-3.3449196205928011E-2</v>
      </c>
      <c r="W222" s="1779">
        <v>-2.1372962654336192E-2</v>
      </c>
      <c r="X222" s="1779">
        <v>-6.954358139554806E-5</v>
      </c>
      <c r="Y222" s="1779">
        <v>2.1176585235679113E-2</v>
      </c>
      <c r="Z222" s="1779">
        <v>4.2354618941040423E-2</v>
      </c>
      <c r="AA222" s="1779">
        <v>6.3463175295519481E-2</v>
      </c>
      <c r="AB222" s="1779">
        <v>8.4468033114998065E-2</v>
      </c>
      <c r="AC222" s="1779">
        <v>0.10537309422437291</v>
      </c>
      <c r="AD222" s="1779">
        <v>0.12621569853705017</v>
      </c>
      <c r="AE222" s="1779">
        <v>0.14699737189668394</v>
      </c>
      <c r="AF222" s="1779">
        <v>0.16772764836791842</v>
      </c>
      <c r="AG222" s="1779">
        <v>0.18840041528255469</v>
      </c>
      <c r="AH222" s="1779">
        <v>0.20901849631826996</v>
      </c>
      <c r="AI222" s="1779">
        <v>0.22958098505130908</v>
      </c>
      <c r="AJ222" s="1779">
        <v>0.25008862554965239</v>
      </c>
      <c r="AK222" s="1779">
        <v>0.27054286884443735</v>
      </c>
      <c r="AL222" s="1779">
        <v>0.29094479727368583</v>
      </c>
      <c r="AM222" s="1779">
        <v>0.31129537924124362</v>
      </c>
      <c r="AN222" s="1779">
        <v>0.33159588466125323</v>
      </c>
      <c r="AO222" s="1779">
        <v>0.35184825930580232</v>
      </c>
      <c r="AP222" s="1779">
        <v>0.3720534466407468</v>
      </c>
      <c r="AQ222" s="1779"/>
      <c r="AR222" s="1779"/>
      <c r="AS222" s="1779"/>
      <c r="AT222" s="1779"/>
      <c r="AU222" s="1779"/>
      <c r="AV222" s="1779"/>
      <c r="AW222" s="1779"/>
      <c r="AX222" s="1779"/>
      <c r="AY222" s="1779"/>
      <c r="AZ222" s="1779"/>
      <c r="BA222" s="1779"/>
      <c r="BB222" s="1779"/>
      <c r="BC222" s="1779"/>
      <c r="BD222" s="1779"/>
      <c r="BE222" s="1779"/>
      <c r="BF222" s="1779"/>
      <c r="BG222" s="1779"/>
      <c r="BH222" s="1779"/>
      <c r="BI222" s="1779"/>
      <c r="BJ222" s="1779"/>
      <c r="BK222" s="1779"/>
      <c r="BL222" s="1779"/>
      <c r="BM222" s="1779"/>
      <c r="BN222" s="1779"/>
      <c r="BO222" s="1779"/>
      <c r="BP222" s="1780"/>
      <c r="BQ222" s="1776"/>
      <c r="BR222" s="1776"/>
      <c r="BS222" s="1776"/>
      <c r="BT222" s="1776"/>
      <c r="BU222" s="1776"/>
      <c r="BV222" s="1776"/>
      <c r="BW222" s="1776"/>
      <c r="BX222" s="1776"/>
      <c r="BY222" s="1776"/>
      <c r="BZ222" s="1776"/>
      <c r="CA222" s="1776"/>
      <c r="CB222" s="1776"/>
      <c r="CC222" s="1776"/>
      <c r="CD222" s="1776"/>
      <c r="CE222" s="1776"/>
      <c r="CF222" s="1776"/>
      <c r="CG222" s="1776"/>
      <c r="CH222" s="1776"/>
      <c r="CI222" s="1776"/>
      <c r="CJ222" s="1776"/>
      <c r="CK222" s="1776"/>
      <c r="CL222" s="1776"/>
      <c r="CM222" s="1776"/>
      <c r="CN222" s="1777"/>
      <c r="CO222" s="1767"/>
    </row>
    <row r="223" spans="2:93" x14ac:dyDescent="0.2">
      <c r="B223" s="1747"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52dP</v>
      </c>
      <c r="C223" s="1747" t="s">
        <v>1119</v>
      </c>
      <c r="D223" s="1747" t="s">
        <v>1118</v>
      </c>
      <c r="E223" s="1747" t="s">
        <v>1099</v>
      </c>
      <c r="F223" s="1747" t="s">
        <v>1470</v>
      </c>
      <c r="G223" s="1747" t="s">
        <v>863</v>
      </c>
      <c r="H223" s="1747" t="s">
        <v>876</v>
      </c>
      <c r="I223" s="1747" t="s">
        <v>105</v>
      </c>
      <c r="J223" s="1747" t="s">
        <v>236</v>
      </c>
      <c r="K223" s="1760">
        <v>2</v>
      </c>
      <c r="L223" s="1779"/>
      <c r="M223" s="1779"/>
      <c r="N223" s="1779">
        <v>0</v>
      </c>
      <c r="O223" s="1780">
        <v>0</v>
      </c>
      <c r="P223" s="1780">
        <v>0</v>
      </c>
      <c r="Q223" s="1779">
        <v>0</v>
      </c>
      <c r="R223" s="1779">
        <v>7.67658906025619E-3</v>
      </c>
      <c r="S223" s="1779">
        <v>2.8216147043577881E-2</v>
      </c>
      <c r="T223" s="1779">
        <v>7.4735332591180786E-2</v>
      </c>
      <c r="U223" s="1779">
        <v>0.13287380283149092</v>
      </c>
      <c r="V223" s="1779">
        <v>0.17431719620592837</v>
      </c>
      <c r="W223" s="1779">
        <v>0.19041456265433712</v>
      </c>
      <c r="X223" s="1779">
        <v>0.19728474358139669</v>
      </c>
      <c r="Y223" s="1779">
        <v>0.20421221476432208</v>
      </c>
      <c r="Z223" s="1779">
        <v>0.21120778105896068</v>
      </c>
      <c r="AA223" s="1779">
        <v>0.21827282470448189</v>
      </c>
      <c r="AB223" s="1779">
        <v>0.22544156688500333</v>
      </c>
      <c r="AC223" s="1779">
        <v>0.23271010577562865</v>
      </c>
      <c r="AD223" s="1779">
        <v>0.24004110146295188</v>
      </c>
      <c r="AE223" s="1779">
        <v>0.24743302810331808</v>
      </c>
      <c r="AF223" s="1779">
        <v>0.25487635163208355</v>
      </c>
      <c r="AG223" s="1779">
        <v>0.26237718471744731</v>
      </c>
      <c r="AH223" s="1779">
        <v>0.26993270368173239</v>
      </c>
      <c r="AI223" s="1779">
        <v>0.27754381494869351</v>
      </c>
      <c r="AJ223" s="1779">
        <v>0.28520977445035034</v>
      </c>
      <c r="AK223" s="1779">
        <v>0.29292913115556524</v>
      </c>
      <c r="AL223" s="1779">
        <v>0.30070080272631694</v>
      </c>
      <c r="AM223" s="1779">
        <v>0.30852382075875928</v>
      </c>
      <c r="AN223" s="1779">
        <v>0.31639691533875025</v>
      </c>
      <c r="AO223" s="1779">
        <v>0.32431814069420095</v>
      </c>
      <c r="AP223" s="1779">
        <v>0.33228655335925339</v>
      </c>
      <c r="AQ223" s="1779"/>
      <c r="AR223" s="1779"/>
      <c r="AS223" s="1779"/>
      <c r="AT223" s="1779"/>
      <c r="AU223" s="1779"/>
      <c r="AV223" s="1779"/>
      <c r="AW223" s="1779"/>
      <c r="AX223" s="1779"/>
      <c r="AY223" s="1779"/>
      <c r="AZ223" s="1779"/>
      <c r="BA223" s="1779"/>
      <c r="BB223" s="1779"/>
      <c r="BC223" s="1779"/>
      <c r="BD223" s="1779"/>
      <c r="BE223" s="1779"/>
      <c r="BF223" s="1779"/>
      <c r="BG223" s="1779"/>
      <c r="BH223" s="1779"/>
      <c r="BI223" s="1779"/>
      <c r="BJ223" s="1779"/>
      <c r="BK223" s="1779"/>
      <c r="BL223" s="1779"/>
      <c r="BM223" s="1779"/>
      <c r="BN223" s="1779"/>
      <c r="BO223" s="1779"/>
      <c r="BP223" s="1780"/>
      <c r="BQ223" s="1776"/>
      <c r="BR223" s="1776"/>
      <c r="BS223" s="1776"/>
      <c r="BT223" s="1776"/>
      <c r="BU223" s="1776"/>
      <c r="BV223" s="1776"/>
      <c r="BW223" s="1776"/>
      <c r="BX223" s="1776"/>
      <c r="BY223" s="1776"/>
      <c r="BZ223" s="1776"/>
      <c r="CA223" s="1776"/>
      <c r="CB223" s="1776"/>
      <c r="CC223" s="1776"/>
      <c r="CD223" s="1776"/>
      <c r="CE223" s="1776"/>
      <c r="CF223" s="1776"/>
      <c r="CG223" s="1776"/>
      <c r="CH223" s="1776"/>
      <c r="CI223" s="1776"/>
      <c r="CJ223" s="1776"/>
      <c r="CK223" s="1776"/>
      <c r="CL223" s="1776"/>
      <c r="CM223" s="1776"/>
      <c r="CN223" s="1777"/>
      <c r="CO223" s="1767"/>
    </row>
    <row r="224" spans="2:93" x14ac:dyDescent="0.2">
      <c r="B224" s="1747"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52dP</v>
      </c>
      <c r="C224" s="1747" t="s">
        <v>1125</v>
      </c>
      <c r="D224" s="1747" t="s">
        <v>1474</v>
      </c>
      <c r="E224" s="1747" t="s">
        <v>987</v>
      </c>
      <c r="F224" s="1747" t="s">
        <v>1470</v>
      </c>
      <c r="G224" s="1747" t="s">
        <v>863</v>
      </c>
      <c r="H224" s="1747" t="s">
        <v>876</v>
      </c>
      <c r="I224" s="1747" t="s">
        <v>105</v>
      </c>
      <c r="J224" s="1747" t="s">
        <v>236</v>
      </c>
      <c r="K224" s="1760">
        <v>2</v>
      </c>
      <c r="L224" s="1779"/>
      <c r="M224" s="1779"/>
      <c r="N224" s="1779">
        <v>0</v>
      </c>
      <c r="O224" s="1780">
        <v>0</v>
      </c>
      <c r="P224" s="1780">
        <v>0</v>
      </c>
      <c r="Q224" s="1779">
        <v>0</v>
      </c>
      <c r="R224" s="1779">
        <v>6.3419152100898657E-2</v>
      </c>
      <c r="S224" s="1779">
        <v>0.1268383042019039</v>
      </c>
      <c r="T224" s="1779">
        <v>0.19025745630289492</v>
      </c>
      <c r="U224" s="1779">
        <v>0.25367660840380069</v>
      </c>
      <c r="V224" s="1779">
        <v>0.31709576050479882</v>
      </c>
      <c r="W224" s="1779">
        <v>0.45303480806530416</v>
      </c>
      <c r="X224" s="1779">
        <v>0.5889738556258024</v>
      </c>
      <c r="Y224" s="1779">
        <v>0.72491290318630064</v>
      </c>
      <c r="Z224" s="1779">
        <v>0.8608519507466994</v>
      </c>
      <c r="AA224" s="1779">
        <v>0.99679099830720475</v>
      </c>
      <c r="AB224" s="1779">
        <v>1.1230633373484977</v>
      </c>
      <c r="AC224" s="1779">
        <v>1.2493356763897978</v>
      </c>
      <c r="AD224" s="1779">
        <v>1.3756080154310979</v>
      </c>
      <c r="AE224" s="1779">
        <v>1.3756080154309984</v>
      </c>
      <c r="AF224" s="1779">
        <v>1.3756080154309984</v>
      </c>
      <c r="AG224" s="1779">
        <v>1.3756080154309984</v>
      </c>
      <c r="AH224" s="1779">
        <v>1.3756080154309984</v>
      </c>
      <c r="AI224" s="1779">
        <v>1.3756080154309984</v>
      </c>
      <c r="AJ224" s="1779">
        <v>1.3756080154310979</v>
      </c>
      <c r="AK224" s="1779">
        <v>1.3756080154310055</v>
      </c>
      <c r="AL224" s="1779">
        <v>1.3756080154309984</v>
      </c>
      <c r="AM224" s="1779">
        <v>1.3756080154309984</v>
      </c>
      <c r="AN224" s="1779">
        <v>1.3756080154310979</v>
      </c>
      <c r="AO224" s="1779">
        <v>1.3756080154309984</v>
      </c>
      <c r="AP224" s="1779">
        <v>1.3756080154309984</v>
      </c>
      <c r="AQ224" s="1779"/>
      <c r="AR224" s="1779"/>
      <c r="AS224" s="1779"/>
      <c r="AT224" s="1779"/>
      <c r="AU224" s="1779"/>
      <c r="AV224" s="1779"/>
      <c r="AW224" s="1779"/>
      <c r="AX224" s="1779"/>
      <c r="AY224" s="1779"/>
      <c r="AZ224" s="1779"/>
      <c r="BA224" s="1779"/>
      <c r="BB224" s="1779"/>
      <c r="BC224" s="1779"/>
      <c r="BD224" s="1779"/>
      <c r="BE224" s="1779"/>
      <c r="BF224" s="1779"/>
      <c r="BG224" s="1779"/>
      <c r="BH224" s="1779"/>
      <c r="BI224" s="1779"/>
      <c r="BJ224" s="1779"/>
      <c r="BK224" s="1779"/>
      <c r="BL224" s="1779"/>
      <c r="BM224" s="1779"/>
      <c r="BN224" s="1779"/>
      <c r="BO224" s="1779"/>
      <c r="BP224" s="1780"/>
      <c r="BQ224" s="1776"/>
      <c r="BR224" s="1776"/>
      <c r="BS224" s="1776"/>
      <c r="BT224" s="1776"/>
      <c r="BU224" s="1776"/>
      <c r="BV224" s="1776"/>
      <c r="BW224" s="1776"/>
      <c r="BX224" s="1776"/>
      <c r="BY224" s="1776"/>
      <c r="BZ224" s="1776"/>
      <c r="CA224" s="1776"/>
      <c r="CB224" s="1776"/>
      <c r="CC224" s="1776"/>
      <c r="CD224" s="1776"/>
      <c r="CE224" s="1776"/>
      <c r="CF224" s="1776"/>
      <c r="CG224" s="1776"/>
      <c r="CH224" s="1776"/>
      <c r="CI224" s="1776"/>
      <c r="CJ224" s="1776"/>
      <c r="CK224" s="1776"/>
      <c r="CL224" s="1776"/>
      <c r="CM224" s="1776"/>
      <c r="CN224" s="1777"/>
      <c r="CO224" s="1767"/>
    </row>
    <row r="225" spans="2:93" x14ac:dyDescent="0.2">
      <c r="B225" s="1747"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52dP</v>
      </c>
      <c r="C225" s="1747" t="s">
        <v>1079</v>
      </c>
      <c r="D225" s="1747" t="s">
        <v>1078</v>
      </c>
      <c r="E225" s="1747" t="s">
        <v>987</v>
      </c>
      <c r="F225" s="1747" t="s">
        <v>1470</v>
      </c>
      <c r="G225" s="1747" t="s">
        <v>863</v>
      </c>
      <c r="H225" s="1747" t="s">
        <v>876</v>
      </c>
      <c r="I225" s="1747" t="s">
        <v>105</v>
      </c>
      <c r="J225" s="1747" t="s">
        <v>236</v>
      </c>
      <c r="K225" s="1760">
        <v>2</v>
      </c>
      <c r="L225" s="1779"/>
      <c r="M225" s="1779"/>
      <c r="N225" s="1779">
        <v>0</v>
      </c>
      <c r="O225" s="1780">
        <v>0</v>
      </c>
      <c r="P225" s="1780">
        <v>0</v>
      </c>
      <c r="Q225" s="1779">
        <v>0</v>
      </c>
      <c r="R225" s="1779">
        <v>0</v>
      </c>
      <c r="S225" s="1779">
        <v>0</v>
      </c>
      <c r="T225" s="1779">
        <v>7.3833501573595584E-2</v>
      </c>
      <c r="U225" s="1779">
        <v>0.1471215959892973</v>
      </c>
      <c r="V225" s="1779">
        <v>0.22002474649539749</v>
      </c>
      <c r="W225" s="1779">
        <v>0.2922773801037053</v>
      </c>
      <c r="X225" s="1779">
        <v>0.36418098416940126</v>
      </c>
      <c r="Y225" s="1779">
        <v>0.43562881924000152</v>
      </c>
      <c r="Z225" s="1779">
        <v>0.58633855384859856</v>
      </c>
      <c r="AA225" s="1779">
        <v>0.73653307793040312</v>
      </c>
      <c r="AB225" s="1779">
        <v>0.88591093485229777</v>
      </c>
      <c r="AC225" s="1779">
        <v>1.0346859498579946</v>
      </c>
      <c r="AD225" s="1779">
        <v>1.1825063035998937</v>
      </c>
      <c r="AE225" s="1779">
        <v>1.3300340927073009</v>
      </c>
      <c r="AF225" s="1779">
        <v>1.4777973911117002</v>
      </c>
      <c r="AG225" s="1779">
        <v>1.6253095885688964</v>
      </c>
      <c r="AH225" s="1779">
        <v>1.7723727303438963</v>
      </c>
      <c r="AI225" s="1779">
        <v>1.9193008627122978</v>
      </c>
      <c r="AJ225" s="1779">
        <v>1.9668881373080964</v>
      </c>
      <c r="AK225" s="1779">
        <v>2.0145719774967006</v>
      </c>
      <c r="AL225" s="1779">
        <v>2.0618569926542989</v>
      </c>
      <c r="AM225" s="1779">
        <v>2.1088184870127975</v>
      </c>
      <c r="AN225" s="1779">
        <v>2.1558672756962949</v>
      </c>
      <c r="AO225" s="1779">
        <v>2.2030882147346986</v>
      </c>
      <c r="AP225" s="1779">
        <v>2.2502157920711028</v>
      </c>
      <c r="AQ225" s="1779"/>
      <c r="AR225" s="1779"/>
      <c r="AS225" s="1779"/>
      <c r="AT225" s="1779"/>
      <c r="AU225" s="1779"/>
      <c r="AV225" s="1779"/>
      <c r="AW225" s="1779"/>
      <c r="AX225" s="1779"/>
      <c r="AY225" s="1779"/>
      <c r="AZ225" s="1779"/>
      <c r="BA225" s="1779"/>
      <c r="BB225" s="1779"/>
      <c r="BC225" s="1779"/>
      <c r="BD225" s="1779"/>
      <c r="BE225" s="1779"/>
      <c r="BF225" s="1779"/>
      <c r="BG225" s="1779"/>
      <c r="BH225" s="1779"/>
      <c r="BI225" s="1779"/>
      <c r="BJ225" s="1779"/>
      <c r="BK225" s="1779"/>
      <c r="BL225" s="1779"/>
      <c r="BM225" s="1779"/>
      <c r="BN225" s="1779"/>
      <c r="BO225" s="1779"/>
      <c r="BP225" s="1780"/>
      <c r="BQ225" s="1776"/>
      <c r="BR225" s="1776"/>
      <c r="BS225" s="1776"/>
      <c r="BT225" s="1776"/>
      <c r="BU225" s="1776"/>
      <c r="BV225" s="1776"/>
      <c r="BW225" s="1776"/>
      <c r="BX225" s="1776"/>
      <c r="BY225" s="1776"/>
      <c r="BZ225" s="1776"/>
      <c r="CA225" s="1776"/>
      <c r="CB225" s="1776"/>
      <c r="CC225" s="1776"/>
      <c r="CD225" s="1776"/>
      <c r="CE225" s="1776"/>
      <c r="CF225" s="1776"/>
      <c r="CG225" s="1776"/>
      <c r="CH225" s="1776"/>
      <c r="CI225" s="1776"/>
      <c r="CJ225" s="1776"/>
      <c r="CK225" s="1776"/>
      <c r="CL225" s="1776"/>
      <c r="CM225" s="1776"/>
      <c r="CN225" s="1777"/>
      <c r="CO225" s="1767"/>
    </row>
    <row r="226" spans="2:93" x14ac:dyDescent="0.2">
      <c r="B226" s="1747"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26" s="1747" t="s">
        <v>1092</v>
      </c>
      <c r="D226" s="1747" t="s">
        <v>1091</v>
      </c>
      <c r="E226" s="1747" t="s">
        <v>1068</v>
      </c>
      <c r="F226" s="1747" t="s">
        <v>1470</v>
      </c>
      <c r="G226" s="1747" t="s">
        <v>863</v>
      </c>
      <c r="H226" s="1747" t="s">
        <v>1456</v>
      </c>
      <c r="I226" s="1747" t="s">
        <v>105</v>
      </c>
      <c r="J226" s="1747" t="s">
        <v>236</v>
      </c>
      <c r="K226" s="1760">
        <v>2</v>
      </c>
      <c r="L226" s="1779"/>
      <c r="M226" s="1779"/>
      <c r="N226" s="1779">
        <v>0</v>
      </c>
      <c r="O226" s="1780">
        <v>0</v>
      </c>
      <c r="P226" s="1780">
        <v>0</v>
      </c>
      <c r="Q226" s="1779">
        <v>0</v>
      </c>
      <c r="R226" s="1779">
        <v>-2.414504938299189E-2</v>
      </c>
      <c r="S226" s="1779">
        <v>0.489280454792967</v>
      </c>
      <c r="T226" s="1779">
        <v>1.4433440011273571</v>
      </c>
      <c r="U226" s="1779">
        <v>2.593082603664504</v>
      </c>
      <c r="V226" s="1779">
        <v>3.2975713015694534</v>
      </c>
      <c r="W226" s="1779">
        <v>3.3569284042128951</v>
      </c>
      <c r="X226" s="1779">
        <v>3.1809178126667499</v>
      </c>
      <c r="Y226" s="1779">
        <v>3.1245203222464095</v>
      </c>
      <c r="Z226" s="1779">
        <v>3.04697951797964</v>
      </c>
      <c r="AA226" s="1779">
        <v>2.9917293881229394</v>
      </c>
      <c r="AB226" s="1779">
        <v>2.9444843291416802</v>
      </c>
      <c r="AC226" s="1779">
        <v>2.9012306965366896</v>
      </c>
      <c r="AD226" s="1779">
        <v>2.8588892438794709</v>
      </c>
      <c r="AE226" s="1779">
        <v>2.8184514144413857</v>
      </c>
      <c r="AF226" s="1779">
        <v>2.7787498325332773</v>
      </c>
      <c r="AG226" s="1779">
        <v>2.7370465502948171</v>
      </c>
      <c r="AH226" s="1779">
        <v>2.7002265887498638</v>
      </c>
      <c r="AI226" s="1779">
        <v>2.6643593788955933</v>
      </c>
      <c r="AJ226" s="1779">
        <v>2.6400457425174704</v>
      </c>
      <c r="AK226" s="1779">
        <v>2.6164486721987643</v>
      </c>
      <c r="AL226" s="1779">
        <v>2.5934327717976071</v>
      </c>
      <c r="AM226" s="1779">
        <v>2.5718241631609668</v>
      </c>
      <c r="AN226" s="1779">
        <v>2.5504834290151734</v>
      </c>
      <c r="AO226" s="1779">
        <v>2.5297403058195354</v>
      </c>
      <c r="AP226" s="1779">
        <v>2.5091772234163319</v>
      </c>
      <c r="AQ226" s="1779"/>
      <c r="AR226" s="1779"/>
      <c r="AS226" s="1779"/>
      <c r="AT226" s="1779"/>
      <c r="AU226" s="1779"/>
      <c r="AV226" s="1779"/>
      <c r="AW226" s="1779"/>
      <c r="AX226" s="1779"/>
      <c r="AY226" s="1779"/>
      <c r="AZ226" s="1779"/>
      <c r="BA226" s="1779"/>
      <c r="BB226" s="1779"/>
      <c r="BC226" s="1779"/>
      <c r="BD226" s="1779"/>
      <c r="BE226" s="1779"/>
      <c r="BF226" s="1779"/>
      <c r="BG226" s="1779"/>
      <c r="BH226" s="1779"/>
      <c r="BI226" s="1779"/>
      <c r="BJ226" s="1779"/>
      <c r="BK226" s="1779"/>
      <c r="BL226" s="1779"/>
      <c r="BM226" s="1779"/>
      <c r="BN226" s="1779"/>
      <c r="BO226" s="1779"/>
      <c r="BP226" s="1780"/>
      <c r="BQ226" s="1776"/>
      <c r="BR226" s="1776"/>
      <c r="BS226" s="1776"/>
      <c r="BT226" s="1776"/>
      <c r="BU226" s="1776"/>
      <c r="BV226" s="1776"/>
      <c r="BW226" s="1776"/>
      <c r="BX226" s="1776"/>
      <c r="BY226" s="1776"/>
      <c r="BZ226" s="1776"/>
      <c r="CA226" s="1776"/>
      <c r="CB226" s="1776"/>
      <c r="CC226" s="1776"/>
      <c r="CD226" s="1776"/>
      <c r="CE226" s="1776"/>
      <c r="CF226" s="1776"/>
      <c r="CG226" s="1776"/>
      <c r="CH226" s="1776"/>
      <c r="CI226" s="1776"/>
      <c r="CJ226" s="1776"/>
      <c r="CK226" s="1776"/>
      <c r="CL226" s="1776"/>
      <c r="CM226" s="1776"/>
      <c r="CN226" s="1777"/>
      <c r="CO226" s="1767"/>
    </row>
    <row r="227" spans="2:93" ht="28.5" x14ac:dyDescent="0.2">
      <c r="B227" s="1747"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27" s="1747" t="s">
        <v>1094</v>
      </c>
      <c r="D227" s="1747" t="s">
        <v>1093</v>
      </c>
      <c r="E227" s="1747" t="s">
        <v>987</v>
      </c>
      <c r="F227" s="1747" t="s">
        <v>1470</v>
      </c>
      <c r="G227" s="1747" t="s">
        <v>863</v>
      </c>
      <c r="H227" s="1747" t="s">
        <v>1456</v>
      </c>
      <c r="I227" s="1747" t="s">
        <v>105</v>
      </c>
      <c r="J227" s="1747" t="s">
        <v>236</v>
      </c>
      <c r="K227" s="1760">
        <v>2</v>
      </c>
      <c r="L227" s="1779"/>
      <c r="M227" s="1779"/>
      <c r="N227" s="1779">
        <v>0</v>
      </c>
      <c r="O227" s="1780">
        <v>0</v>
      </c>
      <c r="P227" s="1780">
        <v>0</v>
      </c>
      <c r="Q227" s="1779">
        <v>0</v>
      </c>
      <c r="R227" s="1779">
        <v>0</v>
      </c>
      <c r="S227" s="1779">
        <v>0</v>
      </c>
      <c r="T227" s="1779">
        <v>8.2515553457902513E-2</v>
      </c>
      <c r="U227" s="1779">
        <v>0.16407968182389965</v>
      </c>
      <c r="V227" s="1779">
        <v>0.24487850275429679</v>
      </c>
      <c r="W227" s="1779">
        <v>0.32484184945369776</v>
      </c>
      <c r="X227" s="1779">
        <v>0.40448195923669772</v>
      </c>
      <c r="Y227" s="1779">
        <v>0.48351424022659728</v>
      </c>
      <c r="Z227" s="1779">
        <v>0.65035519925210394</v>
      </c>
      <c r="AA227" s="1779">
        <v>0.81637284982870284</v>
      </c>
      <c r="AB227" s="1779">
        <v>0.98127089835109871</v>
      </c>
      <c r="AC227" s="1779">
        <v>1.1452933275225945</v>
      </c>
      <c r="AD227" s="1779">
        <v>1.3080505772406994</v>
      </c>
      <c r="AE227" s="1779">
        <v>1.4702390883104997</v>
      </c>
      <c r="AF227" s="1779">
        <v>1.6323996081031993</v>
      </c>
      <c r="AG227" s="1779">
        <v>1.7940493821994039</v>
      </c>
      <c r="AH227" s="1779">
        <v>1.9549959755456001</v>
      </c>
      <c r="AI227" s="1779">
        <v>2.1155827229424986</v>
      </c>
      <c r="AJ227" s="1779">
        <v>2.1665327494004956</v>
      </c>
      <c r="AK227" s="1779">
        <v>2.2175426628342976</v>
      </c>
      <c r="AL227" s="1779">
        <v>2.2680945840486046</v>
      </c>
      <c r="AM227" s="1779">
        <v>2.3182658481225005</v>
      </c>
      <c r="AN227" s="1779">
        <v>2.3684725729785043</v>
      </c>
      <c r="AO227" s="1779">
        <v>2.4188022837026963</v>
      </c>
      <c r="AP227" s="1779">
        <v>2.4689888323658025</v>
      </c>
      <c r="AQ227" s="1779"/>
      <c r="AR227" s="1779"/>
      <c r="AS227" s="1779"/>
      <c r="AT227" s="1779"/>
      <c r="AU227" s="1779"/>
      <c r="AV227" s="1779"/>
      <c r="AW227" s="1779"/>
      <c r="AX227" s="1779"/>
      <c r="AY227" s="1779"/>
      <c r="AZ227" s="1779"/>
      <c r="BA227" s="1779"/>
      <c r="BB227" s="1779"/>
      <c r="BC227" s="1779"/>
      <c r="BD227" s="1779"/>
      <c r="BE227" s="1779"/>
      <c r="BF227" s="1779"/>
      <c r="BG227" s="1779"/>
      <c r="BH227" s="1779"/>
      <c r="BI227" s="1779"/>
      <c r="BJ227" s="1779"/>
      <c r="BK227" s="1779"/>
      <c r="BL227" s="1779"/>
      <c r="BM227" s="1779"/>
      <c r="BN227" s="1779"/>
      <c r="BO227" s="1779"/>
      <c r="BP227" s="1780"/>
      <c r="BQ227" s="1776"/>
      <c r="BR227" s="1776"/>
      <c r="BS227" s="1776"/>
      <c r="BT227" s="1776"/>
      <c r="BU227" s="1776"/>
      <c r="BV227" s="1776"/>
      <c r="BW227" s="1776"/>
      <c r="BX227" s="1776"/>
      <c r="BY227" s="1776"/>
      <c r="BZ227" s="1776"/>
      <c r="CA227" s="1776"/>
      <c r="CB227" s="1776"/>
      <c r="CC227" s="1776"/>
      <c r="CD227" s="1776"/>
      <c r="CE227" s="1776"/>
      <c r="CF227" s="1776"/>
      <c r="CG227" s="1776"/>
      <c r="CH227" s="1776"/>
      <c r="CI227" s="1776"/>
      <c r="CJ227" s="1776"/>
      <c r="CK227" s="1776"/>
      <c r="CL227" s="1776"/>
      <c r="CM227" s="1776"/>
      <c r="CN227" s="1777"/>
      <c r="CO227" s="1767"/>
    </row>
    <row r="228" spans="2:93" ht="28.5" x14ac:dyDescent="0.2">
      <c r="B228" s="1747"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228" s="1747" t="s">
        <v>1096</v>
      </c>
      <c r="D228" s="1747" t="s">
        <v>1475</v>
      </c>
      <c r="E228" s="1747" t="s">
        <v>860</v>
      </c>
      <c r="F228" s="1747" t="s">
        <v>1471</v>
      </c>
      <c r="G228" s="1747" t="s">
        <v>863</v>
      </c>
      <c r="H228" s="1747" t="s">
        <v>1456</v>
      </c>
      <c r="I228" s="1747" t="s">
        <v>105</v>
      </c>
      <c r="J228" s="1747" t="s">
        <v>236</v>
      </c>
      <c r="K228" s="1760">
        <v>2</v>
      </c>
      <c r="L228" s="1779"/>
      <c r="M228" s="1779"/>
      <c r="N228" s="1779">
        <v>0</v>
      </c>
      <c r="O228" s="1780">
        <v>0</v>
      </c>
      <c r="P228" s="1780">
        <v>0</v>
      </c>
      <c r="Q228" s="1779">
        <v>0</v>
      </c>
      <c r="R228" s="1779">
        <v>2.0497010939743765E-2</v>
      </c>
      <c r="S228" s="1779">
        <v>2.8131052956422264E-2</v>
      </c>
      <c r="T228" s="1779">
        <v>9.7854674088195814E-3</v>
      </c>
      <c r="U228" s="1779">
        <v>-2.0179402831490112E-2</v>
      </c>
      <c r="V228" s="1779">
        <v>-3.3449196205928011E-2</v>
      </c>
      <c r="W228" s="1779">
        <v>-2.1372962654336192E-2</v>
      </c>
      <c r="X228" s="1779">
        <v>-6.954358139554806E-5</v>
      </c>
      <c r="Y228" s="1779">
        <v>2.1176585235679113E-2</v>
      </c>
      <c r="Z228" s="1779">
        <v>4.2354618941040423E-2</v>
      </c>
      <c r="AA228" s="1779">
        <v>6.3463175295519481E-2</v>
      </c>
      <c r="AB228" s="1779">
        <v>8.4468033114998065E-2</v>
      </c>
      <c r="AC228" s="1779">
        <v>0.10537309422437291</v>
      </c>
      <c r="AD228" s="1779">
        <v>0.12621569853705017</v>
      </c>
      <c r="AE228" s="1779">
        <v>0.14699737189668394</v>
      </c>
      <c r="AF228" s="1779">
        <v>0.16772764836791842</v>
      </c>
      <c r="AG228" s="1779">
        <v>0.18840041528255469</v>
      </c>
      <c r="AH228" s="1779">
        <v>0.20901849631826996</v>
      </c>
      <c r="AI228" s="1779">
        <v>0.22958098505130908</v>
      </c>
      <c r="AJ228" s="1779">
        <v>0.25008862554965239</v>
      </c>
      <c r="AK228" s="1779">
        <v>0.27054286884443735</v>
      </c>
      <c r="AL228" s="1779">
        <v>0.29094479727368583</v>
      </c>
      <c r="AM228" s="1779">
        <v>0.31129537924124362</v>
      </c>
      <c r="AN228" s="1779">
        <v>0.33159588466125323</v>
      </c>
      <c r="AO228" s="1779">
        <v>0.35184825930580232</v>
      </c>
      <c r="AP228" s="1779">
        <v>0.3720534466407468</v>
      </c>
      <c r="AQ228" s="1779"/>
      <c r="AR228" s="1779"/>
      <c r="AS228" s="1779"/>
      <c r="AT228" s="1779"/>
      <c r="AU228" s="1779"/>
      <c r="AV228" s="1779"/>
      <c r="AW228" s="1779"/>
      <c r="AX228" s="1779"/>
      <c r="AY228" s="1779"/>
      <c r="AZ228" s="1779"/>
      <c r="BA228" s="1779"/>
      <c r="BB228" s="1779"/>
      <c r="BC228" s="1779"/>
      <c r="BD228" s="1779"/>
      <c r="BE228" s="1779"/>
      <c r="BF228" s="1779"/>
      <c r="BG228" s="1779"/>
      <c r="BH228" s="1779"/>
      <c r="BI228" s="1779"/>
      <c r="BJ228" s="1779"/>
      <c r="BK228" s="1779"/>
      <c r="BL228" s="1779"/>
      <c r="BM228" s="1779"/>
      <c r="BN228" s="1779"/>
      <c r="BO228" s="1779"/>
      <c r="BP228" s="1780"/>
      <c r="BQ228" s="1776"/>
      <c r="BR228" s="1776"/>
      <c r="BS228" s="1776"/>
      <c r="BT228" s="1776"/>
      <c r="BU228" s="1776"/>
      <c r="BV228" s="1776"/>
      <c r="BW228" s="1776"/>
      <c r="BX228" s="1776"/>
      <c r="BY228" s="1776"/>
      <c r="BZ228" s="1776"/>
      <c r="CA228" s="1776"/>
      <c r="CB228" s="1776"/>
      <c r="CC228" s="1776"/>
      <c r="CD228" s="1776"/>
      <c r="CE228" s="1776"/>
      <c r="CF228" s="1776"/>
      <c r="CG228" s="1776"/>
      <c r="CH228" s="1776"/>
      <c r="CI228" s="1776"/>
      <c r="CJ228" s="1776"/>
      <c r="CK228" s="1776"/>
      <c r="CL228" s="1776"/>
      <c r="CM228" s="1776"/>
      <c r="CN228" s="1777"/>
      <c r="CO228" s="1767"/>
    </row>
    <row r="229" spans="2:93" ht="28.5" x14ac:dyDescent="0.2">
      <c r="B229" s="1747"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29" s="1747" t="s">
        <v>1098</v>
      </c>
      <c r="D229" s="1747" t="s">
        <v>1476</v>
      </c>
      <c r="E229" s="1747" t="s">
        <v>1099</v>
      </c>
      <c r="F229" s="1747" t="s">
        <v>1470</v>
      </c>
      <c r="G229" s="1747" t="s">
        <v>863</v>
      </c>
      <c r="H229" s="1747" t="s">
        <v>1456</v>
      </c>
      <c r="I229" s="1747" t="s">
        <v>105</v>
      </c>
      <c r="J229" s="1747" t="s">
        <v>236</v>
      </c>
      <c r="K229" s="1760">
        <v>2</v>
      </c>
      <c r="L229" s="1779"/>
      <c r="M229" s="1779"/>
      <c r="N229" s="1779">
        <v>0</v>
      </c>
      <c r="O229" s="1780">
        <v>0</v>
      </c>
      <c r="P229" s="1780">
        <v>0</v>
      </c>
      <c r="Q229" s="1779">
        <v>0</v>
      </c>
      <c r="R229" s="1779">
        <v>7.67658906025619E-3</v>
      </c>
      <c r="S229" s="1779">
        <v>2.8216147043577881E-2</v>
      </c>
      <c r="T229" s="1779">
        <v>7.4735332591180786E-2</v>
      </c>
      <c r="U229" s="1779">
        <v>0.13287380283149092</v>
      </c>
      <c r="V229" s="1779">
        <v>0.17431719620592837</v>
      </c>
      <c r="W229" s="1779">
        <v>0.19041456265433712</v>
      </c>
      <c r="X229" s="1779">
        <v>0.19728474358139669</v>
      </c>
      <c r="Y229" s="1779">
        <v>0.20421221476432208</v>
      </c>
      <c r="Z229" s="1779">
        <v>0.21120778105896068</v>
      </c>
      <c r="AA229" s="1779">
        <v>0.21827282470448189</v>
      </c>
      <c r="AB229" s="1779">
        <v>0.22544156688500333</v>
      </c>
      <c r="AC229" s="1779">
        <v>0.23271010577562865</v>
      </c>
      <c r="AD229" s="1779">
        <v>0.24004110146295188</v>
      </c>
      <c r="AE229" s="1779">
        <v>0.24743302810331808</v>
      </c>
      <c r="AF229" s="1779">
        <v>0.25487635163208355</v>
      </c>
      <c r="AG229" s="1779">
        <v>0.26237718471744731</v>
      </c>
      <c r="AH229" s="1779">
        <v>0.26993270368173239</v>
      </c>
      <c r="AI229" s="1779">
        <v>0.27754381494869351</v>
      </c>
      <c r="AJ229" s="1779">
        <v>0.28520977445035034</v>
      </c>
      <c r="AK229" s="1779">
        <v>0.29292913115556524</v>
      </c>
      <c r="AL229" s="1779">
        <v>0.30070080272631694</v>
      </c>
      <c r="AM229" s="1779">
        <v>0.30852382075875928</v>
      </c>
      <c r="AN229" s="1779">
        <v>0.31639691533875025</v>
      </c>
      <c r="AO229" s="1779">
        <v>0.32431814069420095</v>
      </c>
      <c r="AP229" s="1779">
        <v>0.33228655335925339</v>
      </c>
      <c r="AQ229" s="1779"/>
      <c r="AR229" s="1779"/>
      <c r="AS229" s="1779"/>
      <c r="AT229" s="1779"/>
      <c r="AU229" s="1779"/>
      <c r="AV229" s="1779"/>
      <c r="AW229" s="1779"/>
      <c r="AX229" s="1779"/>
      <c r="AY229" s="1779"/>
      <c r="AZ229" s="1779"/>
      <c r="BA229" s="1779"/>
      <c r="BB229" s="1779"/>
      <c r="BC229" s="1779"/>
      <c r="BD229" s="1779"/>
      <c r="BE229" s="1779"/>
      <c r="BF229" s="1779"/>
      <c r="BG229" s="1779"/>
      <c r="BH229" s="1779"/>
      <c r="BI229" s="1779"/>
      <c r="BJ229" s="1779"/>
      <c r="BK229" s="1779"/>
      <c r="BL229" s="1779"/>
      <c r="BM229" s="1779"/>
      <c r="BN229" s="1779"/>
      <c r="BO229" s="1779"/>
      <c r="BP229" s="1780"/>
      <c r="BQ229" s="1776"/>
      <c r="BR229" s="1776"/>
      <c r="BS229" s="1776"/>
      <c r="BT229" s="1776"/>
      <c r="BU229" s="1776"/>
      <c r="BV229" s="1776"/>
      <c r="BW229" s="1776"/>
      <c r="BX229" s="1776"/>
      <c r="BY229" s="1776"/>
      <c r="BZ229" s="1776"/>
      <c r="CA229" s="1776"/>
      <c r="CB229" s="1776"/>
      <c r="CC229" s="1776"/>
      <c r="CD229" s="1776"/>
      <c r="CE229" s="1776"/>
      <c r="CF229" s="1776"/>
      <c r="CG229" s="1776"/>
      <c r="CH229" s="1776"/>
      <c r="CI229" s="1776"/>
      <c r="CJ229" s="1776"/>
      <c r="CK229" s="1776"/>
      <c r="CL229" s="1776"/>
      <c r="CM229" s="1776"/>
      <c r="CN229" s="1777"/>
      <c r="CO229" s="1767"/>
    </row>
    <row r="230" spans="2:93" x14ac:dyDescent="0.2">
      <c r="B230" s="1747"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30" s="1747" t="s">
        <v>1101</v>
      </c>
      <c r="D230" s="1747" t="s">
        <v>1100</v>
      </c>
      <c r="E230" s="1747" t="s">
        <v>987</v>
      </c>
      <c r="F230" s="1747" t="s">
        <v>1470</v>
      </c>
      <c r="G230" s="1747" t="s">
        <v>863</v>
      </c>
      <c r="H230" s="1747" t="s">
        <v>1456</v>
      </c>
      <c r="I230" s="1747" t="s">
        <v>105</v>
      </c>
      <c r="J230" s="1747" t="s">
        <v>236</v>
      </c>
      <c r="K230" s="1760">
        <v>2</v>
      </c>
      <c r="L230" s="1779"/>
      <c r="M230" s="1779"/>
      <c r="N230" s="1779">
        <v>0</v>
      </c>
      <c r="O230" s="1780">
        <v>0</v>
      </c>
      <c r="P230" s="1780">
        <v>0</v>
      </c>
      <c r="Q230" s="1779">
        <v>0</v>
      </c>
      <c r="R230" s="1779">
        <v>0.25257693588520169</v>
      </c>
      <c r="S230" s="1779">
        <v>0.49882799262240241</v>
      </c>
      <c r="T230" s="1779">
        <v>0.74378934429770283</v>
      </c>
      <c r="U230" s="1779">
        <v>0.98604315710760204</v>
      </c>
      <c r="V230" s="1779">
        <v>1.225179929599399</v>
      </c>
      <c r="W230" s="1779">
        <v>1.4509385480722017</v>
      </c>
      <c r="X230" s="1779">
        <v>1.676369862340799</v>
      </c>
      <c r="Y230" s="1779">
        <v>1.9000674039495991</v>
      </c>
      <c r="Z230" s="1779">
        <v>2.1223668896390038</v>
      </c>
      <c r="AA230" s="1779">
        <v>2.3441617931386034</v>
      </c>
      <c r="AB230" s="1779">
        <v>2.4305043137698021</v>
      </c>
      <c r="AC230" s="1779">
        <v>2.5153173206977968</v>
      </c>
      <c r="AD230" s="1779">
        <v>2.5988126297306948</v>
      </c>
      <c r="AE230" s="1779">
        <v>2.6817251430360045</v>
      </c>
      <c r="AF230" s="1779">
        <v>2.7646238764292974</v>
      </c>
      <c r="AG230" s="1779">
        <v>2.8438534053828022</v>
      </c>
      <c r="AH230" s="1779">
        <v>2.9218919656768989</v>
      </c>
      <c r="AI230" s="1779">
        <v>2.9988949235553974</v>
      </c>
      <c r="AJ230" s="1779">
        <v>3.0749634105113017</v>
      </c>
      <c r="AK230" s="1779">
        <v>3.1499900735644033</v>
      </c>
      <c r="AL230" s="1779">
        <v>3.2207585398425991</v>
      </c>
      <c r="AM230" s="1779">
        <v>3.2903932078911993</v>
      </c>
      <c r="AN230" s="1779">
        <v>3.3593364266756041</v>
      </c>
      <c r="AO230" s="1779">
        <v>3.4276856509191944</v>
      </c>
      <c r="AP230" s="1779">
        <v>3.4157991428410028</v>
      </c>
      <c r="AQ230" s="1779"/>
      <c r="AR230" s="1779"/>
      <c r="AS230" s="1779"/>
      <c r="AT230" s="1779"/>
      <c r="AU230" s="1779"/>
      <c r="AV230" s="1779"/>
      <c r="AW230" s="1779"/>
      <c r="AX230" s="1779"/>
      <c r="AY230" s="1779"/>
      <c r="AZ230" s="1779"/>
      <c r="BA230" s="1779"/>
      <c r="BB230" s="1779"/>
      <c r="BC230" s="1779"/>
      <c r="BD230" s="1779"/>
      <c r="BE230" s="1779"/>
      <c r="BF230" s="1779"/>
      <c r="BG230" s="1779"/>
      <c r="BH230" s="1779"/>
      <c r="BI230" s="1779"/>
      <c r="BJ230" s="1779"/>
      <c r="BK230" s="1779"/>
      <c r="BL230" s="1779"/>
      <c r="BM230" s="1779"/>
      <c r="BN230" s="1779"/>
      <c r="BO230" s="1779"/>
      <c r="BP230" s="1780"/>
      <c r="BQ230" s="1776"/>
      <c r="BR230" s="1776"/>
      <c r="BS230" s="1776"/>
      <c r="BT230" s="1776"/>
      <c r="BU230" s="1776"/>
      <c r="BV230" s="1776"/>
      <c r="BW230" s="1776"/>
      <c r="BX230" s="1776"/>
      <c r="BY230" s="1776"/>
      <c r="BZ230" s="1776"/>
      <c r="CA230" s="1776"/>
      <c r="CB230" s="1776"/>
      <c r="CC230" s="1776"/>
      <c r="CD230" s="1776"/>
      <c r="CE230" s="1776"/>
      <c r="CF230" s="1776"/>
      <c r="CG230" s="1776"/>
      <c r="CH230" s="1776"/>
      <c r="CI230" s="1776"/>
      <c r="CJ230" s="1776"/>
      <c r="CK230" s="1776"/>
      <c r="CL230" s="1776"/>
      <c r="CM230" s="1776"/>
      <c r="CN230" s="1777"/>
      <c r="CO230" s="1767"/>
    </row>
    <row r="231" spans="2:93" x14ac:dyDescent="0.2">
      <c r="B231" s="1747"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31" s="1747" t="s">
        <v>1104</v>
      </c>
      <c r="D231" s="1747" t="s">
        <v>1103</v>
      </c>
      <c r="E231" s="1747" t="s">
        <v>987</v>
      </c>
      <c r="F231" s="1747" t="s">
        <v>1470</v>
      </c>
      <c r="G231" s="1747" t="s">
        <v>863</v>
      </c>
      <c r="H231" s="1747" t="s">
        <v>1456</v>
      </c>
      <c r="I231" s="1747" t="s">
        <v>105</v>
      </c>
      <c r="J231" s="1747" t="s">
        <v>236</v>
      </c>
      <c r="K231" s="1760">
        <v>2</v>
      </c>
      <c r="L231" s="1779"/>
      <c r="M231" s="1779"/>
      <c r="N231" s="1779">
        <v>0</v>
      </c>
      <c r="O231" s="1780">
        <v>0</v>
      </c>
      <c r="P231" s="1780">
        <v>0</v>
      </c>
      <c r="Q231" s="1779">
        <v>0</v>
      </c>
      <c r="R231" s="1779">
        <v>0.28555094136719816</v>
      </c>
      <c r="S231" s="1779">
        <v>0.35446774111889567</v>
      </c>
      <c r="T231" s="1779">
        <v>0.95865808336799319</v>
      </c>
      <c r="U231" s="1779">
        <v>1.3164992212216973</v>
      </c>
      <c r="V231" s="1779">
        <v>1.4754346027069971</v>
      </c>
      <c r="W231" s="1779">
        <v>1.5267061360423</v>
      </c>
      <c r="X231" s="1779">
        <v>1.5791017544779962</v>
      </c>
      <c r="Y231" s="1779">
        <v>1.6306333169791998</v>
      </c>
      <c r="Z231" s="1779">
        <v>1.6815239484833953</v>
      </c>
      <c r="AA231" s="1779">
        <v>1.6003097280812</v>
      </c>
      <c r="AB231" s="1779">
        <v>1.5925174293208002</v>
      </c>
      <c r="AC231" s="1779">
        <v>1.5847786730455979</v>
      </c>
      <c r="AD231" s="1779">
        <v>1.5771662131133013</v>
      </c>
      <c r="AE231" s="1779">
        <v>1.5699829866565977</v>
      </c>
      <c r="AF231" s="1779">
        <v>1.5634620165558033</v>
      </c>
      <c r="AG231" s="1779">
        <v>1.5571744706466006</v>
      </c>
      <c r="AH231" s="1779">
        <v>1.5509827174631994</v>
      </c>
      <c r="AI231" s="1779">
        <v>1.5449354671239988</v>
      </c>
      <c r="AJ231" s="1779">
        <v>1.5390586951676966</v>
      </c>
      <c r="AK231" s="1779">
        <v>1.5332876958231978</v>
      </c>
      <c r="AL231" s="1779">
        <v>1.5274919677142051</v>
      </c>
      <c r="AM231" s="1779">
        <v>1.5217092766380986</v>
      </c>
      <c r="AN231" s="1779">
        <v>1.5161173710787992</v>
      </c>
      <c r="AO231" s="1779">
        <v>1.5107438412202043</v>
      </c>
      <c r="AP231" s="1779">
        <v>1.5848782930185976</v>
      </c>
      <c r="AQ231" s="1779"/>
      <c r="AR231" s="1779"/>
      <c r="AS231" s="1779"/>
      <c r="AT231" s="1779"/>
      <c r="AU231" s="1779"/>
      <c r="AV231" s="1779"/>
      <c r="AW231" s="1779"/>
      <c r="AX231" s="1779"/>
      <c r="AY231" s="1779"/>
      <c r="AZ231" s="1779"/>
      <c r="BA231" s="1779"/>
      <c r="BB231" s="1779"/>
      <c r="BC231" s="1779"/>
      <c r="BD231" s="1779"/>
      <c r="BE231" s="1779"/>
      <c r="BF231" s="1779"/>
      <c r="BG231" s="1779"/>
      <c r="BH231" s="1779"/>
      <c r="BI231" s="1779"/>
      <c r="BJ231" s="1779"/>
      <c r="BK231" s="1779"/>
      <c r="BL231" s="1779"/>
      <c r="BM231" s="1779"/>
      <c r="BN231" s="1779"/>
      <c r="BO231" s="1779"/>
      <c r="BP231" s="1780"/>
      <c r="BQ231" s="1776"/>
      <c r="BR231" s="1776"/>
      <c r="BS231" s="1776"/>
      <c r="BT231" s="1776"/>
      <c r="BU231" s="1776"/>
      <c r="BV231" s="1776"/>
      <c r="BW231" s="1776"/>
      <c r="BX231" s="1776"/>
      <c r="BY231" s="1776"/>
      <c r="BZ231" s="1776"/>
      <c r="CA231" s="1776"/>
      <c r="CB231" s="1776"/>
      <c r="CC231" s="1776"/>
      <c r="CD231" s="1776"/>
      <c r="CE231" s="1776"/>
      <c r="CF231" s="1776"/>
      <c r="CG231" s="1776"/>
      <c r="CH231" s="1776"/>
      <c r="CI231" s="1776"/>
      <c r="CJ231" s="1776"/>
      <c r="CK231" s="1776"/>
      <c r="CL231" s="1776"/>
      <c r="CM231" s="1776"/>
      <c r="CN231" s="1777"/>
      <c r="CO231" s="1767"/>
    </row>
    <row r="232" spans="2:93" x14ac:dyDescent="0.2">
      <c r="B232" s="1747"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32" s="1747" t="s">
        <v>1106</v>
      </c>
      <c r="D232" s="1747" t="s">
        <v>1477</v>
      </c>
      <c r="E232" s="1747" t="s">
        <v>987</v>
      </c>
      <c r="F232" s="1747" t="s">
        <v>1470</v>
      </c>
      <c r="G232" s="1747" t="s">
        <v>863</v>
      </c>
      <c r="H232" s="1747" t="s">
        <v>1456</v>
      </c>
      <c r="I232" s="1747" t="s">
        <v>105</v>
      </c>
      <c r="J232" s="1747" t="s">
        <v>236</v>
      </c>
      <c r="K232" s="1760">
        <v>2</v>
      </c>
      <c r="L232" s="1779"/>
      <c r="M232" s="1779"/>
      <c r="N232" s="1779">
        <v>0</v>
      </c>
      <c r="O232" s="1780">
        <v>0</v>
      </c>
      <c r="P232" s="1780">
        <v>0</v>
      </c>
      <c r="Q232" s="1779">
        <v>0</v>
      </c>
      <c r="R232" s="1779">
        <v>6.3419152101005238E-2</v>
      </c>
      <c r="S232" s="1779">
        <v>0.1268383042019039</v>
      </c>
      <c r="T232" s="1779">
        <v>0.19025745630290203</v>
      </c>
      <c r="U232" s="1779">
        <v>0.25367660840390016</v>
      </c>
      <c r="V232" s="1779">
        <v>0.31709576050479882</v>
      </c>
      <c r="W232" s="1779">
        <v>0.45303480806529706</v>
      </c>
      <c r="X232" s="1779">
        <v>0.58897385562569582</v>
      </c>
      <c r="Y232" s="1779">
        <v>0.72491290318619406</v>
      </c>
      <c r="Z232" s="1779">
        <v>0.8608519507466994</v>
      </c>
      <c r="AA232" s="1779">
        <v>0.99679099830720475</v>
      </c>
      <c r="AB232" s="1779">
        <v>1.1230633373484977</v>
      </c>
      <c r="AC232" s="1779">
        <v>1.2493356763896983</v>
      </c>
      <c r="AD232" s="1779">
        <v>1.3756080154309984</v>
      </c>
      <c r="AE232" s="1779">
        <v>1.3756080154309984</v>
      </c>
      <c r="AF232" s="1779">
        <v>1.3756080154309984</v>
      </c>
      <c r="AG232" s="1779">
        <v>1.375608015431105</v>
      </c>
      <c r="AH232" s="1779">
        <v>1.3756080154309984</v>
      </c>
      <c r="AI232" s="1779">
        <v>1.3756080154309984</v>
      </c>
      <c r="AJ232" s="1779">
        <v>1.3756080154309984</v>
      </c>
      <c r="AK232" s="1779">
        <v>1.3756080154309984</v>
      </c>
      <c r="AL232" s="1779">
        <v>1.375608015431105</v>
      </c>
      <c r="AM232" s="1779">
        <v>1.3756080154309984</v>
      </c>
      <c r="AN232" s="1779">
        <v>1.3756080154309984</v>
      </c>
      <c r="AO232" s="1779">
        <v>1.3756080154309984</v>
      </c>
      <c r="AP232" s="1779">
        <v>1.3756080154310055</v>
      </c>
      <c r="AQ232" s="1779"/>
      <c r="AR232" s="1779"/>
      <c r="AS232" s="1779"/>
      <c r="AT232" s="1779"/>
      <c r="AU232" s="1779"/>
      <c r="AV232" s="1779"/>
      <c r="AW232" s="1779"/>
      <c r="AX232" s="1779"/>
      <c r="AY232" s="1779"/>
      <c r="AZ232" s="1779"/>
      <c r="BA232" s="1779"/>
      <c r="BB232" s="1779"/>
      <c r="BC232" s="1779"/>
      <c r="BD232" s="1779"/>
      <c r="BE232" s="1779"/>
      <c r="BF232" s="1779"/>
      <c r="BG232" s="1779"/>
      <c r="BH232" s="1779"/>
      <c r="BI232" s="1779"/>
      <c r="BJ232" s="1779"/>
      <c r="BK232" s="1779"/>
      <c r="BL232" s="1779"/>
      <c r="BM232" s="1779"/>
      <c r="BN232" s="1779"/>
      <c r="BO232" s="1779"/>
      <c r="BP232" s="1780"/>
      <c r="BQ232" s="1776"/>
      <c r="BR232" s="1776"/>
      <c r="BS232" s="1776"/>
      <c r="BT232" s="1776"/>
      <c r="BU232" s="1776"/>
      <c r="BV232" s="1776"/>
      <c r="BW232" s="1776"/>
      <c r="BX232" s="1776"/>
      <c r="BY232" s="1776"/>
      <c r="BZ232" s="1776"/>
      <c r="CA232" s="1776"/>
      <c r="CB232" s="1776"/>
      <c r="CC232" s="1776"/>
      <c r="CD232" s="1776"/>
      <c r="CE232" s="1776"/>
      <c r="CF232" s="1776"/>
      <c r="CG232" s="1776"/>
      <c r="CH232" s="1776"/>
      <c r="CI232" s="1776"/>
      <c r="CJ232" s="1776"/>
      <c r="CK232" s="1776"/>
      <c r="CL232" s="1776"/>
      <c r="CM232" s="1776"/>
      <c r="CN232" s="1777"/>
      <c r="CO232" s="1767"/>
    </row>
    <row r="233" spans="2:93" ht="28.5" x14ac:dyDescent="0.2">
      <c r="B233" s="1747"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52dP</v>
      </c>
      <c r="C233" s="1703" t="s">
        <v>972</v>
      </c>
      <c r="D233" s="1703" t="s">
        <v>1088</v>
      </c>
      <c r="E233" s="1707" t="s">
        <v>973</v>
      </c>
      <c r="F233" s="1747" t="str">
        <f>VLOOKUP(TBL5_OptBen[[#This Row],[Option Type (defined list)]],'Option Typs_Grps'!B$2:C$47, 2, FALSE)</f>
        <v>Customer Options</v>
      </c>
      <c r="G233" s="1747" t="s">
        <v>863</v>
      </c>
      <c r="H233" s="1747" t="s">
        <v>876</v>
      </c>
      <c r="I233" s="1747" t="s">
        <v>102</v>
      </c>
      <c r="J233" s="1747" t="s">
        <v>236</v>
      </c>
      <c r="K233" s="1760">
        <v>2</v>
      </c>
      <c r="L233" s="1779"/>
      <c r="M233" s="1779"/>
      <c r="N233" s="1779">
        <v>0</v>
      </c>
      <c r="O233" s="1780">
        <v>4.2756956085342601</v>
      </c>
      <c r="P233" s="1780">
        <v>4.09987831560119</v>
      </c>
      <c r="Q233" s="1779">
        <v>4.0759494718184097</v>
      </c>
      <c r="R233" s="1779">
        <v>3.8978231189529904</v>
      </c>
      <c r="S233" s="1779">
        <v>3.8621878662638505</v>
      </c>
      <c r="T233" s="1779">
        <v>3.8730037458603306</v>
      </c>
      <c r="U233" s="1779">
        <v>3.8838711888694597</v>
      </c>
      <c r="V233" s="1779">
        <v>3.8941135151785602</v>
      </c>
      <c r="W233" s="1779">
        <v>3.9043053874683409</v>
      </c>
      <c r="X233" s="1779">
        <v>3.9143938815194712</v>
      </c>
      <c r="Y233" s="1779">
        <v>0</v>
      </c>
      <c r="Z233" s="1779">
        <v>0</v>
      </c>
      <c r="AA233" s="1779">
        <v>0</v>
      </c>
      <c r="AB233" s="1779">
        <v>0</v>
      </c>
      <c r="AC233" s="1779">
        <v>0</v>
      </c>
      <c r="AD233" s="1779">
        <v>0</v>
      </c>
      <c r="AE233" s="1779">
        <v>0</v>
      </c>
      <c r="AF233" s="1779">
        <v>0</v>
      </c>
      <c r="AG233" s="1779">
        <v>0</v>
      </c>
      <c r="AH233" s="1779">
        <v>0</v>
      </c>
      <c r="AI233" s="1779">
        <v>0</v>
      </c>
      <c r="AJ233" s="1779">
        <v>0</v>
      </c>
      <c r="AK233" s="1779">
        <v>0</v>
      </c>
      <c r="AL233" s="1779">
        <v>0</v>
      </c>
      <c r="AM233" s="1779">
        <v>0</v>
      </c>
      <c r="AN233" s="1779">
        <v>0</v>
      </c>
      <c r="AO233" s="1779">
        <v>0</v>
      </c>
      <c r="AP233" s="1779">
        <v>0</v>
      </c>
      <c r="AQ233" s="1779"/>
      <c r="AR233" s="1779"/>
      <c r="AS233" s="1779"/>
      <c r="AT233" s="1779"/>
      <c r="AU233" s="1779"/>
      <c r="AV233" s="1779"/>
      <c r="AW233" s="1779"/>
      <c r="AX233" s="1779"/>
      <c r="AY233" s="1779"/>
      <c r="AZ233" s="1779"/>
      <c r="BA233" s="1779"/>
      <c r="BB233" s="1779"/>
      <c r="BC233" s="1779"/>
      <c r="BD233" s="1779"/>
      <c r="BE233" s="1779"/>
      <c r="BF233" s="1779"/>
      <c r="BG233" s="1779"/>
      <c r="BH233" s="1779"/>
      <c r="BI233" s="1779"/>
      <c r="BJ233" s="1779"/>
      <c r="BK233" s="1779"/>
      <c r="BL233" s="1779"/>
      <c r="BM233" s="1779"/>
      <c r="BN233" s="1779"/>
      <c r="BO233" s="1779"/>
      <c r="BP233" s="1780"/>
      <c r="BQ233" s="1776"/>
      <c r="BR233" s="1776"/>
      <c r="BS233" s="1776"/>
      <c r="BT233" s="1776"/>
      <c r="BU233" s="1776"/>
      <c r="BV233" s="1776"/>
      <c r="BW233" s="1776"/>
      <c r="BX233" s="1776"/>
      <c r="BY233" s="1776"/>
      <c r="BZ233" s="1776"/>
      <c r="CA233" s="1776"/>
      <c r="CB233" s="1776"/>
      <c r="CC233" s="1776"/>
      <c r="CD233" s="1776"/>
      <c r="CE233" s="1776"/>
      <c r="CF233" s="1776"/>
      <c r="CG233" s="1776"/>
      <c r="CH233" s="1776"/>
      <c r="CI233" s="1776"/>
      <c r="CJ233" s="1776"/>
      <c r="CK233" s="1776"/>
      <c r="CL233" s="1776"/>
      <c r="CM233" s="1776"/>
      <c r="CN233" s="1777"/>
      <c r="CO233" s="1767"/>
    </row>
    <row r="234" spans="2:93" ht="28.5" x14ac:dyDescent="0.2">
      <c r="B234" s="1747"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34" s="1703" t="s">
        <v>1108</v>
      </c>
      <c r="D234" s="1703" t="s">
        <v>1107</v>
      </c>
      <c r="E234" s="1707" t="s">
        <v>973</v>
      </c>
      <c r="F234" s="1747" t="str">
        <f>VLOOKUP(TBL5_OptBen[[#This Row],[Option Type (defined list)]],'Option Typs_Grps'!B$2:C$47, 2, FALSE)</f>
        <v>Customer Options</v>
      </c>
      <c r="G234" s="1747" t="s">
        <v>863</v>
      </c>
      <c r="H234" s="1747" t="s">
        <v>1456</v>
      </c>
      <c r="I234" s="1747" t="s">
        <v>102</v>
      </c>
      <c r="J234" s="1747" t="s">
        <v>236</v>
      </c>
      <c r="K234" s="1760">
        <v>2</v>
      </c>
      <c r="L234" s="1779"/>
      <c r="M234" s="1779"/>
      <c r="N234" s="1779">
        <v>0</v>
      </c>
      <c r="O234" s="1780">
        <v>4.275695608534301</v>
      </c>
      <c r="P234" s="1780">
        <v>4.0998783156012006</v>
      </c>
      <c r="Q234" s="1779">
        <v>4.0759494718184008</v>
      </c>
      <c r="R234" s="1779">
        <v>3.8978231189529993</v>
      </c>
      <c r="S234" s="1779">
        <v>3.862187866263799</v>
      </c>
      <c r="T234" s="1779">
        <v>3.8730037458603004</v>
      </c>
      <c r="U234" s="1779">
        <v>3.8838711888694011</v>
      </c>
      <c r="V234" s="1779">
        <v>3.8941135151785993</v>
      </c>
      <c r="W234" s="1779">
        <v>3.9043053874683</v>
      </c>
      <c r="X234" s="1779">
        <v>3.9143938815194996</v>
      </c>
      <c r="Y234" s="1779">
        <v>0</v>
      </c>
      <c r="Z234" s="1779">
        <v>0</v>
      </c>
      <c r="AA234" s="1779">
        <v>0</v>
      </c>
      <c r="AB234" s="1779">
        <v>0</v>
      </c>
      <c r="AC234" s="1779">
        <v>0</v>
      </c>
      <c r="AD234" s="1779">
        <v>0</v>
      </c>
      <c r="AE234" s="1779">
        <v>0</v>
      </c>
      <c r="AF234" s="1779">
        <v>0</v>
      </c>
      <c r="AG234" s="1779">
        <v>0</v>
      </c>
      <c r="AH234" s="1779">
        <v>0</v>
      </c>
      <c r="AI234" s="1779">
        <v>0</v>
      </c>
      <c r="AJ234" s="1779">
        <v>0</v>
      </c>
      <c r="AK234" s="1779">
        <v>0</v>
      </c>
      <c r="AL234" s="1779">
        <v>0</v>
      </c>
      <c r="AM234" s="1779">
        <v>0</v>
      </c>
      <c r="AN234" s="1779">
        <v>0</v>
      </c>
      <c r="AO234" s="1779">
        <v>0</v>
      </c>
      <c r="AP234" s="1779">
        <v>0</v>
      </c>
      <c r="AQ234" s="1779"/>
      <c r="AR234" s="1779"/>
      <c r="AS234" s="1779"/>
      <c r="AT234" s="1779"/>
      <c r="AU234" s="1779"/>
      <c r="AV234" s="1779"/>
      <c r="AW234" s="1779"/>
      <c r="AX234" s="1779"/>
      <c r="AY234" s="1779"/>
      <c r="AZ234" s="1779"/>
      <c r="BA234" s="1779"/>
      <c r="BB234" s="1779"/>
      <c r="BC234" s="1779"/>
      <c r="BD234" s="1779"/>
      <c r="BE234" s="1779"/>
      <c r="BF234" s="1779"/>
      <c r="BG234" s="1779"/>
      <c r="BH234" s="1779"/>
      <c r="BI234" s="1779"/>
      <c r="BJ234" s="1779"/>
      <c r="BK234" s="1779"/>
      <c r="BL234" s="1779"/>
      <c r="BM234" s="1779"/>
      <c r="BN234" s="1779"/>
      <c r="BO234" s="1779"/>
      <c r="BP234" s="1780"/>
      <c r="BQ234" s="1776"/>
      <c r="BR234" s="1776"/>
      <c r="BS234" s="1776"/>
      <c r="BT234" s="1776"/>
      <c r="BU234" s="1776"/>
      <c r="BV234" s="1776"/>
      <c r="BW234" s="1776"/>
      <c r="BX234" s="1776"/>
      <c r="BY234" s="1776"/>
      <c r="BZ234" s="1776"/>
      <c r="CA234" s="1776"/>
      <c r="CB234" s="1776"/>
      <c r="CC234" s="1776"/>
      <c r="CD234" s="1776"/>
      <c r="CE234" s="1776"/>
      <c r="CF234" s="1776"/>
      <c r="CG234" s="1776"/>
      <c r="CH234" s="1776"/>
      <c r="CI234" s="1776"/>
      <c r="CJ234" s="1776"/>
      <c r="CK234" s="1776"/>
      <c r="CL234" s="1776"/>
      <c r="CM234" s="1776"/>
      <c r="CN234" s="1777"/>
      <c r="CO234" s="1767"/>
    </row>
    <row r="235" spans="2:93" ht="15" x14ac:dyDescent="0.25">
      <c r="B235" s="1747"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35" s="1703" t="s">
        <v>1067</v>
      </c>
      <c r="D235" s="1765" t="s">
        <v>1066</v>
      </c>
      <c r="E235" s="1723" t="s">
        <v>1068</v>
      </c>
      <c r="F235" s="1747" t="str">
        <f>VLOOKUP(TBL5_OptBen[[#This Row],[Option Type (defined list)]],'Option Typs_Grps'!B$2:C$47, 2, FALSE)</f>
        <v>Customer Options</v>
      </c>
      <c r="G235" s="1747" t="s">
        <v>863</v>
      </c>
      <c r="H235" s="1747" t="s">
        <v>1460</v>
      </c>
      <c r="I235" s="1747" t="s">
        <v>88</v>
      </c>
      <c r="J235" s="1747" t="s">
        <v>236</v>
      </c>
      <c r="K235" s="1760">
        <v>2</v>
      </c>
      <c r="L235" s="1779"/>
      <c r="M235" s="1779"/>
      <c r="N235" s="1779">
        <v>0</v>
      </c>
      <c r="O235" s="1780">
        <v>0</v>
      </c>
      <c r="P235" s="1780">
        <v>0</v>
      </c>
      <c r="Q235" s="1779">
        <v>0</v>
      </c>
      <c r="R235" s="1779">
        <v>0.25548594418635373</v>
      </c>
      <c r="S235" s="1779">
        <v>-3.092069346680848E-2</v>
      </c>
      <c r="T235" s="1779">
        <v>8.884789488267586E-2</v>
      </c>
      <c r="U235" s="1779">
        <v>0.76192657355699822</v>
      </c>
      <c r="V235" s="1779">
        <v>1.3909079865855531</v>
      </c>
      <c r="W235" s="1779">
        <v>1.9029789757946176</v>
      </c>
      <c r="X235" s="1779">
        <v>2.3650971410544912</v>
      </c>
      <c r="Y235" s="1779">
        <v>2.7945724268152823</v>
      </c>
      <c r="Z235" s="1779">
        <v>3.1804383747871654</v>
      </c>
      <c r="AA235" s="1779">
        <v>3.5142260703109685</v>
      </c>
      <c r="AB235" s="1779">
        <v>3.3434916559364609</v>
      </c>
      <c r="AC235" s="1779">
        <v>3.0945582750446405</v>
      </c>
      <c r="AD235" s="1779">
        <v>2.9865524585861607</v>
      </c>
      <c r="AE235" s="1779">
        <v>2.8827633376370372</v>
      </c>
      <c r="AF235" s="1779">
        <v>2.782344085523988</v>
      </c>
      <c r="AG235" s="1779">
        <v>3.3149737036035347</v>
      </c>
      <c r="AH235" s="1779">
        <v>3.2089435296160147</v>
      </c>
      <c r="AI235" s="1779">
        <v>3.1079558430222036</v>
      </c>
      <c r="AJ235" s="1779">
        <v>3.0208934997324519</v>
      </c>
      <c r="AK235" s="1779">
        <v>2.9369146499209364</v>
      </c>
      <c r="AL235" s="1779">
        <v>2.3887513428359881</v>
      </c>
      <c r="AM235" s="1779">
        <v>3.2271296088724739</v>
      </c>
      <c r="AN235" s="1779">
        <v>3.1649748097323567</v>
      </c>
      <c r="AO235" s="1779">
        <v>3.5425899547780375</v>
      </c>
      <c r="AP235" s="1779">
        <v>3.480406096233537</v>
      </c>
      <c r="AQ235" s="1779"/>
      <c r="AR235" s="1779"/>
      <c r="AS235" s="1779"/>
      <c r="AT235" s="1779"/>
      <c r="AU235" s="1779"/>
      <c r="AV235" s="1779"/>
      <c r="AW235" s="1779"/>
      <c r="AX235" s="1779"/>
      <c r="AY235" s="1779"/>
      <c r="AZ235" s="1779"/>
      <c r="BA235" s="1779"/>
      <c r="BB235" s="1779"/>
      <c r="BC235" s="1779"/>
      <c r="BD235" s="1779"/>
      <c r="BE235" s="1779"/>
      <c r="BF235" s="1779"/>
      <c r="BG235" s="1779"/>
      <c r="BH235" s="1779"/>
      <c r="BI235" s="1779"/>
      <c r="BJ235" s="1779"/>
      <c r="BK235" s="1779"/>
      <c r="BL235" s="1779"/>
      <c r="BM235" s="1779"/>
      <c r="BN235" s="1779"/>
      <c r="BO235" s="1779"/>
      <c r="BP235" s="1780"/>
      <c r="BQ235" s="1776"/>
      <c r="BR235" s="1776"/>
      <c r="BS235" s="1776"/>
      <c r="BT235" s="1776"/>
      <c r="BU235" s="1776"/>
      <c r="BV235" s="1776"/>
      <c r="BW235" s="1776"/>
      <c r="BX235" s="1776"/>
      <c r="BY235" s="1776"/>
      <c r="BZ235" s="1776"/>
      <c r="CA235" s="1776"/>
      <c r="CB235" s="1776"/>
      <c r="CC235" s="1776"/>
      <c r="CD235" s="1776"/>
      <c r="CE235" s="1776"/>
      <c r="CF235" s="1776"/>
      <c r="CG235" s="1776"/>
      <c r="CH235" s="1776"/>
      <c r="CI235" s="1776"/>
      <c r="CJ235" s="1776"/>
      <c r="CK235" s="1776"/>
      <c r="CL235" s="1776"/>
      <c r="CM235" s="1776"/>
      <c r="CN235" s="1777"/>
      <c r="CO235" s="1767"/>
    </row>
    <row r="236" spans="2:93" ht="15" x14ac:dyDescent="0.25">
      <c r="B236" s="1747"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36" s="1703" t="s">
        <v>1075</v>
      </c>
      <c r="D236" s="1765" t="s">
        <v>1074</v>
      </c>
      <c r="E236" s="1723" t="s">
        <v>987</v>
      </c>
      <c r="F236" s="1747" t="str">
        <f>VLOOKUP(TBL5_OptBen[[#This Row],[Option Type (defined list)]],'Option Typs_Grps'!B$2:C$47, 2, FALSE)</f>
        <v>Customer Options</v>
      </c>
      <c r="G236" s="1747" t="s">
        <v>863</v>
      </c>
      <c r="H236" s="1747" t="s">
        <v>1460</v>
      </c>
      <c r="I236" s="1747" t="s">
        <v>88</v>
      </c>
      <c r="J236" s="1747" t="s">
        <v>236</v>
      </c>
      <c r="K236" s="1760">
        <v>2</v>
      </c>
      <c r="L236" s="1779"/>
      <c r="M236" s="1779"/>
      <c r="N236" s="1779">
        <v>0</v>
      </c>
      <c r="O236" s="1780">
        <v>0</v>
      </c>
      <c r="P236" s="1780">
        <v>0</v>
      </c>
      <c r="Q236" s="1779">
        <v>0</v>
      </c>
      <c r="R236" s="1779">
        <v>1.7845553514899848</v>
      </c>
      <c r="S236" s="1779">
        <v>3.5427161896240023</v>
      </c>
      <c r="T236" s="1779">
        <v>5.301341843348041</v>
      </c>
      <c r="U236" s="1779">
        <v>7.0548901413500289</v>
      </c>
      <c r="V236" s="1779">
        <v>8.8017889097570219</v>
      </c>
      <c r="W236" s="1779">
        <v>10.429981474727015</v>
      </c>
      <c r="X236" s="1779">
        <v>12.068957709225003</v>
      </c>
      <c r="Y236" s="1779">
        <v>13.674687179018008</v>
      </c>
      <c r="Z236" s="1779">
        <v>15.294847217407039</v>
      </c>
      <c r="AA236" s="1779">
        <v>16.879356808488012</v>
      </c>
      <c r="AB236" s="1779">
        <v>18.44385474211299</v>
      </c>
      <c r="AC236" s="1779">
        <v>20.00352694480398</v>
      </c>
      <c r="AD236" s="1779">
        <v>21.562955433935031</v>
      </c>
      <c r="AE236" s="1779">
        <v>23.122440401790982</v>
      </c>
      <c r="AF236" s="1779">
        <v>24.682466350742004</v>
      </c>
      <c r="AG236" s="1779">
        <v>25.957712072483048</v>
      </c>
      <c r="AH236" s="1779">
        <v>27.439454714885017</v>
      </c>
      <c r="AI236" s="1779">
        <v>28.918699829364982</v>
      </c>
      <c r="AJ236" s="1779">
        <v>30.404427840733035</v>
      </c>
      <c r="AK236" s="1779">
        <v>31.895840944686995</v>
      </c>
      <c r="AL236" s="1779">
        <v>31.788858451086014</v>
      </c>
      <c r="AM236" s="1779">
        <v>31.332790846662988</v>
      </c>
      <c r="AN236" s="1779">
        <v>31.309348296239989</v>
      </c>
      <c r="AO236" s="1779">
        <v>31.076947050443039</v>
      </c>
      <c r="AP236" s="1779">
        <v>31.057228542454993</v>
      </c>
      <c r="AQ236" s="1779"/>
      <c r="AR236" s="1779"/>
      <c r="AS236" s="1779"/>
      <c r="AT236" s="1779"/>
      <c r="AU236" s="1779"/>
      <c r="AV236" s="1779"/>
      <c r="AW236" s="1779"/>
      <c r="AX236" s="1779"/>
      <c r="AY236" s="1779"/>
      <c r="AZ236" s="1779"/>
      <c r="BA236" s="1779"/>
      <c r="BB236" s="1779"/>
      <c r="BC236" s="1779"/>
      <c r="BD236" s="1779"/>
      <c r="BE236" s="1779"/>
      <c r="BF236" s="1779"/>
      <c r="BG236" s="1779"/>
      <c r="BH236" s="1779"/>
      <c r="BI236" s="1779"/>
      <c r="BJ236" s="1779"/>
      <c r="BK236" s="1779"/>
      <c r="BL236" s="1779"/>
      <c r="BM236" s="1779"/>
      <c r="BN236" s="1779"/>
      <c r="BO236" s="1779"/>
      <c r="BP236" s="1780"/>
      <c r="BQ236" s="1776"/>
      <c r="BR236" s="1776"/>
      <c r="BS236" s="1776"/>
      <c r="BT236" s="1776"/>
      <c r="BU236" s="1776"/>
      <c r="BV236" s="1776"/>
      <c r="BW236" s="1776"/>
      <c r="BX236" s="1776"/>
      <c r="BY236" s="1776"/>
      <c r="BZ236" s="1776"/>
      <c r="CA236" s="1776"/>
      <c r="CB236" s="1776"/>
      <c r="CC236" s="1776"/>
      <c r="CD236" s="1776"/>
      <c r="CE236" s="1776"/>
      <c r="CF236" s="1776"/>
      <c r="CG236" s="1776"/>
      <c r="CH236" s="1776"/>
      <c r="CI236" s="1776"/>
      <c r="CJ236" s="1776"/>
      <c r="CK236" s="1776"/>
      <c r="CL236" s="1776"/>
      <c r="CM236" s="1776"/>
      <c r="CN236" s="1777"/>
      <c r="CO236" s="1767"/>
    </row>
    <row r="237" spans="2:93" x14ac:dyDescent="0.2">
      <c r="B237" s="1747"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37" s="1707" t="s">
        <v>1123</v>
      </c>
      <c r="D237" s="1765" t="s">
        <v>1122</v>
      </c>
      <c r="E237" s="1714" t="s">
        <v>987</v>
      </c>
      <c r="F237" s="1747" t="str">
        <f>VLOOKUP(TBL5_OptBen[[#This Row],[Option Type (defined list)]],'Option Typs_Grps'!B$2:C$47, 2, FALSE)</f>
        <v>Customer Options</v>
      </c>
      <c r="G237" s="1747" t="s">
        <v>863</v>
      </c>
      <c r="H237" s="1747" t="s">
        <v>1460</v>
      </c>
      <c r="I237" s="1747" t="s">
        <v>88</v>
      </c>
      <c r="J237" s="1747" t="s">
        <v>236</v>
      </c>
      <c r="K237" s="1760">
        <v>2</v>
      </c>
      <c r="L237" s="1779"/>
      <c r="M237" s="1779"/>
      <c r="N237" s="1779">
        <v>0</v>
      </c>
      <c r="O237" s="1780">
        <v>0</v>
      </c>
      <c r="P237" s="1780">
        <v>0</v>
      </c>
      <c r="Q237" s="1779">
        <v>0</v>
      </c>
      <c r="R237" s="1779">
        <v>0.3924923376629863</v>
      </c>
      <c r="S237" s="1779">
        <v>0.89869818923500588</v>
      </c>
      <c r="T237" s="1779">
        <v>1.4329337923949765</v>
      </c>
      <c r="U237" s="1779">
        <v>2.0498898722319723</v>
      </c>
      <c r="V237" s="1779">
        <v>2.6688176557329939</v>
      </c>
      <c r="W237" s="1779">
        <v>3.3308395793119985</v>
      </c>
      <c r="X237" s="1779">
        <v>3.9953987912889488</v>
      </c>
      <c r="Y237" s="1779">
        <v>4.6481904925039998</v>
      </c>
      <c r="Z237" s="1779">
        <v>5.3052100090949921</v>
      </c>
      <c r="AA237" s="1779">
        <v>5.9492754186389902</v>
      </c>
      <c r="AB237" s="1779">
        <v>5.9340687684090199</v>
      </c>
      <c r="AC237" s="1779">
        <v>5.9198723915180267</v>
      </c>
      <c r="AD237" s="1779">
        <v>5.9077166858349983</v>
      </c>
      <c r="AE237" s="1779">
        <v>5.897255206924001</v>
      </c>
      <c r="AF237" s="1779">
        <v>5.8882750428390409</v>
      </c>
      <c r="AG237" s="1779">
        <v>5.827184490149989</v>
      </c>
      <c r="AH237" s="1779">
        <v>5.8166739062820056</v>
      </c>
      <c r="AI237" s="1779">
        <v>5.8067710572390183</v>
      </c>
      <c r="AJ237" s="1779">
        <v>5.799097413977961</v>
      </c>
      <c r="AK237" s="1779">
        <v>5.7931888720469829</v>
      </c>
      <c r="AL237" s="1779">
        <v>5.77375781856</v>
      </c>
      <c r="AM237" s="1779">
        <v>5.690923013375027</v>
      </c>
      <c r="AN237" s="1779">
        <v>5.6866651816879994</v>
      </c>
      <c r="AO237" s="1779">
        <v>5.6444545275359701</v>
      </c>
      <c r="AP237" s="1779">
        <v>5.6408730875230049</v>
      </c>
      <c r="AQ237" s="1779"/>
      <c r="AR237" s="1779"/>
      <c r="AS237" s="1779"/>
      <c r="AT237" s="1779"/>
      <c r="AU237" s="1779"/>
      <c r="AV237" s="1779"/>
      <c r="AW237" s="1779"/>
      <c r="AX237" s="1779"/>
      <c r="AY237" s="1779"/>
      <c r="AZ237" s="1779"/>
      <c r="BA237" s="1779"/>
      <c r="BB237" s="1779"/>
      <c r="BC237" s="1779"/>
      <c r="BD237" s="1779"/>
      <c r="BE237" s="1779"/>
      <c r="BF237" s="1779"/>
      <c r="BG237" s="1779"/>
      <c r="BH237" s="1779"/>
      <c r="BI237" s="1779"/>
      <c r="BJ237" s="1779"/>
      <c r="BK237" s="1779"/>
      <c r="BL237" s="1779"/>
      <c r="BM237" s="1779"/>
      <c r="BN237" s="1779"/>
      <c r="BO237" s="1779"/>
      <c r="BP237" s="1780"/>
      <c r="BQ237" s="1776"/>
      <c r="BR237" s="1776"/>
      <c r="BS237" s="1776"/>
      <c r="BT237" s="1776"/>
      <c r="BU237" s="1776"/>
      <c r="BV237" s="1776"/>
      <c r="BW237" s="1776"/>
      <c r="BX237" s="1776"/>
      <c r="BY237" s="1776"/>
      <c r="BZ237" s="1776"/>
      <c r="CA237" s="1776"/>
      <c r="CB237" s="1776"/>
      <c r="CC237" s="1776"/>
      <c r="CD237" s="1776"/>
      <c r="CE237" s="1776"/>
      <c r="CF237" s="1776"/>
      <c r="CG237" s="1776"/>
      <c r="CH237" s="1776"/>
      <c r="CI237" s="1776"/>
      <c r="CJ237" s="1776"/>
      <c r="CK237" s="1776"/>
      <c r="CL237" s="1776"/>
      <c r="CM237" s="1776"/>
      <c r="CN237" s="1777"/>
      <c r="CO237" s="1767"/>
    </row>
    <row r="238" spans="2:93" x14ac:dyDescent="0.2">
      <c r="B238" s="1747"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238" s="1703" t="s">
        <v>1082</v>
      </c>
      <c r="D238" s="1765" t="s">
        <v>1081</v>
      </c>
      <c r="E238" s="1723" t="s">
        <v>860</v>
      </c>
      <c r="F238" s="1747" t="str">
        <f>VLOOKUP(TBL5_OptBen[[#This Row],[Option Type (defined list)]],'Option Typs_Grps'!B$2:C$47, 2, FALSE)</f>
        <v>Distribution Options</v>
      </c>
      <c r="G238" s="1747" t="s">
        <v>863</v>
      </c>
      <c r="H238" s="1747" t="s">
        <v>1460</v>
      </c>
      <c r="I238" s="1747" t="s">
        <v>88</v>
      </c>
      <c r="J238" s="1747" t="s">
        <v>236</v>
      </c>
      <c r="K238" s="1760">
        <v>2</v>
      </c>
      <c r="L238" s="1779"/>
      <c r="M238" s="1779"/>
      <c r="N238" s="1779">
        <v>0</v>
      </c>
      <c r="O238" s="1780">
        <v>0</v>
      </c>
      <c r="P238" s="1780">
        <v>0</v>
      </c>
      <c r="Q238" s="1779">
        <v>0</v>
      </c>
      <c r="R238" s="1779">
        <v>0.20073762673171558</v>
      </c>
      <c r="S238" s="1779">
        <v>0.29801494813901996</v>
      </c>
      <c r="T238" s="1779">
        <v>0.51191100626656549</v>
      </c>
      <c r="U238" s="1779">
        <v>0.75059362418681985</v>
      </c>
      <c r="V238" s="1779">
        <v>0.97522665298276934</v>
      </c>
      <c r="W238" s="1779">
        <v>1.2145459467451332</v>
      </c>
      <c r="X238" s="1779">
        <v>1.4687096962615058</v>
      </c>
      <c r="Y238" s="1779">
        <v>1.7256591258397194</v>
      </c>
      <c r="Z238" s="1779">
        <v>1.9857823804679029</v>
      </c>
      <c r="AA238" s="1779">
        <v>2.2479190307479442</v>
      </c>
      <c r="AB238" s="1779">
        <v>2.5806751697819195</v>
      </c>
      <c r="AC238" s="1779">
        <v>2.9813902851822078</v>
      </c>
      <c r="AD238" s="1779">
        <v>3.3809279878573832</v>
      </c>
      <c r="AE238" s="1779">
        <v>3.7792671091138459</v>
      </c>
      <c r="AF238" s="1779">
        <v>4.1763729228050295</v>
      </c>
      <c r="AG238" s="1779">
        <v>4.5722173257201035</v>
      </c>
      <c r="AH238" s="1779">
        <v>4.9667536497860567</v>
      </c>
      <c r="AI238" s="1779">
        <v>5.3599507409911631</v>
      </c>
      <c r="AJ238" s="1779">
        <v>5.751775386922688</v>
      </c>
      <c r="AK238" s="1779">
        <v>6.1421917847893326</v>
      </c>
      <c r="AL238" s="1779">
        <v>6.5311798575882065</v>
      </c>
      <c r="AM238" s="1779">
        <v>6.9187030262528495</v>
      </c>
      <c r="AN238" s="1779">
        <v>7.304730563180577</v>
      </c>
      <c r="AO238" s="1779">
        <v>7.689232706873689</v>
      </c>
      <c r="AP238" s="1779">
        <v>8.0721821576318078</v>
      </c>
      <c r="AQ238" s="1779"/>
      <c r="AR238" s="1779"/>
      <c r="AS238" s="1779"/>
      <c r="AT238" s="1779"/>
      <c r="AU238" s="1779"/>
      <c r="AV238" s="1779"/>
      <c r="AW238" s="1779"/>
      <c r="AX238" s="1779"/>
      <c r="AY238" s="1779"/>
      <c r="AZ238" s="1779"/>
      <c r="BA238" s="1779"/>
      <c r="BB238" s="1779"/>
      <c r="BC238" s="1779"/>
      <c r="BD238" s="1779"/>
      <c r="BE238" s="1779"/>
      <c r="BF238" s="1779"/>
      <c r="BG238" s="1779"/>
      <c r="BH238" s="1779"/>
      <c r="BI238" s="1779"/>
      <c r="BJ238" s="1779"/>
      <c r="BK238" s="1779"/>
      <c r="BL238" s="1779"/>
      <c r="BM238" s="1779"/>
      <c r="BN238" s="1779"/>
      <c r="BO238" s="1779"/>
      <c r="BP238" s="1780"/>
      <c r="BQ238" s="1776"/>
      <c r="BR238" s="1776"/>
      <c r="BS238" s="1776"/>
      <c r="BT238" s="1776"/>
      <c r="BU238" s="1776"/>
      <c r="BV238" s="1776"/>
      <c r="BW238" s="1776"/>
      <c r="BX238" s="1776"/>
      <c r="BY238" s="1776"/>
      <c r="BZ238" s="1776"/>
      <c r="CA238" s="1776"/>
      <c r="CB238" s="1776"/>
      <c r="CC238" s="1776"/>
      <c r="CD238" s="1776"/>
      <c r="CE238" s="1776"/>
      <c r="CF238" s="1776"/>
      <c r="CG238" s="1776"/>
      <c r="CH238" s="1776"/>
      <c r="CI238" s="1776"/>
      <c r="CJ238" s="1776"/>
      <c r="CK238" s="1776"/>
      <c r="CL238" s="1776"/>
      <c r="CM238" s="1776"/>
      <c r="CN238" s="1777"/>
      <c r="CO238" s="1767"/>
    </row>
    <row r="239" spans="2:93" ht="15" x14ac:dyDescent="0.25">
      <c r="B239" s="1747"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39" s="1703" t="s">
        <v>1119</v>
      </c>
      <c r="D239" s="1765" t="s">
        <v>1118</v>
      </c>
      <c r="E239" s="1723" t="s">
        <v>1099</v>
      </c>
      <c r="F239" s="1747" t="str">
        <f>VLOOKUP(TBL5_OptBen[[#This Row],[Option Type (defined list)]],'Option Typs_Grps'!B$2:C$47, 2, FALSE)</f>
        <v>Customer Options</v>
      </c>
      <c r="G239" s="1747" t="s">
        <v>863</v>
      </c>
      <c r="H239" s="1747" t="s">
        <v>1460</v>
      </c>
      <c r="I239" s="1747" t="s">
        <v>88</v>
      </c>
      <c r="J239" s="1747" t="s">
        <v>236</v>
      </c>
      <c r="K239" s="1760">
        <v>2</v>
      </c>
      <c r="L239" s="1779"/>
      <c r="M239" s="1779"/>
      <c r="N239" s="1779">
        <v>0</v>
      </c>
      <c r="O239" s="1780">
        <v>0</v>
      </c>
      <c r="P239" s="1780">
        <v>0</v>
      </c>
      <c r="Q239" s="1779">
        <v>0</v>
      </c>
      <c r="R239" s="1779">
        <v>0.29382917326828861</v>
      </c>
      <c r="S239" s="1779">
        <v>0.69111865186097721</v>
      </c>
      <c r="T239" s="1779">
        <v>0.97178939373343498</v>
      </c>
      <c r="U239" s="1779">
        <v>1.227673575813184</v>
      </c>
      <c r="V239" s="1779">
        <v>1.4976073470172411</v>
      </c>
      <c r="W239" s="1779">
        <v>1.7528548532548744</v>
      </c>
      <c r="X239" s="1779">
        <v>1.9932579037385003</v>
      </c>
      <c r="Y239" s="1779">
        <v>2.2308752741602946</v>
      </c>
      <c r="Z239" s="1779">
        <v>2.4653188195321061</v>
      </c>
      <c r="AA239" s="1779">
        <v>2.6977489692520633</v>
      </c>
      <c r="AB239" s="1779">
        <v>2.8595596302180972</v>
      </c>
      <c r="AC239" s="1779">
        <v>2.9534113148178083</v>
      </c>
      <c r="AD239" s="1779">
        <v>3.0484404121426358</v>
      </c>
      <c r="AE239" s="1779">
        <v>3.1446680908861695</v>
      </c>
      <c r="AF239" s="1779">
        <v>3.2421290771949862</v>
      </c>
      <c r="AG239" s="1779">
        <v>3.3408514742799129</v>
      </c>
      <c r="AH239" s="1779">
        <v>3.4408819502139698</v>
      </c>
      <c r="AI239" s="1779">
        <v>3.5422516590088637</v>
      </c>
      <c r="AJ239" s="1779">
        <v>3.6449938130773338</v>
      </c>
      <c r="AK239" s="1779">
        <v>3.7491442152106935</v>
      </c>
      <c r="AL239" s="1779">
        <v>3.8547229424118234</v>
      </c>
      <c r="AM239" s="1779">
        <v>3.9617665737471786</v>
      </c>
      <c r="AN239" s="1779">
        <v>4.0703058368194487</v>
      </c>
      <c r="AO239" s="1779">
        <v>4.1803704931263326</v>
      </c>
      <c r="AP239" s="1779">
        <v>4.2919878423681972</v>
      </c>
      <c r="AQ239" s="1779"/>
      <c r="AR239" s="1779"/>
      <c r="AS239" s="1779"/>
      <c r="AT239" s="1779"/>
      <c r="AU239" s="1779"/>
      <c r="AV239" s="1779"/>
      <c r="AW239" s="1779"/>
      <c r="AX239" s="1779"/>
      <c r="AY239" s="1779"/>
      <c r="AZ239" s="1779"/>
      <c r="BA239" s="1779"/>
      <c r="BB239" s="1779"/>
      <c r="BC239" s="1779"/>
      <c r="BD239" s="1779"/>
      <c r="BE239" s="1779"/>
      <c r="BF239" s="1779"/>
      <c r="BG239" s="1779"/>
      <c r="BH239" s="1779"/>
      <c r="BI239" s="1779"/>
      <c r="BJ239" s="1779"/>
      <c r="BK239" s="1779"/>
      <c r="BL239" s="1779"/>
      <c r="BM239" s="1779"/>
      <c r="BN239" s="1779"/>
      <c r="BO239" s="1779"/>
      <c r="BP239" s="1780"/>
      <c r="BQ239" s="1776"/>
      <c r="BR239" s="1776"/>
      <c r="BS239" s="1776"/>
      <c r="BT239" s="1776"/>
      <c r="BU239" s="1776"/>
      <c r="BV239" s="1776"/>
      <c r="BW239" s="1776"/>
      <c r="BX239" s="1776"/>
      <c r="BY239" s="1776"/>
      <c r="BZ239" s="1776"/>
      <c r="CA239" s="1776"/>
      <c r="CB239" s="1776"/>
      <c r="CC239" s="1776"/>
      <c r="CD239" s="1776"/>
      <c r="CE239" s="1776"/>
      <c r="CF239" s="1776"/>
      <c r="CG239" s="1776"/>
      <c r="CH239" s="1776"/>
      <c r="CI239" s="1776"/>
      <c r="CJ239" s="1776"/>
      <c r="CK239" s="1776"/>
      <c r="CL239" s="1776"/>
      <c r="CM239" s="1776"/>
      <c r="CN239" s="1777"/>
      <c r="CO239" s="1767"/>
    </row>
    <row r="240" spans="2:93" x14ac:dyDescent="0.2">
      <c r="B240" s="1747"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40" s="1707" t="s">
        <v>1125</v>
      </c>
      <c r="D240" s="1765" t="s">
        <v>1474</v>
      </c>
      <c r="E240" s="1714" t="s">
        <v>987</v>
      </c>
      <c r="F240" s="1747" t="str">
        <f>VLOOKUP(TBL5_OptBen[[#This Row],[Option Type (defined list)]],'Option Typs_Grps'!B$2:C$47, 2, FALSE)</f>
        <v>Customer Options</v>
      </c>
      <c r="G240" s="1747" t="s">
        <v>863</v>
      </c>
      <c r="H240" s="1747" t="s">
        <v>1460</v>
      </c>
      <c r="I240" s="1747" t="s">
        <v>88</v>
      </c>
      <c r="J240" s="1747" t="s">
        <v>236</v>
      </c>
      <c r="K240" s="1760">
        <v>2</v>
      </c>
      <c r="L240" s="1779"/>
      <c r="M240" s="1779"/>
      <c r="N240" s="1779">
        <v>0</v>
      </c>
      <c r="O240" s="1780">
        <v>0</v>
      </c>
      <c r="P240" s="1780">
        <v>0</v>
      </c>
      <c r="Q240" s="1779">
        <v>0</v>
      </c>
      <c r="R240" s="1779">
        <v>0.21881778981997968</v>
      </c>
      <c r="S240" s="1779">
        <v>0.4376355796400162</v>
      </c>
      <c r="T240" s="1779">
        <v>0.65645336946005273</v>
      </c>
      <c r="U240" s="1779">
        <v>0.87527115927997556</v>
      </c>
      <c r="V240" s="1779">
        <v>1.0940889491000121</v>
      </c>
      <c r="W240" s="1779">
        <v>1.5919921443120302</v>
      </c>
      <c r="X240" s="1779">
        <v>2.0898953395249578</v>
      </c>
      <c r="Y240" s="1779">
        <v>2.5877985347369759</v>
      </c>
      <c r="Z240" s="1779">
        <v>3.0857017299500171</v>
      </c>
      <c r="AA240" s="1779">
        <v>3.5836049251619784</v>
      </c>
      <c r="AB240" s="1779">
        <v>4.0541975499959904</v>
      </c>
      <c r="AC240" s="1779">
        <v>4.5247901748300023</v>
      </c>
      <c r="AD240" s="1779">
        <v>4.9953827996629911</v>
      </c>
      <c r="AE240" s="1779">
        <v>4.9953827996629911</v>
      </c>
      <c r="AF240" s="1779">
        <v>4.995382799663048</v>
      </c>
      <c r="AG240" s="1779">
        <v>4.9953827996620248</v>
      </c>
      <c r="AH240" s="1779">
        <v>4.9953827996620248</v>
      </c>
      <c r="AI240" s="1779">
        <v>4.9953827996629911</v>
      </c>
      <c r="AJ240" s="1779">
        <v>4.9953827996620248</v>
      </c>
      <c r="AK240" s="1779">
        <v>4.995382799661968</v>
      </c>
      <c r="AL240" s="1779">
        <v>4.9953827996629911</v>
      </c>
      <c r="AM240" s="1779">
        <v>4.995382799661968</v>
      </c>
      <c r="AN240" s="1779">
        <v>4.9953827996620248</v>
      </c>
      <c r="AO240" s="1779">
        <v>4.995382799663048</v>
      </c>
      <c r="AP240" s="1779">
        <v>4.9953827996620248</v>
      </c>
      <c r="AQ240" s="1779"/>
      <c r="AR240" s="1779"/>
      <c r="AS240" s="1779"/>
      <c r="AT240" s="1779"/>
      <c r="AU240" s="1779"/>
      <c r="AV240" s="1779"/>
      <c r="AW240" s="1779"/>
      <c r="AX240" s="1779"/>
      <c r="AY240" s="1779"/>
      <c r="AZ240" s="1779"/>
      <c r="BA240" s="1779"/>
      <c r="BB240" s="1779"/>
      <c r="BC240" s="1779"/>
      <c r="BD240" s="1779"/>
      <c r="BE240" s="1779"/>
      <c r="BF240" s="1779"/>
      <c r="BG240" s="1779"/>
      <c r="BH240" s="1779"/>
      <c r="BI240" s="1779"/>
      <c r="BJ240" s="1779"/>
      <c r="BK240" s="1779"/>
      <c r="BL240" s="1779"/>
      <c r="BM240" s="1779"/>
      <c r="BN240" s="1779"/>
      <c r="BO240" s="1779"/>
      <c r="BP240" s="1780"/>
      <c r="BQ240" s="1776"/>
      <c r="BR240" s="1776"/>
      <c r="BS240" s="1776"/>
      <c r="BT240" s="1776"/>
      <c r="BU240" s="1776"/>
      <c r="BV240" s="1776"/>
      <c r="BW240" s="1776"/>
      <c r="BX240" s="1776"/>
      <c r="BY240" s="1776"/>
      <c r="BZ240" s="1776"/>
      <c r="CA240" s="1776"/>
      <c r="CB240" s="1776"/>
      <c r="CC240" s="1776"/>
      <c r="CD240" s="1776"/>
      <c r="CE240" s="1776"/>
      <c r="CF240" s="1776"/>
      <c r="CG240" s="1776"/>
      <c r="CH240" s="1776"/>
      <c r="CI240" s="1776"/>
      <c r="CJ240" s="1776"/>
      <c r="CK240" s="1776"/>
      <c r="CL240" s="1776"/>
      <c r="CM240" s="1776"/>
      <c r="CN240" s="1777"/>
      <c r="CO240" s="1767"/>
    </row>
    <row r="241" spans="2:93" x14ac:dyDescent="0.2">
      <c r="B241" s="1747"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41" s="1703" t="s">
        <v>1079</v>
      </c>
      <c r="D241" s="1765" t="s">
        <v>1078</v>
      </c>
      <c r="E241" s="1714" t="s">
        <v>987</v>
      </c>
      <c r="F241" s="1747" t="str">
        <f>VLOOKUP(TBL5_OptBen[[#This Row],[Option Type (defined list)]],'Option Typs_Grps'!B$2:C$47, 2, FALSE)</f>
        <v>Customer Options</v>
      </c>
      <c r="G241" s="1747" t="s">
        <v>863</v>
      </c>
      <c r="H241" s="1747" t="s">
        <v>1460</v>
      </c>
      <c r="I241" s="1747" t="s">
        <v>88</v>
      </c>
      <c r="J241" s="1747" t="s">
        <v>236</v>
      </c>
      <c r="K241" s="1760">
        <v>2</v>
      </c>
      <c r="L241" s="1779"/>
      <c r="M241" s="1779"/>
      <c r="N241" s="1779">
        <v>0</v>
      </c>
      <c r="O241" s="1780">
        <v>0</v>
      </c>
      <c r="P241" s="1780">
        <v>0</v>
      </c>
      <c r="Q241" s="1779">
        <v>0</v>
      </c>
      <c r="R241" s="1779">
        <v>0</v>
      </c>
      <c r="S241" s="1779">
        <v>0</v>
      </c>
      <c r="T241" s="1779">
        <v>0.59987779025402688</v>
      </c>
      <c r="U241" s="1779">
        <v>1.1974770082609894</v>
      </c>
      <c r="V241" s="1779">
        <v>1.794592738115</v>
      </c>
      <c r="W241" s="1779">
        <v>2.3821657852000158</v>
      </c>
      <c r="X241" s="1779">
        <v>2.9708490950779947</v>
      </c>
      <c r="Y241" s="1779">
        <v>3.5502161519579545</v>
      </c>
      <c r="Z241" s="1779">
        <v>4.7817647159629928</v>
      </c>
      <c r="AA241" s="1779">
        <v>5.9977293890730152</v>
      </c>
      <c r="AB241" s="1779">
        <v>7.2140606238340297</v>
      </c>
      <c r="AC241" s="1779">
        <v>8.4272968684659872</v>
      </c>
      <c r="AD241" s="1779">
        <v>9.6362828601490378</v>
      </c>
      <c r="AE241" s="1779">
        <v>10.843386621460979</v>
      </c>
      <c r="AF241" s="1779">
        <v>12.049227284313019</v>
      </c>
      <c r="AG241" s="1779">
        <v>13.133936390835004</v>
      </c>
      <c r="AH241" s="1779">
        <v>14.317832073316026</v>
      </c>
      <c r="AI241" s="1779">
        <v>15.500731567574974</v>
      </c>
      <c r="AJ241" s="1779">
        <v>15.885754161050045</v>
      </c>
      <c r="AK241" s="1779">
        <v>16.276372133927964</v>
      </c>
      <c r="AL241" s="1779">
        <v>16.627234504373007</v>
      </c>
      <c r="AM241" s="1779">
        <v>16.788341602771993</v>
      </c>
      <c r="AN241" s="1779">
        <v>17.175152163831001</v>
      </c>
      <c r="AO241" s="1779">
        <v>17.444088101313014</v>
      </c>
      <c r="AP241" s="1779">
        <v>17.829206713579993</v>
      </c>
      <c r="AQ241" s="1779"/>
      <c r="AR241" s="1779"/>
      <c r="AS241" s="1779"/>
      <c r="AT241" s="1779"/>
      <c r="AU241" s="1779"/>
      <c r="AV241" s="1779"/>
      <c r="AW241" s="1779"/>
      <c r="AX241" s="1779"/>
      <c r="AY241" s="1779"/>
      <c r="AZ241" s="1779"/>
      <c r="BA241" s="1779"/>
      <c r="BB241" s="1779"/>
      <c r="BC241" s="1779"/>
      <c r="BD241" s="1779"/>
      <c r="BE241" s="1779"/>
      <c r="BF241" s="1779"/>
      <c r="BG241" s="1779"/>
      <c r="BH241" s="1779"/>
      <c r="BI241" s="1779"/>
      <c r="BJ241" s="1779"/>
      <c r="BK241" s="1779"/>
      <c r="BL241" s="1779"/>
      <c r="BM241" s="1779"/>
      <c r="BN241" s="1779"/>
      <c r="BO241" s="1779"/>
      <c r="BP241" s="1780"/>
      <c r="BQ241" s="1776"/>
      <c r="BR241" s="1776"/>
      <c r="BS241" s="1776"/>
      <c r="BT241" s="1776"/>
      <c r="BU241" s="1776"/>
      <c r="BV241" s="1776"/>
      <c r="BW241" s="1776"/>
      <c r="BX241" s="1776"/>
      <c r="BY241" s="1776"/>
      <c r="BZ241" s="1776"/>
      <c r="CA241" s="1776"/>
      <c r="CB241" s="1776"/>
      <c r="CC241" s="1776"/>
      <c r="CD241" s="1776"/>
      <c r="CE241" s="1776"/>
      <c r="CF241" s="1776"/>
      <c r="CG241" s="1776"/>
      <c r="CH241" s="1776"/>
      <c r="CI241" s="1776"/>
      <c r="CJ241" s="1776"/>
      <c r="CK241" s="1776"/>
      <c r="CL241" s="1776"/>
      <c r="CM241" s="1776"/>
      <c r="CN241" s="1777"/>
      <c r="CO241" s="1767"/>
    </row>
    <row r="242" spans="2:93" ht="15" x14ac:dyDescent="0.25">
      <c r="B242" s="1747"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42" s="1703" t="s">
        <v>1067</v>
      </c>
      <c r="D242" s="1765" t="s">
        <v>1066</v>
      </c>
      <c r="E242" s="1723" t="s">
        <v>1068</v>
      </c>
      <c r="F242" s="1747" t="str">
        <f>VLOOKUP(TBL5_OptBen[[#This Row],[Option Type (defined list)]],'Option Typs_Grps'!B$2:C$47, 2, FALSE)</f>
        <v>Customer Options</v>
      </c>
      <c r="G242" s="1747" t="s">
        <v>863</v>
      </c>
      <c r="H242" s="1747" t="s">
        <v>1460</v>
      </c>
      <c r="I242" s="1747" t="s">
        <v>93</v>
      </c>
      <c r="J242" s="1747" t="s">
        <v>236</v>
      </c>
      <c r="K242" s="1760">
        <v>2</v>
      </c>
      <c r="L242" s="1779"/>
      <c r="M242" s="1779"/>
      <c r="N242" s="1779">
        <v>0</v>
      </c>
      <c r="O242" s="1780">
        <v>0</v>
      </c>
      <c r="P242" s="1780">
        <v>0</v>
      </c>
      <c r="Q242" s="1779">
        <v>0</v>
      </c>
      <c r="R242" s="1779">
        <v>-1.239423019077545E-2</v>
      </c>
      <c r="S242" s="1779">
        <v>-2.6197635865993579E-2</v>
      </c>
      <c r="T242" s="1779">
        <v>-2.9348911188556148E-2</v>
      </c>
      <c r="U242" s="1779">
        <v>-3.2194129703357999E-2</v>
      </c>
      <c r="V242" s="1779">
        <v>-4.3354738690610239E-3</v>
      </c>
      <c r="W242" s="1779">
        <v>4.7866620393365089E-2</v>
      </c>
      <c r="X242" s="1779">
        <v>7.166159097846736E-2</v>
      </c>
      <c r="Y242" s="1779">
        <v>8.3740839638092646E-2</v>
      </c>
      <c r="Z242" s="1779">
        <v>9.435644887196748E-2</v>
      </c>
      <c r="AA242" s="1779">
        <v>0.10431333255891417</v>
      </c>
      <c r="AB242" s="1779">
        <v>0.10346768948320517</v>
      </c>
      <c r="AC242" s="1779">
        <v>0.10274879289052752</v>
      </c>
      <c r="AD242" s="1779">
        <v>0.1021515708056735</v>
      </c>
      <c r="AE242" s="1779">
        <v>0.1016145597188165</v>
      </c>
      <c r="AF242" s="1779">
        <v>0.10101919097799095</v>
      </c>
      <c r="AG242" s="1779">
        <v>0.1003093338119303</v>
      </c>
      <c r="AH242" s="1779">
        <v>9.983590642150042E-2</v>
      </c>
      <c r="AI242" s="1779">
        <v>9.942483494829335E-2</v>
      </c>
      <c r="AJ242" s="1779">
        <v>9.9409754245551651E-2</v>
      </c>
      <c r="AK242" s="1779">
        <v>9.9437109876129304E-2</v>
      </c>
      <c r="AL242" s="1779">
        <v>9.9466811409989475E-2</v>
      </c>
      <c r="AM242" s="1779">
        <v>9.9550088853337382E-2</v>
      </c>
      <c r="AN242" s="1779">
        <v>9.9652709035356724E-2</v>
      </c>
      <c r="AO242" s="1779">
        <v>9.9774774146949019E-2</v>
      </c>
      <c r="AP242" s="1779">
        <v>9.9895984993572107E-2</v>
      </c>
      <c r="AQ242" s="1779"/>
      <c r="AR242" s="1779"/>
      <c r="AS242" s="1779"/>
      <c r="AT242" s="1779"/>
      <c r="AU242" s="1779"/>
      <c r="AV242" s="1779"/>
      <c r="AW242" s="1779"/>
      <c r="AX242" s="1779"/>
      <c r="AY242" s="1779"/>
      <c r="AZ242" s="1779"/>
      <c r="BA242" s="1779"/>
      <c r="BB242" s="1779"/>
      <c r="BC242" s="1779"/>
      <c r="BD242" s="1779"/>
      <c r="BE242" s="1779"/>
      <c r="BF242" s="1779"/>
      <c r="BG242" s="1779"/>
      <c r="BH242" s="1779"/>
      <c r="BI242" s="1779"/>
      <c r="BJ242" s="1779"/>
      <c r="BK242" s="1779"/>
      <c r="BL242" s="1779"/>
      <c r="BM242" s="1779"/>
      <c r="BN242" s="1779"/>
      <c r="BO242" s="1779"/>
      <c r="BP242" s="1780"/>
      <c r="BQ242" s="1776"/>
      <c r="BR242" s="1776"/>
      <c r="BS242" s="1776"/>
      <c r="BT242" s="1776"/>
      <c r="BU242" s="1776"/>
      <c r="BV242" s="1776"/>
      <c r="BW242" s="1776"/>
      <c r="BX242" s="1776"/>
      <c r="BY242" s="1776"/>
      <c r="BZ242" s="1776"/>
      <c r="CA242" s="1776"/>
      <c r="CB242" s="1776"/>
      <c r="CC242" s="1776"/>
      <c r="CD242" s="1776"/>
      <c r="CE242" s="1776"/>
      <c r="CF242" s="1776"/>
      <c r="CG242" s="1776"/>
      <c r="CH242" s="1776"/>
      <c r="CI242" s="1776"/>
      <c r="CJ242" s="1776"/>
      <c r="CK242" s="1776"/>
      <c r="CL242" s="1776"/>
      <c r="CM242" s="1776"/>
      <c r="CN242" s="1777"/>
      <c r="CO242" s="1767"/>
    </row>
    <row r="243" spans="2:93" ht="15" x14ac:dyDescent="0.25">
      <c r="B243" s="1747"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43" s="1703" t="s">
        <v>1075</v>
      </c>
      <c r="D243" s="1765" t="s">
        <v>1074</v>
      </c>
      <c r="E243" s="1723" t="s">
        <v>987</v>
      </c>
      <c r="F243" s="1747" t="str">
        <f>VLOOKUP(TBL5_OptBen[[#This Row],[Option Type (defined list)]],'Option Typs_Grps'!B$2:C$47, 2, FALSE)</f>
        <v>Customer Options</v>
      </c>
      <c r="G243" s="1747" t="s">
        <v>863</v>
      </c>
      <c r="H243" s="1747" t="s">
        <v>1460</v>
      </c>
      <c r="I243" s="1747" t="s">
        <v>93</v>
      </c>
      <c r="J243" s="1747" t="s">
        <v>236</v>
      </c>
      <c r="K243" s="1760">
        <v>2</v>
      </c>
      <c r="L243" s="1779"/>
      <c r="M243" s="1779"/>
      <c r="N243" s="1779">
        <v>0</v>
      </c>
      <c r="O243" s="1780">
        <v>0</v>
      </c>
      <c r="P243" s="1780">
        <v>0</v>
      </c>
      <c r="Q243" s="1779">
        <v>0</v>
      </c>
      <c r="R243" s="1779">
        <v>3.5689960635599149E-2</v>
      </c>
      <c r="S243" s="1779">
        <v>7.0850369439400041E-2</v>
      </c>
      <c r="T243" s="1779">
        <v>0.10570749970590043</v>
      </c>
      <c r="U243" s="1779">
        <v>0.14014606036050026</v>
      </c>
      <c r="V243" s="1779">
        <v>0.17382879107720051</v>
      </c>
      <c r="W243" s="1779">
        <v>0.20583829676770016</v>
      </c>
      <c r="X243" s="1779">
        <v>0.23781771826189946</v>
      </c>
      <c r="Y243" s="1779">
        <v>0.26963649374980037</v>
      </c>
      <c r="Z243" s="1779">
        <v>0.3011656579377</v>
      </c>
      <c r="AA243" s="1779">
        <v>0.33249119538979954</v>
      </c>
      <c r="AB243" s="1779">
        <v>0.34078230931220155</v>
      </c>
      <c r="AC243" s="1779">
        <v>0.34896819786899869</v>
      </c>
      <c r="AD243" s="1779">
        <v>0.35726778101169998</v>
      </c>
      <c r="AE243" s="1779">
        <v>0.3656342848338987</v>
      </c>
      <c r="AF243" s="1779">
        <v>0.37379066380550086</v>
      </c>
      <c r="AG243" s="1779">
        <v>0.38159369376059971</v>
      </c>
      <c r="AH243" s="1779">
        <v>0.38953120982329992</v>
      </c>
      <c r="AI243" s="1779">
        <v>0.3974834677502006</v>
      </c>
      <c r="AJ243" s="1779">
        <v>0.40547642921410088</v>
      </c>
      <c r="AK243" s="1779">
        <v>0.41348851048780055</v>
      </c>
      <c r="AL243" s="1779">
        <v>0.42116409856060066</v>
      </c>
      <c r="AM243" s="1779">
        <v>0.42885439317410068</v>
      </c>
      <c r="AN243" s="1779">
        <v>0.4366501854895013</v>
      </c>
      <c r="AO243" s="1779">
        <v>0.44453823180630003</v>
      </c>
      <c r="AP243" s="1779">
        <v>0.44401369463800044</v>
      </c>
      <c r="AQ243" s="1779"/>
      <c r="AR243" s="1779"/>
      <c r="AS243" s="1779"/>
      <c r="AT243" s="1779"/>
      <c r="AU243" s="1779"/>
      <c r="AV243" s="1779"/>
      <c r="AW243" s="1779"/>
      <c r="AX243" s="1779"/>
      <c r="AY243" s="1779"/>
      <c r="AZ243" s="1779"/>
      <c r="BA243" s="1779"/>
      <c r="BB243" s="1779"/>
      <c r="BC243" s="1779"/>
      <c r="BD243" s="1779"/>
      <c r="BE243" s="1779"/>
      <c r="BF243" s="1779"/>
      <c r="BG243" s="1779"/>
      <c r="BH243" s="1779"/>
      <c r="BI243" s="1779"/>
      <c r="BJ243" s="1779"/>
      <c r="BK243" s="1779"/>
      <c r="BL243" s="1779"/>
      <c r="BM243" s="1779"/>
      <c r="BN243" s="1779"/>
      <c r="BO243" s="1779"/>
      <c r="BP243" s="1780"/>
      <c r="BQ243" s="1776"/>
      <c r="BR243" s="1776"/>
      <c r="BS243" s="1776"/>
      <c r="BT243" s="1776"/>
      <c r="BU243" s="1776"/>
      <c r="BV243" s="1776"/>
      <c r="BW243" s="1776"/>
      <c r="BX243" s="1776"/>
      <c r="BY243" s="1776"/>
      <c r="BZ243" s="1776"/>
      <c r="CA243" s="1776"/>
      <c r="CB243" s="1776"/>
      <c r="CC243" s="1776"/>
      <c r="CD243" s="1776"/>
      <c r="CE243" s="1776"/>
      <c r="CF243" s="1776"/>
      <c r="CG243" s="1776"/>
      <c r="CH243" s="1776"/>
      <c r="CI243" s="1776"/>
      <c r="CJ243" s="1776"/>
      <c r="CK243" s="1776"/>
      <c r="CL243" s="1776"/>
      <c r="CM243" s="1776"/>
      <c r="CN243" s="1777"/>
      <c r="CO243" s="1767"/>
    </row>
    <row r="244" spans="2:93" x14ac:dyDescent="0.2">
      <c r="B244" s="1747"/>
      <c r="C244" s="1707" t="s">
        <v>1123</v>
      </c>
      <c r="D244" s="1765" t="s">
        <v>1122</v>
      </c>
      <c r="E244" s="1714" t="s">
        <v>987</v>
      </c>
      <c r="F244" s="1747" t="str">
        <f>VLOOKUP(TBL5_OptBen[[#This Row],[Option Type (defined list)]],'Option Typs_Grps'!B$2:C$47, 2, FALSE)</f>
        <v>Customer Options</v>
      </c>
      <c r="G244" s="1747" t="s">
        <v>863</v>
      </c>
      <c r="H244" s="1747" t="s">
        <v>1460</v>
      </c>
      <c r="I244" s="1747" t="s">
        <v>93</v>
      </c>
      <c r="J244" s="1747" t="s">
        <v>236</v>
      </c>
      <c r="K244" s="1760">
        <v>2</v>
      </c>
      <c r="L244" s="1779"/>
      <c r="M244" s="1779"/>
      <c r="N244" s="1779">
        <v>0</v>
      </c>
      <c r="O244" s="1780">
        <v>0</v>
      </c>
      <c r="P244" s="1780">
        <v>0</v>
      </c>
      <c r="Q244" s="1779">
        <v>0</v>
      </c>
      <c r="R244" s="1779">
        <v>1.3178471333400665E-2</v>
      </c>
      <c r="S244" s="1779">
        <v>3.9369086072099435E-2</v>
      </c>
      <c r="T244" s="1779">
        <v>4.3887993163000516E-2</v>
      </c>
      <c r="U244" s="1779">
        <v>8.3937061854401307E-2</v>
      </c>
      <c r="V244" s="1779">
        <v>0.12562484537389906</v>
      </c>
      <c r="W244" s="1779">
        <v>0.14181290059669927</v>
      </c>
      <c r="X244" s="1779">
        <v>0.15804796262260012</v>
      </c>
      <c r="Y244" s="1779">
        <v>0.17419540958569968</v>
      </c>
      <c r="Z244" s="1779">
        <v>0.19019893628089868</v>
      </c>
      <c r="AA244" s="1779">
        <v>0.2060964717269993</v>
      </c>
      <c r="AB244" s="1779">
        <v>0.20549936133209989</v>
      </c>
      <c r="AC244" s="1779">
        <v>0.20485197174890146</v>
      </c>
      <c r="AD244" s="1779">
        <v>0.20427678766820101</v>
      </c>
      <c r="AE244" s="1779">
        <v>0.20376090528110069</v>
      </c>
      <c r="AF244" s="1779">
        <v>0.20317404311090037</v>
      </c>
      <c r="AG244" s="1779">
        <v>0.20256742403909911</v>
      </c>
      <c r="AH244" s="1779">
        <v>0.20204244947000127</v>
      </c>
      <c r="AI244" s="1779">
        <v>0.20154988315639955</v>
      </c>
      <c r="AJ244" s="1779">
        <v>0.20109600900439872</v>
      </c>
      <c r="AK244" s="1779">
        <v>0.2006715365935996</v>
      </c>
      <c r="AL244" s="1779">
        <v>0.20025402051919983</v>
      </c>
      <c r="AM244" s="1779">
        <v>0.19986082533180038</v>
      </c>
      <c r="AN244" s="1779">
        <v>0.19953306732709919</v>
      </c>
      <c r="AO244" s="1779">
        <v>0.19926368990329912</v>
      </c>
      <c r="AP244" s="1779">
        <v>0.20748931640120105</v>
      </c>
      <c r="AQ244" s="1779"/>
      <c r="AR244" s="1779"/>
      <c r="AS244" s="1779"/>
      <c r="AT244" s="1779"/>
      <c r="AU244" s="1779"/>
      <c r="AV244" s="1779"/>
      <c r="AW244" s="1779"/>
      <c r="AX244" s="1779"/>
      <c r="AY244" s="1779"/>
      <c r="AZ244" s="1779"/>
      <c r="BA244" s="1779"/>
      <c r="BB244" s="1779"/>
      <c r="BC244" s="1779"/>
      <c r="BD244" s="1779"/>
      <c r="BE244" s="1779"/>
      <c r="BF244" s="1779"/>
      <c r="BG244" s="1779"/>
      <c r="BH244" s="1779"/>
      <c r="BI244" s="1779"/>
      <c r="BJ244" s="1779"/>
      <c r="BK244" s="1779"/>
      <c r="BL244" s="1779"/>
      <c r="BM244" s="1779"/>
      <c r="BN244" s="1779"/>
      <c r="BO244" s="1779"/>
      <c r="BP244" s="1780"/>
      <c r="BQ244" s="1776"/>
      <c r="BR244" s="1776"/>
      <c r="BS244" s="1776"/>
      <c r="BT244" s="1776"/>
      <c r="BU244" s="1776"/>
      <c r="BV244" s="1776"/>
      <c r="BW244" s="1776"/>
      <c r="BX244" s="1776"/>
      <c r="BY244" s="1776"/>
      <c r="BZ244" s="1776"/>
      <c r="CA244" s="1776"/>
      <c r="CB244" s="1776"/>
      <c r="CC244" s="1776"/>
      <c r="CD244" s="1776"/>
      <c r="CE244" s="1776"/>
      <c r="CF244" s="1776"/>
      <c r="CG244" s="1776"/>
      <c r="CH244" s="1776"/>
      <c r="CI244" s="1776"/>
      <c r="CJ244" s="1776"/>
      <c r="CK244" s="1776"/>
      <c r="CL244" s="1776"/>
      <c r="CM244" s="1776"/>
      <c r="CN244" s="1777"/>
      <c r="CO244" s="1767"/>
    </row>
    <row r="245" spans="2:93" x14ac:dyDescent="0.2">
      <c r="B245" s="1707"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245" s="1703" t="s">
        <v>1082</v>
      </c>
      <c r="D245" s="1765" t="s">
        <v>1081</v>
      </c>
      <c r="E245" s="1723" t="s">
        <v>860</v>
      </c>
      <c r="F245" s="1747" t="str">
        <f>VLOOKUP(TBL5_OptBen[[#This Row],[Option Type (defined list)]],'Option Typs_Grps'!B$2:C$47, 2, FALSE)</f>
        <v>Distribution Options</v>
      </c>
      <c r="G245" s="1747" t="s">
        <v>863</v>
      </c>
      <c r="H245" s="1747" t="s">
        <v>1460</v>
      </c>
      <c r="I245" s="1747" t="s">
        <v>93</v>
      </c>
      <c r="J245" s="1747" t="s">
        <v>236</v>
      </c>
      <c r="K245" s="1760">
        <v>2</v>
      </c>
      <c r="L245" s="1779"/>
      <c r="M245" s="1779"/>
      <c r="N245" s="1779">
        <v>0</v>
      </c>
      <c r="O245" s="1780">
        <v>0</v>
      </c>
      <c r="P245" s="1780">
        <v>0</v>
      </c>
      <c r="Q245" s="1779">
        <v>0</v>
      </c>
      <c r="R245" s="1779">
        <v>1.6012833302289531E-2</v>
      </c>
      <c r="S245" s="1779">
        <v>3.2297784268105145E-2</v>
      </c>
      <c r="T245" s="1779">
        <v>4.6891326556159241E-2</v>
      </c>
      <c r="U245" s="1779">
        <v>6.1476061398944459E-2</v>
      </c>
      <c r="V245" s="1779">
        <v>6.7704838780245469E-2</v>
      </c>
      <c r="W245" s="1779">
        <v>6.8220328336446867E-2</v>
      </c>
      <c r="X245" s="1779">
        <v>7.6904546290095466E-2</v>
      </c>
      <c r="Y245" s="1779">
        <v>9.1173372840745115E-2</v>
      </c>
      <c r="Z245" s="1779">
        <v>0.10542791179829925</v>
      </c>
      <c r="AA245" s="1779">
        <v>0.11966776006978419</v>
      </c>
      <c r="AB245" s="1779">
        <v>0.1338935329489499</v>
      </c>
      <c r="AC245" s="1779">
        <v>0.14810483085964576</v>
      </c>
      <c r="AD245" s="1779">
        <v>0.16230273066300716</v>
      </c>
      <c r="AE245" s="1779">
        <v>0.17648917044213785</v>
      </c>
      <c r="AF245" s="1779">
        <v>0.19066368741453266</v>
      </c>
      <c r="AG245" s="1779">
        <v>0.20481992820443029</v>
      </c>
      <c r="AH245" s="1779">
        <v>0.21895815868837754</v>
      </c>
      <c r="AI245" s="1779">
        <v>0.23308594445252351</v>
      </c>
      <c r="AJ245" s="1779">
        <v>0.24720120862646122</v>
      </c>
      <c r="AK245" s="1779">
        <v>0.26130520094276699</v>
      </c>
      <c r="AL245" s="1779">
        <v>0.27539827539136907</v>
      </c>
      <c r="AM245" s="1779">
        <v>0.28948165215975519</v>
      </c>
      <c r="AN245" s="1779">
        <v>0.30355690303425731</v>
      </c>
      <c r="AO245" s="1779">
        <v>0.31762429344060794</v>
      </c>
      <c r="AP245" s="1779">
        <v>0.33168332357691122</v>
      </c>
      <c r="AQ245" s="1779"/>
      <c r="AR245" s="1779"/>
      <c r="AS245" s="1779"/>
      <c r="AT245" s="1779"/>
      <c r="AU245" s="1779"/>
      <c r="AV245" s="1779"/>
      <c r="AW245" s="1779"/>
      <c r="AX245" s="1779"/>
      <c r="AY245" s="1779"/>
      <c r="AZ245" s="1779"/>
      <c r="BA245" s="1779"/>
      <c r="BB245" s="1779"/>
      <c r="BC245" s="1779"/>
      <c r="BD245" s="1779"/>
      <c r="BE245" s="1779"/>
      <c r="BF245" s="1779"/>
      <c r="BG245" s="1779"/>
      <c r="BH245" s="1779"/>
      <c r="BI245" s="1779"/>
      <c r="BJ245" s="1779"/>
      <c r="BK245" s="1779"/>
      <c r="BL245" s="1779"/>
      <c r="BM245" s="1779"/>
      <c r="BN245" s="1779"/>
      <c r="BO245" s="1779"/>
      <c r="BP245" s="1780"/>
      <c r="BQ245" s="1755"/>
      <c r="BR245" s="1755"/>
      <c r="BS245" s="1755"/>
      <c r="BT245" s="1755"/>
      <c r="BU245" s="1755"/>
      <c r="BV245" s="1755"/>
      <c r="BW245" s="1755"/>
      <c r="BX245" s="1755"/>
      <c r="BY245" s="1755"/>
      <c r="BZ245" s="1755"/>
      <c r="CA245" s="1755"/>
      <c r="CB245" s="1755"/>
      <c r="CC245" s="1755"/>
      <c r="CD245" s="1755"/>
      <c r="CE245" s="1755"/>
      <c r="CF245" s="1755"/>
      <c r="CG245" s="1755"/>
      <c r="CH245" s="1755"/>
      <c r="CI245" s="1755"/>
      <c r="CJ245" s="1755"/>
      <c r="CK245" s="1755"/>
      <c r="CL245" s="1755"/>
      <c r="CM245" s="1755"/>
      <c r="CN245" s="1756"/>
      <c r="CO245" s="1767"/>
    </row>
    <row r="246" spans="2:93" ht="15" x14ac:dyDescent="0.25">
      <c r="B246" s="1707"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46" s="1703" t="s">
        <v>1119</v>
      </c>
      <c r="D246" s="1765" t="s">
        <v>1118</v>
      </c>
      <c r="E246" s="1723" t="s">
        <v>1099</v>
      </c>
      <c r="F246" s="1747" t="str">
        <f>VLOOKUP(TBL5_OptBen[[#This Row],[Option Type (defined list)]],'Option Typs_Grps'!B$2:C$47, 2, FALSE)</f>
        <v>Customer Options</v>
      </c>
      <c r="G246" s="1747" t="s">
        <v>863</v>
      </c>
      <c r="H246" s="1747" t="s">
        <v>1460</v>
      </c>
      <c r="I246" s="1747" t="s">
        <v>93</v>
      </c>
      <c r="J246" s="1747" t="s">
        <v>236</v>
      </c>
      <c r="K246" s="1760">
        <v>2</v>
      </c>
      <c r="L246" s="1779"/>
      <c r="M246" s="1779"/>
      <c r="N246" s="1779">
        <v>0</v>
      </c>
      <c r="O246" s="1780">
        <v>0</v>
      </c>
      <c r="P246" s="1780">
        <v>0</v>
      </c>
      <c r="Q246" s="1779">
        <v>0</v>
      </c>
      <c r="R246" s="1779">
        <v>-3.4263330228962406E-4</v>
      </c>
      <c r="S246" s="1779">
        <v>-9.5738426810537854E-4</v>
      </c>
      <c r="T246" s="1779">
        <v>1.192734438405299E-4</v>
      </c>
      <c r="U246" s="1779">
        <v>1.2047386010554384E-3</v>
      </c>
      <c r="V246" s="1779">
        <v>1.0646161219754301E-2</v>
      </c>
      <c r="W246" s="1779">
        <v>2.580087166355283E-2</v>
      </c>
      <c r="X246" s="1779">
        <v>3.2786853709904314E-2</v>
      </c>
      <c r="Y246" s="1779">
        <v>3.4188227159254521E-2</v>
      </c>
      <c r="Z246" s="1779">
        <v>3.5603888201700525E-2</v>
      </c>
      <c r="AA246" s="1779">
        <v>3.70342399302157E-2</v>
      </c>
      <c r="AB246" s="1779">
        <v>3.8478667051049797E-2</v>
      </c>
      <c r="AC246" s="1779">
        <v>3.9937569140353874E-2</v>
      </c>
      <c r="AD246" s="1779">
        <v>4.1409869336992353E-2</v>
      </c>
      <c r="AE246" s="1779">
        <v>4.2893629557861718E-2</v>
      </c>
      <c r="AF246" s="1779">
        <v>4.4389312585466904E-2</v>
      </c>
      <c r="AG246" s="1779">
        <v>4.5903271795569175E-2</v>
      </c>
      <c r="AH246" s="1779">
        <v>4.7435241311621787E-2</v>
      </c>
      <c r="AI246" s="1779">
        <v>4.897765554747599E-2</v>
      </c>
      <c r="AJ246" s="1779">
        <v>5.0532591373538299E-2</v>
      </c>
      <c r="AK246" s="1779">
        <v>5.209879905723229E-2</v>
      </c>
      <c r="AL246" s="1779">
        <v>5.3675924608630209E-2</v>
      </c>
      <c r="AM246" s="1779">
        <v>5.5262747840244097E-2</v>
      </c>
      <c r="AN246" s="1779">
        <v>5.6857696965741972E-2</v>
      </c>
      <c r="AO246" s="1779">
        <v>5.846050655939123E-2</v>
      </c>
      <c r="AP246" s="1779">
        <v>6.0071676423088909E-2</v>
      </c>
      <c r="AQ246" s="1779"/>
      <c r="AR246" s="1779"/>
      <c r="AS246" s="1779"/>
      <c r="AT246" s="1779"/>
      <c r="AU246" s="1779"/>
      <c r="AV246" s="1779"/>
      <c r="AW246" s="1779"/>
      <c r="AX246" s="1779"/>
      <c r="AY246" s="1779"/>
      <c r="AZ246" s="1779"/>
      <c r="BA246" s="1779"/>
      <c r="BB246" s="1779"/>
      <c r="BC246" s="1779"/>
      <c r="BD246" s="1779"/>
      <c r="BE246" s="1779"/>
      <c r="BF246" s="1779"/>
      <c r="BG246" s="1779"/>
      <c r="BH246" s="1779"/>
      <c r="BI246" s="1779"/>
      <c r="BJ246" s="1779"/>
      <c r="BK246" s="1779"/>
      <c r="BL246" s="1779"/>
      <c r="BM246" s="1779"/>
      <c r="BN246" s="1779"/>
      <c r="BO246" s="1779"/>
      <c r="BP246" s="1780"/>
      <c r="BQ246" s="1755"/>
      <c r="BR246" s="1755"/>
      <c r="BS246" s="1755"/>
      <c r="BT246" s="1755"/>
      <c r="BU246" s="1755"/>
      <c r="BV246" s="1755"/>
      <c r="BW246" s="1755"/>
      <c r="BX246" s="1755"/>
      <c r="BY246" s="1755"/>
      <c r="BZ246" s="1755"/>
      <c r="CA246" s="1755"/>
      <c r="CB246" s="1755"/>
      <c r="CC246" s="1755"/>
      <c r="CD246" s="1755"/>
      <c r="CE246" s="1755"/>
      <c r="CF246" s="1755"/>
      <c r="CG246" s="1755"/>
      <c r="CH246" s="1755"/>
      <c r="CI246" s="1755"/>
      <c r="CJ246" s="1755"/>
      <c r="CK246" s="1755"/>
      <c r="CL246" s="1755"/>
      <c r="CM246" s="1755"/>
      <c r="CN246" s="1756"/>
      <c r="CO246" s="1767"/>
    </row>
    <row r="247" spans="2:93" x14ac:dyDescent="0.2">
      <c r="B247" s="1707"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47" s="1707" t="s">
        <v>1125</v>
      </c>
      <c r="D247" s="1765" t="s">
        <v>1474</v>
      </c>
      <c r="E247" s="1714" t="s">
        <v>987</v>
      </c>
      <c r="F247" s="1747" t="str">
        <f>VLOOKUP(TBL5_OptBen[[#This Row],[Option Type (defined list)]],'Option Typs_Grps'!B$2:C$47, 2, FALSE)</f>
        <v>Customer Options</v>
      </c>
      <c r="G247" s="1747" t="s">
        <v>863</v>
      </c>
      <c r="H247" s="1747" t="s">
        <v>1460</v>
      </c>
      <c r="I247" s="1747" t="s">
        <v>93</v>
      </c>
      <c r="J247" s="1747" t="s">
        <v>236</v>
      </c>
      <c r="K247" s="1760">
        <v>2</v>
      </c>
      <c r="L247" s="1779"/>
      <c r="M247" s="1779"/>
      <c r="N247" s="1779">
        <v>0</v>
      </c>
      <c r="O247" s="1780">
        <v>0</v>
      </c>
      <c r="P247" s="1780">
        <v>0</v>
      </c>
      <c r="Q247" s="1779">
        <v>0</v>
      </c>
      <c r="R247" s="1779">
        <v>1.0144563675199336E-2</v>
      </c>
      <c r="S247" s="1779">
        <v>2.0289127350499925E-2</v>
      </c>
      <c r="T247" s="1779">
        <v>3.0433691025800513E-2</v>
      </c>
      <c r="U247" s="1779">
        <v>4.0578254701101102E-2</v>
      </c>
      <c r="V247" s="1779">
        <v>5.0722818376399914E-2</v>
      </c>
      <c r="W247" s="1779">
        <v>7.2467705815599359E-2</v>
      </c>
      <c r="X247" s="1779">
        <v>9.4212593254999533E-2</v>
      </c>
      <c r="Y247" s="1779">
        <v>0.11595748069419898</v>
      </c>
      <c r="Z247" s="1779">
        <v>0.13770236813349968</v>
      </c>
      <c r="AA247" s="1779">
        <v>0.1594472555727986</v>
      </c>
      <c r="AB247" s="1779">
        <v>0.17964585081410078</v>
      </c>
      <c r="AC247" s="1779">
        <v>0.19984444605529994</v>
      </c>
      <c r="AD247" s="1779">
        <v>0.22004304129650087</v>
      </c>
      <c r="AE247" s="1779">
        <v>0.2200430412964991</v>
      </c>
      <c r="AF247" s="1779">
        <v>0.22004304129650087</v>
      </c>
      <c r="AG247" s="1779">
        <v>0.2200430412964991</v>
      </c>
      <c r="AH247" s="1779">
        <v>0.22004304129650087</v>
      </c>
      <c r="AI247" s="1779">
        <v>0.22004304129650087</v>
      </c>
      <c r="AJ247" s="1779">
        <v>0.22004304129650087</v>
      </c>
      <c r="AK247" s="1779">
        <v>0.2200430412964991</v>
      </c>
      <c r="AL247" s="1779">
        <v>0.22004304129650087</v>
      </c>
      <c r="AM247" s="1779">
        <v>0.22004304129650087</v>
      </c>
      <c r="AN247" s="1779">
        <v>0.22004304129650087</v>
      </c>
      <c r="AO247" s="1779">
        <v>0.2200430412964991</v>
      </c>
      <c r="AP247" s="1779">
        <v>0.22004304129650087</v>
      </c>
      <c r="AQ247" s="1779"/>
      <c r="AR247" s="1779"/>
      <c r="AS247" s="1779"/>
      <c r="AT247" s="1779"/>
      <c r="AU247" s="1779"/>
      <c r="AV247" s="1779"/>
      <c r="AW247" s="1779"/>
      <c r="AX247" s="1779"/>
      <c r="AY247" s="1779"/>
      <c r="AZ247" s="1779"/>
      <c r="BA247" s="1779"/>
      <c r="BB247" s="1779"/>
      <c r="BC247" s="1779"/>
      <c r="BD247" s="1779"/>
      <c r="BE247" s="1779"/>
      <c r="BF247" s="1779"/>
      <c r="BG247" s="1779"/>
      <c r="BH247" s="1779"/>
      <c r="BI247" s="1779"/>
      <c r="BJ247" s="1779"/>
      <c r="BK247" s="1779"/>
      <c r="BL247" s="1779"/>
      <c r="BM247" s="1779"/>
      <c r="BN247" s="1779"/>
      <c r="BO247" s="1779"/>
      <c r="BP247" s="1780"/>
      <c r="BQ247" s="1755"/>
      <c r="BR247" s="1755"/>
      <c r="BS247" s="1755"/>
      <c r="BT247" s="1755"/>
      <c r="BU247" s="1755"/>
      <c r="BV247" s="1755"/>
      <c r="BW247" s="1755"/>
      <c r="BX247" s="1755"/>
      <c r="BY247" s="1755"/>
      <c r="BZ247" s="1755"/>
      <c r="CA247" s="1755"/>
      <c r="CB247" s="1755"/>
      <c r="CC247" s="1755"/>
      <c r="CD247" s="1755"/>
      <c r="CE247" s="1755"/>
      <c r="CF247" s="1755"/>
      <c r="CG247" s="1755"/>
      <c r="CH247" s="1755"/>
      <c r="CI247" s="1755"/>
      <c r="CJ247" s="1755"/>
      <c r="CK247" s="1755"/>
      <c r="CL247" s="1755"/>
      <c r="CM247" s="1755"/>
      <c r="CN247" s="1756"/>
      <c r="CO247" s="1767"/>
    </row>
    <row r="248" spans="2:93" x14ac:dyDescent="0.2">
      <c r="B248" s="1707"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48" s="1703" t="s">
        <v>1079</v>
      </c>
      <c r="D248" s="1765" t="s">
        <v>1078</v>
      </c>
      <c r="E248" s="1714" t="s">
        <v>987</v>
      </c>
      <c r="F248" s="1747" t="str">
        <f>VLOOKUP(TBL5_OptBen[[#This Row],[Option Type (defined list)]],'Option Typs_Grps'!B$2:C$47, 2, FALSE)</f>
        <v>Customer Options</v>
      </c>
      <c r="G248" s="1747" t="s">
        <v>863</v>
      </c>
      <c r="H248" s="1747" t="s">
        <v>1460</v>
      </c>
      <c r="I248" s="1747" t="s">
        <v>93</v>
      </c>
      <c r="J248" s="1747" t="s">
        <v>236</v>
      </c>
      <c r="K248" s="1760">
        <v>2</v>
      </c>
      <c r="L248" s="1779"/>
      <c r="M248" s="1779"/>
      <c r="N248" s="1779">
        <v>0</v>
      </c>
      <c r="O248" s="1780">
        <v>0</v>
      </c>
      <c r="P248" s="1780">
        <v>0</v>
      </c>
      <c r="Q248" s="1779">
        <v>0</v>
      </c>
      <c r="R248" s="1779">
        <v>0</v>
      </c>
      <c r="S248" s="1779">
        <v>0</v>
      </c>
      <c r="T248" s="1779">
        <v>1.2316154623000841E-2</v>
      </c>
      <c r="U248" s="1779">
        <v>2.4492761570900967E-2</v>
      </c>
      <c r="V248" s="1779">
        <v>3.6494205364698828E-2</v>
      </c>
      <c r="W248" s="1779">
        <v>4.840714577579952E-2</v>
      </c>
      <c r="X248" s="1779">
        <v>6.0274776207499769E-2</v>
      </c>
      <c r="Y248" s="1779">
        <v>7.2075016762699562E-2</v>
      </c>
      <c r="Z248" s="1779">
        <v>9.6940235992798662E-2</v>
      </c>
      <c r="AA248" s="1779">
        <v>0.12163387279989912</v>
      </c>
      <c r="AB248" s="1779">
        <v>0.14620955217790055</v>
      </c>
      <c r="AC248" s="1779">
        <v>0.17063373049670005</v>
      </c>
      <c r="AD248" s="1779">
        <v>0.19495479254990045</v>
      </c>
      <c r="AE248" s="1779">
        <v>0.2192086231135999</v>
      </c>
      <c r="AF248" s="1779">
        <v>0.2432107743487002</v>
      </c>
      <c r="AG248" s="1779">
        <v>0.26704516829710023</v>
      </c>
      <c r="AH248" s="1779">
        <v>0.29089161678320075</v>
      </c>
      <c r="AI248" s="1779">
        <v>0.31469205759239927</v>
      </c>
      <c r="AJ248" s="1779">
        <v>0.32222836230859997</v>
      </c>
      <c r="AK248" s="1779">
        <v>0.32981805983060042</v>
      </c>
      <c r="AL248" s="1779">
        <v>0.33738307145740087</v>
      </c>
      <c r="AM248" s="1779">
        <v>0.34497200784130122</v>
      </c>
      <c r="AN248" s="1779">
        <v>0.35268172673660025</v>
      </c>
      <c r="AO248" s="1779">
        <v>0.3604911591194</v>
      </c>
      <c r="AP248" s="1779">
        <v>0.36835618440450091</v>
      </c>
      <c r="AQ248" s="1752"/>
      <c r="AR248" s="1752"/>
      <c r="AS248" s="1752"/>
      <c r="AT248" s="1752"/>
      <c r="AU248" s="1752"/>
      <c r="AV248" s="1752"/>
      <c r="AW248" s="1752"/>
      <c r="AX248" s="1752"/>
      <c r="AY248" s="1752"/>
      <c r="AZ248" s="1752"/>
      <c r="BA248" s="1752"/>
      <c r="BB248" s="1752"/>
      <c r="BC248" s="1752"/>
      <c r="BD248" s="1752"/>
      <c r="BE248" s="1752"/>
      <c r="BF248" s="1752"/>
      <c r="BG248" s="1752"/>
      <c r="BH248" s="1752"/>
      <c r="BI248" s="1752"/>
      <c r="BJ248" s="1752"/>
      <c r="BK248" s="1752"/>
      <c r="BL248" s="1752"/>
      <c r="BM248" s="1752"/>
      <c r="BN248" s="1752"/>
      <c r="BO248" s="1752"/>
      <c r="BP248" s="1754"/>
      <c r="BQ248" s="1755"/>
      <c r="BR248" s="1755"/>
      <c r="BS248" s="1755"/>
      <c r="BT248" s="1755"/>
      <c r="BU248" s="1755"/>
      <c r="BV248" s="1755"/>
      <c r="BW248" s="1755"/>
      <c r="BX248" s="1755"/>
      <c r="BY248" s="1755"/>
      <c r="BZ248" s="1755"/>
      <c r="CA248" s="1755"/>
      <c r="CB248" s="1755"/>
      <c r="CC248" s="1755"/>
      <c r="CD248" s="1755"/>
      <c r="CE248" s="1755"/>
      <c r="CF248" s="1755"/>
      <c r="CG248" s="1755"/>
      <c r="CH248" s="1755"/>
      <c r="CI248" s="1755"/>
      <c r="CJ248" s="1755"/>
      <c r="CK248" s="1755"/>
      <c r="CL248" s="1755"/>
      <c r="CM248" s="1755"/>
      <c r="CN248" s="1756"/>
      <c r="CO248" s="1767"/>
    </row>
    <row r="249" spans="2:93" ht="15" x14ac:dyDescent="0.25">
      <c r="B249" s="1707"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49" s="1703" t="s">
        <v>1067</v>
      </c>
      <c r="D249" s="1765" t="s">
        <v>1066</v>
      </c>
      <c r="E249" s="1723" t="s">
        <v>1068</v>
      </c>
      <c r="F249" s="1747" t="str">
        <f>VLOOKUP(TBL5_OptBen[[#This Row],[Option Type (defined list)]],'Option Typs_Grps'!B$2:C$47, 2, FALSE)</f>
        <v>Customer Options</v>
      </c>
      <c r="G249" s="1747" t="s">
        <v>863</v>
      </c>
      <c r="H249" s="1747" t="s">
        <v>1460</v>
      </c>
      <c r="I249" s="1747" t="s">
        <v>102</v>
      </c>
      <c r="J249" s="1747" t="s">
        <v>236</v>
      </c>
      <c r="K249" s="1760">
        <v>2</v>
      </c>
      <c r="L249" s="1779"/>
      <c r="M249" s="1779"/>
      <c r="N249" s="1779">
        <v>0</v>
      </c>
      <c r="O249" s="1780">
        <v>2.5757174171303632E-14</v>
      </c>
      <c r="P249" s="1780">
        <v>4.0856207306205761E-14</v>
      </c>
      <c r="Q249" s="1779">
        <v>0</v>
      </c>
      <c r="R249" s="1779">
        <v>2.8222942254962025E-2</v>
      </c>
      <c r="S249" s="1779">
        <v>5.102355375825951E-2</v>
      </c>
      <c r="T249" s="1779">
        <v>-3.463498264699183E-2</v>
      </c>
      <c r="U249" s="1779">
        <v>-4.0982019910842382E-2</v>
      </c>
      <c r="V249" s="1779">
        <v>-4.4940511999577382E-2</v>
      </c>
      <c r="W249" s="1779">
        <v>-4.775765604458293E-2</v>
      </c>
      <c r="X249" s="1779">
        <v>-4.8309414629620129E-2</v>
      </c>
      <c r="Y249" s="1779">
        <v>-4.7194492905036134E-2</v>
      </c>
      <c r="Z249" s="1779">
        <v>-4.5687750903295077E-2</v>
      </c>
      <c r="AA249" s="1779">
        <v>-4.3850077526514042E-2</v>
      </c>
      <c r="AB249" s="1779">
        <v>-4.251077120807617E-2</v>
      </c>
      <c r="AC249" s="1779">
        <v>-4.0811700950468266E-2</v>
      </c>
      <c r="AD249" s="1779">
        <v>-3.8842439729724676E-2</v>
      </c>
      <c r="AE249" s="1779">
        <v>-3.6734993318920717E-2</v>
      </c>
      <c r="AF249" s="1779">
        <v>-3.4514656625783124E-2</v>
      </c>
      <c r="AG249" s="1779">
        <v>-3.2990954233751757E-2</v>
      </c>
      <c r="AH249" s="1779">
        <v>-3.0526067857536643E-2</v>
      </c>
      <c r="AI249" s="1779">
        <v>-2.828810780484603E-2</v>
      </c>
      <c r="AJ249" s="1779">
        <v>-2.6948396809237662E-2</v>
      </c>
      <c r="AK249" s="1779">
        <v>-2.6745392207197627E-2</v>
      </c>
      <c r="AL249" s="1779">
        <v>-2.6597930185511709E-2</v>
      </c>
      <c r="AM249" s="1779">
        <v>-2.6563086591654517E-2</v>
      </c>
      <c r="AN249" s="1779">
        <v>-2.6636264602878157E-2</v>
      </c>
      <c r="AO249" s="1779">
        <v>-2.6832454923069959E-2</v>
      </c>
      <c r="AP249" s="1779">
        <v>-2.6965253032190883E-2</v>
      </c>
      <c r="AQ249" s="1779"/>
      <c r="AR249" s="1779"/>
      <c r="AS249" s="1779"/>
      <c r="AT249" s="1779"/>
      <c r="AU249" s="1779"/>
      <c r="AV249" s="1779"/>
      <c r="AW249" s="1779"/>
      <c r="AX249" s="1779"/>
      <c r="AY249" s="1779"/>
      <c r="AZ249" s="1779"/>
      <c r="BA249" s="1779"/>
      <c r="BB249" s="1779"/>
      <c r="BC249" s="1779"/>
      <c r="BD249" s="1779"/>
      <c r="BE249" s="1779"/>
      <c r="BF249" s="1779"/>
      <c r="BG249" s="1779"/>
      <c r="BH249" s="1779"/>
      <c r="BI249" s="1779"/>
      <c r="BJ249" s="1779"/>
      <c r="BK249" s="1779"/>
      <c r="BL249" s="1779"/>
      <c r="BM249" s="1779"/>
      <c r="BN249" s="1779"/>
      <c r="BO249" s="1779"/>
      <c r="BP249" s="1780"/>
      <c r="BQ249" s="1755"/>
      <c r="BR249" s="1755"/>
      <c r="BS249" s="1755"/>
      <c r="BT249" s="1755"/>
      <c r="BU249" s="1755"/>
      <c r="BV249" s="1755"/>
      <c r="BW249" s="1755"/>
      <c r="BX249" s="1755"/>
      <c r="BY249" s="1755"/>
      <c r="BZ249" s="1755"/>
      <c r="CA249" s="1755"/>
      <c r="CB249" s="1755"/>
      <c r="CC249" s="1755"/>
      <c r="CD249" s="1755"/>
      <c r="CE249" s="1755"/>
      <c r="CF249" s="1755"/>
      <c r="CG249" s="1755"/>
      <c r="CH249" s="1755"/>
      <c r="CI249" s="1755"/>
      <c r="CJ249" s="1755"/>
      <c r="CK249" s="1755"/>
      <c r="CL249" s="1755"/>
      <c r="CM249" s="1755"/>
      <c r="CN249" s="1756"/>
      <c r="CO249" s="1767"/>
    </row>
    <row r="250" spans="2:93" ht="15" x14ac:dyDescent="0.25">
      <c r="B250" s="1707"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50" s="1703" t="s">
        <v>1075</v>
      </c>
      <c r="D250" s="1765" t="s">
        <v>1074</v>
      </c>
      <c r="E250" s="1723" t="s">
        <v>987</v>
      </c>
      <c r="F250" s="1747" t="str">
        <f>VLOOKUP(TBL5_OptBen[[#This Row],[Option Type (defined list)]],'Option Typs_Grps'!B$2:C$47, 2, FALSE)</f>
        <v>Customer Options</v>
      </c>
      <c r="G250" s="1747" t="s">
        <v>863</v>
      </c>
      <c r="H250" s="1747" t="s">
        <v>1460</v>
      </c>
      <c r="I250" s="1747" t="s">
        <v>102</v>
      </c>
      <c r="J250" s="1747" t="s">
        <v>236</v>
      </c>
      <c r="K250" s="1760">
        <v>2</v>
      </c>
      <c r="L250" s="1779"/>
      <c r="M250" s="1779"/>
      <c r="N250" s="1779">
        <v>0</v>
      </c>
      <c r="O250" s="1780">
        <v>0</v>
      </c>
      <c r="P250" s="1780">
        <v>0</v>
      </c>
      <c r="Q250" s="1779">
        <v>0</v>
      </c>
      <c r="R250" s="1779">
        <v>2.6466184574900353E-2</v>
      </c>
      <c r="S250" s="1779">
        <v>5.2703045370600776E-2</v>
      </c>
      <c r="T250" s="1779">
        <v>7.8838269622799828E-2</v>
      </c>
      <c r="U250" s="1779">
        <v>0.10477022753389953</v>
      </c>
      <c r="V250" s="1779">
        <v>0.13037979739119976</v>
      </c>
      <c r="W250" s="1779">
        <v>0.15447090153770127</v>
      </c>
      <c r="X250" s="1779">
        <v>0.178389663577601</v>
      </c>
      <c r="Y250" s="1779">
        <v>0.20212094995099861</v>
      </c>
      <c r="Z250" s="1779">
        <v>0.22569794914289965</v>
      </c>
      <c r="AA250" s="1779">
        <v>0.24915739999269881</v>
      </c>
      <c r="AB250" s="1779">
        <v>0.2720656474501002</v>
      </c>
      <c r="AC250" s="1779">
        <v>0.29486199233470067</v>
      </c>
      <c r="AD250" s="1779">
        <v>0.31768700526280114</v>
      </c>
      <c r="AE250" s="1779">
        <v>0.34038776342729982</v>
      </c>
      <c r="AF250" s="1779">
        <v>0.36273496351030055</v>
      </c>
      <c r="AG250" s="1779">
        <v>0.38414449070080003</v>
      </c>
      <c r="AH250" s="1779">
        <v>0.4054621388136006</v>
      </c>
      <c r="AI250" s="1779">
        <v>0.42676131530109984</v>
      </c>
      <c r="AJ250" s="1779">
        <v>0.44802374330889982</v>
      </c>
      <c r="AK250" s="1779">
        <v>0.44685892045979969</v>
      </c>
      <c r="AL250" s="1779">
        <v>0.44567043903500014</v>
      </c>
      <c r="AM250" s="1779">
        <v>0.4444983119407997</v>
      </c>
      <c r="AN250" s="1779">
        <v>0.44352353592370086</v>
      </c>
      <c r="AO250" s="1779">
        <v>0.44272260925770013</v>
      </c>
      <c r="AP250" s="1779">
        <v>0.4420649494759008</v>
      </c>
      <c r="AQ250" s="1779"/>
      <c r="AR250" s="1779"/>
      <c r="AS250" s="1779"/>
      <c r="AT250" s="1779"/>
      <c r="AU250" s="1779"/>
      <c r="AV250" s="1779"/>
      <c r="AW250" s="1779"/>
      <c r="AX250" s="1779"/>
      <c r="AY250" s="1779"/>
      <c r="AZ250" s="1779"/>
      <c r="BA250" s="1779"/>
      <c r="BB250" s="1779"/>
      <c r="BC250" s="1779"/>
      <c r="BD250" s="1779"/>
      <c r="BE250" s="1779"/>
      <c r="BF250" s="1779"/>
      <c r="BG250" s="1779"/>
      <c r="BH250" s="1779"/>
      <c r="BI250" s="1779"/>
      <c r="BJ250" s="1779"/>
      <c r="BK250" s="1779"/>
      <c r="BL250" s="1779"/>
      <c r="BM250" s="1779"/>
      <c r="BN250" s="1779"/>
      <c r="BO250" s="1779"/>
      <c r="BP250" s="1780"/>
      <c r="BQ250" s="1755"/>
      <c r="BR250" s="1755"/>
      <c r="BS250" s="1755"/>
      <c r="BT250" s="1755"/>
      <c r="BU250" s="1755"/>
      <c r="BV250" s="1755"/>
      <c r="BW250" s="1755"/>
      <c r="BX250" s="1755"/>
      <c r="BY250" s="1755"/>
      <c r="BZ250" s="1755"/>
      <c r="CA250" s="1755"/>
      <c r="CB250" s="1755"/>
      <c r="CC250" s="1755"/>
      <c r="CD250" s="1755"/>
      <c r="CE250" s="1755"/>
      <c r="CF250" s="1755"/>
      <c r="CG250" s="1755"/>
      <c r="CH250" s="1755"/>
      <c r="CI250" s="1755"/>
      <c r="CJ250" s="1755"/>
      <c r="CK250" s="1755"/>
      <c r="CL250" s="1755"/>
      <c r="CM250" s="1755"/>
      <c r="CN250" s="1756"/>
      <c r="CO250" s="1767"/>
    </row>
    <row r="251" spans="2:93" x14ac:dyDescent="0.2">
      <c r="B251" s="1707"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51" s="1707" t="s">
        <v>1123</v>
      </c>
      <c r="D251" s="1765" t="s">
        <v>1122</v>
      </c>
      <c r="E251" s="1714" t="s">
        <v>987</v>
      </c>
      <c r="F251" s="1747" t="str">
        <f>VLOOKUP(TBL5_OptBen[[#This Row],[Option Type (defined list)]],'Option Typs_Grps'!B$2:C$47, 2, FALSE)</f>
        <v>Customer Options</v>
      </c>
      <c r="G251" s="1747" t="s">
        <v>863</v>
      </c>
      <c r="H251" s="1747" t="s">
        <v>1460</v>
      </c>
      <c r="I251" s="1747" t="s">
        <v>102</v>
      </c>
      <c r="J251" s="1747" t="s">
        <v>236</v>
      </c>
      <c r="K251" s="1760">
        <v>2</v>
      </c>
      <c r="L251" s="1779"/>
      <c r="M251" s="1779"/>
      <c r="N251" s="1779">
        <v>0</v>
      </c>
      <c r="O251" s="1780">
        <v>0</v>
      </c>
      <c r="P251" s="1780">
        <v>0</v>
      </c>
      <c r="Q251" s="1779">
        <v>0</v>
      </c>
      <c r="R251" s="1779">
        <v>7.6893942480005251E-4</v>
      </c>
      <c r="S251" s="1779">
        <v>9.1903375258990394E-3</v>
      </c>
      <c r="T251" s="1779">
        <v>2.2905399728010423E-3</v>
      </c>
      <c r="U251" s="1779">
        <v>3.0439581597008214E-3</v>
      </c>
      <c r="V251" s="1779">
        <v>3.7880097950999669E-3</v>
      </c>
      <c r="W251" s="1779">
        <v>4.5072612840986181E-3</v>
      </c>
      <c r="X251" s="1779">
        <v>5.2213450049993781E-3</v>
      </c>
      <c r="Y251" s="1779">
        <v>5.9298262703002536E-3</v>
      </c>
      <c r="Z251" s="1779">
        <v>6.6336833909996784E-3</v>
      </c>
      <c r="AA251" s="1779">
        <v>7.3340038329998691E-3</v>
      </c>
      <c r="AB251" s="1779">
        <v>7.310275623499507E-3</v>
      </c>
      <c r="AC251" s="1779">
        <v>7.2875865650985361E-3</v>
      </c>
      <c r="AD251" s="1779">
        <v>7.2689216290005021E-3</v>
      </c>
      <c r="AE251" s="1779">
        <v>7.2501894383005805E-3</v>
      </c>
      <c r="AF251" s="1779">
        <v>7.2268345811998813E-3</v>
      </c>
      <c r="AG251" s="1779">
        <v>7.2018840931988848E-3</v>
      </c>
      <c r="AH251" s="1779">
        <v>7.1780868481994275E-3</v>
      </c>
      <c r="AI251" s="1779">
        <v>7.1564912776995726E-3</v>
      </c>
      <c r="AJ251" s="1779">
        <v>7.136475193899372E-3</v>
      </c>
      <c r="AK251" s="1779">
        <v>7.1179209777998409E-3</v>
      </c>
      <c r="AL251" s="1779">
        <v>7.0989899091991049E-3</v>
      </c>
      <c r="AM251" s="1779">
        <v>7.080319345300623E-3</v>
      </c>
      <c r="AN251" s="1779">
        <v>7.0647923447992866E-3</v>
      </c>
      <c r="AO251" s="1779">
        <v>7.052034553801434E-3</v>
      </c>
      <c r="AP251" s="1779">
        <v>7.0415588305987598E-3</v>
      </c>
      <c r="AQ251" s="1779"/>
      <c r="AR251" s="1779"/>
      <c r="AS251" s="1779"/>
      <c r="AT251" s="1779"/>
      <c r="AU251" s="1779"/>
      <c r="AV251" s="1779"/>
      <c r="AW251" s="1779"/>
      <c r="AX251" s="1779"/>
      <c r="AY251" s="1779"/>
      <c r="AZ251" s="1779"/>
      <c r="BA251" s="1779"/>
      <c r="BB251" s="1779"/>
      <c r="BC251" s="1779"/>
      <c r="BD251" s="1779"/>
      <c r="BE251" s="1779"/>
      <c r="BF251" s="1779"/>
      <c r="BG251" s="1779"/>
      <c r="BH251" s="1779"/>
      <c r="BI251" s="1779"/>
      <c r="BJ251" s="1779"/>
      <c r="BK251" s="1779"/>
      <c r="BL251" s="1779"/>
      <c r="BM251" s="1779"/>
      <c r="BN251" s="1779"/>
      <c r="BO251" s="1779"/>
      <c r="BP251" s="1780"/>
      <c r="BQ251" s="1755"/>
      <c r="BR251" s="1755"/>
      <c r="BS251" s="1755"/>
      <c r="BT251" s="1755"/>
      <c r="BU251" s="1755"/>
      <c r="BV251" s="1755"/>
      <c r="BW251" s="1755"/>
      <c r="BX251" s="1755"/>
      <c r="BY251" s="1755"/>
      <c r="BZ251" s="1755"/>
      <c r="CA251" s="1755"/>
      <c r="CB251" s="1755"/>
      <c r="CC251" s="1755"/>
      <c r="CD251" s="1755"/>
      <c r="CE251" s="1755"/>
      <c r="CF251" s="1755"/>
      <c r="CG251" s="1755"/>
      <c r="CH251" s="1755"/>
      <c r="CI251" s="1755"/>
      <c r="CJ251" s="1755"/>
      <c r="CK251" s="1755"/>
      <c r="CL251" s="1755"/>
      <c r="CM251" s="1755"/>
      <c r="CN251" s="1756"/>
      <c r="CO251" s="1767"/>
    </row>
    <row r="252" spans="2:93" x14ac:dyDescent="0.2">
      <c r="B252" s="1707"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252" s="1703" t="s">
        <v>1082</v>
      </c>
      <c r="D252" s="1765" t="s">
        <v>1081</v>
      </c>
      <c r="E252" s="1723" t="s">
        <v>860</v>
      </c>
      <c r="F252" s="1747" t="str">
        <f>VLOOKUP(TBL5_OptBen[[#This Row],[Option Type (defined list)]],'Option Typs_Grps'!B$2:C$47, 2, FALSE)</f>
        <v>Distribution Options</v>
      </c>
      <c r="G252" s="1747" t="s">
        <v>863</v>
      </c>
      <c r="H252" s="1747" t="s">
        <v>1460</v>
      </c>
      <c r="I252" s="1747" t="s">
        <v>102</v>
      </c>
      <c r="J252" s="1747" t="s">
        <v>236</v>
      </c>
      <c r="K252" s="1760">
        <v>2</v>
      </c>
      <c r="L252" s="1779"/>
      <c r="M252" s="1779"/>
      <c r="N252" s="1779">
        <v>0</v>
      </c>
      <c r="O252" s="1780">
        <v>0</v>
      </c>
      <c r="P252" s="1780">
        <v>0</v>
      </c>
      <c r="Q252" s="1779">
        <v>0</v>
      </c>
      <c r="R252" s="1779">
        <v>-1.6145513693702762E-3</v>
      </c>
      <c r="S252" s="1779">
        <v>-2.862783471225816E-3</v>
      </c>
      <c r="T252" s="1779">
        <v>4.2861807559981813E-3</v>
      </c>
      <c r="U252" s="1779">
        <v>1.1415347046815683E-2</v>
      </c>
      <c r="V252" s="1779">
        <v>1.8531374394505473E-2</v>
      </c>
      <c r="W252" s="1779">
        <v>2.5451428441384927E-2</v>
      </c>
      <c r="X252" s="1779">
        <v>3.2180298944493591E-2</v>
      </c>
      <c r="Y252" s="1779">
        <v>3.8899833363210901E-2</v>
      </c>
      <c r="Z252" s="1779">
        <v>4.5608061135080202E-2</v>
      </c>
      <c r="AA252" s="1779">
        <v>5.2304537552386288E-2</v>
      </c>
      <c r="AB252" s="1779">
        <v>5.8990056648910771E-2</v>
      </c>
      <c r="AC252" s="1779">
        <v>6.5666109426501196E-2</v>
      </c>
      <c r="AD252" s="1779">
        <v>7.2333316033205697E-2</v>
      </c>
      <c r="AE252" s="1779">
        <v>7.8990073448521048E-2</v>
      </c>
      <c r="AF252" s="1779">
        <v>8.5637468534773387E-2</v>
      </c>
      <c r="AG252" s="1779">
        <v>9.2272138106391566E-2</v>
      </c>
      <c r="AH252" s="1779">
        <v>9.8894373222669807E-2</v>
      </c>
      <c r="AI252" s="1779">
        <v>0.10550826501916322</v>
      </c>
      <c r="AJ252" s="1779">
        <v>0.11211449054613076</v>
      </c>
      <c r="AK252" s="1779">
        <v>0.11871315190985066</v>
      </c>
      <c r="AL252" s="1779">
        <v>0.1253036603091634</v>
      </c>
      <c r="AM252" s="1779">
        <v>0.13188627416948917</v>
      </c>
      <c r="AN252" s="1779">
        <v>0.13846030482426297</v>
      </c>
      <c r="AO252" s="1779">
        <v>0.14502519801332275</v>
      </c>
      <c r="AP252" s="1779">
        <v>0.15158118891372041</v>
      </c>
      <c r="AQ252" s="1779"/>
      <c r="AR252" s="1779"/>
      <c r="AS252" s="1779"/>
      <c r="AT252" s="1779"/>
      <c r="AU252" s="1779"/>
      <c r="AV252" s="1779"/>
      <c r="AW252" s="1779"/>
      <c r="AX252" s="1779"/>
      <c r="AY252" s="1779"/>
      <c r="AZ252" s="1779"/>
      <c r="BA252" s="1779"/>
      <c r="BB252" s="1779"/>
      <c r="BC252" s="1779"/>
      <c r="BD252" s="1779"/>
      <c r="BE252" s="1779"/>
      <c r="BF252" s="1779"/>
      <c r="BG252" s="1779"/>
      <c r="BH252" s="1779"/>
      <c r="BI252" s="1779"/>
      <c r="BJ252" s="1779"/>
      <c r="BK252" s="1779"/>
      <c r="BL252" s="1779"/>
      <c r="BM252" s="1779"/>
      <c r="BN252" s="1779"/>
      <c r="BO252" s="1779"/>
      <c r="BP252" s="1780"/>
      <c r="BQ252" s="1755"/>
      <c r="BR252" s="1755"/>
      <c r="BS252" s="1755"/>
      <c r="BT252" s="1755"/>
      <c r="BU252" s="1755"/>
      <c r="BV252" s="1755"/>
      <c r="BW252" s="1755"/>
      <c r="BX252" s="1755"/>
      <c r="BY252" s="1755"/>
      <c r="BZ252" s="1755"/>
      <c r="CA252" s="1755"/>
      <c r="CB252" s="1755"/>
      <c r="CC252" s="1755"/>
      <c r="CD252" s="1755"/>
      <c r="CE252" s="1755"/>
      <c r="CF252" s="1755"/>
      <c r="CG252" s="1755"/>
      <c r="CH252" s="1755"/>
      <c r="CI252" s="1755"/>
      <c r="CJ252" s="1755"/>
      <c r="CK252" s="1755"/>
      <c r="CL252" s="1755"/>
      <c r="CM252" s="1755"/>
      <c r="CN252" s="1756"/>
      <c r="CO252" s="1767"/>
    </row>
    <row r="253" spans="2:93" ht="15" x14ac:dyDescent="0.25">
      <c r="B253" s="1707"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53" s="1703" t="s">
        <v>1119</v>
      </c>
      <c r="D253" s="1765" t="s">
        <v>1118</v>
      </c>
      <c r="E253" s="1723" t="s">
        <v>1099</v>
      </c>
      <c r="F253" s="1747" t="str">
        <f>VLOOKUP(TBL5_OptBen[[#This Row],[Option Type (defined list)]],'Option Typs_Grps'!B$2:C$47, 2, FALSE)</f>
        <v>Customer Options</v>
      </c>
      <c r="G253" s="1747" t="s">
        <v>863</v>
      </c>
      <c r="H253" s="1747" t="s">
        <v>1460</v>
      </c>
      <c r="I253" s="1747" t="s">
        <v>102</v>
      </c>
      <c r="J253" s="1747" t="s">
        <v>236</v>
      </c>
      <c r="K253" s="1760">
        <v>2</v>
      </c>
      <c r="L253" s="1779"/>
      <c r="M253" s="1779"/>
      <c r="N253" s="1779">
        <v>0</v>
      </c>
      <c r="O253" s="1780">
        <v>0</v>
      </c>
      <c r="P253" s="1780">
        <v>0</v>
      </c>
      <c r="Q253" s="1779">
        <v>0</v>
      </c>
      <c r="R253" s="1779">
        <v>9.2039513693702429E-3</v>
      </c>
      <c r="S253" s="1779">
        <v>1.8041583471225781E-2</v>
      </c>
      <c r="T253" s="1779">
        <v>1.8482019244001648E-2</v>
      </c>
      <c r="U253" s="1779">
        <v>1.8942252953184201E-2</v>
      </c>
      <c r="V253" s="1779">
        <v>1.9415625605494376E-2</v>
      </c>
      <c r="W253" s="1779">
        <v>2.0084971558614897E-2</v>
      </c>
      <c r="X253" s="1779">
        <v>2.0945501055506202E-2</v>
      </c>
      <c r="Y253" s="1779">
        <v>2.1815366636788788E-2</v>
      </c>
      <c r="Z253" s="1779">
        <v>2.2696538864919541E-2</v>
      </c>
      <c r="AA253" s="1779">
        <v>2.358946244761341E-2</v>
      </c>
      <c r="AB253" s="1779">
        <v>2.4493343351088825E-2</v>
      </c>
      <c r="AC253" s="1779">
        <v>2.5406690573498487E-2</v>
      </c>
      <c r="AD253" s="1779">
        <v>2.6328883966793899E-2</v>
      </c>
      <c r="AE253" s="1779">
        <v>2.726152655147851E-2</v>
      </c>
      <c r="AF253" s="1779">
        <v>2.8203531465226167E-2</v>
      </c>
      <c r="AG253" s="1779">
        <v>2.9158261893607956E-2</v>
      </c>
      <c r="AH253" s="1779">
        <v>3.0125426777329566E-2</v>
      </c>
      <c r="AI253" s="1779">
        <v>3.110093498083619E-2</v>
      </c>
      <c r="AJ253" s="1779">
        <v>3.2084109453868609E-2</v>
      </c>
      <c r="AK253" s="1779">
        <v>3.3074848090148691E-2</v>
      </c>
      <c r="AL253" s="1779">
        <v>3.4073739690835922E-2</v>
      </c>
      <c r="AM253" s="1779">
        <v>3.5080525830510134E-2</v>
      </c>
      <c r="AN253" s="1779">
        <v>3.6095895175736276E-2</v>
      </c>
      <c r="AO253" s="1779">
        <v>3.7120401986676516E-2</v>
      </c>
      <c r="AP253" s="1779">
        <v>3.8153811086279611E-2</v>
      </c>
      <c r="AQ253" s="1779"/>
      <c r="AR253" s="1779"/>
      <c r="AS253" s="1779"/>
      <c r="AT253" s="1779"/>
      <c r="AU253" s="1779"/>
      <c r="AV253" s="1779"/>
      <c r="AW253" s="1779"/>
      <c r="AX253" s="1779"/>
      <c r="AY253" s="1779"/>
      <c r="AZ253" s="1779"/>
      <c r="BA253" s="1779"/>
      <c r="BB253" s="1779"/>
      <c r="BC253" s="1779"/>
      <c r="BD253" s="1779"/>
      <c r="BE253" s="1779"/>
      <c r="BF253" s="1779"/>
      <c r="BG253" s="1779"/>
      <c r="BH253" s="1779"/>
      <c r="BI253" s="1779"/>
      <c r="BJ253" s="1779"/>
      <c r="BK253" s="1779"/>
      <c r="BL253" s="1779"/>
      <c r="BM253" s="1779"/>
      <c r="BN253" s="1779"/>
      <c r="BO253" s="1779"/>
      <c r="BP253" s="1780"/>
      <c r="BQ253" s="1755"/>
      <c r="BR253" s="1755"/>
      <c r="BS253" s="1755"/>
      <c r="BT253" s="1755"/>
      <c r="BU253" s="1755"/>
      <c r="BV253" s="1755"/>
      <c r="BW253" s="1755"/>
      <c r="BX253" s="1755"/>
      <c r="BY253" s="1755"/>
      <c r="BZ253" s="1755"/>
      <c r="CA253" s="1755"/>
      <c r="CB253" s="1755"/>
      <c r="CC253" s="1755"/>
      <c r="CD253" s="1755"/>
      <c r="CE253" s="1755"/>
      <c r="CF253" s="1755"/>
      <c r="CG253" s="1755"/>
      <c r="CH253" s="1755"/>
      <c r="CI253" s="1755"/>
      <c r="CJ253" s="1755"/>
      <c r="CK253" s="1755"/>
      <c r="CL253" s="1755"/>
      <c r="CM253" s="1755"/>
      <c r="CN253" s="1756"/>
      <c r="CO253" s="1767"/>
    </row>
    <row r="254" spans="2:93" x14ac:dyDescent="0.2">
      <c r="B254" s="1707"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54" s="1707" t="s">
        <v>1125</v>
      </c>
      <c r="D254" s="1765" t="s">
        <v>1474</v>
      </c>
      <c r="E254" s="1714" t="s">
        <v>987</v>
      </c>
      <c r="F254" s="1747" t="str">
        <f>VLOOKUP(TBL5_OptBen[[#This Row],[Option Type (defined list)]],'Option Typs_Grps'!B$2:C$47, 2, FALSE)</f>
        <v>Customer Options</v>
      </c>
      <c r="G254" s="1747" t="s">
        <v>863</v>
      </c>
      <c r="H254" s="1747" t="s">
        <v>1460</v>
      </c>
      <c r="I254" s="1747" t="s">
        <v>102</v>
      </c>
      <c r="J254" s="1747" t="s">
        <v>236</v>
      </c>
      <c r="K254" s="1760">
        <v>2</v>
      </c>
      <c r="L254" s="1779"/>
      <c r="M254" s="1779"/>
      <c r="N254" s="1779">
        <v>0</v>
      </c>
      <c r="O254" s="1780">
        <v>0</v>
      </c>
      <c r="P254" s="1780">
        <v>0</v>
      </c>
      <c r="Q254" s="1779">
        <v>0</v>
      </c>
      <c r="R254" s="1779">
        <v>7.6395995637987824E-3</v>
      </c>
      <c r="S254" s="1779">
        <v>1.5279199127601117E-2</v>
      </c>
      <c r="T254" s="1779">
        <v>2.2918798691300424E-2</v>
      </c>
      <c r="U254" s="1779">
        <v>3.0558398255099206E-2</v>
      </c>
      <c r="V254" s="1779">
        <v>3.8197997818800289E-2</v>
      </c>
      <c r="W254" s="1779">
        <v>5.4573490931600688E-2</v>
      </c>
      <c r="X254" s="1779">
        <v>7.0948984044200358E-2</v>
      </c>
      <c r="Y254" s="1779">
        <v>8.7324477156998981E-2</v>
      </c>
      <c r="Z254" s="1779">
        <v>0.1036999702696999</v>
      </c>
      <c r="AA254" s="1779">
        <v>0.12007546338239905</v>
      </c>
      <c r="AB254" s="1779">
        <v>0.13528648519999997</v>
      </c>
      <c r="AC254" s="1779">
        <v>0.15049750701740017</v>
      </c>
      <c r="AD254" s="1779">
        <v>0.16570852883490161</v>
      </c>
      <c r="AE254" s="1779">
        <v>0.16570852883489984</v>
      </c>
      <c r="AF254" s="1779">
        <v>0.16570852883500109</v>
      </c>
      <c r="AG254" s="1779">
        <v>0.16570852883499931</v>
      </c>
      <c r="AH254" s="1779">
        <v>0.16570852883489984</v>
      </c>
      <c r="AI254" s="1779">
        <v>0.16570852883499931</v>
      </c>
      <c r="AJ254" s="1779">
        <v>0.16570852883489984</v>
      </c>
      <c r="AK254" s="1779">
        <v>0.16570852883499931</v>
      </c>
      <c r="AL254" s="1779">
        <v>0.16570852883499931</v>
      </c>
      <c r="AM254" s="1779">
        <v>0.16570852883489984</v>
      </c>
      <c r="AN254" s="1779">
        <v>0.16570852883500109</v>
      </c>
      <c r="AO254" s="1779">
        <v>0.16570852883489984</v>
      </c>
      <c r="AP254" s="1779">
        <v>0.16570852883500109</v>
      </c>
      <c r="AQ254" s="1779"/>
      <c r="AR254" s="1779"/>
      <c r="AS254" s="1779"/>
      <c r="AT254" s="1779"/>
      <c r="AU254" s="1779"/>
      <c r="AV254" s="1779"/>
      <c r="AW254" s="1779"/>
      <c r="AX254" s="1779"/>
      <c r="AY254" s="1779"/>
      <c r="AZ254" s="1779"/>
      <c r="BA254" s="1779"/>
      <c r="BB254" s="1779"/>
      <c r="BC254" s="1779"/>
      <c r="BD254" s="1779"/>
      <c r="BE254" s="1779"/>
      <c r="BF254" s="1779"/>
      <c r="BG254" s="1779"/>
      <c r="BH254" s="1779"/>
      <c r="BI254" s="1779"/>
      <c r="BJ254" s="1779"/>
      <c r="BK254" s="1779"/>
      <c r="BL254" s="1779"/>
      <c r="BM254" s="1779"/>
      <c r="BN254" s="1779"/>
      <c r="BO254" s="1779"/>
      <c r="BP254" s="1780"/>
      <c r="BQ254" s="1755"/>
      <c r="BR254" s="1755"/>
      <c r="BS254" s="1755"/>
      <c r="BT254" s="1755"/>
      <c r="BU254" s="1755"/>
      <c r="BV254" s="1755"/>
      <c r="BW254" s="1755"/>
      <c r="BX254" s="1755"/>
      <c r="BY254" s="1755"/>
      <c r="BZ254" s="1755"/>
      <c r="CA254" s="1755"/>
      <c r="CB254" s="1755"/>
      <c r="CC254" s="1755"/>
      <c r="CD254" s="1755"/>
      <c r="CE254" s="1755"/>
      <c r="CF254" s="1755"/>
      <c r="CG254" s="1755"/>
      <c r="CH254" s="1755"/>
      <c r="CI254" s="1755"/>
      <c r="CJ254" s="1755"/>
      <c r="CK254" s="1755"/>
      <c r="CL254" s="1755"/>
      <c r="CM254" s="1755"/>
      <c r="CN254" s="1756"/>
      <c r="CO254" s="1767"/>
    </row>
    <row r="255" spans="2:93" x14ac:dyDescent="0.2">
      <c r="B255" s="1707"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55" s="1703" t="s">
        <v>1079</v>
      </c>
      <c r="D255" s="1765" t="s">
        <v>1078</v>
      </c>
      <c r="E255" s="1714" t="s">
        <v>987</v>
      </c>
      <c r="F255" s="1747" t="str">
        <f>VLOOKUP(TBL5_OptBen[[#This Row],[Option Type (defined list)]],'Option Typs_Grps'!B$2:C$47, 2, FALSE)</f>
        <v>Customer Options</v>
      </c>
      <c r="G255" s="1747" t="s">
        <v>863</v>
      </c>
      <c r="H255" s="1747" t="s">
        <v>1460</v>
      </c>
      <c r="I255" s="1747" t="s">
        <v>102</v>
      </c>
      <c r="J255" s="1747" t="s">
        <v>236</v>
      </c>
      <c r="K255" s="1760">
        <v>2</v>
      </c>
      <c r="L255" s="1779"/>
      <c r="M255" s="1779"/>
      <c r="N255" s="1779">
        <v>0</v>
      </c>
      <c r="O255" s="1780">
        <v>0</v>
      </c>
      <c r="P255" s="1780">
        <v>0</v>
      </c>
      <c r="Q255" s="1779">
        <v>0</v>
      </c>
      <c r="R255" s="1779">
        <v>0</v>
      </c>
      <c r="S255" s="1779">
        <v>0</v>
      </c>
      <c r="T255" s="1779">
        <v>9.4103258283002589E-3</v>
      </c>
      <c r="U255" s="1779">
        <v>1.8758815812800478E-2</v>
      </c>
      <c r="V255" s="1779">
        <v>2.8041152727400487E-2</v>
      </c>
      <c r="W255" s="1779">
        <v>3.72156604469005E-2</v>
      </c>
      <c r="X255" s="1779">
        <v>4.6320273715700466E-2</v>
      </c>
      <c r="Y255" s="1779">
        <v>5.5352766276298482E-2</v>
      </c>
      <c r="Z255" s="1779">
        <v>7.4432272134398403E-2</v>
      </c>
      <c r="AA255" s="1779">
        <v>9.3388923077800001E-2</v>
      </c>
      <c r="AB255" s="1779">
        <v>0.11225156561260086</v>
      </c>
      <c r="AC255" s="1779">
        <v>0.13103614773550021</v>
      </c>
      <c r="AD255" s="1779">
        <v>0.14975844047660125</v>
      </c>
      <c r="AE255" s="1779">
        <v>0.16838205952520013</v>
      </c>
      <c r="AF255" s="1779">
        <v>0.18678872830479953</v>
      </c>
      <c r="AG255" s="1779">
        <v>0.20502825271989877</v>
      </c>
      <c r="AH255" s="1779">
        <v>0.22317353806890061</v>
      </c>
      <c r="AI255" s="1779">
        <v>0.24129542120090086</v>
      </c>
      <c r="AJ255" s="1779">
        <v>0.24692362060729955</v>
      </c>
      <c r="AK255" s="1779">
        <v>0.25259487094830035</v>
      </c>
      <c r="AL255" s="1779">
        <v>0.25821975220410032</v>
      </c>
      <c r="AM255" s="1779">
        <v>0.26382100824690013</v>
      </c>
      <c r="AN255" s="1779">
        <v>0.26950931389390043</v>
      </c>
      <c r="AO255" s="1779">
        <v>0.27527842000570146</v>
      </c>
      <c r="AP255" s="1779">
        <v>0.28111624695820048</v>
      </c>
      <c r="AQ255" s="1752"/>
      <c r="AR255" s="1752"/>
      <c r="AS255" s="1752"/>
      <c r="AT255" s="1752"/>
      <c r="AU255" s="1752"/>
      <c r="AV255" s="1752"/>
      <c r="AW255" s="1752"/>
      <c r="AX255" s="1752"/>
      <c r="AY255" s="1752"/>
      <c r="AZ255" s="1752"/>
      <c r="BA255" s="1752"/>
      <c r="BB255" s="1752"/>
      <c r="BC255" s="1752"/>
      <c r="BD255" s="1752"/>
      <c r="BE255" s="1752"/>
      <c r="BF255" s="1752"/>
      <c r="BG255" s="1752"/>
      <c r="BH255" s="1752"/>
      <c r="BI255" s="1752"/>
      <c r="BJ255" s="1752"/>
      <c r="BK255" s="1752"/>
      <c r="BL255" s="1752"/>
      <c r="BM255" s="1752"/>
      <c r="BN255" s="1752"/>
      <c r="BO255" s="1752"/>
      <c r="BP255" s="1754"/>
      <c r="BQ255" s="1755"/>
      <c r="BR255" s="1755"/>
      <c r="BS255" s="1755"/>
      <c r="BT255" s="1755"/>
      <c r="BU255" s="1755"/>
      <c r="BV255" s="1755"/>
      <c r="BW255" s="1755"/>
      <c r="BX255" s="1755"/>
      <c r="BY255" s="1755"/>
      <c r="BZ255" s="1755"/>
      <c r="CA255" s="1755"/>
      <c r="CB255" s="1755"/>
      <c r="CC255" s="1755"/>
      <c r="CD255" s="1755"/>
      <c r="CE255" s="1755"/>
      <c r="CF255" s="1755"/>
      <c r="CG255" s="1755"/>
      <c r="CH255" s="1755"/>
      <c r="CI255" s="1755"/>
      <c r="CJ255" s="1755"/>
      <c r="CK255" s="1755"/>
      <c r="CL255" s="1755"/>
      <c r="CM255" s="1755"/>
      <c r="CN255" s="1756"/>
      <c r="CO255" s="1767"/>
    </row>
    <row r="256" spans="2:93" x14ac:dyDescent="0.2">
      <c r="B256" s="1707"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56" s="1747" t="s">
        <v>1067</v>
      </c>
      <c r="D256" s="1747" t="s">
        <v>1066</v>
      </c>
      <c r="E256" s="1747" t="s">
        <v>1068</v>
      </c>
      <c r="F256" s="1747" t="str">
        <f>VLOOKUP(TBL5_OptBen[[#This Row],[Option Type (defined list)]],'Option Typs_Grps'!B$2:C$47, 2, FALSE)</f>
        <v>Customer Options</v>
      </c>
      <c r="G256" s="1747" t="s">
        <v>863</v>
      </c>
      <c r="H256" s="1747" t="s">
        <v>1460</v>
      </c>
      <c r="I256" s="1747" t="s">
        <v>105</v>
      </c>
      <c r="J256" s="1747" t="s">
        <v>236</v>
      </c>
      <c r="K256" s="1760">
        <v>2</v>
      </c>
      <c r="L256" s="1779"/>
      <c r="M256" s="1779"/>
      <c r="N256" s="1779">
        <v>0</v>
      </c>
      <c r="O256" s="1780">
        <v>0</v>
      </c>
      <c r="P256" s="1780">
        <v>0</v>
      </c>
      <c r="Q256" s="1779">
        <v>0</v>
      </c>
      <c r="R256" s="1779">
        <v>-3.0250176832678055E-2</v>
      </c>
      <c r="S256" s="1779">
        <v>0.22092509792618942</v>
      </c>
      <c r="T256" s="1779">
        <v>0.44180783531048951</v>
      </c>
      <c r="U256" s="1779">
        <v>0.65676649195386716</v>
      </c>
      <c r="V256" s="1779">
        <v>0.74603012807686042</v>
      </c>
      <c r="W256" s="1779">
        <v>0.67123336816176948</v>
      </c>
      <c r="X256" s="1779">
        <v>0.56160146727783111</v>
      </c>
      <c r="Y256" s="1779">
        <v>0.569141486410361</v>
      </c>
      <c r="Z256" s="1779">
        <v>0.56222283464014211</v>
      </c>
      <c r="AA256" s="1779">
        <v>0.57604467671953508</v>
      </c>
      <c r="AB256" s="1779">
        <v>0.58287426680638443</v>
      </c>
      <c r="AC256" s="1779">
        <v>0.5918935824934346</v>
      </c>
      <c r="AD256" s="1779">
        <v>0.60111067476332636</v>
      </c>
      <c r="AE256" s="1779">
        <v>0.61075432210265568</v>
      </c>
      <c r="AF256" s="1779">
        <v>0.62047119950066865</v>
      </c>
      <c r="AG256" s="1779">
        <v>0.62710990671047462</v>
      </c>
      <c r="AH256" s="1779">
        <v>0.63765170324713516</v>
      </c>
      <c r="AI256" s="1779">
        <v>0.64710000505310106</v>
      </c>
      <c r="AJ256" s="1779">
        <v>0.65750529700698657</v>
      </c>
      <c r="AK256" s="1779">
        <v>0.66793736733069409</v>
      </c>
      <c r="AL256" s="1779">
        <v>0.67795511886693127</v>
      </c>
      <c r="AM256" s="1779">
        <v>0.68819476295195159</v>
      </c>
      <c r="AN256" s="1779">
        <v>0.69833323270556491</v>
      </c>
      <c r="AO256" s="1779">
        <v>0.708452004238044</v>
      </c>
      <c r="AP256" s="1779">
        <v>0.71892658861624348</v>
      </c>
      <c r="AQ256" s="1779"/>
      <c r="AR256" s="1779"/>
      <c r="AS256" s="1779"/>
      <c r="AT256" s="1779"/>
      <c r="AU256" s="1779"/>
      <c r="AV256" s="1779"/>
      <c r="AW256" s="1779"/>
      <c r="AX256" s="1779"/>
      <c r="AY256" s="1779"/>
      <c r="AZ256" s="1779"/>
      <c r="BA256" s="1779"/>
      <c r="BB256" s="1779"/>
      <c r="BC256" s="1779"/>
      <c r="BD256" s="1779"/>
      <c r="BE256" s="1779"/>
      <c r="BF256" s="1779"/>
      <c r="BG256" s="1779"/>
      <c r="BH256" s="1779"/>
      <c r="BI256" s="1779"/>
      <c r="BJ256" s="1779"/>
      <c r="BK256" s="1779"/>
      <c r="BL256" s="1779"/>
      <c r="BM256" s="1779"/>
      <c r="BN256" s="1779"/>
      <c r="BO256" s="1779"/>
      <c r="BP256" s="1780"/>
      <c r="BQ256" s="1755"/>
      <c r="BR256" s="1755"/>
      <c r="BS256" s="1755"/>
      <c r="BT256" s="1755"/>
      <c r="BU256" s="1755"/>
      <c r="BV256" s="1755"/>
      <c r="BW256" s="1755"/>
      <c r="BX256" s="1755"/>
      <c r="BY256" s="1755"/>
      <c r="BZ256" s="1755"/>
      <c r="CA256" s="1755"/>
      <c r="CB256" s="1755"/>
      <c r="CC256" s="1755"/>
      <c r="CD256" s="1755"/>
      <c r="CE256" s="1755"/>
      <c r="CF256" s="1755"/>
      <c r="CG256" s="1755"/>
      <c r="CH256" s="1755"/>
      <c r="CI256" s="1755"/>
      <c r="CJ256" s="1755"/>
      <c r="CK256" s="1755"/>
      <c r="CL256" s="1755"/>
      <c r="CM256" s="1755"/>
      <c r="CN256" s="1756"/>
      <c r="CO256" s="1767"/>
    </row>
    <row r="257" spans="2:93" x14ac:dyDescent="0.2">
      <c r="B257" s="1707"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57" s="1747" t="s">
        <v>1075</v>
      </c>
      <c r="D257" s="1747" t="s">
        <v>1074</v>
      </c>
      <c r="E257" s="1747" t="s">
        <v>987</v>
      </c>
      <c r="F257" s="1747" t="str">
        <f>VLOOKUP(TBL5_OptBen[[#This Row],[Option Type (defined list)]],'Option Typs_Grps'!B$2:C$47, 2, FALSE)</f>
        <v>Customer Options</v>
      </c>
      <c r="G257" s="1747" t="s">
        <v>863</v>
      </c>
      <c r="H257" s="1747" t="s">
        <v>1460</v>
      </c>
      <c r="I257" s="1747" t="s">
        <v>105</v>
      </c>
      <c r="J257" s="1747" t="s">
        <v>236</v>
      </c>
      <c r="K257" s="1760">
        <v>2</v>
      </c>
      <c r="L257" s="1779"/>
      <c r="M257" s="1779"/>
      <c r="N257" s="1779">
        <v>0</v>
      </c>
      <c r="O257" s="1780">
        <v>0</v>
      </c>
      <c r="P257" s="1780">
        <v>0</v>
      </c>
      <c r="Q257" s="1779">
        <v>0</v>
      </c>
      <c r="R257" s="1779">
        <v>0.22449124655680208</v>
      </c>
      <c r="S257" s="1779">
        <v>0.44594592523610288</v>
      </c>
      <c r="T257" s="1779">
        <v>0.6662845238058992</v>
      </c>
      <c r="U257" s="1779">
        <v>0.88511942941270405</v>
      </c>
      <c r="V257" s="1779">
        <v>1.1020394620337015</v>
      </c>
      <c r="W257" s="1779">
        <v>1.3069039598269043</v>
      </c>
      <c r="X257" s="1779">
        <v>1.5109756718536005</v>
      </c>
      <c r="Y257" s="1779">
        <v>1.7137361579889046</v>
      </c>
      <c r="Z257" s="1779">
        <v>1.9155081107526968</v>
      </c>
      <c r="AA257" s="1779">
        <v>2.1171663775421052</v>
      </c>
      <c r="AB257" s="1779">
        <v>2.1854288201938985</v>
      </c>
      <c r="AC257" s="1779">
        <v>2.2525336110454006</v>
      </c>
      <c r="AD257" s="1779">
        <v>2.3186815926924993</v>
      </c>
      <c r="AE257" s="1779">
        <v>2.3845916997709011</v>
      </c>
      <c r="AF257" s="1779">
        <v>2.4508174073359967</v>
      </c>
      <c r="AG257" s="1779">
        <v>2.5142781679200965</v>
      </c>
      <c r="AH257" s="1779">
        <v>2.5768563611098969</v>
      </c>
      <c r="AI257" s="1779">
        <v>2.6386977728547976</v>
      </c>
      <c r="AJ257" s="1779">
        <v>2.6998942294479988</v>
      </c>
      <c r="AK257" s="1779">
        <v>2.7603311018409045</v>
      </c>
      <c r="AL257" s="1779">
        <v>2.8174101032381955</v>
      </c>
      <c r="AM257" s="1779">
        <v>2.8736127788586998</v>
      </c>
      <c r="AN257" s="1779">
        <v>2.9293708811567996</v>
      </c>
      <c r="AO257" s="1779">
        <v>2.9847736388110988</v>
      </c>
      <c r="AP257" s="1779">
        <v>2.9767429813442021</v>
      </c>
      <c r="AQ257" s="1779"/>
      <c r="AR257" s="1779"/>
      <c r="AS257" s="1779"/>
      <c r="AT257" s="1779"/>
      <c r="AU257" s="1779"/>
      <c r="AV257" s="1779"/>
      <c r="AW257" s="1779"/>
      <c r="AX257" s="1779"/>
      <c r="AY257" s="1779"/>
      <c r="AZ257" s="1779"/>
      <c r="BA257" s="1779"/>
      <c r="BB257" s="1779"/>
      <c r="BC257" s="1779"/>
      <c r="BD257" s="1779"/>
      <c r="BE257" s="1779"/>
      <c r="BF257" s="1779"/>
      <c r="BG257" s="1779"/>
      <c r="BH257" s="1779"/>
      <c r="BI257" s="1779"/>
      <c r="BJ257" s="1779"/>
      <c r="BK257" s="1779"/>
      <c r="BL257" s="1779"/>
      <c r="BM257" s="1779"/>
      <c r="BN257" s="1779"/>
      <c r="BO257" s="1779"/>
      <c r="BP257" s="1780"/>
      <c r="BQ257" s="1755"/>
      <c r="BR257" s="1755"/>
      <c r="BS257" s="1755"/>
      <c r="BT257" s="1755"/>
      <c r="BU257" s="1755"/>
      <c r="BV257" s="1755"/>
      <c r="BW257" s="1755"/>
      <c r="BX257" s="1755"/>
      <c r="BY257" s="1755"/>
      <c r="BZ257" s="1755"/>
      <c r="CA257" s="1755"/>
      <c r="CB257" s="1755"/>
      <c r="CC257" s="1755"/>
      <c r="CD257" s="1755"/>
      <c r="CE257" s="1755"/>
      <c r="CF257" s="1755"/>
      <c r="CG257" s="1755"/>
      <c r="CH257" s="1755"/>
      <c r="CI257" s="1755"/>
      <c r="CJ257" s="1755"/>
      <c r="CK257" s="1755"/>
      <c r="CL257" s="1755"/>
      <c r="CM257" s="1755"/>
      <c r="CN257" s="1756"/>
      <c r="CO257" s="1767"/>
    </row>
    <row r="258" spans="2:93" x14ac:dyDescent="0.2">
      <c r="B258" s="1707"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58" s="1747" t="s">
        <v>1123</v>
      </c>
      <c r="D258" s="1747" t="s">
        <v>1122</v>
      </c>
      <c r="E258" s="1747" t="s">
        <v>987</v>
      </c>
      <c r="F258" s="1747" t="str">
        <f>VLOOKUP(TBL5_OptBen[[#This Row],[Option Type (defined list)]],'Option Typs_Grps'!B$2:C$47, 2, FALSE)</f>
        <v>Customer Options</v>
      </c>
      <c r="G258" s="1747" t="s">
        <v>863</v>
      </c>
      <c r="H258" s="1747" t="s">
        <v>1460</v>
      </c>
      <c r="I258" s="1747" t="s">
        <v>105</v>
      </c>
      <c r="J258" s="1747" t="s">
        <v>236</v>
      </c>
      <c r="K258" s="1760">
        <v>2</v>
      </c>
      <c r="L258" s="1779"/>
      <c r="M258" s="1779"/>
      <c r="N258" s="1779">
        <v>0</v>
      </c>
      <c r="O258" s="1780">
        <v>0</v>
      </c>
      <c r="P258" s="1780">
        <v>0</v>
      </c>
      <c r="Q258" s="1779">
        <v>0</v>
      </c>
      <c r="R258" s="1779">
        <v>0.25285197876790022</v>
      </c>
      <c r="S258" s="1779">
        <v>0.28915600381380102</v>
      </c>
      <c r="T258" s="1779">
        <v>0.85611904685490003</v>
      </c>
      <c r="U258" s="1779">
        <v>1.1682636737810981</v>
      </c>
      <c r="V258" s="1779">
        <v>1.2988043173646986</v>
      </c>
      <c r="W258" s="1779">
        <v>1.3410526156413951</v>
      </c>
      <c r="X258" s="1779">
        <v>1.3833378679479011</v>
      </c>
      <c r="Y258" s="1779">
        <v>1.4249758066094955</v>
      </c>
      <c r="Z258" s="1779">
        <v>1.4661822578709049</v>
      </c>
      <c r="AA258" s="1779">
        <v>1.376736671158497</v>
      </c>
      <c r="AB258" s="1779">
        <v>1.3711449088019023</v>
      </c>
      <c r="AC258" s="1779">
        <v>1.3655705656969985</v>
      </c>
      <c r="AD258" s="1779">
        <v>1.3600865454248989</v>
      </c>
      <c r="AE258" s="1779">
        <v>1.3549934973377944</v>
      </c>
      <c r="AF258" s="1779">
        <v>1.3505218764641995</v>
      </c>
      <c r="AG258" s="1779">
        <v>1.3462455303585017</v>
      </c>
      <c r="AH258" s="1779">
        <v>1.3420285073993981</v>
      </c>
      <c r="AI258" s="1779">
        <v>1.3379199848717036</v>
      </c>
      <c r="AJ258" s="1779">
        <v>1.3339463027527998</v>
      </c>
      <c r="AK258" s="1779">
        <v>1.3300438899332008</v>
      </c>
      <c r="AL258" s="1779">
        <v>1.3260841828720018</v>
      </c>
      <c r="AM258" s="1779">
        <v>1.3221056454912983</v>
      </c>
      <c r="AN258" s="1779">
        <v>1.3182852448858</v>
      </c>
      <c r="AO258" s="1779">
        <v>1.3146506739254988</v>
      </c>
      <c r="AP258" s="1779">
        <v>1.3739241314790007</v>
      </c>
      <c r="AQ258" s="1779"/>
      <c r="AR258" s="1779"/>
      <c r="AS258" s="1779"/>
      <c r="AT258" s="1779"/>
      <c r="AU258" s="1779"/>
      <c r="AV258" s="1779"/>
      <c r="AW258" s="1779"/>
      <c r="AX258" s="1779"/>
      <c r="AY258" s="1779"/>
      <c r="AZ258" s="1779"/>
      <c r="BA258" s="1779"/>
      <c r="BB258" s="1779"/>
      <c r="BC258" s="1779"/>
      <c r="BD258" s="1779"/>
      <c r="BE258" s="1779"/>
      <c r="BF258" s="1779"/>
      <c r="BG258" s="1779"/>
      <c r="BH258" s="1779"/>
      <c r="BI258" s="1779"/>
      <c r="BJ258" s="1779"/>
      <c r="BK258" s="1779"/>
      <c r="BL258" s="1779"/>
      <c r="BM258" s="1779"/>
      <c r="BN258" s="1779"/>
      <c r="BO258" s="1779"/>
      <c r="BP258" s="1780"/>
      <c r="BQ258" s="1755"/>
      <c r="BR258" s="1755"/>
      <c r="BS258" s="1755"/>
      <c r="BT258" s="1755"/>
      <c r="BU258" s="1755"/>
      <c r="BV258" s="1755"/>
      <c r="BW258" s="1755"/>
      <c r="BX258" s="1755"/>
      <c r="BY258" s="1755"/>
      <c r="BZ258" s="1755"/>
      <c r="CA258" s="1755"/>
      <c r="CB258" s="1755"/>
      <c r="CC258" s="1755"/>
      <c r="CD258" s="1755"/>
      <c r="CE258" s="1755"/>
      <c r="CF258" s="1755"/>
      <c r="CG258" s="1755"/>
      <c r="CH258" s="1755"/>
      <c r="CI258" s="1755"/>
      <c r="CJ258" s="1755"/>
      <c r="CK258" s="1755"/>
      <c r="CL258" s="1755"/>
      <c r="CM258" s="1755"/>
      <c r="CN258" s="1756"/>
      <c r="CO258" s="1767"/>
    </row>
    <row r="259" spans="2:93" x14ac:dyDescent="0.2">
      <c r="B259" s="1707"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259" s="1747" t="s">
        <v>1082</v>
      </c>
      <c r="D259" s="1747" t="s">
        <v>1081</v>
      </c>
      <c r="E259" s="1747" t="s">
        <v>860</v>
      </c>
      <c r="F259" s="1747" t="str">
        <f>VLOOKUP(TBL5_OptBen[[#This Row],[Option Type (defined list)]],'Option Typs_Grps'!B$2:C$47, 2, FALSE)</f>
        <v>Distribution Options</v>
      </c>
      <c r="G259" s="1747" t="s">
        <v>863</v>
      </c>
      <c r="H259" s="1747" t="s">
        <v>1460</v>
      </c>
      <c r="I259" s="1747" t="s">
        <v>105</v>
      </c>
      <c r="J259" s="1747" t="s">
        <v>236</v>
      </c>
      <c r="K259" s="1760">
        <v>2</v>
      </c>
      <c r="L259" s="1779"/>
      <c r="M259" s="1779"/>
      <c r="N259" s="1779">
        <v>0</v>
      </c>
      <c r="O259" s="1780">
        <v>0</v>
      </c>
      <c r="P259" s="1780">
        <v>0</v>
      </c>
      <c r="Q259" s="1779">
        <v>0</v>
      </c>
      <c r="R259" s="1779">
        <v>2.0497010939743765E-2</v>
      </c>
      <c r="S259" s="1779">
        <v>2.8131052956422264E-2</v>
      </c>
      <c r="T259" s="1779">
        <v>9.7854674088195814E-3</v>
      </c>
      <c r="U259" s="1779">
        <v>-2.0179402831490112E-2</v>
      </c>
      <c r="V259" s="1779">
        <v>-3.3449196205928011E-2</v>
      </c>
      <c r="W259" s="1779">
        <v>-2.1372962654336192E-2</v>
      </c>
      <c r="X259" s="1779">
        <v>-6.954358139554806E-5</v>
      </c>
      <c r="Y259" s="1779">
        <v>2.1176585235679113E-2</v>
      </c>
      <c r="Z259" s="1779">
        <v>4.2354618941040423E-2</v>
      </c>
      <c r="AA259" s="1779">
        <v>6.3463175295519481E-2</v>
      </c>
      <c r="AB259" s="1779">
        <v>8.4468033114998065E-2</v>
      </c>
      <c r="AC259" s="1779">
        <v>0.10537309422437291</v>
      </c>
      <c r="AD259" s="1779">
        <v>0.12621569853705017</v>
      </c>
      <c r="AE259" s="1779">
        <v>0.14699737189668394</v>
      </c>
      <c r="AF259" s="1779">
        <v>0.16772764836791842</v>
      </c>
      <c r="AG259" s="1779">
        <v>0.18840041528255469</v>
      </c>
      <c r="AH259" s="1779">
        <v>0.20901849631826996</v>
      </c>
      <c r="AI259" s="1779">
        <v>0.22958098505130908</v>
      </c>
      <c r="AJ259" s="1779">
        <v>0.25008862554965239</v>
      </c>
      <c r="AK259" s="1779">
        <v>0.27054286884443735</v>
      </c>
      <c r="AL259" s="1779">
        <v>0.29094479727368583</v>
      </c>
      <c r="AM259" s="1779">
        <v>0.31129537924124362</v>
      </c>
      <c r="AN259" s="1779">
        <v>0.33159588466125323</v>
      </c>
      <c r="AO259" s="1779">
        <v>0.35184825930580232</v>
      </c>
      <c r="AP259" s="1779">
        <v>0.3720534466407468</v>
      </c>
      <c r="AQ259" s="1779"/>
      <c r="AR259" s="1779"/>
      <c r="AS259" s="1779"/>
      <c r="AT259" s="1779"/>
      <c r="AU259" s="1779"/>
      <c r="AV259" s="1779"/>
      <c r="AW259" s="1779"/>
      <c r="AX259" s="1779"/>
      <c r="AY259" s="1779"/>
      <c r="AZ259" s="1779"/>
      <c r="BA259" s="1779"/>
      <c r="BB259" s="1779"/>
      <c r="BC259" s="1779"/>
      <c r="BD259" s="1779"/>
      <c r="BE259" s="1779"/>
      <c r="BF259" s="1779"/>
      <c r="BG259" s="1779"/>
      <c r="BH259" s="1779"/>
      <c r="BI259" s="1779"/>
      <c r="BJ259" s="1779"/>
      <c r="BK259" s="1779"/>
      <c r="BL259" s="1779"/>
      <c r="BM259" s="1779"/>
      <c r="BN259" s="1779"/>
      <c r="BO259" s="1779"/>
      <c r="BP259" s="1780"/>
      <c r="BQ259" s="1755"/>
      <c r="BR259" s="1755"/>
      <c r="BS259" s="1755"/>
      <c r="BT259" s="1755"/>
      <c r="BU259" s="1755"/>
      <c r="BV259" s="1755"/>
      <c r="BW259" s="1755"/>
      <c r="BX259" s="1755"/>
      <c r="BY259" s="1755"/>
      <c r="BZ259" s="1755"/>
      <c r="CA259" s="1755"/>
      <c r="CB259" s="1755"/>
      <c r="CC259" s="1755"/>
      <c r="CD259" s="1755"/>
      <c r="CE259" s="1755"/>
      <c r="CF259" s="1755"/>
      <c r="CG259" s="1755"/>
      <c r="CH259" s="1755"/>
      <c r="CI259" s="1755"/>
      <c r="CJ259" s="1755"/>
      <c r="CK259" s="1755"/>
      <c r="CL259" s="1755"/>
      <c r="CM259" s="1755"/>
      <c r="CN259" s="1756"/>
      <c r="CO259" s="1767"/>
    </row>
    <row r="260" spans="2:93" x14ac:dyDescent="0.2">
      <c r="B260" s="1707"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60" s="1747" t="s">
        <v>1119</v>
      </c>
      <c r="D260" s="1747" t="s">
        <v>1118</v>
      </c>
      <c r="E260" s="1747" t="s">
        <v>1099</v>
      </c>
      <c r="F260" s="1747" t="str">
        <f>VLOOKUP(TBL5_OptBen[[#This Row],[Option Type (defined list)]],'Option Typs_Grps'!B$2:C$47, 2, FALSE)</f>
        <v>Customer Options</v>
      </c>
      <c r="G260" s="1747" t="s">
        <v>863</v>
      </c>
      <c r="H260" s="1747" t="s">
        <v>1460</v>
      </c>
      <c r="I260" s="1747" t="s">
        <v>105</v>
      </c>
      <c r="J260" s="1747" t="s">
        <v>236</v>
      </c>
      <c r="K260" s="1760">
        <v>2</v>
      </c>
      <c r="L260" s="1779"/>
      <c r="M260" s="1779"/>
      <c r="N260" s="1779">
        <v>0</v>
      </c>
      <c r="O260" s="1780">
        <v>0</v>
      </c>
      <c r="P260" s="1780">
        <v>0</v>
      </c>
      <c r="Q260" s="1779">
        <v>0</v>
      </c>
      <c r="R260" s="1779">
        <v>7.67658906025619E-3</v>
      </c>
      <c r="S260" s="1779">
        <v>2.8216147043577881E-2</v>
      </c>
      <c r="T260" s="1779">
        <v>7.4735332591180786E-2</v>
      </c>
      <c r="U260" s="1779">
        <v>0.13287380283149092</v>
      </c>
      <c r="V260" s="1779">
        <v>0.17431719620592837</v>
      </c>
      <c r="W260" s="1779">
        <v>0.19041456265433712</v>
      </c>
      <c r="X260" s="1779">
        <v>0.19728474358139669</v>
      </c>
      <c r="Y260" s="1779">
        <v>0.20421221476432208</v>
      </c>
      <c r="Z260" s="1779">
        <v>0.21120778105896068</v>
      </c>
      <c r="AA260" s="1779">
        <v>0.21827282470448189</v>
      </c>
      <c r="AB260" s="1779">
        <v>0.22544156688500333</v>
      </c>
      <c r="AC260" s="1779">
        <v>0.23271010577562865</v>
      </c>
      <c r="AD260" s="1779">
        <v>0.24004110146295188</v>
      </c>
      <c r="AE260" s="1779">
        <v>0.24743302810331808</v>
      </c>
      <c r="AF260" s="1779">
        <v>0.25487635163208355</v>
      </c>
      <c r="AG260" s="1779">
        <v>0.26237718471744731</v>
      </c>
      <c r="AH260" s="1779">
        <v>0.26993270368173239</v>
      </c>
      <c r="AI260" s="1779">
        <v>0.27754381494869351</v>
      </c>
      <c r="AJ260" s="1779">
        <v>0.28520977445035034</v>
      </c>
      <c r="AK260" s="1779">
        <v>0.29292913115556524</v>
      </c>
      <c r="AL260" s="1779">
        <v>0.30070080272631694</v>
      </c>
      <c r="AM260" s="1779">
        <v>0.30852382075875928</v>
      </c>
      <c r="AN260" s="1779">
        <v>0.31639691533875025</v>
      </c>
      <c r="AO260" s="1779">
        <v>0.32431814069420095</v>
      </c>
      <c r="AP260" s="1779">
        <v>0.33228655335925339</v>
      </c>
      <c r="AQ260" s="1779"/>
      <c r="AR260" s="1779"/>
      <c r="AS260" s="1779"/>
      <c r="AT260" s="1779"/>
      <c r="AU260" s="1779"/>
      <c r="AV260" s="1779"/>
      <c r="AW260" s="1779"/>
      <c r="AX260" s="1779"/>
      <c r="AY260" s="1779"/>
      <c r="AZ260" s="1779"/>
      <c r="BA260" s="1779"/>
      <c r="BB260" s="1779"/>
      <c r="BC260" s="1779"/>
      <c r="BD260" s="1779"/>
      <c r="BE260" s="1779"/>
      <c r="BF260" s="1779"/>
      <c r="BG260" s="1779"/>
      <c r="BH260" s="1779"/>
      <c r="BI260" s="1779"/>
      <c r="BJ260" s="1779"/>
      <c r="BK260" s="1779"/>
      <c r="BL260" s="1779"/>
      <c r="BM260" s="1779"/>
      <c r="BN260" s="1779"/>
      <c r="BO260" s="1779"/>
      <c r="BP260" s="1780"/>
      <c r="BQ260" s="1755"/>
      <c r="BR260" s="1755"/>
      <c r="BS260" s="1755"/>
      <c r="BT260" s="1755"/>
      <c r="BU260" s="1755"/>
      <c r="BV260" s="1755"/>
      <c r="BW260" s="1755"/>
      <c r="BX260" s="1755"/>
      <c r="BY260" s="1755"/>
      <c r="BZ260" s="1755"/>
      <c r="CA260" s="1755"/>
      <c r="CB260" s="1755"/>
      <c r="CC260" s="1755"/>
      <c r="CD260" s="1755"/>
      <c r="CE260" s="1755"/>
      <c r="CF260" s="1755"/>
      <c r="CG260" s="1755"/>
      <c r="CH260" s="1755"/>
      <c r="CI260" s="1755"/>
      <c r="CJ260" s="1755"/>
      <c r="CK260" s="1755"/>
      <c r="CL260" s="1755"/>
      <c r="CM260" s="1755"/>
      <c r="CN260" s="1756"/>
      <c r="CO260" s="1767"/>
    </row>
    <row r="261" spans="2:93" x14ac:dyDescent="0.2">
      <c r="B261" s="1707"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61" s="1747" t="s">
        <v>1125</v>
      </c>
      <c r="D261" s="1747" t="s">
        <v>1474</v>
      </c>
      <c r="E261" s="1747" t="s">
        <v>987</v>
      </c>
      <c r="F261" s="1747" t="str">
        <f>VLOOKUP(TBL5_OptBen[[#This Row],[Option Type (defined list)]],'Option Typs_Grps'!B$2:C$47, 2, FALSE)</f>
        <v>Customer Options</v>
      </c>
      <c r="G261" s="1747" t="s">
        <v>863</v>
      </c>
      <c r="H261" s="1747" t="s">
        <v>1460</v>
      </c>
      <c r="I261" s="1747" t="s">
        <v>105</v>
      </c>
      <c r="J261" s="1747" t="s">
        <v>236</v>
      </c>
      <c r="K261" s="1760">
        <v>2</v>
      </c>
      <c r="L261" s="1779"/>
      <c r="M261" s="1779"/>
      <c r="N261" s="1779">
        <v>0</v>
      </c>
      <c r="O261" s="1780">
        <v>0</v>
      </c>
      <c r="P261" s="1780">
        <v>0</v>
      </c>
      <c r="Q261" s="1779">
        <v>0</v>
      </c>
      <c r="R261" s="1779">
        <v>6.3419152100898657E-2</v>
      </c>
      <c r="S261" s="1779">
        <v>0.1268383042019039</v>
      </c>
      <c r="T261" s="1779">
        <v>0.19025745630289492</v>
      </c>
      <c r="U261" s="1779">
        <v>0.25367660840380069</v>
      </c>
      <c r="V261" s="1779">
        <v>0.31709576050479882</v>
      </c>
      <c r="W261" s="1779">
        <v>0.45303480806530416</v>
      </c>
      <c r="X261" s="1779">
        <v>0.5889738556258024</v>
      </c>
      <c r="Y261" s="1779">
        <v>0.72491290318630064</v>
      </c>
      <c r="Z261" s="1779">
        <v>0.8608519507466994</v>
      </c>
      <c r="AA261" s="1779">
        <v>0.99679099830720475</v>
      </c>
      <c r="AB261" s="1779">
        <v>1.1230633373484977</v>
      </c>
      <c r="AC261" s="1779">
        <v>1.2493356763897978</v>
      </c>
      <c r="AD261" s="1779">
        <v>1.3756080154310979</v>
      </c>
      <c r="AE261" s="1779">
        <v>1.3756080154309984</v>
      </c>
      <c r="AF261" s="1779">
        <v>1.3756080154309984</v>
      </c>
      <c r="AG261" s="1779">
        <v>1.3756080154309984</v>
      </c>
      <c r="AH261" s="1779">
        <v>1.3756080154309984</v>
      </c>
      <c r="AI261" s="1779">
        <v>1.3756080154309984</v>
      </c>
      <c r="AJ261" s="1779">
        <v>1.3756080154310979</v>
      </c>
      <c r="AK261" s="1779">
        <v>1.3756080154310055</v>
      </c>
      <c r="AL261" s="1779">
        <v>1.3756080154309984</v>
      </c>
      <c r="AM261" s="1779">
        <v>1.3756080154309984</v>
      </c>
      <c r="AN261" s="1779">
        <v>1.3756080154310979</v>
      </c>
      <c r="AO261" s="1779">
        <v>1.3756080154309984</v>
      </c>
      <c r="AP261" s="1779">
        <v>1.3756080154309984</v>
      </c>
      <c r="AQ261" s="1779"/>
      <c r="AR261" s="1779"/>
      <c r="AS261" s="1779"/>
      <c r="AT261" s="1779"/>
      <c r="AU261" s="1779"/>
      <c r="AV261" s="1779"/>
      <c r="AW261" s="1779"/>
      <c r="AX261" s="1779"/>
      <c r="AY261" s="1779"/>
      <c r="AZ261" s="1779"/>
      <c r="BA261" s="1779"/>
      <c r="BB261" s="1779"/>
      <c r="BC261" s="1779"/>
      <c r="BD261" s="1779"/>
      <c r="BE261" s="1779"/>
      <c r="BF261" s="1779"/>
      <c r="BG261" s="1779"/>
      <c r="BH261" s="1779"/>
      <c r="BI261" s="1779"/>
      <c r="BJ261" s="1779"/>
      <c r="BK261" s="1779"/>
      <c r="BL261" s="1779"/>
      <c r="BM261" s="1779"/>
      <c r="BN261" s="1779"/>
      <c r="BO261" s="1779"/>
      <c r="BP261" s="1780"/>
      <c r="BQ261" s="1755"/>
      <c r="BR261" s="1755"/>
      <c r="BS261" s="1755"/>
      <c r="BT261" s="1755"/>
      <c r="BU261" s="1755"/>
      <c r="BV261" s="1755"/>
      <c r="BW261" s="1755"/>
      <c r="BX261" s="1755"/>
      <c r="BY261" s="1755"/>
      <c r="BZ261" s="1755"/>
      <c r="CA261" s="1755"/>
      <c r="CB261" s="1755"/>
      <c r="CC261" s="1755"/>
      <c r="CD261" s="1755"/>
      <c r="CE261" s="1755"/>
      <c r="CF261" s="1755"/>
      <c r="CG261" s="1755"/>
      <c r="CH261" s="1755"/>
      <c r="CI261" s="1755"/>
      <c r="CJ261" s="1755"/>
      <c r="CK261" s="1755"/>
      <c r="CL261" s="1755"/>
      <c r="CM261" s="1755"/>
      <c r="CN261" s="1756"/>
      <c r="CO261" s="1767"/>
    </row>
    <row r="262" spans="2:93" x14ac:dyDescent="0.2">
      <c r="B262" s="1707"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62" s="1747" t="s">
        <v>1079</v>
      </c>
      <c r="D262" s="1747" t="s">
        <v>1078</v>
      </c>
      <c r="E262" s="1747" t="s">
        <v>987</v>
      </c>
      <c r="F262" s="1747" t="str">
        <f>VLOOKUP(TBL5_OptBen[[#This Row],[Option Type (defined list)]],'Option Typs_Grps'!B$2:C$47, 2, FALSE)</f>
        <v>Customer Options</v>
      </c>
      <c r="G262" s="1747" t="s">
        <v>863</v>
      </c>
      <c r="H262" s="1747" t="s">
        <v>1460</v>
      </c>
      <c r="I262" s="1747" t="s">
        <v>105</v>
      </c>
      <c r="J262" s="1747" t="s">
        <v>236</v>
      </c>
      <c r="K262" s="1760">
        <v>2</v>
      </c>
      <c r="L262" s="1779"/>
      <c r="M262" s="1779"/>
      <c r="N262" s="1779">
        <v>0</v>
      </c>
      <c r="O262" s="1780">
        <v>0</v>
      </c>
      <c r="P262" s="1780">
        <v>0</v>
      </c>
      <c r="Q262" s="1779">
        <v>0</v>
      </c>
      <c r="R262" s="1779">
        <v>0</v>
      </c>
      <c r="S262" s="1779">
        <v>0</v>
      </c>
      <c r="T262" s="1779">
        <v>7.3833501573595584E-2</v>
      </c>
      <c r="U262" s="1779">
        <v>0.1471215959892973</v>
      </c>
      <c r="V262" s="1779">
        <v>0.22002474649539749</v>
      </c>
      <c r="W262" s="1779">
        <v>0.2922773801037053</v>
      </c>
      <c r="X262" s="1779">
        <v>0.36418098416940126</v>
      </c>
      <c r="Y262" s="1779">
        <v>0.43562881924000152</v>
      </c>
      <c r="Z262" s="1779">
        <v>0.58633855384859856</v>
      </c>
      <c r="AA262" s="1779">
        <v>0.73653307793040312</v>
      </c>
      <c r="AB262" s="1779">
        <v>0.88591093485229777</v>
      </c>
      <c r="AC262" s="1779">
        <v>1.0346859498579946</v>
      </c>
      <c r="AD262" s="1779">
        <v>1.1825063035998937</v>
      </c>
      <c r="AE262" s="1779">
        <v>1.3300340927073009</v>
      </c>
      <c r="AF262" s="1779">
        <v>1.4777973911117002</v>
      </c>
      <c r="AG262" s="1779">
        <v>1.6253095885688964</v>
      </c>
      <c r="AH262" s="1779">
        <v>1.7723727303438963</v>
      </c>
      <c r="AI262" s="1779">
        <v>1.9193008627122978</v>
      </c>
      <c r="AJ262" s="1779">
        <v>1.9668881373080964</v>
      </c>
      <c r="AK262" s="1779">
        <v>2.0145719774967006</v>
      </c>
      <c r="AL262" s="1779">
        <v>2.0618569926542989</v>
      </c>
      <c r="AM262" s="1779">
        <v>2.1088184870127975</v>
      </c>
      <c r="AN262" s="1779">
        <v>2.1558672756962949</v>
      </c>
      <c r="AO262" s="1779">
        <v>2.2030882147346986</v>
      </c>
      <c r="AP262" s="1779">
        <v>2.2502157920711028</v>
      </c>
      <c r="AQ262" s="1752"/>
      <c r="AR262" s="1752"/>
      <c r="AS262" s="1752"/>
      <c r="AT262" s="1752"/>
      <c r="AU262" s="1752"/>
      <c r="AV262" s="1752"/>
      <c r="AW262" s="1752"/>
      <c r="AX262" s="1752"/>
      <c r="AY262" s="1752"/>
      <c r="AZ262" s="1752"/>
      <c r="BA262" s="1752"/>
      <c r="BB262" s="1752"/>
      <c r="BC262" s="1752"/>
      <c r="BD262" s="1752"/>
      <c r="BE262" s="1752"/>
      <c r="BF262" s="1752"/>
      <c r="BG262" s="1752"/>
      <c r="BH262" s="1752"/>
      <c r="BI262" s="1752"/>
      <c r="BJ262" s="1752"/>
      <c r="BK262" s="1752"/>
      <c r="BL262" s="1752"/>
      <c r="BM262" s="1752"/>
      <c r="BN262" s="1752"/>
      <c r="BO262" s="1752"/>
      <c r="BP262" s="1754"/>
      <c r="BQ262" s="1755"/>
      <c r="BR262" s="1755"/>
      <c r="BS262" s="1755"/>
      <c r="BT262" s="1755"/>
      <c r="BU262" s="1755"/>
      <c r="BV262" s="1755"/>
      <c r="BW262" s="1755"/>
      <c r="BX262" s="1755"/>
      <c r="BY262" s="1755"/>
      <c r="BZ262" s="1755"/>
      <c r="CA262" s="1755"/>
      <c r="CB262" s="1755"/>
      <c r="CC262" s="1755"/>
      <c r="CD262" s="1755"/>
      <c r="CE262" s="1755"/>
      <c r="CF262" s="1755"/>
      <c r="CG262" s="1755"/>
      <c r="CH262" s="1755"/>
      <c r="CI262" s="1755"/>
      <c r="CJ262" s="1755"/>
      <c r="CK262" s="1755"/>
      <c r="CL262" s="1755"/>
      <c r="CM262" s="1755"/>
      <c r="CN262" s="1756"/>
      <c r="CO262" s="1767"/>
    </row>
    <row r="263" spans="2:93" ht="28.5" x14ac:dyDescent="0.2">
      <c r="B263" s="1707"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63" s="1703" t="s">
        <v>972</v>
      </c>
      <c r="D263" s="1703" t="s">
        <v>1088</v>
      </c>
      <c r="E263" s="1707" t="s">
        <v>973</v>
      </c>
      <c r="F263" s="1747" t="str">
        <f>VLOOKUP(TBL5_OptBen[[#This Row],[Option Type (defined list)]],'Option Typs_Grps'!B$2:C$47, 2, FALSE)</f>
        <v>Customer Options</v>
      </c>
      <c r="G263" s="1747" t="s">
        <v>863</v>
      </c>
      <c r="H263" s="1747" t="s">
        <v>1460</v>
      </c>
      <c r="I263" s="1747" t="s">
        <v>102</v>
      </c>
      <c r="J263" s="1747" t="s">
        <v>236</v>
      </c>
      <c r="K263" s="1760">
        <v>2</v>
      </c>
      <c r="L263" s="1779"/>
      <c r="M263" s="1779"/>
      <c r="N263" s="1779">
        <v>0</v>
      </c>
      <c r="O263" s="1780">
        <v>4.2756956085342601</v>
      </c>
      <c r="P263" s="1780">
        <v>4.09987831560119</v>
      </c>
      <c r="Q263" s="1779">
        <v>4.0759494718184097</v>
      </c>
      <c r="R263" s="1779">
        <v>3.8978231189529904</v>
      </c>
      <c r="S263" s="1779">
        <v>3.8621878662638505</v>
      </c>
      <c r="T263" s="1779">
        <v>3.8730037458603306</v>
      </c>
      <c r="U263" s="1779">
        <v>3.8838711888694597</v>
      </c>
      <c r="V263" s="1779">
        <v>3.8941135151785602</v>
      </c>
      <c r="W263" s="1779">
        <v>3.9043053874683409</v>
      </c>
      <c r="X263" s="1779">
        <v>3.9143938815194712</v>
      </c>
      <c r="Y263" s="1779">
        <v>0</v>
      </c>
      <c r="Z263" s="1779">
        <v>0</v>
      </c>
      <c r="AA263" s="1779">
        <v>0</v>
      </c>
      <c r="AB263" s="1779">
        <v>0</v>
      </c>
      <c r="AC263" s="1779">
        <v>0</v>
      </c>
      <c r="AD263" s="1779">
        <v>0</v>
      </c>
      <c r="AE263" s="1779">
        <v>0</v>
      </c>
      <c r="AF263" s="1779">
        <v>0</v>
      </c>
      <c r="AG263" s="1779">
        <v>0</v>
      </c>
      <c r="AH263" s="1779">
        <v>0</v>
      </c>
      <c r="AI263" s="1779">
        <v>0</v>
      </c>
      <c r="AJ263" s="1779">
        <v>0</v>
      </c>
      <c r="AK263" s="1779">
        <v>0</v>
      </c>
      <c r="AL263" s="1779">
        <v>0</v>
      </c>
      <c r="AM263" s="1779">
        <v>0</v>
      </c>
      <c r="AN263" s="1779">
        <v>0</v>
      </c>
      <c r="AO263" s="1779">
        <v>0</v>
      </c>
      <c r="AP263" s="1779">
        <v>0</v>
      </c>
      <c r="AQ263" s="1752"/>
      <c r="AR263" s="1752"/>
      <c r="AS263" s="1752"/>
      <c r="AT263" s="1752"/>
      <c r="AU263" s="1752"/>
      <c r="AV263" s="1752"/>
      <c r="AW263" s="1752"/>
      <c r="AX263" s="1752"/>
      <c r="AY263" s="1752"/>
      <c r="AZ263" s="1752"/>
      <c r="BA263" s="1752"/>
      <c r="BB263" s="1752"/>
      <c r="BC263" s="1752"/>
      <c r="BD263" s="1752"/>
      <c r="BE263" s="1752"/>
      <c r="BF263" s="1752"/>
      <c r="BG263" s="1752"/>
      <c r="BH263" s="1752"/>
      <c r="BI263" s="1752"/>
      <c r="BJ263" s="1752"/>
      <c r="BK263" s="1752"/>
      <c r="BL263" s="1752"/>
      <c r="BM263" s="1752"/>
      <c r="BN263" s="1752"/>
      <c r="BO263" s="1752"/>
      <c r="BP263" s="1754"/>
      <c r="BQ263" s="1755"/>
      <c r="BR263" s="1755"/>
      <c r="BS263" s="1755"/>
      <c r="BT263" s="1755"/>
      <c r="BU263" s="1755"/>
      <c r="BV263" s="1755"/>
      <c r="BW263" s="1755"/>
      <c r="BX263" s="1755"/>
      <c r="BY263" s="1755"/>
      <c r="BZ263" s="1755"/>
      <c r="CA263" s="1755"/>
      <c r="CB263" s="1755"/>
      <c r="CC263" s="1755"/>
      <c r="CD263" s="1755"/>
      <c r="CE263" s="1755"/>
      <c r="CF263" s="1755"/>
      <c r="CG263" s="1755"/>
      <c r="CH263" s="1755"/>
      <c r="CI263" s="1755"/>
      <c r="CJ263" s="1755"/>
      <c r="CK263" s="1755"/>
      <c r="CL263" s="1755"/>
      <c r="CM263" s="1755"/>
      <c r="CN263" s="1756"/>
      <c r="CO263" s="1767"/>
    </row>
    <row r="264" spans="2:93" ht="15" x14ac:dyDescent="0.25">
      <c r="B264" s="1707"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64" s="1703" t="s">
        <v>1067</v>
      </c>
      <c r="D264" s="1765" t="s">
        <v>1066</v>
      </c>
      <c r="E264" s="1723" t="s">
        <v>1068</v>
      </c>
      <c r="F264" s="1747" t="str">
        <f>VLOOKUP(TBL5_OptBen[[#This Row],[Option Type (defined list)]],'Option Typs_Grps'!B$2:C$47, 2, FALSE)</f>
        <v>Customer Options</v>
      </c>
      <c r="G264" s="1747" t="s">
        <v>863</v>
      </c>
      <c r="H264" s="1747" t="s">
        <v>1461</v>
      </c>
      <c r="I264" s="1747" t="s">
        <v>88</v>
      </c>
      <c r="J264" s="1747" t="s">
        <v>236</v>
      </c>
      <c r="K264" s="1760">
        <v>2</v>
      </c>
      <c r="L264" s="1779"/>
      <c r="M264" s="1779"/>
      <c r="N264" s="1779">
        <v>0</v>
      </c>
      <c r="O264" s="1780">
        <v>0</v>
      </c>
      <c r="P264" s="1780">
        <v>0</v>
      </c>
      <c r="Q264" s="1779">
        <v>0</v>
      </c>
      <c r="R264" s="1779">
        <v>0.25548594418635373</v>
      </c>
      <c r="S264" s="1779">
        <v>-3.092069346680848E-2</v>
      </c>
      <c r="T264" s="1779">
        <v>8.884789488267586E-2</v>
      </c>
      <c r="U264" s="1779">
        <v>0.76192657355699822</v>
      </c>
      <c r="V264" s="1779">
        <v>1.3909079865855531</v>
      </c>
      <c r="W264" s="1779">
        <v>1.9029789757946176</v>
      </c>
      <c r="X264" s="1779">
        <v>2.3650971410544912</v>
      </c>
      <c r="Y264" s="1779">
        <v>2.7945724268152823</v>
      </c>
      <c r="Z264" s="1779">
        <v>3.1804383747871654</v>
      </c>
      <c r="AA264" s="1779">
        <v>3.5142260703109685</v>
      </c>
      <c r="AB264" s="1779">
        <v>3.3434916559364609</v>
      </c>
      <c r="AC264" s="1779">
        <v>3.0945582750446405</v>
      </c>
      <c r="AD264" s="1779">
        <v>2.9865524585861607</v>
      </c>
      <c r="AE264" s="1779">
        <v>2.8827633376370372</v>
      </c>
      <c r="AF264" s="1779">
        <v>2.782344085523988</v>
      </c>
      <c r="AG264" s="1779">
        <v>3.3149737036035347</v>
      </c>
      <c r="AH264" s="1779">
        <v>3.2089435296160147</v>
      </c>
      <c r="AI264" s="1779">
        <v>3.1079558430222036</v>
      </c>
      <c r="AJ264" s="1779">
        <v>3.0208934997324519</v>
      </c>
      <c r="AK264" s="1779">
        <v>2.9369146499209364</v>
      </c>
      <c r="AL264" s="1779">
        <v>2.3887513428359881</v>
      </c>
      <c r="AM264" s="1779">
        <v>3.2271296088724739</v>
      </c>
      <c r="AN264" s="1779">
        <v>3.1649748097323567</v>
      </c>
      <c r="AO264" s="1779">
        <v>3.5425899547780375</v>
      </c>
      <c r="AP264" s="1779">
        <v>3.480406096233537</v>
      </c>
      <c r="AQ264" s="1752"/>
      <c r="AR264" s="1752"/>
      <c r="AS264" s="1752"/>
      <c r="AT264" s="1752"/>
      <c r="AU264" s="1752"/>
      <c r="AV264" s="1752"/>
      <c r="AW264" s="1752"/>
      <c r="AX264" s="1752"/>
      <c r="AY264" s="1752"/>
      <c r="AZ264" s="1752"/>
      <c r="BA264" s="1752"/>
      <c r="BB264" s="1752"/>
      <c r="BC264" s="1752"/>
      <c r="BD264" s="1752"/>
      <c r="BE264" s="1752"/>
      <c r="BF264" s="1752"/>
      <c r="BG264" s="1752"/>
      <c r="BH264" s="1752"/>
      <c r="BI264" s="1752"/>
      <c r="BJ264" s="1752"/>
      <c r="BK264" s="1752"/>
      <c r="BL264" s="1752"/>
      <c r="BM264" s="1752"/>
      <c r="BN264" s="1752"/>
      <c r="BO264" s="1752"/>
      <c r="BP264" s="1754"/>
      <c r="BQ264" s="1755"/>
      <c r="BR264" s="1755"/>
      <c r="BS264" s="1755"/>
      <c r="BT264" s="1755"/>
      <c r="BU264" s="1755"/>
      <c r="BV264" s="1755"/>
      <c r="BW264" s="1755"/>
      <c r="BX264" s="1755"/>
      <c r="BY264" s="1755"/>
      <c r="BZ264" s="1755"/>
      <c r="CA264" s="1755"/>
      <c r="CB264" s="1755"/>
      <c r="CC264" s="1755"/>
      <c r="CD264" s="1755"/>
      <c r="CE264" s="1755"/>
      <c r="CF264" s="1755"/>
      <c r="CG264" s="1755"/>
      <c r="CH264" s="1755"/>
      <c r="CI264" s="1755"/>
      <c r="CJ264" s="1755"/>
      <c r="CK264" s="1755"/>
      <c r="CL264" s="1755"/>
      <c r="CM264" s="1755"/>
      <c r="CN264" s="1756"/>
      <c r="CO264" s="1767"/>
    </row>
    <row r="265" spans="2:93" ht="15" x14ac:dyDescent="0.25">
      <c r="B265" s="1707"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65" s="1703" t="s">
        <v>1075</v>
      </c>
      <c r="D265" s="1765" t="s">
        <v>1074</v>
      </c>
      <c r="E265" s="1723" t="s">
        <v>987</v>
      </c>
      <c r="F265" s="1747" t="str">
        <f>VLOOKUP(TBL5_OptBen[[#This Row],[Option Type (defined list)]],'Option Typs_Grps'!B$2:C$47, 2, FALSE)</f>
        <v>Customer Options</v>
      </c>
      <c r="G265" s="1747" t="s">
        <v>863</v>
      </c>
      <c r="H265" s="1747" t="s">
        <v>1461</v>
      </c>
      <c r="I265" s="1747" t="s">
        <v>88</v>
      </c>
      <c r="J265" s="1747" t="s">
        <v>236</v>
      </c>
      <c r="K265" s="1760">
        <v>2</v>
      </c>
      <c r="L265" s="1779"/>
      <c r="M265" s="1779"/>
      <c r="N265" s="1779">
        <v>0</v>
      </c>
      <c r="O265" s="1780">
        <v>0</v>
      </c>
      <c r="P265" s="1780">
        <v>0</v>
      </c>
      <c r="Q265" s="1779">
        <v>0</v>
      </c>
      <c r="R265" s="1779">
        <v>1.7845553514899848</v>
      </c>
      <c r="S265" s="1779">
        <v>3.5427161896240023</v>
      </c>
      <c r="T265" s="1779">
        <v>5.301341843348041</v>
      </c>
      <c r="U265" s="1779">
        <v>7.0548901413500289</v>
      </c>
      <c r="V265" s="1779">
        <v>8.8017889097570219</v>
      </c>
      <c r="W265" s="1779">
        <v>10.429981474727015</v>
      </c>
      <c r="X265" s="1779">
        <v>12.068957709225003</v>
      </c>
      <c r="Y265" s="1779">
        <v>13.674687179018008</v>
      </c>
      <c r="Z265" s="1779">
        <v>15.294847217407039</v>
      </c>
      <c r="AA265" s="1779">
        <v>16.879356808488012</v>
      </c>
      <c r="AB265" s="1779">
        <v>18.44385474211299</v>
      </c>
      <c r="AC265" s="1779">
        <v>20.00352694480398</v>
      </c>
      <c r="AD265" s="1779">
        <v>21.562955433935031</v>
      </c>
      <c r="AE265" s="1779">
        <v>23.122440401790982</v>
      </c>
      <c r="AF265" s="1779">
        <v>24.682466350742004</v>
      </c>
      <c r="AG265" s="1779">
        <v>25.957712072483048</v>
      </c>
      <c r="AH265" s="1779">
        <v>27.439454714885017</v>
      </c>
      <c r="AI265" s="1779">
        <v>28.918699829364982</v>
      </c>
      <c r="AJ265" s="1779">
        <v>30.404427840733035</v>
      </c>
      <c r="AK265" s="1779">
        <v>31.895840944686995</v>
      </c>
      <c r="AL265" s="1779">
        <v>31.788858451086014</v>
      </c>
      <c r="AM265" s="1779">
        <v>31.332790846662988</v>
      </c>
      <c r="AN265" s="1779">
        <v>31.309348296239989</v>
      </c>
      <c r="AO265" s="1779">
        <v>31.076947050443039</v>
      </c>
      <c r="AP265" s="1779">
        <v>31.057228542454993</v>
      </c>
      <c r="AQ265" s="1752"/>
      <c r="AR265" s="1752"/>
      <c r="AS265" s="1752"/>
      <c r="AT265" s="1752"/>
      <c r="AU265" s="1752"/>
      <c r="AV265" s="1752"/>
      <c r="AW265" s="1752"/>
      <c r="AX265" s="1752"/>
      <c r="AY265" s="1752"/>
      <c r="AZ265" s="1752"/>
      <c r="BA265" s="1752"/>
      <c r="BB265" s="1752"/>
      <c r="BC265" s="1752"/>
      <c r="BD265" s="1752"/>
      <c r="BE265" s="1752"/>
      <c r="BF265" s="1752"/>
      <c r="BG265" s="1752"/>
      <c r="BH265" s="1752"/>
      <c r="BI265" s="1752"/>
      <c r="BJ265" s="1752"/>
      <c r="BK265" s="1752"/>
      <c r="BL265" s="1752"/>
      <c r="BM265" s="1752"/>
      <c r="BN265" s="1752"/>
      <c r="BO265" s="1752"/>
      <c r="BP265" s="1754"/>
      <c r="BQ265" s="1755"/>
      <c r="BR265" s="1755"/>
      <c r="BS265" s="1755"/>
      <c r="BT265" s="1755"/>
      <c r="BU265" s="1755"/>
      <c r="BV265" s="1755"/>
      <c r="BW265" s="1755"/>
      <c r="BX265" s="1755"/>
      <c r="BY265" s="1755"/>
      <c r="BZ265" s="1755"/>
      <c r="CA265" s="1755"/>
      <c r="CB265" s="1755"/>
      <c r="CC265" s="1755"/>
      <c r="CD265" s="1755"/>
      <c r="CE265" s="1755"/>
      <c r="CF265" s="1755"/>
      <c r="CG265" s="1755"/>
      <c r="CH265" s="1755"/>
      <c r="CI265" s="1755"/>
      <c r="CJ265" s="1755"/>
      <c r="CK265" s="1755"/>
      <c r="CL265" s="1755"/>
      <c r="CM265" s="1755"/>
      <c r="CN265" s="1756"/>
      <c r="CO265" s="1767"/>
    </row>
    <row r="266" spans="2:93" x14ac:dyDescent="0.2">
      <c r="B266" s="1707"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66" s="1707" t="s">
        <v>1123</v>
      </c>
      <c r="D266" s="1765" t="s">
        <v>1122</v>
      </c>
      <c r="E266" s="1714" t="s">
        <v>987</v>
      </c>
      <c r="F266" s="1747" t="str">
        <f>VLOOKUP(TBL5_OptBen[[#This Row],[Option Type (defined list)]],'Option Typs_Grps'!B$2:C$47, 2, FALSE)</f>
        <v>Customer Options</v>
      </c>
      <c r="G266" s="1747" t="s">
        <v>863</v>
      </c>
      <c r="H266" s="1747" t="s">
        <v>1461</v>
      </c>
      <c r="I266" s="1747" t="s">
        <v>88</v>
      </c>
      <c r="J266" s="1747" t="s">
        <v>236</v>
      </c>
      <c r="K266" s="1760">
        <v>2</v>
      </c>
      <c r="L266" s="1779"/>
      <c r="M266" s="1779"/>
      <c r="N266" s="1779">
        <v>0</v>
      </c>
      <c r="O266" s="1780">
        <v>0</v>
      </c>
      <c r="P266" s="1780">
        <v>0</v>
      </c>
      <c r="Q266" s="1779">
        <v>0</v>
      </c>
      <c r="R266" s="1779">
        <v>0.3924923376629863</v>
      </c>
      <c r="S266" s="1779">
        <v>0.89869818923500588</v>
      </c>
      <c r="T266" s="1779">
        <v>1.4329337923949765</v>
      </c>
      <c r="U266" s="1779">
        <v>2.0498898722319723</v>
      </c>
      <c r="V266" s="1779">
        <v>2.6688176557329939</v>
      </c>
      <c r="W266" s="1779">
        <v>3.3308395793119985</v>
      </c>
      <c r="X266" s="1779">
        <v>3.9953987912889488</v>
      </c>
      <c r="Y266" s="1779">
        <v>4.6481904925039998</v>
      </c>
      <c r="Z266" s="1779">
        <v>5.3052100090949921</v>
      </c>
      <c r="AA266" s="1779">
        <v>5.9492754186389902</v>
      </c>
      <c r="AB266" s="1779">
        <v>5.9340687684090199</v>
      </c>
      <c r="AC266" s="1779">
        <v>5.9198723915180267</v>
      </c>
      <c r="AD266" s="1779">
        <v>5.9077166858349983</v>
      </c>
      <c r="AE266" s="1779">
        <v>5.897255206924001</v>
      </c>
      <c r="AF266" s="1779">
        <v>5.8882750428390409</v>
      </c>
      <c r="AG266" s="1779">
        <v>5.827184490149989</v>
      </c>
      <c r="AH266" s="1779">
        <v>5.8166739062820056</v>
      </c>
      <c r="AI266" s="1779">
        <v>5.8067710572390183</v>
      </c>
      <c r="AJ266" s="1779">
        <v>5.799097413977961</v>
      </c>
      <c r="AK266" s="1779">
        <v>5.7931888720469829</v>
      </c>
      <c r="AL266" s="1779">
        <v>5.77375781856</v>
      </c>
      <c r="AM266" s="1779">
        <v>5.690923013375027</v>
      </c>
      <c r="AN266" s="1779">
        <v>5.6866651816879994</v>
      </c>
      <c r="AO266" s="1779">
        <v>5.6444545275359701</v>
      </c>
      <c r="AP266" s="1779">
        <v>5.6408730875230049</v>
      </c>
      <c r="AQ266" s="1752"/>
      <c r="AR266" s="1752"/>
      <c r="AS266" s="1752"/>
      <c r="AT266" s="1752"/>
      <c r="AU266" s="1752"/>
      <c r="AV266" s="1752"/>
      <c r="AW266" s="1752"/>
      <c r="AX266" s="1752"/>
      <c r="AY266" s="1752"/>
      <c r="AZ266" s="1752"/>
      <c r="BA266" s="1752"/>
      <c r="BB266" s="1752"/>
      <c r="BC266" s="1752"/>
      <c r="BD266" s="1752"/>
      <c r="BE266" s="1752"/>
      <c r="BF266" s="1752"/>
      <c r="BG266" s="1752"/>
      <c r="BH266" s="1752"/>
      <c r="BI266" s="1752"/>
      <c r="BJ266" s="1752"/>
      <c r="BK266" s="1752"/>
      <c r="BL266" s="1752"/>
      <c r="BM266" s="1752"/>
      <c r="BN266" s="1752"/>
      <c r="BO266" s="1752"/>
      <c r="BP266" s="1754"/>
      <c r="BQ266" s="1755"/>
      <c r="BR266" s="1755"/>
      <c r="BS266" s="1755"/>
      <c r="BT266" s="1755"/>
      <c r="BU266" s="1755"/>
      <c r="BV266" s="1755"/>
      <c r="BW266" s="1755"/>
      <c r="BX266" s="1755"/>
      <c r="BY266" s="1755"/>
      <c r="BZ266" s="1755"/>
      <c r="CA266" s="1755"/>
      <c r="CB266" s="1755"/>
      <c r="CC266" s="1755"/>
      <c r="CD266" s="1755"/>
      <c r="CE266" s="1755"/>
      <c r="CF266" s="1755"/>
      <c r="CG266" s="1755"/>
      <c r="CH266" s="1755"/>
      <c r="CI266" s="1755"/>
      <c r="CJ266" s="1755"/>
      <c r="CK266" s="1755"/>
      <c r="CL266" s="1755"/>
      <c r="CM266" s="1755"/>
      <c r="CN266" s="1756"/>
      <c r="CO266" s="1767"/>
    </row>
    <row r="267" spans="2:93" x14ac:dyDescent="0.2">
      <c r="B267" s="1707"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267" s="1703" t="s">
        <v>1082</v>
      </c>
      <c r="D267" s="1765" t="s">
        <v>1081</v>
      </c>
      <c r="E267" s="1723" t="s">
        <v>860</v>
      </c>
      <c r="F267" s="1747" t="str">
        <f>VLOOKUP(TBL5_OptBen[[#This Row],[Option Type (defined list)]],'Option Typs_Grps'!B$2:C$47, 2, FALSE)</f>
        <v>Distribution Options</v>
      </c>
      <c r="G267" s="1747" t="s">
        <v>863</v>
      </c>
      <c r="H267" s="1747" t="s">
        <v>1461</v>
      </c>
      <c r="I267" s="1747" t="s">
        <v>88</v>
      </c>
      <c r="J267" s="1747" t="s">
        <v>236</v>
      </c>
      <c r="K267" s="1760">
        <v>2</v>
      </c>
      <c r="L267" s="1779"/>
      <c r="M267" s="1779"/>
      <c r="N267" s="1779">
        <v>0</v>
      </c>
      <c r="O267" s="1780">
        <v>0</v>
      </c>
      <c r="P267" s="1780">
        <v>0</v>
      </c>
      <c r="Q267" s="1779">
        <v>0</v>
      </c>
      <c r="R267" s="1779">
        <v>0.20073762673171558</v>
      </c>
      <c r="S267" s="1779">
        <v>0.29801494813901996</v>
      </c>
      <c r="T267" s="1779">
        <v>0.51191100626656549</v>
      </c>
      <c r="U267" s="1779">
        <v>0.75059362418681985</v>
      </c>
      <c r="V267" s="1779">
        <v>0.97522665298276934</v>
      </c>
      <c r="W267" s="1779">
        <v>1.2145459467451332</v>
      </c>
      <c r="X267" s="1779">
        <v>1.4687096962615058</v>
      </c>
      <c r="Y267" s="1779">
        <v>1.7256591258397194</v>
      </c>
      <c r="Z267" s="1779">
        <v>1.9857823804679029</v>
      </c>
      <c r="AA267" s="1779">
        <v>2.2479190307479442</v>
      </c>
      <c r="AB267" s="1779">
        <v>2.5806751697819195</v>
      </c>
      <c r="AC267" s="1779">
        <v>2.9813902851822078</v>
      </c>
      <c r="AD267" s="1779">
        <v>3.3809279878573832</v>
      </c>
      <c r="AE267" s="1779">
        <v>3.7792671091138459</v>
      </c>
      <c r="AF267" s="1779">
        <v>4.1763729228050295</v>
      </c>
      <c r="AG267" s="1779">
        <v>4.5722173257201035</v>
      </c>
      <c r="AH267" s="1779">
        <v>4.9667536497860567</v>
      </c>
      <c r="AI267" s="1779">
        <v>5.3599507409911631</v>
      </c>
      <c r="AJ267" s="1779">
        <v>5.751775386922688</v>
      </c>
      <c r="AK267" s="1779">
        <v>6.1421917847893326</v>
      </c>
      <c r="AL267" s="1779">
        <v>6.5311798575882065</v>
      </c>
      <c r="AM267" s="1779">
        <v>6.9187030262528495</v>
      </c>
      <c r="AN267" s="1779">
        <v>7.304730563180577</v>
      </c>
      <c r="AO267" s="1779">
        <v>7.689232706873689</v>
      </c>
      <c r="AP267" s="1779">
        <v>8.0721821576318078</v>
      </c>
      <c r="AQ267" s="1752"/>
      <c r="AR267" s="1752"/>
      <c r="AS267" s="1752"/>
      <c r="AT267" s="1752"/>
      <c r="AU267" s="1752"/>
      <c r="AV267" s="1752"/>
      <c r="AW267" s="1752"/>
      <c r="AX267" s="1752"/>
      <c r="AY267" s="1752"/>
      <c r="AZ267" s="1752"/>
      <c r="BA267" s="1752"/>
      <c r="BB267" s="1752"/>
      <c r="BC267" s="1752"/>
      <c r="BD267" s="1752"/>
      <c r="BE267" s="1752"/>
      <c r="BF267" s="1752"/>
      <c r="BG267" s="1752"/>
      <c r="BH267" s="1752"/>
      <c r="BI267" s="1752"/>
      <c r="BJ267" s="1752"/>
      <c r="BK267" s="1752"/>
      <c r="BL267" s="1752"/>
      <c r="BM267" s="1752"/>
      <c r="BN267" s="1752"/>
      <c r="BO267" s="1752"/>
      <c r="BP267" s="1754"/>
      <c r="BQ267" s="1755"/>
      <c r="BR267" s="1755"/>
      <c r="BS267" s="1755"/>
      <c r="BT267" s="1755"/>
      <c r="BU267" s="1755"/>
      <c r="BV267" s="1755"/>
      <c r="BW267" s="1755"/>
      <c r="BX267" s="1755"/>
      <c r="BY267" s="1755"/>
      <c r="BZ267" s="1755"/>
      <c r="CA267" s="1755"/>
      <c r="CB267" s="1755"/>
      <c r="CC267" s="1755"/>
      <c r="CD267" s="1755"/>
      <c r="CE267" s="1755"/>
      <c r="CF267" s="1755"/>
      <c r="CG267" s="1755"/>
      <c r="CH267" s="1755"/>
      <c r="CI267" s="1755"/>
      <c r="CJ267" s="1755"/>
      <c r="CK267" s="1755"/>
      <c r="CL267" s="1755"/>
      <c r="CM267" s="1755"/>
      <c r="CN267" s="1756"/>
      <c r="CO267" s="1767"/>
    </row>
    <row r="268" spans="2:93" ht="15" x14ac:dyDescent="0.25">
      <c r="B268" s="1707"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68" s="1703" t="s">
        <v>1119</v>
      </c>
      <c r="D268" s="1765" t="s">
        <v>1118</v>
      </c>
      <c r="E268" s="1723" t="s">
        <v>1099</v>
      </c>
      <c r="F268" s="1747" t="str">
        <f>VLOOKUP(TBL5_OptBen[[#This Row],[Option Type (defined list)]],'Option Typs_Grps'!B$2:C$47, 2, FALSE)</f>
        <v>Customer Options</v>
      </c>
      <c r="G268" s="1747" t="s">
        <v>863</v>
      </c>
      <c r="H268" s="1747" t="s">
        <v>1461</v>
      </c>
      <c r="I268" s="1747" t="s">
        <v>88</v>
      </c>
      <c r="J268" s="1747" t="s">
        <v>236</v>
      </c>
      <c r="K268" s="1760">
        <v>2</v>
      </c>
      <c r="L268" s="1779"/>
      <c r="M268" s="1779"/>
      <c r="N268" s="1779">
        <v>0</v>
      </c>
      <c r="O268" s="1780">
        <v>0</v>
      </c>
      <c r="P268" s="1780">
        <v>0</v>
      </c>
      <c r="Q268" s="1779">
        <v>0</v>
      </c>
      <c r="R268" s="1779">
        <v>0.29382917326828861</v>
      </c>
      <c r="S268" s="1779">
        <v>0.69111865186097721</v>
      </c>
      <c r="T268" s="1779">
        <v>0.97178939373343498</v>
      </c>
      <c r="U268" s="1779">
        <v>1.227673575813184</v>
      </c>
      <c r="V268" s="1779">
        <v>1.4976073470172411</v>
      </c>
      <c r="W268" s="1779">
        <v>1.7528548532548744</v>
      </c>
      <c r="X268" s="1779">
        <v>1.9932579037385003</v>
      </c>
      <c r="Y268" s="1779">
        <v>2.2308752741602946</v>
      </c>
      <c r="Z268" s="1779">
        <v>2.4653188195321061</v>
      </c>
      <c r="AA268" s="1779">
        <v>2.6977489692520633</v>
      </c>
      <c r="AB268" s="1779">
        <v>2.8595596302180972</v>
      </c>
      <c r="AC268" s="1779">
        <v>2.9534113148178083</v>
      </c>
      <c r="AD268" s="1779">
        <v>3.0484404121426358</v>
      </c>
      <c r="AE268" s="1779">
        <v>3.1446680908861695</v>
      </c>
      <c r="AF268" s="1779">
        <v>3.2421290771949862</v>
      </c>
      <c r="AG268" s="1779">
        <v>3.3408514742799129</v>
      </c>
      <c r="AH268" s="1779">
        <v>3.4408819502139698</v>
      </c>
      <c r="AI268" s="1779">
        <v>3.5422516590088637</v>
      </c>
      <c r="AJ268" s="1779">
        <v>3.6449938130773338</v>
      </c>
      <c r="AK268" s="1779">
        <v>3.7491442152106935</v>
      </c>
      <c r="AL268" s="1779">
        <v>3.8547229424118234</v>
      </c>
      <c r="AM268" s="1779">
        <v>3.9617665737471786</v>
      </c>
      <c r="AN268" s="1779">
        <v>4.0703058368194487</v>
      </c>
      <c r="AO268" s="1779">
        <v>4.1803704931263326</v>
      </c>
      <c r="AP268" s="1779">
        <v>4.2919878423681972</v>
      </c>
      <c r="AQ268" s="1752"/>
      <c r="AR268" s="1752"/>
      <c r="AS268" s="1752"/>
      <c r="AT268" s="1752"/>
      <c r="AU268" s="1752"/>
      <c r="AV268" s="1752"/>
      <c r="AW268" s="1752"/>
      <c r="AX268" s="1752"/>
      <c r="AY268" s="1752"/>
      <c r="AZ268" s="1752"/>
      <c r="BA268" s="1752"/>
      <c r="BB268" s="1752"/>
      <c r="BC268" s="1752"/>
      <c r="BD268" s="1752"/>
      <c r="BE268" s="1752"/>
      <c r="BF268" s="1752"/>
      <c r="BG268" s="1752"/>
      <c r="BH268" s="1752"/>
      <c r="BI268" s="1752"/>
      <c r="BJ268" s="1752"/>
      <c r="BK268" s="1752"/>
      <c r="BL268" s="1752"/>
      <c r="BM268" s="1752"/>
      <c r="BN268" s="1752"/>
      <c r="BO268" s="1752"/>
      <c r="BP268" s="1754"/>
      <c r="BQ268" s="1755"/>
      <c r="BR268" s="1755"/>
      <c r="BS268" s="1755"/>
      <c r="BT268" s="1755"/>
      <c r="BU268" s="1755"/>
      <c r="BV268" s="1755"/>
      <c r="BW268" s="1755"/>
      <c r="BX268" s="1755"/>
      <c r="BY268" s="1755"/>
      <c r="BZ268" s="1755"/>
      <c r="CA268" s="1755"/>
      <c r="CB268" s="1755"/>
      <c r="CC268" s="1755"/>
      <c r="CD268" s="1755"/>
      <c r="CE268" s="1755"/>
      <c r="CF268" s="1755"/>
      <c r="CG268" s="1755"/>
      <c r="CH268" s="1755"/>
      <c r="CI268" s="1755"/>
      <c r="CJ268" s="1755"/>
      <c r="CK268" s="1755"/>
      <c r="CL268" s="1755"/>
      <c r="CM268" s="1755"/>
      <c r="CN268" s="1756"/>
      <c r="CO268" s="1767"/>
    </row>
    <row r="269" spans="2:93" x14ac:dyDescent="0.2">
      <c r="B269" s="1707"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69" s="1707" t="s">
        <v>1125</v>
      </c>
      <c r="D269" s="1765" t="s">
        <v>1474</v>
      </c>
      <c r="E269" s="1714" t="s">
        <v>987</v>
      </c>
      <c r="F269" s="1747" t="str">
        <f>VLOOKUP(TBL5_OptBen[[#This Row],[Option Type (defined list)]],'Option Typs_Grps'!B$2:C$47, 2, FALSE)</f>
        <v>Customer Options</v>
      </c>
      <c r="G269" s="1747" t="s">
        <v>863</v>
      </c>
      <c r="H269" s="1747" t="s">
        <v>1461</v>
      </c>
      <c r="I269" s="1747" t="s">
        <v>88</v>
      </c>
      <c r="J269" s="1747" t="s">
        <v>236</v>
      </c>
      <c r="K269" s="1760">
        <v>2</v>
      </c>
      <c r="L269" s="1779"/>
      <c r="M269" s="1779"/>
      <c r="N269" s="1779">
        <v>0</v>
      </c>
      <c r="O269" s="1780">
        <v>0</v>
      </c>
      <c r="P269" s="1780">
        <v>0</v>
      </c>
      <c r="Q269" s="1779">
        <v>0</v>
      </c>
      <c r="R269" s="1779">
        <v>0.21881778981997968</v>
      </c>
      <c r="S269" s="1779">
        <v>0.4376355796400162</v>
      </c>
      <c r="T269" s="1779">
        <v>0.65645336946005273</v>
      </c>
      <c r="U269" s="1779">
        <v>0.87527115927997556</v>
      </c>
      <c r="V269" s="1779">
        <v>1.0940889491000121</v>
      </c>
      <c r="W269" s="1779">
        <v>1.5919921443120302</v>
      </c>
      <c r="X269" s="1779">
        <v>2.0898953395249578</v>
      </c>
      <c r="Y269" s="1779">
        <v>2.5877985347369759</v>
      </c>
      <c r="Z269" s="1779">
        <v>3.0857017299500171</v>
      </c>
      <c r="AA269" s="1779">
        <v>3.5836049251619784</v>
      </c>
      <c r="AB269" s="1779">
        <v>4.0541975499959904</v>
      </c>
      <c r="AC269" s="1779">
        <v>4.5247901748300023</v>
      </c>
      <c r="AD269" s="1779">
        <v>4.9953827996629911</v>
      </c>
      <c r="AE269" s="1779">
        <v>4.9953827996629911</v>
      </c>
      <c r="AF269" s="1779">
        <v>4.995382799663048</v>
      </c>
      <c r="AG269" s="1779">
        <v>4.9953827996620248</v>
      </c>
      <c r="AH269" s="1779">
        <v>4.9953827996620248</v>
      </c>
      <c r="AI269" s="1779">
        <v>4.9953827996629911</v>
      </c>
      <c r="AJ269" s="1779">
        <v>4.9953827996620248</v>
      </c>
      <c r="AK269" s="1779">
        <v>4.995382799661968</v>
      </c>
      <c r="AL269" s="1779">
        <v>4.9953827996629911</v>
      </c>
      <c r="AM269" s="1779">
        <v>4.995382799661968</v>
      </c>
      <c r="AN269" s="1779">
        <v>4.9953827996620248</v>
      </c>
      <c r="AO269" s="1779">
        <v>4.995382799663048</v>
      </c>
      <c r="AP269" s="1779">
        <v>4.9953827996620248</v>
      </c>
      <c r="AQ269" s="1752"/>
      <c r="AR269" s="1752"/>
      <c r="AS269" s="1752"/>
      <c r="AT269" s="1752"/>
      <c r="AU269" s="1752"/>
      <c r="AV269" s="1752"/>
      <c r="AW269" s="1752"/>
      <c r="AX269" s="1752"/>
      <c r="AY269" s="1752"/>
      <c r="AZ269" s="1752"/>
      <c r="BA269" s="1752"/>
      <c r="BB269" s="1752"/>
      <c r="BC269" s="1752"/>
      <c r="BD269" s="1752"/>
      <c r="BE269" s="1752"/>
      <c r="BF269" s="1752"/>
      <c r="BG269" s="1752"/>
      <c r="BH269" s="1752"/>
      <c r="BI269" s="1752"/>
      <c r="BJ269" s="1752"/>
      <c r="BK269" s="1752"/>
      <c r="BL269" s="1752"/>
      <c r="BM269" s="1752"/>
      <c r="BN269" s="1752"/>
      <c r="BO269" s="1752"/>
      <c r="BP269" s="1754"/>
      <c r="BQ269" s="1755"/>
      <c r="BR269" s="1755"/>
      <c r="BS269" s="1755"/>
      <c r="BT269" s="1755"/>
      <c r="BU269" s="1755"/>
      <c r="BV269" s="1755"/>
      <c r="BW269" s="1755"/>
      <c r="BX269" s="1755"/>
      <c r="BY269" s="1755"/>
      <c r="BZ269" s="1755"/>
      <c r="CA269" s="1755"/>
      <c r="CB269" s="1755"/>
      <c r="CC269" s="1755"/>
      <c r="CD269" s="1755"/>
      <c r="CE269" s="1755"/>
      <c r="CF269" s="1755"/>
      <c r="CG269" s="1755"/>
      <c r="CH269" s="1755"/>
      <c r="CI269" s="1755"/>
      <c r="CJ269" s="1755"/>
      <c r="CK269" s="1755"/>
      <c r="CL269" s="1755"/>
      <c r="CM269" s="1755"/>
      <c r="CN269" s="1756"/>
      <c r="CO269" s="1767"/>
    </row>
    <row r="270" spans="2:93" x14ac:dyDescent="0.2">
      <c r="B270" s="1707"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70" s="1703" t="s">
        <v>1079</v>
      </c>
      <c r="D270" s="1765" t="s">
        <v>1078</v>
      </c>
      <c r="E270" s="1714" t="s">
        <v>987</v>
      </c>
      <c r="F270" s="1747" t="str">
        <f>VLOOKUP(TBL5_OptBen[[#This Row],[Option Type (defined list)]],'Option Typs_Grps'!B$2:C$47, 2, FALSE)</f>
        <v>Customer Options</v>
      </c>
      <c r="G270" s="1747" t="s">
        <v>863</v>
      </c>
      <c r="H270" s="1747" t="s">
        <v>1461</v>
      </c>
      <c r="I270" s="1747" t="s">
        <v>88</v>
      </c>
      <c r="J270" s="1747" t="s">
        <v>236</v>
      </c>
      <c r="K270" s="1760">
        <v>2</v>
      </c>
      <c r="L270" s="1779"/>
      <c r="M270" s="1779"/>
      <c r="N270" s="1779">
        <v>0</v>
      </c>
      <c r="O270" s="1780">
        <v>0</v>
      </c>
      <c r="P270" s="1780">
        <v>0</v>
      </c>
      <c r="Q270" s="1779">
        <v>0</v>
      </c>
      <c r="R270" s="1779">
        <v>0</v>
      </c>
      <c r="S270" s="1779">
        <v>0</v>
      </c>
      <c r="T270" s="1779">
        <v>0.59987779025402688</v>
      </c>
      <c r="U270" s="1779">
        <v>1.1974770082609894</v>
      </c>
      <c r="V270" s="1779">
        <v>1.794592738115</v>
      </c>
      <c r="W270" s="1779">
        <v>2.3821657852000158</v>
      </c>
      <c r="X270" s="1779">
        <v>2.9708490950779947</v>
      </c>
      <c r="Y270" s="1779">
        <v>3.5502161519579545</v>
      </c>
      <c r="Z270" s="1779">
        <v>4.7817647159629928</v>
      </c>
      <c r="AA270" s="1779">
        <v>5.9977293890730152</v>
      </c>
      <c r="AB270" s="1779">
        <v>7.2140606238340297</v>
      </c>
      <c r="AC270" s="1779">
        <v>8.4272968684659872</v>
      </c>
      <c r="AD270" s="1779">
        <v>9.6362828601490378</v>
      </c>
      <c r="AE270" s="1779">
        <v>10.843386621460979</v>
      </c>
      <c r="AF270" s="1779">
        <v>12.049227284313019</v>
      </c>
      <c r="AG270" s="1779">
        <v>13.133936390835004</v>
      </c>
      <c r="AH270" s="1779">
        <v>14.317832073316026</v>
      </c>
      <c r="AI270" s="1779">
        <v>15.500731567574974</v>
      </c>
      <c r="AJ270" s="1779">
        <v>15.885754161050045</v>
      </c>
      <c r="AK270" s="1779">
        <v>16.276372133927964</v>
      </c>
      <c r="AL270" s="1779">
        <v>16.627234504373007</v>
      </c>
      <c r="AM270" s="1779">
        <v>16.788341602771993</v>
      </c>
      <c r="AN270" s="1779">
        <v>17.175152163831001</v>
      </c>
      <c r="AO270" s="1779">
        <v>17.444088101313014</v>
      </c>
      <c r="AP270" s="1779">
        <v>17.829206713579993</v>
      </c>
      <c r="AQ270" s="1752"/>
      <c r="AR270" s="1752"/>
      <c r="AS270" s="1752"/>
      <c r="AT270" s="1752"/>
      <c r="AU270" s="1752"/>
      <c r="AV270" s="1752"/>
      <c r="AW270" s="1752"/>
      <c r="AX270" s="1752"/>
      <c r="AY270" s="1752"/>
      <c r="AZ270" s="1752"/>
      <c r="BA270" s="1752"/>
      <c r="BB270" s="1752"/>
      <c r="BC270" s="1752"/>
      <c r="BD270" s="1752"/>
      <c r="BE270" s="1752"/>
      <c r="BF270" s="1752"/>
      <c r="BG270" s="1752"/>
      <c r="BH270" s="1752"/>
      <c r="BI270" s="1752"/>
      <c r="BJ270" s="1752"/>
      <c r="BK270" s="1752"/>
      <c r="BL270" s="1752"/>
      <c r="BM270" s="1752"/>
      <c r="BN270" s="1752"/>
      <c r="BO270" s="1752"/>
      <c r="BP270" s="1754"/>
      <c r="BQ270" s="1755"/>
      <c r="BR270" s="1755"/>
      <c r="BS270" s="1755"/>
      <c r="BT270" s="1755"/>
      <c r="BU270" s="1755"/>
      <c r="BV270" s="1755"/>
      <c r="BW270" s="1755"/>
      <c r="BX270" s="1755"/>
      <c r="BY270" s="1755"/>
      <c r="BZ270" s="1755"/>
      <c r="CA270" s="1755"/>
      <c r="CB270" s="1755"/>
      <c r="CC270" s="1755"/>
      <c r="CD270" s="1755"/>
      <c r="CE270" s="1755"/>
      <c r="CF270" s="1755"/>
      <c r="CG270" s="1755"/>
      <c r="CH270" s="1755"/>
      <c r="CI270" s="1755"/>
      <c r="CJ270" s="1755"/>
      <c r="CK270" s="1755"/>
      <c r="CL270" s="1755"/>
      <c r="CM270" s="1755"/>
      <c r="CN270" s="1756"/>
      <c r="CO270" s="1767"/>
    </row>
    <row r="271" spans="2:93" ht="15" x14ac:dyDescent="0.25">
      <c r="B271" s="1707"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71" s="1703" t="s">
        <v>1067</v>
      </c>
      <c r="D271" s="1765" t="s">
        <v>1066</v>
      </c>
      <c r="E271" s="1723" t="s">
        <v>1068</v>
      </c>
      <c r="F271" s="1747" t="str">
        <f>VLOOKUP(TBL5_OptBen[[#This Row],[Option Type (defined list)]],'Option Typs_Grps'!B$2:C$47, 2, FALSE)</f>
        <v>Customer Options</v>
      </c>
      <c r="G271" s="1747" t="s">
        <v>863</v>
      </c>
      <c r="H271" s="1747" t="s">
        <v>1461</v>
      </c>
      <c r="I271" s="1747" t="s">
        <v>93</v>
      </c>
      <c r="J271" s="1747" t="s">
        <v>236</v>
      </c>
      <c r="K271" s="1760">
        <v>2</v>
      </c>
      <c r="L271" s="1779"/>
      <c r="M271" s="1779"/>
      <c r="N271" s="1779">
        <v>0</v>
      </c>
      <c r="O271" s="1780">
        <v>0</v>
      </c>
      <c r="P271" s="1780">
        <v>0</v>
      </c>
      <c r="Q271" s="1779">
        <v>0</v>
      </c>
      <c r="R271" s="1779">
        <v>-1.239423019077545E-2</v>
      </c>
      <c r="S271" s="1779">
        <v>-2.6197635865993579E-2</v>
      </c>
      <c r="T271" s="1779">
        <v>-2.9348911188556148E-2</v>
      </c>
      <c r="U271" s="1779">
        <v>-3.2194129703357999E-2</v>
      </c>
      <c r="V271" s="1779">
        <v>-4.3354738690610239E-3</v>
      </c>
      <c r="W271" s="1779">
        <v>4.7866620393365089E-2</v>
      </c>
      <c r="X271" s="1779">
        <v>7.166159097846736E-2</v>
      </c>
      <c r="Y271" s="1779">
        <v>8.3740839638092646E-2</v>
      </c>
      <c r="Z271" s="1779">
        <v>9.435644887196748E-2</v>
      </c>
      <c r="AA271" s="1779">
        <v>0.10431333255891417</v>
      </c>
      <c r="AB271" s="1779">
        <v>0.10346768948320517</v>
      </c>
      <c r="AC271" s="1779">
        <v>0.10274879289052752</v>
      </c>
      <c r="AD271" s="1779">
        <v>0.1021515708056735</v>
      </c>
      <c r="AE271" s="1779">
        <v>0.1016145597188165</v>
      </c>
      <c r="AF271" s="1779">
        <v>0.10101919097799095</v>
      </c>
      <c r="AG271" s="1779">
        <v>0.1003093338119303</v>
      </c>
      <c r="AH271" s="1779">
        <v>9.983590642150042E-2</v>
      </c>
      <c r="AI271" s="1779">
        <v>9.942483494829335E-2</v>
      </c>
      <c r="AJ271" s="1779">
        <v>9.9409754245551651E-2</v>
      </c>
      <c r="AK271" s="1779">
        <v>9.9437109876129304E-2</v>
      </c>
      <c r="AL271" s="1779">
        <v>9.9466811409989475E-2</v>
      </c>
      <c r="AM271" s="1779">
        <v>9.9550088853337382E-2</v>
      </c>
      <c r="AN271" s="1779">
        <v>9.9652709035356724E-2</v>
      </c>
      <c r="AO271" s="1779">
        <v>9.9774774146949019E-2</v>
      </c>
      <c r="AP271" s="1779">
        <v>9.9895984993572107E-2</v>
      </c>
      <c r="AQ271" s="1752"/>
      <c r="AR271" s="1752"/>
      <c r="AS271" s="1752"/>
      <c r="AT271" s="1752"/>
      <c r="AU271" s="1752"/>
      <c r="AV271" s="1752"/>
      <c r="AW271" s="1752"/>
      <c r="AX271" s="1752"/>
      <c r="AY271" s="1752"/>
      <c r="AZ271" s="1752"/>
      <c r="BA271" s="1752"/>
      <c r="BB271" s="1752"/>
      <c r="BC271" s="1752"/>
      <c r="BD271" s="1752"/>
      <c r="BE271" s="1752"/>
      <c r="BF271" s="1752"/>
      <c r="BG271" s="1752"/>
      <c r="BH271" s="1752"/>
      <c r="BI271" s="1752"/>
      <c r="BJ271" s="1752"/>
      <c r="BK271" s="1752"/>
      <c r="BL271" s="1752"/>
      <c r="BM271" s="1752"/>
      <c r="BN271" s="1752"/>
      <c r="BO271" s="1752"/>
      <c r="BP271" s="1754"/>
      <c r="BQ271" s="1755"/>
      <c r="BR271" s="1755"/>
      <c r="BS271" s="1755"/>
      <c r="BT271" s="1755"/>
      <c r="BU271" s="1755"/>
      <c r="BV271" s="1755"/>
      <c r="BW271" s="1755"/>
      <c r="BX271" s="1755"/>
      <c r="BY271" s="1755"/>
      <c r="BZ271" s="1755"/>
      <c r="CA271" s="1755"/>
      <c r="CB271" s="1755"/>
      <c r="CC271" s="1755"/>
      <c r="CD271" s="1755"/>
      <c r="CE271" s="1755"/>
      <c r="CF271" s="1755"/>
      <c r="CG271" s="1755"/>
      <c r="CH271" s="1755"/>
      <c r="CI271" s="1755"/>
      <c r="CJ271" s="1755"/>
      <c r="CK271" s="1755"/>
      <c r="CL271" s="1755"/>
      <c r="CM271" s="1755"/>
      <c r="CN271" s="1756"/>
      <c r="CO271" s="1767"/>
    </row>
    <row r="272" spans="2:93" ht="15" x14ac:dyDescent="0.25">
      <c r="B272" s="1707"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72" s="1703" t="s">
        <v>1075</v>
      </c>
      <c r="D272" s="1765" t="s">
        <v>1074</v>
      </c>
      <c r="E272" s="1723" t="s">
        <v>987</v>
      </c>
      <c r="F272" s="1747" t="str">
        <f>VLOOKUP(TBL5_OptBen[[#This Row],[Option Type (defined list)]],'Option Typs_Grps'!B$2:C$47, 2, FALSE)</f>
        <v>Customer Options</v>
      </c>
      <c r="G272" s="1747" t="s">
        <v>863</v>
      </c>
      <c r="H272" s="1747" t="s">
        <v>1461</v>
      </c>
      <c r="I272" s="1747" t="s">
        <v>93</v>
      </c>
      <c r="J272" s="1747" t="s">
        <v>236</v>
      </c>
      <c r="K272" s="1760">
        <v>2</v>
      </c>
      <c r="L272" s="1779"/>
      <c r="M272" s="1779"/>
      <c r="N272" s="1779">
        <v>0</v>
      </c>
      <c r="O272" s="1780">
        <v>0</v>
      </c>
      <c r="P272" s="1780">
        <v>0</v>
      </c>
      <c r="Q272" s="1779">
        <v>0</v>
      </c>
      <c r="R272" s="1779">
        <v>3.5689960635599149E-2</v>
      </c>
      <c r="S272" s="1779">
        <v>7.0850369439400041E-2</v>
      </c>
      <c r="T272" s="1779">
        <v>0.10570749970590043</v>
      </c>
      <c r="U272" s="1779">
        <v>0.14014606036050026</v>
      </c>
      <c r="V272" s="1779">
        <v>0.17382879107720051</v>
      </c>
      <c r="W272" s="1779">
        <v>0.20583829676770016</v>
      </c>
      <c r="X272" s="1779">
        <v>0.23781771826189946</v>
      </c>
      <c r="Y272" s="1779">
        <v>0.26963649374980037</v>
      </c>
      <c r="Z272" s="1779">
        <v>0.3011656579377</v>
      </c>
      <c r="AA272" s="1779">
        <v>0.33249119538979954</v>
      </c>
      <c r="AB272" s="1779">
        <v>0.34078230931220155</v>
      </c>
      <c r="AC272" s="1779">
        <v>0.34896819786899869</v>
      </c>
      <c r="AD272" s="1779">
        <v>0.35726778101169998</v>
      </c>
      <c r="AE272" s="1779">
        <v>0.3656342848338987</v>
      </c>
      <c r="AF272" s="1779">
        <v>0.37379066380550086</v>
      </c>
      <c r="AG272" s="1779">
        <v>0.38159369376059971</v>
      </c>
      <c r="AH272" s="1779">
        <v>0.38953120982329992</v>
      </c>
      <c r="AI272" s="1779">
        <v>0.3974834677502006</v>
      </c>
      <c r="AJ272" s="1779">
        <v>0.40547642921410088</v>
      </c>
      <c r="AK272" s="1779">
        <v>0.41348851048780055</v>
      </c>
      <c r="AL272" s="1779">
        <v>0.42116409856060066</v>
      </c>
      <c r="AM272" s="1779">
        <v>0.42885439317410068</v>
      </c>
      <c r="AN272" s="1779">
        <v>0.4366501854895013</v>
      </c>
      <c r="AO272" s="1779">
        <v>0.44453823180630003</v>
      </c>
      <c r="AP272" s="1779">
        <v>0.44401369463800044</v>
      </c>
      <c r="AQ272" s="1752"/>
      <c r="AR272" s="1752"/>
      <c r="AS272" s="1752"/>
      <c r="AT272" s="1752"/>
      <c r="AU272" s="1752"/>
      <c r="AV272" s="1752"/>
      <c r="AW272" s="1752"/>
      <c r="AX272" s="1752"/>
      <c r="AY272" s="1752"/>
      <c r="AZ272" s="1752"/>
      <c r="BA272" s="1752"/>
      <c r="BB272" s="1752"/>
      <c r="BC272" s="1752"/>
      <c r="BD272" s="1752"/>
      <c r="BE272" s="1752"/>
      <c r="BF272" s="1752"/>
      <c r="BG272" s="1752"/>
      <c r="BH272" s="1752"/>
      <c r="BI272" s="1752"/>
      <c r="BJ272" s="1752"/>
      <c r="BK272" s="1752"/>
      <c r="BL272" s="1752"/>
      <c r="BM272" s="1752"/>
      <c r="BN272" s="1752"/>
      <c r="BO272" s="1752"/>
      <c r="BP272" s="1754"/>
      <c r="BQ272" s="1755"/>
      <c r="BR272" s="1755"/>
      <c r="BS272" s="1755"/>
      <c r="BT272" s="1755"/>
      <c r="BU272" s="1755"/>
      <c r="BV272" s="1755"/>
      <c r="BW272" s="1755"/>
      <c r="BX272" s="1755"/>
      <c r="BY272" s="1755"/>
      <c r="BZ272" s="1755"/>
      <c r="CA272" s="1755"/>
      <c r="CB272" s="1755"/>
      <c r="CC272" s="1755"/>
      <c r="CD272" s="1755"/>
      <c r="CE272" s="1755"/>
      <c r="CF272" s="1755"/>
      <c r="CG272" s="1755"/>
      <c r="CH272" s="1755"/>
      <c r="CI272" s="1755"/>
      <c r="CJ272" s="1755"/>
      <c r="CK272" s="1755"/>
      <c r="CL272" s="1755"/>
      <c r="CM272" s="1755"/>
      <c r="CN272" s="1756"/>
      <c r="CO272" s="1767"/>
    </row>
    <row r="273" spans="2:93" x14ac:dyDescent="0.2">
      <c r="B273" s="1707"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73" s="1707" t="s">
        <v>1123</v>
      </c>
      <c r="D273" s="1765" t="s">
        <v>1122</v>
      </c>
      <c r="E273" s="1714" t="s">
        <v>987</v>
      </c>
      <c r="F273" s="1747" t="str">
        <f>VLOOKUP(TBL5_OptBen[[#This Row],[Option Type (defined list)]],'Option Typs_Grps'!B$2:C$47, 2, FALSE)</f>
        <v>Customer Options</v>
      </c>
      <c r="G273" s="1747" t="s">
        <v>863</v>
      </c>
      <c r="H273" s="1747" t="s">
        <v>1461</v>
      </c>
      <c r="I273" s="1747" t="s">
        <v>93</v>
      </c>
      <c r="J273" s="1747" t="s">
        <v>236</v>
      </c>
      <c r="K273" s="1760">
        <v>2</v>
      </c>
      <c r="L273" s="1779"/>
      <c r="M273" s="1779"/>
      <c r="N273" s="1779">
        <v>0</v>
      </c>
      <c r="O273" s="1780">
        <v>0</v>
      </c>
      <c r="P273" s="1780">
        <v>0</v>
      </c>
      <c r="Q273" s="1779">
        <v>0</v>
      </c>
      <c r="R273" s="1779">
        <v>1.3178471333400665E-2</v>
      </c>
      <c r="S273" s="1779">
        <v>3.9369086072099435E-2</v>
      </c>
      <c r="T273" s="1779">
        <v>4.3887993163000516E-2</v>
      </c>
      <c r="U273" s="1779">
        <v>8.3937061854401307E-2</v>
      </c>
      <c r="V273" s="1779">
        <v>0.12562484537389906</v>
      </c>
      <c r="W273" s="1779">
        <v>0.14181290059669927</v>
      </c>
      <c r="X273" s="1779">
        <v>0.15804796262260012</v>
      </c>
      <c r="Y273" s="1779">
        <v>0.17419540958569968</v>
      </c>
      <c r="Z273" s="1779">
        <v>0.19019893628089868</v>
      </c>
      <c r="AA273" s="1779">
        <v>0.2060964717269993</v>
      </c>
      <c r="AB273" s="1779">
        <v>0.20549936133209989</v>
      </c>
      <c r="AC273" s="1779">
        <v>0.20485197174890146</v>
      </c>
      <c r="AD273" s="1779">
        <v>0.20427678766820101</v>
      </c>
      <c r="AE273" s="1779">
        <v>0.20376090528110069</v>
      </c>
      <c r="AF273" s="1779">
        <v>0.20317404311090037</v>
      </c>
      <c r="AG273" s="1779">
        <v>0.20256742403909911</v>
      </c>
      <c r="AH273" s="1779">
        <v>0.20204244947000127</v>
      </c>
      <c r="AI273" s="1779">
        <v>0.20154988315639955</v>
      </c>
      <c r="AJ273" s="1779">
        <v>0.20109600900439872</v>
      </c>
      <c r="AK273" s="1779">
        <v>0.2006715365935996</v>
      </c>
      <c r="AL273" s="1779">
        <v>0.20025402051919983</v>
      </c>
      <c r="AM273" s="1779">
        <v>0.19986082533180038</v>
      </c>
      <c r="AN273" s="1779">
        <v>0.19953306732709919</v>
      </c>
      <c r="AO273" s="1779">
        <v>0.19926368990329912</v>
      </c>
      <c r="AP273" s="1779">
        <v>0.20748931640120105</v>
      </c>
      <c r="AQ273" s="1752"/>
      <c r="AR273" s="1752"/>
      <c r="AS273" s="1752"/>
      <c r="AT273" s="1752"/>
      <c r="AU273" s="1752"/>
      <c r="AV273" s="1752"/>
      <c r="AW273" s="1752"/>
      <c r="AX273" s="1752"/>
      <c r="AY273" s="1752"/>
      <c r="AZ273" s="1752"/>
      <c r="BA273" s="1752"/>
      <c r="BB273" s="1752"/>
      <c r="BC273" s="1752"/>
      <c r="BD273" s="1752"/>
      <c r="BE273" s="1752"/>
      <c r="BF273" s="1752"/>
      <c r="BG273" s="1752"/>
      <c r="BH273" s="1752"/>
      <c r="BI273" s="1752"/>
      <c r="BJ273" s="1752"/>
      <c r="BK273" s="1752"/>
      <c r="BL273" s="1752"/>
      <c r="BM273" s="1752"/>
      <c r="BN273" s="1752"/>
      <c r="BO273" s="1752"/>
      <c r="BP273" s="1754"/>
      <c r="BQ273" s="1755"/>
      <c r="BR273" s="1755"/>
      <c r="BS273" s="1755"/>
      <c r="BT273" s="1755"/>
      <c r="BU273" s="1755"/>
      <c r="BV273" s="1755"/>
      <c r="BW273" s="1755"/>
      <c r="BX273" s="1755"/>
      <c r="BY273" s="1755"/>
      <c r="BZ273" s="1755"/>
      <c r="CA273" s="1755"/>
      <c r="CB273" s="1755"/>
      <c r="CC273" s="1755"/>
      <c r="CD273" s="1755"/>
      <c r="CE273" s="1755"/>
      <c r="CF273" s="1755"/>
      <c r="CG273" s="1755"/>
      <c r="CH273" s="1755"/>
      <c r="CI273" s="1755"/>
      <c r="CJ273" s="1755"/>
      <c r="CK273" s="1755"/>
      <c r="CL273" s="1755"/>
      <c r="CM273" s="1755"/>
      <c r="CN273" s="1756"/>
      <c r="CO273" s="1767"/>
    </row>
    <row r="274" spans="2:93" x14ac:dyDescent="0.2">
      <c r="B274" s="1707"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274" s="1703" t="s">
        <v>1082</v>
      </c>
      <c r="D274" s="1765" t="s">
        <v>1081</v>
      </c>
      <c r="E274" s="1723" t="s">
        <v>860</v>
      </c>
      <c r="F274" s="1747" t="str">
        <f>VLOOKUP(TBL5_OptBen[[#This Row],[Option Type (defined list)]],'Option Typs_Grps'!B$2:C$47, 2, FALSE)</f>
        <v>Distribution Options</v>
      </c>
      <c r="G274" s="1747" t="s">
        <v>863</v>
      </c>
      <c r="H274" s="1747" t="s">
        <v>1461</v>
      </c>
      <c r="I274" s="1747" t="s">
        <v>93</v>
      </c>
      <c r="J274" s="1747" t="s">
        <v>236</v>
      </c>
      <c r="K274" s="1760">
        <v>2</v>
      </c>
      <c r="L274" s="1779"/>
      <c r="M274" s="1779"/>
      <c r="N274" s="1779">
        <v>0</v>
      </c>
      <c r="O274" s="1780">
        <v>0</v>
      </c>
      <c r="P274" s="1780">
        <v>0</v>
      </c>
      <c r="Q274" s="1779">
        <v>0</v>
      </c>
      <c r="R274" s="1779">
        <v>1.6012833302289531E-2</v>
      </c>
      <c r="S274" s="1779">
        <v>3.2297784268105145E-2</v>
      </c>
      <c r="T274" s="1779">
        <v>4.6891326556159241E-2</v>
      </c>
      <c r="U274" s="1779">
        <v>6.1476061398944459E-2</v>
      </c>
      <c r="V274" s="1779">
        <v>6.7704838780245469E-2</v>
      </c>
      <c r="W274" s="1779">
        <v>6.8220328336446867E-2</v>
      </c>
      <c r="X274" s="1779">
        <v>7.6904546290095466E-2</v>
      </c>
      <c r="Y274" s="1779">
        <v>9.1173372840745115E-2</v>
      </c>
      <c r="Z274" s="1779">
        <v>0.10542791179829925</v>
      </c>
      <c r="AA274" s="1779">
        <v>0.11966776006978419</v>
      </c>
      <c r="AB274" s="1779">
        <v>0.1338935329489499</v>
      </c>
      <c r="AC274" s="1779">
        <v>0.14810483085964576</v>
      </c>
      <c r="AD274" s="1779">
        <v>0.16230273066300716</v>
      </c>
      <c r="AE274" s="1779">
        <v>0.17648917044213785</v>
      </c>
      <c r="AF274" s="1779">
        <v>0.19066368741453266</v>
      </c>
      <c r="AG274" s="1779">
        <v>0.20481992820443029</v>
      </c>
      <c r="AH274" s="1779">
        <v>0.21895815868837754</v>
      </c>
      <c r="AI274" s="1779">
        <v>0.23308594445252351</v>
      </c>
      <c r="AJ274" s="1779">
        <v>0.24720120862646122</v>
      </c>
      <c r="AK274" s="1779">
        <v>0.26130520094276699</v>
      </c>
      <c r="AL274" s="1779">
        <v>0.27539827539136907</v>
      </c>
      <c r="AM274" s="1779">
        <v>0.28948165215975519</v>
      </c>
      <c r="AN274" s="1779">
        <v>0.30355690303425731</v>
      </c>
      <c r="AO274" s="1779">
        <v>0.31762429344060794</v>
      </c>
      <c r="AP274" s="1779">
        <v>0.33168332357691122</v>
      </c>
      <c r="AQ274" s="1779"/>
      <c r="AR274" s="1779"/>
      <c r="AS274" s="1779"/>
      <c r="AT274" s="1779"/>
      <c r="AU274" s="1779"/>
      <c r="AV274" s="1779"/>
      <c r="AW274" s="1779"/>
      <c r="AX274" s="1779"/>
      <c r="AY274" s="1779"/>
      <c r="AZ274" s="1779"/>
      <c r="BA274" s="1779"/>
      <c r="BB274" s="1779"/>
      <c r="BC274" s="1779"/>
      <c r="BD274" s="1779"/>
      <c r="BE274" s="1779"/>
      <c r="BF274" s="1779"/>
      <c r="BG274" s="1779"/>
      <c r="BH274" s="1779"/>
      <c r="BI274" s="1779"/>
      <c r="BJ274" s="1779"/>
      <c r="BK274" s="1779"/>
      <c r="BL274" s="1779"/>
      <c r="BM274" s="1779"/>
      <c r="BN274" s="1779"/>
      <c r="BO274" s="1779"/>
      <c r="BP274" s="1780"/>
      <c r="BQ274" s="1755"/>
      <c r="BR274" s="1755"/>
      <c r="BS274" s="1755"/>
      <c r="BT274" s="1755"/>
      <c r="BU274" s="1755"/>
      <c r="BV274" s="1755"/>
      <c r="BW274" s="1755"/>
      <c r="BX274" s="1755"/>
      <c r="BY274" s="1755"/>
      <c r="BZ274" s="1755"/>
      <c r="CA274" s="1755"/>
      <c r="CB274" s="1755"/>
      <c r="CC274" s="1755"/>
      <c r="CD274" s="1755"/>
      <c r="CE274" s="1755"/>
      <c r="CF274" s="1755"/>
      <c r="CG274" s="1755"/>
      <c r="CH274" s="1755"/>
      <c r="CI274" s="1755"/>
      <c r="CJ274" s="1755"/>
      <c r="CK274" s="1755"/>
      <c r="CL274" s="1755"/>
      <c r="CM274" s="1755"/>
      <c r="CN274" s="1756"/>
      <c r="CO274" s="1767"/>
    </row>
    <row r="275" spans="2:93" ht="15" x14ac:dyDescent="0.25">
      <c r="B275" s="1707"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75" s="1703" t="s">
        <v>1119</v>
      </c>
      <c r="D275" s="1765" t="s">
        <v>1118</v>
      </c>
      <c r="E275" s="1723" t="s">
        <v>1099</v>
      </c>
      <c r="F275" s="1747" t="str">
        <f>VLOOKUP(TBL5_OptBen[[#This Row],[Option Type (defined list)]],'Option Typs_Grps'!B$2:C$47, 2, FALSE)</f>
        <v>Customer Options</v>
      </c>
      <c r="G275" s="1747" t="s">
        <v>863</v>
      </c>
      <c r="H275" s="1747" t="s">
        <v>1461</v>
      </c>
      <c r="I275" s="1747" t="s">
        <v>93</v>
      </c>
      <c r="J275" s="1747" t="s">
        <v>236</v>
      </c>
      <c r="K275" s="1760">
        <v>2</v>
      </c>
      <c r="L275" s="1779"/>
      <c r="M275" s="1779"/>
      <c r="N275" s="1779">
        <v>0</v>
      </c>
      <c r="O275" s="1780">
        <v>0</v>
      </c>
      <c r="P275" s="1780">
        <v>0</v>
      </c>
      <c r="Q275" s="1779">
        <v>0</v>
      </c>
      <c r="R275" s="1779">
        <v>-3.4263330228962406E-4</v>
      </c>
      <c r="S275" s="1779">
        <v>-9.5738426810537854E-4</v>
      </c>
      <c r="T275" s="1779">
        <v>1.192734438405299E-4</v>
      </c>
      <c r="U275" s="1779">
        <v>1.2047386010554384E-3</v>
      </c>
      <c r="V275" s="1779">
        <v>1.0646161219754301E-2</v>
      </c>
      <c r="W275" s="1779">
        <v>2.580087166355283E-2</v>
      </c>
      <c r="X275" s="1779">
        <v>3.2786853709904314E-2</v>
      </c>
      <c r="Y275" s="1779">
        <v>3.4188227159254521E-2</v>
      </c>
      <c r="Z275" s="1779">
        <v>3.5603888201700525E-2</v>
      </c>
      <c r="AA275" s="1779">
        <v>3.70342399302157E-2</v>
      </c>
      <c r="AB275" s="1779">
        <v>3.8478667051049797E-2</v>
      </c>
      <c r="AC275" s="1779">
        <v>3.9937569140353874E-2</v>
      </c>
      <c r="AD275" s="1779">
        <v>4.1409869336992353E-2</v>
      </c>
      <c r="AE275" s="1779">
        <v>4.2893629557861718E-2</v>
      </c>
      <c r="AF275" s="1779">
        <v>4.4389312585466904E-2</v>
      </c>
      <c r="AG275" s="1779">
        <v>4.5903271795569175E-2</v>
      </c>
      <c r="AH275" s="1779">
        <v>4.7435241311621787E-2</v>
      </c>
      <c r="AI275" s="1779">
        <v>4.897765554747599E-2</v>
      </c>
      <c r="AJ275" s="1779">
        <v>5.0532591373538299E-2</v>
      </c>
      <c r="AK275" s="1779">
        <v>5.209879905723229E-2</v>
      </c>
      <c r="AL275" s="1779">
        <v>5.3675924608630209E-2</v>
      </c>
      <c r="AM275" s="1779">
        <v>5.5262747840244097E-2</v>
      </c>
      <c r="AN275" s="1779">
        <v>5.6857696965741972E-2</v>
      </c>
      <c r="AO275" s="1779">
        <v>5.846050655939123E-2</v>
      </c>
      <c r="AP275" s="1779">
        <v>6.0071676423088909E-2</v>
      </c>
      <c r="AQ275" s="1779"/>
      <c r="AR275" s="1779"/>
      <c r="AS275" s="1779"/>
      <c r="AT275" s="1779"/>
      <c r="AU275" s="1779"/>
      <c r="AV275" s="1779"/>
      <c r="AW275" s="1779"/>
      <c r="AX275" s="1779"/>
      <c r="AY275" s="1779"/>
      <c r="AZ275" s="1779"/>
      <c r="BA275" s="1779"/>
      <c r="BB275" s="1779"/>
      <c r="BC275" s="1779"/>
      <c r="BD275" s="1779"/>
      <c r="BE275" s="1779"/>
      <c r="BF275" s="1779"/>
      <c r="BG275" s="1779"/>
      <c r="BH275" s="1779"/>
      <c r="BI275" s="1779"/>
      <c r="BJ275" s="1779"/>
      <c r="BK275" s="1779"/>
      <c r="BL275" s="1779"/>
      <c r="BM275" s="1779"/>
      <c r="BN275" s="1779"/>
      <c r="BO275" s="1779"/>
      <c r="BP275" s="1780"/>
      <c r="BQ275" s="1755"/>
      <c r="BR275" s="1755"/>
      <c r="BS275" s="1755"/>
      <c r="BT275" s="1755"/>
      <c r="BU275" s="1755"/>
      <c r="BV275" s="1755"/>
      <c r="BW275" s="1755"/>
      <c r="BX275" s="1755"/>
      <c r="BY275" s="1755"/>
      <c r="BZ275" s="1755"/>
      <c r="CA275" s="1755"/>
      <c r="CB275" s="1755"/>
      <c r="CC275" s="1755"/>
      <c r="CD275" s="1755"/>
      <c r="CE275" s="1755"/>
      <c r="CF275" s="1755"/>
      <c r="CG275" s="1755"/>
      <c r="CH275" s="1755"/>
      <c r="CI275" s="1755"/>
      <c r="CJ275" s="1755"/>
      <c r="CK275" s="1755"/>
      <c r="CL275" s="1755"/>
      <c r="CM275" s="1755"/>
      <c r="CN275" s="1756"/>
      <c r="CO275" s="1767"/>
    </row>
    <row r="276" spans="2:93" x14ac:dyDescent="0.2">
      <c r="B276" s="1707"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76" s="1707" t="s">
        <v>1125</v>
      </c>
      <c r="D276" s="1765" t="s">
        <v>1474</v>
      </c>
      <c r="E276" s="1714" t="s">
        <v>987</v>
      </c>
      <c r="F276" s="1747" t="str">
        <f>VLOOKUP(TBL5_OptBen[[#This Row],[Option Type (defined list)]],'Option Typs_Grps'!B$2:C$47, 2, FALSE)</f>
        <v>Customer Options</v>
      </c>
      <c r="G276" s="1747" t="s">
        <v>863</v>
      </c>
      <c r="H276" s="1747" t="s">
        <v>1461</v>
      </c>
      <c r="I276" s="1747" t="s">
        <v>93</v>
      </c>
      <c r="J276" s="1747" t="s">
        <v>236</v>
      </c>
      <c r="K276" s="1760">
        <v>2</v>
      </c>
      <c r="L276" s="1779"/>
      <c r="M276" s="1779"/>
      <c r="N276" s="1779">
        <v>0</v>
      </c>
      <c r="O276" s="1780">
        <v>0</v>
      </c>
      <c r="P276" s="1780">
        <v>0</v>
      </c>
      <c r="Q276" s="1779">
        <v>0</v>
      </c>
      <c r="R276" s="1779">
        <v>1.0144563675199336E-2</v>
      </c>
      <c r="S276" s="1779">
        <v>2.0289127350499925E-2</v>
      </c>
      <c r="T276" s="1779">
        <v>3.0433691025800513E-2</v>
      </c>
      <c r="U276" s="1779">
        <v>4.0578254701101102E-2</v>
      </c>
      <c r="V276" s="1779">
        <v>5.0722818376399914E-2</v>
      </c>
      <c r="W276" s="1779">
        <v>7.2467705815599359E-2</v>
      </c>
      <c r="X276" s="1779">
        <v>9.4212593254999533E-2</v>
      </c>
      <c r="Y276" s="1779">
        <v>0.11595748069419898</v>
      </c>
      <c r="Z276" s="1779">
        <v>0.13770236813349968</v>
      </c>
      <c r="AA276" s="1779">
        <v>0.1594472555727986</v>
      </c>
      <c r="AB276" s="1779">
        <v>0.17964585081410078</v>
      </c>
      <c r="AC276" s="1779">
        <v>0.19984444605529994</v>
      </c>
      <c r="AD276" s="1779">
        <v>0.22004304129650087</v>
      </c>
      <c r="AE276" s="1779">
        <v>0.2200430412964991</v>
      </c>
      <c r="AF276" s="1779">
        <v>0.22004304129650087</v>
      </c>
      <c r="AG276" s="1779">
        <v>0.2200430412964991</v>
      </c>
      <c r="AH276" s="1779">
        <v>0.22004304129650087</v>
      </c>
      <c r="AI276" s="1779">
        <v>0.22004304129650087</v>
      </c>
      <c r="AJ276" s="1779">
        <v>0.22004304129650087</v>
      </c>
      <c r="AK276" s="1779">
        <v>0.2200430412964991</v>
      </c>
      <c r="AL276" s="1779">
        <v>0.22004304129650087</v>
      </c>
      <c r="AM276" s="1779">
        <v>0.22004304129650087</v>
      </c>
      <c r="AN276" s="1779">
        <v>0.22004304129650087</v>
      </c>
      <c r="AO276" s="1779">
        <v>0.2200430412964991</v>
      </c>
      <c r="AP276" s="1779">
        <v>0.22004304129650087</v>
      </c>
      <c r="AQ276" s="1779"/>
      <c r="AR276" s="1779"/>
      <c r="AS276" s="1779"/>
      <c r="AT276" s="1779"/>
      <c r="AU276" s="1779"/>
      <c r="AV276" s="1779"/>
      <c r="AW276" s="1779"/>
      <c r="AX276" s="1779"/>
      <c r="AY276" s="1779"/>
      <c r="AZ276" s="1779"/>
      <c r="BA276" s="1779"/>
      <c r="BB276" s="1779"/>
      <c r="BC276" s="1779"/>
      <c r="BD276" s="1779"/>
      <c r="BE276" s="1779"/>
      <c r="BF276" s="1779"/>
      <c r="BG276" s="1779"/>
      <c r="BH276" s="1779"/>
      <c r="BI276" s="1779"/>
      <c r="BJ276" s="1779"/>
      <c r="BK276" s="1779"/>
      <c r="BL276" s="1779"/>
      <c r="BM276" s="1779"/>
      <c r="BN276" s="1779"/>
      <c r="BO276" s="1779"/>
      <c r="BP276" s="1780"/>
      <c r="BQ276" s="1755"/>
      <c r="BR276" s="1755"/>
      <c r="BS276" s="1755"/>
      <c r="BT276" s="1755"/>
      <c r="BU276" s="1755"/>
      <c r="BV276" s="1755"/>
      <c r="BW276" s="1755"/>
      <c r="BX276" s="1755"/>
      <c r="BY276" s="1755"/>
      <c r="BZ276" s="1755"/>
      <c r="CA276" s="1755"/>
      <c r="CB276" s="1755"/>
      <c r="CC276" s="1755"/>
      <c r="CD276" s="1755"/>
      <c r="CE276" s="1755"/>
      <c r="CF276" s="1755"/>
      <c r="CG276" s="1755"/>
      <c r="CH276" s="1755"/>
      <c r="CI276" s="1755"/>
      <c r="CJ276" s="1755"/>
      <c r="CK276" s="1755"/>
      <c r="CL276" s="1755"/>
      <c r="CM276" s="1755"/>
      <c r="CN276" s="1756"/>
      <c r="CO276" s="1767"/>
    </row>
    <row r="277" spans="2:93" x14ac:dyDescent="0.2">
      <c r="B277" s="1707"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77" s="1703" t="s">
        <v>1079</v>
      </c>
      <c r="D277" s="1765" t="s">
        <v>1078</v>
      </c>
      <c r="E277" s="1714" t="s">
        <v>987</v>
      </c>
      <c r="F277" s="1747" t="str">
        <f>VLOOKUP(TBL5_OptBen[[#This Row],[Option Type (defined list)]],'Option Typs_Grps'!B$2:C$47, 2, FALSE)</f>
        <v>Customer Options</v>
      </c>
      <c r="G277" s="1747" t="s">
        <v>863</v>
      </c>
      <c r="H277" s="1747" t="s">
        <v>1461</v>
      </c>
      <c r="I277" s="1747" t="s">
        <v>93</v>
      </c>
      <c r="J277" s="1747" t="s">
        <v>236</v>
      </c>
      <c r="K277" s="1760">
        <v>2</v>
      </c>
      <c r="L277" s="1779"/>
      <c r="M277" s="1779"/>
      <c r="N277" s="1779">
        <v>0</v>
      </c>
      <c r="O277" s="1780">
        <v>0</v>
      </c>
      <c r="P277" s="1780">
        <v>0</v>
      </c>
      <c r="Q277" s="1779">
        <v>0</v>
      </c>
      <c r="R277" s="1779">
        <v>0</v>
      </c>
      <c r="S277" s="1779">
        <v>0</v>
      </c>
      <c r="T277" s="1779">
        <v>1.2316154623000841E-2</v>
      </c>
      <c r="U277" s="1779">
        <v>2.4492761570900967E-2</v>
      </c>
      <c r="V277" s="1779">
        <v>3.6494205364698828E-2</v>
      </c>
      <c r="W277" s="1779">
        <v>4.840714577579952E-2</v>
      </c>
      <c r="X277" s="1779">
        <v>6.0274776207499769E-2</v>
      </c>
      <c r="Y277" s="1779">
        <v>7.2075016762699562E-2</v>
      </c>
      <c r="Z277" s="1779">
        <v>9.6940235992798662E-2</v>
      </c>
      <c r="AA277" s="1779">
        <v>0.12163387279989912</v>
      </c>
      <c r="AB277" s="1779">
        <v>0.14620955217790055</v>
      </c>
      <c r="AC277" s="1779">
        <v>0.17063373049670005</v>
      </c>
      <c r="AD277" s="1779">
        <v>0.19495479254990045</v>
      </c>
      <c r="AE277" s="1779">
        <v>0.2192086231135999</v>
      </c>
      <c r="AF277" s="1779">
        <v>0.2432107743487002</v>
      </c>
      <c r="AG277" s="1779">
        <v>0.26704516829710023</v>
      </c>
      <c r="AH277" s="1779">
        <v>0.29089161678320075</v>
      </c>
      <c r="AI277" s="1779">
        <v>0.31469205759239927</v>
      </c>
      <c r="AJ277" s="1779">
        <v>0.32222836230859997</v>
      </c>
      <c r="AK277" s="1779">
        <v>0.32981805983060042</v>
      </c>
      <c r="AL277" s="1779">
        <v>0.33738307145740087</v>
      </c>
      <c r="AM277" s="1779">
        <v>0.34497200784130122</v>
      </c>
      <c r="AN277" s="1779">
        <v>0.35268172673660025</v>
      </c>
      <c r="AO277" s="1779">
        <v>0.3604911591194</v>
      </c>
      <c r="AP277" s="1779">
        <v>0.36835618440450091</v>
      </c>
      <c r="AQ277" s="1779"/>
      <c r="AR277" s="1779"/>
      <c r="AS277" s="1779"/>
      <c r="AT277" s="1779"/>
      <c r="AU277" s="1779"/>
      <c r="AV277" s="1779"/>
      <c r="AW277" s="1779"/>
      <c r="AX277" s="1779"/>
      <c r="AY277" s="1779"/>
      <c r="AZ277" s="1779"/>
      <c r="BA277" s="1779"/>
      <c r="BB277" s="1779"/>
      <c r="BC277" s="1779"/>
      <c r="BD277" s="1779"/>
      <c r="BE277" s="1779"/>
      <c r="BF277" s="1779"/>
      <c r="BG277" s="1779"/>
      <c r="BH277" s="1779"/>
      <c r="BI277" s="1779"/>
      <c r="BJ277" s="1779"/>
      <c r="BK277" s="1779"/>
      <c r="BL277" s="1779"/>
      <c r="BM277" s="1779"/>
      <c r="BN277" s="1779"/>
      <c r="BO277" s="1779"/>
      <c r="BP277" s="1780"/>
      <c r="BQ277" s="1755"/>
      <c r="BR277" s="1755"/>
      <c r="BS277" s="1755"/>
      <c r="BT277" s="1755"/>
      <c r="BU277" s="1755"/>
      <c r="BV277" s="1755"/>
      <c r="BW277" s="1755"/>
      <c r="BX277" s="1755"/>
      <c r="BY277" s="1755"/>
      <c r="BZ277" s="1755"/>
      <c r="CA277" s="1755"/>
      <c r="CB277" s="1755"/>
      <c r="CC277" s="1755"/>
      <c r="CD277" s="1755"/>
      <c r="CE277" s="1755"/>
      <c r="CF277" s="1755"/>
      <c r="CG277" s="1755"/>
      <c r="CH277" s="1755"/>
      <c r="CI277" s="1755"/>
      <c r="CJ277" s="1755"/>
      <c r="CK277" s="1755"/>
      <c r="CL277" s="1755"/>
      <c r="CM277" s="1755"/>
      <c r="CN277" s="1756"/>
      <c r="CO277" s="1767"/>
    </row>
    <row r="278" spans="2:93" ht="15" x14ac:dyDescent="0.25">
      <c r="B278" s="1707"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78" s="1703" t="s">
        <v>1067</v>
      </c>
      <c r="D278" s="1765" t="s">
        <v>1066</v>
      </c>
      <c r="E278" s="1723" t="s">
        <v>1068</v>
      </c>
      <c r="F278" s="1747" t="str">
        <f>VLOOKUP(TBL5_OptBen[[#This Row],[Option Type (defined list)]],'Option Typs_Grps'!B$2:C$47, 2, FALSE)</f>
        <v>Customer Options</v>
      </c>
      <c r="G278" s="1747" t="s">
        <v>863</v>
      </c>
      <c r="H278" s="1747" t="s">
        <v>1461</v>
      </c>
      <c r="I278" s="1747" t="s">
        <v>102</v>
      </c>
      <c r="J278" s="1747" t="s">
        <v>236</v>
      </c>
      <c r="K278" s="1760">
        <v>2</v>
      </c>
      <c r="L278" s="1779"/>
      <c r="M278" s="1779"/>
      <c r="N278" s="1779">
        <v>0</v>
      </c>
      <c r="O278" s="1780">
        <v>2.5757174171303632E-14</v>
      </c>
      <c r="P278" s="1780">
        <v>4.0856207306205761E-14</v>
      </c>
      <c r="Q278" s="1779">
        <v>0</v>
      </c>
      <c r="R278" s="1779">
        <v>2.8222942254962025E-2</v>
      </c>
      <c r="S278" s="1779">
        <v>5.102355375825951E-2</v>
      </c>
      <c r="T278" s="1779">
        <v>-3.463498264699183E-2</v>
      </c>
      <c r="U278" s="1779">
        <v>-4.0982019910842382E-2</v>
      </c>
      <c r="V278" s="1779">
        <v>-4.4940511999577382E-2</v>
      </c>
      <c r="W278" s="1779">
        <v>-4.775765604458293E-2</v>
      </c>
      <c r="X278" s="1779">
        <v>-4.8309414629620129E-2</v>
      </c>
      <c r="Y278" s="1779">
        <v>-4.7194492905036134E-2</v>
      </c>
      <c r="Z278" s="1779">
        <v>-4.5687750903295077E-2</v>
      </c>
      <c r="AA278" s="1779">
        <v>-4.3850077526514042E-2</v>
      </c>
      <c r="AB278" s="1779">
        <v>-4.251077120807617E-2</v>
      </c>
      <c r="AC278" s="1779">
        <v>-4.0811700950468266E-2</v>
      </c>
      <c r="AD278" s="1779">
        <v>-3.8842439729724676E-2</v>
      </c>
      <c r="AE278" s="1779">
        <v>-3.6734993318920717E-2</v>
      </c>
      <c r="AF278" s="1779">
        <v>-3.4514656625783124E-2</v>
      </c>
      <c r="AG278" s="1779">
        <v>-3.2990954233751757E-2</v>
      </c>
      <c r="AH278" s="1779">
        <v>-3.0526067857536643E-2</v>
      </c>
      <c r="AI278" s="1779">
        <v>-2.828810780484603E-2</v>
      </c>
      <c r="AJ278" s="1779">
        <v>-2.6948396809237662E-2</v>
      </c>
      <c r="AK278" s="1779">
        <v>-2.6745392207197627E-2</v>
      </c>
      <c r="AL278" s="1779">
        <v>-2.6597930185511709E-2</v>
      </c>
      <c r="AM278" s="1779">
        <v>-2.6563086591654517E-2</v>
      </c>
      <c r="AN278" s="1779">
        <v>-2.6636264602878157E-2</v>
      </c>
      <c r="AO278" s="1779">
        <v>-2.6832454923069959E-2</v>
      </c>
      <c r="AP278" s="1779">
        <v>-2.6965253032190883E-2</v>
      </c>
      <c r="AQ278" s="1779"/>
      <c r="AR278" s="1779"/>
      <c r="AS278" s="1779"/>
      <c r="AT278" s="1779"/>
      <c r="AU278" s="1779"/>
      <c r="AV278" s="1779"/>
      <c r="AW278" s="1779"/>
      <c r="AX278" s="1779"/>
      <c r="AY278" s="1779"/>
      <c r="AZ278" s="1779"/>
      <c r="BA278" s="1779"/>
      <c r="BB278" s="1779"/>
      <c r="BC278" s="1779"/>
      <c r="BD278" s="1779"/>
      <c r="BE278" s="1779"/>
      <c r="BF278" s="1779"/>
      <c r="BG278" s="1779"/>
      <c r="BH278" s="1779"/>
      <c r="BI278" s="1779"/>
      <c r="BJ278" s="1779"/>
      <c r="BK278" s="1779"/>
      <c r="BL278" s="1779"/>
      <c r="BM278" s="1779"/>
      <c r="BN278" s="1779"/>
      <c r="BO278" s="1779"/>
      <c r="BP278" s="1780"/>
      <c r="BQ278" s="1755"/>
      <c r="BR278" s="1755"/>
      <c r="BS278" s="1755"/>
      <c r="BT278" s="1755"/>
      <c r="BU278" s="1755"/>
      <c r="BV278" s="1755"/>
      <c r="BW278" s="1755"/>
      <c r="BX278" s="1755"/>
      <c r="BY278" s="1755"/>
      <c r="BZ278" s="1755"/>
      <c r="CA278" s="1755"/>
      <c r="CB278" s="1755"/>
      <c r="CC278" s="1755"/>
      <c r="CD278" s="1755"/>
      <c r="CE278" s="1755"/>
      <c r="CF278" s="1755"/>
      <c r="CG278" s="1755"/>
      <c r="CH278" s="1755"/>
      <c r="CI278" s="1755"/>
      <c r="CJ278" s="1755"/>
      <c r="CK278" s="1755"/>
      <c r="CL278" s="1755"/>
      <c r="CM278" s="1755"/>
      <c r="CN278" s="1756"/>
      <c r="CO278" s="1767"/>
    </row>
    <row r="279" spans="2:93" ht="15" x14ac:dyDescent="0.25">
      <c r="B279" s="1707"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79" s="1703" t="s">
        <v>1075</v>
      </c>
      <c r="D279" s="1765" t="s">
        <v>1074</v>
      </c>
      <c r="E279" s="1723" t="s">
        <v>987</v>
      </c>
      <c r="F279" s="1747" t="str">
        <f>VLOOKUP(TBL5_OptBen[[#This Row],[Option Type (defined list)]],'Option Typs_Grps'!B$2:C$47, 2, FALSE)</f>
        <v>Customer Options</v>
      </c>
      <c r="G279" s="1747" t="s">
        <v>863</v>
      </c>
      <c r="H279" s="1747" t="s">
        <v>1461</v>
      </c>
      <c r="I279" s="1747" t="s">
        <v>102</v>
      </c>
      <c r="J279" s="1747" t="s">
        <v>236</v>
      </c>
      <c r="K279" s="1760">
        <v>2</v>
      </c>
      <c r="L279" s="1779"/>
      <c r="M279" s="1779"/>
      <c r="N279" s="1779">
        <v>0</v>
      </c>
      <c r="O279" s="1780">
        <v>0</v>
      </c>
      <c r="P279" s="1780">
        <v>0</v>
      </c>
      <c r="Q279" s="1779">
        <v>0</v>
      </c>
      <c r="R279" s="1779">
        <v>2.6466184574900353E-2</v>
      </c>
      <c r="S279" s="1779">
        <v>5.2703045370600776E-2</v>
      </c>
      <c r="T279" s="1779">
        <v>7.8838269622799828E-2</v>
      </c>
      <c r="U279" s="1779">
        <v>0.10477022753389953</v>
      </c>
      <c r="V279" s="1779">
        <v>0.13037979739119976</v>
      </c>
      <c r="W279" s="1779">
        <v>0.15447090153770127</v>
      </c>
      <c r="X279" s="1779">
        <v>0.178389663577601</v>
      </c>
      <c r="Y279" s="1779">
        <v>0.20212094995099861</v>
      </c>
      <c r="Z279" s="1779">
        <v>0.22569794914289965</v>
      </c>
      <c r="AA279" s="1779">
        <v>0.24915739999269881</v>
      </c>
      <c r="AB279" s="1779">
        <v>0.2720656474501002</v>
      </c>
      <c r="AC279" s="1779">
        <v>0.29486199233470067</v>
      </c>
      <c r="AD279" s="1779">
        <v>0.31768700526280114</v>
      </c>
      <c r="AE279" s="1779">
        <v>0.34038776342729982</v>
      </c>
      <c r="AF279" s="1779">
        <v>0.36273496351030055</v>
      </c>
      <c r="AG279" s="1779">
        <v>0.38414449070080003</v>
      </c>
      <c r="AH279" s="1779">
        <v>0.4054621388136006</v>
      </c>
      <c r="AI279" s="1779">
        <v>0.42676131530109984</v>
      </c>
      <c r="AJ279" s="1779">
        <v>0.44802374330889982</v>
      </c>
      <c r="AK279" s="1779">
        <v>0.44685892045979969</v>
      </c>
      <c r="AL279" s="1779">
        <v>0.44567043903500014</v>
      </c>
      <c r="AM279" s="1779">
        <v>0.4444983119407997</v>
      </c>
      <c r="AN279" s="1779">
        <v>0.44352353592370086</v>
      </c>
      <c r="AO279" s="1779">
        <v>0.44272260925770013</v>
      </c>
      <c r="AP279" s="1779">
        <v>0.4420649494759008</v>
      </c>
      <c r="AQ279" s="1779"/>
      <c r="AR279" s="1779"/>
      <c r="AS279" s="1779"/>
      <c r="AT279" s="1779"/>
      <c r="AU279" s="1779"/>
      <c r="AV279" s="1779"/>
      <c r="AW279" s="1779"/>
      <c r="AX279" s="1779"/>
      <c r="AY279" s="1779"/>
      <c r="AZ279" s="1779"/>
      <c r="BA279" s="1779"/>
      <c r="BB279" s="1779"/>
      <c r="BC279" s="1779"/>
      <c r="BD279" s="1779"/>
      <c r="BE279" s="1779"/>
      <c r="BF279" s="1779"/>
      <c r="BG279" s="1779"/>
      <c r="BH279" s="1779"/>
      <c r="BI279" s="1779"/>
      <c r="BJ279" s="1779"/>
      <c r="BK279" s="1779"/>
      <c r="BL279" s="1779"/>
      <c r="BM279" s="1779"/>
      <c r="BN279" s="1779"/>
      <c r="BO279" s="1779"/>
      <c r="BP279" s="1780"/>
      <c r="BQ279" s="1755"/>
      <c r="BR279" s="1755"/>
      <c r="BS279" s="1755"/>
      <c r="BT279" s="1755"/>
      <c r="BU279" s="1755"/>
      <c r="BV279" s="1755"/>
      <c r="BW279" s="1755"/>
      <c r="BX279" s="1755"/>
      <c r="BY279" s="1755"/>
      <c r="BZ279" s="1755"/>
      <c r="CA279" s="1755"/>
      <c r="CB279" s="1755"/>
      <c r="CC279" s="1755"/>
      <c r="CD279" s="1755"/>
      <c r="CE279" s="1755"/>
      <c r="CF279" s="1755"/>
      <c r="CG279" s="1755"/>
      <c r="CH279" s="1755"/>
      <c r="CI279" s="1755"/>
      <c r="CJ279" s="1755"/>
      <c r="CK279" s="1755"/>
      <c r="CL279" s="1755"/>
      <c r="CM279" s="1755"/>
      <c r="CN279" s="1756"/>
      <c r="CO279" s="1767"/>
    </row>
    <row r="280" spans="2:93" x14ac:dyDescent="0.2">
      <c r="B280" s="1707"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80" s="1707" t="s">
        <v>1123</v>
      </c>
      <c r="D280" s="1765" t="s">
        <v>1122</v>
      </c>
      <c r="E280" s="1714" t="s">
        <v>987</v>
      </c>
      <c r="F280" s="1747" t="str">
        <f>VLOOKUP(TBL5_OptBen[[#This Row],[Option Type (defined list)]],'Option Typs_Grps'!B$2:C$47, 2, FALSE)</f>
        <v>Customer Options</v>
      </c>
      <c r="G280" s="1747" t="s">
        <v>863</v>
      </c>
      <c r="H280" s="1747" t="s">
        <v>1461</v>
      </c>
      <c r="I280" s="1747" t="s">
        <v>102</v>
      </c>
      <c r="J280" s="1747" t="s">
        <v>236</v>
      </c>
      <c r="K280" s="1760">
        <v>2</v>
      </c>
      <c r="L280" s="1779"/>
      <c r="M280" s="1779"/>
      <c r="N280" s="1779">
        <v>0</v>
      </c>
      <c r="O280" s="1780">
        <v>0</v>
      </c>
      <c r="P280" s="1780">
        <v>0</v>
      </c>
      <c r="Q280" s="1779">
        <v>0</v>
      </c>
      <c r="R280" s="1779">
        <v>7.6893942480005251E-4</v>
      </c>
      <c r="S280" s="1779">
        <v>9.1903375258990394E-3</v>
      </c>
      <c r="T280" s="1779">
        <v>2.2905399728010423E-3</v>
      </c>
      <c r="U280" s="1779">
        <v>3.0439581597008214E-3</v>
      </c>
      <c r="V280" s="1779">
        <v>3.7880097950999669E-3</v>
      </c>
      <c r="W280" s="1779">
        <v>4.5072612840986181E-3</v>
      </c>
      <c r="X280" s="1779">
        <v>5.2213450049993781E-3</v>
      </c>
      <c r="Y280" s="1779">
        <v>5.9298262703002536E-3</v>
      </c>
      <c r="Z280" s="1779">
        <v>6.6336833909996784E-3</v>
      </c>
      <c r="AA280" s="1779">
        <v>7.3340038329998691E-3</v>
      </c>
      <c r="AB280" s="1779">
        <v>7.310275623499507E-3</v>
      </c>
      <c r="AC280" s="1779">
        <v>7.2875865650985361E-3</v>
      </c>
      <c r="AD280" s="1779">
        <v>7.2689216290005021E-3</v>
      </c>
      <c r="AE280" s="1779">
        <v>7.2501894383005805E-3</v>
      </c>
      <c r="AF280" s="1779">
        <v>7.2268345811998813E-3</v>
      </c>
      <c r="AG280" s="1779">
        <v>7.2018840931988848E-3</v>
      </c>
      <c r="AH280" s="1779">
        <v>7.1780868481994275E-3</v>
      </c>
      <c r="AI280" s="1779">
        <v>7.1564912776995726E-3</v>
      </c>
      <c r="AJ280" s="1779">
        <v>7.136475193899372E-3</v>
      </c>
      <c r="AK280" s="1779">
        <v>7.1179209777998409E-3</v>
      </c>
      <c r="AL280" s="1779">
        <v>7.0989899091991049E-3</v>
      </c>
      <c r="AM280" s="1779">
        <v>7.080319345300623E-3</v>
      </c>
      <c r="AN280" s="1779">
        <v>7.0647923447992866E-3</v>
      </c>
      <c r="AO280" s="1779">
        <v>7.052034553801434E-3</v>
      </c>
      <c r="AP280" s="1779">
        <v>7.0415588305987598E-3</v>
      </c>
      <c r="AQ280" s="1779"/>
      <c r="AR280" s="1779"/>
      <c r="AS280" s="1779"/>
      <c r="AT280" s="1779"/>
      <c r="AU280" s="1779"/>
      <c r="AV280" s="1779"/>
      <c r="AW280" s="1779"/>
      <c r="AX280" s="1779"/>
      <c r="AY280" s="1779"/>
      <c r="AZ280" s="1779"/>
      <c r="BA280" s="1779"/>
      <c r="BB280" s="1779"/>
      <c r="BC280" s="1779"/>
      <c r="BD280" s="1779"/>
      <c r="BE280" s="1779"/>
      <c r="BF280" s="1779"/>
      <c r="BG280" s="1779"/>
      <c r="BH280" s="1779"/>
      <c r="BI280" s="1779"/>
      <c r="BJ280" s="1779"/>
      <c r="BK280" s="1779"/>
      <c r="BL280" s="1779"/>
      <c r="BM280" s="1779"/>
      <c r="BN280" s="1779"/>
      <c r="BO280" s="1779"/>
      <c r="BP280" s="1780"/>
      <c r="BQ280" s="1755"/>
      <c r="BR280" s="1755"/>
      <c r="BS280" s="1755"/>
      <c r="BT280" s="1755"/>
      <c r="BU280" s="1755"/>
      <c r="BV280" s="1755"/>
      <c r="BW280" s="1755"/>
      <c r="BX280" s="1755"/>
      <c r="BY280" s="1755"/>
      <c r="BZ280" s="1755"/>
      <c r="CA280" s="1755"/>
      <c r="CB280" s="1755"/>
      <c r="CC280" s="1755"/>
      <c r="CD280" s="1755"/>
      <c r="CE280" s="1755"/>
      <c r="CF280" s="1755"/>
      <c r="CG280" s="1755"/>
      <c r="CH280" s="1755"/>
      <c r="CI280" s="1755"/>
      <c r="CJ280" s="1755"/>
      <c r="CK280" s="1755"/>
      <c r="CL280" s="1755"/>
      <c r="CM280" s="1755"/>
      <c r="CN280" s="1756"/>
      <c r="CO280" s="1767"/>
    </row>
    <row r="281" spans="2:93" x14ac:dyDescent="0.2">
      <c r="B281" s="1707"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281" s="1703" t="s">
        <v>1082</v>
      </c>
      <c r="D281" s="1765" t="s">
        <v>1081</v>
      </c>
      <c r="E281" s="1723" t="s">
        <v>860</v>
      </c>
      <c r="F281" s="1747" t="str">
        <f>VLOOKUP(TBL5_OptBen[[#This Row],[Option Type (defined list)]],'Option Typs_Grps'!B$2:C$47, 2, FALSE)</f>
        <v>Distribution Options</v>
      </c>
      <c r="G281" s="1747" t="s">
        <v>863</v>
      </c>
      <c r="H281" s="1747" t="s">
        <v>1461</v>
      </c>
      <c r="I281" s="1747" t="s">
        <v>102</v>
      </c>
      <c r="J281" s="1747" t="s">
        <v>236</v>
      </c>
      <c r="K281" s="1760">
        <v>2</v>
      </c>
      <c r="L281" s="1779"/>
      <c r="M281" s="1779"/>
      <c r="N281" s="1779">
        <v>0</v>
      </c>
      <c r="O281" s="1780">
        <v>0</v>
      </c>
      <c r="P281" s="1780">
        <v>0</v>
      </c>
      <c r="Q281" s="1779">
        <v>0</v>
      </c>
      <c r="R281" s="1779">
        <v>-1.6145513693702762E-3</v>
      </c>
      <c r="S281" s="1779">
        <v>-2.862783471225816E-3</v>
      </c>
      <c r="T281" s="1779">
        <v>4.2861807559981813E-3</v>
      </c>
      <c r="U281" s="1779">
        <v>1.1415347046815683E-2</v>
      </c>
      <c r="V281" s="1779">
        <v>1.8531374394505473E-2</v>
      </c>
      <c r="W281" s="1779">
        <v>2.5451428441384927E-2</v>
      </c>
      <c r="X281" s="1779">
        <v>3.2180298944493591E-2</v>
      </c>
      <c r="Y281" s="1779">
        <v>3.8899833363210901E-2</v>
      </c>
      <c r="Z281" s="1779">
        <v>4.5608061135080202E-2</v>
      </c>
      <c r="AA281" s="1779">
        <v>5.2304537552386288E-2</v>
      </c>
      <c r="AB281" s="1779">
        <v>5.8990056648910771E-2</v>
      </c>
      <c r="AC281" s="1779">
        <v>6.5666109426501196E-2</v>
      </c>
      <c r="AD281" s="1779">
        <v>7.2333316033205697E-2</v>
      </c>
      <c r="AE281" s="1779">
        <v>7.8990073448521048E-2</v>
      </c>
      <c r="AF281" s="1779">
        <v>8.5637468534773387E-2</v>
      </c>
      <c r="AG281" s="1779">
        <v>9.2272138106391566E-2</v>
      </c>
      <c r="AH281" s="1779">
        <v>9.8894373222669807E-2</v>
      </c>
      <c r="AI281" s="1779">
        <v>0.10550826501916322</v>
      </c>
      <c r="AJ281" s="1779">
        <v>0.11211449054613076</v>
      </c>
      <c r="AK281" s="1779">
        <v>0.11871315190985066</v>
      </c>
      <c r="AL281" s="1779">
        <v>0.1253036603091634</v>
      </c>
      <c r="AM281" s="1779">
        <v>0.13188627416948917</v>
      </c>
      <c r="AN281" s="1779">
        <v>0.13846030482426297</v>
      </c>
      <c r="AO281" s="1779">
        <v>0.14502519801332275</v>
      </c>
      <c r="AP281" s="1779">
        <v>0.15158118891372041</v>
      </c>
      <c r="AQ281" s="1779"/>
      <c r="AR281" s="1779"/>
      <c r="AS281" s="1779"/>
      <c r="AT281" s="1779"/>
      <c r="AU281" s="1779"/>
      <c r="AV281" s="1779"/>
      <c r="AW281" s="1779"/>
      <c r="AX281" s="1779"/>
      <c r="AY281" s="1779"/>
      <c r="AZ281" s="1779"/>
      <c r="BA281" s="1779"/>
      <c r="BB281" s="1779"/>
      <c r="BC281" s="1779"/>
      <c r="BD281" s="1779"/>
      <c r="BE281" s="1779"/>
      <c r="BF281" s="1779"/>
      <c r="BG281" s="1779"/>
      <c r="BH281" s="1779"/>
      <c r="BI281" s="1779"/>
      <c r="BJ281" s="1779"/>
      <c r="BK281" s="1779"/>
      <c r="BL281" s="1779"/>
      <c r="BM281" s="1779"/>
      <c r="BN281" s="1779"/>
      <c r="BO281" s="1779"/>
      <c r="BP281" s="1780"/>
      <c r="BQ281" s="1755"/>
      <c r="BR281" s="1755"/>
      <c r="BS281" s="1755"/>
      <c r="BT281" s="1755"/>
      <c r="BU281" s="1755"/>
      <c r="BV281" s="1755"/>
      <c r="BW281" s="1755"/>
      <c r="BX281" s="1755"/>
      <c r="BY281" s="1755"/>
      <c r="BZ281" s="1755"/>
      <c r="CA281" s="1755"/>
      <c r="CB281" s="1755"/>
      <c r="CC281" s="1755"/>
      <c r="CD281" s="1755"/>
      <c r="CE281" s="1755"/>
      <c r="CF281" s="1755"/>
      <c r="CG281" s="1755"/>
      <c r="CH281" s="1755"/>
      <c r="CI281" s="1755"/>
      <c r="CJ281" s="1755"/>
      <c r="CK281" s="1755"/>
      <c r="CL281" s="1755"/>
      <c r="CM281" s="1755"/>
      <c r="CN281" s="1756"/>
      <c r="CO281" s="1767"/>
    </row>
    <row r="282" spans="2:93" ht="15" x14ac:dyDescent="0.25">
      <c r="B282" s="1707"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82" s="1703" t="s">
        <v>1119</v>
      </c>
      <c r="D282" s="1765" t="s">
        <v>1118</v>
      </c>
      <c r="E282" s="1723" t="s">
        <v>1099</v>
      </c>
      <c r="F282" s="1747" t="str">
        <f>VLOOKUP(TBL5_OptBen[[#This Row],[Option Type (defined list)]],'Option Typs_Grps'!B$2:C$47, 2, FALSE)</f>
        <v>Customer Options</v>
      </c>
      <c r="G282" s="1747" t="s">
        <v>863</v>
      </c>
      <c r="H282" s="1747" t="s">
        <v>1461</v>
      </c>
      <c r="I282" s="1747" t="s">
        <v>102</v>
      </c>
      <c r="J282" s="1747" t="s">
        <v>236</v>
      </c>
      <c r="K282" s="1760">
        <v>2</v>
      </c>
      <c r="L282" s="1779"/>
      <c r="M282" s="1779"/>
      <c r="N282" s="1779">
        <v>0</v>
      </c>
      <c r="O282" s="1780">
        <v>0</v>
      </c>
      <c r="P282" s="1780">
        <v>0</v>
      </c>
      <c r="Q282" s="1779">
        <v>0</v>
      </c>
      <c r="R282" s="1779">
        <v>9.2039513693702429E-3</v>
      </c>
      <c r="S282" s="1779">
        <v>1.8041583471225781E-2</v>
      </c>
      <c r="T282" s="1779">
        <v>1.8482019244001648E-2</v>
      </c>
      <c r="U282" s="1779">
        <v>1.8942252953184201E-2</v>
      </c>
      <c r="V282" s="1779">
        <v>1.9415625605494376E-2</v>
      </c>
      <c r="W282" s="1779">
        <v>2.0084971558614897E-2</v>
      </c>
      <c r="X282" s="1779">
        <v>2.0945501055506202E-2</v>
      </c>
      <c r="Y282" s="1779">
        <v>2.1815366636788788E-2</v>
      </c>
      <c r="Z282" s="1779">
        <v>2.2696538864919541E-2</v>
      </c>
      <c r="AA282" s="1779">
        <v>2.358946244761341E-2</v>
      </c>
      <c r="AB282" s="1779">
        <v>2.4493343351088825E-2</v>
      </c>
      <c r="AC282" s="1779">
        <v>2.5406690573498487E-2</v>
      </c>
      <c r="AD282" s="1779">
        <v>2.6328883966793899E-2</v>
      </c>
      <c r="AE282" s="1779">
        <v>2.726152655147851E-2</v>
      </c>
      <c r="AF282" s="1779">
        <v>2.8203531465226167E-2</v>
      </c>
      <c r="AG282" s="1779">
        <v>2.9158261893607956E-2</v>
      </c>
      <c r="AH282" s="1779">
        <v>3.0125426777329566E-2</v>
      </c>
      <c r="AI282" s="1779">
        <v>3.110093498083619E-2</v>
      </c>
      <c r="AJ282" s="1779">
        <v>3.2084109453868609E-2</v>
      </c>
      <c r="AK282" s="1779">
        <v>3.3074848090148691E-2</v>
      </c>
      <c r="AL282" s="1779">
        <v>3.4073739690835922E-2</v>
      </c>
      <c r="AM282" s="1779">
        <v>3.5080525830510134E-2</v>
      </c>
      <c r="AN282" s="1779">
        <v>3.6095895175736276E-2</v>
      </c>
      <c r="AO282" s="1779">
        <v>3.7120401986676516E-2</v>
      </c>
      <c r="AP282" s="1779">
        <v>3.8153811086279611E-2</v>
      </c>
      <c r="AQ282" s="1779"/>
      <c r="AR282" s="1779"/>
      <c r="AS282" s="1779"/>
      <c r="AT282" s="1779"/>
      <c r="AU282" s="1779"/>
      <c r="AV282" s="1779"/>
      <c r="AW282" s="1779"/>
      <c r="AX282" s="1779"/>
      <c r="AY282" s="1779"/>
      <c r="AZ282" s="1779"/>
      <c r="BA282" s="1779"/>
      <c r="BB282" s="1779"/>
      <c r="BC282" s="1779"/>
      <c r="BD282" s="1779"/>
      <c r="BE282" s="1779"/>
      <c r="BF282" s="1779"/>
      <c r="BG282" s="1779"/>
      <c r="BH282" s="1779"/>
      <c r="BI282" s="1779"/>
      <c r="BJ282" s="1779"/>
      <c r="BK282" s="1779"/>
      <c r="BL282" s="1779"/>
      <c r="BM282" s="1779"/>
      <c r="BN282" s="1779"/>
      <c r="BO282" s="1779"/>
      <c r="BP282" s="1780"/>
      <c r="BQ282" s="1755"/>
      <c r="BR282" s="1755"/>
      <c r="BS282" s="1755"/>
      <c r="BT282" s="1755"/>
      <c r="BU282" s="1755"/>
      <c r="BV282" s="1755"/>
      <c r="BW282" s="1755"/>
      <c r="BX282" s="1755"/>
      <c r="BY282" s="1755"/>
      <c r="BZ282" s="1755"/>
      <c r="CA282" s="1755"/>
      <c r="CB282" s="1755"/>
      <c r="CC282" s="1755"/>
      <c r="CD282" s="1755"/>
      <c r="CE282" s="1755"/>
      <c r="CF282" s="1755"/>
      <c r="CG282" s="1755"/>
      <c r="CH282" s="1755"/>
      <c r="CI282" s="1755"/>
      <c r="CJ282" s="1755"/>
      <c r="CK282" s="1755"/>
      <c r="CL282" s="1755"/>
      <c r="CM282" s="1755"/>
      <c r="CN282" s="1756"/>
      <c r="CO282" s="1767"/>
    </row>
    <row r="283" spans="2:93" x14ac:dyDescent="0.2">
      <c r="B283" s="1707"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83" s="1707" t="s">
        <v>1125</v>
      </c>
      <c r="D283" s="1765" t="s">
        <v>1474</v>
      </c>
      <c r="E283" s="1714" t="s">
        <v>987</v>
      </c>
      <c r="F283" s="1747" t="str">
        <f>VLOOKUP(TBL5_OptBen[[#This Row],[Option Type (defined list)]],'Option Typs_Grps'!B$2:C$47, 2, FALSE)</f>
        <v>Customer Options</v>
      </c>
      <c r="G283" s="1747" t="s">
        <v>863</v>
      </c>
      <c r="H283" s="1747" t="s">
        <v>1461</v>
      </c>
      <c r="I283" s="1747" t="s">
        <v>102</v>
      </c>
      <c r="J283" s="1747" t="s">
        <v>236</v>
      </c>
      <c r="K283" s="1760">
        <v>2</v>
      </c>
      <c r="L283" s="1779"/>
      <c r="M283" s="1779"/>
      <c r="N283" s="1779">
        <v>0</v>
      </c>
      <c r="O283" s="1780">
        <v>0</v>
      </c>
      <c r="P283" s="1780">
        <v>0</v>
      </c>
      <c r="Q283" s="1779">
        <v>0</v>
      </c>
      <c r="R283" s="1779">
        <v>7.6395995637987824E-3</v>
      </c>
      <c r="S283" s="1779">
        <v>1.5279199127601117E-2</v>
      </c>
      <c r="T283" s="1779">
        <v>2.2918798691300424E-2</v>
      </c>
      <c r="U283" s="1779">
        <v>3.0558398255099206E-2</v>
      </c>
      <c r="V283" s="1779">
        <v>3.8197997818800289E-2</v>
      </c>
      <c r="W283" s="1779">
        <v>5.4573490931600688E-2</v>
      </c>
      <c r="X283" s="1779">
        <v>7.0948984044200358E-2</v>
      </c>
      <c r="Y283" s="1779">
        <v>8.7324477156998981E-2</v>
      </c>
      <c r="Z283" s="1779">
        <v>0.1036999702696999</v>
      </c>
      <c r="AA283" s="1779">
        <v>0.12007546338239905</v>
      </c>
      <c r="AB283" s="1779">
        <v>0.13528648519999997</v>
      </c>
      <c r="AC283" s="1779">
        <v>0.15049750701740017</v>
      </c>
      <c r="AD283" s="1779">
        <v>0.16570852883490161</v>
      </c>
      <c r="AE283" s="1779">
        <v>0.16570852883489984</v>
      </c>
      <c r="AF283" s="1779">
        <v>0.16570852883500109</v>
      </c>
      <c r="AG283" s="1779">
        <v>0.16570852883499931</v>
      </c>
      <c r="AH283" s="1779">
        <v>0.16570852883489984</v>
      </c>
      <c r="AI283" s="1779">
        <v>0.16570852883499931</v>
      </c>
      <c r="AJ283" s="1779">
        <v>0.16570852883489984</v>
      </c>
      <c r="AK283" s="1779">
        <v>0.16570852883499931</v>
      </c>
      <c r="AL283" s="1779">
        <v>0.16570852883499931</v>
      </c>
      <c r="AM283" s="1779">
        <v>0.16570852883489984</v>
      </c>
      <c r="AN283" s="1779">
        <v>0.16570852883500109</v>
      </c>
      <c r="AO283" s="1779">
        <v>0.16570852883489984</v>
      </c>
      <c r="AP283" s="1779">
        <v>0.16570852883500109</v>
      </c>
      <c r="AQ283" s="1779"/>
      <c r="AR283" s="1779"/>
      <c r="AS283" s="1779"/>
      <c r="AT283" s="1779"/>
      <c r="AU283" s="1779"/>
      <c r="AV283" s="1779"/>
      <c r="AW283" s="1779"/>
      <c r="AX283" s="1779"/>
      <c r="AY283" s="1779"/>
      <c r="AZ283" s="1779"/>
      <c r="BA283" s="1779"/>
      <c r="BB283" s="1779"/>
      <c r="BC283" s="1779"/>
      <c r="BD283" s="1779"/>
      <c r="BE283" s="1779"/>
      <c r="BF283" s="1779"/>
      <c r="BG283" s="1779"/>
      <c r="BH283" s="1779"/>
      <c r="BI283" s="1779"/>
      <c r="BJ283" s="1779"/>
      <c r="BK283" s="1779"/>
      <c r="BL283" s="1779"/>
      <c r="BM283" s="1779"/>
      <c r="BN283" s="1779"/>
      <c r="BO283" s="1779"/>
      <c r="BP283" s="1780"/>
      <c r="BQ283" s="1755"/>
      <c r="BR283" s="1755"/>
      <c r="BS283" s="1755"/>
      <c r="BT283" s="1755"/>
      <c r="BU283" s="1755"/>
      <c r="BV283" s="1755"/>
      <c r="BW283" s="1755"/>
      <c r="BX283" s="1755"/>
      <c r="BY283" s="1755"/>
      <c r="BZ283" s="1755"/>
      <c r="CA283" s="1755"/>
      <c r="CB283" s="1755"/>
      <c r="CC283" s="1755"/>
      <c r="CD283" s="1755"/>
      <c r="CE283" s="1755"/>
      <c r="CF283" s="1755"/>
      <c r="CG283" s="1755"/>
      <c r="CH283" s="1755"/>
      <c r="CI283" s="1755"/>
      <c r="CJ283" s="1755"/>
      <c r="CK283" s="1755"/>
      <c r="CL283" s="1755"/>
      <c r="CM283" s="1755"/>
      <c r="CN283" s="1756"/>
      <c r="CO283" s="1767"/>
    </row>
    <row r="284" spans="2:93" x14ac:dyDescent="0.2">
      <c r="B284" s="1707"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84" s="1703" t="s">
        <v>1079</v>
      </c>
      <c r="D284" s="1765" t="s">
        <v>1078</v>
      </c>
      <c r="E284" s="1714" t="s">
        <v>987</v>
      </c>
      <c r="F284" s="1747" t="str">
        <f>VLOOKUP(TBL5_OptBen[[#This Row],[Option Type (defined list)]],'Option Typs_Grps'!B$2:C$47, 2, FALSE)</f>
        <v>Customer Options</v>
      </c>
      <c r="G284" s="1747" t="s">
        <v>863</v>
      </c>
      <c r="H284" s="1747" t="s">
        <v>1461</v>
      </c>
      <c r="I284" s="1747" t="s">
        <v>102</v>
      </c>
      <c r="J284" s="1747" t="s">
        <v>236</v>
      </c>
      <c r="K284" s="1760">
        <v>2</v>
      </c>
      <c r="L284" s="1779"/>
      <c r="M284" s="1779"/>
      <c r="N284" s="1779">
        <v>0</v>
      </c>
      <c r="O284" s="1780">
        <v>0</v>
      </c>
      <c r="P284" s="1780">
        <v>0</v>
      </c>
      <c r="Q284" s="1779">
        <v>0</v>
      </c>
      <c r="R284" s="1779">
        <v>0</v>
      </c>
      <c r="S284" s="1779">
        <v>0</v>
      </c>
      <c r="T284" s="1779">
        <v>9.4103258283002589E-3</v>
      </c>
      <c r="U284" s="1779">
        <v>1.8758815812800478E-2</v>
      </c>
      <c r="V284" s="1779">
        <v>2.8041152727400487E-2</v>
      </c>
      <c r="W284" s="1779">
        <v>3.72156604469005E-2</v>
      </c>
      <c r="X284" s="1779">
        <v>4.6320273715700466E-2</v>
      </c>
      <c r="Y284" s="1779">
        <v>5.5352766276298482E-2</v>
      </c>
      <c r="Z284" s="1779">
        <v>7.4432272134398403E-2</v>
      </c>
      <c r="AA284" s="1779">
        <v>9.3388923077800001E-2</v>
      </c>
      <c r="AB284" s="1779">
        <v>0.11225156561260086</v>
      </c>
      <c r="AC284" s="1779">
        <v>0.13103614773550021</v>
      </c>
      <c r="AD284" s="1779">
        <v>0.14975844047660125</v>
      </c>
      <c r="AE284" s="1779">
        <v>0.16838205952520013</v>
      </c>
      <c r="AF284" s="1779">
        <v>0.18678872830479953</v>
      </c>
      <c r="AG284" s="1779">
        <v>0.20502825271989877</v>
      </c>
      <c r="AH284" s="1779">
        <v>0.22317353806890061</v>
      </c>
      <c r="AI284" s="1779">
        <v>0.24129542120090086</v>
      </c>
      <c r="AJ284" s="1779">
        <v>0.24692362060729955</v>
      </c>
      <c r="AK284" s="1779">
        <v>0.25259487094830035</v>
      </c>
      <c r="AL284" s="1779">
        <v>0.25821975220410032</v>
      </c>
      <c r="AM284" s="1779">
        <v>0.26382100824690013</v>
      </c>
      <c r="AN284" s="1779">
        <v>0.26950931389390043</v>
      </c>
      <c r="AO284" s="1779">
        <v>0.27527842000570146</v>
      </c>
      <c r="AP284" s="1779">
        <v>0.28111624695820048</v>
      </c>
      <c r="AQ284" s="1779"/>
      <c r="AR284" s="1779"/>
      <c r="AS284" s="1779"/>
      <c r="AT284" s="1779"/>
      <c r="AU284" s="1779"/>
      <c r="AV284" s="1779"/>
      <c r="AW284" s="1779"/>
      <c r="AX284" s="1779"/>
      <c r="AY284" s="1779"/>
      <c r="AZ284" s="1779"/>
      <c r="BA284" s="1779"/>
      <c r="BB284" s="1779"/>
      <c r="BC284" s="1779"/>
      <c r="BD284" s="1779"/>
      <c r="BE284" s="1779"/>
      <c r="BF284" s="1779"/>
      <c r="BG284" s="1779"/>
      <c r="BH284" s="1779"/>
      <c r="BI284" s="1779"/>
      <c r="BJ284" s="1779"/>
      <c r="BK284" s="1779"/>
      <c r="BL284" s="1779"/>
      <c r="BM284" s="1779"/>
      <c r="BN284" s="1779"/>
      <c r="BO284" s="1779"/>
      <c r="BP284" s="1780"/>
      <c r="BQ284" s="1755"/>
      <c r="BR284" s="1755"/>
      <c r="BS284" s="1755"/>
      <c r="BT284" s="1755"/>
      <c r="BU284" s="1755"/>
      <c r="BV284" s="1755"/>
      <c r="BW284" s="1755"/>
      <c r="BX284" s="1755"/>
      <c r="BY284" s="1755"/>
      <c r="BZ284" s="1755"/>
      <c r="CA284" s="1755"/>
      <c r="CB284" s="1755"/>
      <c r="CC284" s="1755"/>
      <c r="CD284" s="1755"/>
      <c r="CE284" s="1755"/>
      <c r="CF284" s="1755"/>
      <c r="CG284" s="1755"/>
      <c r="CH284" s="1755"/>
      <c r="CI284" s="1755"/>
      <c r="CJ284" s="1755"/>
      <c r="CK284" s="1755"/>
      <c r="CL284" s="1755"/>
      <c r="CM284" s="1755"/>
      <c r="CN284" s="1756"/>
      <c r="CO284" s="1767"/>
    </row>
    <row r="285" spans="2:93" x14ac:dyDescent="0.2">
      <c r="B285" s="1707"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85" s="1747" t="s">
        <v>1067</v>
      </c>
      <c r="D285" s="1747" t="s">
        <v>1066</v>
      </c>
      <c r="E285" s="1747" t="s">
        <v>1068</v>
      </c>
      <c r="F285" s="1747" t="str">
        <f>VLOOKUP(TBL5_OptBen[[#This Row],[Option Type (defined list)]],'Option Typs_Grps'!B$2:C$47, 2, FALSE)</f>
        <v>Customer Options</v>
      </c>
      <c r="G285" s="1747" t="s">
        <v>863</v>
      </c>
      <c r="H285" s="1747" t="s">
        <v>1461</v>
      </c>
      <c r="I285" s="1747" t="s">
        <v>105</v>
      </c>
      <c r="J285" s="1747" t="s">
        <v>236</v>
      </c>
      <c r="K285" s="1760">
        <v>2</v>
      </c>
      <c r="L285" s="1779"/>
      <c r="M285" s="1779"/>
      <c r="N285" s="1779">
        <v>0</v>
      </c>
      <c r="O285" s="1780">
        <v>0</v>
      </c>
      <c r="P285" s="1780">
        <v>0</v>
      </c>
      <c r="Q285" s="1779">
        <v>0</v>
      </c>
      <c r="R285" s="1779">
        <v>-3.0250176832678055E-2</v>
      </c>
      <c r="S285" s="1779">
        <v>0.22092509792618942</v>
      </c>
      <c r="T285" s="1779">
        <v>0.44180783531048951</v>
      </c>
      <c r="U285" s="1779">
        <v>0.65676649195386716</v>
      </c>
      <c r="V285" s="1779">
        <v>0.74603012807686042</v>
      </c>
      <c r="W285" s="1779">
        <v>0.67123336816176948</v>
      </c>
      <c r="X285" s="1779">
        <v>0.56160146727783111</v>
      </c>
      <c r="Y285" s="1779">
        <v>0.569141486410361</v>
      </c>
      <c r="Z285" s="1779">
        <v>0.56222283464014211</v>
      </c>
      <c r="AA285" s="1779">
        <v>0.57604467671953508</v>
      </c>
      <c r="AB285" s="1779">
        <v>0.58287426680638443</v>
      </c>
      <c r="AC285" s="1779">
        <v>0.5918935824934346</v>
      </c>
      <c r="AD285" s="1779">
        <v>0.60111067476332636</v>
      </c>
      <c r="AE285" s="1779">
        <v>0.61075432210265568</v>
      </c>
      <c r="AF285" s="1779">
        <v>0.62047119950066865</v>
      </c>
      <c r="AG285" s="1779">
        <v>0.62710990671047462</v>
      </c>
      <c r="AH285" s="1779">
        <v>0.63765170324713516</v>
      </c>
      <c r="AI285" s="1779">
        <v>0.64710000505310106</v>
      </c>
      <c r="AJ285" s="1779">
        <v>0.65750529700698657</v>
      </c>
      <c r="AK285" s="1779">
        <v>0.66793736733069409</v>
      </c>
      <c r="AL285" s="1779">
        <v>0.67795511886693127</v>
      </c>
      <c r="AM285" s="1779">
        <v>0.68819476295195159</v>
      </c>
      <c r="AN285" s="1779">
        <v>0.69833323270556491</v>
      </c>
      <c r="AO285" s="1779">
        <v>0.708452004238044</v>
      </c>
      <c r="AP285" s="1779">
        <v>0.71892658861624348</v>
      </c>
      <c r="AQ285" s="1779"/>
      <c r="AR285" s="1779"/>
      <c r="AS285" s="1779"/>
      <c r="AT285" s="1779"/>
      <c r="AU285" s="1779"/>
      <c r="AV285" s="1779"/>
      <c r="AW285" s="1779"/>
      <c r="AX285" s="1779"/>
      <c r="AY285" s="1779"/>
      <c r="AZ285" s="1779"/>
      <c r="BA285" s="1779"/>
      <c r="BB285" s="1779"/>
      <c r="BC285" s="1779"/>
      <c r="BD285" s="1779"/>
      <c r="BE285" s="1779"/>
      <c r="BF285" s="1779"/>
      <c r="BG285" s="1779"/>
      <c r="BH285" s="1779"/>
      <c r="BI285" s="1779"/>
      <c r="BJ285" s="1779"/>
      <c r="BK285" s="1779"/>
      <c r="BL285" s="1779"/>
      <c r="BM285" s="1779"/>
      <c r="BN285" s="1779"/>
      <c r="BO285" s="1779"/>
      <c r="BP285" s="1780"/>
      <c r="BQ285" s="1755"/>
      <c r="BR285" s="1755"/>
      <c r="BS285" s="1755"/>
      <c r="BT285" s="1755"/>
      <c r="BU285" s="1755"/>
      <c r="BV285" s="1755"/>
      <c r="BW285" s="1755"/>
      <c r="BX285" s="1755"/>
      <c r="BY285" s="1755"/>
      <c r="BZ285" s="1755"/>
      <c r="CA285" s="1755"/>
      <c r="CB285" s="1755"/>
      <c r="CC285" s="1755"/>
      <c r="CD285" s="1755"/>
      <c r="CE285" s="1755"/>
      <c r="CF285" s="1755"/>
      <c r="CG285" s="1755"/>
      <c r="CH285" s="1755"/>
      <c r="CI285" s="1755"/>
      <c r="CJ285" s="1755"/>
      <c r="CK285" s="1755"/>
      <c r="CL285" s="1755"/>
      <c r="CM285" s="1755"/>
      <c r="CN285" s="1756"/>
      <c r="CO285" s="1767"/>
    </row>
    <row r="286" spans="2:93" x14ac:dyDescent="0.2">
      <c r="B286" s="1707"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86" s="1747" t="s">
        <v>1075</v>
      </c>
      <c r="D286" s="1747" t="s">
        <v>1074</v>
      </c>
      <c r="E286" s="1747" t="s">
        <v>987</v>
      </c>
      <c r="F286" s="1747" t="str">
        <f>VLOOKUP(TBL5_OptBen[[#This Row],[Option Type (defined list)]],'Option Typs_Grps'!B$2:C$47, 2, FALSE)</f>
        <v>Customer Options</v>
      </c>
      <c r="G286" s="1747" t="s">
        <v>863</v>
      </c>
      <c r="H286" s="1747" t="s">
        <v>1461</v>
      </c>
      <c r="I286" s="1747" t="s">
        <v>105</v>
      </c>
      <c r="J286" s="1747" t="s">
        <v>236</v>
      </c>
      <c r="K286" s="1760">
        <v>2</v>
      </c>
      <c r="L286" s="1779"/>
      <c r="M286" s="1779"/>
      <c r="N286" s="1779">
        <v>0</v>
      </c>
      <c r="O286" s="1780">
        <v>0</v>
      </c>
      <c r="P286" s="1780">
        <v>0</v>
      </c>
      <c r="Q286" s="1779">
        <v>0</v>
      </c>
      <c r="R286" s="1779">
        <v>0.22449124655680208</v>
      </c>
      <c r="S286" s="1779">
        <v>0.44594592523610288</v>
      </c>
      <c r="T286" s="1779">
        <v>0.6662845238058992</v>
      </c>
      <c r="U286" s="1779">
        <v>0.88511942941270405</v>
      </c>
      <c r="V286" s="1779">
        <v>1.1020394620337015</v>
      </c>
      <c r="W286" s="1779">
        <v>1.3069039598269043</v>
      </c>
      <c r="X286" s="1779">
        <v>1.5109756718536005</v>
      </c>
      <c r="Y286" s="1779">
        <v>1.7137361579889046</v>
      </c>
      <c r="Z286" s="1779">
        <v>1.9155081107526968</v>
      </c>
      <c r="AA286" s="1779">
        <v>2.1171663775421052</v>
      </c>
      <c r="AB286" s="1779">
        <v>2.1854288201938985</v>
      </c>
      <c r="AC286" s="1779">
        <v>2.2525336110454006</v>
      </c>
      <c r="AD286" s="1779">
        <v>2.3186815926924993</v>
      </c>
      <c r="AE286" s="1779">
        <v>2.3845916997709011</v>
      </c>
      <c r="AF286" s="1779">
        <v>2.4508174073359967</v>
      </c>
      <c r="AG286" s="1779">
        <v>2.5142781679200965</v>
      </c>
      <c r="AH286" s="1779">
        <v>2.5768563611098969</v>
      </c>
      <c r="AI286" s="1779">
        <v>2.6386977728547976</v>
      </c>
      <c r="AJ286" s="1779">
        <v>2.6998942294479988</v>
      </c>
      <c r="AK286" s="1779">
        <v>2.7603311018409045</v>
      </c>
      <c r="AL286" s="1779">
        <v>2.8174101032381955</v>
      </c>
      <c r="AM286" s="1779">
        <v>2.8736127788586998</v>
      </c>
      <c r="AN286" s="1779">
        <v>2.9293708811567996</v>
      </c>
      <c r="AO286" s="1779">
        <v>2.9847736388110988</v>
      </c>
      <c r="AP286" s="1779">
        <v>2.9767429813442021</v>
      </c>
      <c r="AQ286" s="1779"/>
      <c r="AR286" s="1779"/>
      <c r="AS286" s="1779"/>
      <c r="AT286" s="1779"/>
      <c r="AU286" s="1779"/>
      <c r="AV286" s="1779"/>
      <c r="AW286" s="1779"/>
      <c r="AX286" s="1779"/>
      <c r="AY286" s="1779"/>
      <c r="AZ286" s="1779"/>
      <c r="BA286" s="1779"/>
      <c r="BB286" s="1779"/>
      <c r="BC286" s="1779"/>
      <c r="BD286" s="1779"/>
      <c r="BE286" s="1779"/>
      <c r="BF286" s="1779"/>
      <c r="BG286" s="1779"/>
      <c r="BH286" s="1779"/>
      <c r="BI286" s="1779"/>
      <c r="BJ286" s="1779"/>
      <c r="BK286" s="1779"/>
      <c r="BL286" s="1779"/>
      <c r="BM286" s="1779"/>
      <c r="BN286" s="1779"/>
      <c r="BO286" s="1779"/>
      <c r="BP286" s="1780"/>
      <c r="BQ286" s="1755"/>
      <c r="BR286" s="1755"/>
      <c r="BS286" s="1755"/>
      <c r="BT286" s="1755"/>
      <c r="BU286" s="1755"/>
      <c r="BV286" s="1755"/>
      <c r="BW286" s="1755"/>
      <c r="BX286" s="1755"/>
      <c r="BY286" s="1755"/>
      <c r="BZ286" s="1755"/>
      <c r="CA286" s="1755"/>
      <c r="CB286" s="1755"/>
      <c r="CC286" s="1755"/>
      <c r="CD286" s="1755"/>
      <c r="CE286" s="1755"/>
      <c r="CF286" s="1755"/>
      <c r="CG286" s="1755"/>
      <c r="CH286" s="1755"/>
      <c r="CI286" s="1755"/>
      <c r="CJ286" s="1755"/>
      <c r="CK286" s="1755"/>
      <c r="CL286" s="1755"/>
      <c r="CM286" s="1755"/>
      <c r="CN286" s="1756"/>
      <c r="CO286" s="1767"/>
    </row>
    <row r="287" spans="2:93" x14ac:dyDescent="0.2">
      <c r="B287" s="1707"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87" s="1747" t="s">
        <v>1123</v>
      </c>
      <c r="D287" s="1747" t="s">
        <v>1122</v>
      </c>
      <c r="E287" s="1747" t="s">
        <v>987</v>
      </c>
      <c r="F287" s="1747" t="str">
        <f>VLOOKUP(TBL5_OptBen[[#This Row],[Option Type (defined list)]],'Option Typs_Grps'!B$2:C$47, 2, FALSE)</f>
        <v>Customer Options</v>
      </c>
      <c r="G287" s="1747" t="s">
        <v>863</v>
      </c>
      <c r="H287" s="1747" t="s">
        <v>1461</v>
      </c>
      <c r="I287" s="1747" t="s">
        <v>105</v>
      </c>
      <c r="J287" s="1747" t="s">
        <v>236</v>
      </c>
      <c r="K287" s="1760">
        <v>2</v>
      </c>
      <c r="L287" s="1779"/>
      <c r="M287" s="1779"/>
      <c r="N287" s="1779">
        <v>0</v>
      </c>
      <c r="O287" s="1780">
        <v>0</v>
      </c>
      <c r="P287" s="1780">
        <v>0</v>
      </c>
      <c r="Q287" s="1779">
        <v>0</v>
      </c>
      <c r="R287" s="1779">
        <v>0.25285197876790022</v>
      </c>
      <c r="S287" s="1779">
        <v>0.28915600381380102</v>
      </c>
      <c r="T287" s="1779">
        <v>0.85611904685490003</v>
      </c>
      <c r="U287" s="1779">
        <v>1.1682636737810981</v>
      </c>
      <c r="V287" s="1779">
        <v>1.2988043173646986</v>
      </c>
      <c r="W287" s="1779">
        <v>1.3410526156413951</v>
      </c>
      <c r="X287" s="1779">
        <v>1.3833378679479011</v>
      </c>
      <c r="Y287" s="1779">
        <v>1.4249758066094955</v>
      </c>
      <c r="Z287" s="1779">
        <v>1.4661822578709049</v>
      </c>
      <c r="AA287" s="1779">
        <v>1.376736671158497</v>
      </c>
      <c r="AB287" s="1779">
        <v>1.3711449088019023</v>
      </c>
      <c r="AC287" s="1779">
        <v>1.3655705656969985</v>
      </c>
      <c r="AD287" s="1779">
        <v>1.3600865454248989</v>
      </c>
      <c r="AE287" s="1779">
        <v>1.3549934973377944</v>
      </c>
      <c r="AF287" s="1779">
        <v>1.3505218764641995</v>
      </c>
      <c r="AG287" s="1779">
        <v>1.3462455303585017</v>
      </c>
      <c r="AH287" s="1779">
        <v>1.3420285073993981</v>
      </c>
      <c r="AI287" s="1779">
        <v>1.3379199848717036</v>
      </c>
      <c r="AJ287" s="1779">
        <v>1.3339463027527998</v>
      </c>
      <c r="AK287" s="1779">
        <v>1.3300438899332008</v>
      </c>
      <c r="AL287" s="1779">
        <v>1.3260841828720018</v>
      </c>
      <c r="AM287" s="1779">
        <v>1.3221056454912983</v>
      </c>
      <c r="AN287" s="1779">
        <v>1.3182852448858</v>
      </c>
      <c r="AO287" s="1779">
        <v>1.3146506739254988</v>
      </c>
      <c r="AP287" s="1779">
        <v>1.3739241314790007</v>
      </c>
      <c r="AQ287" s="1779"/>
      <c r="AR287" s="1779"/>
      <c r="AS287" s="1779"/>
      <c r="AT287" s="1779"/>
      <c r="AU287" s="1779"/>
      <c r="AV287" s="1779"/>
      <c r="AW287" s="1779"/>
      <c r="AX287" s="1779"/>
      <c r="AY287" s="1779"/>
      <c r="AZ287" s="1779"/>
      <c r="BA287" s="1779"/>
      <c r="BB287" s="1779"/>
      <c r="BC287" s="1779"/>
      <c r="BD287" s="1779"/>
      <c r="BE287" s="1779"/>
      <c r="BF287" s="1779"/>
      <c r="BG287" s="1779"/>
      <c r="BH287" s="1779"/>
      <c r="BI287" s="1779"/>
      <c r="BJ287" s="1779"/>
      <c r="BK287" s="1779"/>
      <c r="BL287" s="1779"/>
      <c r="BM287" s="1779"/>
      <c r="BN287" s="1779"/>
      <c r="BO287" s="1779"/>
      <c r="BP287" s="1780"/>
      <c r="BQ287" s="1755"/>
      <c r="BR287" s="1755"/>
      <c r="BS287" s="1755"/>
      <c r="BT287" s="1755"/>
      <c r="BU287" s="1755"/>
      <c r="BV287" s="1755"/>
      <c r="BW287" s="1755"/>
      <c r="BX287" s="1755"/>
      <c r="BY287" s="1755"/>
      <c r="BZ287" s="1755"/>
      <c r="CA287" s="1755"/>
      <c r="CB287" s="1755"/>
      <c r="CC287" s="1755"/>
      <c r="CD287" s="1755"/>
      <c r="CE287" s="1755"/>
      <c r="CF287" s="1755"/>
      <c r="CG287" s="1755"/>
      <c r="CH287" s="1755"/>
      <c r="CI287" s="1755"/>
      <c r="CJ287" s="1755"/>
      <c r="CK287" s="1755"/>
      <c r="CL287" s="1755"/>
      <c r="CM287" s="1755"/>
      <c r="CN287" s="1756"/>
      <c r="CO287" s="1767"/>
    </row>
    <row r="288" spans="2:93" x14ac:dyDescent="0.2">
      <c r="B288" s="1707"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288" s="1747" t="s">
        <v>1082</v>
      </c>
      <c r="D288" s="1747" t="s">
        <v>1081</v>
      </c>
      <c r="E288" s="1747" t="s">
        <v>860</v>
      </c>
      <c r="F288" s="1747" t="str">
        <f>VLOOKUP(TBL5_OptBen[[#This Row],[Option Type (defined list)]],'Option Typs_Grps'!B$2:C$47, 2, FALSE)</f>
        <v>Distribution Options</v>
      </c>
      <c r="G288" s="1747" t="s">
        <v>863</v>
      </c>
      <c r="H288" s="1747" t="s">
        <v>1461</v>
      </c>
      <c r="I288" s="1747" t="s">
        <v>105</v>
      </c>
      <c r="J288" s="1747" t="s">
        <v>236</v>
      </c>
      <c r="K288" s="1760">
        <v>2</v>
      </c>
      <c r="L288" s="1779"/>
      <c r="M288" s="1779"/>
      <c r="N288" s="1779">
        <v>0</v>
      </c>
      <c r="O288" s="1780">
        <v>0</v>
      </c>
      <c r="P288" s="1780">
        <v>0</v>
      </c>
      <c r="Q288" s="1779">
        <v>0</v>
      </c>
      <c r="R288" s="1779">
        <v>2.0497010939743765E-2</v>
      </c>
      <c r="S288" s="1779">
        <v>2.8131052956422264E-2</v>
      </c>
      <c r="T288" s="1779">
        <v>9.7854674088195814E-3</v>
      </c>
      <c r="U288" s="1779">
        <v>-2.0179402831490112E-2</v>
      </c>
      <c r="V288" s="1779">
        <v>-3.3449196205928011E-2</v>
      </c>
      <c r="W288" s="1779">
        <v>-2.1372962654336192E-2</v>
      </c>
      <c r="X288" s="1779">
        <v>-6.954358139554806E-5</v>
      </c>
      <c r="Y288" s="1779">
        <v>2.1176585235679113E-2</v>
      </c>
      <c r="Z288" s="1779">
        <v>4.2354618941040423E-2</v>
      </c>
      <c r="AA288" s="1779">
        <v>6.3463175295519481E-2</v>
      </c>
      <c r="AB288" s="1779">
        <v>8.4468033114998065E-2</v>
      </c>
      <c r="AC288" s="1779">
        <v>0.10537309422437291</v>
      </c>
      <c r="AD288" s="1779">
        <v>0.12621569853705017</v>
      </c>
      <c r="AE288" s="1779">
        <v>0.14699737189668394</v>
      </c>
      <c r="AF288" s="1779">
        <v>0.16772764836791842</v>
      </c>
      <c r="AG288" s="1779">
        <v>0.18840041528255469</v>
      </c>
      <c r="AH288" s="1779">
        <v>0.20901849631826996</v>
      </c>
      <c r="AI288" s="1779">
        <v>0.22958098505130908</v>
      </c>
      <c r="AJ288" s="1779">
        <v>0.25008862554965239</v>
      </c>
      <c r="AK288" s="1779">
        <v>0.27054286884443735</v>
      </c>
      <c r="AL288" s="1779">
        <v>0.29094479727368583</v>
      </c>
      <c r="AM288" s="1779">
        <v>0.31129537924124362</v>
      </c>
      <c r="AN288" s="1779">
        <v>0.33159588466125323</v>
      </c>
      <c r="AO288" s="1779">
        <v>0.35184825930580232</v>
      </c>
      <c r="AP288" s="1779">
        <v>0.3720534466407468</v>
      </c>
      <c r="AQ288" s="1779"/>
      <c r="AR288" s="1779"/>
      <c r="AS288" s="1779"/>
      <c r="AT288" s="1779"/>
      <c r="AU288" s="1779"/>
      <c r="AV288" s="1779"/>
      <c r="AW288" s="1779"/>
      <c r="AX288" s="1779"/>
      <c r="AY288" s="1779"/>
      <c r="AZ288" s="1779"/>
      <c r="BA288" s="1779"/>
      <c r="BB288" s="1779"/>
      <c r="BC288" s="1779"/>
      <c r="BD288" s="1779"/>
      <c r="BE288" s="1779"/>
      <c r="BF288" s="1779"/>
      <c r="BG288" s="1779"/>
      <c r="BH288" s="1779"/>
      <c r="BI288" s="1779"/>
      <c r="BJ288" s="1779"/>
      <c r="BK288" s="1779"/>
      <c r="BL288" s="1779"/>
      <c r="BM288" s="1779"/>
      <c r="BN288" s="1779"/>
      <c r="BO288" s="1779"/>
      <c r="BP288" s="1780"/>
      <c r="BQ288" s="1755"/>
      <c r="BR288" s="1755"/>
      <c r="BS288" s="1755"/>
      <c r="BT288" s="1755"/>
      <c r="BU288" s="1755"/>
      <c r="BV288" s="1755"/>
      <c r="BW288" s="1755"/>
      <c r="BX288" s="1755"/>
      <c r="BY288" s="1755"/>
      <c r="BZ288" s="1755"/>
      <c r="CA288" s="1755"/>
      <c r="CB288" s="1755"/>
      <c r="CC288" s="1755"/>
      <c r="CD288" s="1755"/>
      <c r="CE288" s="1755"/>
      <c r="CF288" s="1755"/>
      <c r="CG288" s="1755"/>
      <c r="CH288" s="1755"/>
      <c r="CI288" s="1755"/>
      <c r="CJ288" s="1755"/>
      <c r="CK288" s="1755"/>
      <c r="CL288" s="1755"/>
      <c r="CM288" s="1755"/>
      <c r="CN288" s="1756"/>
      <c r="CO288" s="1767"/>
    </row>
    <row r="289" spans="2:93" x14ac:dyDescent="0.2">
      <c r="B289" s="1707"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89" s="1747" t="s">
        <v>1119</v>
      </c>
      <c r="D289" s="1747" t="s">
        <v>1118</v>
      </c>
      <c r="E289" s="1747" t="s">
        <v>1099</v>
      </c>
      <c r="F289" s="1747" t="str">
        <f>VLOOKUP(TBL5_OptBen[[#This Row],[Option Type (defined list)]],'Option Typs_Grps'!B$2:C$47, 2, FALSE)</f>
        <v>Customer Options</v>
      </c>
      <c r="G289" s="1747" t="s">
        <v>863</v>
      </c>
      <c r="H289" s="1747" t="s">
        <v>1461</v>
      </c>
      <c r="I289" s="1747" t="s">
        <v>105</v>
      </c>
      <c r="J289" s="1747" t="s">
        <v>236</v>
      </c>
      <c r="K289" s="1760">
        <v>2</v>
      </c>
      <c r="L289" s="1779"/>
      <c r="M289" s="1779"/>
      <c r="N289" s="1779">
        <v>0</v>
      </c>
      <c r="O289" s="1780">
        <v>0</v>
      </c>
      <c r="P289" s="1780">
        <v>0</v>
      </c>
      <c r="Q289" s="1779">
        <v>0</v>
      </c>
      <c r="R289" s="1779">
        <v>7.67658906025619E-3</v>
      </c>
      <c r="S289" s="1779">
        <v>2.8216147043577881E-2</v>
      </c>
      <c r="T289" s="1779">
        <v>7.4735332591180786E-2</v>
      </c>
      <c r="U289" s="1779">
        <v>0.13287380283149092</v>
      </c>
      <c r="V289" s="1779">
        <v>0.17431719620592837</v>
      </c>
      <c r="W289" s="1779">
        <v>0.19041456265433712</v>
      </c>
      <c r="X289" s="1779">
        <v>0.19728474358139669</v>
      </c>
      <c r="Y289" s="1779">
        <v>0.20421221476432208</v>
      </c>
      <c r="Z289" s="1779">
        <v>0.21120778105896068</v>
      </c>
      <c r="AA289" s="1779">
        <v>0.21827282470448189</v>
      </c>
      <c r="AB289" s="1779">
        <v>0.22544156688500333</v>
      </c>
      <c r="AC289" s="1779">
        <v>0.23271010577562865</v>
      </c>
      <c r="AD289" s="1779">
        <v>0.24004110146295188</v>
      </c>
      <c r="AE289" s="1779">
        <v>0.24743302810331808</v>
      </c>
      <c r="AF289" s="1779">
        <v>0.25487635163208355</v>
      </c>
      <c r="AG289" s="1779">
        <v>0.26237718471744731</v>
      </c>
      <c r="AH289" s="1779">
        <v>0.26993270368173239</v>
      </c>
      <c r="AI289" s="1779">
        <v>0.27754381494869351</v>
      </c>
      <c r="AJ289" s="1779">
        <v>0.28520977445035034</v>
      </c>
      <c r="AK289" s="1779">
        <v>0.29292913115556524</v>
      </c>
      <c r="AL289" s="1779">
        <v>0.30070080272631694</v>
      </c>
      <c r="AM289" s="1779">
        <v>0.30852382075875928</v>
      </c>
      <c r="AN289" s="1779">
        <v>0.31639691533875025</v>
      </c>
      <c r="AO289" s="1779">
        <v>0.32431814069420095</v>
      </c>
      <c r="AP289" s="1779">
        <v>0.33228655335925339</v>
      </c>
      <c r="AQ289" s="1779"/>
      <c r="AR289" s="1779"/>
      <c r="AS289" s="1779"/>
      <c r="AT289" s="1779"/>
      <c r="AU289" s="1779"/>
      <c r="AV289" s="1779"/>
      <c r="AW289" s="1779"/>
      <c r="AX289" s="1779"/>
      <c r="AY289" s="1779"/>
      <c r="AZ289" s="1779"/>
      <c r="BA289" s="1779"/>
      <c r="BB289" s="1779"/>
      <c r="BC289" s="1779"/>
      <c r="BD289" s="1779"/>
      <c r="BE289" s="1779"/>
      <c r="BF289" s="1779"/>
      <c r="BG289" s="1779"/>
      <c r="BH289" s="1779"/>
      <c r="BI289" s="1779"/>
      <c r="BJ289" s="1779"/>
      <c r="BK289" s="1779"/>
      <c r="BL289" s="1779"/>
      <c r="BM289" s="1779"/>
      <c r="BN289" s="1779"/>
      <c r="BO289" s="1779"/>
      <c r="BP289" s="1780"/>
      <c r="BQ289" s="1755"/>
      <c r="BR289" s="1755"/>
      <c r="BS289" s="1755"/>
      <c r="BT289" s="1755"/>
      <c r="BU289" s="1755"/>
      <c r="BV289" s="1755"/>
      <c r="BW289" s="1755"/>
      <c r="BX289" s="1755"/>
      <c r="BY289" s="1755"/>
      <c r="BZ289" s="1755"/>
      <c r="CA289" s="1755"/>
      <c r="CB289" s="1755"/>
      <c r="CC289" s="1755"/>
      <c r="CD289" s="1755"/>
      <c r="CE289" s="1755"/>
      <c r="CF289" s="1755"/>
      <c r="CG289" s="1755"/>
      <c r="CH289" s="1755"/>
      <c r="CI289" s="1755"/>
      <c r="CJ289" s="1755"/>
      <c r="CK289" s="1755"/>
      <c r="CL289" s="1755"/>
      <c r="CM289" s="1755"/>
      <c r="CN289" s="1756"/>
      <c r="CO289" s="1767"/>
    </row>
    <row r="290" spans="2:93" x14ac:dyDescent="0.2">
      <c r="B290" s="1707"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90" s="1747" t="s">
        <v>1125</v>
      </c>
      <c r="D290" s="1747" t="s">
        <v>1474</v>
      </c>
      <c r="E290" s="1747" t="s">
        <v>987</v>
      </c>
      <c r="F290" s="1747" t="str">
        <f>VLOOKUP(TBL5_OptBen[[#This Row],[Option Type (defined list)]],'Option Typs_Grps'!B$2:C$47, 2, FALSE)</f>
        <v>Customer Options</v>
      </c>
      <c r="G290" s="1747" t="s">
        <v>863</v>
      </c>
      <c r="H290" s="1747" t="s">
        <v>1461</v>
      </c>
      <c r="I290" s="1747" t="s">
        <v>105</v>
      </c>
      <c r="J290" s="1747" t="s">
        <v>236</v>
      </c>
      <c r="K290" s="1760">
        <v>2</v>
      </c>
      <c r="L290" s="1779"/>
      <c r="M290" s="1779"/>
      <c r="N290" s="1779">
        <v>0</v>
      </c>
      <c r="O290" s="1780">
        <v>0</v>
      </c>
      <c r="P290" s="1780">
        <v>0</v>
      </c>
      <c r="Q290" s="1779">
        <v>0</v>
      </c>
      <c r="R290" s="1779">
        <v>6.3419152100898657E-2</v>
      </c>
      <c r="S290" s="1779">
        <v>0.1268383042019039</v>
      </c>
      <c r="T290" s="1779">
        <v>0.19025745630289492</v>
      </c>
      <c r="U290" s="1779">
        <v>0.25367660840380069</v>
      </c>
      <c r="V290" s="1779">
        <v>0.31709576050479882</v>
      </c>
      <c r="W290" s="1779">
        <v>0.45303480806530416</v>
      </c>
      <c r="X290" s="1779">
        <v>0.5889738556258024</v>
      </c>
      <c r="Y290" s="1779">
        <v>0.72491290318630064</v>
      </c>
      <c r="Z290" s="1779">
        <v>0.8608519507466994</v>
      </c>
      <c r="AA290" s="1779">
        <v>0.99679099830720475</v>
      </c>
      <c r="AB290" s="1779">
        <v>1.1230633373484977</v>
      </c>
      <c r="AC290" s="1779">
        <v>1.2493356763897978</v>
      </c>
      <c r="AD290" s="1779">
        <v>1.3756080154310979</v>
      </c>
      <c r="AE290" s="1779">
        <v>1.3756080154309984</v>
      </c>
      <c r="AF290" s="1779">
        <v>1.3756080154309984</v>
      </c>
      <c r="AG290" s="1779">
        <v>1.3756080154309984</v>
      </c>
      <c r="AH290" s="1779">
        <v>1.3756080154309984</v>
      </c>
      <c r="AI290" s="1779">
        <v>1.3756080154309984</v>
      </c>
      <c r="AJ290" s="1779">
        <v>1.3756080154310979</v>
      </c>
      <c r="AK290" s="1779">
        <v>1.3756080154310055</v>
      </c>
      <c r="AL290" s="1779">
        <v>1.3756080154309984</v>
      </c>
      <c r="AM290" s="1779">
        <v>1.3756080154309984</v>
      </c>
      <c r="AN290" s="1779">
        <v>1.3756080154310979</v>
      </c>
      <c r="AO290" s="1779">
        <v>1.3756080154309984</v>
      </c>
      <c r="AP290" s="1779">
        <v>1.3756080154309984</v>
      </c>
      <c r="AQ290" s="1779"/>
      <c r="AR290" s="1779"/>
      <c r="AS290" s="1779"/>
      <c r="AT290" s="1779"/>
      <c r="AU290" s="1779"/>
      <c r="AV290" s="1779"/>
      <c r="AW290" s="1779"/>
      <c r="AX290" s="1779"/>
      <c r="AY290" s="1779"/>
      <c r="AZ290" s="1779"/>
      <c r="BA290" s="1779"/>
      <c r="BB290" s="1779"/>
      <c r="BC290" s="1779"/>
      <c r="BD290" s="1779"/>
      <c r="BE290" s="1779"/>
      <c r="BF290" s="1779"/>
      <c r="BG290" s="1779"/>
      <c r="BH290" s="1779"/>
      <c r="BI290" s="1779"/>
      <c r="BJ290" s="1779"/>
      <c r="BK290" s="1779"/>
      <c r="BL290" s="1779"/>
      <c r="BM290" s="1779"/>
      <c r="BN290" s="1779"/>
      <c r="BO290" s="1779"/>
      <c r="BP290" s="1780"/>
      <c r="BQ290" s="1755"/>
      <c r="BR290" s="1755"/>
      <c r="BS290" s="1755"/>
      <c r="BT290" s="1755"/>
      <c r="BU290" s="1755"/>
      <c r="BV290" s="1755"/>
      <c r="BW290" s="1755"/>
      <c r="BX290" s="1755"/>
      <c r="BY290" s="1755"/>
      <c r="BZ290" s="1755"/>
      <c r="CA290" s="1755"/>
      <c r="CB290" s="1755"/>
      <c r="CC290" s="1755"/>
      <c r="CD290" s="1755"/>
      <c r="CE290" s="1755"/>
      <c r="CF290" s="1755"/>
      <c r="CG290" s="1755"/>
      <c r="CH290" s="1755"/>
      <c r="CI290" s="1755"/>
      <c r="CJ290" s="1755"/>
      <c r="CK290" s="1755"/>
      <c r="CL290" s="1755"/>
      <c r="CM290" s="1755"/>
      <c r="CN290" s="1756"/>
      <c r="CO290" s="1767"/>
    </row>
    <row r="291" spans="2:93" x14ac:dyDescent="0.2">
      <c r="B291" s="1707"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91" s="1747" t="s">
        <v>1079</v>
      </c>
      <c r="D291" s="1747" t="s">
        <v>1078</v>
      </c>
      <c r="E291" s="1747" t="s">
        <v>987</v>
      </c>
      <c r="F291" s="1747" t="str">
        <f>VLOOKUP(TBL5_OptBen[[#This Row],[Option Type (defined list)]],'Option Typs_Grps'!B$2:C$47, 2, FALSE)</f>
        <v>Customer Options</v>
      </c>
      <c r="G291" s="1747" t="s">
        <v>863</v>
      </c>
      <c r="H291" s="1747" t="s">
        <v>1461</v>
      </c>
      <c r="I291" s="1747" t="s">
        <v>105</v>
      </c>
      <c r="J291" s="1747" t="s">
        <v>236</v>
      </c>
      <c r="K291" s="1760">
        <v>2</v>
      </c>
      <c r="L291" s="1779"/>
      <c r="M291" s="1779"/>
      <c r="N291" s="1779">
        <v>0</v>
      </c>
      <c r="O291" s="1780">
        <v>0</v>
      </c>
      <c r="P291" s="1780">
        <v>0</v>
      </c>
      <c r="Q291" s="1779">
        <v>0</v>
      </c>
      <c r="R291" s="1779">
        <v>0</v>
      </c>
      <c r="S291" s="1779">
        <v>0</v>
      </c>
      <c r="T291" s="1779">
        <v>7.3833501573595584E-2</v>
      </c>
      <c r="U291" s="1779">
        <v>0.1471215959892973</v>
      </c>
      <c r="V291" s="1779">
        <v>0.22002474649539749</v>
      </c>
      <c r="W291" s="1779">
        <v>0.2922773801037053</v>
      </c>
      <c r="X291" s="1779">
        <v>0.36418098416940126</v>
      </c>
      <c r="Y291" s="1779">
        <v>0.43562881924000152</v>
      </c>
      <c r="Z291" s="1779">
        <v>0.58633855384859856</v>
      </c>
      <c r="AA291" s="1779">
        <v>0.73653307793040312</v>
      </c>
      <c r="AB291" s="1779">
        <v>0.88591093485229777</v>
      </c>
      <c r="AC291" s="1779">
        <v>1.0346859498579946</v>
      </c>
      <c r="AD291" s="1779">
        <v>1.1825063035998937</v>
      </c>
      <c r="AE291" s="1779">
        <v>1.3300340927073009</v>
      </c>
      <c r="AF291" s="1779">
        <v>1.4777973911117002</v>
      </c>
      <c r="AG291" s="1779">
        <v>1.6253095885688964</v>
      </c>
      <c r="AH291" s="1779">
        <v>1.7723727303438963</v>
      </c>
      <c r="AI291" s="1779">
        <v>1.9193008627122978</v>
      </c>
      <c r="AJ291" s="1779">
        <v>1.9668881373080964</v>
      </c>
      <c r="AK291" s="1779">
        <v>2.0145719774967006</v>
      </c>
      <c r="AL291" s="1779">
        <v>2.0618569926542989</v>
      </c>
      <c r="AM291" s="1779">
        <v>2.1088184870127975</v>
      </c>
      <c r="AN291" s="1779">
        <v>2.1558672756962949</v>
      </c>
      <c r="AO291" s="1779">
        <v>2.2030882147346986</v>
      </c>
      <c r="AP291" s="1779">
        <v>2.2502157920711028</v>
      </c>
      <c r="AQ291" s="1779"/>
      <c r="AR291" s="1779"/>
      <c r="AS291" s="1779"/>
      <c r="AT291" s="1779"/>
      <c r="AU291" s="1779"/>
      <c r="AV291" s="1779"/>
      <c r="AW291" s="1779"/>
      <c r="AX291" s="1779"/>
      <c r="AY291" s="1779"/>
      <c r="AZ291" s="1779"/>
      <c r="BA291" s="1779"/>
      <c r="BB291" s="1779"/>
      <c r="BC291" s="1779"/>
      <c r="BD291" s="1779"/>
      <c r="BE291" s="1779"/>
      <c r="BF291" s="1779"/>
      <c r="BG291" s="1779"/>
      <c r="BH291" s="1779"/>
      <c r="BI291" s="1779"/>
      <c r="BJ291" s="1779"/>
      <c r="BK291" s="1779"/>
      <c r="BL291" s="1779"/>
      <c r="BM291" s="1779"/>
      <c r="BN291" s="1779"/>
      <c r="BO291" s="1779"/>
      <c r="BP291" s="1780"/>
      <c r="BQ291" s="1755"/>
      <c r="BR291" s="1755"/>
      <c r="BS291" s="1755"/>
      <c r="BT291" s="1755"/>
      <c r="BU291" s="1755"/>
      <c r="BV291" s="1755"/>
      <c r="BW291" s="1755"/>
      <c r="BX291" s="1755"/>
      <c r="BY291" s="1755"/>
      <c r="BZ291" s="1755"/>
      <c r="CA291" s="1755"/>
      <c r="CB291" s="1755"/>
      <c r="CC291" s="1755"/>
      <c r="CD291" s="1755"/>
      <c r="CE291" s="1755"/>
      <c r="CF291" s="1755"/>
      <c r="CG291" s="1755"/>
      <c r="CH291" s="1755"/>
      <c r="CI291" s="1755"/>
      <c r="CJ291" s="1755"/>
      <c r="CK291" s="1755"/>
      <c r="CL291" s="1755"/>
      <c r="CM291" s="1755"/>
      <c r="CN291" s="1756"/>
      <c r="CO291" s="1767"/>
    </row>
    <row r="292" spans="2:93" ht="28.5" x14ac:dyDescent="0.2">
      <c r="B292" s="1707"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92" s="1703" t="s">
        <v>972</v>
      </c>
      <c r="D292" s="1703" t="s">
        <v>1088</v>
      </c>
      <c r="E292" s="1707" t="s">
        <v>973</v>
      </c>
      <c r="F292" s="1747" t="str">
        <f>VLOOKUP(TBL5_OptBen[[#This Row],[Option Type (defined list)]],'Option Typs_Grps'!B$2:C$47, 2, FALSE)</f>
        <v>Customer Options</v>
      </c>
      <c r="G292" s="1747" t="s">
        <v>863</v>
      </c>
      <c r="H292" s="1747" t="s">
        <v>1461</v>
      </c>
      <c r="I292" s="1747" t="s">
        <v>102</v>
      </c>
      <c r="J292" s="1747" t="s">
        <v>236</v>
      </c>
      <c r="K292" s="1760">
        <v>2</v>
      </c>
      <c r="L292" s="1779"/>
      <c r="M292" s="1779"/>
      <c r="N292" s="1779">
        <v>0</v>
      </c>
      <c r="O292" s="1780">
        <v>4.2756956085342601</v>
      </c>
      <c r="P292" s="1780">
        <v>4.09987831560119</v>
      </c>
      <c r="Q292" s="1779">
        <v>4.0759494718184097</v>
      </c>
      <c r="R292" s="1779">
        <v>3.8978231189529904</v>
      </c>
      <c r="S292" s="1779">
        <v>3.8621878662638505</v>
      </c>
      <c r="T292" s="1779">
        <v>3.8730037458603306</v>
      </c>
      <c r="U292" s="1779">
        <v>3.8838711888694597</v>
      </c>
      <c r="V292" s="1779">
        <v>3.8941135151785602</v>
      </c>
      <c r="W292" s="1779">
        <v>3.9043053874683409</v>
      </c>
      <c r="X292" s="1779">
        <v>3.9143938815194712</v>
      </c>
      <c r="Y292" s="1779">
        <v>0</v>
      </c>
      <c r="Z292" s="1779">
        <v>0</v>
      </c>
      <c r="AA292" s="1779">
        <v>0</v>
      </c>
      <c r="AB292" s="1779">
        <v>0</v>
      </c>
      <c r="AC292" s="1779">
        <v>0</v>
      </c>
      <c r="AD292" s="1779">
        <v>0</v>
      </c>
      <c r="AE292" s="1779">
        <v>0</v>
      </c>
      <c r="AF292" s="1779">
        <v>0</v>
      </c>
      <c r="AG292" s="1779">
        <v>0</v>
      </c>
      <c r="AH292" s="1779">
        <v>0</v>
      </c>
      <c r="AI292" s="1779">
        <v>0</v>
      </c>
      <c r="AJ292" s="1779">
        <v>0</v>
      </c>
      <c r="AK292" s="1779">
        <v>0</v>
      </c>
      <c r="AL292" s="1779">
        <v>0</v>
      </c>
      <c r="AM292" s="1779">
        <v>0</v>
      </c>
      <c r="AN292" s="1779">
        <v>0</v>
      </c>
      <c r="AO292" s="1779">
        <v>0</v>
      </c>
      <c r="AP292" s="1779">
        <v>0</v>
      </c>
      <c r="AQ292" s="1779"/>
      <c r="AR292" s="1779"/>
      <c r="AS292" s="1779"/>
      <c r="AT292" s="1779"/>
      <c r="AU292" s="1779"/>
      <c r="AV292" s="1779"/>
      <c r="AW292" s="1779"/>
      <c r="AX292" s="1779"/>
      <c r="AY292" s="1779"/>
      <c r="AZ292" s="1779"/>
      <c r="BA292" s="1779"/>
      <c r="BB292" s="1779"/>
      <c r="BC292" s="1779"/>
      <c r="BD292" s="1779"/>
      <c r="BE292" s="1779"/>
      <c r="BF292" s="1779"/>
      <c r="BG292" s="1779"/>
      <c r="BH292" s="1779"/>
      <c r="BI292" s="1779"/>
      <c r="BJ292" s="1779"/>
      <c r="BK292" s="1779"/>
      <c r="BL292" s="1779"/>
      <c r="BM292" s="1779"/>
      <c r="BN292" s="1779"/>
      <c r="BO292" s="1779"/>
      <c r="BP292" s="1780"/>
      <c r="BQ292" s="1755"/>
      <c r="BR292" s="1755"/>
      <c r="BS292" s="1755"/>
      <c r="BT292" s="1755"/>
      <c r="BU292" s="1755"/>
      <c r="BV292" s="1755"/>
      <c r="BW292" s="1755"/>
      <c r="BX292" s="1755"/>
      <c r="BY292" s="1755"/>
      <c r="BZ292" s="1755"/>
      <c r="CA292" s="1755"/>
      <c r="CB292" s="1755"/>
      <c r="CC292" s="1755"/>
      <c r="CD292" s="1755"/>
      <c r="CE292" s="1755"/>
      <c r="CF292" s="1755"/>
      <c r="CG292" s="1755"/>
      <c r="CH292" s="1755"/>
      <c r="CI292" s="1755"/>
      <c r="CJ292" s="1755"/>
      <c r="CK292" s="1755"/>
      <c r="CL292" s="1755"/>
      <c r="CM292" s="1755"/>
      <c r="CN292" s="1756"/>
      <c r="CO292" s="1783"/>
    </row>
    <row r="293" spans="2:93" ht="15" x14ac:dyDescent="0.25">
      <c r="B293" s="1707"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93" s="1703" t="s">
        <v>1067</v>
      </c>
      <c r="D293" s="1765" t="s">
        <v>1066</v>
      </c>
      <c r="E293" s="1723" t="s">
        <v>1068</v>
      </c>
      <c r="F293" s="1747" t="str">
        <f>VLOOKUP(TBL5_OptBen[[#This Row],[Option Type (defined list)]],'Option Typs_Grps'!B$2:C$47, 2, FALSE)</f>
        <v>Customer Options</v>
      </c>
      <c r="G293" s="1747" t="s">
        <v>863</v>
      </c>
      <c r="H293" s="1707" t="s">
        <v>1457</v>
      </c>
      <c r="I293" s="1747" t="s">
        <v>88</v>
      </c>
      <c r="J293" s="1747" t="s">
        <v>236</v>
      </c>
      <c r="K293" s="1760">
        <v>2</v>
      </c>
      <c r="L293" s="1779"/>
      <c r="M293" s="1779"/>
      <c r="N293" s="1779">
        <v>0</v>
      </c>
      <c r="O293" s="1780">
        <v>0</v>
      </c>
      <c r="P293" s="1780">
        <v>0</v>
      </c>
      <c r="Q293" s="1779">
        <v>0</v>
      </c>
      <c r="R293" s="1779">
        <v>0.25548594418635373</v>
      </c>
      <c r="S293" s="1779">
        <v>-3.092069346680848E-2</v>
      </c>
      <c r="T293" s="1779">
        <v>8.884789488267586E-2</v>
      </c>
      <c r="U293" s="1779">
        <v>0.76192657355699822</v>
      </c>
      <c r="V293" s="1779">
        <v>1.3909079865855531</v>
      </c>
      <c r="W293" s="1779">
        <v>1.9029789757946176</v>
      </c>
      <c r="X293" s="1779">
        <v>2.3650971410544912</v>
      </c>
      <c r="Y293" s="1779">
        <v>2.7945724268152823</v>
      </c>
      <c r="Z293" s="1779">
        <v>3.1804383747871654</v>
      </c>
      <c r="AA293" s="1779">
        <v>3.5142260703109685</v>
      </c>
      <c r="AB293" s="1779">
        <v>3.3434916559364609</v>
      </c>
      <c r="AC293" s="1779">
        <v>3.0945582750446405</v>
      </c>
      <c r="AD293" s="1779">
        <v>2.9865524585861607</v>
      </c>
      <c r="AE293" s="1779">
        <v>2.8827633376370372</v>
      </c>
      <c r="AF293" s="1779">
        <v>2.782344085523988</v>
      </c>
      <c r="AG293" s="1779">
        <v>3.3149737036035347</v>
      </c>
      <c r="AH293" s="1779">
        <v>3.2089435296160147</v>
      </c>
      <c r="AI293" s="1779">
        <v>3.1079558430222036</v>
      </c>
      <c r="AJ293" s="1779">
        <v>3.0208934997324519</v>
      </c>
      <c r="AK293" s="1779">
        <v>2.9369146499209364</v>
      </c>
      <c r="AL293" s="1779">
        <v>2.3887513428359881</v>
      </c>
      <c r="AM293" s="1779">
        <v>3.2271296088724739</v>
      </c>
      <c r="AN293" s="1779">
        <v>3.1649748097323567</v>
      </c>
      <c r="AO293" s="1779">
        <v>3.5425899547780375</v>
      </c>
      <c r="AP293" s="1779">
        <v>3.480406096233537</v>
      </c>
      <c r="AQ293" s="1779"/>
      <c r="AR293" s="1779"/>
      <c r="AS293" s="1779"/>
      <c r="AT293" s="1779"/>
      <c r="AU293" s="1779"/>
      <c r="AV293" s="1779"/>
      <c r="AW293" s="1779"/>
      <c r="AX293" s="1779"/>
      <c r="AY293" s="1779"/>
      <c r="AZ293" s="1779"/>
      <c r="BA293" s="1779"/>
      <c r="BB293" s="1779"/>
      <c r="BC293" s="1779"/>
      <c r="BD293" s="1779"/>
      <c r="BE293" s="1779"/>
      <c r="BF293" s="1779"/>
      <c r="BG293" s="1779"/>
      <c r="BH293" s="1779"/>
      <c r="BI293" s="1779"/>
      <c r="BJ293" s="1779"/>
      <c r="BK293" s="1779"/>
      <c r="BL293" s="1779"/>
      <c r="BM293" s="1779"/>
      <c r="BN293" s="1779"/>
      <c r="BO293" s="1779"/>
      <c r="BP293" s="1780"/>
      <c r="BQ293" s="1755"/>
      <c r="BR293" s="1755"/>
      <c r="BS293" s="1755"/>
      <c r="BT293" s="1755"/>
      <c r="BU293" s="1755"/>
      <c r="BV293" s="1755"/>
      <c r="BW293" s="1755"/>
      <c r="BX293" s="1755"/>
      <c r="BY293" s="1755"/>
      <c r="BZ293" s="1755"/>
      <c r="CA293" s="1755"/>
      <c r="CB293" s="1755"/>
      <c r="CC293" s="1755"/>
      <c r="CD293" s="1755"/>
      <c r="CE293" s="1755"/>
      <c r="CF293" s="1755"/>
      <c r="CG293" s="1755"/>
      <c r="CH293" s="1755"/>
      <c r="CI293" s="1755"/>
      <c r="CJ293" s="1755"/>
      <c r="CK293" s="1755"/>
      <c r="CL293" s="1755"/>
      <c r="CM293" s="1755"/>
      <c r="CN293" s="1756"/>
      <c r="CO293" s="1783"/>
    </row>
    <row r="294" spans="2:93" ht="15" x14ac:dyDescent="0.25">
      <c r="B294" s="1707"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94" s="1703" t="s">
        <v>1075</v>
      </c>
      <c r="D294" s="1765" t="s">
        <v>1074</v>
      </c>
      <c r="E294" s="1723" t="s">
        <v>987</v>
      </c>
      <c r="F294" s="1747" t="str">
        <f>VLOOKUP(TBL5_OptBen[[#This Row],[Option Type (defined list)]],'Option Typs_Grps'!B$2:C$47, 2, FALSE)</f>
        <v>Customer Options</v>
      </c>
      <c r="G294" s="1747" t="s">
        <v>863</v>
      </c>
      <c r="H294" s="1707" t="s">
        <v>1457</v>
      </c>
      <c r="I294" s="1747" t="s">
        <v>88</v>
      </c>
      <c r="J294" s="1747" t="s">
        <v>236</v>
      </c>
      <c r="K294" s="1760">
        <v>2</v>
      </c>
      <c r="L294" s="1779"/>
      <c r="M294" s="1779"/>
      <c r="N294" s="1779">
        <v>0</v>
      </c>
      <c r="O294" s="1780">
        <v>0</v>
      </c>
      <c r="P294" s="1780">
        <v>0</v>
      </c>
      <c r="Q294" s="1779">
        <v>0</v>
      </c>
      <c r="R294" s="1779">
        <v>1.7845553514899848</v>
      </c>
      <c r="S294" s="1779">
        <v>3.5427161896240023</v>
      </c>
      <c r="T294" s="1779">
        <v>5.301341843348041</v>
      </c>
      <c r="U294" s="1779">
        <v>7.0548901413500289</v>
      </c>
      <c r="V294" s="1779">
        <v>8.8017889097570219</v>
      </c>
      <c r="W294" s="1779">
        <v>10.429981474727015</v>
      </c>
      <c r="X294" s="1779">
        <v>12.068957709225003</v>
      </c>
      <c r="Y294" s="1779">
        <v>13.674687179018008</v>
      </c>
      <c r="Z294" s="1779">
        <v>15.294847217407039</v>
      </c>
      <c r="AA294" s="1779">
        <v>16.879356808488012</v>
      </c>
      <c r="AB294" s="1779">
        <v>18.44385474211299</v>
      </c>
      <c r="AC294" s="1779">
        <v>20.00352694480398</v>
      </c>
      <c r="AD294" s="1779">
        <v>21.562955433935031</v>
      </c>
      <c r="AE294" s="1779">
        <v>23.122440401790982</v>
      </c>
      <c r="AF294" s="1779">
        <v>24.682466350742004</v>
      </c>
      <c r="AG294" s="1779">
        <v>25.957712072483048</v>
      </c>
      <c r="AH294" s="1779">
        <v>27.439454714885017</v>
      </c>
      <c r="AI294" s="1779">
        <v>28.918699829364982</v>
      </c>
      <c r="AJ294" s="1779">
        <v>30.404427840733035</v>
      </c>
      <c r="AK294" s="1779">
        <v>31.895840944686995</v>
      </c>
      <c r="AL294" s="1779">
        <v>31.788858451086014</v>
      </c>
      <c r="AM294" s="1779">
        <v>31.332790846662988</v>
      </c>
      <c r="AN294" s="1779">
        <v>31.309348296239989</v>
      </c>
      <c r="AO294" s="1779">
        <v>31.076947050443039</v>
      </c>
      <c r="AP294" s="1779">
        <v>31.057228542454993</v>
      </c>
      <c r="AQ294" s="1779"/>
      <c r="AR294" s="1779"/>
      <c r="AS294" s="1779"/>
      <c r="AT294" s="1779"/>
      <c r="AU294" s="1779"/>
      <c r="AV294" s="1779"/>
      <c r="AW294" s="1779"/>
      <c r="AX294" s="1779"/>
      <c r="AY294" s="1779"/>
      <c r="AZ294" s="1779"/>
      <c r="BA294" s="1779"/>
      <c r="BB294" s="1779"/>
      <c r="BC294" s="1779"/>
      <c r="BD294" s="1779"/>
      <c r="BE294" s="1779"/>
      <c r="BF294" s="1779"/>
      <c r="BG294" s="1779"/>
      <c r="BH294" s="1779"/>
      <c r="BI294" s="1779"/>
      <c r="BJ294" s="1779"/>
      <c r="BK294" s="1779"/>
      <c r="BL294" s="1779"/>
      <c r="BM294" s="1779"/>
      <c r="BN294" s="1779"/>
      <c r="BO294" s="1779"/>
      <c r="BP294" s="1780"/>
      <c r="BQ294" s="1755"/>
      <c r="BR294" s="1755"/>
      <c r="BS294" s="1755"/>
      <c r="BT294" s="1755"/>
      <c r="BU294" s="1755"/>
      <c r="BV294" s="1755"/>
      <c r="BW294" s="1755"/>
      <c r="BX294" s="1755"/>
      <c r="BY294" s="1755"/>
      <c r="BZ294" s="1755"/>
      <c r="CA294" s="1755"/>
      <c r="CB294" s="1755"/>
      <c r="CC294" s="1755"/>
      <c r="CD294" s="1755"/>
      <c r="CE294" s="1755"/>
      <c r="CF294" s="1755"/>
      <c r="CG294" s="1755"/>
      <c r="CH294" s="1755"/>
      <c r="CI294" s="1755"/>
      <c r="CJ294" s="1755"/>
      <c r="CK294" s="1755"/>
      <c r="CL294" s="1755"/>
      <c r="CM294" s="1755"/>
      <c r="CN294" s="1756"/>
      <c r="CO294" s="1783"/>
    </row>
    <row r="295" spans="2:93" x14ac:dyDescent="0.2">
      <c r="B295" s="1707"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95" s="1707" t="s">
        <v>1123</v>
      </c>
      <c r="D295" s="1765" t="s">
        <v>1122</v>
      </c>
      <c r="E295" s="1714" t="s">
        <v>987</v>
      </c>
      <c r="F295" s="1747" t="str">
        <f>VLOOKUP(TBL5_OptBen[[#This Row],[Option Type (defined list)]],'Option Typs_Grps'!B$2:C$47, 2, FALSE)</f>
        <v>Customer Options</v>
      </c>
      <c r="G295" s="1747" t="s">
        <v>863</v>
      </c>
      <c r="H295" s="1707" t="s">
        <v>1457</v>
      </c>
      <c r="I295" s="1747" t="s">
        <v>88</v>
      </c>
      <c r="J295" s="1747" t="s">
        <v>236</v>
      </c>
      <c r="K295" s="1760">
        <v>2</v>
      </c>
      <c r="L295" s="1779"/>
      <c r="M295" s="1779"/>
      <c r="N295" s="1779">
        <v>0</v>
      </c>
      <c r="O295" s="1780">
        <v>0</v>
      </c>
      <c r="P295" s="1780">
        <v>0</v>
      </c>
      <c r="Q295" s="1779">
        <v>0</v>
      </c>
      <c r="R295" s="1779">
        <v>0.3924923376629863</v>
      </c>
      <c r="S295" s="1779">
        <v>0.89869818923500588</v>
      </c>
      <c r="T295" s="1779">
        <v>1.4329337923949765</v>
      </c>
      <c r="U295" s="1779">
        <v>2.0498898722319723</v>
      </c>
      <c r="V295" s="1779">
        <v>2.6688176557329939</v>
      </c>
      <c r="W295" s="1779">
        <v>3.3308395793119985</v>
      </c>
      <c r="X295" s="1779">
        <v>3.9953987912889488</v>
      </c>
      <c r="Y295" s="1779">
        <v>4.6481904925039998</v>
      </c>
      <c r="Z295" s="1779">
        <v>5.3052100090949921</v>
      </c>
      <c r="AA295" s="1779">
        <v>5.9492754186389902</v>
      </c>
      <c r="AB295" s="1779">
        <v>5.9340687684090199</v>
      </c>
      <c r="AC295" s="1779">
        <v>5.9198723915180267</v>
      </c>
      <c r="AD295" s="1779">
        <v>5.9077166858349983</v>
      </c>
      <c r="AE295" s="1779">
        <v>5.897255206924001</v>
      </c>
      <c r="AF295" s="1779">
        <v>5.8882750428390409</v>
      </c>
      <c r="AG295" s="1779">
        <v>5.827184490149989</v>
      </c>
      <c r="AH295" s="1779">
        <v>5.8166739062820056</v>
      </c>
      <c r="AI295" s="1779">
        <v>5.8067710572390183</v>
      </c>
      <c r="AJ295" s="1779">
        <v>5.799097413977961</v>
      </c>
      <c r="AK295" s="1779">
        <v>5.7931888720469829</v>
      </c>
      <c r="AL295" s="1779">
        <v>5.77375781856</v>
      </c>
      <c r="AM295" s="1779">
        <v>5.690923013375027</v>
      </c>
      <c r="AN295" s="1779">
        <v>5.6866651816879994</v>
      </c>
      <c r="AO295" s="1779">
        <v>5.6444545275359701</v>
      </c>
      <c r="AP295" s="1779">
        <v>5.6408730875230049</v>
      </c>
      <c r="AQ295" s="1779"/>
      <c r="AR295" s="1779"/>
      <c r="AS295" s="1779"/>
      <c r="AT295" s="1779"/>
      <c r="AU295" s="1779"/>
      <c r="AV295" s="1779"/>
      <c r="AW295" s="1779"/>
      <c r="AX295" s="1779"/>
      <c r="AY295" s="1779"/>
      <c r="AZ295" s="1779"/>
      <c r="BA295" s="1779"/>
      <c r="BB295" s="1779"/>
      <c r="BC295" s="1779"/>
      <c r="BD295" s="1779"/>
      <c r="BE295" s="1779"/>
      <c r="BF295" s="1779"/>
      <c r="BG295" s="1779"/>
      <c r="BH295" s="1779"/>
      <c r="BI295" s="1779"/>
      <c r="BJ295" s="1779"/>
      <c r="BK295" s="1779"/>
      <c r="BL295" s="1779"/>
      <c r="BM295" s="1779"/>
      <c r="BN295" s="1779"/>
      <c r="BO295" s="1779"/>
      <c r="BP295" s="1780"/>
      <c r="BQ295" s="1755"/>
      <c r="BR295" s="1755"/>
      <c r="BS295" s="1755"/>
      <c r="BT295" s="1755"/>
      <c r="BU295" s="1755"/>
      <c r="BV295" s="1755"/>
      <c r="BW295" s="1755"/>
      <c r="BX295" s="1755"/>
      <c r="BY295" s="1755"/>
      <c r="BZ295" s="1755"/>
      <c r="CA295" s="1755"/>
      <c r="CB295" s="1755"/>
      <c r="CC295" s="1755"/>
      <c r="CD295" s="1755"/>
      <c r="CE295" s="1755"/>
      <c r="CF295" s="1755"/>
      <c r="CG295" s="1755"/>
      <c r="CH295" s="1755"/>
      <c r="CI295" s="1755"/>
      <c r="CJ295" s="1755"/>
      <c r="CK295" s="1755"/>
      <c r="CL295" s="1755"/>
      <c r="CM295" s="1755"/>
      <c r="CN295" s="1756"/>
      <c r="CO295" s="1783"/>
    </row>
    <row r="296" spans="2:93" x14ac:dyDescent="0.2">
      <c r="B296" s="1707"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296" s="1703" t="s">
        <v>1082</v>
      </c>
      <c r="D296" s="1765" t="s">
        <v>1081</v>
      </c>
      <c r="E296" s="1723" t="s">
        <v>860</v>
      </c>
      <c r="F296" s="1747" t="str">
        <f>VLOOKUP(TBL5_OptBen[[#This Row],[Option Type (defined list)]],'Option Typs_Grps'!B$2:C$47, 2, FALSE)</f>
        <v>Distribution Options</v>
      </c>
      <c r="G296" s="1747" t="s">
        <v>863</v>
      </c>
      <c r="H296" s="1707" t="s">
        <v>1457</v>
      </c>
      <c r="I296" s="1747" t="s">
        <v>88</v>
      </c>
      <c r="J296" s="1747" t="s">
        <v>236</v>
      </c>
      <c r="K296" s="1760">
        <v>2</v>
      </c>
      <c r="L296" s="1779"/>
      <c r="M296" s="1779"/>
      <c r="N296" s="1779">
        <v>0</v>
      </c>
      <c r="O296" s="1780">
        <v>0</v>
      </c>
      <c r="P296" s="1780">
        <v>0</v>
      </c>
      <c r="Q296" s="1779">
        <v>0</v>
      </c>
      <c r="R296" s="1779">
        <v>0.20073762673171558</v>
      </c>
      <c r="S296" s="1779">
        <v>0.29801494813901996</v>
      </c>
      <c r="T296" s="1779">
        <v>0.51191100626656549</v>
      </c>
      <c r="U296" s="1779">
        <v>0.75059362418681985</v>
      </c>
      <c r="V296" s="1779">
        <v>0.97522665298276934</v>
      </c>
      <c r="W296" s="1779">
        <v>1.2145459467451332</v>
      </c>
      <c r="X296" s="1779">
        <v>1.4687096962615058</v>
      </c>
      <c r="Y296" s="1779">
        <v>1.7256591258397194</v>
      </c>
      <c r="Z296" s="1779">
        <v>1.9857823804679029</v>
      </c>
      <c r="AA296" s="1779">
        <v>2.2479190307479442</v>
      </c>
      <c r="AB296" s="1779">
        <v>2.5806751697819195</v>
      </c>
      <c r="AC296" s="1779">
        <v>2.9813902851822078</v>
      </c>
      <c r="AD296" s="1779">
        <v>3.3809279878573832</v>
      </c>
      <c r="AE296" s="1779">
        <v>3.7792671091138459</v>
      </c>
      <c r="AF296" s="1779">
        <v>4.1763729228050295</v>
      </c>
      <c r="AG296" s="1779">
        <v>4.5722173257201035</v>
      </c>
      <c r="AH296" s="1779">
        <v>4.9667536497860567</v>
      </c>
      <c r="AI296" s="1779">
        <v>5.3599507409911631</v>
      </c>
      <c r="AJ296" s="1779">
        <v>5.751775386922688</v>
      </c>
      <c r="AK296" s="1779">
        <v>6.1421917847893326</v>
      </c>
      <c r="AL296" s="1779">
        <v>6.5311798575882065</v>
      </c>
      <c r="AM296" s="1779">
        <v>6.9187030262528495</v>
      </c>
      <c r="AN296" s="1779">
        <v>7.304730563180577</v>
      </c>
      <c r="AO296" s="1779">
        <v>7.689232706873689</v>
      </c>
      <c r="AP296" s="1779">
        <v>8.0721821576318078</v>
      </c>
      <c r="AQ296" s="1779"/>
      <c r="AR296" s="1779"/>
      <c r="AS296" s="1779"/>
      <c r="AT296" s="1779"/>
      <c r="AU296" s="1779"/>
      <c r="AV296" s="1779"/>
      <c r="AW296" s="1779"/>
      <c r="AX296" s="1779"/>
      <c r="AY296" s="1779"/>
      <c r="AZ296" s="1779"/>
      <c r="BA296" s="1779"/>
      <c r="BB296" s="1779"/>
      <c r="BC296" s="1779"/>
      <c r="BD296" s="1779"/>
      <c r="BE296" s="1779"/>
      <c r="BF296" s="1779"/>
      <c r="BG296" s="1779"/>
      <c r="BH296" s="1779"/>
      <c r="BI296" s="1779"/>
      <c r="BJ296" s="1779"/>
      <c r="BK296" s="1779"/>
      <c r="BL296" s="1779"/>
      <c r="BM296" s="1779"/>
      <c r="BN296" s="1779"/>
      <c r="BO296" s="1779"/>
      <c r="BP296" s="1780"/>
      <c r="BQ296" s="1755"/>
      <c r="BR296" s="1755"/>
      <c r="BS296" s="1755"/>
      <c r="BT296" s="1755"/>
      <c r="BU296" s="1755"/>
      <c r="BV296" s="1755"/>
      <c r="BW296" s="1755"/>
      <c r="BX296" s="1755"/>
      <c r="BY296" s="1755"/>
      <c r="BZ296" s="1755"/>
      <c r="CA296" s="1755"/>
      <c r="CB296" s="1755"/>
      <c r="CC296" s="1755"/>
      <c r="CD296" s="1755"/>
      <c r="CE296" s="1755"/>
      <c r="CF296" s="1755"/>
      <c r="CG296" s="1755"/>
      <c r="CH296" s="1755"/>
      <c r="CI296" s="1755"/>
      <c r="CJ296" s="1755"/>
      <c r="CK296" s="1755"/>
      <c r="CL296" s="1755"/>
      <c r="CM296" s="1755"/>
      <c r="CN296" s="1756"/>
      <c r="CO296" s="1783"/>
    </row>
    <row r="297" spans="2:93" ht="15" x14ac:dyDescent="0.25">
      <c r="B297" s="1707"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97" s="1703" t="s">
        <v>1119</v>
      </c>
      <c r="D297" s="1765" t="s">
        <v>1118</v>
      </c>
      <c r="E297" s="1723" t="s">
        <v>1099</v>
      </c>
      <c r="F297" s="1747" t="str">
        <f>VLOOKUP(TBL5_OptBen[[#This Row],[Option Type (defined list)]],'Option Typs_Grps'!B$2:C$47, 2, FALSE)</f>
        <v>Customer Options</v>
      </c>
      <c r="G297" s="1747" t="s">
        <v>863</v>
      </c>
      <c r="H297" s="1707" t="s">
        <v>1457</v>
      </c>
      <c r="I297" s="1747" t="s">
        <v>88</v>
      </c>
      <c r="J297" s="1747" t="s">
        <v>236</v>
      </c>
      <c r="K297" s="1760">
        <v>2</v>
      </c>
      <c r="L297" s="1779"/>
      <c r="M297" s="1779"/>
      <c r="N297" s="1779">
        <v>0</v>
      </c>
      <c r="O297" s="1780">
        <v>0</v>
      </c>
      <c r="P297" s="1780">
        <v>0</v>
      </c>
      <c r="Q297" s="1779">
        <v>0</v>
      </c>
      <c r="R297" s="1779">
        <v>0.29382917326828861</v>
      </c>
      <c r="S297" s="1779">
        <v>0.69111865186097721</v>
      </c>
      <c r="T297" s="1779">
        <v>0.97178939373343498</v>
      </c>
      <c r="U297" s="1779">
        <v>1.227673575813184</v>
      </c>
      <c r="V297" s="1779">
        <v>1.4976073470172411</v>
      </c>
      <c r="W297" s="1779">
        <v>1.7528548532548744</v>
      </c>
      <c r="X297" s="1779">
        <v>1.9932579037385003</v>
      </c>
      <c r="Y297" s="1779">
        <v>2.2308752741602946</v>
      </c>
      <c r="Z297" s="1779">
        <v>2.4653188195321061</v>
      </c>
      <c r="AA297" s="1779">
        <v>2.6977489692520633</v>
      </c>
      <c r="AB297" s="1779">
        <v>2.8595596302180972</v>
      </c>
      <c r="AC297" s="1779">
        <v>2.9534113148178083</v>
      </c>
      <c r="AD297" s="1779">
        <v>3.0484404121426358</v>
      </c>
      <c r="AE297" s="1779">
        <v>3.1446680908861695</v>
      </c>
      <c r="AF297" s="1779">
        <v>3.2421290771949862</v>
      </c>
      <c r="AG297" s="1779">
        <v>3.3408514742799129</v>
      </c>
      <c r="AH297" s="1779">
        <v>3.4408819502139698</v>
      </c>
      <c r="AI297" s="1779">
        <v>3.5422516590088637</v>
      </c>
      <c r="AJ297" s="1779">
        <v>3.6449938130773338</v>
      </c>
      <c r="AK297" s="1779">
        <v>3.7491442152106935</v>
      </c>
      <c r="AL297" s="1779">
        <v>3.8547229424118234</v>
      </c>
      <c r="AM297" s="1779">
        <v>3.9617665737471786</v>
      </c>
      <c r="AN297" s="1779">
        <v>4.0703058368194487</v>
      </c>
      <c r="AO297" s="1779">
        <v>4.1803704931263326</v>
      </c>
      <c r="AP297" s="1779">
        <v>4.2919878423681972</v>
      </c>
      <c r="AQ297" s="1779"/>
      <c r="AR297" s="1779"/>
      <c r="AS297" s="1779"/>
      <c r="AT297" s="1779"/>
      <c r="AU297" s="1779"/>
      <c r="AV297" s="1779"/>
      <c r="AW297" s="1779"/>
      <c r="AX297" s="1779"/>
      <c r="AY297" s="1779"/>
      <c r="AZ297" s="1779"/>
      <c r="BA297" s="1779"/>
      <c r="BB297" s="1779"/>
      <c r="BC297" s="1779"/>
      <c r="BD297" s="1779"/>
      <c r="BE297" s="1779"/>
      <c r="BF297" s="1779"/>
      <c r="BG297" s="1779"/>
      <c r="BH297" s="1779"/>
      <c r="BI297" s="1779"/>
      <c r="BJ297" s="1779"/>
      <c r="BK297" s="1779"/>
      <c r="BL297" s="1779"/>
      <c r="BM297" s="1779"/>
      <c r="BN297" s="1779"/>
      <c r="BO297" s="1779"/>
      <c r="BP297" s="1780"/>
      <c r="BQ297" s="1755"/>
      <c r="BR297" s="1755"/>
      <c r="BS297" s="1755"/>
      <c r="BT297" s="1755"/>
      <c r="BU297" s="1755"/>
      <c r="BV297" s="1755"/>
      <c r="BW297" s="1755"/>
      <c r="BX297" s="1755"/>
      <c r="BY297" s="1755"/>
      <c r="BZ297" s="1755"/>
      <c r="CA297" s="1755"/>
      <c r="CB297" s="1755"/>
      <c r="CC297" s="1755"/>
      <c r="CD297" s="1755"/>
      <c r="CE297" s="1755"/>
      <c r="CF297" s="1755"/>
      <c r="CG297" s="1755"/>
      <c r="CH297" s="1755"/>
      <c r="CI297" s="1755"/>
      <c r="CJ297" s="1755"/>
      <c r="CK297" s="1755"/>
      <c r="CL297" s="1755"/>
      <c r="CM297" s="1755"/>
      <c r="CN297" s="1756"/>
      <c r="CO297" s="1783"/>
    </row>
    <row r="298" spans="2:93" x14ac:dyDescent="0.2">
      <c r="B298" s="1707"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98" s="1707" t="s">
        <v>1125</v>
      </c>
      <c r="D298" s="1765" t="s">
        <v>1474</v>
      </c>
      <c r="E298" s="1714" t="s">
        <v>987</v>
      </c>
      <c r="F298" s="1747" t="str">
        <f>VLOOKUP(TBL5_OptBen[[#This Row],[Option Type (defined list)]],'Option Typs_Grps'!B$2:C$47, 2, FALSE)</f>
        <v>Customer Options</v>
      </c>
      <c r="G298" s="1747" t="s">
        <v>863</v>
      </c>
      <c r="H298" s="1707" t="s">
        <v>1457</v>
      </c>
      <c r="I298" s="1747" t="s">
        <v>88</v>
      </c>
      <c r="J298" s="1747" t="s">
        <v>236</v>
      </c>
      <c r="K298" s="1760">
        <v>2</v>
      </c>
      <c r="L298" s="1779"/>
      <c r="M298" s="1779"/>
      <c r="N298" s="1779">
        <v>0</v>
      </c>
      <c r="O298" s="1780">
        <v>0</v>
      </c>
      <c r="P298" s="1780">
        <v>0</v>
      </c>
      <c r="Q298" s="1779">
        <v>0</v>
      </c>
      <c r="R298" s="1779">
        <v>0.21881778981997968</v>
      </c>
      <c r="S298" s="1779">
        <v>0.4376355796400162</v>
      </c>
      <c r="T298" s="1779">
        <v>0.65645336946005273</v>
      </c>
      <c r="U298" s="1779">
        <v>0.87527115927997556</v>
      </c>
      <c r="V298" s="1779">
        <v>1.0940889491000121</v>
      </c>
      <c r="W298" s="1779">
        <v>1.5919921443120302</v>
      </c>
      <c r="X298" s="1779">
        <v>2.0898953395249578</v>
      </c>
      <c r="Y298" s="1779">
        <v>2.5877985347369759</v>
      </c>
      <c r="Z298" s="1779">
        <v>3.0857017299500171</v>
      </c>
      <c r="AA298" s="1779">
        <v>3.5836049251619784</v>
      </c>
      <c r="AB298" s="1779">
        <v>4.0541975499959904</v>
      </c>
      <c r="AC298" s="1779">
        <v>4.5247901748300023</v>
      </c>
      <c r="AD298" s="1779">
        <v>4.9953827996629911</v>
      </c>
      <c r="AE298" s="1779">
        <v>4.9953827996629911</v>
      </c>
      <c r="AF298" s="1779">
        <v>4.995382799663048</v>
      </c>
      <c r="AG298" s="1779">
        <v>4.9953827996620248</v>
      </c>
      <c r="AH298" s="1779">
        <v>4.9953827996620248</v>
      </c>
      <c r="AI298" s="1779">
        <v>4.9953827996629911</v>
      </c>
      <c r="AJ298" s="1779">
        <v>4.9953827996620248</v>
      </c>
      <c r="AK298" s="1779">
        <v>4.995382799661968</v>
      </c>
      <c r="AL298" s="1779">
        <v>4.9953827996629911</v>
      </c>
      <c r="AM298" s="1779">
        <v>4.995382799661968</v>
      </c>
      <c r="AN298" s="1779">
        <v>4.9953827996620248</v>
      </c>
      <c r="AO298" s="1779">
        <v>4.995382799663048</v>
      </c>
      <c r="AP298" s="1779">
        <v>4.9953827996620248</v>
      </c>
      <c r="AQ298" s="1779"/>
      <c r="AR298" s="1779"/>
      <c r="AS298" s="1779"/>
      <c r="AT298" s="1779"/>
      <c r="AU298" s="1779"/>
      <c r="AV298" s="1779"/>
      <c r="AW298" s="1779"/>
      <c r="AX298" s="1779"/>
      <c r="AY298" s="1779"/>
      <c r="AZ298" s="1779"/>
      <c r="BA298" s="1779"/>
      <c r="BB298" s="1779"/>
      <c r="BC298" s="1779"/>
      <c r="BD298" s="1779"/>
      <c r="BE298" s="1779"/>
      <c r="BF298" s="1779"/>
      <c r="BG298" s="1779"/>
      <c r="BH298" s="1779"/>
      <c r="BI298" s="1779"/>
      <c r="BJ298" s="1779"/>
      <c r="BK298" s="1779"/>
      <c r="BL298" s="1779"/>
      <c r="BM298" s="1779"/>
      <c r="BN298" s="1779"/>
      <c r="BO298" s="1779"/>
      <c r="BP298" s="1780"/>
      <c r="BQ298" s="1755"/>
      <c r="BR298" s="1755"/>
      <c r="BS298" s="1755"/>
      <c r="BT298" s="1755"/>
      <c r="BU298" s="1755"/>
      <c r="BV298" s="1755"/>
      <c r="BW298" s="1755"/>
      <c r="BX298" s="1755"/>
      <c r="BY298" s="1755"/>
      <c r="BZ298" s="1755"/>
      <c r="CA298" s="1755"/>
      <c r="CB298" s="1755"/>
      <c r="CC298" s="1755"/>
      <c r="CD298" s="1755"/>
      <c r="CE298" s="1755"/>
      <c r="CF298" s="1755"/>
      <c r="CG298" s="1755"/>
      <c r="CH298" s="1755"/>
      <c r="CI298" s="1755"/>
      <c r="CJ298" s="1755"/>
      <c r="CK298" s="1755"/>
      <c r="CL298" s="1755"/>
      <c r="CM298" s="1755"/>
      <c r="CN298" s="1756"/>
      <c r="CO298" s="1783"/>
    </row>
    <row r="299" spans="2:93" x14ac:dyDescent="0.2">
      <c r="B299" s="1707"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299" s="1703" t="s">
        <v>1079</v>
      </c>
      <c r="D299" s="1765" t="s">
        <v>1078</v>
      </c>
      <c r="E299" s="1714" t="s">
        <v>987</v>
      </c>
      <c r="F299" s="1747" t="str">
        <f>VLOOKUP(TBL5_OptBen[[#This Row],[Option Type (defined list)]],'Option Typs_Grps'!B$2:C$47, 2, FALSE)</f>
        <v>Customer Options</v>
      </c>
      <c r="G299" s="1747" t="s">
        <v>863</v>
      </c>
      <c r="H299" s="1707" t="s">
        <v>1457</v>
      </c>
      <c r="I299" s="1747" t="s">
        <v>88</v>
      </c>
      <c r="J299" s="1747" t="s">
        <v>236</v>
      </c>
      <c r="K299" s="1760">
        <v>2</v>
      </c>
      <c r="L299" s="1779"/>
      <c r="M299" s="1779"/>
      <c r="N299" s="1779">
        <v>0</v>
      </c>
      <c r="O299" s="1780">
        <v>0</v>
      </c>
      <c r="P299" s="1780">
        <v>0</v>
      </c>
      <c r="Q299" s="1779">
        <v>0</v>
      </c>
      <c r="R299" s="1779">
        <v>0</v>
      </c>
      <c r="S299" s="1779">
        <v>0</v>
      </c>
      <c r="T299" s="1779">
        <v>0.59987779025402688</v>
      </c>
      <c r="U299" s="1779">
        <v>1.1974770082609894</v>
      </c>
      <c r="V299" s="1779">
        <v>1.794592738115</v>
      </c>
      <c r="W299" s="1779">
        <v>2.3821657852000158</v>
      </c>
      <c r="X299" s="1779">
        <v>2.9708490950779947</v>
      </c>
      <c r="Y299" s="1779">
        <v>3.5502161519579545</v>
      </c>
      <c r="Z299" s="1779">
        <v>4.7817647159629928</v>
      </c>
      <c r="AA299" s="1779">
        <v>5.9977293890730152</v>
      </c>
      <c r="AB299" s="1779">
        <v>7.2140606238340297</v>
      </c>
      <c r="AC299" s="1779">
        <v>8.4272968684659872</v>
      </c>
      <c r="AD299" s="1779">
        <v>9.6362828601490378</v>
      </c>
      <c r="AE299" s="1779">
        <v>10.843386621460979</v>
      </c>
      <c r="AF299" s="1779">
        <v>12.049227284313019</v>
      </c>
      <c r="AG299" s="1779">
        <v>13.133936390835004</v>
      </c>
      <c r="AH299" s="1779">
        <v>14.317832073316026</v>
      </c>
      <c r="AI299" s="1779">
        <v>15.500731567574974</v>
      </c>
      <c r="AJ299" s="1779">
        <v>15.885754161050045</v>
      </c>
      <c r="AK299" s="1779">
        <v>16.276372133927964</v>
      </c>
      <c r="AL299" s="1779">
        <v>16.627234504373007</v>
      </c>
      <c r="AM299" s="1779">
        <v>16.788341602771993</v>
      </c>
      <c r="AN299" s="1779">
        <v>17.175152163831001</v>
      </c>
      <c r="AO299" s="1779">
        <v>17.444088101313014</v>
      </c>
      <c r="AP299" s="1779">
        <v>17.829206713579993</v>
      </c>
      <c r="AQ299" s="1779"/>
      <c r="AR299" s="1779"/>
      <c r="AS299" s="1779"/>
      <c r="AT299" s="1779"/>
      <c r="AU299" s="1779"/>
      <c r="AV299" s="1779"/>
      <c r="AW299" s="1779"/>
      <c r="AX299" s="1779"/>
      <c r="AY299" s="1779"/>
      <c r="AZ299" s="1779"/>
      <c r="BA299" s="1779"/>
      <c r="BB299" s="1779"/>
      <c r="BC299" s="1779"/>
      <c r="BD299" s="1779"/>
      <c r="BE299" s="1779"/>
      <c r="BF299" s="1779"/>
      <c r="BG299" s="1779"/>
      <c r="BH299" s="1779"/>
      <c r="BI299" s="1779"/>
      <c r="BJ299" s="1779"/>
      <c r="BK299" s="1779"/>
      <c r="BL299" s="1779"/>
      <c r="BM299" s="1779"/>
      <c r="BN299" s="1779"/>
      <c r="BO299" s="1779"/>
      <c r="BP299" s="1780"/>
      <c r="BQ299" s="1755"/>
      <c r="BR299" s="1755"/>
      <c r="BS299" s="1755"/>
      <c r="BT299" s="1755"/>
      <c r="BU299" s="1755"/>
      <c r="BV299" s="1755"/>
      <c r="BW299" s="1755"/>
      <c r="BX299" s="1755"/>
      <c r="BY299" s="1755"/>
      <c r="BZ299" s="1755"/>
      <c r="CA299" s="1755"/>
      <c r="CB299" s="1755"/>
      <c r="CC299" s="1755"/>
      <c r="CD299" s="1755"/>
      <c r="CE299" s="1755"/>
      <c r="CF299" s="1755"/>
      <c r="CG299" s="1755"/>
      <c r="CH299" s="1755"/>
      <c r="CI299" s="1755"/>
      <c r="CJ299" s="1755"/>
      <c r="CK299" s="1755"/>
      <c r="CL299" s="1755"/>
      <c r="CM299" s="1755"/>
      <c r="CN299" s="1756"/>
      <c r="CO299" s="1783"/>
    </row>
    <row r="300" spans="2:93" ht="15" x14ac:dyDescent="0.25">
      <c r="B300" s="1707"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00" s="1703" t="s">
        <v>1067</v>
      </c>
      <c r="D300" s="1765" t="s">
        <v>1066</v>
      </c>
      <c r="E300" s="1723" t="s">
        <v>1068</v>
      </c>
      <c r="F300" s="1747" t="str">
        <f>VLOOKUP(TBL5_OptBen[[#This Row],[Option Type (defined list)]],'Option Typs_Grps'!B$2:C$47, 2, FALSE)</f>
        <v>Customer Options</v>
      </c>
      <c r="G300" s="1747" t="s">
        <v>863</v>
      </c>
      <c r="H300" s="1707" t="s">
        <v>1457</v>
      </c>
      <c r="I300" s="1747" t="s">
        <v>93</v>
      </c>
      <c r="J300" s="1747" t="s">
        <v>236</v>
      </c>
      <c r="K300" s="1760">
        <v>2</v>
      </c>
      <c r="L300" s="1779"/>
      <c r="M300" s="1779"/>
      <c r="N300" s="1779">
        <v>0</v>
      </c>
      <c r="O300" s="1780">
        <v>0</v>
      </c>
      <c r="P300" s="1780">
        <v>0</v>
      </c>
      <c r="Q300" s="1779">
        <v>0</v>
      </c>
      <c r="R300" s="1779">
        <v>-1.239423019077545E-2</v>
      </c>
      <c r="S300" s="1779">
        <v>-2.6197635865993579E-2</v>
      </c>
      <c r="T300" s="1779">
        <v>-2.9348911188556148E-2</v>
      </c>
      <c r="U300" s="1779">
        <v>-3.2194129703357999E-2</v>
      </c>
      <c r="V300" s="1779">
        <v>-4.3354738690610239E-3</v>
      </c>
      <c r="W300" s="1779">
        <v>4.7866620393365089E-2</v>
      </c>
      <c r="X300" s="1779">
        <v>7.166159097846736E-2</v>
      </c>
      <c r="Y300" s="1779">
        <v>8.3740839638092646E-2</v>
      </c>
      <c r="Z300" s="1779">
        <v>9.435644887196748E-2</v>
      </c>
      <c r="AA300" s="1779">
        <v>0.10431333255891417</v>
      </c>
      <c r="AB300" s="1779">
        <v>0.10346768948320517</v>
      </c>
      <c r="AC300" s="1779">
        <v>0.10274879289052752</v>
      </c>
      <c r="AD300" s="1779">
        <v>0.1021515708056735</v>
      </c>
      <c r="AE300" s="1779">
        <v>0.1016145597188165</v>
      </c>
      <c r="AF300" s="1779">
        <v>0.10101919097799095</v>
      </c>
      <c r="AG300" s="1779">
        <v>0.1003093338119303</v>
      </c>
      <c r="AH300" s="1779">
        <v>9.983590642150042E-2</v>
      </c>
      <c r="AI300" s="1779">
        <v>9.942483494829335E-2</v>
      </c>
      <c r="AJ300" s="1779">
        <v>9.9409754245551651E-2</v>
      </c>
      <c r="AK300" s="1779">
        <v>9.9437109876129304E-2</v>
      </c>
      <c r="AL300" s="1779">
        <v>9.9466811409989475E-2</v>
      </c>
      <c r="AM300" s="1779">
        <v>9.9550088853337382E-2</v>
      </c>
      <c r="AN300" s="1779">
        <v>9.9652709035356724E-2</v>
      </c>
      <c r="AO300" s="1779">
        <v>9.9774774146949019E-2</v>
      </c>
      <c r="AP300" s="1779">
        <v>9.9895984993572107E-2</v>
      </c>
      <c r="AQ300" s="1779"/>
      <c r="AR300" s="1779"/>
      <c r="AS300" s="1779"/>
      <c r="AT300" s="1779"/>
      <c r="AU300" s="1779"/>
      <c r="AV300" s="1779"/>
      <c r="AW300" s="1779"/>
      <c r="AX300" s="1779"/>
      <c r="AY300" s="1779"/>
      <c r="AZ300" s="1779"/>
      <c r="BA300" s="1779"/>
      <c r="BB300" s="1779"/>
      <c r="BC300" s="1779"/>
      <c r="BD300" s="1779"/>
      <c r="BE300" s="1779"/>
      <c r="BF300" s="1779"/>
      <c r="BG300" s="1779"/>
      <c r="BH300" s="1779"/>
      <c r="BI300" s="1779"/>
      <c r="BJ300" s="1779"/>
      <c r="BK300" s="1779"/>
      <c r="BL300" s="1779"/>
      <c r="BM300" s="1779"/>
      <c r="BN300" s="1779"/>
      <c r="BO300" s="1779"/>
      <c r="BP300" s="1780"/>
      <c r="BQ300" s="1755"/>
      <c r="BR300" s="1755"/>
      <c r="BS300" s="1755"/>
      <c r="BT300" s="1755"/>
      <c r="BU300" s="1755"/>
      <c r="BV300" s="1755"/>
      <c r="BW300" s="1755"/>
      <c r="BX300" s="1755"/>
      <c r="BY300" s="1755"/>
      <c r="BZ300" s="1755"/>
      <c r="CA300" s="1755"/>
      <c r="CB300" s="1755"/>
      <c r="CC300" s="1755"/>
      <c r="CD300" s="1755"/>
      <c r="CE300" s="1755"/>
      <c r="CF300" s="1755"/>
      <c r="CG300" s="1755"/>
      <c r="CH300" s="1755"/>
      <c r="CI300" s="1755"/>
      <c r="CJ300" s="1755"/>
      <c r="CK300" s="1755"/>
      <c r="CL300" s="1755"/>
      <c r="CM300" s="1755"/>
      <c r="CN300" s="1756"/>
      <c r="CO300" s="1783"/>
    </row>
    <row r="301" spans="2:93" ht="15" x14ac:dyDescent="0.25">
      <c r="B301" s="1707"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01" s="1703" t="s">
        <v>1075</v>
      </c>
      <c r="D301" s="1765" t="s">
        <v>1074</v>
      </c>
      <c r="E301" s="1723" t="s">
        <v>987</v>
      </c>
      <c r="F301" s="1747" t="str">
        <f>VLOOKUP(TBL5_OptBen[[#This Row],[Option Type (defined list)]],'Option Typs_Grps'!B$2:C$47, 2, FALSE)</f>
        <v>Customer Options</v>
      </c>
      <c r="G301" s="1747" t="s">
        <v>863</v>
      </c>
      <c r="H301" s="1707" t="s">
        <v>1457</v>
      </c>
      <c r="I301" s="1747" t="s">
        <v>93</v>
      </c>
      <c r="J301" s="1747" t="s">
        <v>236</v>
      </c>
      <c r="K301" s="1760">
        <v>2</v>
      </c>
      <c r="L301" s="1779"/>
      <c r="M301" s="1779"/>
      <c r="N301" s="1779">
        <v>0</v>
      </c>
      <c r="O301" s="1780">
        <v>0</v>
      </c>
      <c r="P301" s="1780">
        <v>0</v>
      </c>
      <c r="Q301" s="1779">
        <v>0</v>
      </c>
      <c r="R301" s="1779">
        <v>3.5689960635599149E-2</v>
      </c>
      <c r="S301" s="1779">
        <v>7.0850369439400041E-2</v>
      </c>
      <c r="T301" s="1779">
        <v>0.10570749970590043</v>
      </c>
      <c r="U301" s="1779">
        <v>0.14014606036050026</v>
      </c>
      <c r="V301" s="1779">
        <v>0.17382879107720051</v>
      </c>
      <c r="W301" s="1779">
        <v>0.20583829676770016</v>
      </c>
      <c r="X301" s="1779">
        <v>0.23781771826189946</v>
      </c>
      <c r="Y301" s="1779">
        <v>0.26963649374980037</v>
      </c>
      <c r="Z301" s="1779">
        <v>0.3011656579377</v>
      </c>
      <c r="AA301" s="1779">
        <v>0.33249119538979954</v>
      </c>
      <c r="AB301" s="1779">
        <v>0.34078230931220155</v>
      </c>
      <c r="AC301" s="1779">
        <v>0.34896819786899869</v>
      </c>
      <c r="AD301" s="1779">
        <v>0.35726778101169998</v>
      </c>
      <c r="AE301" s="1779">
        <v>0.3656342848338987</v>
      </c>
      <c r="AF301" s="1779">
        <v>0.37379066380550086</v>
      </c>
      <c r="AG301" s="1779">
        <v>0.38159369376059971</v>
      </c>
      <c r="AH301" s="1779">
        <v>0.38953120982329992</v>
      </c>
      <c r="AI301" s="1779">
        <v>0.3974834677502006</v>
      </c>
      <c r="AJ301" s="1779">
        <v>0.40547642921410088</v>
      </c>
      <c r="AK301" s="1779">
        <v>0.41348851048780055</v>
      </c>
      <c r="AL301" s="1779">
        <v>0.42116409856060066</v>
      </c>
      <c r="AM301" s="1779">
        <v>0.42885439317410068</v>
      </c>
      <c r="AN301" s="1779">
        <v>0.4366501854895013</v>
      </c>
      <c r="AO301" s="1779">
        <v>0.44453823180630003</v>
      </c>
      <c r="AP301" s="1779">
        <v>0.44401369463800044</v>
      </c>
      <c r="AQ301" s="1779"/>
      <c r="AR301" s="1779"/>
      <c r="AS301" s="1779"/>
      <c r="AT301" s="1779"/>
      <c r="AU301" s="1779"/>
      <c r="AV301" s="1779"/>
      <c r="AW301" s="1779"/>
      <c r="AX301" s="1779"/>
      <c r="AY301" s="1779"/>
      <c r="AZ301" s="1779"/>
      <c r="BA301" s="1779"/>
      <c r="BB301" s="1779"/>
      <c r="BC301" s="1779"/>
      <c r="BD301" s="1779"/>
      <c r="BE301" s="1779"/>
      <c r="BF301" s="1779"/>
      <c r="BG301" s="1779"/>
      <c r="BH301" s="1779"/>
      <c r="BI301" s="1779"/>
      <c r="BJ301" s="1779"/>
      <c r="BK301" s="1779"/>
      <c r="BL301" s="1779"/>
      <c r="BM301" s="1779"/>
      <c r="BN301" s="1779"/>
      <c r="BO301" s="1779"/>
      <c r="BP301" s="1780"/>
      <c r="BQ301" s="1755"/>
      <c r="BR301" s="1755"/>
      <c r="BS301" s="1755"/>
      <c r="BT301" s="1755"/>
      <c r="BU301" s="1755"/>
      <c r="BV301" s="1755"/>
      <c r="BW301" s="1755"/>
      <c r="BX301" s="1755"/>
      <c r="BY301" s="1755"/>
      <c r="BZ301" s="1755"/>
      <c r="CA301" s="1755"/>
      <c r="CB301" s="1755"/>
      <c r="CC301" s="1755"/>
      <c r="CD301" s="1755"/>
      <c r="CE301" s="1755"/>
      <c r="CF301" s="1755"/>
      <c r="CG301" s="1755"/>
      <c r="CH301" s="1755"/>
      <c r="CI301" s="1755"/>
      <c r="CJ301" s="1755"/>
      <c r="CK301" s="1755"/>
      <c r="CL301" s="1755"/>
      <c r="CM301" s="1755"/>
      <c r="CN301" s="1756"/>
      <c r="CO301" s="1783"/>
    </row>
    <row r="302" spans="2:93" x14ac:dyDescent="0.2">
      <c r="B302" s="1707"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02" s="1707" t="s">
        <v>1123</v>
      </c>
      <c r="D302" s="1765" t="s">
        <v>1122</v>
      </c>
      <c r="E302" s="1714" t="s">
        <v>987</v>
      </c>
      <c r="F302" s="1747" t="str">
        <f>VLOOKUP(TBL5_OptBen[[#This Row],[Option Type (defined list)]],'Option Typs_Grps'!B$2:C$47, 2, FALSE)</f>
        <v>Customer Options</v>
      </c>
      <c r="G302" s="1747" t="s">
        <v>863</v>
      </c>
      <c r="H302" s="1707" t="s">
        <v>1457</v>
      </c>
      <c r="I302" s="1747" t="s">
        <v>93</v>
      </c>
      <c r="J302" s="1747" t="s">
        <v>236</v>
      </c>
      <c r="K302" s="1760">
        <v>2</v>
      </c>
      <c r="L302" s="1779"/>
      <c r="M302" s="1779"/>
      <c r="N302" s="1779">
        <v>0</v>
      </c>
      <c r="O302" s="1780">
        <v>0</v>
      </c>
      <c r="P302" s="1780">
        <v>0</v>
      </c>
      <c r="Q302" s="1779">
        <v>0</v>
      </c>
      <c r="R302" s="1779">
        <v>1.3178471333400665E-2</v>
      </c>
      <c r="S302" s="1779">
        <v>3.9369086072099435E-2</v>
      </c>
      <c r="T302" s="1779">
        <v>4.3887993163000516E-2</v>
      </c>
      <c r="U302" s="1779">
        <v>8.3937061854401307E-2</v>
      </c>
      <c r="V302" s="1779">
        <v>0.12562484537389906</v>
      </c>
      <c r="W302" s="1779">
        <v>0.14181290059669927</v>
      </c>
      <c r="X302" s="1779">
        <v>0.15804796262260012</v>
      </c>
      <c r="Y302" s="1779">
        <v>0.17419540958569968</v>
      </c>
      <c r="Z302" s="1779">
        <v>0.19019893628089868</v>
      </c>
      <c r="AA302" s="1779">
        <v>0.2060964717269993</v>
      </c>
      <c r="AB302" s="1779">
        <v>0.20549936133209989</v>
      </c>
      <c r="AC302" s="1779">
        <v>0.20485197174890146</v>
      </c>
      <c r="AD302" s="1779">
        <v>0.20427678766820101</v>
      </c>
      <c r="AE302" s="1779">
        <v>0.20376090528110069</v>
      </c>
      <c r="AF302" s="1779">
        <v>0.20317404311090037</v>
      </c>
      <c r="AG302" s="1779">
        <v>0.20256742403909911</v>
      </c>
      <c r="AH302" s="1779">
        <v>0.20204244947000127</v>
      </c>
      <c r="AI302" s="1779">
        <v>0.20154988315639955</v>
      </c>
      <c r="AJ302" s="1779">
        <v>0.20109600900439872</v>
      </c>
      <c r="AK302" s="1779">
        <v>0.2006715365935996</v>
      </c>
      <c r="AL302" s="1779">
        <v>0.20025402051919983</v>
      </c>
      <c r="AM302" s="1779">
        <v>0.19986082533180038</v>
      </c>
      <c r="AN302" s="1779">
        <v>0.19953306732709919</v>
      </c>
      <c r="AO302" s="1779">
        <v>0.19926368990329912</v>
      </c>
      <c r="AP302" s="1779">
        <v>0.20748931640120105</v>
      </c>
      <c r="AQ302" s="1779"/>
      <c r="AR302" s="1779"/>
      <c r="AS302" s="1779"/>
      <c r="AT302" s="1779"/>
      <c r="AU302" s="1779"/>
      <c r="AV302" s="1779"/>
      <c r="AW302" s="1779"/>
      <c r="AX302" s="1779"/>
      <c r="AY302" s="1779"/>
      <c r="AZ302" s="1779"/>
      <c r="BA302" s="1779"/>
      <c r="BB302" s="1779"/>
      <c r="BC302" s="1779"/>
      <c r="BD302" s="1779"/>
      <c r="BE302" s="1779"/>
      <c r="BF302" s="1779"/>
      <c r="BG302" s="1779"/>
      <c r="BH302" s="1779"/>
      <c r="BI302" s="1779"/>
      <c r="BJ302" s="1779"/>
      <c r="BK302" s="1779"/>
      <c r="BL302" s="1779"/>
      <c r="BM302" s="1779"/>
      <c r="BN302" s="1779"/>
      <c r="BO302" s="1779"/>
      <c r="BP302" s="1780"/>
      <c r="BQ302" s="1755"/>
      <c r="BR302" s="1755"/>
      <c r="BS302" s="1755"/>
      <c r="BT302" s="1755"/>
      <c r="BU302" s="1755"/>
      <c r="BV302" s="1755"/>
      <c r="BW302" s="1755"/>
      <c r="BX302" s="1755"/>
      <c r="BY302" s="1755"/>
      <c r="BZ302" s="1755"/>
      <c r="CA302" s="1755"/>
      <c r="CB302" s="1755"/>
      <c r="CC302" s="1755"/>
      <c r="CD302" s="1755"/>
      <c r="CE302" s="1755"/>
      <c r="CF302" s="1755"/>
      <c r="CG302" s="1755"/>
      <c r="CH302" s="1755"/>
      <c r="CI302" s="1755"/>
      <c r="CJ302" s="1755"/>
      <c r="CK302" s="1755"/>
      <c r="CL302" s="1755"/>
      <c r="CM302" s="1755"/>
      <c r="CN302" s="1756"/>
      <c r="CO302" s="1783"/>
    </row>
    <row r="303" spans="2:93" x14ac:dyDescent="0.2">
      <c r="B303" s="1707"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303" s="1703" t="s">
        <v>1082</v>
      </c>
      <c r="D303" s="1765" t="s">
        <v>1081</v>
      </c>
      <c r="E303" s="1723" t="s">
        <v>860</v>
      </c>
      <c r="F303" s="1747" t="str">
        <f>VLOOKUP(TBL5_OptBen[[#This Row],[Option Type (defined list)]],'Option Typs_Grps'!B$2:C$47, 2, FALSE)</f>
        <v>Distribution Options</v>
      </c>
      <c r="G303" s="1747" t="s">
        <v>863</v>
      </c>
      <c r="H303" s="1707" t="s">
        <v>1457</v>
      </c>
      <c r="I303" s="1747" t="s">
        <v>93</v>
      </c>
      <c r="J303" s="1747" t="s">
        <v>236</v>
      </c>
      <c r="K303" s="1760">
        <v>2</v>
      </c>
      <c r="L303" s="1779"/>
      <c r="M303" s="1779"/>
      <c r="N303" s="1779">
        <v>0</v>
      </c>
      <c r="O303" s="1780">
        <v>0</v>
      </c>
      <c r="P303" s="1780">
        <v>0</v>
      </c>
      <c r="Q303" s="1779">
        <v>0</v>
      </c>
      <c r="R303" s="1779">
        <v>1.6012833302289531E-2</v>
      </c>
      <c r="S303" s="1779">
        <v>3.2297784268105145E-2</v>
      </c>
      <c r="T303" s="1779">
        <v>4.6891326556159241E-2</v>
      </c>
      <c r="U303" s="1779">
        <v>6.1476061398944459E-2</v>
      </c>
      <c r="V303" s="1779">
        <v>6.7704838780245469E-2</v>
      </c>
      <c r="W303" s="1779">
        <v>6.8220328336446867E-2</v>
      </c>
      <c r="X303" s="1779">
        <v>7.6904546290095466E-2</v>
      </c>
      <c r="Y303" s="1779">
        <v>9.1173372840745115E-2</v>
      </c>
      <c r="Z303" s="1779">
        <v>0.10542791179829925</v>
      </c>
      <c r="AA303" s="1779">
        <v>0.11966776006978419</v>
      </c>
      <c r="AB303" s="1779">
        <v>0.1338935329489499</v>
      </c>
      <c r="AC303" s="1779">
        <v>0.14810483085964576</v>
      </c>
      <c r="AD303" s="1779">
        <v>0.16230273066300716</v>
      </c>
      <c r="AE303" s="1779">
        <v>0.17648917044213785</v>
      </c>
      <c r="AF303" s="1779">
        <v>0.19066368741453266</v>
      </c>
      <c r="AG303" s="1779">
        <v>0.20481992820443029</v>
      </c>
      <c r="AH303" s="1779">
        <v>0.21895815868837754</v>
      </c>
      <c r="AI303" s="1779">
        <v>0.23308594445252351</v>
      </c>
      <c r="AJ303" s="1779">
        <v>0.24720120862646122</v>
      </c>
      <c r="AK303" s="1779">
        <v>0.26130520094276699</v>
      </c>
      <c r="AL303" s="1779">
        <v>0.27539827539136907</v>
      </c>
      <c r="AM303" s="1779">
        <v>0.28948165215975519</v>
      </c>
      <c r="AN303" s="1779">
        <v>0.30355690303425731</v>
      </c>
      <c r="AO303" s="1779">
        <v>0.31762429344060794</v>
      </c>
      <c r="AP303" s="1779">
        <v>0.33168332357691122</v>
      </c>
      <c r="AQ303" s="1779"/>
      <c r="AR303" s="1779"/>
      <c r="AS303" s="1779"/>
      <c r="AT303" s="1779"/>
      <c r="AU303" s="1779"/>
      <c r="AV303" s="1779"/>
      <c r="AW303" s="1779"/>
      <c r="AX303" s="1779"/>
      <c r="AY303" s="1779"/>
      <c r="AZ303" s="1779"/>
      <c r="BA303" s="1779"/>
      <c r="BB303" s="1779"/>
      <c r="BC303" s="1779"/>
      <c r="BD303" s="1779"/>
      <c r="BE303" s="1779"/>
      <c r="BF303" s="1779"/>
      <c r="BG303" s="1779"/>
      <c r="BH303" s="1779"/>
      <c r="BI303" s="1779"/>
      <c r="BJ303" s="1779"/>
      <c r="BK303" s="1779"/>
      <c r="BL303" s="1779"/>
      <c r="BM303" s="1779"/>
      <c r="BN303" s="1779"/>
      <c r="BO303" s="1779"/>
      <c r="BP303" s="1780"/>
      <c r="BQ303" s="1755"/>
      <c r="BR303" s="1755"/>
      <c r="BS303" s="1755"/>
      <c r="BT303" s="1755"/>
      <c r="BU303" s="1755"/>
      <c r="BV303" s="1755"/>
      <c r="BW303" s="1755"/>
      <c r="BX303" s="1755"/>
      <c r="BY303" s="1755"/>
      <c r="BZ303" s="1755"/>
      <c r="CA303" s="1755"/>
      <c r="CB303" s="1755"/>
      <c r="CC303" s="1755"/>
      <c r="CD303" s="1755"/>
      <c r="CE303" s="1755"/>
      <c r="CF303" s="1755"/>
      <c r="CG303" s="1755"/>
      <c r="CH303" s="1755"/>
      <c r="CI303" s="1755"/>
      <c r="CJ303" s="1755"/>
      <c r="CK303" s="1755"/>
      <c r="CL303" s="1755"/>
      <c r="CM303" s="1755"/>
      <c r="CN303" s="1756"/>
      <c r="CO303" s="1783"/>
    </row>
    <row r="304" spans="2:93" ht="15" x14ac:dyDescent="0.25">
      <c r="B304" s="1707"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04" s="1703" t="s">
        <v>1119</v>
      </c>
      <c r="D304" s="1765" t="s">
        <v>1118</v>
      </c>
      <c r="E304" s="1723" t="s">
        <v>1099</v>
      </c>
      <c r="F304" s="1747" t="str">
        <f>VLOOKUP(TBL5_OptBen[[#This Row],[Option Type (defined list)]],'Option Typs_Grps'!B$2:C$47, 2, FALSE)</f>
        <v>Customer Options</v>
      </c>
      <c r="G304" s="1747" t="s">
        <v>863</v>
      </c>
      <c r="H304" s="1707" t="s">
        <v>1457</v>
      </c>
      <c r="I304" s="1747" t="s">
        <v>93</v>
      </c>
      <c r="J304" s="1747" t="s">
        <v>236</v>
      </c>
      <c r="K304" s="1760">
        <v>2</v>
      </c>
      <c r="L304" s="1779"/>
      <c r="M304" s="1779"/>
      <c r="N304" s="1779">
        <v>0</v>
      </c>
      <c r="O304" s="1780">
        <v>0</v>
      </c>
      <c r="P304" s="1780">
        <v>0</v>
      </c>
      <c r="Q304" s="1779">
        <v>0</v>
      </c>
      <c r="R304" s="1779">
        <v>-3.4263330228962406E-4</v>
      </c>
      <c r="S304" s="1779">
        <v>-9.5738426810537854E-4</v>
      </c>
      <c r="T304" s="1779">
        <v>1.192734438405299E-4</v>
      </c>
      <c r="U304" s="1779">
        <v>1.2047386010554384E-3</v>
      </c>
      <c r="V304" s="1779">
        <v>1.0646161219754301E-2</v>
      </c>
      <c r="W304" s="1779">
        <v>2.580087166355283E-2</v>
      </c>
      <c r="X304" s="1779">
        <v>3.2786853709904314E-2</v>
      </c>
      <c r="Y304" s="1779">
        <v>3.4188227159254521E-2</v>
      </c>
      <c r="Z304" s="1779">
        <v>3.5603888201700525E-2</v>
      </c>
      <c r="AA304" s="1779">
        <v>3.70342399302157E-2</v>
      </c>
      <c r="AB304" s="1779">
        <v>3.8478667051049797E-2</v>
      </c>
      <c r="AC304" s="1779">
        <v>3.9937569140353874E-2</v>
      </c>
      <c r="AD304" s="1779">
        <v>4.1409869336992353E-2</v>
      </c>
      <c r="AE304" s="1779">
        <v>4.2893629557861718E-2</v>
      </c>
      <c r="AF304" s="1779">
        <v>4.4389312585466904E-2</v>
      </c>
      <c r="AG304" s="1779">
        <v>4.5903271795569175E-2</v>
      </c>
      <c r="AH304" s="1779">
        <v>4.7435241311621787E-2</v>
      </c>
      <c r="AI304" s="1779">
        <v>4.897765554747599E-2</v>
      </c>
      <c r="AJ304" s="1779">
        <v>5.0532591373538299E-2</v>
      </c>
      <c r="AK304" s="1779">
        <v>5.209879905723229E-2</v>
      </c>
      <c r="AL304" s="1779">
        <v>5.3675924608630209E-2</v>
      </c>
      <c r="AM304" s="1779">
        <v>5.5262747840244097E-2</v>
      </c>
      <c r="AN304" s="1779">
        <v>5.6857696965741972E-2</v>
      </c>
      <c r="AO304" s="1779">
        <v>5.846050655939123E-2</v>
      </c>
      <c r="AP304" s="1779">
        <v>6.0071676423088909E-2</v>
      </c>
      <c r="AQ304" s="1779"/>
      <c r="AR304" s="1779"/>
      <c r="AS304" s="1779"/>
      <c r="AT304" s="1779"/>
      <c r="AU304" s="1779"/>
      <c r="AV304" s="1779"/>
      <c r="AW304" s="1779"/>
      <c r="AX304" s="1779"/>
      <c r="AY304" s="1779"/>
      <c r="AZ304" s="1779"/>
      <c r="BA304" s="1779"/>
      <c r="BB304" s="1779"/>
      <c r="BC304" s="1779"/>
      <c r="BD304" s="1779"/>
      <c r="BE304" s="1779"/>
      <c r="BF304" s="1779"/>
      <c r="BG304" s="1779"/>
      <c r="BH304" s="1779"/>
      <c r="BI304" s="1779"/>
      <c r="BJ304" s="1779"/>
      <c r="BK304" s="1779"/>
      <c r="BL304" s="1779"/>
      <c r="BM304" s="1779"/>
      <c r="BN304" s="1779"/>
      <c r="BO304" s="1779"/>
      <c r="BP304" s="1780"/>
      <c r="BQ304" s="1755"/>
      <c r="BR304" s="1755"/>
      <c r="BS304" s="1755"/>
      <c r="BT304" s="1755"/>
      <c r="BU304" s="1755"/>
      <c r="BV304" s="1755"/>
      <c r="BW304" s="1755"/>
      <c r="BX304" s="1755"/>
      <c r="BY304" s="1755"/>
      <c r="BZ304" s="1755"/>
      <c r="CA304" s="1755"/>
      <c r="CB304" s="1755"/>
      <c r="CC304" s="1755"/>
      <c r="CD304" s="1755"/>
      <c r="CE304" s="1755"/>
      <c r="CF304" s="1755"/>
      <c r="CG304" s="1755"/>
      <c r="CH304" s="1755"/>
      <c r="CI304" s="1755"/>
      <c r="CJ304" s="1755"/>
      <c r="CK304" s="1755"/>
      <c r="CL304" s="1755"/>
      <c r="CM304" s="1755"/>
      <c r="CN304" s="1756"/>
      <c r="CO304" s="1783"/>
    </row>
    <row r="305" spans="2:93" x14ac:dyDescent="0.2">
      <c r="B305" s="1707"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05" s="1707" t="s">
        <v>1125</v>
      </c>
      <c r="D305" s="1765" t="s">
        <v>1474</v>
      </c>
      <c r="E305" s="1714" t="s">
        <v>987</v>
      </c>
      <c r="F305" s="1747" t="str">
        <f>VLOOKUP(TBL5_OptBen[[#This Row],[Option Type (defined list)]],'Option Typs_Grps'!B$2:C$47, 2, FALSE)</f>
        <v>Customer Options</v>
      </c>
      <c r="G305" s="1747" t="s">
        <v>863</v>
      </c>
      <c r="H305" s="1707" t="s">
        <v>1457</v>
      </c>
      <c r="I305" s="1747" t="s">
        <v>93</v>
      </c>
      <c r="J305" s="1747" t="s">
        <v>236</v>
      </c>
      <c r="K305" s="1760">
        <v>2</v>
      </c>
      <c r="L305" s="1779"/>
      <c r="M305" s="1779"/>
      <c r="N305" s="1779">
        <v>0</v>
      </c>
      <c r="O305" s="1780">
        <v>0</v>
      </c>
      <c r="P305" s="1780">
        <v>0</v>
      </c>
      <c r="Q305" s="1779">
        <v>0</v>
      </c>
      <c r="R305" s="1779">
        <v>1.0144563675199336E-2</v>
      </c>
      <c r="S305" s="1779">
        <v>2.0289127350499925E-2</v>
      </c>
      <c r="T305" s="1779">
        <v>3.0433691025800513E-2</v>
      </c>
      <c r="U305" s="1779">
        <v>4.0578254701101102E-2</v>
      </c>
      <c r="V305" s="1779">
        <v>5.0722818376399914E-2</v>
      </c>
      <c r="W305" s="1779">
        <v>7.2467705815599359E-2</v>
      </c>
      <c r="X305" s="1779">
        <v>9.4212593254999533E-2</v>
      </c>
      <c r="Y305" s="1779">
        <v>0.11595748069419898</v>
      </c>
      <c r="Z305" s="1779">
        <v>0.13770236813349968</v>
      </c>
      <c r="AA305" s="1779">
        <v>0.1594472555727986</v>
      </c>
      <c r="AB305" s="1779">
        <v>0.17964585081410078</v>
      </c>
      <c r="AC305" s="1779">
        <v>0.19984444605529994</v>
      </c>
      <c r="AD305" s="1779">
        <v>0.22004304129650087</v>
      </c>
      <c r="AE305" s="1779">
        <v>0.2200430412964991</v>
      </c>
      <c r="AF305" s="1779">
        <v>0.22004304129650087</v>
      </c>
      <c r="AG305" s="1779">
        <v>0.2200430412964991</v>
      </c>
      <c r="AH305" s="1779">
        <v>0.22004304129650087</v>
      </c>
      <c r="AI305" s="1779">
        <v>0.22004304129650087</v>
      </c>
      <c r="AJ305" s="1779">
        <v>0.22004304129650087</v>
      </c>
      <c r="AK305" s="1779">
        <v>0.2200430412964991</v>
      </c>
      <c r="AL305" s="1779">
        <v>0.22004304129650087</v>
      </c>
      <c r="AM305" s="1779">
        <v>0.22004304129650087</v>
      </c>
      <c r="AN305" s="1779">
        <v>0.22004304129650087</v>
      </c>
      <c r="AO305" s="1779">
        <v>0.2200430412964991</v>
      </c>
      <c r="AP305" s="1779">
        <v>0.22004304129650087</v>
      </c>
      <c r="AQ305" s="1779"/>
      <c r="AR305" s="1779"/>
      <c r="AS305" s="1779"/>
      <c r="AT305" s="1779"/>
      <c r="AU305" s="1779"/>
      <c r="AV305" s="1779"/>
      <c r="AW305" s="1779"/>
      <c r="AX305" s="1779"/>
      <c r="AY305" s="1779"/>
      <c r="AZ305" s="1779"/>
      <c r="BA305" s="1779"/>
      <c r="BB305" s="1779"/>
      <c r="BC305" s="1779"/>
      <c r="BD305" s="1779"/>
      <c r="BE305" s="1779"/>
      <c r="BF305" s="1779"/>
      <c r="BG305" s="1779"/>
      <c r="BH305" s="1779"/>
      <c r="BI305" s="1779"/>
      <c r="BJ305" s="1779"/>
      <c r="BK305" s="1779"/>
      <c r="BL305" s="1779"/>
      <c r="BM305" s="1779"/>
      <c r="BN305" s="1779"/>
      <c r="BO305" s="1779"/>
      <c r="BP305" s="1780"/>
      <c r="BQ305" s="1755"/>
      <c r="BR305" s="1755"/>
      <c r="BS305" s="1755"/>
      <c r="BT305" s="1755"/>
      <c r="BU305" s="1755"/>
      <c r="BV305" s="1755"/>
      <c r="BW305" s="1755"/>
      <c r="BX305" s="1755"/>
      <c r="BY305" s="1755"/>
      <c r="BZ305" s="1755"/>
      <c r="CA305" s="1755"/>
      <c r="CB305" s="1755"/>
      <c r="CC305" s="1755"/>
      <c r="CD305" s="1755"/>
      <c r="CE305" s="1755"/>
      <c r="CF305" s="1755"/>
      <c r="CG305" s="1755"/>
      <c r="CH305" s="1755"/>
      <c r="CI305" s="1755"/>
      <c r="CJ305" s="1755"/>
      <c r="CK305" s="1755"/>
      <c r="CL305" s="1755"/>
      <c r="CM305" s="1755"/>
      <c r="CN305" s="1756"/>
      <c r="CO305" s="1783"/>
    </row>
    <row r="306" spans="2:93" x14ac:dyDescent="0.2">
      <c r="B306" s="1707"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06" s="1703" t="s">
        <v>1079</v>
      </c>
      <c r="D306" s="1765" t="s">
        <v>1078</v>
      </c>
      <c r="E306" s="1714" t="s">
        <v>987</v>
      </c>
      <c r="F306" s="1747" t="str">
        <f>VLOOKUP(TBL5_OptBen[[#This Row],[Option Type (defined list)]],'Option Typs_Grps'!B$2:C$47, 2, FALSE)</f>
        <v>Customer Options</v>
      </c>
      <c r="G306" s="1747" t="s">
        <v>863</v>
      </c>
      <c r="H306" s="1707" t="s">
        <v>1457</v>
      </c>
      <c r="I306" s="1747" t="s">
        <v>93</v>
      </c>
      <c r="J306" s="1747" t="s">
        <v>236</v>
      </c>
      <c r="K306" s="1760">
        <v>2</v>
      </c>
      <c r="L306" s="1779"/>
      <c r="M306" s="1779"/>
      <c r="N306" s="1779">
        <v>0</v>
      </c>
      <c r="O306" s="1780">
        <v>0</v>
      </c>
      <c r="P306" s="1780">
        <v>0</v>
      </c>
      <c r="Q306" s="1779">
        <v>0</v>
      </c>
      <c r="R306" s="1779">
        <v>0</v>
      </c>
      <c r="S306" s="1779">
        <v>0</v>
      </c>
      <c r="T306" s="1779">
        <v>1.2316154623000841E-2</v>
      </c>
      <c r="U306" s="1779">
        <v>2.4492761570900967E-2</v>
      </c>
      <c r="V306" s="1779">
        <v>3.6494205364698828E-2</v>
      </c>
      <c r="W306" s="1779">
        <v>4.840714577579952E-2</v>
      </c>
      <c r="X306" s="1779">
        <v>6.0274776207499769E-2</v>
      </c>
      <c r="Y306" s="1779">
        <v>7.2075016762699562E-2</v>
      </c>
      <c r="Z306" s="1779">
        <v>9.6940235992798662E-2</v>
      </c>
      <c r="AA306" s="1779">
        <v>0.12163387279989912</v>
      </c>
      <c r="AB306" s="1779">
        <v>0.14620955217790055</v>
      </c>
      <c r="AC306" s="1779">
        <v>0.17063373049670005</v>
      </c>
      <c r="AD306" s="1779">
        <v>0.19495479254990045</v>
      </c>
      <c r="AE306" s="1779">
        <v>0.2192086231135999</v>
      </c>
      <c r="AF306" s="1779">
        <v>0.2432107743487002</v>
      </c>
      <c r="AG306" s="1779">
        <v>0.26704516829710023</v>
      </c>
      <c r="AH306" s="1779">
        <v>0.29089161678320075</v>
      </c>
      <c r="AI306" s="1779">
        <v>0.31469205759239927</v>
      </c>
      <c r="AJ306" s="1779">
        <v>0.32222836230859997</v>
      </c>
      <c r="AK306" s="1779">
        <v>0.32981805983060042</v>
      </c>
      <c r="AL306" s="1779">
        <v>0.33738307145740087</v>
      </c>
      <c r="AM306" s="1779">
        <v>0.34497200784130122</v>
      </c>
      <c r="AN306" s="1779">
        <v>0.35268172673660025</v>
      </c>
      <c r="AO306" s="1779">
        <v>0.3604911591194</v>
      </c>
      <c r="AP306" s="1779">
        <v>0.36835618440450091</v>
      </c>
      <c r="AQ306" s="1779"/>
      <c r="AR306" s="1779"/>
      <c r="AS306" s="1779"/>
      <c r="AT306" s="1779"/>
      <c r="AU306" s="1779"/>
      <c r="AV306" s="1779"/>
      <c r="AW306" s="1779"/>
      <c r="AX306" s="1779"/>
      <c r="AY306" s="1779"/>
      <c r="AZ306" s="1779"/>
      <c r="BA306" s="1779"/>
      <c r="BB306" s="1779"/>
      <c r="BC306" s="1779"/>
      <c r="BD306" s="1779"/>
      <c r="BE306" s="1779"/>
      <c r="BF306" s="1779"/>
      <c r="BG306" s="1779"/>
      <c r="BH306" s="1779"/>
      <c r="BI306" s="1779"/>
      <c r="BJ306" s="1779"/>
      <c r="BK306" s="1779"/>
      <c r="BL306" s="1779"/>
      <c r="BM306" s="1779"/>
      <c r="BN306" s="1779"/>
      <c r="BO306" s="1779"/>
      <c r="BP306" s="1780"/>
      <c r="BQ306" s="1755"/>
      <c r="BR306" s="1755"/>
      <c r="BS306" s="1755"/>
      <c r="BT306" s="1755"/>
      <c r="BU306" s="1755"/>
      <c r="BV306" s="1755"/>
      <c r="BW306" s="1755"/>
      <c r="BX306" s="1755"/>
      <c r="BY306" s="1755"/>
      <c r="BZ306" s="1755"/>
      <c r="CA306" s="1755"/>
      <c r="CB306" s="1755"/>
      <c r="CC306" s="1755"/>
      <c r="CD306" s="1755"/>
      <c r="CE306" s="1755"/>
      <c r="CF306" s="1755"/>
      <c r="CG306" s="1755"/>
      <c r="CH306" s="1755"/>
      <c r="CI306" s="1755"/>
      <c r="CJ306" s="1755"/>
      <c r="CK306" s="1755"/>
      <c r="CL306" s="1755"/>
      <c r="CM306" s="1755"/>
      <c r="CN306" s="1756"/>
      <c r="CO306" s="1783"/>
    </row>
    <row r="307" spans="2:93" ht="15" x14ac:dyDescent="0.25">
      <c r="B307" s="1707"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07" s="1703" t="s">
        <v>1067</v>
      </c>
      <c r="D307" s="1765" t="s">
        <v>1066</v>
      </c>
      <c r="E307" s="1723" t="s">
        <v>1068</v>
      </c>
      <c r="F307" s="1747" t="str">
        <f>VLOOKUP(TBL5_OptBen[[#This Row],[Option Type (defined list)]],'Option Typs_Grps'!B$2:C$47, 2, FALSE)</f>
        <v>Customer Options</v>
      </c>
      <c r="G307" s="1747" t="s">
        <v>863</v>
      </c>
      <c r="H307" s="1707" t="s">
        <v>1457</v>
      </c>
      <c r="I307" s="1747" t="s">
        <v>102</v>
      </c>
      <c r="J307" s="1747" t="s">
        <v>236</v>
      </c>
      <c r="K307" s="1760">
        <v>2</v>
      </c>
      <c r="L307" s="1779"/>
      <c r="M307" s="1779"/>
      <c r="N307" s="1779">
        <v>0</v>
      </c>
      <c r="O307" s="1780">
        <v>2.5757174171303632E-14</v>
      </c>
      <c r="P307" s="1780">
        <v>4.0856207306205761E-14</v>
      </c>
      <c r="Q307" s="1779">
        <v>0</v>
      </c>
      <c r="R307" s="1779">
        <v>2.8222942254962025E-2</v>
      </c>
      <c r="S307" s="1779">
        <v>5.102355375825951E-2</v>
      </c>
      <c r="T307" s="1779">
        <v>-3.463498264699183E-2</v>
      </c>
      <c r="U307" s="1779">
        <v>-4.0982019910842382E-2</v>
      </c>
      <c r="V307" s="1779">
        <v>-4.4940511999577382E-2</v>
      </c>
      <c r="W307" s="1779">
        <v>-4.775765604458293E-2</v>
      </c>
      <c r="X307" s="1779">
        <v>-4.8309414629620129E-2</v>
      </c>
      <c r="Y307" s="1779">
        <v>-4.7194492905036134E-2</v>
      </c>
      <c r="Z307" s="1779">
        <v>-4.5687750903295077E-2</v>
      </c>
      <c r="AA307" s="1779">
        <v>-4.3850077526514042E-2</v>
      </c>
      <c r="AB307" s="1779">
        <v>-4.251077120807617E-2</v>
      </c>
      <c r="AC307" s="1779">
        <v>-4.0811700950468266E-2</v>
      </c>
      <c r="AD307" s="1779">
        <v>-3.8842439729724676E-2</v>
      </c>
      <c r="AE307" s="1779">
        <v>-3.6734993318920717E-2</v>
      </c>
      <c r="AF307" s="1779">
        <v>-3.4514656625783124E-2</v>
      </c>
      <c r="AG307" s="1779">
        <v>-3.2990954233751757E-2</v>
      </c>
      <c r="AH307" s="1779">
        <v>-3.0526067857536643E-2</v>
      </c>
      <c r="AI307" s="1779">
        <v>-2.828810780484603E-2</v>
      </c>
      <c r="AJ307" s="1779">
        <v>-2.6948396809237662E-2</v>
      </c>
      <c r="AK307" s="1779">
        <v>-2.6745392207197627E-2</v>
      </c>
      <c r="AL307" s="1779">
        <v>-2.6597930185511709E-2</v>
      </c>
      <c r="AM307" s="1779">
        <v>-2.6563086591654517E-2</v>
      </c>
      <c r="AN307" s="1779">
        <v>-2.6636264602878157E-2</v>
      </c>
      <c r="AO307" s="1779">
        <v>-2.6832454923069959E-2</v>
      </c>
      <c r="AP307" s="1779">
        <v>-2.6965253032190883E-2</v>
      </c>
      <c r="AQ307" s="1779"/>
      <c r="AR307" s="1779"/>
      <c r="AS307" s="1779"/>
      <c r="AT307" s="1779"/>
      <c r="AU307" s="1779"/>
      <c r="AV307" s="1779"/>
      <c r="AW307" s="1779"/>
      <c r="AX307" s="1779"/>
      <c r="AY307" s="1779"/>
      <c r="AZ307" s="1779"/>
      <c r="BA307" s="1779"/>
      <c r="BB307" s="1779"/>
      <c r="BC307" s="1779"/>
      <c r="BD307" s="1779"/>
      <c r="BE307" s="1779"/>
      <c r="BF307" s="1779"/>
      <c r="BG307" s="1779"/>
      <c r="BH307" s="1779"/>
      <c r="BI307" s="1779"/>
      <c r="BJ307" s="1779"/>
      <c r="BK307" s="1779"/>
      <c r="BL307" s="1779"/>
      <c r="BM307" s="1779"/>
      <c r="BN307" s="1779"/>
      <c r="BO307" s="1779"/>
      <c r="BP307" s="1780"/>
      <c r="BQ307" s="1755"/>
      <c r="BR307" s="1755"/>
      <c r="BS307" s="1755"/>
      <c r="BT307" s="1755"/>
      <c r="BU307" s="1755"/>
      <c r="BV307" s="1755"/>
      <c r="BW307" s="1755"/>
      <c r="BX307" s="1755"/>
      <c r="BY307" s="1755"/>
      <c r="BZ307" s="1755"/>
      <c r="CA307" s="1755"/>
      <c r="CB307" s="1755"/>
      <c r="CC307" s="1755"/>
      <c r="CD307" s="1755"/>
      <c r="CE307" s="1755"/>
      <c r="CF307" s="1755"/>
      <c r="CG307" s="1755"/>
      <c r="CH307" s="1755"/>
      <c r="CI307" s="1755"/>
      <c r="CJ307" s="1755"/>
      <c r="CK307" s="1755"/>
      <c r="CL307" s="1755"/>
      <c r="CM307" s="1755"/>
      <c r="CN307" s="1756"/>
      <c r="CO307" s="1783"/>
    </row>
    <row r="308" spans="2:93" ht="15" x14ac:dyDescent="0.25">
      <c r="B308" s="1707"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08" s="1703" t="s">
        <v>1075</v>
      </c>
      <c r="D308" s="1765" t="s">
        <v>1074</v>
      </c>
      <c r="E308" s="1723" t="s">
        <v>987</v>
      </c>
      <c r="F308" s="1747" t="str">
        <f>VLOOKUP(TBL5_OptBen[[#This Row],[Option Type (defined list)]],'Option Typs_Grps'!B$2:C$47, 2, FALSE)</f>
        <v>Customer Options</v>
      </c>
      <c r="G308" s="1747" t="s">
        <v>863</v>
      </c>
      <c r="H308" s="1707" t="s">
        <v>1457</v>
      </c>
      <c r="I308" s="1747" t="s">
        <v>102</v>
      </c>
      <c r="J308" s="1747" t="s">
        <v>236</v>
      </c>
      <c r="K308" s="1760">
        <v>2</v>
      </c>
      <c r="L308" s="1779"/>
      <c r="M308" s="1779"/>
      <c r="N308" s="1779">
        <v>0</v>
      </c>
      <c r="O308" s="1780">
        <v>0</v>
      </c>
      <c r="P308" s="1780">
        <v>0</v>
      </c>
      <c r="Q308" s="1779">
        <v>0</v>
      </c>
      <c r="R308" s="1779">
        <v>2.6466184574900353E-2</v>
      </c>
      <c r="S308" s="1779">
        <v>5.2703045370600776E-2</v>
      </c>
      <c r="T308" s="1779">
        <v>7.8838269622799828E-2</v>
      </c>
      <c r="U308" s="1779">
        <v>0.10477022753389953</v>
      </c>
      <c r="V308" s="1779">
        <v>0.13037979739119976</v>
      </c>
      <c r="W308" s="1779">
        <v>0.15447090153770127</v>
      </c>
      <c r="X308" s="1779">
        <v>0.178389663577601</v>
      </c>
      <c r="Y308" s="1779">
        <v>0.20212094995099861</v>
      </c>
      <c r="Z308" s="1779">
        <v>0.22569794914289965</v>
      </c>
      <c r="AA308" s="1779">
        <v>0.24915739999269881</v>
      </c>
      <c r="AB308" s="1779">
        <v>0.2720656474501002</v>
      </c>
      <c r="AC308" s="1779">
        <v>0.29486199233470067</v>
      </c>
      <c r="AD308" s="1779">
        <v>0.31768700526280114</v>
      </c>
      <c r="AE308" s="1779">
        <v>0.34038776342729982</v>
      </c>
      <c r="AF308" s="1779">
        <v>0.36273496351030055</v>
      </c>
      <c r="AG308" s="1779">
        <v>0.38414449070080003</v>
      </c>
      <c r="AH308" s="1779">
        <v>0.4054621388136006</v>
      </c>
      <c r="AI308" s="1779">
        <v>0.42676131530109984</v>
      </c>
      <c r="AJ308" s="1779">
        <v>0.44802374330889982</v>
      </c>
      <c r="AK308" s="1779">
        <v>0.44685892045979969</v>
      </c>
      <c r="AL308" s="1779">
        <v>0.44567043903500014</v>
      </c>
      <c r="AM308" s="1779">
        <v>0.4444983119407997</v>
      </c>
      <c r="AN308" s="1779">
        <v>0.44352353592370086</v>
      </c>
      <c r="AO308" s="1779">
        <v>0.44272260925770013</v>
      </c>
      <c r="AP308" s="1779">
        <v>0.4420649494759008</v>
      </c>
      <c r="AQ308" s="1779"/>
      <c r="AR308" s="1779"/>
      <c r="AS308" s="1779"/>
      <c r="AT308" s="1779"/>
      <c r="AU308" s="1779"/>
      <c r="AV308" s="1779"/>
      <c r="AW308" s="1779"/>
      <c r="AX308" s="1779"/>
      <c r="AY308" s="1779"/>
      <c r="AZ308" s="1779"/>
      <c r="BA308" s="1779"/>
      <c r="BB308" s="1779"/>
      <c r="BC308" s="1779"/>
      <c r="BD308" s="1779"/>
      <c r="BE308" s="1779"/>
      <c r="BF308" s="1779"/>
      <c r="BG308" s="1779"/>
      <c r="BH308" s="1779"/>
      <c r="BI308" s="1779"/>
      <c r="BJ308" s="1779"/>
      <c r="BK308" s="1779"/>
      <c r="BL308" s="1779"/>
      <c r="BM308" s="1779"/>
      <c r="BN308" s="1779"/>
      <c r="BO308" s="1779"/>
      <c r="BP308" s="1780"/>
      <c r="BQ308" s="1755"/>
      <c r="BR308" s="1755"/>
      <c r="BS308" s="1755"/>
      <c r="BT308" s="1755"/>
      <c r="BU308" s="1755"/>
      <c r="BV308" s="1755"/>
      <c r="BW308" s="1755"/>
      <c r="BX308" s="1755"/>
      <c r="BY308" s="1755"/>
      <c r="BZ308" s="1755"/>
      <c r="CA308" s="1755"/>
      <c r="CB308" s="1755"/>
      <c r="CC308" s="1755"/>
      <c r="CD308" s="1755"/>
      <c r="CE308" s="1755"/>
      <c r="CF308" s="1755"/>
      <c r="CG308" s="1755"/>
      <c r="CH308" s="1755"/>
      <c r="CI308" s="1755"/>
      <c r="CJ308" s="1755"/>
      <c r="CK308" s="1755"/>
      <c r="CL308" s="1755"/>
      <c r="CM308" s="1755"/>
      <c r="CN308" s="1756"/>
      <c r="CO308" s="1783"/>
    </row>
    <row r="309" spans="2:93" x14ac:dyDescent="0.2">
      <c r="B309" s="1707"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09" s="1707" t="s">
        <v>1123</v>
      </c>
      <c r="D309" s="1765" t="s">
        <v>1122</v>
      </c>
      <c r="E309" s="1714" t="s">
        <v>987</v>
      </c>
      <c r="F309" s="1747" t="str">
        <f>VLOOKUP(TBL5_OptBen[[#This Row],[Option Type (defined list)]],'Option Typs_Grps'!B$2:C$47, 2, FALSE)</f>
        <v>Customer Options</v>
      </c>
      <c r="G309" s="1747" t="s">
        <v>863</v>
      </c>
      <c r="H309" s="1707" t="s">
        <v>1457</v>
      </c>
      <c r="I309" s="1747" t="s">
        <v>102</v>
      </c>
      <c r="J309" s="1747" t="s">
        <v>236</v>
      </c>
      <c r="K309" s="1760">
        <v>2</v>
      </c>
      <c r="L309" s="1779"/>
      <c r="M309" s="1779"/>
      <c r="N309" s="1779">
        <v>0</v>
      </c>
      <c r="O309" s="1780">
        <v>0</v>
      </c>
      <c r="P309" s="1780">
        <v>0</v>
      </c>
      <c r="Q309" s="1779">
        <v>0</v>
      </c>
      <c r="R309" s="1779">
        <v>7.6893942480005251E-4</v>
      </c>
      <c r="S309" s="1779">
        <v>9.1903375258990394E-3</v>
      </c>
      <c r="T309" s="1779">
        <v>2.2905399728010423E-3</v>
      </c>
      <c r="U309" s="1779">
        <v>3.0439581597008214E-3</v>
      </c>
      <c r="V309" s="1779">
        <v>3.7880097950999669E-3</v>
      </c>
      <c r="W309" s="1779">
        <v>4.5072612840986181E-3</v>
      </c>
      <c r="X309" s="1779">
        <v>5.2213450049993781E-3</v>
      </c>
      <c r="Y309" s="1779">
        <v>5.9298262703002536E-3</v>
      </c>
      <c r="Z309" s="1779">
        <v>6.6336833909996784E-3</v>
      </c>
      <c r="AA309" s="1779">
        <v>7.3340038329998691E-3</v>
      </c>
      <c r="AB309" s="1779">
        <v>7.310275623499507E-3</v>
      </c>
      <c r="AC309" s="1779">
        <v>7.2875865650985361E-3</v>
      </c>
      <c r="AD309" s="1779">
        <v>7.2689216290005021E-3</v>
      </c>
      <c r="AE309" s="1779">
        <v>7.2501894383005805E-3</v>
      </c>
      <c r="AF309" s="1779">
        <v>7.2268345811998813E-3</v>
      </c>
      <c r="AG309" s="1779">
        <v>7.2018840931988848E-3</v>
      </c>
      <c r="AH309" s="1779">
        <v>7.1780868481994275E-3</v>
      </c>
      <c r="AI309" s="1779">
        <v>7.1564912776995726E-3</v>
      </c>
      <c r="AJ309" s="1779">
        <v>7.136475193899372E-3</v>
      </c>
      <c r="AK309" s="1779">
        <v>7.1179209777998409E-3</v>
      </c>
      <c r="AL309" s="1779">
        <v>7.0989899091991049E-3</v>
      </c>
      <c r="AM309" s="1779">
        <v>7.080319345300623E-3</v>
      </c>
      <c r="AN309" s="1779">
        <v>7.0647923447992866E-3</v>
      </c>
      <c r="AO309" s="1779">
        <v>7.052034553801434E-3</v>
      </c>
      <c r="AP309" s="1779">
        <v>7.0415588305987598E-3</v>
      </c>
      <c r="AQ309" s="1779"/>
      <c r="AR309" s="1779"/>
      <c r="AS309" s="1779"/>
      <c r="AT309" s="1779"/>
      <c r="AU309" s="1779"/>
      <c r="AV309" s="1779"/>
      <c r="AW309" s="1779"/>
      <c r="AX309" s="1779"/>
      <c r="AY309" s="1779"/>
      <c r="AZ309" s="1779"/>
      <c r="BA309" s="1779"/>
      <c r="BB309" s="1779"/>
      <c r="BC309" s="1779"/>
      <c r="BD309" s="1779"/>
      <c r="BE309" s="1779"/>
      <c r="BF309" s="1779"/>
      <c r="BG309" s="1779"/>
      <c r="BH309" s="1779"/>
      <c r="BI309" s="1779"/>
      <c r="BJ309" s="1779"/>
      <c r="BK309" s="1779"/>
      <c r="BL309" s="1779"/>
      <c r="BM309" s="1779"/>
      <c r="BN309" s="1779"/>
      <c r="BO309" s="1779"/>
      <c r="BP309" s="1780"/>
      <c r="BQ309" s="1755"/>
      <c r="BR309" s="1755"/>
      <c r="BS309" s="1755"/>
      <c r="BT309" s="1755"/>
      <c r="BU309" s="1755"/>
      <c r="BV309" s="1755"/>
      <c r="BW309" s="1755"/>
      <c r="BX309" s="1755"/>
      <c r="BY309" s="1755"/>
      <c r="BZ309" s="1755"/>
      <c r="CA309" s="1755"/>
      <c r="CB309" s="1755"/>
      <c r="CC309" s="1755"/>
      <c r="CD309" s="1755"/>
      <c r="CE309" s="1755"/>
      <c r="CF309" s="1755"/>
      <c r="CG309" s="1755"/>
      <c r="CH309" s="1755"/>
      <c r="CI309" s="1755"/>
      <c r="CJ309" s="1755"/>
      <c r="CK309" s="1755"/>
      <c r="CL309" s="1755"/>
      <c r="CM309" s="1755"/>
      <c r="CN309" s="1756"/>
      <c r="CO309" s="1783"/>
    </row>
    <row r="310" spans="2:93" x14ac:dyDescent="0.2">
      <c r="B310" s="1707"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310" s="1703" t="s">
        <v>1082</v>
      </c>
      <c r="D310" s="1765" t="s">
        <v>1081</v>
      </c>
      <c r="E310" s="1723" t="s">
        <v>860</v>
      </c>
      <c r="F310" s="1747" t="str">
        <f>VLOOKUP(TBL5_OptBen[[#This Row],[Option Type (defined list)]],'Option Typs_Grps'!B$2:C$47, 2, FALSE)</f>
        <v>Distribution Options</v>
      </c>
      <c r="G310" s="1747" t="s">
        <v>863</v>
      </c>
      <c r="H310" s="1707" t="s">
        <v>1457</v>
      </c>
      <c r="I310" s="1747" t="s">
        <v>102</v>
      </c>
      <c r="J310" s="1747" t="s">
        <v>236</v>
      </c>
      <c r="K310" s="1760">
        <v>2</v>
      </c>
      <c r="L310" s="1779"/>
      <c r="M310" s="1779"/>
      <c r="N310" s="1779">
        <v>0</v>
      </c>
      <c r="O310" s="1780">
        <v>0</v>
      </c>
      <c r="P310" s="1780">
        <v>0</v>
      </c>
      <c r="Q310" s="1779">
        <v>0</v>
      </c>
      <c r="R310" s="1779">
        <v>-1.6145513693702762E-3</v>
      </c>
      <c r="S310" s="1779">
        <v>-2.862783471225816E-3</v>
      </c>
      <c r="T310" s="1779">
        <v>4.2861807559981813E-3</v>
      </c>
      <c r="U310" s="1779">
        <v>1.1415347046815683E-2</v>
      </c>
      <c r="V310" s="1779">
        <v>1.8531374394505473E-2</v>
      </c>
      <c r="W310" s="1779">
        <v>2.5451428441384927E-2</v>
      </c>
      <c r="X310" s="1779">
        <v>3.2180298944493591E-2</v>
      </c>
      <c r="Y310" s="1779">
        <v>3.8899833363210901E-2</v>
      </c>
      <c r="Z310" s="1779">
        <v>4.5608061135080202E-2</v>
      </c>
      <c r="AA310" s="1779">
        <v>5.2304537552386288E-2</v>
      </c>
      <c r="AB310" s="1779">
        <v>5.8990056648910771E-2</v>
      </c>
      <c r="AC310" s="1779">
        <v>6.5666109426501196E-2</v>
      </c>
      <c r="AD310" s="1779">
        <v>7.2333316033205697E-2</v>
      </c>
      <c r="AE310" s="1779">
        <v>7.8990073448521048E-2</v>
      </c>
      <c r="AF310" s="1779">
        <v>8.5637468534773387E-2</v>
      </c>
      <c r="AG310" s="1779">
        <v>9.2272138106391566E-2</v>
      </c>
      <c r="AH310" s="1779">
        <v>9.8894373222669807E-2</v>
      </c>
      <c r="AI310" s="1779">
        <v>0.10550826501916322</v>
      </c>
      <c r="AJ310" s="1779">
        <v>0.11211449054613076</v>
      </c>
      <c r="AK310" s="1779">
        <v>0.11871315190985066</v>
      </c>
      <c r="AL310" s="1779">
        <v>0.1253036603091634</v>
      </c>
      <c r="AM310" s="1779">
        <v>0.13188627416948917</v>
      </c>
      <c r="AN310" s="1779">
        <v>0.13846030482426297</v>
      </c>
      <c r="AO310" s="1779">
        <v>0.14502519801332275</v>
      </c>
      <c r="AP310" s="1779">
        <v>0.15158118891372041</v>
      </c>
      <c r="AQ310" s="1779"/>
      <c r="AR310" s="1779"/>
      <c r="AS310" s="1779"/>
      <c r="AT310" s="1779"/>
      <c r="AU310" s="1779"/>
      <c r="AV310" s="1779"/>
      <c r="AW310" s="1779"/>
      <c r="AX310" s="1779"/>
      <c r="AY310" s="1779"/>
      <c r="AZ310" s="1779"/>
      <c r="BA310" s="1779"/>
      <c r="BB310" s="1779"/>
      <c r="BC310" s="1779"/>
      <c r="BD310" s="1779"/>
      <c r="BE310" s="1779"/>
      <c r="BF310" s="1779"/>
      <c r="BG310" s="1779"/>
      <c r="BH310" s="1779"/>
      <c r="BI310" s="1779"/>
      <c r="BJ310" s="1779"/>
      <c r="BK310" s="1779"/>
      <c r="BL310" s="1779"/>
      <c r="BM310" s="1779"/>
      <c r="BN310" s="1779"/>
      <c r="BO310" s="1779"/>
      <c r="BP310" s="1780"/>
      <c r="BQ310" s="1755"/>
      <c r="BR310" s="1755"/>
      <c r="BS310" s="1755"/>
      <c r="BT310" s="1755"/>
      <c r="BU310" s="1755"/>
      <c r="BV310" s="1755"/>
      <c r="BW310" s="1755"/>
      <c r="BX310" s="1755"/>
      <c r="BY310" s="1755"/>
      <c r="BZ310" s="1755"/>
      <c r="CA310" s="1755"/>
      <c r="CB310" s="1755"/>
      <c r="CC310" s="1755"/>
      <c r="CD310" s="1755"/>
      <c r="CE310" s="1755"/>
      <c r="CF310" s="1755"/>
      <c r="CG310" s="1755"/>
      <c r="CH310" s="1755"/>
      <c r="CI310" s="1755"/>
      <c r="CJ310" s="1755"/>
      <c r="CK310" s="1755"/>
      <c r="CL310" s="1755"/>
      <c r="CM310" s="1755"/>
      <c r="CN310" s="1756"/>
      <c r="CO310" s="1783"/>
    </row>
    <row r="311" spans="2:93" ht="15" x14ac:dyDescent="0.25">
      <c r="B311" s="1707"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11" s="1703" t="s">
        <v>1119</v>
      </c>
      <c r="D311" s="1765" t="s">
        <v>1118</v>
      </c>
      <c r="E311" s="1723" t="s">
        <v>1099</v>
      </c>
      <c r="F311" s="1747" t="str">
        <f>VLOOKUP(TBL5_OptBen[[#This Row],[Option Type (defined list)]],'Option Typs_Grps'!B$2:C$47, 2, FALSE)</f>
        <v>Customer Options</v>
      </c>
      <c r="G311" s="1747" t="s">
        <v>863</v>
      </c>
      <c r="H311" s="1707" t="s">
        <v>1457</v>
      </c>
      <c r="I311" s="1747" t="s">
        <v>102</v>
      </c>
      <c r="J311" s="1747" t="s">
        <v>236</v>
      </c>
      <c r="K311" s="1760">
        <v>2</v>
      </c>
      <c r="L311" s="1779"/>
      <c r="M311" s="1779"/>
      <c r="N311" s="1779">
        <v>0</v>
      </c>
      <c r="O311" s="1780">
        <v>0</v>
      </c>
      <c r="P311" s="1780">
        <v>0</v>
      </c>
      <c r="Q311" s="1779">
        <v>0</v>
      </c>
      <c r="R311" s="1779">
        <v>9.2039513693702429E-3</v>
      </c>
      <c r="S311" s="1779">
        <v>1.8041583471225781E-2</v>
      </c>
      <c r="T311" s="1779">
        <v>1.8482019244001648E-2</v>
      </c>
      <c r="U311" s="1779">
        <v>1.8942252953184201E-2</v>
      </c>
      <c r="V311" s="1779">
        <v>1.9415625605494376E-2</v>
      </c>
      <c r="W311" s="1779">
        <v>2.0084971558614897E-2</v>
      </c>
      <c r="X311" s="1779">
        <v>2.0945501055506202E-2</v>
      </c>
      <c r="Y311" s="1779">
        <v>2.1815366636788788E-2</v>
      </c>
      <c r="Z311" s="1779">
        <v>2.2696538864919541E-2</v>
      </c>
      <c r="AA311" s="1779">
        <v>2.358946244761341E-2</v>
      </c>
      <c r="AB311" s="1779">
        <v>2.4493343351088825E-2</v>
      </c>
      <c r="AC311" s="1779">
        <v>2.5406690573498487E-2</v>
      </c>
      <c r="AD311" s="1779">
        <v>2.6328883966793899E-2</v>
      </c>
      <c r="AE311" s="1779">
        <v>2.726152655147851E-2</v>
      </c>
      <c r="AF311" s="1779">
        <v>2.8203531465226167E-2</v>
      </c>
      <c r="AG311" s="1779">
        <v>2.9158261893607956E-2</v>
      </c>
      <c r="AH311" s="1779">
        <v>3.0125426777329566E-2</v>
      </c>
      <c r="AI311" s="1779">
        <v>3.110093498083619E-2</v>
      </c>
      <c r="AJ311" s="1779">
        <v>3.2084109453868609E-2</v>
      </c>
      <c r="AK311" s="1779">
        <v>3.3074848090148691E-2</v>
      </c>
      <c r="AL311" s="1779">
        <v>3.4073739690835922E-2</v>
      </c>
      <c r="AM311" s="1779">
        <v>3.5080525830510134E-2</v>
      </c>
      <c r="AN311" s="1779">
        <v>3.6095895175736276E-2</v>
      </c>
      <c r="AO311" s="1779">
        <v>3.7120401986676516E-2</v>
      </c>
      <c r="AP311" s="1779">
        <v>3.8153811086279611E-2</v>
      </c>
      <c r="AQ311" s="1779"/>
      <c r="AR311" s="1779"/>
      <c r="AS311" s="1779"/>
      <c r="AT311" s="1779"/>
      <c r="AU311" s="1779"/>
      <c r="AV311" s="1779"/>
      <c r="AW311" s="1779"/>
      <c r="AX311" s="1779"/>
      <c r="AY311" s="1779"/>
      <c r="AZ311" s="1779"/>
      <c r="BA311" s="1779"/>
      <c r="BB311" s="1779"/>
      <c r="BC311" s="1779"/>
      <c r="BD311" s="1779"/>
      <c r="BE311" s="1779"/>
      <c r="BF311" s="1779"/>
      <c r="BG311" s="1779"/>
      <c r="BH311" s="1779"/>
      <c r="BI311" s="1779"/>
      <c r="BJ311" s="1779"/>
      <c r="BK311" s="1779"/>
      <c r="BL311" s="1779"/>
      <c r="BM311" s="1779"/>
      <c r="BN311" s="1779"/>
      <c r="BO311" s="1779"/>
      <c r="BP311" s="1780"/>
      <c r="BQ311" s="1755"/>
      <c r="BR311" s="1755"/>
      <c r="BS311" s="1755"/>
      <c r="BT311" s="1755"/>
      <c r="BU311" s="1755"/>
      <c r="BV311" s="1755"/>
      <c r="BW311" s="1755"/>
      <c r="BX311" s="1755"/>
      <c r="BY311" s="1755"/>
      <c r="BZ311" s="1755"/>
      <c r="CA311" s="1755"/>
      <c r="CB311" s="1755"/>
      <c r="CC311" s="1755"/>
      <c r="CD311" s="1755"/>
      <c r="CE311" s="1755"/>
      <c r="CF311" s="1755"/>
      <c r="CG311" s="1755"/>
      <c r="CH311" s="1755"/>
      <c r="CI311" s="1755"/>
      <c r="CJ311" s="1755"/>
      <c r="CK311" s="1755"/>
      <c r="CL311" s="1755"/>
      <c r="CM311" s="1755"/>
      <c r="CN311" s="1756"/>
      <c r="CO311" s="1783"/>
    </row>
    <row r="312" spans="2:93" x14ac:dyDescent="0.2">
      <c r="B312" s="1707"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12" s="1707" t="s">
        <v>1125</v>
      </c>
      <c r="D312" s="1765" t="s">
        <v>1474</v>
      </c>
      <c r="E312" s="1714" t="s">
        <v>987</v>
      </c>
      <c r="F312" s="1747" t="str">
        <f>VLOOKUP(TBL5_OptBen[[#This Row],[Option Type (defined list)]],'Option Typs_Grps'!B$2:C$47, 2, FALSE)</f>
        <v>Customer Options</v>
      </c>
      <c r="G312" s="1747" t="s">
        <v>863</v>
      </c>
      <c r="H312" s="1707" t="s">
        <v>1457</v>
      </c>
      <c r="I312" s="1747" t="s">
        <v>102</v>
      </c>
      <c r="J312" s="1747" t="s">
        <v>236</v>
      </c>
      <c r="K312" s="1760">
        <v>2</v>
      </c>
      <c r="L312" s="1779"/>
      <c r="M312" s="1779"/>
      <c r="N312" s="1779">
        <v>0</v>
      </c>
      <c r="O312" s="1780">
        <v>0</v>
      </c>
      <c r="P312" s="1780">
        <v>0</v>
      </c>
      <c r="Q312" s="1779">
        <v>0</v>
      </c>
      <c r="R312" s="1779">
        <v>7.6395995637987824E-3</v>
      </c>
      <c r="S312" s="1779">
        <v>1.5279199127601117E-2</v>
      </c>
      <c r="T312" s="1779">
        <v>2.2918798691300424E-2</v>
      </c>
      <c r="U312" s="1779">
        <v>3.0558398255099206E-2</v>
      </c>
      <c r="V312" s="1779">
        <v>3.8197997818800289E-2</v>
      </c>
      <c r="W312" s="1779">
        <v>5.4573490931600688E-2</v>
      </c>
      <c r="X312" s="1779">
        <v>7.0948984044200358E-2</v>
      </c>
      <c r="Y312" s="1779">
        <v>8.7324477156998981E-2</v>
      </c>
      <c r="Z312" s="1779">
        <v>0.1036999702696999</v>
      </c>
      <c r="AA312" s="1779">
        <v>0.12007546338239905</v>
      </c>
      <c r="AB312" s="1779">
        <v>0.13528648519999997</v>
      </c>
      <c r="AC312" s="1779">
        <v>0.15049750701740017</v>
      </c>
      <c r="AD312" s="1779">
        <v>0.16570852883490161</v>
      </c>
      <c r="AE312" s="1779">
        <v>0.16570852883489984</v>
      </c>
      <c r="AF312" s="1779">
        <v>0.16570852883500109</v>
      </c>
      <c r="AG312" s="1779">
        <v>0.16570852883499931</v>
      </c>
      <c r="AH312" s="1779">
        <v>0.16570852883489984</v>
      </c>
      <c r="AI312" s="1779">
        <v>0.16570852883499931</v>
      </c>
      <c r="AJ312" s="1779">
        <v>0.16570852883489984</v>
      </c>
      <c r="AK312" s="1779">
        <v>0.16570852883499931</v>
      </c>
      <c r="AL312" s="1779">
        <v>0.16570852883499931</v>
      </c>
      <c r="AM312" s="1779">
        <v>0.16570852883489984</v>
      </c>
      <c r="AN312" s="1779">
        <v>0.16570852883500109</v>
      </c>
      <c r="AO312" s="1779">
        <v>0.16570852883489984</v>
      </c>
      <c r="AP312" s="1779">
        <v>0.16570852883500109</v>
      </c>
      <c r="AQ312" s="1779"/>
      <c r="AR312" s="1779"/>
      <c r="AS312" s="1779"/>
      <c r="AT312" s="1779"/>
      <c r="AU312" s="1779"/>
      <c r="AV312" s="1779"/>
      <c r="AW312" s="1779"/>
      <c r="AX312" s="1779"/>
      <c r="AY312" s="1779"/>
      <c r="AZ312" s="1779"/>
      <c r="BA312" s="1779"/>
      <c r="BB312" s="1779"/>
      <c r="BC312" s="1779"/>
      <c r="BD312" s="1779"/>
      <c r="BE312" s="1779"/>
      <c r="BF312" s="1779"/>
      <c r="BG312" s="1779"/>
      <c r="BH312" s="1779"/>
      <c r="BI312" s="1779"/>
      <c r="BJ312" s="1779"/>
      <c r="BK312" s="1779"/>
      <c r="BL312" s="1779"/>
      <c r="BM312" s="1779"/>
      <c r="BN312" s="1779"/>
      <c r="BO312" s="1779"/>
      <c r="BP312" s="1780"/>
      <c r="BQ312" s="1755"/>
      <c r="BR312" s="1755"/>
      <c r="BS312" s="1755"/>
      <c r="BT312" s="1755"/>
      <c r="BU312" s="1755"/>
      <c r="BV312" s="1755"/>
      <c r="BW312" s="1755"/>
      <c r="BX312" s="1755"/>
      <c r="BY312" s="1755"/>
      <c r="BZ312" s="1755"/>
      <c r="CA312" s="1755"/>
      <c r="CB312" s="1755"/>
      <c r="CC312" s="1755"/>
      <c r="CD312" s="1755"/>
      <c r="CE312" s="1755"/>
      <c r="CF312" s="1755"/>
      <c r="CG312" s="1755"/>
      <c r="CH312" s="1755"/>
      <c r="CI312" s="1755"/>
      <c r="CJ312" s="1755"/>
      <c r="CK312" s="1755"/>
      <c r="CL312" s="1755"/>
      <c r="CM312" s="1755"/>
      <c r="CN312" s="1756"/>
      <c r="CO312" s="1783"/>
    </row>
    <row r="313" spans="2:93" x14ac:dyDescent="0.2">
      <c r="B313" s="1707"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13" s="1703" t="s">
        <v>1079</v>
      </c>
      <c r="D313" s="1765" t="s">
        <v>1078</v>
      </c>
      <c r="E313" s="1714" t="s">
        <v>987</v>
      </c>
      <c r="F313" s="1747" t="str">
        <f>VLOOKUP(TBL5_OptBen[[#This Row],[Option Type (defined list)]],'Option Typs_Grps'!B$2:C$47, 2, FALSE)</f>
        <v>Customer Options</v>
      </c>
      <c r="G313" s="1747" t="s">
        <v>863</v>
      </c>
      <c r="H313" s="1707" t="s">
        <v>1457</v>
      </c>
      <c r="I313" s="1747" t="s">
        <v>102</v>
      </c>
      <c r="J313" s="1747" t="s">
        <v>236</v>
      </c>
      <c r="K313" s="1760">
        <v>2</v>
      </c>
      <c r="L313" s="1779"/>
      <c r="M313" s="1779"/>
      <c r="N313" s="1779">
        <v>0</v>
      </c>
      <c r="O313" s="1780">
        <v>0</v>
      </c>
      <c r="P313" s="1780">
        <v>0</v>
      </c>
      <c r="Q313" s="1779">
        <v>0</v>
      </c>
      <c r="R313" s="1779">
        <v>0</v>
      </c>
      <c r="S313" s="1779">
        <v>0</v>
      </c>
      <c r="T313" s="1779">
        <v>9.4103258283002589E-3</v>
      </c>
      <c r="U313" s="1779">
        <v>1.8758815812800478E-2</v>
      </c>
      <c r="V313" s="1779">
        <v>2.8041152727400487E-2</v>
      </c>
      <c r="W313" s="1779">
        <v>3.72156604469005E-2</v>
      </c>
      <c r="X313" s="1779">
        <v>4.6320273715700466E-2</v>
      </c>
      <c r="Y313" s="1779">
        <v>5.5352766276298482E-2</v>
      </c>
      <c r="Z313" s="1779">
        <v>7.4432272134398403E-2</v>
      </c>
      <c r="AA313" s="1779">
        <v>9.3388923077800001E-2</v>
      </c>
      <c r="AB313" s="1779">
        <v>0.11225156561260086</v>
      </c>
      <c r="AC313" s="1779">
        <v>0.13103614773550021</v>
      </c>
      <c r="AD313" s="1779">
        <v>0.14975844047660125</v>
      </c>
      <c r="AE313" s="1779">
        <v>0.16838205952520013</v>
      </c>
      <c r="AF313" s="1779">
        <v>0.18678872830479953</v>
      </c>
      <c r="AG313" s="1779">
        <v>0.20502825271989877</v>
      </c>
      <c r="AH313" s="1779">
        <v>0.22317353806890061</v>
      </c>
      <c r="AI313" s="1779">
        <v>0.24129542120090086</v>
      </c>
      <c r="AJ313" s="1779">
        <v>0.24692362060729955</v>
      </c>
      <c r="AK313" s="1779">
        <v>0.25259487094830035</v>
      </c>
      <c r="AL313" s="1779">
        <v>0.25821975220410032</v>
      </c>
      <c r="AM313" s="1779">
        <v>0.26382100824690013</v>
      </c>
      <c r="AN313" s="1779">
        <v>0.26950931389390043</v>
      </c>
      <c r="AO313" s="1779">
        <v>0.27527842000570146</v>
      </c>
      <c r="AP313" s="1779">
        <v>0.28111624695820048</v>
      </c>
      <c r="AQ313" s="1779"/>
      <c r="AR313" s="1779"/>
      <c r="AS313" s="1779"/>
      <c r="AT313" s="1779"/>
      <c r="AU313" s="1779"/>
      <c r="AV313" s="1779"/>
      <c r="AW313" s="1779"/>
      <c r="AX313" s="1779"/>
      <c r="AY313" s="1779"/>
      <c r="AZ313" s="1779"/>
      <c r="BA313" s="1779"/>
      <c r="BB313" s="1779"/>
      <c r="BC313" s="1779"/>
      <c r="BD313" s="1779"/>
      <c r="BE313" s="1779"/>
      <c r="BF313" s="1779"/>
      <c r="BG313" s="1779"/>
      <c r="BH313" s="1779"/>
      <c r="BI313" s="1779"/>
      <c r="BJ313" s="1779"/>
      <c r="BK313" s="1779"/>
      <c r="BL313" s="1779"/>
      <c r="BM313" s="1779"/>
      <c r="BN313" s="1779"/>
      <c r="BO313" s="1779"/>
      <c r="BP313" s="1780"/>
      <c r="BQ313" s="1755"/>
      <c r="BR313" s="1755"/>
      <c r="BS313" s="1755"/>
      <c r="BT313" s="1755"/>
      <c r="BU313" s="1755"/>
      <c r="BV313" s="1755"/>
      <c r="BW313" s="1755"/>
      <c r="BX313" s="1755"/>
      <c r="BY313" s="1755"/>
      <c r="BZ313" s="1755"/>
      <c r="CA313" s="1755"/>
      <c r="CB313" s="1755"/>
      <c r="CC313" s="1755"/>
      <c r="CD313" s="1755"/>
      <c r="CE313" s="1755"/>
      <c r="CF313" s="1755"/>
      <c r="CG313" s="1755"/>
      <c r="CH313" s="1755"/>
      <c r="CI313" s="1755"/>
      <c r="CJ313" s="1755"/>
      <c r="CK313" s="1755"/>
      <c r="CL313" s="1755"/>
      <c r="CM313" s="1755"/>
      <c r="CN313" s="1756"/>
      <c r="CO313" s="1783"/>
    </row>
    <row r="314" spans="2:93" x14ac:dyDescent="0.2">
      <c r="B314" s="1707"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14" s="1747" t="s">
        <v>1067</v>
      </c>
      <c r="D314" s="1747" t="s">
        <v>1066</v>
      </c>
      <c r="E314" s="1747" t="s">
        <v>1068</v>
      </c>
      <c r="F314" s="1747" t="str">
        <f>VLOOKUP(TBL5_OptBen[[#This Row],[Option Type (defined list)]],'Option Typs_Grps'!B$2:C$47, 2, FALSE)</f>
        <v>Customer Options</v>
      </c>
      <c r="G314" s="1747" t="s">
        <v>863</v>
      </c>
      <c r="H314" s="1707" t="s">
        <v>1457</v>
      </c>
      <c r="I314" s="1747" t="s">
        <v>105</v>
      </c>
      <c r="J314" s="1747" t="s">
        <v>236</v>
      </c>
      <c r="K314" s="1760">
        <v>2</v>
      </c>
      <c r="L314" s="1779"/>
      <c r="M314" s="1779"/>
      <c r="N314" s="1779">
        <v>0</v>
      </c>
      <c r="O314" s="1780">
        <v>0</v>
      </c>
      <c r="P314" s="1780">
        <v>0</v>
      </c>
      <c r="Q314" s="1779">
        <v>0</v>
      </c>
      <c r="R314" s="1779">
        <v>-3.0250176832678055E-2</v>
      </c>
      <c r="S314" s="1779">
        <v>0.22092509792618942</v>
      </c>
      <c r="T314" s="1779">
        <v>0.44180783531048951</v>
      </c>
      <c r="U314" s="1779">
        <v>0.65676649195386716</v>
      </c>
      <c r="V314" s="1779">
        <v>0.74603012807686042</v>
      </c>
      <c r="W314" s="1779">
        <v>0.67123336816176948</v>
      </c>
      <c r="X314" s="1779">
        <v>0.56160146727783111</v>
      </c>
      <c r="Y314" s="1779">
        <v>0.569141486410361</v>
      </c>
      <c r="Z314" s="1779">
        <v>0.56222283464014211</v>
      </c>
      <c r="AA314" s="1779">
        <v>0.57604467671953508</v>
      </c>
      <c r="AB314" s="1779">
        <v>0.58287426680638443</v>
      </c>
      <c r="AC314" s="1779">
        <v>0.5918935824934346</v>
      </c>
      <c r="AD314" s="1779">
        <v>0.60111067476332636</v>
      </c>
      <c r="AE314" s="1779">
        <v>0.61075432210265568</v>
      </c>
      <c r="AF314" s="1779">
        <v>0.62047119950066865</v>
      </c>
      <c r="AG314" s="1779">
        <v>0.62710990671047462</v>
      </c>
      <c r="AH314" s="1779">
        <v>0.63765170324713516</v>
      </c>
      <c r="AI314" s="1779">
        <v>0.64710000505310106</v>
      </c>
      <c r="AJ314" s="1779">
        <v>0.65750529700698657</v>
      </c>
      <c r="AK314" s="1779">
        <v>0.66793736733069409</v>
      </c>
      <c r="AL314" s="1779">
        <v>0.67795511886693127</v>
      </c>
      <c r="AM314" s="1779">
        <v>0.68819476295195159</v>
      </c>
      <c r="AN314" s="1779">
        <v>0.69833323270556491</v>
      </c>
      <c r="AO314" s="1779">
        <v>0.708452004238044</v>
      </c>
      <c r="AP314" s="1779">
        <v>0.71892658861624348</v>
      </c>
      <c r="AQ314" s="1779"/>
      <c r="AR314" s="1779"/>
      <c r="AS314" s="1779"/>
      <c r="AT314" s="1779"/>
      <c r="AU314" s="1779"/>
      <c r="AV314" s="1779"/>
      <c r="AW314" s="1779"/>
      <c r="AX314" s="1779"/>
      <c r="AY314" s="1779"/>
      <c r="AZ314" s="1779"/>
      <c r="BA314" s="1779"/>
      <c r="BB314" s="1779"/>
      <c r="BC314" s="1779"/>
      <c r="BD314" s="1779"/>
      <c r="BE314" s="1779"/>
      <c r="BF314" s="1779"/>
      <c r="BG314" s="1779"/>
      <c r="BH314" s="1779"/>
      <c r="BI314" s="1779"/>
      <c r="BJ314" s="1779"/>
      <c r="BK314" s="1779"/>
      <c r="BL314" s="1779"/>
      <c r="BM314" s="1779"/>
      <c r="BN314" s="1779"/>
      <c r="BO314" s="1779"/>
      <c r="BP314" s="1780"/>
      <c r="BQ314" s="1755"/>
      <c r="BR314" s="1755"/>
      <c r="BS314" s="1755"/>
      <c r="BT314" s="1755"/>
      <c r="BU314" s="1755"/>
      <c r="BV314" s="1755"/>
      <c r="BW314" s="1755"/>
      <c r="BX314" s="1755"/>
      <c r="BY314" s="1755"/>
      <c r="BZ314" s="1755"/>
      <c r="CA314" s="1755"/>
      <c r="CB314" s="1755"/>
      <c r="CC314" s="1755"/>
      <c r="CD314" s="1755"/>
      <c r="CE314" s="1755"/>
      <c r="CF314" s="1755"/>
      <c r="CG314" s="1755"/>
      <c r="CH314" s="1755"/>
      <c r="CI314" s="1755"/>
      <c r="CJ314" s="1755"/>
      <c r="CK314" s="1755"/>
      <c r="CL314" s="1755"/>
      <c r="CM314" s="1755"/>
      <c r="CN314" s="1756"/>
      <c r="CO314" s="1783"/>
    </row>
    <row r="315" spans="2:93" x14ac:dyDescent="0.2">
      <c r="B315" s="1707"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15" s="1747" t="s">
        <v>1075</v>
      </c>
      <c r="D315" s="1747" t="s">
        <v>1074</v>
      </c>
      <c r="E315" s="1747" t="s">
        <v>987</v>
      </c>
      <c r="F315" s="1747" t="str">
        <f>VLOOKUP(TBL5_OptBen[[#This Row],[Option Type (defined list)]],'Option Typs_Grps'!B$2:C$47, 2, FALSE)</f>
        <v>Customer Options</v>
      </c>
      <c r="G315" s="1747" t="s">
        <v>863</v>
      </c>
      <c r="H315" s="1707" t="s">
        <v>1457</v>
      </c>
      <c r="I315" s="1747" t="s">
        <v>105</v>
      </c>
      <c r="J315" s="1747" t="s">
        <v>236</v>
      </c>
      <c r="K315" s="1760">
        <v>2</v>
      </c>
      <c r="L315" s="1779"/>
      <c r="M315" s="1779"/>
      <c r="N315" s="1779">
        <v>0</v>
      </c>
      <c r="O315" s="1780">
        <v>0</v>
      </c>
      <c r="P315" s="1780">
        <v>0</v>
      </c>
      <c r="Q315" s="1779">
        <v>0</v>
      </c>
      <c r="R315" s="1779">
        <v>0.22449124655680208</v>
      </c>
      <c r="S315" s="1779">
        <v>0.44594592523610288</v>
      </c>
      <c r="T315" s="1779">
        <v>0.6662845238058992</v>
      </c>
      <c r="U315" s="1779">
        <v>0.88511942941270405</v>
      </c>
      <c r="V315" s="1779">
        <v>1.1020394620337015</v>
      </c>
      <c r="W315" s="1779">
        <v>1.3069039598269043</v>
      </c>
      <c r="X315" s="1779">
        <v>1.5109756718536005</v>
      </c>
      <c r="Y315" s="1779">
        <v>1.7137361579889046</v>
      </c>
      <c r="Z315" s="1779">
        <v>1.9155081107526968</v>
      </c>
      <c r="AA315" s="1779">
        <v>2.1171663775421052</v>
      </c>
      <c r="AB315" s="1779">
        <v>2.1854288201938985</v>
      </c>
      <c r="AC315" s="1779">
        <v>2.2525336110454006</v>
      </c>
      <c r="AD315" s="1779">
        <v>2.3186815926924993</v>
      </c>
      <c r="AE315" s="1779">
        <v>2.3845916997709011</v>
      </c>
      <c r="AF315" s="1779">
        <v>2.4508174073359967</v>
      </c>
      <c r="AG315" s="1779">
        <v>2.5142781679200965</v>
      </c>
      <c r="AH315" s="1779">
        <v>2.5768563611098969</v>
      </c>
      <c r="AI315" s="1779">
        <v>2.6386977728547976</v>
      </c>
      <c r="AJ315" s="1779">
        <v>2.6998942294479988</v>
      </c>
      <c r="AK315" s="1779">
        <v>2.7603311018409045</v>
      </c>
      <c r="AL315" s="1779">
        <v>2.8174101032381955</v>
      </c>
      <c r="AM315" s="1779">
        <v>2.8736127788586998</v>
      </c>
      <c r="AN315" s="1779">
        <v>2.9293708811567996</v>
      </c>
      <c r="AO315" s="1779">
        <v>2.9847736388110988</v>
      </c>
      <c r="AP315" s="1779">
        <v>2.9767429813442021</v>
      </c>
      <c r="AQ315" s="1779"/>
      <c r="AR315" s="1779"/>
      <c r="AS315" s="1779"/>
      <c r="AT315" s="1779"/>
      <c r="AU315" s="1779"/>
      <c r="AV315" s="1779"/>
      <c r="AW315" s="1779"/>
      <c r="AX315" s="1779"/>
      <c r="AY315" s="1779"/>
      <c r="AZ315" s="1779"/>
      <c r="BA315" s="1779"/>
      <c r="BB315" s="1779"/>
      <c r="BC315" s="1779"/>
      <c r="BD315" s="1779"/>
      <c r="BE315" s="1779"/>
      <c r="BF315" s="1779"/>
      <c r="BG315" s="1779"/>
      <c r="BH315" s="1779"/>
      <c r="BI315" s="1779"/>
      <c r="BJ315" s="1779"/>
      <c r="BK315" s="1779"/>
      <c r="BL315" s="1779"/>
      <c r="BM315" s="1779"/>
      <c r="BN315" s="1779"/>
      <c r="BO315" s="1779"/>
      <c r="BP315" s="1780"/>
      <c r="BQ315" s="1755"/>
      <c r="BR315" s="1755"/>
      <c r="BS315" s="1755"/>
      <c r="BT315" s="1755"/>
      <c r="BU315" s="1755"/>
      <c r="BV315" s="1755"/>
      <c r="BW315" s="1755"/>
      <c r="BX315" s="1755"/>
      <c r="BY315" s="1755"/>
      <c r="BZ315" s="1755"/>
      <c r="CA315" s="1755"/>
      <c r="CB315" s="1755"/>
      <c r="CC315" s="1755"/>
      <c r="CD315" s="1755"/>
      <c r="CE315" s="1755"/>
      <c r="CF315" s="1755"/>
      <c r="CG315" s="1755"/>
      <c r="CH315" s="1755"/>
      <c r="CI315" s="1755"/>
      <c r="CJ315" s="1755"/>
      <c r="CK315" s="1755"/>
      <c r="CL315" s="1755"/>
      <c r="CM315" s="1755"/>
      <c r="CN315" s="1756"/>
      <c r="CO315" s="1783"/>
    </row>
    <row r="316" spans="2:93" x14ac:dyDescent="0.2">
      <c r="B316" s="1707"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16" s="1747" t="s">
        <v>1123</v>
      </c>
      <c r="D316" s="1747" t="s">
        <v>1122</v>
      </c>
      <c r="E316" s="1747" t="s">
        <v>987</v>
      </c>
      <c r="F316" s="1747" t="str">
        <f>VLOOKUP(TBL5_OptBen[[#This Row],[Option Type (defined list)]],'Option Typs_Grps'!B$2:C$47, 2, FALSE)</f>
        <v>Customer Options</v>
      </c>
      <c r="G316" s="1747" t="s">
        <v>863</v>
      </c>
      <c r="H316" s="1707" t="s">
        <v>1457</v>
      </c>
      <c r="I316" s="1747" t="s">
        <v>105</v>
      </c>
      <c r="J316" s="1747" t="s">
        <v>236</v>
      </c>
      <c r="K316" s="1760">
        <v>2</v>
      </c>
      <c r="L316" s="1779"/>
      <c r="M316" s="1779"/>
      <c r="N316" s="1779">
        <v>0</v>
      </c>
      <c r="O316" s="1780">
        <v>0</v>
      </c>
      <c r="P316" s="1780">
        <v>0</v>
      </c>
      <c r="Q316" s="1779">
        <v>0</v>
      </c>
      <c r="R316" s="1779">
        <v>0.25285197876790022</v>
      </c>
      <c r="S316" s="1779">
        <v>0.28915600381380102</v>
      </c>
      <c r="T316" s="1779">
        <v>0.85611904685490003</v>
      </c>
      <c r="U316" s="1779">
        <v>1.1682636737810981</v>
      </c>
      <c r="V316" s="1779">
        <v>1.2988043173646986</v>
      </c>
      <c r="W316" s="1779">
        <v>1.3410526156413951</v>
      </c>
      <c r="X316" s="1779">
        <v>1.3833378679479011</v>
      </c>
      <c r="Y316" s="1779">
        <v>1.4249758066094955</v>
      </c>
      <c r="Z316" s="1779">
        <v>1.4661822578709049</v>
      </c>
      <c r="AA316" s="1779">
        <v>1.376736671158497</v>
      </c>
      <c r="AB316" s="1779">
        <v>1.3711449088019023</v>
      </c>
      <c r="AC316" s="1779">
        <v>1.3655705656969985</v>
      </c>
      <c r="AD316" s="1779">
        <v>1.3600865454248989</v>
      </c>
      <c r="AE316" s="1779">
        <v>1.3549934973377944</v>
      </c>
      <c r="AF316" s="1779">
        <v>1.3505218764641995</v>
      </c>
      <c r="AG316" s="1779">
        <v>1.3462455303585017</v>
      </c>
      <c r="AH316" s="1779">
        <v>1.3420285073993981</v>
      </c>
      <c r="AI316" s="1779">
        <v>1.3379199848717036</v>
      </c>
      <c r="AJ316" s="1779">
        <v>1.3339463027527998</v>
      </c>
      <c r="AK316" s="1779">
        <v>1.3300438899332008</v>
      </c>
      <c r="AL316" s="1779">
        <v>1.3260841828720018</v>
      </c>
      <c r="AM316" s="1779">
        <v>1.3221056454912983</v>
      </c>
      <c r="AN316" s="1779">
        <v>1.3182852448858</v>
      </c>
      <c r="AO316" s="1779">
        <v>1.3146506739254988</v>
      </c>
      <c r="AP316" s="1779">
        <v>1.3739241314790007</v>
      </c>
      <c r="AQ316" s="1779"/>
      <c r="AR316" s="1779"/>
      <c r="AS316" s="1779"/>
      <c r="AT316" s="1779"/>
      <c r="AU316" s="1779"/>
      <c r="AV316" s="1779"/>
      <c r="AW316" s="1779"/>
      <c r="AX316" s="1779"/>
      <c r="AY316" s="1779"/>
      <c r="AZ316" s="1779"/>
      <c r="BA316" s="1779"/>
      <c r="BB316" s="1779"/>
      <c r="BC316" s="1779"/>
      <c r="BD316" s="1779"/>
      <c r="BE316" s="1779"/>
      <c r="BF316" s="1779"/>
      <c r="BG316" s="1779"/>
      <c r="BH316" s="1779"/>
      <c r="BI316" s="1779"/>
      <c r="BJ316" s="1779"/>
      <c r="BK316" s="1779"/>
      <c r="BL316" s="1779"/>
      <c r="BM316" s="1779"/>
      <c r="BN316" s="1779"/>
      <c r="BO316" s="1779"/>
      <c r="BP316" s="1780"/>
      <c r="BQ316" s="1755"/>
      <c r="BR316" s="1755"/>
      <c r="BS316" s="1755"/>
      <c r="BT316" s="1755"/>
      <c r="BU316" s="1755"/>
      <c r="BV316" s="1755"/>
      <c r="BW316" s="1755"/>
      <c r="BX316" s="1755"/>
      <c r="BY316" s="1755"/>
      <c r="BZ316" s="1755"/>
      <c r="CA316" s="1755"/>
      <c r="CB316" s="1755"/>
      <c r="CC316" s="1755"/>
      <c r="CD316" s="1755"/>
      <c r="CE316" s="1755"/>
      <c r="CF316" s="1755"/>
      <c r="CG316" s="1755"/>
      <c r="CH316" s="1755"/>
      <c r="CI316" s="1755"/>
      <c r="CJ316" s="1755"/>
      <c r="CK316" s="1755"/>
      <c r="CL316" s="1755"/>
      <c r="CM316" s="1755"/>
      <c r="CN316" s="1756"/>
      <c r="CO316" s="1783"/>
    </row>
    <row r="317" spans="2:93" x14ac:dyDescent="0.2">
      <c r="B317" s="1707"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317" s="1747" t="s">
        <v>1082</v>
      </c>
      <c r="D317" s="1747" t="s">
        <v>1081</v>
      </c>
      <c r="E317" s="1747" t="s">
        <v>860</v>
      </c>
      <c r="F317" s="1747" t="str">
        <f>VLOOKUP(TBL5_OptBen[[#This Row],[Option Type (defined list)]],'Option Typs_Grps'!B$2:C$47, 2, FALSE)</f>
        <v>Distribution Options</v>
      </c>
      <c r="G317" s="1747" t="s">
        <v>863</v>
      </c>
      <c r="H317" s="1707" t="s">
        <v>1457</v>
      </c>
      <c r="I317" s="1747" t="s">
        <v>105</v>
      </c>
      <c r="J317" s="1747" t="s">
        <v>236</v>
      </c>
      <c r="K317" s="1760">
        <v>2</v>
      </c>
      <c r="L317" s="1779"/>
      <c r="M317" s="1779"/>
      <c r="N317" s="1779">
        <v>0</v>
      </c>
      <c r="O317" s="1780">
        <v>0</v>
      </c>
      <c r="P317" s="1780">
        <v>0</v>
      </c>
      <c r="Q317" s="1779">
        <v>0</v>
      </c>
      <c r="R317" s="1779">
        <v>2.0497010939743765E-2</v>
      </c>
      <c r="S317" s="1779">
        <v>2.8131052956422264E-2</v>
      </c>
      <c r="T317" s="1779">
        <v>9.7854674088195814E-3</v>
      </c>
      <c r="U317" s="1779">
        <v>-2.0179402831490112E-2</v>
      </c>
      <c r="V317" s="1779">
        <v>-3.3449196205928011E-2</v>
      </c>
      <c r="W317" s="1779">
        <v>-2.1372962654336192E-2</v>
      </c>
      <c r="X317" s="1779">
        <v>-6.954358139554806E-5</v>
      </c>
      <c r="Y317" s="1779">
        <v>2.1176585235679113E-2</v>
      </c>
      <c r="Z317" s="1779">
        <v>4.2354618941040423E-2</v>
      </c>
      <c r="AA317" s="1779">
        <v>6.3463175295519481E-2</v>
      </c>
      <c r="AB317" s="1779">
        <v>8.4468033114998065E-2</v>
      </c>
      <c r="AC317" s="1779">
        <v>0.10537309422437291</v>
      </c>
      <c r="AD317" s="1779">
        <v>0.12621569853705017</v>
      </c>
      <c r="AE317" s="1779">
        <v>0.14699737189668394</v>
      </c>
      <c r="AF317" s="1779">
        <v>0.16772764836791842</v>
      </c>
      <c r="AG317" s="1779">
        <v>0.18840041528255469</v>
      </c>
      <c r="AH317" s="1779">
        <v>0.20901849631826996</v>
      </c>
      <c r="AI317" s="1779">
        <v>0.22958098505130908</v>
      </c>
      <c r="AJ317" s="1779">
        <v>0.25008862554965239</v>
      </c>
      <c r="AK317" s="1779">
        <v>0.27054286884443735</v>
      </c>
      <c r="AL317" s="1779">
        <v>0.29094479727368583</v>
      </c>
      <c r="AM317" s="1779">
        <v>0.31129537924124362</v>
      </c>
      <c r="AN317" s="1779">
        <v>0.33159588466125323</v>
      </c>
      <c r="AO317" s="1779">
        <v>0.35184825930580232</v>
      </c>
      <c r="AP317" s="1779">
        <v>0.3720534466407468</v>
      </c>
      <c r="AQ317" s="1779"/>
      <c r="AR317" s="1779"/>
      <c r="AS317" s="1779"/>
      <c r="AT317" s="1779"/>
      <c r="AU317" s="1779"/>
      <c r="AV317" s="1779"/>
      <c r="AW317" s="1779"/>
      <c r="AX317" s="1779"/>
      <c r="AY317" s="1779"/>
      <c r="AZ317" s="1779"/>
      <c r="BA317" s="1779"/>
      <c r="BB317" s="1779"/>
      <c r="BC317" s="1779"/>
      <c r="BD317" s="1779"/>
      <c r="BE317" s="1779"/>
      <c r="BF317" s="1779"/>
      <c r="BG317" s="1779"/>
      <c r="BH317" s="1779"/>
      <c r="BI317" s="1779"/>
      <c r="BJ317" s="1779"/>
      <c r="BK317" s="1779"/>
      <c r="BL317" s="1779"/>
      <c r="BM317" s="1779"/>
      <c r="BN317" s="1779"/>
      <c r="BO317" s="1779"/>
      <c r="BP317" s="1780"/>
      <c r="BQ317" s="1755"/>
      <c r="BR317" s="1755"/>
      <c r="BS317" s="1755"/>
      <c r="BT317" s="1755"/>
      <c r="BU317" s="1755"/>
      <c r="BV317" s="1755"/>
      <c r="BW317" s="1755"/>
      <c r="BX317" s="1755"/>
      <c r="BY317" s="1755"/>
      <c r="BZ317" s="1755"/>
      <c r="CA317" s="1755"/>
      <c r="CB317" s="1755"/>
      <c r="CC317" s="1755"/>
      <c r="CD317" s="1755"/>
      <c r="CE317" s="1755"/>
      <c r="CF317" s="1755"/>
      <c r="CG317" s="1755"/>
      <c r="CH317" s="1755"/>
      <c r="CI317" s="1755"/>
      <c r="CJ317" s="1755"/>
      <c r="CK317" s="1755"/>
      <c r="CL317" s="1755"/>
      <c r="CM317" s="1755"/>
      <c r="CN317" s="1756"/>
      <c r="CO317" s="1783"/>
    </row>
    <row r="318" spans="2:93" x14ac:dyDescent="0.2">
      <c r="B318" s="1707"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18" s="1747" t="s">
        <v>1119</v>
      </c>
      <c r="D318" s="1747" t="s">
        <v>1118</v>
      </c>
      <c r="E318" s="1747" t="s">
        <v>1099</v>
      </c>
      <c r="F318" s="1747" t="str">
        <f>VLOOKUP(TBL5_OptBen[[#This Row],[Option Type (defined list)]],'Option Typs_Grps'!B$2:C$47, 2, FALSE)</f>
        <v>Customer Options</v>
      </c>
      <c r="G318" s="1747" t="s">
        <v>863</v>
      </c>
      <c r="H318" s="1707" t="s">
        <v>1457</v>
      </c>
      <c r="I318" s="1747" t="s">
        <v>105</v>
      </c>
      <c r="J318" s="1747" t="s">
        <v>236</v>
      </c>
      <c r="K318" s="1760">
        <v>2</v>
      </c>
      <c r="L318" s="1779"/>
      <c r="M318" s="1779"/>
      <c r="N318" s="1779">
        <v>0</v>
      </c>
      <c r="O318" s="1780">
        <v>0</v>
      </c>
      <c r="P318" s="1780">
        <v>0</v>
      </c>
      <c r="Q318" s="1779">
        <v>0</v>
      </c>
      <c r="R318" s="1779">
        <v>7.67658906025619E-3</v>
      </c>
      <c r="S318" s="1779">
        <v>2.8216147043577881E-2</v>
      </c>
      <c r="T318" s="1779">
        <v>7.4735332591180786E-2</v>
      </c>
      <c r="U318" s="1779">
        <v>0.13287380283149092</v>
      </c>
      <c r="V318" s="1779">
        <v>0.17431719620592837</v>
      </c>
      <c r="W318" s="1779">
        <v>0.19041456265433712</v>
      </c>
      <c r="X318" s="1779">
        <v>0.19728474358139669</v>
      </c>
      <c r="Y318" s="1779">
        <v>0.20421221476432208</v>
      </c>
      <c r="Z318" s="1779">
        <v>0.21120778105896068</v>
      </c>
      <c r="AA318" s="1779">
        <v>0.21827282470448189</v>
      </c>
      <c r="AB318" s="1779">
        <v>0.22544156688500333</v>
      </c>
      <c r="AC318" s="1779">
        <v>0.23271010577562865</v>
      </c>
      <c r="AD318" s="1779">
        <v>0.24004110146295188</v>
      </c>
      <c r="AE318" s="1779">
        <v>0.24743302810331808</v>
      </c>
      <c r="AF318" s="1779">
        <v>0.25487635163208355</v>
      </c>
      <c r="AG318" s="1779">
        <v>0.26237718471744731</v>
      </c>
      <c r="AH318" s="1779">
        <v>0.26993270368173239</v>
      </c>
      <c r="AI318" s="1779">
        <v>0.27754381494869351</v>
      </c>
      <c r="AJ318" s="1779">
        <v>0.28520977445035034</v>
      </c>
      <c r="AK318" s="1779">
        <v>0.29292913115556524</v>
      </c>
      <c r="AL318" s="1779">
        <v>0.30070080272631694</v>
      </c>
      <c r="AM318" s="1779">
        <v>0.30852382075875928</v>
      </c>
      <c r="AN318" s="1779">
        <v>0.31639691533875025</v>
      </c>
      <c r="AO318" s="1779">
        <v>0.32431814069420095</v>
      </c>
      <c r="AP318" s="1779">
        <v>0.33228655335925339</v>
      </c>
      <c r="AQ318" s="1779"/>
      <c r="AR318" s="1779"/>
      <c r="AS318" s="1779"/>
      <c r="AT318" s="1779"/>
      <c r="AU318" s="1779"/>
      <c r="AV318" s="1779"/>
      <c r="AW318" s="1779"/>
      <c r="AX318" s="1779"/>
      <c r="AY318" s="1779"/>
      <c r="AZ318" s="1779"/>
      <c r="BA318" s="1779"/>
      <c r="BB318" s="1779"/>
      <c r="BC318" s="1779"/>
      <c r="BD318" s="1779"/>
      <c r="BE318" s="1779"/>
      <c r="BF318" s="1779"/>
      <c r="BG318" s="1779"/>
      <c r="BH318" s="1779"/>
      <c r="BI318" s="1779"/>
      <c r="BJ318" s="1779"/>
      <c r="BK318" s="1779"/>
      <c r="BL318" s="1779"/>
      <c r="BM318" s="1779"/>
      <c r="BN318" s="1779"/>
      <c r="BO318" s="1779"/>
      <c r="BP318" s="1780"/>
      <c r="BQ318" s="1755"/>
      <c r="BR318" s="1755"/>
      <c r="BS318" s="1755"/>
      <c r="BT318" s="1755"/>
      <c r="BU318" s="1755"/>
      <c r="BV318" s="1755"/>
      <c r="BW318" s="1755"/>
      <c r="BX318" s="1755"/>
      <c r="BY318" s="1755"/>
      <c r="BZ318" s="1755"/>
      <c r="CA318" s="1755"/>
      <c r="CB318" s="1755"/>
      <c r="CC318" s="1755"/>
      <c r="CD318" s="1755"/>
      <c r="CE318" s="1755"/>
      <c r="CF318" s="1755"/>
      <c r="CG318" s="1755"/>
      <c r="CH318" s="1755"/>
      <c r="CI318" s="1755"/>
      <c r="CJ318" s="1755"/>
      <c r="CK318" s="1755"/>
      <c r="CL318" s="1755"/>
      <c r="CM318" s="1755"/>
      <c r="CN318" s="1756"/>
      <c r="CO318" s="1783"/>
    </row>
    <row r="319" spans="2:93" x14ac:dyDescent="0.2">
      <c r="B319" s="1707"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19" s="1747" t="s">
        <v>1125</v>
      </c>
      <c r="D319" s="1747" t="s">
        <v>1474</v>
      </c>
      <c r="E319" s="1747" t="s">
        <v>987</v>
      </c>
      <c r="F319" s="1747" t="str">
        <f>VLOOKUP(TBL5_OptBen[[#This Row],[Option Type (defined list)]],'Option Typs_Grps'!B$2:C$47, 2, FALSE)</f>
        <v>Customer Options</v>
      </c>
      <c r="G319" s="1747" t="s">
        <v>863</v>
      </c>
      <c r="H319" s="1707" t="s">
        <v>1457</v>
      </c>
      <c r="I319" s="1747" t="s">
        <v>105</v>
      </c>
      <c r="J319" s="1747" t="s">
        <v>236</v>
      </c>
      <c r="K319" s="1760">
        <v>2</v>
      </c>
      <c r="L319" s="1779"/>
      <c r="M319" s="1779"/>
      <c r="N319" s="1779">
        <v>0</v>
      </c>
      <c r="O319" s="1780">
        <v>0</v>
      </c>
      <c r="P319" s="1780">
        <v>0</v>
      </c>
      <c r="Q319" s="1779">
        <v>0</v>
      </c>
      <c r="R319" s="1779">
        <v>6.3419152100898657E-2</v>
      </c>
      <c r="S319" s="1779">
        <v>0.1268383042019039</v>
      </c>
      <c r="T319" s="1779">
        <v>0.19025745630289492</v>
      </c>
      <c r="U319" s="1779">
        <v>0.25367660840380069</v>
      </c>
      <c r="V319" s="1779">
        <v>0.31709576050479882</v>
      </c>
      <c r="W319" s="1779">
        <v>0.45303480806530416</v>
      </c>
      <c r="X319" s="1779">
        <v>0.5889738556258024</v>
      </c>
      <c r="Y319" s="1779">
        <v>0.72491290318630064</v>
      </c>
      <c r="Z319" s="1779">
        <v>0.8608519507466994</v>
      </c>
      <c r="AA319" s="1779">
        <v>0.99679099830720475</v>
      </c>
      <c r="AB319" s="1779">
        <v>1.1230633373484977</v>
      </c>
      <c r="AC319" s="1779">
        <v>1.2493356763897978</v>
      </c>
      <c r="AD319" s="1779">
        <v>1.3756080154310979</v>
      </c>
      <c r="AE319" s="1779">
        <v>1.3756080154309984</v>
      </c>
      <c r="AF319" s="1779">
        <v>1.3756080154309984</v>
      </c>
      <c r="AG319" s="1779">
        <v>1.3756080154309984</v>
      </c>
      <c r="AH319" s="1779">
        <v>1.3756080154309984</v>
      </c>
      <c r="AI319" s="1779">
        <v>1.3756080154309984</v>
      </c>
      <c r="AJ319" s="1779">
        <v>1.3756080154310979</v>
      </c>
      <c r="AK319" s="1779">
        <v>1.3756080154310055</v>
      </c>
      <c r="AL319" s="1779">
        <v>1.3756080154309984</v>
      </c>
      <c r="AM319" s="1779">
        <v>1.3756080154309984</v>
      </c>
      <c r="AN319" s="1779">
        <v>1.3756080154310979</v>
      </c>
      <c r="AO319" s="1779">
        <v>1.3756080154309984</v>
      </c>
      <c r="AP319" s="1779">
        <v>1.3756080154309984</v>
      </c>
      <c r="AQ319" s="1779"/>
      <c r="AR319" s="1779"/>
      <c r="AS319" s="1779"/>
      <c r="AT319" s="1779"/>
      <c r="AU319" s="1779"/>
      <c r="AV319" s="1779"/>
      <c r="AW319" s="1779"/>
      <c r="AX319" s="1779"/>
      <c r="AY319" s="1779"/>
      <c r="AZ319" s="1779"/>
      <c r="BA319" s="1779"/>
      <c r="BB319" s="1779"/>
      <c r="BC319" s="1779"/>
      <c r="BD319" s="1779"/>
      <c r="BE319" s="1779"/>
      <c r="BF319" s="1779"/>
      <c r="BG319" s="1779"/>
      <c r="BH319" s="1779"/>
      <c r="BI319" s="1779"/>
      <c r="BJ319" s="1779"/>
      <c r="BK319" s="1779"/>
      <c r="BL319" s="1779"/>
      <c r="BM319" s="1779"/>
      <c r="BN319" s="1779"/>
      <c r="BO319" s="1779"/>
      <c r="BP319" s="1780"/>
      <c r="BQ319" s="1755"/>
      <c r="BR319" s="1755"/>
      <c r="BS319" s="1755"/>
      <c r="BT319" s="1755"/>
      <c r="BU319" s="1755"/>
      <c r="BV319" s="1755"/>
      <c r="BW319" s="1755"/>
      <c r="BX319" s="1755"/>
      <c r="BY319" s="1755"/>
      <c r="BZ319" s="1755"/>
      <c r="CA319" s="1755"/>
      <c r="CB319" s="1755"/>
      <c r="CC319" s="1755"/>
      <c r="CD319" s="1755"/>
      <c r="CE319" s="1755"/>
      <c r="CF319" s="1755"/>
      <c r="CG319" s="1755"/>
      <c r="CH319" s="1755"/>
      <c r="CI319" s="1755"/>
      <c r="CJ319" s="1755"/>
      <c r="CK319" s="1755"/>
      <c r="CL319" s="1755"/>
      <c r="CM319" s="1755"/>
      <c r="CN319" s="1756"/>
      <c r="CO319" s="1783"/>
    </row>
    <row r="320" spans="2:93" x14ac:dyDescent="0.2">
      <c r="B320" s="1707"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20" s="1747" t="s">
        <v>1079</v>
      </c>
      <c r="D320" s="1747" t="s">
        <v>1078</v>
      </c>
      <c r="E320" s="1747" t="s">
        <v>987</v>
      </c>
      <c r="F320" s="1747" t="str">
        <f>VLOOKUP(TBL5_OptBen[[#This Row],[Option Type (defined list)]],'Option Typs_Grps'!B$2:C$47, 2, FALSE)</f>
        <v>Customer Options</v>
      </c>
      <c r="G320" s="1747" t="s">
        <v>863</v>
      </c>
      <c r="H320" s="1707" t="s">
        <v>1457</v>
      </c>
      <c r="I320" s="1747" t="s">
        <v>105</v>
      </c>
      <c r="J320" s="1747" t="s">
        <v>236</v>
      </c>
      <c r="K320" s="1760">
        <v>2</v>
      </c>
      <c r="L320" s="1779"/>
      <c r="M320" s="1779"/>
      <c r="N320" s="1779">
        <v>0</v>
      </c>
      <c r="O320" s="1780">
        <v>0</v>
      </c>
      <c r="P320" s="1780">
        <v>0</v>
      </c>
      <c r="Q320" s="1779">
        <v>0</v>
      </c>
      <c r="R320" s="1779">
        <v>0</v>
      </c>
      <c r="S320" s="1779">
        <v>0</v>
      </c>
      <c r="T320" s="1779">
        <v>7.3833501573595584E-2</v>
      </c>
      <c r="U320" s="1779">
        <v>0.1471215959892973</v>
      </c>
      <c r="V320" s="1779">
        <v>0.22002474649539749</v>
      </c>
      <c r="W320" s="1779">
        <v>0.2922773801037053</v>
      </c>
      <c r="X320" s="1779">
        <v>0.36418098416940126</v>
      </c>
      <c r="Y320" s="1779">
        <v>0.43562881924000152</v>
      </c>
      <c r="Z320" s="1779">
        <v>0.58633855384859856</v>
      </c>
      <c r="AA320" s="1779">
        <v>0.73653307793040312</v>
      </c>
      <c r="AB320" s="1779">
        <v>0.88591093485229777</v>
      </c>
      <c r="AC320" s="1779">
        <v>1.0346859498579946</v>
      </c>
      <c r="AD320" s="1779">
        <v>1.1825063035998937</v>
      </c>
      <c r="AE320" s="1779">
        <v>1.3300340927073009</v>
      </c>
      <c r="AF320" s="1779">
        <v>1.4777973911117002</v>
      </c>
      <c r="AG320" s="1779">
        <v>1.6253095885688964</v>
      </c>
      <c r="AH320" s="1779">
        <v>1.7723727303438963</v>
      </c>
      <c r="AI320" s="1779">
        <v>1.9193008627122978</v>
      </c>
      <c r="AJ320" s="1779">
        <v>1.9668881373080964</v>
      </c>
      <c r="AK320" s="1779">
        <v>2.0145719774967006</v>
      </c>
      <c r="AL320" s="1779">
        <v>2.0618569926542989</v>
      </c>
      <c r="AM320" s="1779">
        <v>2.1088184870127975</v>
      </c>
      <c r="AN320" s="1779">
        <v>2.1558672756962949</v>
      </c>
      <c r="AO320" s="1779">
        <v>2.2030882147346986</v>
      </c>
      <c r="AP320" s="1779">
        <v>2.2502157920711028</v>
      </c>
      <c r="AQ320" s="1779"/>
      <c r="AR320" s="1779"/>
      <c r="AS320" s="1779"/>
      <c r="AT320" s="1779"/>
      <c r="AU320" s="1779"/>
      <c r="AV320" s="1779"/>
      <c r="AW320" s="1779"/>
      <c r="AX320" s="1779"/>
      <c r="AY320" s="1779"/>
      <c r="AZ320" s="1779"/>
      <c r="BA320" s="1779"/>
      <c r="BB320" s="1779"/>
      <c r="BC320" s="1779"/>
      <c r="BD320" s="1779"/>
      <c r="BE320" s="1779"/>
      <c r="BF320" s="1779"/>
      <c r="BG320" s="1779"/>
      <c r="BH320" s="1779"/>
      <c r="BI320" s="1779"/>
      <c r="BJ320" s="1779"/>
      <c r="BK320" s="1779"/>
      <c r="BL320" s="1779"/>
      <c r="BM320" s="1779"/>
      <c r="BN320" s="1779"/>
      <c r="BO320" s="1779"/>
      <c r="BP320" s="1780"/>
      <c r="BQ320" s="1755"/>
      <c r="BR320" s="1755"/>
      <c r="BS320" s="1755"/>
      <c r="BT320" s="1755"/>
      <c r="BU320" s="1755"/>
      <c r="BV320" s="1755"/>
      <c r="BW320" s="1755"/>
      <c r="BX320" s="1755"/>
      <c r="BY320" s="1755"/>
      <c r="BZ320" s="1755"/>
      <c r="CA320" s="1755"/>
      <c r="CB320" s="1755"/>
      <c r="CC320" s="1755"/>
      <c r="CD320" s="1755"/>
      <c r="CE320" s="1755"/>
      <c r="CF320" s="1755"/>
      <c r="CG320" s="1755"/>
      <c r="CH320" s="1755"/>
      <c r="CI320" s="1755"/>
      <c r="CJ320" s="1755"/>
      <c r="CK320" s="1755"/>
      <c r="CL320" s="1755"/>
      <c r="CM320" s="1755"/>
      <c r="CN320" s="1756"/>
      <c r="CO320" s="1783"/>
    </row>
    <row r="321" spans="2:93" ht="28.5" x14ac:dyDescent="0.2">
      <c r="B321" s="1707"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21" s="1703" t="s">
        <v>972</v>
      </c>
      <c r="D321" s="1703" t="s">
        <v>1088</v>
      </c>
      <c r="E321" s="1707" t="s">
        <v>973</v>
      </c>
      <c r="F321" s="1747" t="str">
        <f>VLOOKUP(TBL5_OptBen[[#This Row],[Option Type (defined list)]],'Option Typs_Grps'!B$2:C$47, 2, FALSE)</f>
        <v>Customer Options</v>
      </c>
      <c r="G321" s="1747" t="s">
        <v>863</v>
      </c>
      <c r="H321" s="1707" t="s">
        <v>1457</v>
      </c>
      <c r="I321" s="1747" t="s">
        <v>102</v>
      </c>
      <c r="J321" s="1747" t="s">
        <v>236</v>
      </c>
      <c r="K321" s="1760">
        <v>2</v>
      </c>
      <c r="L321" s="1779"/>
      <c r="M321" s="1779"/>
      <c r="N321" s="1779">
        <v>0</v>
      </c>
      <c r="O321" s="1780">
        <v>4.2756956085342601</v>
      </c>
      <c r="P321" s="1780">
        <v>4.09987831560119</v>
      </c>
      <c r="Q321" s="1779">
        <v>4.0759494718184097</v>
      </c>
      <c r="R321" s="1779">
        <v>3.8978231189529904</v>
      </c>
      <c r="S321" s="1779">
        <v>3.8621878662638505</v>
      </c>
      <c r="T321" s="1779">
        <v>3.8730037458603306</v>
      </c>
      <c r="U321" s="1779">
        <v>3.8838711888694597</v>
      </c>
      <c r="V321" s="1779">
        <v>3.8941135151785602</v>
      </c>
      <c r="W321" s="1779">
        <v>3.9043053874683409</v>
      </c>
      <c r="X321" s="1779">
        <v>3.9143938815194712</v>
      </c>
      <c r="Y321" s="1779">
        <v>0</v>
      </c>
      <c r="Z321" s="1779">
        <v>0</v>
      </c>
      <c r="AA321" s="1779">
        <v>0</v>
      </c>
      <c r="AB321" s="1779">
        <v>0</v>
      </c>
      <c r="AC321" s="1779">
        <v>0</v>
      </c>
      <c r="AD321" s="1779">
        <v>0</v>
      </c>
      <c r="AE321" s="1779">
        <v>0</v>
      </c>
      <c r="AF321" s="1779">
        <v>0</v>
      </c>
      <c r="AG321" s="1779">
        <v>0</v>
      </c>
      <c r="AH321" s="1779">
        <v>0</v>
      </c>
      <c r="AI321" s="1779">
        <v>0</v>
      </c>
      <c r="AJ321" s="1779">
        <v>0</v>
      </c>
      <c r="AK321" s="1779">
        <v>0</v>
      </c>
      <c r="AL321" s="1779">
        <v>0</v>
      </c>
      <c r="AM321" s="1779">
        <v>0</v>
      </c>
      <c r="AN321" s="1779">
        <v>0</v>
      </c>
      <c r="AO321" s="1779">
        <v>0</v>
      </c>
      <c r="AP321" s="1779">
        <v>0</v>
      </c>
      <c r="AQ321" s="1779"/>
      <c r="AR321" s="1779"/>
      <c r="AS321" s="1779"/>
      <c r="AT321" s="1779"/>
      <c r="AU321" s="1779"/>
      <c r="AV321" s="1779"/>
      <c r="AW321" s="1779"/>
      <c r="AX321" s="1779"/>
      <c r="AY321" s="1779"/>
      <c r="AZ321" s="1779"/>
      <c r="BA321" s="1779"/>
      <c r="BB321" s="1779"/>
      <c r="BC321" s="1779"/>
      <c r="BD321" s="1779"/>
      <c r="BE321" s="1779"/>
      <c r="BF321" s="1779"/>
      <c r="BG321" s="1779"/>
      <c r="BH321" s="1779"/>
      <c r="BI321" s="1779"/>
      <c r="BJ321" s="1779"/>
      <c r="BK321" s="1779"/>
      <c r="BL321" s="1779"/>
      <c r="BM321" s="1779"/>
      <c r="BN321" s="1779"/>
      <c r="BO321" s="1779"/>
      <c r="BP321" s="1780"/>
      <c r="BQ321" s="1755"/>
      <c r="BR321" s="1755"/>
      <c r="BS321" s="1755"/>
      <c r="BT321" s="1755"/>
      <c r="BU321" s="1755"/>
      <c r="BV321" s="1755"/>
      <c r="BW321" s="1755"/>
      <c r="BX321" s="1755"/>
      <c r="BY321" s="1755"/>
      <c r="BZ321" s="1755"/>
      <c r="CA321" s="1755"/>
      <c r="CB321" s="1755"/>
      <c r="CC321" s="1755"/>
      <c r="CD321" s="1755"/>
      <c r="CE321" s="1755"/>
      <c r="CF321" s="1755"/>
      <c r="CG321" s="1755"/>
      <c r="CH321" s="1755"/>
      <c r="CI321" s="1755"/>
      <c r="CJ321" s="1755"/>
      <c r="CK321" s="1755"/>
      <c r="CL321" s="1755"/>
      <c r="CM321" s="1755"/>
      <c r="CN321" s="1756"/>
      <c r="CO321" s="1783"/>
    </row>
    <row r="322" spans="2:93" ht="15" x14ac:dyDescent="0.25">
      <c r="B322" s="1707"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22" s="1703" t="s">
        <v>1067</v>
      </c>
      <c r="D322" s="1765" t="s">
        <v>1066</v>
      </c>
      <c r="E322" s="1723" t="s">
        <v>1068</v>
      </c>
      <c r="F322" s="1747" t="str">
        <f>VLOOKUP(TBL5_OptBen[[#This Row],[Option Type (defined list)]],'Option Typs_Grps'!B$2:C$47, 2, FALSE)</f>
        <v>Customer Options</v>
      </c>
      <c r="G322" s="1747" t="s">
        <v>863</v>
      </c>
      <c r="H322" s="1707" t="s">
        <v>1462</v>
      </c>
      <c r="I322" s="1747" t="s">
        <v>88</v>
      </c>
      <c r="J322" s="1747" t="s">
        <v>236</v>
      </c>
      <c r="K322" s="1760">
        <v>2</v>
      </c>
      <c r="L322" s="1779"/>
      <c r="M322" s="1779"/>
      <c r="N322" s="1779">
        <v>0</v>
      </c>
      <c r="O322" s="1780">
        <v>0</v>
      </c>
      <c r="P322" s="1780">
        <v>0</v>
      </c>
      <c r="Q322" s="1779">
        <v>0</v>
      </c>
      <c r="R322" s="1779">
        <v>0.25548594418635373</v>
      </c>
      <c r="S322" s="1779">
        <v>-3.092069346680848E-2</v>
      </c>
      <c r="T322" s="1779">
        <v>8.884789488267586E-2</v>
      </c>
      <c r="U322" s="1779">
        <v>0.76192657355699822</v>
      </c>
      <c r="V322" s="1779">
        <v>1.3909079865855531</v>
      </c>
      <c r="W322" s="1779">
        <v>1.9029789757946176</v>
      </c>
      <c r="X322" s="1779">
        <v>2.3650971410544912</v>
      </c>
      <c r="Y322" s="1779">
        <v>2.7945724268152823</v>
      </c>
      <c r="Z322" s="1779">
        <v>3.1804383747871654</v>
      </c>
      <c r="AA322" s="1779">
        <v>3.5142260703109685</v>
      </c>
      <c r="AB322" s="1779">
        <v>3.3434916559364609</v>
      </c>
      <c r="AC322" s="1779">
        <v>3.0945582750446405</v>
      </c>
      <c r="AD322" s="1779">
        <v>2.9865524585861607</v>
      </c>
      <c r="AE322" s="1779">
        <v>2.8827633376370372</v>
      </c>
      <c r="AF322" s="1779">
        <v>2.782344085523988</v>
      </c>
      <c r="AG322" s="1779">
        <v>3.3149737036035347</v>
      </c>
      <c r="AH322" s="1779">
        <v>3.2089435296160147</v>
      </c>
      <c r="AI322" s="1779">
        <v>3.1079558430222036</v>
      </c>
      <c r="AJ322" s="1779">
        <v>3.0208934997324519</v>
      </c>
      <c r="AK322" s="1779">
        <v>2.9369146499209364</v>
      </c>
      <c r="AL322" s="1779">
        <v>2.3887513428359881</v>
      </c>
      <c r="AM322" s="1779">
        <v>3.2271296088724739</v>
      </c>
      <c r="AN322" s="1779">
        <v>3.1649748097323567</v>
      </c>
      <c r="AO322" s="1779">
        <v>3.5425899547780375</v>
      </c>
      <c r="AP322" s="1779">
        <v>3.480406096233537</v>
      </c>
      <c r="AQ322" s="1779"/>
      <c r="AR322" s="1779"/>
      <c r="AS322" s="1779"/>
      <c r="AT322" s="1779"/>
      <c r="AU322" s="1779"/>
      <c r="AV322" s="1779"/>
      <c r="AW322" s="1779"/>
      <c r="AX322" s="1779"/>
      <c r="AY322" s="1779"/>
      <c r="AZ322" s="1779"/>
      <c r="BA322" s="1779"/>
      <c r="BB322" s="1779"/>
      <c r="BC322" s="1779"/>
      <c r="BD322" s="1779"/>
      <c r="BE322" s="1779"/>
      <c r="BF322" s="1779"/>
      <c r="BG322" s="1779"/>
      <c r="BH322" s="1779"/>
      <c r="BI322" s="1779"/>
      <c r="BJ322" s="1779"/>
      <c r="BK322" s="1779"/>
      <c r="BL322" s="1779"/>
      <c r="BM322" s="1779"/>
      <c r="BN322" s="1779"/>
      <c r="BO322" s="1779"/>
      <c r="BP322" s="1780"/>
      <c r="BQ322" s="1755"/>
      <c r="BR322" s="1755"/>
      <c r="BS322" s="1755"/>
      <c r="BT322" s="1755"/>
      <c r="BU322" s="1755"/>
      <c r="BV322" s="1755"/>
      <c r="BW322" s="1755"/>
      <c r="BX322" s="1755"/>
      <c r="BY322" s="1755"/>
      <c r="BZ322" s="1755"/>
      <c r="CA322" s="1755"/>
      <c r="CB322" s="1755"/>
      <c r="CC322" s="1755"/>
      <c r="CD322" s="1755"/>
      <c r="CE322" s="1755"/>
      <c r="CF322" s="1755"/>
      <c r="CG322" s="1755"/>
      <c r="CH322" s="1755"/>
      <c r="CI322" s="1755"/>
      <c r="CJ322" s="1755"/>
      <c r="CK322" s="1755"/>
      <c r="CL322" s="1755"/>
      <c r="CM322" s="1755"/>
      <c r="CN322" s="1756"/>
      <c r="CO322" s="1783"/>
    </row>
    <row r="323" spans="2:93" ht="15" x14ac:dyDescent="0.25">
      <c r="B323" s="1707"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23" s="1703" t="s">
        <v>1075</v>
      </c>
      <c r="D323" s="1765" t="s">
        <v>1074</v>
      </c>
      <c r="E323" s="1723" t="s">
        <v>987</v>
      </c>
      <c r="F323" s="1747" t="str">
        <f>VLOOKUP(TBL5_OptBen[[#This Row],[Option Type (defined list)]],'Option Typs_Grps'!B$2:C$47, 2, FALSE)</f>
        <v>Customer Options</v>
      </c>
      <c r="G323" s="1747" t="s">
        <v>863</v>
      </c>
      <c r="H323" s="1707" t="s">
        <v>1462</v>
      </c>
      <c r="I323" s="1747" t="s">
        <v>88</v>
      </c>
      <c r="J323" s="1747" t="s">
        <v>236</v>
      </c>
      <c r="K323" s="1760">
        <v>2</v>
      </c>
      <c r="L323" s="1779"/>
      <c r="M323" s="1779"/>
      <c r="N323" s="1779">
        <v>0</v>
      </c>
      <c r="O323" s="1780">
        <v>0</v>
      </c>
      <c r="P323" s="1780">
        <v>0</v>
      </c>
      <c r="Q323" s="1779">
        <v>0</v>
      </c>
      <c r="R323" s="1779">
        <v>1.7845553514899848</v>
      </c>
      <c r="S323" s="1779">
        <v>3.5427161896240023</v>
      </c>
      <c r="T323" s="1779">
        <v>5.301341843348041</v>
      </c>
      <c r="U323" s="1779">
        <v>7.0548901413500289</v>
      </c>
      <c r="V323" s="1779">
        <v>8.8017889097570219</v>
      </c>
      <c r="W323" s="1779">
        <v>10.429981474727015</v>
      </c>
      <c r="X323" s="1779">
        <v>12.068957709225003</v>
      </c>
      <c r="Y323" s="1779">
        <v>13.674687179018008</v>
      </c>
      <c r="Z323" s="1779">
        <v>15.294847217407039</v>
      </c>
      <c r="AA323" s="1779">
        <v>16.879356808488012</v>
      </c>
      <c r="AB323" s="1779">
        <v>18.44385474211299</v>
      </c>
      <c r="AC323" s="1779">
        <v>20.00352694480398</v>
      </c>
      <c r="AD323" s="1779">
        <v>21.562955433935031</v>
      </c>
      <c r="AE323" s="1779">
        <v>23.122440401790982</v>
      </c>
      <c r="AF323" s="1779">
        <v>24.682466350742004</v>
      </c>
      <c r="AG323" s="1779">
        <v>25.957712072483048</v>
      </c>
      <c r="AH323" s="1779">
        <v>27.439454714885017</v>
      </c>
      <c r="AI323" s="1779">
        <v>28.918699829364982</v>
      </c>
      <c r="AJ323" s="1779">
        <v>30.404427840733035</v>
      </c>
      <c r="AK323" s="1779">
        <v>31.895840944686995</v>
      </c>
      <c r="AL323" s="1779">
        <v>31.788858451086014</v>
      </c>
      <c r="AM323" s="1779">
        <v>31.332790846662988</v>
      </c>
      <c r="AN323" s="1779">
        <v>31.309348296239989</v>
      </c>
      <c r="AO323" s="1779">
        <v>31.076947050443039</v>
      </c>
      <c r="AP323" s="1779">
        <v>31.057228542454993</v>
      </c>
      <c r="AQ323" s="1779"/>
      <c r="AR323" s="1779"/>
      <c r="AS323" s="1779"/>
      <c r="AT323" s="1779"/>
      <c r="AU323" s="1779"/>
      <c r="AV323" s="1779"/>
      <c r="AW323" s="1779"/>
      <c r="AX323" s="1779"/>
      <c r="AY323" s="1779"/>
      <c r="AZ323" s="1779"/>
      <c r="BA323" s="1779"/>
      <c r="BB323" s="1779"/>
      <c r="BC323" s="1779"/>
      <c r="BD323" s="1779"/>
      <c r="BE323" s="1779"/>
      <c r="BF323" s="1779"/>
      <c r="BG323" s="1779"/>
      <c r="BH323" s="1779"/>
      <c r="BI323" s="1779"/>
      <c r="BJ323" s="1779"/>
      <c r="BK323" s="1779"/>
      <c r="BL323" s="1779"/>
      <c r="BM323" s="1779"/>
      <c r="BN323" s="1779"/>
      <c r="BO323" s="1779"/>
      <c r="BP323" s="1780"/>
      <c r="BQ323" s="1755"/>
      <c r="BR323" s="1755"/>
      <c r="BS323" s="1755"/>
      <c r="BT323" s="1755"/>
      <c r="BU323" s="1755"/>
      <c r="BV323" s="1755"/>
      <c r="BW323" s="1755"/>
      <c r="BX323" s="1755"/>
      <c r="BY323" s="1755"/>
      <c r="BZ323" s="1755"/>
      <c r="CA323" s="1755"/>
      <c r="CB323" s="1755"/>
      <c r="CC323" s="1755"/>
      <c r="CD323" s="1755"/>
      <c r="CE323" s="1755"/>
      <c r="CF323" s="1755"/>
      <c r="CG323" s="1755"/>
      <c r="CH323" s="1755"/>
      <c r="CI323" s="1755"/>
      <c r="CJ323" s="1755"/>
      <c r="CK323" s="1755"/>
      <c r="CL323" s="1755"/>
      <c r="CM323" s="1755"/>
      <c r="CN323" s="1756"/>
      <c r="CO323" s="1783"/>
    </row>
    <row r="324" spans="2:93" x14ac:dyDescent="0.2">
      <c r="B324" s="1707"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24" s="1707" t="s">
        <v>1123</v>
      </c>
      <c r="D324" s="1765" t="s">
        <v>1122</v>
      </c>
      <c r="E324" s="1714" t="s">
        <v>987</v>
      </c>
      <c r="F324" s="1747" t="str">
        <f>VLOOKUP(TBL5_OptBen[[#This Row],[Option Type (defined list)]],'Option Typs_Grps'!B$2:C$47, 2, FALSE)</f>
        <v>Customer Options</v>
      </c>
      <c r="G324" s="1747" t="s">
        <v>863</v>
      </c>
      <c r="H324" s="1707" t="s">
        <v>1462</v>
      </c>
      <c r="I324" s="1747" t="s">
        <v>88</v>
      </c>
      <c r="J324" s="1747" t="s">
        <v>236</v>
      </c>
      <c r="K324" s="1760">
        <v>2</v>
      </c>
      <c r="L324" s="1779"/>
      <c r="M324" s="1779"/>
      <c r="N324" s="1779">
        <v>0</v>
      </c>
      <c r="O324" s="1780">
        <v>0</v>
      </c>
      <c r="P324" s="1780">
        <v>0</v>
      </c>
      <c r="Q324" s="1779">
        <v>0</v>
      </c>
      <c r="R324" s="1779">
        <v>0.3924923376629863</v>
      </c>
      <c r="S324" s="1779">
        <v>0.89869818923500588</v>
      </c>
      <c r="T324" s="1779">
        <v>1.4329337923949765</v>
      </c>
      <c r="U324" s="1779">
        <v>2.0498898722319723</v>
      </c>
      <c r="V324" s="1779">
        <v>2.6688176557329939</v>
      </c>
      <c r="W324" s="1779">
        <v>3.3308395793119985</v>
      </c>
      <c r="X324" s="1779">
        <v>3.9953987912889488</v>
      </c>
      <c r="Y324" s="1779">
        <v>4.6481904925039998</v>
      </c>
      <c r="Z324" s="1779">
        <v>5.3052100090949921</v>
      </c>
      <c r="AA324" s="1779">
        <v>5.9492754186389902</v>
      </c>
      <c r="AB324" s="1779">
        <v>5.9340687684090199</v>
      </c>
      <c r="AC324" s="1779">
        <v>5.9198723915180267</v>
      </c>
      <c r="AD324" s="1779">
        <v>5.9077166858349983</v>
      </c>
      <c r="AE324" s="1779">
        <v>5.897255206924001</v>
      </c>
      <c r="AF324" s="1779">
        <v>5.8882750428390409</v>
      </c>
      <c r="AG324" s="1779">
        <v>5.827184490149989</v>
      </c>
      <c r="AH324" s="1779">
        <v>5.8166739062820056</v>
      </c>
      <c r="AI324" s="1779">
        <v>5.8067710572390183</v>
      </c>
      <c r="AJ324" s="1779">
        <v>5.799097413977961</v>
      </c>
      <c r="AK324" s="1779">
        <v>5.7931888720469829</v>
      </c>
      <c r="AL324" s="1779">
        <v>5.77375781856</v>
      </c>
      <c r="AM324" s="1779">
        <v>5.690923013375027</v>
      </c>
      <c r="AN324" s="1779">
        <v>5.6866651816879994</v>
      </c>
      <c r="AO324" s="1779">
        <v>5.6444545275359701</v>
      </c>
      <c r="AP324" s="1779">
        <v>5.6408730875230049</v>
      </c>
      <c r="AQ324" s="1779"/>
      <c r="AR324" s="1779"/>
      <c r="AS324" s="1779"/>
      <c r="AT324" s="1779"/>
      <c r="AU324" s="1779"/>
      <c r="AV324" s="1779"/>
      <c r="AW324" s="1779"/>
      <c r="AX324" s="1779"/>
      <c r="AY324" s="1779"/>
      <c r="AZ324" s="1779"/>
      <c r="BA324" s="1779"/>
      <c r="BB324" s="1779"/>
      <c r="BC324" s="1779"/>
      <c r="BD324" s="1779"/>
      <c r="BE324" s="1779"/>
      <c r="BF324" s="1779"/>
      <c r="BG324" s="1779"/>
      <c r="BH324" s="1779"/>
      <c r="BI324" s="1779"/>
      <c r="BJ324" s="1779"/>
      <c r="BK324" s="1779"/>
      <c r="BL324" s="1779"/>
      <c r="BM324" s="1779"/>
      <c r="BN324" s="1779"/>
      <c r="BO324" s="1779"/>
      <c r="BP324" s="1780"/>
      <c r="BQ324" s="1755"/>
      <c r="BR324" s="1755"/>
      <c r="BS324" s="1755"/>
      <c r="BT324" s="1755"/>
      <c r="BU324" s="1755"/>
      <c r="BV324" s="1755"/>
      <c r="BW324" s="1755"/>
      <c r="BX324" s="1755"/>
      <c r="BY324" s="1755"/>
      <c r="BZ324" s="1755"/>
      <c r="CA324" s="1755"/>
      <c r="CB324" s="1755"/>
      <c r="CC324" s="1755"/>
      <c r="CD324" s="1755"/>
      <c r="CE324" s="1755"/>
      <c r="CF324" s="1755"/>
      <c r="CG324" s="1755"/>
      <c r="CH324" s="1755"/>
      <c r="CI324" s="1755"/>
      <c r="CJ324" s="1755"/>
      <c r="CK324" s="1755"/>
      <c r="CL324" s="1755"/>
      <c r="CM324" s="1755"/>
      <c r="CN324" s="1756"/>
      <c r="CO324" s="1783"/>
    </row>
    <row r="325" spans="2:93" x14ac:dyDescent="0.2">
      <c r="B325" s="1707"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325" s="1703" t="s">
        <v>1082</v>
      </c>
      <c r="D325" s="1765" t="s">
        <v>1081</v>
      </c>
      <c r="E325" s="1723" t="s">
        <v>860</v>
      </c>
      <c r="F325" s="1747" t="str">
        <f>VLOOKUP(TBL5_OptBen[[#This Row],[Option Type (defined list)]],'Option Typs_Grps'!B$2:C$47, 2, FALSE)</f>
        <v>Distribution Options</v>
      </c>
      <c r="G325" s="1747" t="s">
        <v>863</v>
      </c>
      <c r="H325" s="1707" t="s">
        <v>1462</v>
      </c>
      <c r="I325" s="1747" t="s">
        <v>88</v>
      </c>
      <c r="J325" s="1747" t="s">
        <v>236</v>
      </c>
      <c r="K325" s="1760">
        <v>2</v>
      </c>
      <c r="L325" s="1779"/>
      <c r="M325" s="1779"/>
      <c r="N325" s="1779">
        <v>0</v>
      </c>
      <c r="O325" s="1780">
        <v>0</v>
      </c>
      <c r="P325" s="1780">
        <v>0</v>
      </c>
      <c r="Q325" s="1779">
        <v>0</v>
      </c>
      <c r="R325" s="1779">
        <v>0.20073762673171558</v>
      </c>
      <c r="S325" s="1779">
        <v>0.29801494813901996</v>
      </c>
      <c r="T325" s="1779">
        <v>0.51191100626656549</v>
      </c>
      <c r="U325" s="1779">
        <v>0.75059362418681985</v>
      </c>
      <c r="V325" s="1779">
        <v>0.97522665298276934</v>
      </c>
      <c r="W325" s="1779">
        <v>1.2145459467451332</v>
      </c>
      <c r="X325" s="1779">
        <v>1.4687096962615058</v>
      </c>
      <c r="Y325" s="1779">
        <v>1.7256591258397194</v>
      </c>
      <c r="Z325" s="1779">
        <v>1.9857823804679029</v>
      </c>
      <c r="AA325" s="1779">
        <v>2.2479190307479442</v>
      </c>
      <c r="AB325" s="1779">
        <v>2.5806751697819195</v>
      </c>
      <c r="AC325" s="1779">
        <v>2.9813902851822078</v>
      </c>
      <c r="AD325" s="1779">
        <v>3.3809279878573832</v>
      </c>
      <c r="AE325" s="1779">
        <v>3.7792671091138459</v>
      </c>
      <c r="AF325" s="1779">
        <v>4.1763729228050295</v>
      </c>
      <c r="AG325" s="1779">
        <v>4.5722173257201035</v>
      </c>
      <c r="AH325" s="1779">
        <v>4.9667536497860567</v>
      </c>
      <c r="AI325" s="1779">
        <v>5.3599507409911631</v>
      </c>
      <c r="AJ325" s="1779">
        <v>5.751775386922688</v>
      </c>
      <c r="AK325" s="1779">
        <v>6.1421917847893326</v>
      </c>
      <c r="AL325" s="1779">
        <v>6.5311798575882065</v>
      </c>
      <c r="AM325" s="1779">
        <v>6.9187030262528495</v>
      </c>
      <c r="AN325" s="1779">
        <v>7.304730563180577</v>
      </c>
      <c r="AO325" s="1779">
        <v>7.689232706873689</v>
      </c>
      <c r="AP325" s="1779">
        <v>8.0721821576318078</v>
      </c>
      <c r="AQ325" s="1779"/>
      <c r="AR325" s="1779"/>
      <c r="AS325" s="1779"/>
      <c r="AT325" s="1779"/>
      <c r="AU325" s="1779"/>
      <c r="AV325" s="1779"/>
      <c r="AW325" s="1779"/>
      <c r="AX325" s="1779"/>
      <c r="AY325" s="1779"/>
      <c r="AZ325" s="1779"/>
      <c r="BA325" s="1779"/>
      <c r="BB325" s="1779"/>
      <c r="BC325" s="1779"/>
      <c r="BD325" s="1779"/>
      <c r="BE325" s="1779"/>
      <c r="BF325" s="1779"/>
      <c r="BG325" s="1779"/>
      <c r="BH325" s="1779"/>
      <c r="BI325" s="1779"/>
      <c r="BJ325" s="1779"/>
      <c r="BK325" s="1779"/>
      <c r="BL325" s="1779"/>
      <c r="BM325" s="1779"/>
      <c r="BN325" s="1779"/>
      <c r="BO325" s="1779"/>
      <c r="BP325" s="1780"/>
      <c r="BQ325" s="1755"/>
      <c r="BR325" s="1755"/>
      <c r="BS325" s="1755"/>
      <c r="BT325" s="1755"/>
      <c r="BU325" s="1755"/>
      <c r="BV325" s="1755"/>
      <c r="BW325" s="1755"/>
      <c r="BX325" s="1755"/>
      <c r="BY325" s="1755"/>
      <c r="BZ325" s="1755"/>
      <c r="CA325" s="1755"/>
      <c r="CB325" s="1755"/>
      <c r="CC325" s="1755"/>
      <c r="CD325" s="1755"/>
      <c r="CE325" s="1755"/>
      <c r="CF325" s="1755"/>
      <c r="CG325" s="1755"/>
      <c r="CH325" s="1755"/>
      <c r="CI325" s="1755"/>
      <c r="CJ325" s="1755"/>
      <c r="CK325" s="1755"/>
      <c r="CL325" s="1755"/>
      <c r="CM325" s="1755"/>
      <c r="CN325" s="1756"/>
      <c r="CO325" s="1783"/>
    </row>
    <row r="326" spans="2:93" ht="15" x14ac:dyDescent="0.25">
      <c r="B326" s="1707"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26" s="1703" t="s">
        <v>1119</v>
      </c>
      <c r="D326" s="1765" t="s">
        <v>1118</v>
      </c>
      <c r="E326" s="1723" t="s">
        <v>1099</v>
      </c>
      <c r="F326" s="1747" t="str">
        <f>VLOOKUP(TBL5_OptBen[[#This Row],[Option Type (defined list)]],'Option Typs_Grps'!B$2:C$47, 2, FALSE)</f>
        <v>Customer Options</v>
      </c>
      <c r="G326" s="1747" t="s">
        <v>863</v>
      </c>
      <c r="H326" s="1707" t="s">
        <v>1462</v>
      </c>
      <c r="I326" s="1747" t="s">
        <v>88</v>
      </c>
      <c r="J326" s="1747" t="s">
        <v>236</v>
      </c>
      <c r="K326" s="1760">
        <v>2</v>
      </c>
      <c r="L326" s="1779"/>
      <c r="M326" s="1779"/>
      <c r="N326" s="1779">
        <v>0</v>
      </c>
      <c r="O326" s="1780">
        <v>0</v>
      </c>
      <c r="P326" s="1780">
        <v>0</v>
      </c>
      <c r="Q326" s="1779">
        <v>0</v>
      </c>
      <c r="R326" s="1779">
        <v>0.29382917326828861</v>
      </c>
      <c r="S326" s="1779">
        <v>0.69111865186097721</v>
      </c>
      <c r="T326" s="1779">
        <v>0.97178939373343498</v>
      </c>
      <c r="U326" s="1779">
        <v>1.227673575813184</v>
      </c>
      <c r="V326" s="1779">
        <v>1.4976073470172411</v>
      </c>
      <c r="W326" s="1779">
        <v>1.7528548532548744</v>
      </c>
      <c r="X326" s="1779">
        <v>1.9932579037385003</v>
      </c>
      <c r="Y326" s="1779">
        <v>2.2308752741602946</v>
      </c>
      <c r="Z326" s="1779">
        <v>2.4653188195321061</v>
      </c>
      <c r="AA326" s="1779">
        <v>2.6977489692520633</v>
      </c>
      <c r="AB326" s="1779">
        <v>2.8595596302180972</v>
      </c>
      <c r="AC326" s="1779">
        <v>2.9534113148178083</v>
      </c>
      <c r="AD326" s="1779">
        <v>3.0484404121426358</v>
      </c>
      <c r="AE326" s="1779">
        <v>3.1446680908861695</v>
      </c>
      <c r="AF326" s="1779">
        <v>3.2421290771949862</v>
      </c>
      <c r="AG326" s="1779">
        <v>3.3408514742799129</v>
      </c>
      <c r="AH326" s="1779">
        <v>3.4408819502139698</v>
      </c>
      <c r="AI326" s="1779">
        <v>3.5422516590088637</v>
      </c>
      <c r="AJ326" s="1779">
        <v>3.6449938130773338</v>
      </c>
      <c r="AK326" s="1779">
        <v>3.7491442152106935</v>
      </c>
      <c r="AL326" s="1779">
        <v>3.8547229424118234</v>
      </c>
      <c r="AM326" s="1779">
        <v>3.9617665737471786</v>
      </c>
      <c r="AN326" s="1779">
        <v>4.0703058368194487</v>
      </c>
      <c r="AO326" s="1779">
        <v>4.1803704931263326</v>
      </c>
      <c r="AP326" s="1779">
        <v>4.2919878423681972</v>
      </c>
      <c r="AQ326" s="1779"/>
      <c r="AR326" s="1779"/>
      <c r="AS326" s="1779"/>
      <c r="AT326" s="1779"/>
      <c r="AU326" s="1779"/>
      <c r="AV326" s="1779"/>
      <c r="AW326" s="1779"/>
      <c r="AX326" s="1779"/>
      <c r="AY326" s="1779"/>
      <c r="AZ326" s="1779"/>
      <c r="BA326" s="1779"/>
      <c r="BB326" s="1779"/>
      <c r="BC326" s="1779"/>
      <c r="BD326" s="1779"/>
      <c r="BE326" s="1779"/>
      <c r="BF326" s="1779"/>
      <c r="BG326" s="1779"/>
      <c r="BH326" s="1779"/>
      <c r="BI326" s="1779"/>
      <c r="BJ326" s="1779"/>
      <c r="BK326" s="1779"/>
      <c r="BL326" s="1779"/>
      <c r="BM326" s="1779"/>
      <c r="BN326" s="1779"/>
      <c r="BO326" s="1779"/>
      <c r="BP326" s="1780"/>
      <c r="BQ326" s="1755"/>
      <c r="BR326" s="1755"/>
      <c r="BS326" s="1755"/>
      <c r="BT326" s="1755"/>
      <c r="BU326" s="1755"/>
      <c r="BV326" s="1755"/>
      <c r="BW326" s="1755"/>
      <c r="BX326" s="1755"/>
      <c r="BY326" s="1755"/>
      <c r="BZ326" s="1755"/>
      <c r="CA326" s="1755"/>
      <c r="CB326" s="1755"/>
      <c r="CC326" s="1755"/>
      <c r="CD326" s="1755"/>
      <c r="CE326" s="1755"/>
      <c r="CF326" s="1755"/>
      <c r="CG326" s="1755"/>
      <c r="CH326" s="1755"/>
      <c r="CI326" s="1755"/>
      <c r="CJ326" s="1755"/>
      <c r="CK326" s="1755"/>
      <c r="CL326" s="1755"/>
      <c r="CM326" s="1755"/>
      <c r="CN326" s="1756"/>
      <c r="CO326" s="1783"/>
    </row>
    <row r="327" spans="2:93" x14ac:dyDescent="0.2">
      <c r="B327" s="1707"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27" s="1707" t="s">
        <v>1125</v>
      </c>
      <c r="D327" s="1765" t="s">
        <v>1474</v>
      </c>
      <c r="E327" s="1714" t="s">
        <v>987</v>
      </c>
      <c r="F327" s="1747" t="str">
        <f>VLOOKUP(TBL5_OptBen[[#This Row],[Option Type (defined list)]],'Option Typs_Grps'!B$2:C$47, 2, FALSE)</f>
        <v>Customer Options</v>
      </c>
      <c r="G327" s="1747" t="s">
        <v>863</v>
      </c>
      <c r="H327" s="1707" t="s">
        <v>1462</v>
      </c>
      <c r="I327" s="1747" t="s">
        <v>88</v>
      </c>
      <c r="J327" s="1747" t="s">
        <v>236</v>
      </c>
      <c r="K327" s="1760">
        <v>2</v>
      </c>
      <c r="L327" s="1779"/>
      <c r="M327" s="1779"/>
      <c r="N327" s="1779">
        <v>0</v>
      </c>
      <c r="O327" s="1780">
        <v>0</v>
      </c>
      <c r="P327" s="1780">
        <v>0</v>
      </c>
      <c r="Q327" s="1779">
        <v>0</v>
      </c>
      <c r="R327" s="1779">
        <v>0.21881778981997968</v>
      </c>
      <c r="S327" s="1779">
        <v>0.4376355796400162</v>
      </c>
      <c r="T327" s="1779">
        <v>0.65645336946005273</v>
      </c>
      <c r="U327" s="1779">
        <v>0.87527115927997556</v>
      </c>
      <c r="V327" s="1779">
        <v>1.0940889491000121</v>
      </c>
      <c r="W327" s="1779">
        <v>1.5919921443120302</v>
      </c>
      <c r="X327" s="1779">
        <v>2.0898953395249578</v>
      </c>
      <c r="Y327" s="1779">
        <v>2.5877985347369759</v>
      </c>
      <c r="Z327" s="1779">
        <v>3.0857017299500171</v>
      </c>
      <c r="AA327" s="1779">
        <v>3.5836049251619784</v>
      </c>
      <c r="AB327" s="1779">
        <v>4.0541975499959904</v>
      </c>
      <c r="AC327" s="1779">
        <v>4.5247901748300023</v>
      </c>
      <c r="AD327" s="1779">
        <v>4.9953827996629911</v>
      </c>
      <c r="AE327" s="1779">
        <v>4.9953827996629911</v>
      </c>
      <c r="AF327" s="1779">
        <v>4.995382799663048</v>
      </c>
      <c r="AG327" s="1779">
        <v>4.9953827996620248</v>
      </c>
      <c r="AH327" s="1779">
        <v>4.9953827996620248</v>
      </c>
      <c r="AI327" s="1779">
        <v>4.9953827996629911</v>
      </c>
      <c r="AJ327" s="1779">
        <v>4.9953827996620248</v>
      </c>
      <c r="AK327" s="1779">
        <v>4.995382799661968</v>
      </c>
      <c r="AL327" s="1779">
        <v>4.9953827996629911</v>
      </c>
      <c r="AM327" s="1779">
        <v>4.995382799661968</v>
      </c>
      <c r="AN327" s="1779">
        <v>4.9953827996620248</v>
      </c>
      <c r="AO327" s="1779">
        <v>4.995382799663048</v>
      </c>
      <c r="AP327" s="1779">
        <v>4.9953827996620248</v>
      </c>
      <c r="AQ327" s="1779"/>
      <c r="AR327" s="1779"/>
      <c r="AS327" s="1779"/>
      <c r="AT327" s="1779"/>
      <c r="AU327" s="1779"/>
      <c r="AV327" s="1779"/>
      <c r="AW327" s="1779"/>
      <c r="AX327" s="1779"/>
      <c r="AY327" s="1779"/>
      <c r="AZ327" s="1779"/>
      <c r="BA327" s="1779"/>
      <c r="BB327" s="1779"/>
      <c r="BC327" s="1779"/>
      <c r="BD327" s="1779"/>
      <c r="BE327" s="1779"/>
      <c r="BF327" s="1779"/>
      <c r="BG327" s="1779"/>
      <c r="BH327" s="1779"/>
      <c r="BI327" s="1779"/>
      <c r="BJ327" s="1779"/>
      <c r="BK327" s="1779"/>
      <c r="BL327" s="1779"/>
      <c r="BM327" s="1779"/>
      <c r="BN327" s="1779"/>
      <c r="BO327" s="1779"/>
      <c r="BP327" s="1780"/>
      <c r="BQ327" s="1755"/>
      <c r="BR327" s="1755"/>
      <c r="BS327" s="1755"/>
      <c r="BT327" s="1755"/>
      <c r="BU327" s="1755"/>
      <c r="BV327" s="1755"/>
      <c r="BW327" s="1755"/>
      <c r="BX327" s="1755"/>
      <c r="BY327" s="1755"/>
      <c r="BZ327" s="1755"/>
      <c r="CA327" s="1755"/>
      <c r="CB327" s="1755"/>
      <c r="CC327" s="1755"/>
      <c r="CD327" s="1755"/>
      <c r="CE327" s="1755"/>
      <c r="CF327" s="1755"/>
      <c r="CG327" s="1755"/>
      <c r="CH327" s="1755"/>
      <c r="CI327" s="1755"/>
      <c r="CJ327" s="1755"/>
      <c r="CK327" s="1755"/>
      <c r="CL327" s="1755"/>
      <c r="CM327" s="1755"/>
      <c r="CN327" s="1756"/>
      <c r="CO327" s="1783"/>
    </row>
    <row r="328" spans="2:93" x14ac:dyDescent="0.2">
      <c r="B328" s="1707"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28" s="1703" t="s">
        <v>1079</v>
      </c>
      <c r="D328" s="1765" t="s">
        <v>1078</v>
      </c>
      <c r="E328" s="1714" t="s">
        <v>987</v>
      </c>
      <c r="F328" s="1747" t="str">
        <f>VLOOKUP(TBL5_OptBen[[#This Row],[Option Type (defined list)]],'Option Typs_Grps'!B$2:C$47, 2, FALSE)</f>
        <v>Customer Options</v>
      </c>
      <c r="G328" s="1747" t="s">
        <v>863</v>
      </c>
      <c r="H328" s="1707" t="s">
        <v>1462</v>
      </c>
      <c r="I328" s="1747" t="s">
        <v>88</v>
      </c>
      <c r="J328" s="1747" t="s">
        <v>236</v>
      </c>
      <c r="K328" s="1760">
        <v>2</v>
      </c>
      <c r="L328" s="1779"/>
      <c r="M328" s="1779"/>
      <c r="N328" s="1779">
        <v>0</v>
      </c>
      <c r="O328" s="1780">
        <v>0</v>
      </c>
      <c r="P328" s="1780">
        <v>0</v>
      </c>
      <c r="Q328" s="1779">
        <v>0</v>
      </c>
      <c r="R328" s="1779">
        <v>0</v>
      </c>
      <c r="S328" s="1779">
        <v>0</v>
      </c>
      <c r="T328" s="1779">
        <v>0.59987779025402688</v>
      </c>
      <c r="U328" s="1779">
        <v>1.1974770082609894</v>
      </c>
      <c r="V328" s="1779">
        <v>1.794592738115</v>
      </c>
      <c r="W328" s="1779">
        <v>2.3821657852000158</v>
      </c>
      <c r="X328" s="1779">
        <v>2.9708490950779947</v>
      </c>
      <c r="Y328" s="1779">
        <v>3.5502161519579545</v>
      </c>
      <c r="Z328" s="1779">
        <v>4.7817647159629928</v>
      </c>
      <c r="AA328" s="1779">
        <v>5.9977293890730152</v>
      </c>
      <c r="AB328" s="1779">
        <v>7.2140606238340297</v>
      </c>
      <c r="AC328" s="1779">
        <v>8.4272968684659872</v>
      </c>
      <c r="AD328" s="1779">
        <v>9.6362828601490378</v>
      </c>
      <c r="AE328" s="1779">
        <v>10.843386621460979</v>
      </c>
      <c r="AF328" s="1779">
        <v>12.049227284313019</v>
      </c>
      <c r="AG328" s="1779">
        <v>13.133936390835004</v>
      </c>
      <c r="AH328" s="1779">
        <v>14.317832073316026</v>
      </c>
      <c r="AI328" s="1779">
        <v>15.500731567574974</v>
      </c>
      <c r="AJ328" s="1779">
        <v>15.885754161050045</v>
      </c>
      <c r="AK328" s="1779">
        <v>16.276372133927964</v>
      </c>
      <c r="AL328" s="1779">
        <v>16.627234504373007</v>
      </c>
      <c r="AM328" s="1779">
        <v>16.788341602771993</v>
      </c>
      <c r="AN328" s="1779">
        <v>17.175152163831001</v>
      </c>
      <c r="AO328" s="1779">
        <v>17.444088101313014</v>
      </c>
      <c r="AP328" s="1779">
        <v>17.829206713579993</v>
      </c>
      <c r="AQ328" s="1779"/>
      <c r="AR328" s="1779"/>
      <c r="AS328" s="1779"/>
      <c r="AT328" s="1779"/>
      <c r="AU328" s="1779"/>
      <c r="AV328" s="1779"/>
      <c r="AW328" s="1779"/>
      <c r="AX328" s="1779"/>
      <c r="AY328" s="1779"/>
      <c r="AZ328" s="1779"/>
      <c r="BA328" s="1779"/>
      <c r="BB328" s="1779"/>
      <c r="BC328" s="1779"/>
      <c r="BD328" s="1779"/>
      <c r="BE328" s="1779"/>
      <c r="BF328" s="1779"/>
      <c r="BG328" s="1779"/>
      <c r="BH328" s="1779"/>
      <c r="BI328" s="1779"/>
      <c r="BJ328" s="1779"/>
      <c r="BK328" s="1779"/>
      <c r="BL328" s="1779"/>
      <c r="BM328" s="1779"/>
      <c r="BN328" s="1779"/>
      <c r="BO328" s="1779"/>
      <c r="BP328" s="1780"/>
      <c r="BQ328" s="1755"/>
      <c r="BR328" s="1755"/>
      <c r="BS328" s="1755"/>
      <c r="BT328" s="1755"/>
      <c r="BU328" s="1755"/>
      <c r="BV328" s="1755"/>
      <c r="BW328" s="1755"/>
      <c r="BX328" s="1755"/>
      <c r="BY328" s="1755"/>
      <c r="BZ328" s="1755"/>
      <c r="CA328" s="1755"/>
      <c r="CB328" s="1755"/>
      <c r="CC328" s="1755"/>
      <c r="CD328" s="1755"/>
      <c r="CE328" s="1755"/>
      <c r="CF328" s="1755"/>
      <c r="CG328" s="1755"/>
      <c r="CH328" s="1755"/>
      <c r="CI328" s="1755"/>
      <c r="CJ328" s="1755"/>
      <c r="CK328" s="1755"/>
      <c r="CL328" s="1755"/>
      <c r="CM328" s="1755"/>
      <c r="CN328" s="1756"/>
      <c r="CO328" s="1783"/>
    </row>
    <row r="329" spans="2:93" ht="15" x14ac:dyDescent="0.25">
      <c r="B329" s="1707"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29" s="1703" t="s">
        <v>1067</v>
      </c>
      <c r="D329" s="1765" t="s">
        <v>1066</v>
      </c>
      <c r="E329" s="1723" t="s">
        <v>1068</v>
      </c>
      <c r="F329" s="1747" t="str">
        <f>VLOOKUP(TBL5_OptBen[[#This Row],[Option Type (defined list)]],'Option Typs_Grps'!B$2:C$47, 2, FALSE)</f>
        <v>Customer Options</v>
      </c>
      <c r="G329" s="1747" t="s">
        <v>863</v>
      </c>
      <c r="H329" s="1707" t="s">
        <v>1462</v>
      </c>
      <c r="I329" s="1747" t="s">
        <v>93</v>
      </c>
      <c r="J329" s="1747" t="s">
        <v>236</v>
      </c>
      <c r="K329" s="1760">
        <v>2</v>
      </c>
      <c r="L329" s="1779"/>
      <c r="M329" s="1779"/>
      <c r="N329" s="1779">
        <v>0</v>
      </c>
      <c r="O329" s="1780">
        <v>0</v>
      </c>
      <c r="P329" s="1780">
        <v>0</v>
      </c>
      <c r="Q329" s="1779">
        <v>0</v>
      </c>
      <c r="R329" s="1779">
        <v>-1.239423019077545E-2</v>
      </c>
      <c r="S329" s="1779">
        <v>-2.6197635865993579E-2</v>
      </c>
      <c r="T329" s="1779">
        <v>-2.9348911188556148E-2</v>
      </c>
      <c r="U329" s="1779">
        <v>-3.2194129703357999E-2</v>
      </c>
      <c r="V329" s="1779">
        <v>-4.3354738690610239E-3</v>
      </c>
      <c r="W329" s="1779">
        <v>4.7866620393365089E-2</v>
      </c>
      <c r="X329" s="1779">
        <v>7.166159097846736E-2</v>
      </c>
      <c r="Y329" s="1779">
        <v>8.3740839638092646E-2</v>
      </c>
      <c r="Z329" s="1779">
        <v>9.435644887196748E-2</v>
      </c>
      <c r="AA329" s="1779">
        <v>0.10431333255891417</v>
      </c>
      <c r="AB329" s="1779">
        <v>0.10346768948320517</v>
      </c>
      <c r="AC329" s="1779">
        <v>0.10274879289052752</v>
      </c>
      <c r="AD329" s="1779">
        <v>0.1021515708056735</v>
      </c>
      <c r="AE329" s="1779">
        <v>0.1016145597188165</v>
      </c>
      <c r="AF329" s="1779">
        <v>0.10101919097799095</v>
      </c>
      <c r="AG329" s="1779">
        <v>0.1003093338119303</v>
      </c>
      <c r="AH329" s="1779">
        <v>9.983590642150042E-2</v>
      </c>
      <c r="AI329" s="1779">
        <v>9.942483494829335E-2</v>
      </c>
      <c r="AJ329" s="1779">
        <v>9.9409754245551651E-2</v>
      </c>
      <c r="AK329" s="1779">
        <v>9.9437109876129304E-2</v>
      </c>
      <c r="AL329" s="1779">
        <v>9.9466811409989475E-2</v>
      </c>
      <c r="AM329" s="1779">
        <v>9.9550088853337382E-2</v>
      </c>
      <c r="AN329" s="1779">
        <v>9.9652709035356724E-2</v>
      </c>
      <c r="AO329" s="1779">
        <v>9.9774774146949019E-2</v>
      </c>
      <c r="AP329" s="1779">
        <v>9.9895984993572107E-2</v>
      </c>
      <c r="AQ329" s="1779"/>
      <c r="AR329" s="1779"/>
      <c r="AS329" s="1779"/>
      <c r="AT329" s="1779"/>
      <c r="AU329" s="1779"/>
      <c r="AV329" s="1779"/>
      <c r="AW329" s="1779"/>
      <c r="AX329" s="1779"/>
      <c r="AY329" s="1779"/>
      <c r="AZ329" s="1779"/>
      <c r="BA329" s="1779"/>
      <c r="BB329" s="1779"/>
      <c r="BC329" s="1779"/>
      <c r="BD329" s="1779"/>
      <c r="BE329" s="1779"/>
      <c r="BF329" s="1779"/>
      <c r="BG329" s="1779"/>
      <c r="BH329" s="1779"/>
      <c r="BI329" s="1779"/>
      <c r="BJ329" s="1779"/>
      <c r="BK329" s="1779"/>
      <c r="BL329" s="1779"/>
      <c r="BM329" s="1779"/>
      <c r="BN329" s="1779"/>
      <c r="BO329" s="1779"/>
      <c r="BP329" s="1780"/>
      <c r="BQ329" s="1755"/>
      <c r="BR329" s="1755"/>
      <c r="BS329" s="1755"/>
      <c r="BT329" s="1755"/>
      <c r="BU329" s="1755"/>
      <c r="BV329" s="1755"/>
      <c r="BW329" s="1755"/>
      <c r="BX329" s="1755"/>
      <c r="BY329" s="1755"/>
      <c r="BZ329" s="1755"/>
      <c r="CA329" s="1755"/>
      <c r="CB329" s="1755"/>
      <c r="CC329" s="1755"/>
      <c r="CD329" s="1755"/>
      <c r="CE329" s="1755"/>
      <c r="CF329" s="1755"/>
      <c r="CG329" s="1755"/>
      <c r="CH329" s="1755"/>
      <c r="CI329" s="1755"/>
      <c r="CJ329" s="1755"/>
      <c r="CK329" s="1755"/>
      <c r="CL329" s="1755"/>
      <c r="CM329" s="1755"/>
      <c r="CN329" s="1756"/>
      <c r="CO329" s="1783"/>
    </row>
    <row r="330" spans="2:93" ht="15" x14ac:dyDescent="0.25">
      <c r="B330" s="1707"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30" s="1703" t="s">
        <v>1075</v>
      </c>
      <c r="D330" s="1765" t="s">
        <v>1074</v>
      </c>
      <c r="E330" s="1723" t="s">
        <v>987</v>
      </c>
      <c r="F330" s="1747" t="str">
        <f>VLOOKUP(TBL5_OptBen[[#This Row],[Option Type (defined list)]],'Option Typs_Grps'!B$2:C$47, 2, FALSE)</f>
        <v>Customer Options</v>
      </c>
      <c r="G330" s="1747" t="s">
        <v>863</v>
      </c>
      <c r="H330" s="1707" t="s">
        <v>1462</v>
      </c>
      <c r="I330" s="1747" t="s">
        <v>93</v>
      </c>
      <c r="J330" s="1747" t="s">
        <v>236</v>
      </c>
      <c r="K330" s="1760">
        <v>2</v>
      </c>
      <c r="L330" s="1779"/>
      <c r="M330" s="1779"/>
      <c r="N330" s="1779">
        <v>0</v>
      </c>
      <c r="O330" s="1780">
        <v>0</v>
      </c>
      <c r="P330" s="1780">
        <v>0</v>
      </c>
      <c r="Q330" s="1779">
        <v>0</v>
      </c>
      <c r="R330" s="1779">
        <v>3.5689960635599149E-2</v>
      </c>
      <c r="S330" s="1779">
        <v>7.0850369439400041E-2</v>
      </c>
      <c r="T330" s="1779">
        <v>0.10570749970590043</v>
      </c>
      <c r="U330" s="1779">
        <v>0.14014606036050026</v>
      </c>
      <c r="V330" s="1779">
        <v>0.17382879107720051</v>
      </c>
      <c r="W330" s="1779">
        <v>0.20583829676770016</v>
      </c>
      <c r="X330" s="1779">
        <v>0.23781771826189946</v>
      </c>
      <c r="Y330" s="1779">
        <v>0.26963649374980037</v>
      </c>
      <c r="Z330" s="1779">
        <v>0.3011656579377</v>
      </c>
      <c r="AA330" s="1779">
        <v>0.33249119538979954</v>
      </c>
      <c r="AB330" s="1779">
        <v>0.34078230931220155</v>
      </c>
      <c r="AC330" s="1779">
        <v>0.34896819786899869</v>
      </c>
      <c r="AD330" s="1779">
        <v>0.35726778101169998</v>
      </c>
      <c r="AE330" s="1779">
        <v>0.3656342848338987</v>
      </c>
      <c r="AF330" s="1779">
        <v>0.37379066380550086</v>
      </c>
      <c r="AG330" s="1779">
        <v>0.38159369376059971</v>
      </c>
      <c r="AH330" s="1779">
        <v>0.38953120982329992</v>
      </c>
      <c r="AI330" s="1779">
        <v>0.3974834677502006</v>
      </c>
      <c r="AJ330" s="1779">
        <v>0.40547642921410088</v>
      </c>
      <c r="AK330" s="1779">
        <v>0.41348851048780055</v>
      </c>
      <c r="AL330" s="1779">
        <v>0.42116409856060066</v>
      </c>
      <c r="AM330" s="1779">
        <v>0.42885439317410068</v>
      </c>
      <c r="AN330" s="1779">
        <v>0.4366501854895013</v>
      </c>
      <c r="AO330" s="1779">
        <v>0.44453823180630003</v>
      </c>
      <c r="AP330" s="1779">
        <v>0.44401369463800044</v>
      </c>
      <c r="AQ330" s="1779"/>
      <c r="AR330" s="1779"/>
      <c r="AS330" s="1779"/>
      <c r="AT330" s="1779"/>
      <c r="AU330" s="1779"/>
      <c r="AV330" s="1779"/>
      <c r="AW330" s="1779"/>
      <c r="AX330" s="1779"/>
      <c r="AY330" s="1779"/>
      <c r="AZ330" s="1779"/>
      <c r="BA330" s="1779"/>
      <c r="BB330" s="1779"/>
      <c r="BC330" s="1779"/>
      <c r="BD330" s="1779"/>
      <c r="BE330" s="1779"/>
      <c r="BF330" s="1779"/>
      <c r="BG330" s="1779"/>
      <c r="BH330" s="1779"/>
      <c r="BI330" s="1779"/>
      <c r="BJ330" s="1779"/>
      <c r="BK330" s="1779"/>
      <c r="BL330" s="1779"/>
      <c r="BM330" s="1779"/>
      <c r="BN330" s="1779"/>
      <c r="BO330" s="1779"/>
      <c r="BP330" s="1780"/>
      <c r="BQ330" s="1755"/>
      <c r="BR330" s="1755"/>
      <c r="BS330" s="1755"/>
      <c r="BT330" s="1755"/>
      <c r="BU330" s="1755"/>
      <c r="BV330" s="1755"/>
      <c r="BW330" s="1755"/>
      <c r="BX330" s="1755"/>
      <c r="BY330" s="1755"/>
      <c r="BZ330" s="1755"/>
      <c r="CA330" s="1755"/>
      <c r="CB330" s="1755"/>
      <c r="CC330" s="1755"/>
      <c r="CD330" s="1755"/>
      <c r="CE330" s="1755"/>
      <c r="CF330" s="1755"/>
      <c r="CG330" s="1755"/>
      <c r="CH330" s="1755"/>
      <c r="CI330" s="1755"/>
      <c r="CJ330" s="1755"/>
      <c r="CK330" s="1755"/>
      <c r="CL330" s="1755"/>
      <c r="CM330" s="1755"/>
      <c r="CN330" s="1756"/>
      <c r="CO330" s="1783"/>
    </row>
    <row r="331" spans="2:93" x14ac:dyDescent="0.2">
      <c r="B331" s="1707"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31" s="1707" t="s">
        <v>1123</v>
      </c>
      <c r="D331" s="1765" t="s">
        <v>1122</v>
      </c>
      <c r="E331" s="1714" t="s">
        <v>987</v>
      </c>
      <c r="F331" s="1747" t="str">
        <f>VLOOKUP(TBL5_OptBen[[#This Row],[Option Type (defined list)]],'Option Typs_Grps'!B$2:C$47, 2, FALSE)</f>
        <v>Customer Options</v>
      </c>
      <c r="G331" s="1747" t="s">
        <v>863</v>
      </c>
      <c r="H331" s="1707" t="s">
        <v>1462</v>
      </c>
      <c r="I331" s="1747" t="s">
        <v>93</v>
      </c>
      <c r="J331" s="1747" t="s">
        <v>236</v>
      </c>
      <c r="K331" s="1760">
        <v>2</v>
      </c>
      <c r="L331" s="1779"/>
      <c r="M331" s="1779"/>
      <c r="N331" s="1779">
        <v>0</v>
      </c>
      <c r="O331" s="1780">
        <v>0</v>
      </c>
      <c r="P331" s="1780">
        <v>0</v>
      </c>
      <c r="Q331" s="1779">
        <v>0</v>
      </c>
      <c r="R331" s="1779">
        <v>1.3178471333400665E-2</v>
      </c>
      <c r="S331" s="1779">
        <v>3.9369086072099435E-2</v>
      </c>
      <c r="T331" s="1779">
        <v>4.3887993163000516E-2</v>
      </c>
      <c r="U331" s="1779">
        <v>8.3937061854401307E-2</v>
      </c>
      <c r="V331" s="1779">
        <v>0.12562484537389906</v>
      </c>
      <c r="W331" s="1779">
        <v>0.14181290059669927</v>
      </c>
      <c r="X331" s="1779">
        <v>0.15804796262260012</v>
      </c>
      <c r="Y331" s="1779">
        <v>0.17419540958569968</v>
      </c>
      <c r="Z331" s="1779">
        <v>0.19019893628089868</v>
      </c>
      <c r="AA331" s="1779">
        <v>0.2060964717269993</v>
      </c>
      <c r="AB331" s="1779">
        <v>0.20549936133209989</v>
      </c>
      <c r="AC331" s="1779">
        <v>0.20485197174890146</v>
      </c>
      <c r="AD331" s="1779">
        <v>0.20427678766820101</v>
      </c>
      <c r="AE331" s="1779">
        <v>0.20376090528110069</v>
      </c>
      <c r="AF331" s="1779">
        <v>0.20317404311090037</v>
      </c>
      <c r="AG331" s="1779">
        <v>0.20256742403909911</v>
      </c>
      <c r="AH331" s="1779">
        <v>0.20204244947000127</v>
      </c>
      <c r="AI331" s="1779">
        <v>0.20154988315639955</v>
      </c>
      <c r="AJ331" s="1779">
        <v>0.20109600900439872</v>
      </c>
      <c r="AK331" s="1779">
        <v>0.2006715365935996</v>
      </c>
      <c r="AL331" s="1779">
        <v>0.20025402051919983</v>
      </c>
      <c r="AM331" s="1779">
        <v>0.19986082533180038</v>
      </c>
      <c r="AN331" s="1779">
        <v>0.19953306732709919</v>
      </c>
      <c r="AO331" s="1779">
        <v>0.19926368990329912</v>
      </c>
      <c r="AP331" s="1779">
        <v>0.20748931640120105</v>
      </c>
      <c r="AQ331" s="1779"/>
      <c r="AR331" s="1779"/>
      <c r="AS331" s="1779"/>
      <c r="AT331" s="1779"/>
      <c r="AU331" s="1779"/>
      <c r="AV331" s="1779"/>
      <c r="AW331" s="1779"/>
      <c r="AX331" s="1779"/>
      <c r="AY331" s="1779"/>
      <c r="AZ331" s="1779"/>
      <c r="BA331" s="1779"/>
      <c r="BB331" s="1779"/>
      <c r="BC331" s="1779"/>
      <c r="BD331" s="1779"/>
      <c r="BE331" s="1779"/>
      <c r="BF331" s="1779"/>
      <c r="BG331" s="1779"/>
      <c r="BH331" s="1779"/>
      <c r="BI331" s="1779"/>
      <c r="BJ331" s="1779"/>
      <c r="BK331" s="1779"/>
      <c r="BL331" s="1779"/>
      <c r="BM331" s="1779"/>
      <c r="BN331" s="1779"/>
      <c r="BO331" s="1779"/>
      <c r="BP331" s="1780"/>
      <c r="BQ331" s="1755"/>
      <c r="BR331" s="1755"/>
      <c r="BS331" s="1755"/>
      <c r="BT331" s="1755"/>
      <c r="BU331" s="1755"/>
      <c r="BV331" s="1755"/>
      <c r="BW331" s="1755"/>
      <c r="BX331" s="1755"/>
      <c r="BY331" s="1755"/>
      <c r="BZ331" s="1755"/>
      <c r="CA331" s="1755"/>
      <c r="CB331" s="1755"/>
      <c r="CC331" s="1755"/>
      <c r="CD331" s="1755"/>
      <c r="CE331" s="1755"/>
      <c r="CF331" s="1755"/>
      <c r="CG331" s="1755"/>
      <c r="CH331" s="1755"/>
      <c r="CI331" s="1755"/>
      <c r="CJ331" s="1755"/>
      <c r="CK331" s="1755"/>
      <c r="CL331" s="1755"/>
      <c r="CM331" s="1755"/>
      <c r="CN331" s="1756"/>
      <c r="CO331" s="1783"/>
    </row>
    <row r="332" spans="2:93" x14ac:dyDescent="0.2">
      <c r="B332" s="1707"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332" s="1703" t="s">
        <v>1082</v>
      </c>
      <c r="D332" s="1765" t="s">
        <v>1081</v>
      </c>
      <c r="E332" s="1723" t="s">
        <v>860</v>
      </c>
      <c r="F332" s="1747" t="str">
        <f>VLOOKUP(TBL5_OptBen[[#This Row],[Option Type (defined list)]],'Option Typs_Grps'!B$2:C$47, 2, FALSE)</f>
        <v>Distribution Options</v>
      </c>
      <c r="G332" s="1747" t="s">
        <v>863</v>
      </c>
      <c r="H332" s="1707" t="s">
        <v>1462</v>
      </c>
      <c r="I332" s="1747" t="s">
        <v>93</v>
      </c>
      <c r="J332" s="1747" t="s">
        <v>236</v>
      </c>
      <c r="K332" s="1760">
        <v>2</v>
      </c>
      <c r="L332" s="1779"/>
      <c r="M332" s="1779"/>
      <c r="N332" s="1779">
        <v>0</v>
      </c>
      <c r="O332" s="1780">
        <v>0</v>
      </c>
      <c r="P332" s="1780">
        <v>0</v>
      </c>
      <c r="Q332" s="1779">
        <v>0</v>
      </c>
      <c r="R332" s="1779">
        <v>1.6012833302289531E-2</v>
      </c>
      <c r="S332" s="1779">
        <v>3.2297784268105145E-2</v>
      </c>
      <c r="T332" s="1779">
        <v>4.6891326556159241E-2</v>
      </c>
      <c r="U332" s="1779">
        <v>6.1476061398944459E-2</v>
      </c>
      <c r="V332" s="1779">
        <v>6.7704838780245469E-2</v>
      </c>
      <c r="W332" s="1779">
        <v>6.8220328336446867E-2</v>
      </c>
      <c r="X332" s="1779">
        <v>7.6904546290095466E-2</v>
      </c>
      <c r="Y332" s="1779">
        <v>9.1173372840745115E-2</v>
      </c>
      <c r="Z332" s="1779">
        <v>0.10542791179829925</v>
      </c>
      <c r="AA332" s="1779">
        <v>0.11966776006978419</v>
      </c>
      <c r="AB332" s="1779">
        <v>0.1338935329489499</v>
      </c>
      <c r="AC332" s="1779">
        <v>0.14810483085964576</v>
      </c>
      <c r="AD332" s="1779">
        <v>0.16230273066300716</v>
      </c>
      <c r="AE332" s="1779">
        <v>0.17648917044213785</v>
      </c>
      <c r="AF332" s="1779">
        <v>0.19066368741453266</v>
      </c>
      <c r="AG332" s="1779">
        <v>0.20481992820443029</v>
      </c>
      <c r="AH332" s="1779">
        <v>0.21895815868837754</v>
      </c>
      <c r="AI332" s="1779">
        <v>0.23308594445252351</v>
      </c>
      <c r="AJ332" s="1779">
        <v>0.24720120862646122</v>
      </c>
      <c r="AK332" s="1779">
        <v>0.26130520094276699</v>
      </c>
      <c r="AL332" s="1779">
        <v>0.27539827539136907</v>
      </c>
      <c r="AM332" s="1779">
        <v>0.28948165215975519</v>
      </c>
      <c r="AN332" s="1779">
        <v>0.30355690303425731</v>
      </c>
      <c r="AO332" s="1779">
        <v>0.31762429344060794</v>
      </c>
      <c r="AP332" s="1779">
        <v>0.33168332357691122</v>
      </c>
      <c r="AQ332" s="1779"/>
      <c r="AR332" s="1779"/>
      <c r="AS332" s="1779"/>
      <c r="AT332" s="1779"/>
      <c r="AU332" s="1779"/>
      <c r="AV332" s="1779"/>
      <c r="AW332" s="1779"/>
      <c r="AX332" s="1779"/>
      <c r="AY332" s="1779"/>
      <c r="AZ332" s="1779"/>
      <c r="BA332" s="1779"/>
      <c r="BB332" s="1779"/>
      <c r="BC332" s="1779"/>
      <c r="BD332" s="1779"/>
      <c r="BE332" s="1779"/>
      <c r="BF332" s="1779"/>
      <c r="BG332" s="1779"/>
      <c r="BH332" s="1779"/>
      <c r="BI332" s="1779"/>
      <c r="BJ332" s="1779"/>
      <c r="BK332" s="1779"/>
      <c r="BL332" s="1779"/>
      <c r="BM332" s="1779"/>
      <c r="BN332" s="1779"/>
      <c r="BO332" s="1779"/>
      <c r="BP332" s="1780"/>
      <c r="BQ332" s="1755"/>
      <c r="BR332" s="1755"/>
      <c r="BS332" s="1755"/>
      <c r="BT332" s="1755"/>
      <c r="BU332" s="1755"/>
      <c r="BV332" s="1755"/>
      <c r="BW332" s="1755"/>
      <c r="BX332" s="1755"/>
      <c r="BY332" s="1755"/>
      <c r="BZ332" s="1755"/>
      <c r="CA332" s="1755"/>
      <c r="CB332" s="1755"/>
      <c r="CC332" s="1755"/>
      <c r="CD332" s="1755"/>
      <c r="CE332" s="1755"/>
      <c r="CF332" s="1755"/>
      <c r="CG332" s="1755"/>
      <c r="CH332" s="1755"/>
      <c r="CI332" s="1755"/>
      <c r="CJ332" s="1755"/>
      <c r="CK332" s="1755"/>
      <c r="CL332" s="1755"/>
      <c r="CM332" s="1755"/>
      <c r="CN332" s="1756"/>
      <c r="CO332" s="1783"/>
    </row>
    <row r="333" spans="2:93" ht="15" x14ac:dyDescent="0.25">
      <c r="B333" s="1707"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33" s="1703" t="s">
        <v>1119</v>
      </c>
      <c r="D333" s="1765" t="s">
        <v>1118</v>
      </c>
      <c r="E333" s="1723" t="s">
        <v>1099</v>
      </c>
      <c r="F333" s="1747" t="str">
        <f>VLOOKUP(TBL5_OptBen[[#This Row],[Option Type (defined list)]],'Option Typs_Grps'!B$2:C$47, 2, FALSE)</f>
        <v>Customer Options</v>
      </c>
      <c r="G333" s="1747" t="s">
        <v>863</v>
      </c>
      <c r="H333" s="1707" t="s">
        <v>1462</v>
      </c>
      <c r="I333" s="1747" t="s">
        <v>93</v>
      </c>
      <c r="J333" s="1747" t="s">
        <v>236</v>
      </c>
      <c r="K333" s="1760">
        <v>2</v>
      </c>
      <c r="L333" s="1779"/>
      <c r="M333" s="1779"/>
      <c r="N333" s="1779">
        <v>0</v>
      </c>
      <c r="O333" s="1780">
        <v>0</v>
      </c>
      <c r="P333" s="1780">
        <v>0</v>
      </c>
      <c r="Q333" s="1779">
        <v>0</v>
      </c>
      <c r="R333" s="1779">
        <v>-3.4263330228962406E-4</v>
      </c>
      <c r="S333" s="1779">
        <v>-9.5738426810537854E-4</v>
      </c>
      <c r="T333" s="1779">
        <v>1.192734438405299E-4</v>
      </c>
      <c r="U333" s="1779">
        <v>1.2047386010554384E-3</v>
      </c>
      <c r="V333" s="1779">
        <v>1.0646161219754301E-2</v>
      </c>
      <c r="W333" s="1779">
        <v>2.580087166355283E-2</v>
      </c>
      <c r="X333" s="1779">
        <v>3.2786853709904314E-2</v>
      </c>
      <c r="Y333" s="1779">
        <v>3.4188227159254521E-2</v>
      </c>
      <c r="Z333" s="1779">
        <v>3.5603888201700525E-2</v>
      </c>
      <c r="AA333" s="1779">
        <v>3.70342399302157E-2</v>
      </c>
      <c r="AB333" s="1779">
        <v>3.8478667051049797E-2</v>
      </c>
      <c r="AC333" s="1779">
        <v>3.9937569140353874E-2</v>
      </c>
      <c r="AD333" s="1779">
        <v>4.1409869336992353E-2</v>
      </c>
      <c r="AE333" s="1779">
        <v>4.2893629557861718E-2</v>
      </c>
      <c r="AF333" s="1779">
        <v>4.4389312585466904E-2</v>
      </c>
      <c r="AG333" s="1779">
        <v>4.5903271795569175E-2</v>
      </c>
      <c r="AH333" s="1779">
        <v>4.7435241311621787E-2</v>
      </c>
      <c r="AI333" s="1779">
        <v>4.897765554747599E-2</v>
      </c>
      <c r="AJ333" s="1779">
        <v>5.0532591373538299E-2</v>
      </c>
      <c r="AK333" s="1779">
        <v>5.209879905723229E-2</v>
      </c>
      <c r="AL333" s="1779">
        <v>5.3675924608630209E-2</v>
      </c>
      <c r="AM333" s="1779">
        <v>5.5262747840244097E-2</v>
      </c>
      <c r="AN333" s="1779">
        <v>5.6857696965741972E-2</v>
      </c>
      <c r="AO333" s="1779">
        <v>5.846050655939123E-2</v>
      </c>
      <c r="AP333" s="1779">
        <v>6.0071676423088909E-2</v>
      </c>
      <c r="AQ333" s="1779"/>
      <c r="AR333" s="1779"/>
      <c r="AS333" s="1779"/>
      <c r="AT333" s="1779"/>
      <c r="AU333" s="1779"/>
      <c r="AV333" s="1779"/>
      <c r="AW333" s="1779"/>
      <c r="AX333" s="1779"/>
      <c r="AY333" s="1779"/>
      <c r="AZ333" s="1779"/>
      <c r="BA333" s="1779"/>
      <c r="BB333" s="1779"/>
      <c r="BC333" s="1779"/>
      <c r="BD333" s="1779"/>
      <c r="BE333" s="1779"/>
      <c r="BF333" s="1779"/>
      <c r="BG333" s="1779"/>
      <c r="BH333" s="1779"/>
      <c r="BI333" s="1779"/>
      <c r="BJ333" s="1779"/>
      <c r="BK333" s="1779"/>
      <c r="BL333" s="1779"/>
      <c r="BM333" s="1779"/>
      <c r="BN333" s="1779"/>
      <c r="BO333" s="1779"/>
      <c r="BP333" s="1780"/>
      <c r="BQ333" s="1755"/>
      <c r="BR333" s="1755"/>
      <c r="BS333" s="1755"/>
      <c r="BT333" s="1755"/>
      <c r="BU333" s="1755"/>
      <c r="BV333" s="1755"/>
      <c r="BW333" s="1755"/>
      <c r="BX333" s="1755"/>
      <c r="BY333" s="1755"/>
      <c r="BZ333" s="1755"/>
      <c r="CA333" s="1755"/>
      <c r="CB333" s="1755"/>
      <c r="CC333" s="1755"/>
      <c r="CD333" s="1755"/>
      <c r="CE333" s="1755"/>
      <c r="CF333" s="1755"/>
      <c r="CG333" s="1755"/>
      <c r="CH333" s="1755"/>
      <c r="CI333" s="1755"/>
      <c r="CJ333" s="1755"/>
      <c r="CK333" s="1755"/>
      <c r="CL333" s="1755"/>
      <c r="CM333" s="1755"/>
      <c r="CN333" s="1756"/>
      <c r="CO333" s="1783"/>
    </row>
    <row r="334" spans="2:93" x14ac:dyDescent="0.2">
      <c r="B334" s="1707"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34" s="1707" t="s">
        <v>1125</v>
      </c>
      <c r="D334" s="1765" t="s">
        <v>1474</v>
      </c>
      <c r="E334" s="1714" t="s">
        <v>987</v>
      </c>
      <c r="F334" s="1747" t="str">
        <f>VLOOKUP(TBL5_OptBen[[#This Row],[Option Type (defined list)]],'Option Typs_Grps'!B$2:C$47, 2, FALSE)</f>
        <v>Customer Options</v>
      </c>
      <c r="G334" s="1747" t="s">
        <v>863</v>
      </c>
      <c r="H334" s="1707" t="s">
        <v>1462</v>
      </c>
      <c r="I334" s="1747" t="s">
        <v>93</v>
      </c>
      <c r="J334" s="1747" t="s">
        <v>236</v>
      </c>
      <c r="K334" s="1760">
        <v>2</v>
      </c>
      <c r="L334" s="1779"/>
      <c r="M334" s="1779"/>
      <c r="N334" s="1779">
        <v>0</v>
      </c>
      <c r="O334" s="1780">
        <v>0</v>
      </c>
      <c r="P334" s="1780">
        <v>0</v>
      </c>
      <c r="Q334" s="1779">
        <v>0</v>
      </c>
      <c r="R334" s="1779">
        <v>1.0144563675199336E-2</v>
      </c>
      <c r="S334" s="1779">
        <v>2.0289127350499925E-2</v>
      </c>
      <c r="T334" s="1779">
        <v>3.0433691025800513E-2</v>
      </c>
      <c r="U334" s="1779">
        <v>4.0578254701101102E-2</v>
      </c>
      <c r="V334" s="1779">
        <v>5.0722818376399914E-2</v>
      </c>
      <c r="W334" s="1779">
        <v>7.2467705815599359E-2</v>
      </c>
      <c r="X334" s="1779">
        <v>9.4212593254999533E-2</v>
      </c>
      <c r="Y334" s="1779">
        <v>0.11595748069419898</v>
      </c>
      <c r="Z334" s="1779">
        <v>0.13770236813349968</v>
      </c>
      <c r="AA334" s="1779">
        <v>0.1594472555727986</v>
      </c>
      <c r="AB334" s="1779">
        <v>0.17964585081410078</v>
      </c>
      <c r="AC334" s="1779">
        <v>0.19984444605529994</v>
      </c>
      <c r="AD334" s="1779">
        <v>0.22004304129650087</v>
      </c>
      <c r="AE334" s="1779">
        <v>0.2200430412964991</v>
      </c>
      <c r="AF334" s="1779">
        <v>0.22004304129650087</v>
      </c>
      <c r="AG334" s="1779">
        <v>0.2200430412964991</v>
      </c>
      <c r="AH334" s="1779">
        <v>0.22004304129650087</v>
      </c>
      <c r="AI334" s="1779">
        <v>0.22004304129650087</v>
      </c>
      <c r="AJ334" s="1779">
        <v>0.22004304129650087</v>
      </c>
      <c r="AK334" s="1779">
        <v>0.2200430412964991</v>
      </c>
      <c r="AL334" s="1779">
        <v>0.22004304129650087</v>
      </c>
      <c r="AM334" s="1779">
        <v>0.22004304129650087</v>
      </c>
      <c r="AN334" s="1779">
        <v>0.22004304129650087</v>
      </c>
      <c r="AO334" s="1779">
        <v>0.2200430412964991</v>
      </c>
      <c r="AP334" s="1779">
        <v>0.22004304129650087</v>
      </c>
      <c r="AQ334" s="1779"/>
      <c r="AR334" s="1779"/>
      <c r="AS334" s="1779"/>
      <c r="AT334" s="1779"/>
      <c r="AU334" s="1779"/>
      <c r="AV334" s="1779"/>
      <c r="AW334" s="1779"/>
      <c r="AX334" s="1779"/>
      <c r="AY334" s="1779"/>
      <c r="AZ334" s="1779"/>
      <c r="BA334" s="1779"/>
      <c r="BB334" s="1779"/>
      <c r="BC334" s="1779"/>
      <c r="BD334" s="1779"/>
      <c r="BE334" s="1779"/>
      <c r="BF334" s="1779"/>
      <c r="BG334" s="1779"/>
      <c r="BH334" s="1779"/>
      <c r="BI334" s="1779"/>
      <c r="BJ334" s="1779"/>
      <c r="BK334" s="1779"/>
      <c r="BL334" s="1779"/>
      <c r="BM334" s="1779"/>
      <c r="BN334" s="1779"/>
      <c r="BO334" s="1779"/>
      <c r="BP334" s="1780"/>
      <c r="BQ334" s="1755"/>
      <c r="BR334" s="1755"/>
      <c r="BS334" s="1755"/>
      <c r="BT334" s="1755"/>
      <c r="BU334" s="1755"/>
      <c r="BV334" s="1755"/>
      <c r="BW334" s="1755"/>
      <c r="BX334" s="1755"/>
      <c r="BY334" s="1755"/>
      <c r="BZ334" s="1755"/>
      <c r="CA334" s="1755"/>
      <c r="CB334" s="1755"/>
      <c r="CC334" s="1755"/>
      <c r="CD334" s="1755"/>
      <c r="CE334" s="1755"/>
      <c r="CF334" s="1755"/>
      <c r="CG334" s="1755"/>
      <c r="CH334" s="1755"/>
      <c r="CI334" s="1755"/>
      <c r="CJ334" s="1755"/>
      <c r="CK334" s="1755"/>
      <c r="CL334" s="1755"/>
      <c r="CM334" s="1755"/>
      <c r="CN334" s="1756"/>
      <c r="CO334" s="1783"/>
    </row>
    <row r="335" spans="2:93" x14ac:dyDescent="0.2">
      <c r="B335" s="1707"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35" s="1703" t="s">
        <v>1079</v>
      </c>
      <c r="D335" s="1765" t="s">
        <v>1078</v>
      </c>
      <c r="E335" s="1714" t="s">
        <v>987</v>
      </c>
      <c r="F335" s="1747" t="str">
        <f>VLOOKUP(TBL5_OptBen[[#This Row],[Option Type (defined list)]],'Option Typs_Grps'!B$2:C$47, 2, FALSE)</f>
        <v>Customer Options</v>
      </c>
      <c r="G335" s="1747" t="s">
        <v>863</v>
      </c>
      <c r="H335" s="1707" t="s">
        <v>1462</v>
      </c>
      <c r="I335" s="1747" t="s">
        <v>93</v>
      </c>
      <c r="J335" s="1747" t="s">
        <v>236</v>
      </c>
      <c r="K335" s="1760">
        <v>2</v>
      </c>
      <c r="L335" s="1779"/>
      <c r="M335" s="1779"/>
      <c r="N335" s="1779">
        <v>0</v>
      </c>
      <c r="O335" s="1780">
        <v>0</v>
      </c>
      <c r="P335" s="1780">
        <v>0</v>
      </c>
      <c r="Q335" s="1779">
        <v>0</v>
      </c>
      <c r="R335" s="1779">
        <v>0</v>
      </c>
      <c r="S335" s="1779">
        <v>0</v>
      </c>
      <c r="T335" s="1779">
        <v>1.2316154623000841E-2</v>
      </c>
      <c r="U335" s="1779">
        <v>2.4492761570900967E-2</v>
      </c>
      <c r="V335" s="1779">
        <v>3.6494205364698828E-2</v>
      </c>
      <c r="W335" s="1779">
        <v>4.840714577579952E-2</v>
      </c>
      <c r="X335" s="1779">
        <v>6.0274776207499769E-2</v>
      </c>
      <c r="Y335" s="1779">
        <v>7.2075016762699562E-2</v>
      </c>
      <c r="Z335" s="1779">
        <v>9.6940235992798662E-2</v>
      </c>
      <c r="AA335" s="1779">
        <v>0.12163387279989912</v>
      </c>
      <c r="AB335" s="1779">
        <v>0.14620955217790055</v>
      </c>
      <c r="AC335" s="1779">
        <v>0.17063373049670005</v>
      </c>
      <c r="AD335" s="1779">
        <v>0.19495479254990045</v>
      </c>
      <c r="AE335" s="1779">
        <v>0.2192086231135999</v>
      </c>
      <c r="AF335" s="1779">
        <v>0.2432107743487002</v>
      </c>
      <c r="AG335" s="1779">
        <v>0.26704516829710023</v>
      </c>
      <c r="AH335" s="1779">
        <v>0.29089161678320075</v>
      </c>
      <c r="AI335" s="1779">
        <v>0.31469205759239927</v>
      </c>
      <c r="AJ335" s="1779">
        <v>0.32222836230859997</v>
      </c>
      <c r="AK335" s="1779">
        <v>0.32981805983060042</v>
      </c>
      <c r="AL335" s="1779">
        <v>0.33738307145740087</v>
      </c>
      <c r="AM335" s="1779">
        <v>0.34497200784130122</v>
      </c>
      <c r="AN335" s="1779">
        <v>0.35268172673660025</v>
      </c>
      <c r="AO335" s="1779">
        <v>0.3604911591194</v>
      </c>
      <c r="AP335" s="1779">
        <v>0.36835618440450091</v>
      </c>
      <c r="AQ335" s="1779"/>
      <c r="AR335" s="1779"/>
      <c r="AS335" s="1779"/>
      <c r="AT335" s="1779"/>
      <c r="AU335" s="1779"/>
      <c r="AV335" s="1779"/>
      <c r="AW335" s="1779"/>
      <c r="AX335" s="1779"/>
      <c r="AY335" s="1779"/>
      <c r="AZ335" s="1779"/>
      <c r="BA335" s="1779"/>
      <c r="BB335" s="1779"/>
      <c r="BC335" s="1779"/>
      <c r="BD335" s="1779"/>
      <c r="BE335" s="1779"/>
      <c r="BF335" s="1779"/>
      <c r="BG335" s="1779"/>
      <c r="BH335" s="1779"/>
      <c r="BI335" s="1779"/>
      <c r="BJ335" s="1779"/>
      <c r="BK335" s="1779"/>
      <c r="BL335" s="1779"/>
      <c r="BM335" s="1779"/>
      <c r="BN335" s="1779"/>
      <c r="BO335" s="1779"/>
      <c r="BP335" s="1780"/>
      <c r="BQ335" s="1755"/>
      <c r="BR335" s="1755"/>
      <c r="BS335" s="1755"/>
      <c r="BT335" s="1755"/>
      <c r="BU335" s="1755"/>
      <c r="BV335" s="1755"/>
      <c r="BW335" s="1755"/>
      <c r="BX335" s="1755"/>
      <c r="BY335" s="1755"/>
      <c r="BZ335" s="1755"/>
      <c r="CA335" s="1755"/>
      <c r="CB335" s="1755"/>
      <c r="CC335" s="1755"/>
      <c r="CD335" s="1755"/>
      <c r="CE335" s="1755"/>
      <c r="CF335" s="1755"/>
      <c r="CG335" s="1755"/>
      <c r="CH335" s="1755"/>
      <c r="CI335" s="1755"/>
      <c r="CJ335" s="1755"/>
      <c r="CK335" s="1755"/>
      <c r="CL335" s="1755"/>
      <c r="CM335" s="1755"/>
      <c r="CN335" s="1756"/>
      <c r="CO335" s="1783"/>
    </row>
    <row r="336" spans="2:93" ht="15" x14ac:dyDescent="0.25">
      <c r="B336" s="1707"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36" s="1703" t="s">
        <v>1067</v>
      </c>
      <c r="D336" s="1765" t="s">
        <v>1066</v>
      </c>
      <c r="E336" s="1723" t="s">
        <v>1068</v>
      </c>
      <c r="F336" s="1747" t="str">
        <f>VLOOKUP(TBL5_OptBen[[#This Row],[Option Type (defined list)]],'Option Typs_Grps'!B$2:C$47, 2, FALSE)</f>
        <v>Customer Options</v>
      </c>
      <c r="G336" s="1747" t="s">
        <v>863</v>
      </c>
      <c r="H336" s="1707" t="s">
        <v>1462</v>
      </c>
      <c r="I336" s="1747" t="s">
        <v>102</v>
      </c>
      <c r="J336" s="1747" t="s">
        <v>236</v>
      </c>
      <c r="K336" s="1760">
        <v>2</v>
      </c>
      <c r="L336" s="1779"/>
      <c r="M336" s="1779"/>
      <c r="N336" s="1779">
        <v>0</v>
      </c>
      <c r="O336" s="1780">
        <v>2.5757174171303632E-14</v>
      </c>
      <c r="P336" s="1780">
        <v>4.0856207306205761E-14</v>
      </c>
      <c r="Q336" s="1779">
        <v>0</v>
      </c>
      <c r="R336" s="1779">
        <v>2.8222942254962025E-2</v>
      </c>
      <c r="S336" s="1779">
        <v>5.102355375825951E-2</v>
      </c>
      <c r="T336" s="1779">
        <v>-3.463498264699183E-2</v>
      </c>
      <c r="U336" s="1779">
        <v>-4.0982019910842382E-2</v>
      </c>
      <c r="V336" s="1779">
        <v>-4.4940511999577382E-2</v>
      </c>
      <c r="W336" s="1779">
        <v>-4.775765604458293E-2</v>
      </c>
      <c r="X336" s="1779">
        <v>-4.8309414629620129E-2</v>
      </c>
      <c r="Y336" s="1779">
        <v>-4.7194492905036134E-2</v>
      </c>
      <c r="Z336" s="1779">
        <v>-4.5687750903295077E-2</v>
      </c>
      <c r="AA336" s="1779">
        <v>-4.3850077526514042E-2</v>
      </c>
      <c r="AB336" s="1779">
        <v>-4.251077120807617E-2</v>
      </c>
      <c r="AC336" s="1779">
        <v>-4.0811700950468266E-2</v>
      </c>
      <c r="AD336" s="1779">
        <v>-3.8842439729724676E-2</v>
      </c>
      <c r="AE336" s="1779">
        <v>-3.6734993318920717E-2</v>
      </c>
      <c r="AF336" s="1779">
        <v>-3.4514656625783124E-2</v>
      </c>
      <c r="AG336" s="1779">
        <v>-3.2990954233751757E-2</v>
      </c>
      <c r="AH336" s="1779">
        <v>-3.0526067857536643E-2</v>
      </c>
      <c r="AI336" s="1779">
        <v>-2.828810780484603E-2</v>
      </c>
      <c r="AJ336" s="1779">
        <v>-2.6948396809237662E-2</v>
      </c>
      <c r="AK336" s="1779">
        <v>-2.6745392207197627E-2</v>
      </c>
      <c r="AL336" s="1779">
        <v>-2.6597930185511709E-2</v>
      </c>
      <c r="AM336" s="1779">
        <v>-2.6563086591654517E-2</v>
      </c>
      <c r="AN336" s="1779">
        <v>-2.6636264602878157E-2</v>
      </c>
      <c r="AO336" s="1779">
        <v>-2.6832454923069959E-2</v>
      </c>
      <c r="AP336" s="1779">
        <v>-2.6965253032190883E-2</v>
      </c>
      <c r="AQ336" s="1779"/>
      <c r="AR336" s="1779"/>
      <c r="AS336" s="1779"/>
      <c r="AT336" s="1779"/>
      <c r="AU336" s="1779"/>
      <c r="AV336" s="1779"/>
      <c r="AW336" s="1779"/>
      <c r="AX336" s="1779"/>
      <c r="AY336" s="1779"/>
      <c r="AZ336" s="1779"/>
      <c r="BA336" s="1779"/>
      <c r="BB336" s="1779"/>
      <c r="BC336" s="1779"/>
      <c r="BD336" s="1779"/>
      <c r="BE336" s="1779"/>
      <c r="BF336" s="1779"/>
      <c r="BG336" s="1779"/>
      <c r="BH336" s="1779"/>
      <c r="BI336" s="1779"/>
      <c r="BJ336" s="1779"/>
      <c r="BK336" s="1779"/>
      <c r="BL336" s="1779"/>
      <c r="BM336" s="1779"/>
      <c r="BN336" s="1779"/>
      <c r="BO336" s="1779"/>
      <c r="BP336" s="1780"/>
      <c r="BQ336" s="1755"/>
      <c r="BR336" s="1755"/>
      <c r="BS336" s="1755"/>
      <c r="BT336" s="1755"/>
      <c r="BU336" s="1755"/>
      <c r="BV336" s="1755"/>
      <c r="BW336" s="1755"/>
      <c r="BX336" s="1755"/>
      <c r="BY336" s="1755"/>
      <c r="BZ336" s="1755"/>
      <c r="CA336" s="1755"/>
      <c r="CB336" s="1755"/>
      <c r="CC336" s="1755"/>
      <c r="CD336" s="1755"/>
      <c r="CE336" s="1755"/>
      <c r="CF336" s="1755"/>
      <c r="CG336" s="1755"/>
      <c r="CH336" s="1755"/>
      <c r="CI336" s="1755"/>
      <c r="CJ336" s="1755"/>
      <c r="CK336" s="1755"/>
      <c r="CL336" s="1755"/>
      <c r="CM336" s="1755"/>
      <c r="CN336" s="1756"/>
      <c r="CO336" s="1783"/>
    </row>
    <row r="337" spans="2:93" ht="15" x14ac:dyDescent="0.25">
      <c r="B337" s="1707"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37" s="1703" t="s">
        <v>1075</v>
      </c>
      <c r="D337" s="1765" t="s">
        <v>1074</v>
      </c>
      <c r="E337" s="1723" t="s">
        <v>987</v>
      </c>
      <c r="F337" s="1747" t="str">
        <f>VLOOKUP(TBL5_OptBen[[#This Row],[Option Type (defined list)]],'Option Typs_Grps'!B$2:C$47, 2, FALSE)</f>
        <v>Customer Options</v>
      </c>
      <c r="G337" s="1747" t="s">
        <v>863</v>
      </c>
      <c r="H337" s="1707" t="s">
        <v>1462</v>
      </c>
      <c r="I337" s="1747" t="s">
        <v>102</v>
      </c>
      <c r="J337" s="1747" t="s">
        <v>236</v>
      </c>
      <c r="K337" s="1760">
        <v>2</v>
      </c>
      <c r="L337" s="1779"/>
      <c r="M337" s="1779"/>
      <c r="N337" s="1779">
        <v>0</v>
      </c>
      <c r="O337" s="1780">
        <v>0</v>
      </c>
      <c r="P337" s="1780">
        <v>0</v>
      </c>
      <c r="Q337" s="1779">
        <v>0</v>
      </c>
      <c r="R337" s="1779">
        <v>2.6466184574900353E-2</v>
      </c>
      <c r="S337" s="1779">
        <v>5.2703045370600776E-2</v>
      </c>
      <c r="T337" s="1779">
        <v>7.8838269622799828E-2</v>
      </c>
      <c r="U337" s="1779">
        <v>0.10477022753389953</v>
      </c>
      <c r="V337" s="1779">
        <v>0.13037979739119976</v>
      </c>
      <c r="W337" s="1779">
        <v>0.15447090153770127</v>
      </c>
      <c r="X337" s="1779">
        <v>0.178389663577601</v>
      </c>
      <c r="Y337" s="1779">
        <v>0.20212094995099861</v>
      </c>
      <c r="Z337" s="1779">
        <v>0.22569794914289965</v>
      </c>
      <c r="AA337" s="1779">
        <v>0.24915739999269881</v>
      </c>
      <c r="AB337" s="1779">
        <v>0.2720656474501002</v>
      </c>
      <c r="AC337" s="1779">
        <v>0.29486199233470067</v>
      </c>
      <c r="AD337" s="1779">
        <v>0.31768700526280114</v>
      </c>
      <c r="AE337" s="1779">
        <v>0.34038776342729982</v>
      </c>
      <c r="AF337" s="1779">
        <v>0.36273496351030055</v>
      </c>
      <c r="AG337" s="1779">
        <v>0.38414449070080003</v>
      </c>
      <c r="AH337" s="1779">
        <v>0.4054621388136006</v>
      </c>
      <c r="AI337" s="1779">
        <v>0.42676131530109984</v>
      </c>
      <c r="AJ337" s="1779">
        <v>0.44802374330889982</v>
      </c>
      <c r="AK337" s="1779">
        <v>0.44685892045979969</v>
      </c>
      <c r="AL337" s="1779">
        <v>0.44567043903500014</v>
      </c>
      <c r="AM337" s="1779">
        <v>0.4444983119407997</v>
      </c>
      <c r="AN337" s="1779">
        <v>0.44352353592370086</v>
      </c>
      <c r="AO337" s="1779">
        <v>0.44272260925770013</v>
      </c>
      <c r="AP337" s="1779">
        <v>0.4420649494759008</v>
      </c>
      <c r="AQ337" s="1779"/>
      <c r="AR337" s="1779"/>
      <c r="AS337" s="1779"/>
      <c r="AT337" s="1779"/>
      <c r="AU337" s="1779"/>
      <c r="AV337" s="1779"/>
      <c r="AW337" s="1779"/>
      <c r="AX337" s="1779"/>
      <c r="AY337" s="1779"/>
      <c r="AZ337" s="1779"/>
      <c r="BA337" s="1779"/>
      <c r="BB337" s="1779"/>
      <c r="BC337" s="1779"/>
      <c r="BD337" s="1779"/>
      <c r="BE337" s="1779"/>
      <c r="BF337" s="1779"/>
      <c r="BG337" s="1779"/>
      <c r="BH337" s="1779"/>
      <c r="BI337" s="1779"/>
      <c r="BJ337" s="1779"/>
      <c r="BK337" s="1779"/>
      <c r="BL337" s="1779"/>
      <c r="BM337" s="1779"/>
      <c r="BN337" s="1779"/>
      <c r="BO337" s="1779"/>
      <c r="BP337" s="1780"/>
      <c r="BQ337" s="1755"/>
      <c r="BR337" s="1755"/>
      <c r="BS337" s="1755"/>
      <c r="BT337" s="1755"/>
      <c r="BU337" s="1755"/>
      <c r="BV337" s="1755"/>
      <c r="BW337" s="1755"/>
      <c r="BX337" s="1755"/>
      <c r="BY337" s="1755"/>
      <c r="BZ337" s="1755"/>
      <c r="CA337" s="1755"/>
      <c r="CB337" s="1755"/>
      <c r="CC337" s="1755"/>
      <c r="CD337" s="1755"/>
      <c r="CE337" s="1755"/>
      <c r="CF337" s="1755"/>
      <c r="CG337" s="1755"/>
      <c r="CH337" s="1755"/>
      <c r="CI337" s="1755"/>
      <c r="CJ337" s="1755"/>
      <c r="CK337" s="1755"/>
      <c r="CL337" s="1755"/>
      <c r="CM337" s="1755"/>
      <c r="CN337" s="1756"/>
      <c r="CO337" s="1783"/>
    </row>
    <row r="338" spans="2:93" x14ac:dyDescent="0.2">
      <c r="B338" s="1707"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38" s="1707" t="s">
        <v>1123</v>
      </c>
      <c r="D338" s="1765" t="s">
        <v>1122</v>
      </c>
      <c r="E338" s="1714" t="s">
        <v>987</v>
      </c>
      <c r="F338" s="1747" t="str">
        <f>VLOOKUP(TBL5_OptBen[[#This Row],[Option Type (defined list)]],'Option Typs_Grps'!B$2:C$47, 2, FALSE)</f>
        <v>Customer Options</v>
      </c>
      <c r="G338" s="1747" t="s">
        <v>863</v>
      </c>
      <c r="H338" s="1707" t="s">
        <v>1462</v>
      </c>
      <c r="I338" s="1747" t="s">
        <v>102</v>
      </c>
      <c r="J338" s="1747" t="s">
        <v>236</v>
      </c>
      <c r="K338" s="1760">
        <v>2</v>
      </c>
      <c r="L338" s="1779"/>
      <c r="M338" s="1779"/>
      <c r="N338" s="1779">
        <v>0</v>
      </c>
      <c r="O338" s="1780">
        <v>0</v>
      </c>
      <c r="P338" s="1780">
        <v>0</v>
      </c>
      <c r="Q338" s="1779">
        <v>0</v>
      </c>
      <c r="R338" s="1779">
        <v>7.6893942480005251E-4</v>
      </c>
      <c r="S338" s="1779">
        <v>9.1903375258990394E-3</v>
      </c>
      <c r="T338" s="1779">
        <v>2.2905399728010423E-3</v>
      </c>
      <c r="U338" s="1779">
        <v>3.0439581597008214E-3</v>
      </c>
      <c r="V338" s="1779">
        <v>3.7880097950999669E-3</v>
      </c>
      <c r="W338" s="1779">
        <v>4.5072612840986181E-3</v>
      </c>
      <c r="X338" s="1779">
        <v>5.2213450049993781E-3</v>
      </c>
      <c r="Y338" s="1779">
        <v>5.9298262703002536E-3</v>
      </c>
      <c r="Z338" s="1779">
        <v>6.6336833909996784E-3</v>
      </c>
      <c r="AA338" s="1779">
        <v>7.3340038329998691E-3</v>
      </c>
      <c r="AB338" s="1779">
        <v>7.310275623499507E-3</v>
      </c>
      <c r="AC338" s="1779">
        <v>7.2875865650985361E-3</v>
      </c>
      <c r="AD338" s="1779">
        <v>7.2689216290005021E-3</v>
      </c>
      <c r="AE338" s="1779">
        <v>7.2501894383005805E-3</v>
      </c>
      <c r="AF338" s="1779">
        <v>7.2268345811998813E-3</v>
      </c>
      <c r="AG338" s="1779">
        <v>7.2018840931988848E-3</v>
      </c>
      <c r="AH338" s="1779">
        <v>7.1780868481994275E-3</v>
      </c>
      <c r="AI338" s="1779">
        <v>7.1564912776995726E-3</v>
      </c>
      <c r="AJ338" s="1779">
        <v>7.136475193899372E-3</v>
      </c>
      <c r="AK338" s="1779">
        <v>7.1179209777998409E-3</v>
      </c>
      <c r="AL338" s="1779">
        <v>7.0989899091991049E-3</v>
      </c>
      <c r="AM338" s="1779">
        <v>7.080319345300623E-3</v>
      </c>
      <c r="AN338" s="1779">
        <v>7.0647923447992866E-3</v>
      </c>
      <c r="AO338" s="1779">
        <v>7.052034553801434E-3</v>
      </c>
      <c r="AP338" s="1779">
        <v>7.0415588305987598E-3</v>
      </c>
      <c r="AQ338" s="1779"/>
      <c r="AR338" s="1779"/>
      <c r="AS338" s="1779"/>
      <c r="AT338" s="1779"/>
      <c r="AU338" s="1779"/>
      <c r="AV338" s="1779"/>
      <c r="AW338" s="1779"/>
      <c r="AX338" s="1779"/>
      <c r="AY338" s="1779"/>
      <c r="AZ338" s="1779"/>
      <c r="BA338" s="1779"/>
      <c r="BB338" s="1779"/>
      <c r="BC338" s="1779"/>
      <c r="BD338" s="1779"/>
      <c r="BE338" s="1779"/>
      <c r="BF338" s="1779"/>
      <c r="BG338" s="1779"/>
      <c r="BH338" s="1779"/>
      <c r="BI338" s="1779"/>
      <c r="BJ338" s="1779"/>
      <c r="BK338" s="1779"/>
      <c r="BL338" s="1779"/>
      <c r="BM338" s="1779"/>
      <c r="BN338" s="1779"/>
      <c r="BO338" s="1779"/>
      <c r="BP338" s="1780"/>
      <c r="BQ338" s="1755"/>
      <c r="BR338" s="1755"/>
      <c r="BS338" s="1755"/>
      <c r="BT338" s="1755"/>
      <c r="BU338" s="1755"/>
      <c r="BV338" s="1755"/>
      <c r="BW338" s="1755"/>
      <c r="BX338" s="1755"/>
      <c r="BY338" s="1755"/>
      <c r="BZ338" s="1755"/>
      <c r="CA338" s="1755"/>
      <c r="CB338" s="1755"/>
      <c r="CC338" s="1755"/>
      <c r="CD338" s="1755"/>
      <c r="CE338" s="1755"/>
      <c r="CF338" s="1755"/>
      <c r="CG338" s="1755"/>
      <c r="CH338" s="1755"/>
      <c r="CI338" s="1755"/>
      <c r="CJ338" s="1755"/>
      <c r="CK338" s="1755"/>
      <c r="CL338" s="1755"/>
      <c r="CM338" s="1755"/>
      <c r="CN338" s="1756"/>
      <c r="CO338" s="1783"/>
    </row>
    <row r="339" spans="2:93" x14ac:dyDescent="0.2">
      <c r="B339" s="1707"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339" s="1703" t="s">
        <v>1082</v>
      </c>
      <c r="D339" s="1765" t="s">
        <v>1081</v>
      </c>
      <c r="E339" s="1723" t="s">
        <v>860</v>
      </c>
      <c r="F339" s="1747" t="str">
        <f>VLOOKUP(TBL5_OptBen[[#This Row],[Option Type (defined list)]],'Option Typs_Grps'!B$2:C$47, 2, FALSE)</f>
        <v>Distribution Options</v>
      </c>
      <c r="G339" s="1747" t="s">
        <v>863</v>
      </c>
      <c r="H339" s="1707" t="s">
        <v>1462</v>
      </c>
      <c r="I339" s="1747" t="s">
        <v>102</v>
      </c>
      <c r="J339" s="1747" t="s">
        <v>236</v>
      </c>
      <c r="K339" s="1760">
        <v>2</v>
      </c>
      <c r="L339" s="1779"/>
      <c r="M339" s="1779"/>
      <c r="N339" s="1779">
        <v>0</v>
      </c>
      <c r="O339" s="1780">
        <v>0</v>
      </c>
      <c r="P339" s="1780">
        <v>0</v>
      </c>
      <c r="Q339" s="1779">
        <v>0</v>
      </c>
      <c r="R339" s="1779">
        <v>-1.6145513693702762E-3</v>
      </c>
      <c r="S339" s="1779">
        <v>-2.862783471225816E-3</v>
      </c>
      <c r="T339" s="1779">
        <v>4.2861807559981813E-3</v>
      </c>
      <c r="U339" s="1779">
        <v>1.1415347046815683E-2</v>
      </c>
      <c r="V339" s="1779">
        <v>1.8531374394505473E-2</v>
      </c>
      <c r="W339" s="1779">
        <v>2.5451428441384927E-2</v>
      </c>
      <c r="X339" s="1779">
        <v>3.2180298944493591E-2</v>
      </c>
      <c r="Y339" s="1779">
        <v>3.8899833363210901E-2</v>
      </c>
      <c r="Z339" s="1779">
        <v>4.5608061135080202E-2</v>
      </c>
      <c r="AA339" s="1779">
        <v>5.2304537552386288E-2</v>
      </c>
      <c r="AB339" s="1779">
        <v>5.8990056648910771E-2</v>
      </c>
      <c r="AC339" s="1779">
        <v>6.5666109426501196E-2</v>
      </c>
      <c r="AD339" s="1779">
        <v>7.2333316033205697E-2</v>
      </c>
      <c r="AE339" s="1779">
        <v>7.8990073448521048E-2</v>
      </c>
      <c r="AF339" s="1779">
        <v>8.5637468534773387E-2</v>
      </c>
      <c r="AG339" s="1779">
        <v>9.2272138106391566E-2</v>
      </c>
      <c r="AH339" s="1779">
        <v>9.8894373222669807E-2</v>
      </c>
      <c r="AI339" s="1779">
        <v>0.10550826501916322</v>
      </c>
      <c r="AJ339" s="1779">
        <v>0.11211449054613076</v>
      </c>
      <c r="AK339" s="1779">
        <v>0.11871315190985066</v>
      </c>
      <c r="AL339" s="1779">
        <v>0.1253036603091634</v>
      </c>
      <c r="AM339" s="1779">
        <v>0.13188627416948917</v>
      </c>
      <c r="AN339" s="1779">
        <v>0.13846030482426297</v>
      </c>
      <c r="AO339" s="1779">
        <v>0.14502519801332275</v>
      </c>
      <c r="AP339" s="1779">
        <v>0.15158118891372041</v>
      </c>
      <c r="AQ339" s="1779"/>
      <c r="AR339" s="1779"/>
      <c r="AS339" s="1779"/>
      <c r="AT339" s="1779"/>
      <c r="AU339" s="1779"/>
      <c r="AV339" s="1779"/>
      <c r="AW339" s="1779"/>
      <c r="AX339" s="1779"/>
      <c r="AY339" s="1779"/>
      <c r="AZ339" s="1779"/>
      <c r="BA339" s="1779"/>
      <c r="BB339" s="1779"/>
      <c r="BC339" s="1779"/>
      <c r="BD339" s="1779"/>
      <c r="BE339" s="1779"/>
      <c r="BF339" s="1779"/>
      <c r="BG339" s="1779"/>
      <c r="BH339" s="1779"/>
      <c r="BI339" s="1779"/>
      <c r="BJ339" s="1779"/>
      <c r="BK339" s="1779"/>
      <c r="BL339" s="1779"/>
      <c r="BM339" s="1779"/>
      <c r="BN339" s="1779"/>
      <c r="BO339" s="1779"/>
      <c r="BP339" s="1780"/>
      <c r="BQ339" s="1755"/>
      <c r="BR339" s="1755"/>
      <c r="BS339" s="1755"/>
      <c r="BT339" s="1755"/>
      <c r="BU339" s="1755"/>
      <c r="BV339" s="1755"/>
      <c r="BW339" s="1755"/>
      <c r="BX339" s="1755"/>
      <c r="BY339" s="1755"/>
      <c r="BZ339" s="1755"/>
      <c r="CA339" s="1755"/>
      <c r="CB339" s="1755"/>
      <c r="CC339" s="1755"/>
      <c r="CD339" s="1755"/>
      <c r="CE339" s="1755"/>
      <c r="CF339" s="1755"/>
      <c r="CG339" s="1755"/>
      <c r="CH339" s="1755"/>
      <c r="CI339" s="1755"/>
      <c r="CJ339" s="1755"/>
      <c r="CK339" s="1755"/>
      <c r="CL339" s="1755"/>
      <c r="CM339" s="1755"/>
      <c r="CN339" s="1756"/>
      <c r="CO339" s="1783"/>
    </row>
    <row r="340" spans="2:93" ht="15" x14ac:dyDescent="0.25">
      <c r="B340" s="1707"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40" s="1703" t="s">
        <v>1119</v>
      </c>
      <c r="D340" s="1765" t="s">
        <v>1118</v>
      </c>
      <c r="E340" s="1723" t="s">
        <v>1099</v>
      </c>
      <c r="F340" s="1747" t="str">
        <f>VLOOKUP(TBL5_OptBen[[#This Row],[Option Type (defined list)]],'Option Typs_Grps'!B$2:C$47, 2, FALSE)</f>
        <v>Customer Options</v>
      </c>
      <c r="G340" s="1747" t="s">
        <v>863</v>
      </c>
      <c r="H340" s="1707" t="s">
        <v>1462</v>
      </c>
      <c r="I340" s="1747" t="s">
        <v>102</v>
      </c>
      <c r="J340" s="1747" t="s">
        <v>236</v>
      </c>
      <c r="K340" s="1760">
        <v>2</v>
      </c>
      <c r="L340" s="1779"/>
      <c r="M340" s="1779"/>
      <c r="N340" s="1779">
        <v>0</v>
      </c>
      <c r="O340" s="1780">
        <v>0</v>
      </c>
      <c r="P340" s="1780">
        <v>0</v>
      </c>
      <c r="Q340" s="1779">
        <v>0</v>
      </c>
      <c r="R340" s="1779">
        <v>9.2039513693702429E-3</v>
      </c>
      <c r="S340" s="1779">
        <v>1.8041583471225781E-2</v>
      </c>
      <c r="T340" s="1779">
        <v>1.8482019244001648E-2</v>
      </c>
      <c r="U340" s="1779">
        <v>1.8942252953184201E-2</v>
      </c>
      <c r="V340" s="1779">
        <v>1.9415625605494376E-2</v>
      </c>
      <c r="W340" s="1779">
        <v>2.0084971558614897E-2</v>
      </c>
      <c r="X340" s="1779">
        <v>2.0945501055506202E-2</v>
      </c>
      <c r="Y340" s="1779">
        <v>2.1815366636788788E-2</v>
      </c>
      <c r="Z340" s="1779">
        <v>2.2696538864919541E-2</v>
      </c>
      <c r="AA340" s="1779">
        <v>2.358946244761341E-2</v>
      </c>
      <c r="AB340" s="1779">
        <v>2.4493343351088825E-2</v>
      </c>
      <c r="AC340" s="1779">
        <v>2.5406690573498487E-2</v>
      </c>
      <c r="AD340" s="1779">
        <v>2.6328883966793899E-2</v>
      </c>
      <c r="AE340" s="1779">
        <v>2.726152655147851E-2</v>
      </c>
      <c r="AF340" s="1779">
        <v>2.8203531465226167E-2</v>
      </c>
      <c r="AG340" s="1779">
        <v>2.9158261893607956E-2</v>
      </c>
      <c r="AH340" s="1779">
        <v>3.0125426777329566E-2</v>
      </c>
      <c r="AI340" s="1779">
        <v>3.110093498083619E-2</v>
      </c>
      <c r="AJ340" s="1779">
        <v>3.2084109453868609E-2</v>
      </c>
      <c r="AK340" s="1779">
        <v>3.3074848090148691E-2</v>
      </c>
      <c r="AL340" s="1779">
        <v>3.4073739690835922E-2</v>
      </c>
      <c r="AM340" s="1779">
        <v>3.5080525830510134E-2</v>
      </c>
      <c r="AN340" s="1779">
        <v>3.6095895175736276E-2</v>
      </c>
      <c r="AO340" s="1779">
        <v>3.7120401986676516E-2</v>
      </c>
      <c r="AP340" s="1779">
        <v>3.8153811086279611E-2</v>
      </c>
      <c r="AQ340" s="1779"/>
      <c r="AR340" s="1779"/>
      <c r="AS340" s="1779"/>
      <c r="AT340" s="1779"/>
      <c r="AU340" s="1779"/>
      <c r="AV340" s="1779"/>
      <c r="AW340" s="1779"/>
      <c r="AX340" s="1779"/>
      <c r="AY340" s="1779"/>
      <c r="AZ340" s="1779"/>
      <c r="BA340" s="1779"/>
      <c r="BB340" s="1779"/>
      <c r="BC340" s="1779"/>
      <c r="BD340" s="1779"/>
      <c r="BE340" s="1779"/>
      <c r="BF340" s="1779"/>
      <c r="BG340" s="1779"/>
      <c r="BH340" s="1779"/>
      <c r="BI340" s="1779"/>
      <c r="BJ340" s="1779"/>
      <c r="BK340" s="1779"/>
      <c r="BL340" s="1779"/>
      <c r="BM340" s="1779"/>
      <c r="BN340" s="1779"/>
      <c r="BO340" s="1779"/>
      <c r="BP340" s="1780"/>
      <c r="BQ340" s="1755"/>
      <c r="BR340" s="1755"/>
      <c r="BS340" s="1755"/>
      <c r="BT340" s="1755"/>
      <c r="BU340" s="1755"/>
      <c r="BV340" s="1755"/>
      <c r="BW340" s="1755"/>
      <c r="BX340" s="1755"/>
      <c r="BY340" s="1755"/>
      <c r="BZ340" s="1755"/>
      <c r="CA340" s="1755"/>
      <c r="CB340" s="1755"/>
      <c r="CC340" s="1755"/>
      <c r="CD340" s="1755"/>
      <c r="CE340" s="1755"/>
      <c r="CF340" s="1755"/>
      <c r="CG340" s="1755"/>
      <c r="CH340" s="1755"/>
      <c r="CI340" s="1755"/>
      <c r="CJ340" s="1755"/>
      <c r="CK340" s="1755"/>
      <c r="CL340" s="1755"/>
      <c r="CM340" s="1755"/>
      <c r="CN340" s="1756"/>
      <c r="CO340" s="1783"/>
    </row>
    <row r="341" spans="2:93" x14ac:dyDescent="0.2">
      <c r="B341" s="1707"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41" s="1707" t="s">
        <v>1125</v>
      </c>
      <c r="D341" s="1765" t="s">
        <v>1474</v>
      </c>
      <c r="E341" s="1714" t="s">
        <v>987</v>
      </c>
      <c r="F341" s="1747" t="str">
        <f>VLOOKUP(TBL5_OptBen[[#This Row],[Option Type (defined list)]],'Option Typs_Grps'!B$2:C$47, 2, FALSE)</f>
        <v>Customer Options</v>
      </c>
      <c r="G341" s="1747" t="s">
        <v>863</v>
      </c>
      <c r="H341" s="1707" t="s">
        <v>1462</v>
      </c>
      <c r="I341" s="1747" t="s">
        <v>102</v>
      </c>
      <c r="J341" s="1747" t="s">
        <v>236</v>
      </c>
      <c r="K341" s="1760">
        <v>2</v>
      </c>
      <c r="L341" s="1779"/>
      <c r="M341" s="1779"/>
      <c r="N341" s="1779">
        <v>0</v>
      </c>
      <c r="O341" s="1780">
        <v>0</v>
      </c>
      <c r="P341" s="1780">
        <v>0</v>
      </c>
      <c r="Q341" s="1779">
        <v>0</v>
      </c>
      <c r="R341" s="1779">
        <v>7.6395995637987824E-3</v>
      </c>
      <c r="S341" s="1779">
        <v>1.5279199127601117E-2</v>
      </c>
      <c r="T341" s="1779">
        <v>2.2918798691300424E-2</v>
      </c>
      <c r="U341" s="1779">
        <v>3.0558398255099206E-2</v>
      </c>
      <c r="V341" s="1779">
        <v>3.8197997818800289E-2</v>
      </c>
      <c r="W341" s="1779">
        <v>5.4573490931600688E-2</v>
      </c>
      <c r="X341" s="1779">
        <v>7.0948984044200358E-2</v>
      </c>
      <c r="Y341" s="1779">
        <v>8.7324477156998981E-2</v>
      </c>
      <c r="Z341" s="1779">
        <v>0.1036999702696999</v>
      </c>
      <c r="AA341" s="1779">
        <v>0.12007546338239905</v>
      </c>
      <c r="AB341" s="1779">
        <v>0.13528648519999997</v>
      </c>
      <c r="AC341" s="1779">
        <v>0.15049750701740017</v>
      </c>
      <c r="AD341" s="1779">
        <v>0.16570852883490161</v>
      </c>
      <c r="AE341" s="1779">
        <v>0.16570852883489984</v>
      </c>
      <c r="AF341" s="1779">
        <v>0.16570852883500109</v>
      </c>
      <c r="AG341" s="1779">
        <v>0.16570852883499931</v>
      </c>
      <c r="AH341" s="1779">
        <v>0.16570852883489984</v>
      </c>
      <c r="AI341" s="1779">
        <v>0.16570852883499931</v>
      </c>
      <c r="AJ341" s="1779">
        <v>0.16570852883489984</v>
      </c>
      <c r="AK341" s="1779">
        <v>0.16570852883499931</v>
      </c>
      <c r="AL341" s="1779">
        <v>0.16570852883499931</v>
      </c>
      <c r="AM341" s="1779">
        <v>0.16570852883489984</v>
      </c>
      <c r="AN341" s="1779">
        <v>0.16570852883500109</v>
      </c>
      <c r="AO341" s="1779">
        <v>0.16570852883489984</v>
      </c>
      <c r="AP341" s="1779">
        <v>0.16570852883500109</v>
      </c>
      <c r="AQ341" s="1779"/>
      <c r="AR341" s="1779"/>
      <c r="AS341" s="1779"/>
      <c r="AT341" s="1779"/>
      <c r="AU341" s="1779"/>
      <c r="AV341" s="1779"/>
      <c r="AW341" s="1779"/>
      <c r="AX341" s="1779"/>
      <c r="AY341" s="1779"/>
      <c r="AZ341" s="1779"/>
      <c r="BA341" s="1779"/>
      <c r="BB341" s="1779"/>
      <c r="BC341" s="1779"/>
      <c r="BD341" s="1779"/>
      <c r="BE341" s="1779"/>
      <c r="BF341" s="1779"/>
      <c r="BG341" s="1779"/>
      <c r="BH341" s="1779"/>
      <c r="BI341" s="1779"/>
      <c r="BJ341" s="1779"/>
      <c r="BK341" s="1779"/>
      <c r="BL341" s="1779"/>
      <c r="BM341" s="1779"/>
      <c r="BN341" s="1779"/>
      <c r="BO341" s="1779"/>
      <c r="BP341" s="1780"/>
      <c r="BQ341" s="1755"/>
      <c r="BR341" s="1755"/>
      <c r="BS341" s="1755"/>
      <c r="BT341" s="1755"/>
      <c r="BU341" s="1755"/>
      <c r="BV341" s="1755"/>
      <c r="BW341" s="1755"/>
      <c r="BX341" s="1755"/>
      <c r="BY341" s="1755"/>
      <c r="BZ341" s="1755"/>
      <c r="CA341" s="1755"/>
      <c r="CB341" s="1755"/>
      <c r="CC341" s="1755"/>
      <c r="CD341" s="1755"/>
      <c r="CE341" s="1755"/>
      <c r="CF341" s="1755"/>
      <c r="CG341" s="1755"/>
      <c r="CH341" s="1755"/>
      <c r="CI341" s="1755"/>
      <c r="CJ341" s="1755"/>
      <c r="CK341" s="1755"/>
      <c r="CL341" s="1755"/>
      <c r="CM341" s="1755"/>
      <c r="CN341" s="1756"/>
      <c r="CO341" s="1783"/>
    </row>
    <row r="342" spans="2:93" x14ac:dyDescent="0.2">
      <c r="B342" s="1707"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42" s="1703" t="s">
        <v>1079</v>
      </c>
      <c r="D342" s="1765" t="s">
        <v>1078</v>
      </c>
      <c r="E342" s="1714" t="s">
        <v>987</v>
      </c>
      <c r="F342" s="1747" t="str">
        <f>VLOOKUP(TBL5_OptBen[[#This Row],[Option Type (defined list)]],'Option Typs_Grps'!B$2:C$47, 2, FALSE)</f>
        <v>Customer Options</v>
      </c>
      <c r="G342" s="1747" t="s">
        <v>863</v>
      </c>
      <c r="H342" s="1707" t="s">
        <v>1462</v>
      </c>
      <c r="I342" s="1747" t="s">
        <v>102</v>
      </c>
      <c r="J342" s="1747" t="s">
        <v>236</v>
      </c>
      <c r="K342" s="1760">
        <v>2</v>
      </c>
      <c r="L342" s="1779"/>
      <c r="M342" s="1779"/>
      <c r="N342" s="1779">
        <v>0</v>
      </c>
      <c r="O342" s="1780">
        <v>0</v>
      </c>
      <c r="P342" s="1780">
        <v>0</v>
      </c>
      <c r="Q342" s="1779">
        <v>0</v>
      </c>
      <c r="R342" s="1779">
        <v>0</v>
      </c>
      <c r="S342" s="1779">
        <v>0</v>
      </c>
      <c r="T342" s="1779">
        <v>9.4103258283002589E-3</v>
      </c>
      <c r="U342" s="1779">
        <v>1.8758815812800478E-2</v>
      </c>
      <c r="V342" s="1779">
        <v>2.8041152727400487E-2</v>
      </c>
      <c r="W342" s="1779">
        <v>3.72156604469005E-2</v>
      </c>
      <c r="X342" s="1779">
        <v>4.6320273715700466E-2</v>
      </c>
      <c r="Y342" s="1779">
        <v>5.5352766276298482E-2</v>
      </c>
      <c r="Z342" s="1779">
        <v>7.4432272134398403E-2</v>
      </c>
      <c r="AA342" s="1779">
        <v>9.3388923077800001E-2</v>
      </c>
      <c r="AB342" s="1779">
        <v>0.11225156561260086</v>
      </c>
      <c r="AC342" s="1779">
        <v>0.13103614773550021</v>
      </c>
      <c r="AD342" s="1779">
        <v>0.14975844047660125</v>
      </c>
      <c r="AE342" s="1779">
        <v>0.16838205952520013</v>
      </c>
      <c r="AF342" s="1779">
        <v>0.18678872830479953</v>
      </c>
      <c r="AG342" s="1779">
        <v>0.20502825271989877</v>
      </c>
      <c r="AH342" s="1779">
        <v>0.22317353806890061</v>
      </c>
      <c r="AI342" s="1779">
        <v>0.24129542120090086</v>
      </c>
      <c r="AJ342" s="1779">
        <v>0.24692362060729955</v>
      </c>
      <c r="AK342" s="1779">
        <v>0.25259487094830035</v>
      </c>
      <c r="AL342" s="1779">
        <v>0.25821975220410032</v>
      </c>
      <c r="AM342" s="1779">
        <v>0.26382100824690013</v>
      </c>
      <c r="AN342" s="1779">
        <v>0.26950931389390043</v>
      </c>
      <c r="AO342" s="1779">
        <v>0.27527842000570146</v>
      </c>
      <c r="AP342" s="1779">
        <v>0.28111624695820048</v>
      </c>
      <c r="AQ342" s="1779"/>
      <c r="AR342" s="1779"/>
      <c r="AS342" s="1779"/>
      <c r="AT342" s="1779"/>
      <c r="AU342" s="1779"/>
      <c r="AV342" s="1779"/>
      <c r="AW342" s="1779"/>
      <c r="AX342" s="1779"/>
      <c r="AY342" s="1779"/>
      <c r="AZ342" s="1779"/>
      <c r="BA342" s="1779"/>
      <c r="BB342" s="1779"/>
      <c r="BC342" s="1779"/>
      <c r="BD342" s="1779"/>
      <c r="BE342" s="1779"/>
      <c r="BF342" s="1779"/>
      <c r="BG342" s="1779"/>
      <c r="BH342" s="1779"/>
      <c r="BI342" s="1779"/>
      <c r="BJ342" s="1779"/>
      <c r="BK342" s="1779"/>
      <c r="BL342" s="1779"/>
      <c r="BM342" s="1779"/>
      <c r="BN342" s="1779"/>
      <c r="BO342" s="1779"/>
      <c r="BP342" s="1780"/>
      <c r="BQ342" s="1755"/>
      <c r="BR342" s="1755"/>
      <c r="BS342" s="1755"/>
      <c r="BT342" s="1755"/>
      <c r="BU342" s="1755"/>
      <c r="BV342" s="1755"/>
      <c r="BW342" s="1755"/>
      <c r="BX342" s="1755"/>
      <c r="BY342" s="1755"/>
      <c r="BZ342" s="1755"/>
      <c r="CA342" s="1755"/>
      <c r="CB342" s="1755"/>
      <c r="CC342" s="1755"/>
      <c r="CD342" s="1755"/>
      <c r="CE342" s="1755"/>
      <c r="CF342" s="1755"/>
      <c r="CG342" s="1755"/>
      <c r="CH342" s="1755"/>
      <c r="CI342" s="1755"/>
      <c r="CJ342" s="1755"/>
      <c r="CK342" s="1755"/>
      <c r="CL342" s="1755"/>
      <c r="CM342" s="1755"/>
      <c r="CN342" s="1756"/>
      <c r="CO342" s="1783"/>
    </row>
    <row r="343" spans="2:93" x14ac:dyDescent="0.2">
      <c r="B343" s="1707"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43" s="1747" t="s">
        <v>1067</v>
      </c>
      <c r="D343" s="1747" t="s">
        <v>1066</v>
      </c>
      <c r="E343" s="1747" t="s">
        <v>1068</v>
      </c>
      <c r="F343" s="1747" t="str">
        <f>VLOOKUP(TBL5_OptBen[[#This Row],[Option Type (defined list)]],'Option Typs_Grps'!B$2:C$47, 2, FALSE)</f>
        <v>Customer Options</v>
      </c>
      <c r="G343" s="1747" t="s">
        <v>863</v>
      </c>
      <c r="H343" s="1707" t="s">
        <v>1462</v>
      </c>
      <c r="I343" s="1747" t="s">
        <v>105</v>
      </c>
      <c r="J343" s="1747" t="s">
        <v>236</v>
      </c>
      <c r="K343" s="1760">
        <v>2</v>
      </c>
      <c r="L343" s="1779"/>
      <c r="M343" s="1779"/>
      <c r="N343" s="1779">
        <v>0</v>
      </c>
      <c r="O343" s="1780">
        <v>0</v>
      </c>
      <c r="P343" s="1780">
        <v>0</v>
      </c>
      <c r="Q343" s="1779">
        <v>0</v>
      </c>
      <c r="R343" s="1779">
        <v>-3.0250176832678055E-2</v>
      </c>
      <c r="S343" s="1779">
        <v>0.22092509792618942</v>
      </c>
      <c r="T343" s="1779">
        <v>0.44180783531048951</v>
      </c>
      <c r="U343" s="1779">
        <v>0.65676649195386716</v>
      </c>
      <c r="V343" s="1779">
        <v>0.74603012807686042</v>
      </c>
      <c r="W343" s="1779">
        <v>0.67123336816176948</v>
      </c>
      <c r="X343" s="1779">
        <v>0.56160146727783111</v>
      </c>
      <c r="Y343" s="1779">
        <v>0.569141486410361</v>
      </c>
      <c r="Z343" s="1779">
        <v>0.56222283464014211</v>
      </c>
      <c r="AA343" s="1779">
        <v>0.57604467671953508</v>
      </c>
      <c r="AB343" s="1779">
        <v>0.58287426680638443</v>
      </c>
      <c r="AC343" s="1779">
        <v>0.5918935824934346</v>
      </c>
      <c r="AD343" s="1779">
        <v>0.60111067476332636</v>
      </c>
      <c r="AE343" s="1779">
        <v>0.61075432210265568</v>
      </c>
      <c r="AF343" s="1779">
        <v>0.62047119950066865</v>
      </c>
      <c r="AG343" s="1779">
        <v>0.62710990671047462</v>
      </c>
      <c r="AH343" s="1779">
        <v>0.63765170324713516</v>
      </c>
      <c r="AI343" s="1779">
        <v>0.64710000505310106</v>
      </c>
      <c r="AJ343" s="1779">
        <v>0.65750529700698657</v>
      </c>
      <c r="AK343" s="1779">
        <v>0.66793736733069409</v>
      </c>
      <c r="AL343" s="1779">
        <v>0.67795511886693127</v>
      </c>
      <c r="AM343" s="1779">
        <v>0.68819476295195159</v>
      </c>
      <c r="AN343" s="1779">
        <v>0.69833323270556491</v>
      </c>
      <c r="AO343" s="1779">
        <v>0.708452004238044</v>
      </c>
      <c r="AP343" s="1779">
        <v>0.71892658861624348</v>
      </c>
      <c r="AQ343" s="1779"/>
      <c r="AR343" s="1779"/>
      <c r="AS343" s="1779"/>
      <c r="AT343" s="1779"/>
      <c r="AU343" s="1779"/>
      <c r="AV343" s="1779"/>
      <c r="AW343" s="1779"/>
      <c r="AX343" s="1779"/>
      <c r="AY343" s="1779"/>
      <c r="AZ343" s="1779"/>
      <c r="BA343" s="1779"/>
      <c r="BB343" s="1779"/>
      <c r="BC343" s="1779"/>
      <c r="BD343" s="1779"/>
      <c r="BE343" s="1779"/>
      <c r="BF343" s="1779"/>
      <c r="BG343" s="1779"/>
      <c r="BH343" s="1779"/>
      <c r="BI343" s="1779"/>
      <c r="BJ343" s="1779"/>
      <c r="BK343" s="1779"/>
      <c r="BL343" s="1779"/>
      <c r="BM343" s="1779"/>
      <c r="BN343" s="1779"/>
      <c r="BO343" s="1779"/>
      <c r="BP343" s="1780"/>
      <c r="BQ343" s="1755"/>
      <c r="BR343" s="1755"/>
      <c r="BS343" s="1755"/>
      <c r="BT343" s="1755"/>
      <c r="BU343" s="1755"/>
      <c r="BV343" s="1755"/>
      <c r="BW343" s="1755"/>
      <c r="BX343" s="1755"/>
      <c r="BY343" s="1755"/>
      <c r="BZ343" s="1755"/>
      <c r="CA343" s="1755"/>
      <c r="CB343" s="1755"/>
      <c r="CC343" s="1755"/>
      <c r="CD343" s="1755"/>
      <c r="CE343" s="1755"/>
      <c r="CF343" s="1755"/>
      <c r="CG343" s="1755"/>
      <c r="CH343" s="1755"/>
      <c r="CI343" s="1755"/>
      <c r="CJ343" s="1755"/>
      <c r="CK343" s="1755"/>
      <c r="CL343" s="1755"/>
      <c r="CM343" s="1755"/>
      <c r="CN343" s="1756"/>
      <c r="CO343" s="1783"/>
    </row>
    <row r="344" spans="2:93" x14ac:dyDescent="0.2">
      <c r="B344" s="1707"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44" s="1747" t="s">
        <v>1075</v>
      </c>
      <c r="D344" s="1747" t="s">
        <v>1074</v>
      </c>
      <c r="E344" s="1747" t="s">
        <v>987</v>
      </c>
      <c r="F344" s="1747" t="str">
        <f>VLOOKUP(TBL5_OptBen[[#This Row],[Option Type (defined list)]],'Option Typs_Grps'!B$2:C$47, 2, FALSE)</f>
        <v>Customer Options</v>
      </c>
      <c r="G344" s="1747" t="s">
        <v>863</v>
      </c>
      <c r="H344" s="1707" t="s">
        <v>1462</v>
      </c>
      <c r="I344" s="1747" t="s">
        <v>105</v>
      </c>
      <c r="J344" s="1747" t="s">
        <v>236</v>
      </c>
      <c r="K344" s="1760">
        <v>2</v>
      </c>
      <c r="L344" s="1779"/>
      <c r="M344" s="1779"/>
      <c r="N344" s="1779">
        <v>0</v>
      </c>
      <c r="O344" s="1780">
        <v>0</v>
      </c>
      <c r="P344" s="1780">
        <v>0</v>
      </c>
      <c r="Q344" s="1779">
        <v>0</v>
      </c>
      <c r="R344" s="1779">
        <v>0.22449124655680208</v>
      </c>
      <c r="S344" s="1779">
        <v>0.44594592523610288</v>
      </c>
      <c r="T344" s="1779">
        <v>0.6662845238058992</v>
      </c>
      <c r="U344" s="1779">
        <v>0.88511942941270405</v>
      </c>
      <c r="V344" s="1779">
        <v>1.1020394620337015</v>
      </c>
      <c r="W344" s="1779">
        <v>1.3069039598269043</v>
      </c>
      <c r="X344" s="1779">
        <v>1.5109756718536005</v>
      </c>
      <c r="Y344" s="1779">
        <v>1.7137361579889046</v>
      </c>
      <c r="Z344" s="1779">
        <v>1.9155081107526968</v>
      </c>
      <c r="AA344" s="1779">
        <v>2.1171663775421052</v>
      </c>
      <c r="AB344" s="1779">
        <v>2.1854288201938985</v>
      </c>
      <c r="AC344" s="1779">
        <v>2.2525336110454006</v>
      </c>
      <c r="AD344" s="1779">
        <v>2.3186815926924993</v>
      </c>
      <c r="AE344" s="1779">
        <v>2.3845916997709011</v>
      </c>
      <c r="AF344" s="1779">
        <v>2.4508174073359967</v>
      </c>
      <c r="AG344" s="1779">
        <v>2.5142781679200965</v>
      </c>
      <c r="AH344" s="1779">
        <v>2.5768563611098969</v>
      </c>
      <c r="AI344" s="1779">
        <v>2.6386977728547976</v>
      </c>
      <c r="AJ344" s="1779">
        <v>2.6998942294479988</v>
      </c>
      <c r="AK344" s="1779">
        <v>2.7603311018409045</v>
      </c>
      <c r="AL344" s="1779">
        <v>2.8174101032381955</v>
      </c>
      <c r="AM344" s="1779">
        <v>2.8736127788586998</v>
      </c>
      <c r="AN344" s="1779">
        <v>2.9293708811567996</v>
      </c>
      <c r="AO344" s="1779">
        <v>2.9847736388110988</v>
      </c>
      <c r="AP344" s="1779">
        <v>2.9767429813442021</v>
      </c>
      <c r="AQ344" s="1779"/>
      <c r="AR344" s="1779"/>
      <c r="AS344" s="1779"/>
      <c r="AT344" s="1779"/>
      <c r="AU344" s="1779"/>
      <c r="AV344" s="1779"/>
      <c r="AW344" s="1779"/>
      <c r="AX344" s="1779"/>
      <c r="AY344" s="1779"/>
      <c r="AZ344" s="1779"/>
      <c r="BA344" s="1779"/>
      <c r="BB344" s="1779"/>
      <c r="BC344" s="1779"/>
      <c r="BD344" s="1779"/>
      <c r="BE344" s="1779"/>
      <c r="BF344" s="1779"/>
      <c r="BG344" s="1779"/>
      <c r="BH344" s="1779"/>
      <c r="BI344" s="1779"/>
      <c r="BJ344" s="1779"/>
      <c r="BK344" s="1779"/>
      <c r="BL344" s="1779"/>
      <c r="BM344" s="1779"/>
      <c r="BN344" s="1779"/>
      <c r="BO344" s="1779"/>
      <c r="BP344" s="1780"/>
      <c r="BQ344" s="1755"/>
      <c r="BR344" s="1755"/>
      <c r="BS344" s="1755"/>
      <c r="BT344" s="1755"/>
      <c r="BU344" s="1755"/>
      <c r="BV344" s="1755"/>
      <c r="BW344" s="1755"/>
      <c r="BX344" s="1755"/>
      <c r="BY344" s="1755"/>
      <c r="BZ344" s="1755"/>
      <c r="CA344" s="1755"/>
      <c r="CB344" s="1755"/>
      <c r="CC344" s="1755"/>
      <c r="CD344" s="1755"/>
      <c r="CE344" s="1755"/>
      <c r="CF344" s="1755"/>
      <c r="CG344" s="1755"/>
      <c r="CH344" s="1755"/>
      <c r="CI344" s="1755"/>
      <c r="CJ344" s="1755"/>
      <c r="CK344" s="1755"/>
      <c r="CL344" s="1755"/>
      <c r="CM344" s="1755"/>
      <c r="CN344" s="1756"/>
      <c r="CO344" s="1783"/>
    </row>
    <row r="345" spans="2:93" x14ac:dyDescent="0.2">
      <c r="B345" s="1707"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45" s="1747" t="s">
        <v>1123</v>
      </c>
      <c r="D345" s="1747" t="s">
        <v>1122</v>
      </c>
      <c r="E345" s="1747" t="s">
        <v>987</v>
      </c>
      <c r="F345" s="1747" t="str">
        <f>VLOOKUP(TBL5_OptBen[[#This Row],[Option Type (defined list)]],'Option Typs_Grps'!B$2:C$47, 2, FALSE)</f>
        <v>Customer Options</v>
      </c>
      <c r="G345" s="1747" t="s">
        <v>863</v>
      </c>
      <c r="H345" s="1707" t="s">
        <v>1462</v>
      </c>
      <c r="I345" s="1747" t="s">
        <v>105</v>
      </c>
      <c r="J345" s="1747" t="s">
        <v>236</v>
      </c>
      <c r="K345" s="1760">
        <v>2</v>
      </c>
      <c r="L345" s="1779"/>
      <c r="M345" s="1779"/>
      <c r="N345" s="1779">
        <v>0</v>
      </c>
      <c r="O345" s="1780">
        <v>0</v>
      </c>
      <c r="P345" s="1780">
        <v>0</v>
      </c>
      <c r="Q345" s="1779">
        <v>0</v>
      </c>
      <c r="R345" s="1779">
        <v>0.25285197876790022</v>
      </c>
      <c r="S345" s="1779">
        <v>0.28915600381380102</v>
      </c>
      <c r="T345" s="1779">
        <v>0.85611904685490003</v>
      </c>
      <c r="U345" s="1779">
        <v>1.1682636737810981</v>
      </c>
      <c r="V345" s="1779">
        <v>1.2988043173646986</v>
      </c>
      <c r="W345" s="1779">
        <v>1.3410526156413951</v>
      </c>
      <c r="X345" s="1779">
        <v>1.3833378679479011</v>
      </c>
      <c r="Y345" s="1779">
        <v>1.4249758066094955</v>
      </c>
      <c r="Z345" s="1779">
        <v>1.4661822578709049</v>
      </c>
      <c r="AA345" s="1779">
        <v>1.376736671158497</v>
      </c>
      <c r="AB345" s="1779">
        <v>1.3711449088019023</v>
      </c>
      <c r="AC345" s="1779">
        <v>1.3655705656969985</v>
      </c>
      <c r="AD345" s="1779">
        <v>1.3600865454248989</v>
      </c>
      <c r="AE345" s="1779">
        <v>1.3549934973377944</v>
      </c>
      <c r="AF345" s="1779">
        <v>1.3505218764641995</v>
      </c>
      <c r="AG345" s="1779">
        <v>1.3462455303585017</v>
      </c>
      <c r="AH345" s="1779">
        <v>1.3420285073993981</v>
      </c>
      <c r="AI345" s="1779">
        <v>1.3379199848717036</v>
      </c>
      <c r="AJ345" s="1779">
        <v>1.3339463027527998</v>
      </c>
      <c r="AK345" s="1779">
        <v>1.3300438899332008</v>
      </c>
      <c r="AL345" s="1779">
        <v>1.3260841828720018</v>
      </c>
      <c r="AM345" s="1779">
        <v>1.3221056454912983</v>
      </c>
      <c r="AN345" s="1779">
        <v>1.3182852448858</v>
      </c>
      <c r="AO345" s="1779">
        <v>1.3146506739254988</v>
      </c>
      <c r="AP345" s="1779">
        <v>1.3739241314790007</v>
      </c>
      <c r="AQ345" s="1779"/>
      <c r="AR345" s="1779"/>
      <c r="AS345" s="1779"/>
      <c r="AT345" s="1779"/>
      <c r="AU345" s="1779"/>
      <c r="AV345" s="1779"/>
      <c r="AW345" s="1779"/>
      <c r="AX345" s="1779"/>
      <c r="AY345" s="1779"/>
      <c r="AZ345" s="1779"/>
      <c r="BA345" s="1779"/>
      <c r="BB345" s="1779"/>
      <c r="BC345" s="1779"/>
      <c r="BD345" s="1779"/>
      <c r="BE345" s="1779"/>
      <c r="BF345" s="1779"/>
      <c r="BG345" s="1779"/>
      <c r="BH345" s="1779"/>
      <c r="BI345" s="1779"/>
      <c r="BJ345" s="1779"/>
      <c r="BK345" s="1779"/>
      <c r="BL345" s="1779"/>
      <c r="BM345" s="1779"/>
      <c r="BN345" s="1779"/>
      <c r="BO345" s="1779"/>
      <c r="BP345" s="1780"/>
      <c r="BQ345" s="1755"/>
      <c r="BR345" s="1755"/>
      <c r="BS345" s="1755"/>
      <c r="BT345" s="1755"/>
      <c r="BU345" s="1755"/>
      <c r="BV345" s="1755"/>
      <c r="BW345" s="1755"/>
      <c r="BX345" s="1755"/>
      <c r="BY345" s="1755"/>
      <c r="BZ345" s="1755"/>
      <c r="CA345" s="1755"/>
      <c r="CB345" s="1755"/>
      <c r="CC345" s="1755"/>
      <c r="CD345" s="1755"/>
      <c r="CE345" s="1755"/>
      <c r="CF345" s="1755"/>
      <c r="CG345" s="1755"/>
      <c r="CH345" s="1755"/>
      <c r="CI345" s="1755"/>
      <c r="CJ345" s="1755"/>
      <c r="CK345" s="1755"/>
      <c r="CL345" s="1755"/>
      <c r="CM345" s="1755"/>
      <c r="CN345" s="1756"/>
      <c r="CO345" s="1783"/>
    </row>
    <row r="346" spans="2:93" x14ac:dyDescent="0.2">
      <c r="B346" s="1707"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346" s="1747" t="s">
        <v>1082</v>
      </c>
      <c r="D346" s="1747" t="s">
        <v>1081</v>
      </c>
      <c r="E346" s="1747" t="s">
        <v>860</v>
      </c>
      <c r="F346" s="1747" t="str">
        <f>VLOOKUP(TBL5_OptBen[[#This Row],[Option Type (defined list)]],'Option Typs_Grps'!B$2:C$47, 2, FALSE)</f>
        <v>Distribution Options</v>
      </c>
      <c r="G346" s="1747" t="s">
        <v>863</v>
      </c>
      <c r="H346" s="1707" t="s">
        <v>1462</v>
      </c>
      <c r="I346" s="1747" t="s">
        <v>105</v>
      </c>
      <c r="J346" s="1747" t="s">
        <v>236</v>
      </c>
      <c r="K346" s="1760">
        <v>2</v>
      </c>
      <c r="L346" s="1779"/>
      <c r="M346" s="1779"/>
      <c r="N346" s="1779">
        <v>0</v>
      </c>
      <c r="O346" s="1780">
        <v>0</v>
      </c>
      <c r="P346" s="1780">
        <v>0</v>
      </c>
      <c r="Q346" s="1779">
        <v>0</v>
      </c>
      <c r="R346" s="1779">
        <v>2.0497010939743765E-2</v>
      </c>
      <c r="S346" s="1779">
        <v>2.8131052956422264E-2</v>
      </c>
      <c r="T346" s="1779">
        <v>9.7854674088195814E-3</v>
      </c>
      <c r="U346" s="1779">
        <v>-2.0179402831490112E-2</v>
      </c>
      <c r="V346" s="1779">
        <v>-3.3449196205928011E-2</v>
      </c>
      <c r="W346" s="1779">
        <v>-2.1372962654336192E-2</v>
      </c>
      <c r="X346" s="1779">
        <v>-6.954358139554806E-5</v>
      </c>
      <c r="Y346" s="1779">
        <v>2.1176585235679113E-2</v>
      </c>
      <c r="Z346" s="1779">
        <v>4.2354618941040423E-2</v>
      </c>
      <c r="AA346" s="1779">
        <v>6.3463175295519481E-2</v>
      </c>
      <c r="AB346" s="1779">
        <v>8.4468033114998065E-2</v>
      </c>
      <c r="AC346" s="1779">
        <v>0.10537309422437291</v>
      </c>
      <c r="AD346" s="1779">
        <v>0.12621569853705017</v>
      </c>
      <c r="AE346" s="1779">
        <v>0.14699737189668394</v>
      </c>
      <c r="AF346" s="1779">
        <v>0.16772764836791842</v>
      </c>
      <c r="AG346" s="1779">
        <v>0.18840041528255469</v>
      </c>
      <c r="AH346" s="1779">
        <v>0.20901849631826996</v>
      </c>
      <c r="AI346" s="1779">
        <v>0.22958098505130908</v>
      </c>
      <c r="AJ346" s="1779">
        <v>0.25008862554965239</v>
      </c>
      <c r="AK346" s="1779">
        <v>0.27054286884443735</v>
      </c>
      <c r="AL346" s="1779">
        <v>0.29094479727368583</v>
      </c>
      <c r="AM346" s="1779">
        <v>0.31129537924124362</v>
      </c>
      <c r="AN346" s="1779">
        <v>0.33159588466125323</v>
      </c>
      <c r="AO346" s="1779">
        <v>0.35184825930580232</v>
      </c>
      <c r="AP346" s="1779">
        <v>0.3720534466407468</v>
      </c>
      <c r="AQ346" s="1779"/>
      <c r="AR346" s="1779"/>
      <c r="AS346" s="1779"/>
      <c r="AT346" s="1779"/>
      <c r="AU346" s="1779"/>
      <c r="AV346" s="1779"/>
      <c r="AW346" s="1779"/>
      <c r="AX346" s="1779"/>
      <c r="AY346" s="1779"/>
      <c r="AZ346" s="1779"/>
      <c r="BA346" s="1779"/>
      <c r="BB346" s="1779"/>
      <c r="BC346" s="1779"/>
      <c r="BD346" s="1779"/>
      <c r="BE346" s="1779"/>
      <c r="BF346" s="1779"/>
      <c r="BG346" s="1779"/>
      <c r="BH346" s="1779"/>
      <c r="BI346" s="1779"/>
      <c r="BJ346" s="1779"/>
      <c r="BK346" s="1779"/>
      <c r="BL346" s="1779"/>
      <c r="BM346" s="1779"/>
      <c r="BN346" s="1779"/>
      <c r="BO346" s="1779"/>
      <c r="BP346" s="1780"/>
      <c r="BQ346" s="1755"/>
      <c r="BR346" s="1755"/>
      <c r="BS346" s="1755"/>
      <c r="BT346" s="1755"/>
      <c r="BU346" s="1755"/>
      <c r="BV346" s="1755"/>
      <c r="BW346" s="1755"/>
      <c r="BX346" s="1755"/>
      <c r="BY346" s="1755"/>
      <c r="BZ346" s="1755"/>
      <c r="CA346" s="1755"/>
      <c r="CB346" s="1755"/>
      <c r="CC346" s="1755"/>
      <c r="CD346" s="1755"/>
      <c r="CE346" s="1755"/>
      <c r="CF346" s="1755"/>
      <c r="CG346" s="1755"/>
      <c r="CH346" s="1755"/>
      <c r="CI346" s="1755"/>
      <c r="CJ346" s="1755"/>
      <c r="CK346" s="1755"/>
      <c r="CL346" s="1755"/>
      <c r="CM346" s="1755"/>
      <c r="CN346" s="1756"/>
      <c r="CO346" s="1783"/>
    </row>
    <row r="347" spans="2:93" x14ac:dyDescent="0.2">
      <c r="B347" s="1707"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47" s="1747" t="s">
        <v>1119</v>
      </c>
      <c r="D347" s="1747" t="s">
        <v>1118</v>
      </c>
      <c r="E347" s="1747" t="s">
        <v>1099</v>
      </c>
      <c r="F347" s="1747" t="str">
        <f>VLOOKUP(TBL5_OptBen[[#This Row],[Option Type (defined list)]],'Option Typs_Grps'!B$2:C$47, 2, FALSE)</f>
        <v>Customer Options</v>
      </c>
      <c r="G347" s="1747" t="s">
        <v>863</v>
      </c>
      <c r="H347" s="1707" t="s">
        <v>1462</v>
      </c>
      <c r="I347" s="1747" t="s">
        <v>105</v>
      </c>
      <c r="J347" s="1747" t="s">
        <v>236</v>
      </c>
      <c r="K347" s="1760">
        <v>2</v>
      </c>
      <c r="L347" s="1779"/>
      <c r="M347" s="1779"/>
      <c r="N347" s="1779">
        <v>0</v>
      </c>
      <c r="O347" s="1780">
        <v>0</v>
      </c>
      <c r="P347" s="1780">
        <v>0</v>
      </c>
      <c r="Q347" s="1779">
        <v>0</v>
      </c>
      <c r="R347" s="1779">
        <v>7.67658906025619E-3</v>
      </c>
      <c r="S347" s="1779">
        <v>2.8216147043577881E-2</v>
      </c>
      <c r="T347" s="1779">
        <v>7.4735332591180786E-2</v>
      </c>
      <c r="U347" s="1779">
        <v>0.13287380283149092</v>
      </c>
      <c r="V347" s="1779">
        <v>0.17431719620592837</v>
      </c>
      <c r="W347" s="1779">
        <v>0.19041456265433712</v>
      </c>
      <c r="X347" s="1779">
        <v>0.19728474358139669</v>
      </c>
      <c r="Y347" s="1779">
        <v>0.20421221476432208</v>
      </c>
      <c r="Z347" s="1779">
        <v>0.21120778105896068</v>
      </c>
      <c r="AA347" s="1779">
        <v>0.21827282470448189</v>
      </c>
      <c r="AB347" s="1779">
        <v>0.22544156688500333</v>
      </c>
      <c r="AC347" s="1779">
        <v>0.23271010577562865</v>
      </c>
      <c r="AD347" s="1779">
        <v>0.24004110146295188</v>
      </c>
      <c r="AE347" s="1779">
        <v>0.24743302810331808</v>
      </c>
      <c r="AF347" s="1779">
        <v>0.25487635163208355</v>
      </c>
      <c r="AG347" s="1779">
        <v>0.26237718471744731</v>
      </c>
      <c r="AH347" s="1779">
        <v>0.26993270368173239</v>
      </c>
      <c r="AI347" s="1779">
        <v>0.27754381494869351</v>
      </c>
      <c r="AJ347" s="1779">
        <v>0.28520977445035034</v>
      </c>
      <c r="AK347" s="1779">
        <v>0.29292913115556524</v>
      </c>
      <c r="AL347" s="1779">
        <v>0.30070080272631694</v>
      </c>
      <c r="AM347" s="1779">
        <v>0.30852382075875928</v>
      </c>
      <c r="AN347" s="1779">
        <v>0.31639691533875025</v>
      </c>
      <c r="AO347" s="1779">
        <v>0.32431814069420095</v>
      </c>
      <c r="AP347" s="1779">
        <v>0.33228655335925339</v>
      </c>
      <c r="AQ347" s="1779"/>
      <c r="AR347" s="1779"/>
      <c r="AS347" s="1779"/>
      <c r="AT347" s="1779"/>
      <c r="AU347" s="1779"/>
      <c r="AV347" s="1779"/>
      <c r="AW347" s="1779"/>
      <c r="AX347" s="1779"/>
      <c r="AY347" s="1779"/>
      <c r="AZ347" s="1779"/>
      <c r="BA347" s="1779"/>
      <c r="BB347" s="1779"/>
      <c r="BC347" s="1779"/>
      <c r="BD347" s="1779"/>
      <c r="BE347" s="1779"/>
      <c r="BF347" s="1779"/>
      <c r="BG347" s="1779"/>
      <c r="BH347" s="1779"/>
      <c r="BI347" s="1779"/>
      <c r="BJ347" s="1779"/>
      <c r="BK347" s="1779"/>
      <c r="BL347" s="1779"/>
      <c r="BM347" s="1779"/>
      <c r="BN347" s="1779"/>
      <c r="BO347" s="1779"/>
      <c r="BP347" s="1780"/>
      <c r="BQ347" s="1755"/>
      <c r="BR347" s="1755"/>
      <c r="BS347" s="1755"/>
      <c r="BT347" s="1755"/>
      <c r="BU347" s="1755"/>
      <c r="BV347" s="1755"/>
      <c r="BW347" s="1755"/>
      <c r="BX347" s="1755"/>
      <c r="BY347" s="1755"/>
      <c r="BZ347" s="1755"/>
      <c r="CA347" s="1755"/>
      <c r="CB347" s="1755"/>
      <c r="CC347" s="1755"/>
      <c r="CD347" s="1755"/>
      <c r="CE347" s="1755"/>
      <c r="CF347" s="1755"/>
      <c r="CG347" s="1755"/>
      <c r="CH347" s="1755"/>
      <c r="CI347" s="1755"/>
      <c r="CJ347" s="1755"/>
      <c r="CK347" s="1755"/>
      <c r="CL347" s="1755"/>
      <c r="CM347" s="1755"/>
      <c r="CN347" s="1756"/>
      <c r="CO347" s="1783"/>
    </row>
    <row r="348" spans="2:93" x14ac:dyDescent="0.2">
      <c r="B348" s="1707"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48" s="1747" t="s">
        <v>1125</v>
      </c>
      <c r="D348" s="1747" t="s">
        <v>1474</v>
      </c>
      <c r="E348" s="1747" t="s">
        <v>987</v>
      </c>
      <c r="F348" s="1747" t="str">
        <f>VLOOKUP(TBL5_OptBen[[#This Row],[Option Type (defined list)]],'Option Typs_Grps'!B$2:C$47, 2, FALSE)</f>
        <v>Customer Options</v>
      </c>
      <c r="G348" s="1747" t="s">
        <v>863</v>
      </c>
      <c r="H348" s="1707" t="s">
        <v>1462</v>
      </c>
      <c r="I348" s="1747" t="s">
        <v>105</v>
      </c>
      <c r="J348" s="1747" t="s">
        <v>236</v>
      </c>
      <c r="K348" s="1760">
        <v>2</v>
      </c>
      <c r="L348" s="1779"/>
      <c r="M348" s="1779"/>
      <c r="N348" s="1779">
        <v>0</v>
      </c>
      <c r="O348" s="1780">
        <v>0</v>
      </c>
      <c r="P348" s="1780">
        <v>0</v>
      </c>
      <c r="Q348" s="1779">
        <v>0</v>
      </c>
      <c r="R348" s="1779">
        <v>6.3419152100898657E-2</v>
      </c>
      <c r="S348" s="1779">
        <v>0.1268383042019039</v>
      </c>
      <c r="T348" s="1779">
        <v>0.19025745630289492</v>
      </c>
      <c r="U348" s="1779">
        <v>0.25367660840380069</v>
      </c>
      <c r="V348" s="1779">
        <v>0.31709576050479882</v>
      </c>
      <c r="W348" s="1779">
        <v>0.45303480806530416</v>
      </c>
      <c r="X348" s="1779">
        <v>0.5889738556258024</v>
      </c>
      <c r="Y348" s="1779">
        <v>0.72491290318630064</v>
      </c>
      <c r="Z348" s="1779">
        <v>0.8608519507466994</v>
      </c>
      <c r="AA348" s="1779">
        <v>0.99679099830720475</v>
      </c>
      <c r="AB348" s="1779">
        <v>1.1230633373484977</v>
      </c>
      <c r="AC348" s="1779">
        <v>1.2493356763897978</v>
      </c>
      <c r="AD348" s="1779">
        <v>1.3756080154310979</v>
      </c>
      <c r="AE348" s="1779">
        <v>1.3756080154309984</v>
      </c>
      <c r="AF348" s="1779">
        <v>1.3756080154309984</v>
      </c>
      <c r="AG348" s="1779">
        <v>1.3756080154309984</v>
      </c>
      <c r="AH348" s="1779">
        <v>1.3756080154309984</v>
      </c>
      <c r="AI348" s="1779">
        <v>1.3756080154309984</v>
      </c>
      <c r="AJ348" s="1779">
        <v>1.3756080154310979</v>
      </c>
      <c r="AK348" s="1779">
        <v>1.3756080154310055</v>
      </c>
      <c r="AL348" s="1779">
        <v>1.3756080154309984</v>
      </c>
      <c r="AM348" s="1779">
        <v>1.3756080154309984</v>
      </c>
      <c r="AN348" s="1779">
        <v>1.3756080154310979</v>
      </c>
      <c r="AO348" s="1779">
        <v>1.3756080154309984</v>
      </c>
      <c r="AP348" s="1779">
        <v>1.3756080154309984</v>
      </c>
      <c r="AQ348" s="1779"/>
      <c r="AR348" s="1779"/>
      <c r="AS348" s="1779"/>
      <c r="AT348" s="1779"/>
      <c r="AU348" s="1779"/>
      <c r="AV348" s="1779"/>
      <c r="AW348" s="1779"/>
      <c r="AX348" s="1779"/>
      <c r="AY348" s="1779"/>
      <c r="AZ348" s="1779"/>
      <c r="BA348" s="1779"/>
      <c r="BB348" s="1779"/>
      <c r="BC348" s="1779"/>
      <c r="BD348" s="1779"/>
      <c r="BE348" s="1779"/>
      <c r="BF348" s="1779"/>
      <c r="BG348" s="1779"/>
      <c r="BH348" s="1779"/>
      <c r="BI348" s="1779"/>
      <c r="BJ348" s="1779"/>
      <c r="BK348" s="1779"/>
      <c r="BL348" s="1779"/>
      <c r="BM348" s="1779"/>
      <c r="BN348" s="1779"/>
      <c r="BO348" s="1779"/>
      <c r="BP348" s="1780"/>
      <c r="BQ348" s="1755"/>
      <c r="BR348" s="1755"/>
      <c r="BS348" s="1755"/>
      <c r="BT348" s="1755"/>
      <c r="BU348" s="1755"/>
      <c r="BV348" s="1755"/>
      <c r="BW348" s="1755"/>
      <c r="BX348" s="1755"/>
      <c r="BY348" s="1755"/>
      <c r="BZ348" s="1755"/>
      <c r="CA348" s="1755"/>
      <c r="CB348" s="1755"/>
      <c r="CC348" s="1755"/>
      <c r="CD348" s="1755"/>
      <c r="CE348" s="1755"/>
      <c r="CF348" s="1755"/>
      <c r="CG348" s="1755"/>
      <c r="CH348" s="1755"/>
      <c r="CI348" s="1755"/>
      <c r="CJ348" s="1755"/>
      <c r="CK348" s="1755"/>
      <c r="CL348" s="1755"/>
      <c r="CM348" s="1755"/>
      <c r="CN348" s="1756"/>
      <c r="CO348" s="1783"/>
    </row>
    <row r="349" spans="2:93" x14ac:dyDescent="0.2">
      <c r="B349" s="1707"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49" s="1747" t="s">
        <v>1079</v>
      </c>
      <c r="D349" s="1747" t="s">
        <v>1078</v>
      </c>
      <c r="E349" s="1747" t="s">
        <v>987</v>
      </c>
      <c r="F349" s="1747" t="str">
        <f>VLOOKUP(TBL5_OptBen[[#This Row],[Option Type (defined list)]],'Option Typs_Grps'!B$2:C$47, 2, FALSE)</f>
        <v>Customer Options</v>
      </c>
      <c r="G349" s="1747" t="s">
        <v>863</v>
      </c>
      <c r="H349" s="1707" t="s">
        <v>1462</v>
      </c>
      <c r="I349" s="1747" t="s">
        <v>105</v>
      </c>
      <c r="J349" s="1747" t="s">
        <v>236</v>
      </c>
      <c r="K349" s="1760">
        <v>2</v>
      </c>
      <c r="L349" s="1779"/>
      <c r="M349" s="1779"/>
      <c r="N349" s="1779">
        <v>0</v>
      </c>
      <c r="O349" s="1780">
        <v>0</v>
      </c>
      <c r="P349" s="1780">
        <v>0</v>
      </c>
      <c r="Q349" s="1779">
        <v>0</v>
      </c>
      <c r="R349" s="1779">
        <v>0</v>
      </c>
      <c r="S349" s="1779">
        <v>0</v>
      </c>
      <c r="T349" s="1779">
        <v>7.3833501573595584E-2</v>
      </c>
      <c r="U349" s="1779">
        <v>0.1471215959892973</v>
      </c>
      <c r="V349" s="1779">
        <v>0.22002474649539749</v>
      </c>
      <c r="W349" s="1779">
        <v>0.2922773801037053</v>
      </c>
      <c r="X349" s="1779">
        <v>0.36418098416940126</v>
      </c>
      <c r="Y349" s="1779">
        <v>0.43562881924000152</v>
      </c>
      <c r="Z349" s="1779">
        <v>0.58633855384859856</v>
      </c>
      <c r="AA349" s="1779">
        <v>0.73653307793040312</v>
      </c>
      <c r="AB349" s="1779">
        <v>0.88591093485229777</v>
      </c>
      <c r="AC349" s="1779">
        <v>1.0346859498579946</v>
      </c>
      <c r="AD349" s="1779">
        <v>1.1825063035998937</v>
      </c>
      <c r="AE349" s="1779">
        <v>1.3300340927073009</v>
      </c>
      <c r="AF349" s="1779">
        <v>1.4777973911117002</v>
      </c>
      <c r="AG349" s="1779">
        <v>1.6253095885688964</v>
      </c>
      <c r="AH349" s="1779">
        <v>1.7723727303438963</v>
      </c>
      <c r="AI349" s="1779">
        <v>1.9193008627122978</v>
      </c>
      <c r="AJ349" s="1779">
        <v>1.9668881373080964</v>
      </c>
      <c r="AK349" s="1779">
        <v>2.0145719774967006</v>
      </c>
      <c r="AL349" s="1779">
        <v>2.0618569926542989</v>
      </c>
      <c r="AM349" s="1779">
        <v>2.1088184870127975</v>
      </c>
      <c r="AN349" s="1779">
        <v>2.1558672756962949</v>
      </c>
      <c r="AO349" s="1779">
        <v>2.2030882147346986</v>
      </c>
      <c r="AP349" s="1779">
        <v>2.2502157920711028</v>
      </c>
      <c r="AQ349" s="1779"/>
      <c r="AR349" s="1779"/>
      <c r="AS349" s="1779"/>
      <c r="AT349" s="1779"/>
      <c r="AU349" s="1779"/>
      <c r="AV349" s="1779"/>
      <c r="AW349" s="1779"/>
      <c r="AX349" s="1779"/>
      <c r="AY349" s="1779"/>
      <c r="AZ349" s="1779"/>
      <c r="BA349" s="1779"/>
      <c r="BB349" s="1779"/>
      <c r="BC349" s="1779"/>
      <c r="BD349" s="1779"/>
      <c r="BE349" s="1779"/>
      <c r="BF349" s="1779"/>
      <c r="BG349" s="1779"/>
      <c r="BH349" s="1779"/>
      <c r="BI349" s="1779"/>
      <c r="BJ349" s="1779"/>
      <c r="BK349" s="1779"/>
      <c r="BL349" s="1779"/>
      <c r="BM349" s="1779"/>
      <c r="BN349" s="1779"/>
      <c r="BO349" s="1779"/>
      <c r="BP349" s="1780"/>
      <c r="BQ349" s="1755"/>
      <c r="BR349" s="1755"/>
      <c r="BS349" s="1755"/>
      <c r="BT349" s="1755"/>
      <c r="BU349" s="1755"/>
      <c r="BV349" s="1755"/>
      <c r="BW349" s="1755"/>
      <c r="BX349" s="1755"/>
      <c r="BY349" s="1755"/>
      <c r="BZ349" s="1755"/>
      <c r="CA349" s="1755"/>
      <c r="CB349" s="1755"/>
      <c r="CC349" s="1755"/>
      <c r="CD349" s="1755"/>
      <c r="CE349" s="1755"/>
      <c r="CF349" s="1755"/>
      <c r="CG349" s="1755"/>
      <c r="CH349" s="1755"/>
      <c r="CI349" s="1755"/>
      <c r="CJ349" s="1755"/>
      <c r="CK349" s="1755"/>
      <c r="CL349" s="1755"/>
      <c r="CM349" s="1755"/>
      <c r="CN349" s="1756"/>
      <c r="CO349" s="1783"/>
    </row>
    <row r="350" spans="2:93" ht="28.5" x14ac:dyDescent="0.2">
      <c r="B350" s="1707"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50" s="1703" t="s">
        <v>972</v>
      </c>
      <c r="D350" s="1703" t="s">
        <v>1088</v>
      </c>
      <c r="E350" s="1707" t="s">
        <v>973</v>
      </c>
      <c r="F350" s="1747" t="str">
        <f>VLOOKUP(TBL5_OptBen[[#This Row],[Option Type (defined list)]],'Option Typs_Grps'!B$2:C$47, 2, FALSE)</f>
        <v>Customer Options</v>
      </c>
      <c r="G350" s="1747" t="s">
        <v>863</v>
      </c>
      <c r="H350" s="1707" t="s">
        <v>1462</v>
      </c>
      <c r="I350" s="1747" t="s">
        <v>102</v>
      </c>
      <c r="J350" s="1747" t="s">
        <v>236</v>
      </c>
      <c r="K350" s="1760">
        <v>2</v>
      </c>
      <c r="L350" s="1779"/>
      <c r="M350" s="1779"/>
      <c r="N350" s="1779">
        <v>0</v>
      </c>
      <c r="O350" s="1780">
        <v>4.2756956085342601</v>
      </c>
      <c r="P350" s="1780">
        <v>4.09987831560119</v>
      </c>
      <c r="Q350" s="1779">
        <v>4.0759494718184097</v>
      </c>
      <c r="R350" s="1779">
        <v>3.8978231189529904</v>
      </c>
      <c r="S350" s="1779">
        <v>3.8621878662638505</v>
      </c>
      <c r="T350" s="1779">
        <v>3.8730037458603306</v>
      </c>
      <c r="U350" s="1779">
        <v>3.8838711888694597</v>
      </c>
      <c r="V350" s="1779">
        <v>3.8941135151785602</v>
      </c>
      <c r="W350" s="1779">
        <v>3.9043053874683409</v>
      </c>
      <c r="X350" s="1779">
        <v>3.9143938815194712</v>
      </c>
      <c r="Y350" s="1779">
        <v>0</v>
      </c>
      <c r="Z350" s="1779">
        <v>0</v>
      </c>
      <c r="AA350" s="1779">
        <v>0</v>
      </c>
      <c r="AB350" s="1779">
        <v>0</v>
      </c>
      <c r="AC350" s="1779">
        <v>0</v>
      </c>
      <c r="AD350" s="1779">
        <v>0</v>
      </c>
      <c r="AE350" s="1779">
        <v>0</v>
      </c>
      <c r="AF350" s="1779">
        <v>0</v>
      </c>
      <c r="AG350" s="1779">
        <v>0</v>
      </c>
      <c r="AH350" s="1779">
        <v>0</v>
      </c>
      <c r="AI350" s="1779">
        <v>0</v>
      </c>
      <c r="AJ350" s="1779">
        <v>0</v>
      </c>
      <c r="AK350" s="1779">
        <v>0</v>
      </c>
      <c r="AL350" s="1779">
        <v>0</v>
      </c>
      <c r="AM350" s="1779">
        <v>0</v>
      </c>
      <c r="AN350" s="1779">
        <v>0</v>
      </c>
      <c r="AO350" s="1779">
        <v>0</v>
      </c>
      <c r="AP350" s="1779">
        <v>0</v>
      </c>
      <c r="AQ350" s="1779"/>
      <c r="AR350" s="1779"/>
      <c r="AS350" s="1779"/>
      <c r="AT350" s="1779"/>
      <c r="AU350" s="1779"/>
      <c r="AV350" s="1779"/>
      <c r="AW350" s="1779"/>
      <c r="AX350" s="1779"/>
      <c r="AY350" s="1779"/>
      <c r="AZ350" s="1779"/>
      <c r="BA350" s="1779"/>
      <c r="BB350" s="1779"/>
      <c r="BC350" s="1779"/>
      <c r="BD350" s="1779"/>
      <c r="BE350" s="1779"/>
      <c r="BF350" s="1779"/>
      <c r="BG350" s="1779"/>
      <c r="BH350" s="1779"/>
      <c r="BI350" s="1779"/>
      <c r="BJ350" s="1779"/>
      <c r="BK350" s="1779"/>
      <c r="BL350" s="1779"/>
      <c r="BM350" s="1779"/>
      <c r="BN350" s="1779"/>
      <c r="BO350" s="1779"/>
      <c r="BP350" s="1780"/>
      <c r="BQ350" s="1755"/>
      <c r="BR350" s="1755"/>
      <c r="BS350" s="1755"/>
      <c r="BT350" s="1755"/>
      <c r="BU350" s="1755"/>
      <c r="BV350" s="1755"/>
      <c r="BW350" s="1755"/>
      <c r="BX350" s="1755"/>
      <c r="BY350" s="1755"/>
      <c r="BZ350" s="1755"/>
      <c r="CA350" s="1755"/>
      <c r="CB350" s="1755"/>
      <c r="CC350" s="1755"/>
      <c r="CD350" s="1755"/>
      <c r="CE350" s="1755"/>
      <c r="CF350" s="1755"/>
      <c r="CG350" s="1755"/>
      <c r="CH350" s="1755"/>
      <c r="CI350" s="1755"/>
      <c r="CJ350" s="1755"/>
      <c r="CK350" s="1755"/>
      <c r="CL350" s="1755"/>
      <c r="CM350" s="1755"/>
      <c r="CN350" s="1756"/>
      <c r="CO350" s="1783"/>
    </row>
    <row r="351" spans="2:93" ht="15" x14ac:dyDescent="0.25">
      <c r="B351" s="1707"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51" s="1703" t="s">
        <v>1067</v>
      </c>
      <c r="D351" s="1765" t="s">
        <v>1066</v>
      </c>
      <c r="E351" s="1723" t="s">
        <v>1068</v>
      </c>
      <c r="F351" s="1747" t="str">
        <f>VLOOKUP(TBL5_OptBen[[#This Row],[Option Type (defined list)]],'Option Typs_Grps'!B$2:C$47, 2, FALSE)</f>
        <v>Customer Options</v>
      </c>
      <c r="G351" s="1747" t="s">
        <v>863</v>
      </c>
      <c r="H351" s="1707" t="s">
        <v>1459</v>
      </c>
      <c r="I351" s="1747" t="s">
        <v>88</v>
      </c>
      <c r="J351" s="1747" t="s">
        <v>236</v>
      </c>
      <c r="K351" s="1760">
        <v>2</v>
      </c>
      <c r="L351" s="1779"/>
      <c r="M351" s="1779"/>
      <c r="N351" s="1779">
        <v>0</v>
      </c>
      <c r="O351" s="1780">
        <v>0</v>
      </c>
      <c r="P351" s="1780">
        <v>0</v>
      </c>
      <c r="Q351" s="1779">
        <v>0</v>
      </c>
      <c r="R351" s="1779">
        <v>0.25548594418635373</v>
      </c>
      <c r="S351" s="1779">
        <v>-3.092069346680848E-2</v>
      </c>
      <c r="T351" s="1779">
        <v>8.884789488267586E-2</v>
      </c>
      <c r="U351" s="1779">
        <v>0.76192657355699822</v>
      </c>
      <c r="V351" s="1779">
        <v>1.3909079865855531</v>
      </c>
      <c r="W351" s="1779">
        <v>1.9029789757946176</v>
      </c>
      <c r="X351" s="1779">
        <v>2.3650971410544912</v>
      </c>
      <c r="Y351" s="1779">
        <v>2.7945724268152823</v>
      </c>
      <c r="Z351" s="1779">
        <v>3.1804383747871654</v>
      </c>
      <c r="AA351" s="1779">
        <v>3.5142260703109685</v>
      </c>
      <c r="AB351" s="1779">
        <v>3.3434916559364609</v>
      </c>
      <c r="AC351" s="1779">
        <v>3.0945582750446405</v>
      </c>
      <c r="AD351" s="1779">
        <v>2.9865524585861607</v>
      </c>
      <c r="AE351" s="1779">
        <v>2.8827633376370372</v>
      </c>
      <c r="AF351" s="1779">
        <v>2.782344085523988</v>
      </c>
      <c r="AG351" s="1779">
        <v>3.3149737036035347</v>
      </c>
      <c r="AH351" s="1779">
        <v>3.2089435296160147</v>
      </c>
      <c r="AI351" s="1779">
        <v>3.1079558430222036</v>
      </c>
      <c r="AJ351" s="1779">
        <v>3.0208934997324519</v>
      </c>
      <c r="AK351" s="1779">
        <v>2.9369146499209364</v>
      </c>
      <c r="AL351" s="1779">
        <v>2.3887513428359881</v>
      </c>
      <c r="AM351" s="1779">
        <v>3.2271296088724739</v>
      </c>
      <c r="AN351" s="1779">
        <v>3.1649748097323567</v>
      </c>
      <c r="AO351" s="1779">
        <v>3.5425899547780375</v>
      </c>
      <c r="AP351" s="1779">
        <v>3.480406096233537</v>
      </c>
      <c r="AQ351" s="1779"/>
      <c r="AR351" s="1779"/>
      <c r="AS351" s="1779"/>
      <c r="AT351" s="1779"/>
      <c r="AU351" s="1779"/>
      <c r="AV351" s="1779"/>
      <c r="AW351" s="1779"/>
      <c r="AX351" s="1779"/>
      <c r="AY351" s="1779"/>
      <c r="AZ351" s="1779"/>
      <c r="BA351" s="1779"/>
      <c r="BB351" s="1779"/>
      <c r="BC351" s="1779"/>
      <c r="BD351" s="1779"/>
      <c r="BE351" s="1779"/>
      <c r="BF351" s="1779"/>
      <c r="BG351" s="1779"/>
      <c r="BH351" s="1779"/>
      <c r="BI351" s="1779"/>
      <c r="BJ351" s="1779"/>
      <c r="BK351" s="1779"/>
      <c r="BL351" s="1779"/>
      <c r="BM351" s="1779"/>
      <c r="BN351" s="1779"/>
      <c r="BO351" s="1779"/>
      <c r="BP351" s="1780"/>
      <c r="BQ351" s="1755"/>
      <c r="BR351" s="1755"/>
      <c r="BS351" s="1755"/>
      <c r="BT351" s="1755"/>
      <c r="BU351" s="1755"/>
      <c r="BV351" s="1755"/>
      <c r="BW351" s="1755"/>
      <c r="BX351" s="1755"/>
      <c r="BY351" s="1755"/>
      <c r="BZ351" s="1755"/>
      <c r="CA351" s="1755"/>
      <c r="CB351" s="1755"/>
      <c r="CC351" s="1755"/>
      <c r="CD351" s="1755"/>
      <c r="CE351" s="1755"/>
      <c r="CF351" s="1755"/>
      <c r="CG351" s="1755"/>
      <c r="CH351" s="1755"/>
      <c r="CI351" s="1755"/>
      <c r="CJ351" s="1755"/>
      <c r="CK351" s="1755"/>
      <c r="CL351" s="1755"/>
      <c r="CM351" s="1755"/>
      <c r="CN351" s="1756"/>
      <c r="CO351" s="1783"/>
    </row>
    <row r="352" spans="2:93" ht="15" x14ac:dyDescent="0.25">
      <c r="B352" s="1707"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52" s="1703" t="s">
        <v>1033</v>
      </c>
      <c r="D352" s="1765" t="s">
        <v>1032</v>
      </c>
      <c r="E352" s="1723" t="s">
        <v>987</v>
      </c>
      <c r="F352" s="1747" t="str">
        <f>VLOOKUP(TBL5_OptBen[[#This Row],[Option Type (defined list)]],'Option Typs_Grps'!B$2:C$47, 2, FALSE)</f>
        <v>Customer Options</v>
      </c>
      <c r="G352" s="1747" t="s">
        <v>863</v>
      </c>
      <c r="H352" s="1707" t="s">
        <v>1459</v>
      </c>
      <c r="I352" s="1747" t="s">
        <v>88</v>
      </c>
      <c r="J352" s="1747" t="s">
        <v>236</v>
      </c>
      <c r="K352" s="1760">
        <v>2</v>
      </c>
      <c r="L352" s="1779"/>
      <c r="M352" s="1779"/>
      <c r="N352" s="1779">
        <v>0</v>
      </c>
      <c r="O352" s="1780">
        <v>0</v>
      </c>
      <c r="P352" s="1780">
        <v>0</v>
      </c>
      <c r="Q352" s="1779">
        <v>0</v>
      </c>
      <c r="R352" s="1779">
        <v>0.90231582813896694</v>
      </c>
      <c r="S352" s="1779">
        <v>1.7912859300409991</v>
      </c>
      <c r="T352" s="1779">
        <v>2.6804910543320375</v>
      </c>
      <c r="U352" s="1779">
        <v>3.5671289405560174</v>
      </c>
      <c r="V352" s="1779">
        <v>4.4504046582709975</v>
      </c>
      <c r="W352" s="1779">
        <v>5.2321475545770113</v>
      </c>
      <c r="X352" s="1779">
        <v>6.0195235740449675</v>
      </c>
      <c r="Y352" s="1779">
        <v>6.7905051387739945</v>
      </c>
      <c r="Z352" s="1779">
        <v>7.5688195892520298</v>
      </c>
      <c r="AA352" s="1779">
        <v>8.3296371117739909</v>
      </c>
      <c r="AB352" s="1779">
        <v>9.0436255183329877</v>
      </c>
      <c r="AC352" s="1779">
        <v>9.755510325089972</v>
      </c>
      <c r="AD352" s="1779">
        <v>10.467492769187004</v>
      </c>
      <c r="AE352" s="1779">
        <v>11.179674648616981</v>
      </c>
      <c r="AF352" s="1779">
        <v>11.892255741159033</v>
      </c>
      <c r="AG352" s="1779">
        <v>12.452540707429023</v>
      </c>
      <c r="AH352" s="1779">
        <v>13.112513236779023</v>
      </c>
      <c r="AI352" s="1779">
        <v>13.771460802892989</v>
      </c>
      <c r="AJ352" s="1779">
        <v>14.433633062386036</v>
      </c>
      <c r="AK352" s="1779">
        <v>15.098605050121989</v>
      </c>
      <c r="AL352" s="1779">
        <v>15.697711899544004</v>
      </c>
      <c r="AM352" s="1779">
        <v>16.112927938138967</v>
      </c>
      <c r="AN352" s="1779">
        <v>16.740821003277006</v>
      </c>
      <c r="AO352" s="1779">
        <v>17.251756445516037</v>
      </c>
      <c r="AP352" s="1779">
        <v>17.875605320331033</v>
      </c>
      <c r="AQ352" s="1779"/>
      <c r="AR352" s="1779"/>
      <c r="AS352" s="1779"/>
      <c r="AT352" s="1779"/>
      <c r="AU352" s="1779"/>
      <c r="AV352" s="1779"/>
      <c r="AW352" s="1779"/>
      <c r="AX352" s="1779"/>
      <c r="AY352" s="1779"/>
      <c r="AZ352" s="1779"/>
      <c r="BA352" s="1779"/>
      <c r="BB352" s="1779"/>
      <c r="BC352" s="1779"/>
      <c r="BD352" s="1779"/>
      <c r="BE352" s="1779"/>
      <c r="BF352" s="1779"/>
      <c r="BG352" s="1779"/>
      <c r="BH352" s="1779"/>
      <c r="BI352" s="1779"/>
      <c r="BJ352" s="1779"/>
      <c r="BK352" s="1779"/>
      <c r="BL352" s="1779"/>
      <c r="BM352" s="1779"/>
      <c r="BN352" s="1779"/>
      <c r="BO352" s="1779"/>
      <c r="BP352" s="1780"/>
      <c r="BQ352" s="1755"/>
      <c r="BR352" s="1755"/>
      <c r="BS352" s="1755"/>
      <c r="BT352" s="1755"/>
      <c r="BU352" s="1755"/>
      <c r="BV352" s="1755"/>
      <c r="BW352" s="1755"/>
      <c r="BX352" s="1755"/>
      <c r="BY352" s="1755"/>
      <c r="BZ352" s="1755"/>
      <c r="CA352" s="1755"/>
      <c r="CB352" s="1755"/>
      <c r="CC352" s="1755"/>
      <c r="CD352" s="1755"/>
      <c r="CE352" s="1755"/>
      <c r="CF352" s="1755"/>
      <c r="CG352" s="1755"/>
      <c r="CH352" s="1755"/>
      <c r="CI352" s="1755"/>
      <c r="CJ352" s="1755"/>
      <c r="CK352" s="1755"/>
      <c r="CL352" s="1755"/>
      <c r="CM352" s="1755"/>
      <c r="CN352" s="1756"/>
      <c r="CO352" s="1783"/>
    </row>
    <row r="353" spans="2:93" x14ac:dyDescent="0.2">
      <c r="B353" s="1707"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353" s="1703" t="s">
        <v>1082</v>
      </c>
      <c r="D353" s="1765" t="s">
        <v>1081</v>
      </c>
      <c r="E353" s="1723" t="s">
        <v>860</v>
      </c>
      <c r="F353" s="1747" t="str">
        <f>VLOOKUP(TBL5_OptBen[[#This Row],[Option Type (defined list)]],'Option Typs_Grps'!B$2:C$47, 2, FALSE)</f>
        <v>Distribution Options</v>
      </c>
      <c r="G353" s="1747" t="s">
        <v>863</v>
      </c>
      <c r="H353" s="1707" t="s">
        <v>1459</v>
      </c>
      <c r="I353" s="1747" t="s">
        <v>88</v>
      </c>
      <c r="J353" s="1747" t="s">
        <v>236</v>
      </c>
      <c r="K353" s="1760">
        <v>2</v>
      </c>
      <c r="L353" s="1779"/>
      <c r="M353" s="1779"/>
      <c r="N353" s="1779">
        <v>0</v>
      </c>
      <c r="O353" s="1780">
        <v>0</v>
      </c>
      <c r="P353" s="1780">
        <v>0</v>
      </c>
      <c r="Q353" s="1779">
        <v>0</v>
      </c>
      <c r="R353" s="1779">
        <v>0.20073762673171558</v>
      </c>
      <c r="S353" s="1779">
        <v>0.29801494813901996</v>
      </c>
      <c r="T353" s="1779">
        <v>0.51191100626656549</v>
      </c>
      <c r="U353" s="1779">
        <v>0.75059362418681985</v>
      </c>
      <c r="V353" s="1779">
        <v>0.97522665298276934</v>
      </c>
      <c r="W353" s="1779">
        <v>1.2145459467451332</v>
      </c>
      <c r="X353" s="1779">
        <v>1.4687096962615058</v>
      </c>
      <c r="Y353" s="1779">
        <v>1.7256591258397194</v>
      </c>
      <c r="Z353" s="1779">
        <v>1.9857823804679029</v>
      </c>
      <c r="AA353" s="1779">
        <v>2.2479190307479442</v>
      </c>
      <c r="AB353" s="1779">
        <v>2.5806751697819195</v>
      </c>
      <c r="AC353" s="1779">
        <v>2.9813902851822078</v>
      </c>
      <c r="AD353" s="1779">
        <v>3.3809279878573832</v>
      </c>
      <c r="AE353" s="1779">
        <v>3.7792671091138459</v>
      </c>
      <c r="AF353" s="1779">
        <v>4.1763729228050295</v>
      </c>
      <c r="AG353" s="1779">
        <v>4.5722173257201035</v>
      </c>
      <c r="AH353" s="1779">
        <v>4.9667536497860567</v>
      </c>
      <c r="AI353" s="1779">
        <v>5.3599507409911631</v>
      </c>
      <c r="AJ353" s="1779">
        <v>5.751775386922688</v>
      </c>
      <c r="AK353" s="1779">
        <v>6.1421917847893326</v>
      </c>
      <c r="AL353" s="1779">
        <v>6.5311798575882065</v>
      </c>
      <c r="AM353" s="1779">
        <v>6.9187030262528495</v>
      </c>
      <c r="AN353" s="1779">
        <v>7.304730563180577</v>
      </c>
      <c r="AO353" s="1779">
        <v>7.689232706873689</v>
      </c>
      <c r="AP353" s="1779">
        <v>8.0721821576318078</v>
      </c>
      <c r="AQ353" s="1779"/>
      <c r="AR353" s="1779"/>
      <c r="AS353" s="1779"/>
      <c r="AT353" s="1779"/>
      <c r="AU353" s="1779"/>
      <c r="AV353" s="1779"/>
      <c r="AW353" s="1779"/>
      <c r="AX353" s="1779"/>
      <c r="AY353" s="1779"/>
      <c r="AZ353" s="1779"/>
      <c r="BA353" s="1779"/>
      <c r="BB353" s="1779"/>
      <c r="BC353" s="1779"/>
      <c r="BD353" s="1779"/>
      <c r="BE353" s="1779"/>
      <c r="BF353" s="1779"/>
      <c r="BG353" s="1779"/>
      <c r="BH353" s="1779"/>
      <c r="BI353" s="1779"/>
      <c r="BJ353" s="1779"/>
      <c r="BK353" s="1779"/>
      <c r="BL353" s="1779"/>
      <c r="BM353" s="1779"/>
      <c r="BN353" s="1779"/>
      <c r="BO353" s="1779"/>
      <c r="BP353" s="1780"/>
      <c r="BQ353" s="1755"/>
      <c r="BR353" s="1755"/>
      <c r="BS353" s="1755"/>
      <c r="BT353" s="1755"/>
      <c r="BU353" s="1755"/>
      <c r="BV353" s="1755"/>
      <c r="BW353" s="1755"/>
      <c r="BX353" s="1755"/>
      <c r="BY353" s="1755"/>
      <c r="BZ353" s="1755"/>
      <c r="CA353" s="1755"/>
      <c r="CB353" s="1755"/>
      <c r="CC353" s="1755"/>
      <c r="CD353" s="1755"/>
      <c r="CE353" s="1755"/>
      <c r="CF353" s="1755"/>
      <c r="CG353" s="1755"/>
      <c r="CH353" s="1755"/>
      <c r="CI353" s="1755"/>
      <c r="CJ353" s="1755"/>
      <c r="CK353" s="1755"/>
      <c r="CL353" s="1755"/>
      <c r="CM353" s="1755"/>
      <c r="CN353" s="1756"/>
      <c r="CO353" s="1783"/>
    </row>
    <row r="354" spans="2:93" ht="15" x14ac:dyDescent="0.25">
      <c r="B354" s="1707"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54" s="1703" t="s">
        <v>1119</v>
      </c>
      <c r="D354" s="1765" t="s">
        <v>1118</v>
      </c>
      <c r="E354" s="1723" t="s">
        <v>1099</v>
      </c>
      <c r="F354" s="1747" t="str">
        <f>VLOOKUP(TBL5_OptBen[[#This Row],[Option Type (defined list)]],'Option Typs_Grps'!B$2:C$47, 2, FALSE)</f>
        <v>Customer Options</v>
      </c>
      <c r="G354" s="1747" t="s">
        <v>863</v>
      </c>
      <c r="H354" s="1707" t="s">
        <v>1459</v>
      </c>
      <c r="I354" s="1747" t="s">
        <v>88</v>
      </c>
      <c r="J354" s="1747" t="s">
        <v>236</v>
      </c>
      <c r="K354" s="1760">
        <v>2</v>
      </c>
      <c r="L354" s="1779"/>
      <c r="M354" s="1779"/>
      <c r="N354" s="1779">
        <v>0</v>
      </c>
      <c r="O354" s="1780">
        <v>0</v>
      </c>
      <c r="P354" s="1780">
        <v>0</v>
      </c>
      <c r="Q354" s="1779">
        <v>0</v>
      </c>
      <c r="R354" s="1779">
        <v>0.29382917326828861</v>
      </c>
      <c r="S354" s="1779">
        <v>0.69111865186097721</v>
      </c>
      <c r="T354" s="1779">
        <v>0.97178939373343498</v>
      </c>
      <c r="U354" s="1779">
        <v>1.227673575813184</v>
      </c>
      <c r="V354" s="1779">
        <v>1.4976073470172411</v>
      </c>
      <c r="W354" s="1779">
        <v>1.7528548532548744</v>
      </c>
      <c r="X354" s="1779">
        <v>1.9932579037385003</v>
      </c>
      <c r="Y354" s="1779">
        <v>2.2308752741602946</v>
      </c>
      <c r="Z354" s="1779">
        <v>2.4653188195321061</v>
      </c>
      <c r="AA354" s="1779">
        <v>2.6977489692520633</v>
      </c>
      <c r="AB354" s="1779">
        <v>2.8595596302180972</v>
      </c>
      <c r="AC354" s="1779">
        <v>2.9534113148178083</v>
      </c>
      <c r="AD354" s="1779">
        <v>3.0484404121426358</v>
      </c>
      <c r="AE354" s="1779">
        <v>3.1446680908861695</v>
      </c>
      <c r="AF354" s="1779">
        <v>3.2421290771949862</v>
      </c>
      <c r="AG354" s="1779">
        <v>3.3408514742799129</v>
      </c>
      <c r="AH354" s="1779">
        <v>3.4408819502139698</v>
      </c>
      <c r="AI354" s="1779">
        <v>3.5422516590088637</v>
      </c>
      <c r="AJ354" s="1779">
        <v>3.6449938130773338</v>
      </c>
      <c r="AK354" s="1779">
        <v>3.7491442152106935</v>
      </c>
      <c r="AL354" s="1779">
        <v>3.8547229424118234</v>
      </c>
      <c r="AM354" s="1779">
        <v>3.9617665737471786</v>
      </c>
      <c r="AN354" s="1779">
        <v>4.0703058368194487</v>
      </c>
      <c r="AO354" s="1779">
        <v>4.1803704931263326</v>
      </c>
      <c r="AP354" s="1779">
        <v>4.2919878423681972</v>
      </c>
      <c r="AQ354" s="1779"/>
      <c r="AR354" s="1779"/>
      <c r="AS354" s="1779"/>
      <c r="AT354" s="1779"/>
      <c r="AU354" s="1779"/>
      <c r="AV354" s="1779"/>
      <c r="AW354" s="1779"/>
      <c r="AX354" s="1779"/>
      <c r="AY354" s="1779"/>
      <c r="AZ354" s="1779"/>
      <c r="BA354" s="1779"/>
      <c r="BB354" s="1779"/>
      <c r="BC354" s="1779"/>
      <c r="BD354" s="1779"/>
      <c r="BE354" s="1779"/>
      <c r="BF354" s="1779"/>
      <c r="BG354" s="1779"/>
      <c r="BH354" s="1779"/>
      <c r="BI354" s="1779"/>
      <c r="BJ354" s="1779"/>
      <c r="BK354" s="1779"/>
      <c r="BL354" s="1779"/>
      <c r="BM354" s="1779"/>
      <c r="BN354" s="1779"/>
      <c r="BO354" s="1779"/>
      <c r="BP354" s="1780"/>
      <c r="BQ354" s="1755"/>
      <c r="BR354" s="1755"/>
      <c r="BS354" s="1755"/>
      <c r="BT354" s="1755"/>
      <c r="BU354" s="1755"/>
      <c r="BV354" s="1755"/>
      <c r="BW354" s="1755"/>
      <c r="BX354" s="1755"/>
      <c r="BY354" s="1755"/>
      <c r="BZ354" s="1755"/>
      <c r="CA354" s="1755"/>
      <c r="CB354" s="1755"/>
      <c r="CC354" s="1755"/>
      <c r="CD354" s="1755"/>
      <c r="CE354" s="1755"/>
      <c r="CF354" s="1755"/>
      <c r="CG354" s="1755"/>
      <c r="CH354" s="1755"/>
      <c r="CI354" s="1755"/>
      <c r="CJ354" s="1755"/>
      <c r="CK354" s="1755"/>
      <c r="CL354" s="1755"/>
      <c r="CM354" s="1755"/>
      <c r="CN354" s="1756"/>
      <c r="CO354" s="1783"/>
    </row>
    <row r="355" spans="2:93" x14ac:dyDescent="0.2">
      <c r="B355" s="1707"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55" s="1707" t="s">
        <v>1084</v>
      </c>
      <c r="D355" s="1765" t="s">
        <v>1083</v>
      </c>
      <c r="E355" s="1714" t="s">
        <v>987</v>
      </c>
      <c r="F355" s="1747" t="str">
        <f>VLOOKUP(TBL5_OptBen[[#This Row],[Option Type (defined list)]],'Option Typs_Grps'!B$2:C$47, 2, FALSE)</f>
        <v>Customer Options</v>
      </c>
      <c r="G355" s="1747" t="s">
        <v>863</v>
      </c>
      <c r="H355" s="1707" t="s">
        <v>1459</v>
      </c>
      <c r="I355" s="1747" t="s">
        <v>88</v>
      </c>
      <c r="J355" s="1747" t="s">
        <v>236</v>
      </c>
      <c r="K355" s="1760">
        <v>2</v>
      </c>
      <c r="L355" s="1779"/>
      <c r="M355" s="1779"/>
      <c r="N355" s="1779">
        <v>0</v>
      </c>
      <c r="O355" s="1780">
        <v>0</v>
      </c>
      <c r="P355" s="1780">
        <v>0</v>
      </c>
      <c r="Q355" s="1779">
        <v>0</v>
      </c>
      <c r="R355" s="1779">
        <v>2.5851896618007686E-2</v>
      </c>
      <c r="S355" s="1779">
        <v>5.170379323499219E-2</v>
      </c>
      <c r="T355" s="1779">
        <v>7.7555689852999876E-2</v>
      </c>
      <c r="U355" s="1779">
        <v>0.10340758647100756</v>
      </c>
      <c r="V355" s="1779">
        <v>0.12925948308901525</v>
      </c>
      <c r="W355" s="1779">
        <v>0.2552852907280112</v>
      </c>
      <c r="X355" s="1779">
        <v>0.38131109836899668</v>
      </c>
      <c r="Y355" s="1779">
        <v>0.50733690600895898</v>
      </c>
      <c r="Z355" s="1779">
        <v>0.63336271364903496</v>
      </c>
      <c r="AA355" s="1779">
        <v>0.75938852128797407</v>
      </c>
      <c r="AB355" s="1779">
        <v>0.85701611222600604</v>
      </c>
      <c r="AC355" s="1779">
        <v>0.95464370316398117</v>
      </c>
      <c r="AD355" s="1779">
        <v>1.05227129410099</v>
      </c>
      <c r="AE355" s="1779">
        <v>1.0522712941020131</v>
      </c>
      <c r="AF355" s="1779">
        <v>1.0522712941010468</v>
      </c>
      <c r="AG355" s="1779">
        <v>1.0522712941010468</v>
      </c>
      <c r="AH355" s="1779">
        <v>1.0522712941010468</v>
      </c>
      <c r="AI355" s="1779">
        <v>1.0522712941019563</v>
      </c>
      <c r="AJ355" s="1779">
        <v>1.05227129410099</v>
      </c>
      <c r="AK355" s="1779">
        <v>1.05227129410099</v>
      </c>
      <c r="AL355" s="1779">
        <v>1.05227129410099</v>
      </c>
      <c r="AM355" s="1779">
        <v>1.05227129410099</v>
      </c>
      <c r="AN355" s="1779">
        <v>1.05227129410099</v>
      </c>
      <c r="AO355" s="1779">
        <v>1.0522712941020131</v>
      </c>
      <c r="AP355" s="1779">
        <v>1.05227129410099</v>
      </c>
      <c r="AQ355" s="1779"/>
      <c r="AR355" s="1779"/>
      <c r="AS355" s="1779"/>
      <c r="AT355" s="1779"/>
      <c r="AU355" s="1779"/>
      <c r="AV355" s="1779"/>
      <c r="AW355" s="1779"/>
      <c r="AX355" s="1779"/>
      <c r="AY355" s="1779"/>
      <c r="AZ355" s="1779"/>
      <c r="BA355" s="1779"/>
      <c r="BB355" s="1779"/>
      <c r="BC355" s="1779"/>
      <c r="BD355" s="1779"/>
      <c r="BE355" s="1779"/>
      <c r="BF355" s="1779"/>
      <c r="BG355" s="1779"/>
      <c r="BH355" s="1779"/>
      <c r="BI355" s="1779"/>
      <c r="BJ355" s="1779"/>
      <c r="BK355" s="1779"/>
      <c r="BL355" s="1779"/>
      <c r="BM355" s="1779"/>
      <c r="BN355" s="1779"/>
      <c r="BO355" s="1779"/>
      <c r="BP355" s="1780"/>
      <c r="BQ355" s="1755"/>
      <c r="BR355" s="1755"/>
      <c r="BS355" s="1755"/>
      <c r="BT355" s="1755"/>
      <c r="BU355" s="1755"/>
      <c r="BV355" s="1755"/>
      <c r="BW355" s="1755"/>
      <c r="BX355" s="1755"/>
      <c r="BY355" s="1755"/>
      <c r="BZ355" s="1755"/>
      <c r="CA355" s="1755"/>
      <c r="CB355" s="1755"/>
      <c r="CC355" s="1755"/>
      <c r="CD355" s="1755"/>
      <c r="CE355" s="1755"/>
      <c r="CF355" s="1755"/>
      <c r="CG355" s="1755"/>
      <c r="CH355" s="1755"/>
      <c r="CI355" s="1755"/>
      <c r="CJ355" s="1755"/>
      <c r="CK355" s="1755"/>
      <c r="CL355" s="1755"/>
      <c r="CM355" s="1755"/>
      <c r="CN355" s="1756"/>
      <c r="CO355" s="1783"/>
    </row>
    <row r="356" spans="2:93" x14ac:dyDescent="0.2">
      <c r="B356" s="1707"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56" s="1703" t="s">
        <v>1079</v>
      </c>
      <c r="D356" s="1765" t="s">
        <v>1078</v>
      </c>
      <c r="E356" s="1714" t="s">
        <v>987</v>
      </c>
      <c r="F356" s="1747" t="str">
        <f>VLOOKUP(TBL5_OptBen[[#This Row],[Option Type (defined list)]],'Option Typs_Grps'!B$2:C$47, 2, FALSE)</f>
        <v>Customer Options</v>
      </c>
      <c r="G356" s="1747" t="s">
        <v>863</v>
      </c>
      <c r="H356" s="1707" t="s">
        <v>1459</v>
      </c>
      <c r="I356" s="1747" t="s">
        <v>88</v>
      </c>
      <c r="J356" s="1747" t="s">
        <v>236</v>
      </c>
      <c r="K356" s="1760">
        <v>2</v>
      </c>
      <c r="L356" s="1779"/>
      <c r="M356" s="1779"/>
      <c r="N356" s="1779">
        <v>0</v>
      </c>
      <c r="O356" s="1780">
        <v>0</v>
      </c>
      <c r="P356" s="1780">
        <v>0</v>
      </c>
      <c r="Q356" s="1779">
        <v>0</v>
      </c>
      <c r="R356" s="1779">
        <v>0</v>
      </c>
      <c r="S356" s="1779">
        <v>0</v>
      </c>
      <c r="T356" s="1779">
        <v>0.59987779025402688</v>
      </c>
      <c r="U356" s="1779">
        <v>1.1974770082609894</v>
      </c>
      <c r="V356" s="1779">
        <v>1.794592738115</v>
      </c>
      <c r="W356" s="1779">
        <v>2.3821657852000158</v>
      </c>
      <c r="X356" s="1779">
        <v>2.9708490950779947</v>
      </c>
      <c r="Y356" s="1779">
        <v>3.5502161519579545</v>
      </c>
      <c r="Z356" s="1779">
        <v>4.7817647159629928</v>
      </c>
      <c r="AA356" s="1779">
        <v>5.9977293890730152</v>
      </c>
      <c r="AB356" s="1779">
        <v>7.2140606238340297</v>
      </c>
      <c r="AC356" s="1779">
        <v>8.4272968684659872</v>
      </c>
      <c r="AD356" s="1779">
        <v>9.6362828601490378</v>
      </c>
      <c r="AE356" s="1779">
        <v>10.843386621460979</v>
      </c>
      <c r="AF356" s="1779">
        <v>12.049227284313019</v>
      </c>
      <c r="AG356" s="1779">
        <v>13.133936390835004</v>
      </c>
      <c r="AH356" s="1779">
        <v>14.317832073316026</v>
      </c>
      <c r="AI356" s="1779">
        <v>15.500731567574974</v>
      </c>
      <c r="AJ356" s="1779">
        <v>15.885754161050045</v>
      </c>
      <c r="AK356" s="1779">
        <v>16.276372133927964</v>
      </c>
      <c r="AL356" s="1779">
        <v>16.627234504373007</v>
      </c>
      <c r="AM356" s="1779">
        <v>16.788341602771993</v>
      </c>
      <c r="AN356" s="1779">
        <v>17.175152163831001</v>
      </c>
      <c r="AO356" s="1779">
        <v>17.444088101313014</v>
      </c>
      <c r="AP356" s="1779">
        <v>17.829206713579993</v>
      </c>
      <c r="AQ356" s="1779"/>
      <c r="AR356" s="1779"/>
      <c r="AS356" s="1779"/>
      <c r="AT356" s="1779"/>
      <c r="AU356" s="1779"/>
      <c r="AV356" s="1779"/>
      <c r="AW356" s="1779"/>
      <c r="AX356" s="1779"/>
      <c r="AY356" s="1779"/>
      <c r="AZ356" s="1779"/>
      <c r="BA356" s="1779"/>
      <c r="BB356" s="1779"/>
      <c r="BC356" s="1779"/>
      <c r="BD356" s="1779"/>
      <c r="BE356" s="1779"/>
      <c r="BF356" s="1779"/>
      <c r="BG356" s="1779"/>
      <c r="BH356" s="1779"/>
      <c r="BI356" s="1779"/>
      <c r="BJ356" s="1779"/>
      <c r="BK356" s="1779"/>
      <c r="BL356" s="1779"/>
      <c r="BM356" s="1779"/>
      <c r="BN356" s="1779"/>
      <c r="BO356" s="1779"/>
      <c r="BP356" s="1780"/>
      <c r="BQ356" s="1755"/>
      <c r="BR356" s="1755"/>
      <c r="BS356" s="1755"/>
      <c r="BT356" s="1755"/>
      <c r="BU356" s="1755"/>
      <c r="BV356" s="1755"/>
      <c r="BW356" s="1755"/>
      <c r="BX356" s="1755"/>
      <c r="BY356" s="1755"/>
      <c r="BZ356" s="1755"/>
      <c r="CA356" s="1755"/>
      <c r="CB356" s="1755"/>
      <c r="CC356" s="1755"/>
      <c r="CD356" s="1755"/>
      <c r="CE356" s="1755"/>
      <c r="CF356" s="1755"/>
      <c r="CG356" s="1755"/>
      <c r="CH356" s="1755"/>
      <c r="CI356" s="1755"/>
      <c r="CJ356" s="1755"/>
      <c r="CK356" s="1755"/>
      <c r="CL356" s="1755"/>
      <c r="CM356" s="1755"/>
      <c r="CN356" s="1756"/>
      <c r="CO356" s="1783"/>
    </row>
    <row r="357" spans="2:93" ht="15" x14ac:dyDescent="0.25">
      <c r="B357" s="1707"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57" s="1703" t="s">
        <v>1067</v>
      </c>
      <c r="D357" s="1765" t="s">
        <v>1066</v>
      </c>
      <c r="E357" s="1723" t="s">
        <v>1068</v>
      </c>
      <c r="F357" s="1747" t="str">
        <f>VLOOKUP(TBL5_OptBen[[#This Row],[Option Type (defined list)]],'Option Typs_Grps'!B$2:C$47, 2, FALSE)</f>
        <v>Customer Options</v>
      </c>
      <c r="G357" s="1747" t="s">
        <v>863</v>
      </c>
      <c r="H357" s="1707" t="s">
        <v>1459</v>
      </c>
      <c r="I357" s="1747" t="s">
        <v>93</v>
      </c>
      <c r="J357" s="1747" t="s">
        <v>236</v>
      </c>
      <c r="K357" s="1760">
        <v>2</v>
      </c>
      <c r="L357" s="1779"/>
      <c r="M357" s="1779"/>
      <c r="N357" s="1779">
        <v>0</v>
      </c>
      <c r="O357" s="1780">
        <v>0</v>
      </c>
      <c r="P357" s="1780">
        <v>0</v>
      </c>
      <c r="Q357" s="1779">
        <v>0</v>
      </c>
      <c r="R357" s="1779">
        <v>-1.239423019077545E-2</v>
      </c>
      <c r="S357" s="1779">
        <v>-2.6197635865993579E-2</v>
      </c>
      <c r="T357" s="1779">
        <v>-2.9348911188556148E-2</v>
      </c>
      <c r="U357" s="1779">
        <v>-3.2194129703357999E-2</v>
      </c>
      <c r="V357" s="1779">
        <v>-4.3354738690610239E-3</v>
      </c>
      <c r="W357" s="1779">
        <v>4.7866620393365089E-2</v>
      </c>
      <c r="X357" s="1779">
        <v>7.166159097846736E-2</v>
      </c>
      <c r="Y357" s="1779">
        <v>8.3740839638092646E-2</v>
      </c>
      <c r="Z357" s="1779">
        <v>9.435644887196748E-2</v>
      </c>
      <c r="AA357" s="1779">
        <v>0.10431333255891417</v>
      </c>
      <c r="AB357" s="1779">
        <v>0.10346768948320517</v>
      </c>
      <c r="AC357" s="1779">
        <v>0.10274879289052752</v>
      </c>
      <c r="AD357" s="1779">
        <v>0.1021515708056735</v>
      </c>
      <c r="AE357" s="1779">
        <v>0.1016145597188165</v>
      </c>
      <c r="AF357" s="1779">
        <v>0.10101919097799095</v>
      </c>
      <c r="AG357" s="1779">
        <v>0.1003093338119303</v>
      </c>
      <c r="AH357" s="1779">
        <v>9.983590642150042E-2</v>
      </c>
      <c r="AI357" s="1779">
        <v>9.942483494829335E-2</v>
      </c>
      <c r="AJ357" s="1779">
        <v>9.9409754245551651E-2</v>
      </c>
      <c r="AK357" s="1779">
        <v>9.9437109876129304E-2</v>
      </c>
      <c r="AL357" s="1779">
        <v>9.9466811409989475E-2</v>
      </c>
      <c r="AM357" s="1779">
        <v>9.9550088853337382E-2</v>
      </c>
      <c r="AN357" s="1779">
        <v>9.9652709035356724E-2</v>
      </c>
      <c r="AO357" s="1779">
        <v>9.9774774146949019E-2</v>
      </c>
      <c r="AP357" s="1779">
        <v>9.9895984993572107E-2</v>
      </c>
      <c r="AQ357" s="1779"/>
      <c r="AR357" s="1779"/>
      <c r="AS357" s="1779"/>
      <c r="AT357" s="1779"/>
      <c r="AU357" s="1779"/>
      <c r="AV357" s="1779"/>
      <c r="AW357" s="1779"/>
      <c r="AX357" s="1779"/>
      <c r="AY357" s="1779"/>
      <c r="AZ357" s="1779"/>
      <c r="BA357" s="1779"/>
      <c r="BB357" s="1779"/>
      <c r="BC357" s="1779"/>
      <c r="BD357" s="1779"/>
      <c r="BE357" s="1779"/>
      <c r="BF357" s="1779"/>
      <c r="BG357" s="1779"/>
      <c r="BH357" s="1779"/>
      <c r="BI357" s="1779"/>
      <c r="BJ357" s="1779"/>
      <c r="BK357" s="1779"/>
      <c r="BL357" s="1779"/>
      <c r="BM357" s="1779"/>
      <c r="BN357" s="1779"/>
      <c r="BO357" s="1779"/>
      <c r="BP357" s="1780"/>
      <c r="BQ357" s="1755"/>
      <c r="BR357" s="1755"/>
      <c r="BS357" s="1755"/>
      <c r="BT357" s="1755"/>
      <c r="BU357" s="1755"/>
      <c r="BV357" s="1755"/>
      <c r="BW357" s="1755"/>
      <c r="BX357" s="1755"/>
      <c r="BY357" s="1755"/>
      <c r="BZ357" s="1755"/>
      <c r="CA357" s="1755"/>
      <c r="CB357" s="1755"/>
      <c r="CC357" s="1755"/>
      <c r="CD357" s="1755"/>
      <c r="CE357" s="1755"/>
      <c r="CF357" s="1755"/>
      <c r="CG357" s="1755"/>
      <c r="CH357" s="1755"/>
      <c r="CI357" s="1755"/>
      <c r="CJ357" s="1755"/>
      <c r="CK357" s="1755"/>
      <c r="CL357" s="1755"/>
      <c r="CM357" s="1755"/>
      <c r="CN357" s="1756"/>
      <c r="CO357" s="1783"/>
    </row>
    <row r="358" spans="2:93" ht="15" x14ac:dyDescent="0.25">
      <c r="B358" s="1707"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58" s="1703" t="s">
        <v>1033</v>
      </c>
      <c r="D358" s="1765" t="s">
        <v>1032</v>
      </c>
      <c r="E358" s="1723" t="s">
        <v>987</v>
      </c>
      <c r="F358" s="1747" t="str">
        <f>VLOOKUP(TBL5_OptBen[[#This Row],[Option Type (defined list)]],'Option Typs_Grps'!B$2:C$47, 2, FALSE)</f>
        <v>Customer Options</v>
      </c>
      <c r="G358" s="1747" t="s">
        <v>863</v>
      </c>
      <c r="H358" s="1707" t="s">
        <v>1459</v>
      </c>
      <c r="I358" s="1747" t="s">
        <v>93</v>
      </c>
      <c r="J358" s="1747" t="s">
        <v>236</v>
      </c>
      <c r="K358" s="1760">
        <v>2</v>
      </c>
      <c r="L358" s="1779"/>
      <c r="M358" s="1779"/>
      <c r="N358" s="1779">
        <v>0</v>
      </c>
      <c r="O358" s="1780">
        <v>0</v>
      </c>
      <c r="P358" s="1780">
        <v>0</v>
      </c>
      <c r="Q358" s="1779">
        <v>0</v>
      </c>
      <c r="R358" s="1779">
        <v>1.9739271451699736E-2</v>
      </c>
      <c r="S358" s="1779">
        <v>3.8943252279899809E-2</v>
      </c>
      <c r="T358" s="1779">
        <v>5.8013012971500189E-2</v>
      </c>
      <c r="U358" s="1779">
        <v>7.6793949758998892E-2</v>
      </c>
      <c r="V358" s="1779">
        <v>9.5113496227400063E-2</v>
      </c>
      <c r="W358" s="1779">
        <v>0.1116534907364013</v>
      </c>
      <c r="X358" s="1779">
        <v>0.12825777027009977</v>
      </c>
      <c r="Y358" s="1779">
        <v>0.14477638781450075</v>
      </c>
      <c r="Z358" s="1779">
        <v>0.16114443309709969</v>
      </c>
      <c r="AA358" s="1779">
        <v>0.17740487716170072</v>
      </c>
      <c r="AB358" s="1779">
        <v>0.19248319350120013</v>
      </c>
      <c r="AC358" s="1779">
        <v>0.20742716442640052</v>
      </c>
      <c r="AD358" s="1779">
        <v>0.22236795675600085</v>
      </c>
      <c r="AE358" s="1779">
        <v>0.23729128885869955</v>
      </c>
      <c r="AF358" s="1779">
        <v>0.25201188449069889</v>
      </c>
      <c r="AG358" s="1779">
        <v>0.26579992916330042</v>
      </c>
      <c r="AH358" s="1779">
        <v>0.27964067548180083</v>
      </c>
      <c r="AI358" s="1779">
        <v>0.29344285132559911</v>
      </c>
      <c r="AJ358" s="1779">
        <v>0.30724319333670103</v>
      </c>
      <c r="AK358" s="1779">
        <v>0.32102583349329983</v>
      </c>
      <c r="AL358" s="1779">
        <v>0.33416525383410089</v>
      </c>
      <c r="AM358" s="1779">
        <v>0.34729788535879891</v>
      </c>
      <c r="AN358" s="1779">
        <v>0.36051774827109995</v>
      </c>
      <c r="AO358" s="1779">
        <v>0.37381176146420003</v>
      </c>
      <c r="AP358" s="1779">
        <v>0.387142214052</v>
      </c>
      <c r="AQ358" s="1779"/>
      <c r="AR358" s="1779"/>
      <c r="AS358" s="1779"/>
      <c r="AT358" s="1779"/>
      <c r="AU358" s="1779"/>
      <c r="AV358" s="1779"/>
      <c r="AW358" s="1779"/>
      <c r="AX358" s="1779"/>
      <c r="AY358" s="1779"/>
      <c r="AZ358" s="1779"/>
      <c r="BA358" s="1779"/>
      <c r="BB358" s="1779"/>
      <c r="BC358" s="1779"/>
      <c r="BD358" s="1779"/>
      <c r="BE358" s="1779"/>
      <c r="BF358" s="1779"/>
      <c r="BG358" s="1779"/>
      <c r="BH358" s="1779"/>
      <c r="BI358" s="1779"/>
      <c r="BJ358" s="1779"/>
      <c r="BK358" s="1779"/>
      <c r="BL358" s="1779"/>
      <c r="BM358" s="1779"/>
      <c r="BN358" s="1779"/>
      <c r="BO358" s="1779"/>
      <c r="BP358" s="1780"/>
      <c r="BQ358" s="1755"/>
      <c r="BR358" s="1755"/>
      <c r="BS358" s="1755"/>
      <c r="BT358" s="1755"/>
      <c r="BU358" s="1755"/>
      <c r="BV358" s="1755"/>
      <c r="BW358" s="1755"/>
      <c r="BX358" s="1755"/>
      <c r="BY358" s="1755"/>
      <c r="BZ358" s="1755"/>
      <c r="CA358" s="1755"/>
      <c r="CB358" s="1755"/>
      <c r="CC358" s="1755"/>
      <c r="CD358" s="1755"/>
      <c r="CE358" s="1755"/>
      <c r="CF358" s="1755"/>
      <c r="CG358" s="1755"/>
      <c r="CH358" s="1755"/>
      <c r="CI358" s="1755"/>
      <c r="CJ358" s="1755"/>
      <c r="CK358" s="1755"/>
      <c r="CL358" s="1755"/>
      <c r="CM358" s="1755"/>
      <c r="CN358" s="1756"/>
      <c r="CO358" s="1783"/>
    </row>
    <row r="359" spans="2:93" x14ac:dyDescent="0.2">
      <c r="B359" s="1707"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359" s="1703" t="s">
        <v>1082</v>
      </c>
      <c r="D359" s="1765" t="s">
        <v>1081</v>
      </c>
      <c r="E359" s="1723" t="s">
        <v>860</v>
      </c>
      <c r="F359" s="1747" t="str">
        <f>VLOOKUP(TBL5_OptBen[[#This Row],[Option Type (defined list)]],'Option Typs_Grps'!B$2:C$47, 2, FALSE)</f>
        <v>Distribution Options</v>
      </c>
      <c r="G359" s="1747" t="s">
        <v>863</v>
      </c>
      <c r="H359" s="1707" t="s">
        <v>1459</v>
      </c>
      <c r="I359" s="1747" t="s">
        <v>93</v>
      </c>
      <c r="J359" s="1747" t="s">
        <v>236</v>
      </c>
      <c r="K359" s="1760">
        <v>2</v>
      </c>
      <c r="L359" s="1779"/>
      <c r="M359" s="1779"/>
      <c r="N359" s="1779">
        <v>0</v>
      </c>
      <c r="O359" s="1780">
        <v>0</v>
      </c>
      <c r="P359" s="1780">
        <v>0</v>
      </c>
      <c r="Q359" s="1779">
        <v>0</v>
      </c>
      <c r="R359" s="1779">
        <v>1.6012833302289531E-2</v>
      </c>
      <c r="S359" s="1779">
        <v>3.2297784268105145E-2</v>
      </c>
      <c r="T359" s="1779">
        <v>4.6891326556159241E-2</v>
      </c>
      <c r="U359" s="1779">
        <v>6.1476061398944459E-2</v>
      </c>
      <c r="V359" s="1779">
        <v>6.7704838780245469E-2</v>
      </c>
      <c r="W359" s="1779">
        <v>6.8220328336446867E-2</v>
      </c>
      <c r="X359" s="1779">
        <v>7.6904546290095466E-2</v>
      </c>
      <c r="Y359" s="1779">
        <v>9.1173372840745115E-2</v>
      </c>
      <c r="Z359" s="1779">
        <v>0.10542791179829925</v>
      </c>
      <c r="AA359" s="1779">
        <v>0.11966776006978419</v>
      </c>
      <c r="AB359" s="1779">
        <v>0.1338935329489499</v>
      </c>
      <c r="AC359" s="1779">
        <v>0.14810483085964576</v>
      </c>
      <c r="AD359" s="1779">
        <v>0.16230273066300716</v>
      </c>
      <c r="AE359" s="1779">
        <v>0.17648917044213785</v>
      </c>
      <c r="AF359" s="1779">
        <v>0.19066368741453266</v>
      </c>
      <c r="AG359" s="1779">
        <v>0.20481992820443029</v>
      </c>
      <c r="AH359" s="1779">
        <v>0.21895815868837754</v>
      </c>
      <c r="AI359" s="1779">
        <v>0.23308594445252351</v>
      </c>
      <c r="AJ359" s="1779">
        <v>0.24720120862646122</v>
      </c>
      <c r="AK359" s="1779">
        <v>0.26130520094276699</v>
      </c>
      <c r="AL359" s="1779">
        <v>0.27539827539136907</v>
      </c>
      <c r="AM359" s="1779">
        <v>0.28948165215975519</v>
      </c>
      <c r="AN359" s="1779">
        <v>0.30355690303425731</v>
      </c>
      <c r="AO359" s="1779">
        <v>0.31762429344060794</v>
      </c>
      <c r="AP359" s="1779">
        <v>0.33168332357691122</v>
      </c>
      <c r="AQ359" s="1779"/>
      <c r="AR359" s="1779"/>
      <c r="AS359" s="1779"/>
      <c r="AT359" s="1779"/>
      <c r="AU359" s="1779"/>
      <c r="AV359" s="1779"/>
      <c r="AW359" s="1779"/>
      <c r="AX359" s="1779"/>
      <c r="AY359" s="1779"/>
      <c r="AZ359" s="1779"/>
      <c r="BA359" s="1779"/>
      <c r="BB359" s="1779"/>
      <c r="BC359" s="1779"/>
      <c r="BD359" s="1779"/>
      <c r="BE359" s="1779"/>
      <c r="BF359" s="1779"/>
      <c r="BG359" s="1779"/>
      <c r="BH359" s="1779"/>
      <c r="BI359" s="1779"/>
      <c r="BJ359" s="1779"/>
      <c r="BK359" s="1779"/>
      <c r="BL359" s="1779"/>
      <c r="BM359" s="1779"/>
      <c r="BN359" s="1779"/>
      <c r="BO359" s="1779"/>
      <c r="BP359" s="1780"/>
      <c r="BQ359" s="1755"/>
      <c r="BR359" s="1755"/>
      <c r="BS359" s="1755"/>
      <c r="BT359" s="1755"/>
      <c r="BU359" s="1755"/>
      <c r="BV359" s="1755"/>
      <c r="BW359" s="1755"/>
      <c r="BX359" s="1755"/>
      <c r="BY359" s="1755"/>
      <c r="BZ359" s="1755"/>
      <c r="CA359" s="1755"/>
      <c r="CB359" s="1755"/>
      <c r="CC359" s="1755"/>
      <c r="CD359" s="1755"/>
      <c r="CE359" s="1755"/>
      <c r="CF359" s="1755"/>
      <c r="CG359" s="1755"/>
      <c r="CH359" s="1755"/>
      <c r="CI359" s="1755"/>
      <c r="CJ359" s="1755"/>
      <c r="CK359" s="1755"/>
      <c r="CL359" s="1755"/>
      <c r="CM359" s="1755"/>
      <c r="CN359" s="1756"/>
      <c r="CO359" s="1783"/>
    </row>
    <row r="360" spans="2:93" ht="15" x14ac:dyDescent="0.25">
      <c r="B360" s="1707"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60" s="1703" t="s">
        <v>1119</v>
      </c>
      <c r="D360" s="1765" t="s">
        <v>1118</v>
      </c>
      <c r="E360" s="1723" t="s">
        <v>1099</v>
      </c>
      <c r="F360" s="1747" t="str">
        <f>VLOOKUP(TBL5_OptBen[[#This Row],[Option Type (defined list)]],'Option Typs_Grps'!B$2:C$47, 2, FALSE)</f>
        <v>Customer Options</v>
      </c>
      <c r="G360" s="1747" t="s">
        <v>863</v>
      </c>
      <c r="H360" s="1707" t="s">
        <v>1459</v>
      </c>
      <c r="I360" s="1747" t="s">
        <v>93</v>
      </c>
      <c r="J360" s="1747" t="s">
        <v>236</v>
      </c>
      <c r="K360" s="1760">
        <v>2</v>
      </c>
      <c r="L360" s="1779"/>
      <c r="M360" s="1779"/>
      <c r="N360" s="1779">
        <v>0</v>
      </c>
      <c r="O360" s="1780">
        <v>0</v>
      </c>
      <c r="P360" s="1780">
        <v>0</v>
      </c>
      <c r="Q360" s="1779">
        <v>0</v>
      </c>
      <c r="R360" s="1779">
        <v>-3.4263330228962406E-4</v>
      </c>
      <c r="S360" s="1779">
        <v>-9.5738426810537854E-4</v>
      </c>
      <c r="T360" s="1779">
        <v>1.192734438405299E-4</v>
      </c>
      <c r="U360" s="1779">
        <v>1.2047386010554384E-3</v>
      </c>
      <c r="V360" s="1779">
        <v>1.0646161219754301E-2</v>
      </c>
      <c r="W360" s="1779">
        <v>2.580087166355283E-2</v>
      </c>
      <c r="X360" s="1779">
        <v>3.2786853709904314E-2</v>
      </c>
      <c r="Y360" s="1779">
        <v>3.4188227159254521E-2</v>
      </c>
      <c r="Z360" s="1779">
        <v>3.5603888201700525E-2</v>
      </c>
      <c r="AA360" s="1779">
        <v>3.70342399302157E-2</v>
      </c>
      <c r="AB360" s="1779">
        <v>3.8478667051049797E-2</v>
      </c>
      <c r="AC360" s="1779">
        <v>3.9937569140353874E-2</v>
      </c>
      <c r="AD360" s="1779">
        <v>4.1409869336992353E-2</v>
      </c>
      <c r="AE360" s="1779">
        <v>4.2893629557861718E-2</v>
      </c>
      <c r="AF360" s="1779">
        <v>4.4389312585466904E-2</v>
      </c>
      <c r="AG360" s="1779">
        <v>4.5903271795569175E-2</v>
      </c>
      <c r="AH360" s="1779">
        <v>4.7435241311621787E-2</v>
      </c>
      <c r="AI360" s="1779">
        <v>4.897765554747599E-2</v>
      </c>
      <c r="AJ360" s="1779">
        <v>5.0532591373538299E-2</v>
      </c>
      <c r="AK360" s="1779">
        <v>5.209879905723229E-2</v>
      </c>
      <c r="AL360" s="1779">
        <v>5.3675924608630209E-2</v>
      </c>
      <c r="AM360" s="1779">
        <v>5.5262747840244097E-2</v>
      </c>
      <c r="AN360" s="1779">
        <v>5.6857696965741972E-2</v>
      </c>
      <c r="AO360" s="1779">
        <v>5.846050655939123E-2</v>
      </c>
      <c r="AP360" s="1779">
        <v>6.0071676423088909E-2</v>
      </c>
      <c r="AQ360" s="1779"/>
      <c r="AR360" s="1779"/>
      <c r="AS360" s="1779"/>
      <c r="AT360" s="1779"/>
      <c r="AU360" s="1779"/>
      <c r="AV360" s="1779"/>
      <c r="AW360" s="1779"/>
      <c r="AX360" s="1779"/>
      <c r="AY360" s="1779"/>
      <c r="AZ360" s="1779"/>
      <c r="BA360" s="1779"/>
      <c r="BB360" s="1779"/>
      <c r="BC360" s="1779"/>
      <c r="BD360" s="1779"/>
      <c r="BE360" s="1779"/>
      <c r="BF360" s="1779"/>
      <c r="BG360" s="1779"/>
      <c r="BH360" s="1779"/>
      <c r="BI360" s="1779"/>
      <c r="BJ360" s="1779"/>
      <c r="BK360" s="1779"/>
      <c r="BL360" s="1779"/>
      <c r="BM360" s="1779"/>
      <c r="BN360" s="1779"/>
      <c r="BO360" s="1779"/>
      <c r="BP360" s="1780"/>
      <c r="BQ360" s="1755"/>
      <c r="BR360" s="1755"/>
      <c r="BS360" s="1755"/>
      <c r="BT360" s="1755"/>
      <c r="BU360" s="1755"/>
      <c r="BV360" s="1755"/>
      <c r="BW360" s="1755"/>
      <c r="BX360" s="1755"/>
      <c r="BY360" s="1755"/>
      <c r="BZ360" s="1755"/>
      <c r="CA360" s="1755"/>
      <c r="CB360" s="1755"/>
      <c r="CC360" s="1755"/>
      <c r="CD360" s="1755"/>
      <c r="CE360" s="1755"/>
      <c r="CF360" s="1755"/>
      <c r="CG360" s="1755"/>
      <c r="CH360" s="1755"/>
      <c r="CI360" s="1755"/>
      <c r="CJ360" s="1755"/>
      <c r="CK360" s="1755"/>
      <c r="CL360" s="1755"/>
      <c r="CM360" s="1755"/>
      <c r="CN360" s="1756"/>
      <c r="CO360" s="1783"/>
    </row>
    <row r="361" spans="2:93" x14ac:dyDescent="0.2">
      <c r="B361" s="1707"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61" s="1707" t="s">
        <v>1084</v>
      </c>
      <c r="D361" s="1765" t="s">
        <v>1083</v>
      </c>
      <c r="E361" s="1714" t="s">
        <v>987</v>
      </c>
      <c r="F361" s="1747" t="str">
        <f>VLOOKUP(TBL5_OptBen[[#This Row],[Option Type (defined list)]],'Option Typs_Grps'!B$2:C$47, 2, FALSE)</f>
        <v>Customer Options</v>
      </c>
      <c r="G361" s="1747" t="s">
        <v>863</v>
      </c>
      <c r="H361" s="1707" t="s">
        <v>1459</v>
      </c>
      <c r="I361" s="1747" t="s">
        <v>93</v>
      </c>
      <c r="J361" s="1747" t="s">
        <v>236</v>
      </c>
      <c r="K361" s="1760">
        <v>2</v>
      </c>
      <c r="L361" s="1779"/>
      <c r="M361" s="1779"/>
      <c r="N361" s="1779">
        <v>0</v>
      </c>
      <c r="O361" s="1780">
        <v>0</v>
      </c>
      <c r="P361" s="1780">
        <v>0</v>
      </c>
      <c r="Q361" s="1779">
        <v>0</v>
      </c>
      <c r="R361" s="1779">
        <v>8.1814915279920797E-4</v>
      </c>
      <c r="S361" s="1779">
        <v>1.6362983056996683E-3</v>
      </c>
      <c r="T361" s="1779">
        <v>2.4544474586001286E-3</v>
      </c>
      <c r="U361" s="1779">
        <v>3.2725966114011129E-3</v>
      </c>
      <c r="V361" s="1779">
        <v>4.0907457642997969E-3</v>
      </c>
      <c r="W361" s="1779">
        <v>8.330358461499543E-3</v>
      </c>
      <c r="X361" s="1779">
        <v>1.2569971158800541E-2</v>
      </c>
      <c r="Y361" s="1779">
        <v>1.6809583855899035E-2</v>
      </c>
      <c r="Z361" s="1779">
        <v>2.1049196553200034E-2</v>
      </c>
      <c r="AA361" s="1779">
        <v>2.528880925039978E-2</v>
      </c>
      <c r="AB361" s="1779">
        <v>3.0578084668700711E-2</v>
      </c>
      <c r="AC361" s="1779">
        <v>3.5867360086898614E-2</v>
      </c>
      <c r="AD361" s="1779">
        <v>4.115663550510007E-2</v>
      </c>
      <c r="AE361" s="1779">
        <v>4.115663550510007E-2</v>
      </c>
      <c r="AF361" s="1779">
        <v>4.115663550510007E-2</v>
      </c>
      <c r="AG361" s="1779">
        <v>4.115663550510007E-2</v>
      </c>
      <c r="AH361" s="1779">
        <v>4.115663550510007E-2</v>
      </c>
      <c r="AI361" s="1779">
        <v>4.115663550510007E-2</v>
      </c>
      <c r="AJ361" s="1779">
        <v>4.115663550510007E-2</v>
      </c>
      <c r="AK361" s="1779">
        <v>4.115663550510007E-2</v>
      </c>
      <c r="AL361" s="1779">
        <v>4.115663550510007E-2</v>
      </c>
      <c r="AM361" s="1779">
        <v>4.115663550510007E-2</v>
      </c>
      <c r="AN361" s="1779">
        <v>4.115663550510007E-2</v>
      </c>
      <c r="AO361" s="1779">
        <v>4.115663550510007E-2</v>
      </c>
      <c r="AP361" s="1779">
        <v>4.115663550510007E-2</v>
      </c>
      <c r="AQ361" s="1779"/>
      <c r="AR361" s="1779"/>
      <c r="AS361" s="1779"/>
      <c r="AT361" s="1779"/>
      <c r="AU361" s="1779"/>
      <c r="AV361" s="1779"/>
      <c r="AW361" s="1779"/>
      <c r="AX361" s="1779"/>
      <c r="AY361" s="1779"/>
      <c r="AZ361" s="1779"/>
      <c r="BA361" s="1779"/>
      <c r="BB361" s="1779"/>
      <c r="BC361" s="1779"/>
      <c r="BD361" s="1779"/>
      <c r="BE361" s="1779"/>
      <c r="BF361" s="1779"/>
      <c r="BG361" s="1779"/>
      <c r="BH361" s="1779"/>
      <c r="BI361" s="1779"/>
      <c r="BJ361" s="1779"/>
      <c r="BK361" s="1779"/>
      <c r="BL361" s="1779"/>
      <c r="BM361" s="1779"/>
      <c r="BN361" s="1779"/>
      <c r="BO361" s="1779"/>
      <c r="BP361" s="1780"/>
      <c r="BQ361" s="1755"/>
      <c r="BR361" s="1755"/>
      <c r="BS361" s="1755"/>
      <c r="BT361" s="1755"/>
      <c r="BU361" s="1755"/>
      <c r="BV361" s="1755"/>
      <c r="BW361" s="1755"/>
      <c r="BX361" s="1755"/>
      <c r="BY361" s="1755"/>
      <c r="BZ361" s="1755"/>
      <c r="CA361" s="1755"/>
      <c r="CB361" s="1755"/>
      <c r="CC361" s="1755"/>
      <c r="CD361" s="1755"/>
      <c r="CE361" s="1755"/>
      <c r="CF361" s="1755"/>
      <c r="CG361" s="1755"/>
      <c r="CH361" s="1755"/>
      <c r="CI361" s="1755"/>
      <c r="CJ361" s="1755"/>
      <c r="CK361" s="1755"/>
      <c r="CL361" s="1755"/>
      <c r="CM361" s="1755"/>
      <c r="CN361" s="1756"/>
      <c r="CO361" s="1783"/>
    </row>
    <row r="362" spans="2:93" x14ac:dyDescent="0.2">
      <c r="B362" s="1707"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62" s="1703" t="s">
        <v>1079</v>
      </c>
      <c r="D362" s="1765" t="s">
        <v>1078</v>
      </c>
      <c r="E362" s="1714" t="s">
        <v>987</v>
      </c>
      <c r="F362" s="1747" t="str">
        <f>VLOOKUP(TBL5_OptBen[[#This Row],[Option Type (defined list)]],'Option Typs_Grps'!B$2:C$47, 2, FALSE)</f>
        <v>Customer Options</v>
      </c>
      <c r="G362" s="1747" t="s">
        <v>863</v>
      </c>
      <c r="H362" s="1707" t="s">
        <v>1459</v>
      </c>
      <c r="I362" s="1747" t="s">
        <v>93</v>
      </c>
      <c r="J362" s="1747" t="s">
        <v>236</v>
      </c>
      <c r="K362" s="1760">
        <v>2</v>
      </c>
      <c r="L362" s="1779"/>
      <c r="M362" s="1779"/>
      <c r="N362" s="1779">
        <v>0</v>
      </c>
      <c r="O362" s="1780">
        <v>0</v>
      </c>
      <c r="P362" s="1780">
        <v>0</v>
      </c>
      <c r="Q362" s="1779">
        <v>0</v>
      </c>
      <c r="R362" s="1779">
        <v>0</v>
      </c>
      <c r="S362" s="1779">
        <v>0</v>
      </c>
      <c r="T362" s="1779">
        <v>1.2316154623000841E-2</v>
      </c>
      <c r="U362" s="1779">
        <v>2.4492761570900967E-2</v>
      </c>
      <c r="V362" s="1779">
        <v>3.6494205364698828E-2</v>
      </c>
      <c r="W362" s="1779">
        <v>4.840714577579952E-2</v>
      </c>
      <c r="X362" s="1779">
        <v>6.0274776207499769E-2</v>
      </c>
      <c r="Y362" s="1779">
        <v>7.2075016762699562E-2</v>
      </c>
      <c r="Z362" s="1779">
        <v>9.6940235992798662E-2</v>
      </c>
      <c r="AA362" s="1779">
        <v>0.12163387279989912</v>
      </c>
      <c r="AB362" s="1779">
        <v>0.14620955217790055</v>
      </c>
      <c r="AC362" s="1779">
        <v>0.17063373049670005</v>
      </c>
      <c r="AD362" s="1779">
        <v>0.19495479254990045</v>
      </c>
      <c r="AE362" s="1779">
        <v>0.2192086231135999</v>
      </c>
      <c r="AF362" s="1779">
        <v>0.2432107743487002</v>
      </c>
      <c r="AG362" s="1779">
        <v>0.26704516829710023</v>
      </c>
      <c r="AH362" s="1779">
        <v>0.29089161678320075</v>
      </c>
      <c r="AI362" s="1779">
        <v>0.31469205759239927</v>
      </c>
      <c r="AJ362" s="1779">
        <v>0.32222836230859997</v>
      </c>
      <c r="AK362" s="1779">
        <v>0.32981805983060042</v>
      </c>
      <c r="AL362" s="1779">
        <v>0.33738307145740087</v>
      </c>
      <c r="AM362" s="1779">
        <v>0.34497200784130122</v>
      </c>
      <c r="AN362" s="1779">
        <v>0.35268172673660025</v>
      </c>
      <c r="AO362" s="1779">
        <v>0.3604911591194</v>
      </c>
      <c r="AP362" s="1779">
        <v>0.36835618440450091</v>
      </c>
      <c r="AQ362" s="1779"/>
      <c r="AR362" s="1779"/>
      <c r="AS362" s="1779"/>
      <c r="AT362" s="1779"/>
      <c r="AU362" s="1779"/>
      <c r="AV362" s="1779"/>
      <c r="AW362" s="1779"/>
      <c r="AX362" s="1779"/>
      <c r="AY362" s="1779"/>
      <c r="AZ362" s="1779"/>
      <c r="BA362" s="1779"/>
      <c r="BB362" s="1779"/>
      <c r="BC362" s="1779"/>
      <c r="BD362" s="1779"/>
      <c r="BE362" s="1779"/>
      <c r="BF362" s="1779"/>
      <c r="BG362" s="1779"/>
      <c r="BH362" s="1779"/>
      <c r="BI362" s="1779"/>
      <c r="BJ362" s="1779"/>
      <c r="BK362" s="1779"/>
      <c r="BL362" s="1779"/>
      <c r="BM362" s="1779"/>
      <c r="BN362" s="1779"/>
      <c r="BO362" s="1779"/>
      <c r="BP362" s="1780"/>
      <c r="BQ362" s="1755"/>
      <c r="BR362" s="1755"/>
      <c r="BS362" s="1755"/>
      <c r="BT362" s="1755"/>
      <c r="BU362" s="1755"/>
      <c r="BV362" s="1755"/>
      <c r="BW362" s="1755"/>
      <c r="BX362" s="1755"/>
      <c r="BY362" s="1755"/>
      <c r="BZ362" s="1755"/>
      <c r="CA362" s="1755"/>
      <c r="CB362" s="1755"/>
      <c r="CC362" s="1755"/>
      <c r="CD362" s="1755"/>
      <c r="CE362" s="1755"/>
      <c r="CF362" s="1755"/>
      <c r="CG362" s="1755"/>
      <c r="CH362" s="1755"/>
      <c r="CI362" s="1755"/>
      <c r="CJ362" s="1755"/>
      <c r="CK362" s="1755"/>
      <c r="CL362" s="1755"/>
      <c r="CM362" s="1755"/>
      <c r="CN362" s="1756"/>
      <c r="CO362" s="1783"/>
    </row>
    <row r="363" spans="2:93" ht="15" x14ac:dyDescent="0.25">
      <c r="B363" s="1707"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63" s="1703" t="s">
        <v>1067</v>
      </c>
      <c r="D363" s="1765" t="s">
        <v>1066</v>
      </c>
      <c r="E363" s="1723" t="s">
        <v>1068</v>
      </c>
      <c r="F363" s="1747" t="str">
        <f>VLOOKUP(TBL5_OptBen[[#This Row],[Option Type (defined list)]],'Option Typs_Grps'!B$2:C$47, 2, FALSE)</f>
        <v>Customer Options</v>
      </c>
      <c r="G363" s="1747" t="s">
        <v>863</v>
      </c>
      <c r="H363" s="1707" t="s">
        <v>1459</v>
      </c>
      <c r="I363" s="1747" t="s">
        <v>102</v>
      </c>
      <c r="J363" s="1747" t="s">
        <v>236</v>
      </c>
      <c r="K363" s="1760">
        <v>2</v>
      </c>
      <c r="L363" s="1779"/>
      <c r="M363" s="1779"/>
      <c r="N363" s="1779">
        <v>0</v>
      </c>
      <c r="O363" s="1780">
        <v>2.5757174171303632E-14</v>
      </c>
      <c r="P363" s="1780">
        <v>4.0856207306205761E-14</v>
      </c>
      <c r="Q363" s="1779">
        <v>0</v>
      </c>
      <c r="R363" s="1779">
        <v>2.8222942254962025E-2</v>
      </c>
      <c r="S363" s="1779">
        <v>5.102355375825951E-2</v>
      </c>
      <c r="T363" s="1779">
        <v>-3.463498264699183E-2</v>
      </c>
      <c r="U363" s="1779">
        <v>-4.0982019910842382E-2</v>
      </c>
      <c r="V363" s="1779">
        <v>-4.4940511999577382E-2</v>
      </c>
      <c r="W363" s="1779">
        <v>-4.775765604458293E-2</v>
      </c>
      <c r="X363" s="1779">
        <v>-4.8309414629620129E-2</v>
      </c>
      <c r="Y363" s="1779">
        <v>-4.7194492905036134E-2</v>
      </c>
      <c r="Z363" s="1779">
        <v>-4.5687750903295077E-2</v>
      </c>
      <c r="AA363" s="1779">
        <v>-4.3850077526514042E-2</v>
      </c>
      <c r="AB363" s="1779">
        <v>-4.251077120807617E-2</v>
      </c>
      <c r="AC363" s="1779">
        <v>-4.0811700950468266E-2</v>
      </c>
      <c r="AD363" s="1779">
        <v>-3.8842439729724676E-2</v>
      </c>
      <c r="AE363" s="1779">
        <v>-3.6734993318920717E-2</v>
      </c>
      <c r="AF363" s="1779">
        <v>-3.4514656625783124E-2</v>
      </c>
      <c r="AG363" s="1779">
        <v>-3.2990954233751757E-2</v>
      </c>
      <c r="AH363" s="1779">
        <v>-3.0526067857536643E-2</v>
      </c>
      <c r="AI363" s="1779">
        <v>-2.828810780484603E-2</v>
      </c>
      <c r="AJ363" s="1779">
        <v>-2.6948396809237662E-2</v>
      </c>
      <c r="AK363" s="1779">
        <v>-2.6745392207197627E-2</v>
      </c>
      <c r="AL363" s="1779">
        <v>-2.6597930185511709E-2</v>
      </c>
      <c r="AM363" s="1779">
        <v>-2.6563086591654517E-2</v>
      </c>
      <c r="AN363" s="1779">
        <v>-2.6636264602878157E-2</v>
      </c>
      <c r="AO363" s="1779">
        <v>-2.6832454923069959E-2</v>
      </c>
      <c r="AP363" s="1779">
        <v>-2.6965253032190883E-2</v>
      </c>
      <c r="AQ363" s="1779"/>
      <c r="AR363" s="1779"/>
      <c r="AS363" s="1779"/>
      <c r="AT363" s="1779"/>
      <c r="AU363" s="1779"/>
      <c r="AV363" s="1779"/>
      <c r="AW363" s="1779"/>
      <c r="AX363" s="1779"/>
      <c r="AY363" s="1779"/>
      <c r="AZ363" s="1779"/>
      <c r="BA363" s="1779"/>
      <c r="BB363" s="1779"/>
      <c r="BC363" s="1779"/>
      <c r="BD363" s="1779"/>
      <c r="BE363" s="1779"/>
      <c r="BF363" s="1779"/>
      <c r="BG363" s="1779"/>
      <c r="BH363" s="1779"/>
      <c r="BI363" s="1779"/>
      <c r="BJ363" s="1779"/>
      <c r="BK363" s="1779"/>
      <c r="BL363" s="1779"/>
      <c r="BM363" s="1779"/>
      <c r="BN363" s="1779"/>
      <c r="BO363" s="1779"/>
      <c r="BP363" s="1780"/>
      <c r="BQ363" s="1755"/>
      <c r="BR363" s="1755"/>
      <c r="BS363" s="1755"/>
      <c r="BT363" s="1755"/>
      <c r="BU363" s="1755"/>
      <c r="BV363" s="1755"/>
      <c r="BW363" s="1755"/>
      <c r="BX363" s="1755"/>
      <c r="BY363" s="1755"/>
      <c r="BZ363" s="1755"/>
      <c r="CA363" s="1755"/>
      <c r="CB363" s="1755"/>
      <c r="CC363" s="1755"/>
      <c r="CD363" s="1755"/>
      <c r="CE363" s="1755"/>
      <c r="CF363" s="1755"/>
      <c r="CG363" s="1755"/>
      <c r="CH363" s="1755"/>
      <c r="CI363" s="1755"/>
      <c r="CJ363" s="1755"/>
      <c r="CK363" s="1755"/>
      <c r="CL363" s="1755"/>
      <c r="CM363" s="1755"/>
      <c r="CN363" s="1756"/>
      <c r="CO363" s="1783"/>
    </row>
    <row r="364" spans="2:93" ht="15" x14ac:dyDescent="0.25">
      <c r="B364" s="1707"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64" s="1703" t="s">
        <v>1033</v>
      </c>
      <c r="D364" s="1765" t="s">
        <v>1032</v>
      </c>
      <c r="E364" s="1723" t="s">
        <v>987</v>
      </c>
      <c r="F364" s="1747" t="str">
        <f>VLOOKUP(TBL5_OptBen[[#This Row],[Option Type (defined list)]],'Option Typs_Grps'!B$2:C$47, 2, FALSE)</f>
        <v>Customer Options</v>
      </c>
      <c r="G364" s="1747" t="s">
        <v>863</v>
      </c>
      <c r="H364" s="1707" t="s">
        <v>1459</v>
      </c>
      <c r="I364" s="1747" t="s">
        <v>102</v>
      </c>
      <c r="J364" s="1747" t="s">
        <v>236</v>
      </c>
      <c r="K364" s="1760">
        <v>2</v>
      </c>
      <c r="L364" s="1779"/>
      <c r="M364" s="1779"/>
      <c r="N364" s="1779">
        <v>0</v>
      </c>
      <c r="O364" s="1780">
        <v>0</v>
      </c>
      <c r="P364" s="1780">
        <v>0</v>
      </c>
      <c r="Q364" s="1779">
        <v>0</v>
      </c>
      <c r="R364" s="1779">
        <v>1.4787374205800674E-2</v>
      </c>
      <c r="S364" s="1779">
        <v>2.9266074232799255E-2</v>
      </c>
      <c r="T364" s="1779">
        <v>4.3691519326900519E-2</v>
      </c>
      <c r="U364" s="1779">
        <v>5.7948116151900209E-2</v>
      </c>
      <c r="V364" s="1779">
        <v>7.1974854283499923E-2</v>
      </c>
      <c r="W364" s="1779">
        <v>8.4508719018000278E-2</v>
      </c>
      <c r="X364" s="1779">
        <v>9.7003686969600267E-2</v>
      </c>
      <c r="Y364" s="1779">
        <v>0.10939276407519927</v>
      </c>
      <c r="Z364" s="1779">
        <v>0.12169268492320029</v>
      </c>
      <c r="AA364" s="1779">
        <v>0.13392182025330079</v>
      </c>
      <c r="AB364" s="1779">
        <v>0.1452494632279997</v>
      </c>
      <c r="AC364" s="1779">
        <v>0.15651365135000006</v>
      </c>
      <c r="AD364" s="1779">
        <v>0.16778325523399928</v>
      </c>
      <c r="AE364" s="1779">
        <v>0.17898294107409995</v>
      </c>
      <c r="AF364" s="1779">
        <v>0.19000143022850047</v>
      </c>
      <c r="AG364" s="1779">
        <v>0.20027940558490087</v>
      </c>
      <c r="AH364" s="1779">
        <v>0.21050681063300125</v>
      </c>
      <c r="AI364" s="1779">
        <v>0.2207188460783005</v>
      </c>
      <c r="AJ364" s="1779">
        <v>0.23090643121209986</v>
      </c>
      <c r="AK364" s="1779">
        <v>0.24107283716639927</v>
      </c>
      <c r="AL364" s="1779">
        <v>0.2507223920759003</v>
      </c>
      <c r="AM364" s="1779">
        <v>0.26031981296210027</v>
      </c>
      <c r="AN364" s="1779">
        <v>0.26996896019590011</v>
      </c>
      <c r="AO364" s="1779">
        <v>0.27966913514119973</v>
      </c>
      <c r="AP364" s="1779">
        <v>0.2894132732874013</v>
      </c>
      <c r="AQ364" s="1779"/>
      <c r="AR364" s="1779"/>
      <c r="AS364" s="1779"/>
      <c r="AT364" s="1779"/>
      <c r="AU364" s="1779"/>
      <c r="AV364" s="1779"/>
      <c r="AW364" s="1779"/>
      <c r="AX364" s="1779"/>
      <c r="AY364" s="1779"/>
      <c r="AZ364" s="1779"/>
      <c r="BA364" s="1779"/>
      <c r="BB364" s="1779"/>
      <c r="BC364" s="1779"/>
      <c r="BD364" s="1779"/>
      <c r="BE364" s="1779"/>
      <c r="BF364" s="1779"/>
      <c r="BG364" s="1779"/>
      <c r="BH364" s="1779"/>
      <c r="BI364" s="1779"/>
      <c r="BJ364" s="1779"/>
      <c r="BK364" s="1779"/>
      <c r="BL364" s="1779"/>
      <c r="BM364" s="1779"/>
      <c r="BN364" s="1779"/>
      <c r="BO364" s="1779"/>
      <c r="BP364" s="1780"/>
      <c r="BQ364" s="1755"/>
      <c r="BR364" s="1755"/>
      <c r="BS364" s="1755"/>
      <c r="BT364" s="1755"/>
      <c r="BU364" s="1755"/>
      <c r="BV364" s="1755"/>
      <c r="BW364" s="1755"/>
      <c r="BX364" s="1755"/>
      <c r="BY364" s="1755"/>
      <c r="BZ364" s="1755"/>
      <c r="CA364" s="1755"/>
      <c r="CB364" s="1755"/>
      <c r="CC364" s="1755"/>
      <c r="CD364" s="1755"/>
      <c r="CE364" s="1755"/>
      <c r="CF364" s="1755"/>
      <c r="CG364" s="1755"/>
      <c r="CH364" s="1755"/>
      <c r="CI364" s="1755"/>
      <c r="CJ364" s="1755"/>
      <c r="CK364" s="1755"/>
      <c r="CL364" s="1755"/>
      <c r="CM364" s="1755"/>
      <c r="CN364" s="1756"/>
      <c r="CO364" s="1783"/>
    </row>
    <row r="365" spans="2:93" x14ac:dyDescent="0.2">
      <c r="B365" s="1707"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365" s="1703" t="s">
        <v>1082</v>
      </c>
      <c r="D365" s="1765" t="s">
        <v>1081</v>
      </c>
      <c r="E365" s="1723" t="s">
        <v>860</v>
      </c>
      <c r="F365" s="1747" t="str">
        <f>VLOOKUP(TBL5_OptBen[[#This Row],[Option Type (defined list)]],'Option Typs_Grps'!B$2:C$47, 2, FALSE)</f>
        <v>Distribution Options</v>
      </c>
      <c r="G365" s="1747" t="s">
        <v>863</v>
      </c>
      <c r="H365" s="1707" t="s">
        <v>1459</v>
      </c>
      <c r="I365" s="1747" t="s">
        <v>102</v>
      </c>
      <c r="J365" s="1747" t="s">
        <v>236</v>
      </c>
      <c r="K365" s="1760">
        <v>2</v>
      </c>
      <c r="L365" s="1779"/>
      <c r="M365" s="1779"/>
      <c r="N365" s="1779">
        <v>0</v>
      </c>
      <c r="O365" s="1780">
        <v>0</v>
      </c>
      <c r="P365" s="1780">
        <v>0</v>
      </c>
      <c r="Q365" s="1779">
        <v>0</v>
      </c>
      <c r="R365" s="1779">
        <v>-1.6145513693702762E-3</v>
      </c>
      <c r="S365" s="1779">
        <v>-2.862783471225816E-3</v>
      </c>
      <c r="T365" s="1779">
        <v>4.2861807559981813E-3</v>
      </c>
      <c r="U365" s="1779">
        <v>1.1415347046815683E-2</v>
      </c>
      <c r="V365" s="1779">
        <v>1.8531374394505473E-2</v>
      </c>
      <c r="W365" s="1779">
        <v>2.5451428441384927E-2</v>
      </c>
      <c r="X365" s="1779">
        <v>3.2180298944493591E-2</v>
      </c>
      <c r="Y365" s="1779">
        <v>3.8899833363210901E-2</v>
      </c>
      <c r="Z365" s="1779">
        <v>4.5608061135080202E-2</v>
      </c>
      <c r="AA365" s="1779">
        <v>5.2304537552386288E-2</v>
      </c>
      <c r="AB365" s="1779">
        <v>5.8990056648910771E-2</v>
      </c>
      <c r="AC365" s="1779">
        <v>6.5666109426501196E-2</v>
      </c>
      <c r="AD365" s="1779">
        <v>7.2333316033205697E-2</v>
      </c>
      <c r="AE365" s="1779">
        <v>7.8990073448521048E-2</v>
      </c>
      <c r="AF365" s="1779">
        <v>8.5637468534773387E-2</v>
      </c>
      <c r="AG365" s="1779">
        <v>9.2272138106391566E-2</v>
      </c>
      <c r="AH365" s="1779">
        <v>9.8894373222669807E-2</v>
      </c>
      <c r="AI365" s="1779">
        <v>0.10550826501916322</v>
      </c>
      <c r="AJ365" s="1779">
        <v>0.11211449054613076</v>
      </c>
      <c r="AK365" s="1779">
        <v>0.11871315190985066</v>
      </c>
      <c r="AL365" s="1779">
        <v>0.1253036603091634</v>
      </c>
      <c r="AM365" s="1779">
        <v>0.13188627416948917</v>
      </c>
      <c r="AN365" s="1779">
        <v>0.13846030482426297</v>
      </c>
      <c r="AO365" s="1779">
        <v>0.14502519801332275</v>
      </c>
      <c r="AP365" s="1779">
        <v>0.15158118891372041</v>
      </c>
      <c r="AQ365" s="1779"/>
      <c r="AR365" s="1779"/>
      <c r="AS365" s="1779"/>
      <c r="AT365" s="1779"/>
      <c r="AU365" s="1779"/>
      <c r="AV365" s="1779"/>
      <c r="AW365" s="1779"/>
      <c r="AX365" s="1779"/>
      <c r="AY365" s="1779"/>
      <c r="AZ365" s="1779"/>
      <c r="BA365" s="1779"/>
      <c r="BB365" s="1779"/>
      <c r="BC365" s="1779"/>
      <c r="BD365" s="1779"/>
      <c r="BE365" s="1779"/>
      <c r="BF365" s="1779"/>
      <c r="BG365" s="1779"/>
      <c r="BH365" s="1779"/>
      <c r="BI365" s="1779"/>
      <c r="BJ365" s="1779"/>
      <c r="BK365" s="1779"/>
      <c r="BL365" s="1779"/>
      <c r="BM365" s="1779"/>
      <c r="BN365" s="1779"/>
      <c r="BO365" s="1779"/>
      <c r="BP365" s="1780"/>
      <c r="BQ365" s="1755"/>
      <c r="BR365" s="1755"/>
      <c r="BS365" s="1755"/>
      <c r="BT365" s="1755"/>
      <c r="BU365" s="1755"/>
      <c r="BV365" s="1755"/>
      <c r="BW365" s="1755"/>
      <c r="BX365" s="1755"/>
      <c r="BY365" s="1755"/>
      <c r="BZ365" s="1755"/>
      <c r="CA365" s="1755"/>
      <c r="CB365" s="1755"/>
      <c r="CC365" s="1755"/>
      <c r="CD365" s="1755"/>
      <c r="CE365" s="1755"/>
      <c r="CF365" s="1755"/>
      <c r="CG365" s="1755"/>
      <c r="CH365" s="1755"/>
      <c r="CI365" s="1755"/>
      <c r="CJ365" s="1755"/>
      <c r="CK365" s="1755"/>
      <c r="CL365" s="1755"/>
      <c r="CM365" s="1755"/>
      <c r="CN365" s="1756"/>
      <c r="CO365" s="1783"/>
    </row>
    <row r="366" spans="2:93" ht="15" x14ac:dyDescent="0.25">
      <c r="B366" s="1707"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66" s="1703" t="s">
        <v>1119</v>
      </c>
      <c r="D366" s="1765" t="s">
        <v>1118</v>
      </c>
      <c r="E366" s="1723" t="s">
        <v>1099</v>
      </c>
      <c r="F366" s="1747" t="str">
        <f>VLOOKUP(TBL5_OptBen[[#This Row],[Option Type (defined list)]],'Option Typs_Grps'!B$2:C$47, 2, FALSE)</f>
        <v>Customer Options</v>
      </c>
      <c r="G366" s="1747" t="s">
        <v>863</v>
      </c>
      <c r="H366" s="1707" t="s">
        <v>1459</v>
      </c>
      <c r="I366" s="1747" t="s">
        <v>102</v>
      </c>
      <c r="J366" s="1747" t="s">
        <v>236</v>
      </c>
      <c r="K366" s="1760">
        <v>2</v>
      </c>
      <c r="L366" s="1779"/>
      <c r="M366" s="1779"/>
      <c r="N366" s="1779">
        <v>0</v>
      </c>
      <c r="O366" s="1780">
        <v>0</v>
      </c>
      <c r="P366" s="1780">
        <v>0</v>
      </c>
      <c r="Q366" s="1779">
        <v>0</v>
      </c>
      <c r="R366" s="1779">
        <v>9.2039513693702429E-3</v>
      </c>
      <c r="S366" s="1779">
        <v>1.8041583471225781E-2</v>
      </c>
      <c r="T366" s="1779">
        <v>1.8482019244001648E-2</v>
      </c>
      <c r="U366" s="1779">
        <v>1.8942252953184201E-2</v>
      </c>
      <c r="V366" s="1779">
        <v>1.9415625605494376E-2</v>
      </c>
      <c r="W366" s="1779">
        <v>2.0084971558614897E-2</v>
      </c>
      <c r="X366" s="1779">
        <v>2.0945501055506202E-2</v>
      </c>
      <c r="Y366" s="1779">
        <v>2.1815366636788788E-2</v>
      </c>
      <c r="Z366" s="1779">
        <v>2.2696538864919541E-2</v>
      </c>
      <c r="AA366" s="1779">
        <v>2.358946244761341E-2</v>
      </c>
      <c r="AB366" s="1779">
        <v>2.4493343351088825E-2</v>
      </c>
      <c r="AC366" s="1779">
        <v>2.5406690573498487E-2</v>
      </c>
      <c r="AD366" s="1779">
        <v>2.6328883966793899E-2</v>
      </c>
      <c r="AE366" s="1779">
        <v>2.726152655147851E-2</v>
      </c>
      <c r="AF366" s="1779">
        <v>2.8203531465226167E-2</v>
      </c>
      <c r="AG366" s="1779">
        <v>2.9158261893607956E-2</v>
      </c>
      <c r="AH366" s="1779">
        <v>3.0125426777329566E-2</v>
      </c>
      <c r="AI366" s="1779">
        <v>3.110093498083619E-2</v>
      </c>
      <c r="AJ366" s="1779">
        <v>3.2084109453868609E-2</v>
      </c>
      <c r="AK366" s="1779">
        <v>3.3074848090148691E-2</v>
      </c>
      <c r="AL366" s="1779">
        <v>3.4073739690835922E-2</v>
      </c>
      <c r="AM366" s="1779">
        <v>3.5080525830510134E-2</v>
      </c>
      <c r="AN366" s="1779">
        <v>3.6095895175736276E-2</v>
      </c>
      <c r="AO366" s="1779">
        <v>3.7120401986676516E-2</v>
      </c>
      <c r="AP366" s="1779">
        <v>3.8153811086279611E-2</v>
      </c>
      <c r="AQ366" s="1779"/>
      <c r="AR366" s="1779"/>
      <c r="AS366" s="1779"/>
      <c r="AT366" s="1779"/>
      <c r="AU366" s="1779"/>
      <c r="AV366" s="1779"/>
      <c r="AW366" s="1779"/>
      <c r="AX366" s="1779"/>
      <c r="AY366" s="1779"/>
      <c r="AZ366" s="1779"/>
      <c r="BA366" s="1779"/>
      <c r="BB366" s="1779"/>
      <c r="BC366" s="1779"/>
      <c r="BD366" s="1779"/>
      <c r="BE366" s="1779"/>
      <c r="BF366" s="1779"/>
      <c r="BG366" s="1779"/>
      <c r="BH366" s="1779"/>
      <c r="BI366" s="1779"/>
      <c r="BJ366" s="1779"/>
      <c r="BK366" s="1779"/>
      <c r="BL366" s="1779"/>
      <c r="BM366" s="1779"/>
      <c r="BN366" s="1779"/>
      <c r="BO366" s="1779"/>
      <c r="BP366" s="1780"/>
      <c r="BQ366" s="1755"/>
      <c r="BR366" s="1755"/>
      <c r="BS366" s="1755"/>
      <c r="BT366" s="1755"/>
      <c r="BU366" s="1755"/>
      <c r="BV366" s="1755"/>
      <c r="BW366" s="1755"/>
      <c r="BX366" s="1755"/>
      <c r="BY366" s="1755"/>
      <c r="BZ366" s="1755"/>
      <c r="CA366" s="1755"/>
      <c r="CB366" s="1755"/>
      <c r="CC366" s="1755"/>
      <c r="CD366" s="1755"/>
      <c r="CE366" s="1755"/>
      <c r="CF366" s="1755"/>
      <c r="CG366" s="1755"/>
      <c r="CH366" s="1755"/>
      <c r="CI366" s="1755"/>
      <c r="CJ366" s="1755"/>
      <c r="CK366" s="1755"/>
      <c r="CL366" s="1755"/>
      <c r="CM366" s="1755"/>
      <c r="CN366" s="1756"/>
      <c r="CO366" s="1783"/>
    </row>
    <row r="367" spans="2:93" x14ac:dyDescent="0.2">
      <c r="B367" s="1707"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67" s="1707" t="s">
        <v>1084</v>
      </c>
      <c r="D367" s="1765" t="s">
        <v>1083</v>
      </c>
      <c r="E367" s="1714" t="s">
        <v>987</v>
      </c>
      <c r="F367" s="1747" t="str">
        <f>VLOOKUP(TBL5_OptBen[[#This Row],[Option Type (defined list)]],'Option Typs_Grps'!B$2:C$47, 2, FALSE)</f>
        <v>Customer Options</v>
      </c>
      <c r="G367" s="1747" t="s">
        <v>863</v>
      </c>
      <c r="H367" s="1707" t="s">
        <v>1459</v>
      </c>
      <c r="I367" s="1747" t="s">
        <v>102</v>
      </c>
      <c r="J367" s="1747" t="s">
        <v>236</v>
      </c>
      <c r="K367" s="1760">
        <v>2</v>
      </c>
      <c r="L367" s="1779"/>
      <c r="M367" s="1779"/>
      <c r="N367" s="1779">
        <v>0</v>
      </c>
      <c r="O367" s="1780">
        <v>0</v>
      </c>
      <c r="P367" s="1780">
        <v>0</v>
      </c>
      <c r="Q367" s="1779">
        <v>0</v>
      </c>
      <c r="R367" s="1779">
        <v>6.1612624369900004E-4</v>
      </c>
      <c r="S367" s="1779">
        <v>1.2322524873997764E-3</v>
      </c>
      <c r="T367" s="1779">
        <v>1.8483787311005528E-3</v>
      </c>
      <c r="U367" s="1779">
        <v>2.4645049747995529E-3</v>
      </c>
      <c r="V367" s="1779">
        <v>3.0806312185003293E-3</v>
      </c>
      <c r="W367" s="1779">
        <v>6.2733701424999566E-3</v>
      </c>
      <c r="X367" s="1779">
        <v>9.466109066300632E-3</v>
      </c>
      <c r="Y367" s="1779">
        <v>1.2658847990298483E-2</v>
      </c>
      <c r="Z367" s="1779">
        <v>1.5851586914299887E-2</v>
      </c>
      <c r="AA367" s="1779">
        <v>1.9044325838200038E-2</v>
      </c>
      <c r="AB367" s="1779">
        <v>2.3027537681700849E-2</v>
      </c>
      <c r="AC367" s="1779">
        <v>2.7010749524999156E-2</v>
      </c>
      <c r="AD367" s="1779">
        <v>3.0993961368499967E-2</v>
      </c>
      <c r="AE367" s="1779">
        <v>3.0993961368499967E-2</v>
      </c>
      <c r="AF367" s="1779">
        <v>3.0993961368499967E-2</v>
      </c>
      <c r="AG367" s="1779">
        <v>3.0993961368499967E-2</v>
      </c>
      <c r="AH367" s="1779">
        <v>3.0993961368499967E-2</v>
      </c>
      <c r="AI367" s="1779">
        <v>3.0993961368499967E-2</v>
      </c>
      <c r="AJ367" s="1779">
        <v>3.0993961368499967E-2</v>
      </c>
      <c r="AK367" s="1779">
        <v>3.0993961368499967E-2</v>
      </c>
      <c r="AL367" s="1779">
        <v>3.0993961368499967E-2</v>
      </c>
      <c r="AM367" s="1779">
        <v>3.0993961368499967E-2</v>
      </c>
      <c r="AN367" s="1779">
        <v>3.0993961368499967E-2</v>
      </c>
      <c r="AO367" s="1779">
        <v>3.0993961368499967E-2</v>
      </c>
      <c r="AP367" s="1779">
        <v>3.0993961368499967E-2</v>
      </c>
      <c r="AQ367" s="1779"/>
      <c r="AR367" s="1779"/>
      <c r="AS367" s="1779"/>
      <c r="AT367" s="1779"/>
      <c r="AU367" s="1779"/>
      <c r="AV367" s="1779"/>
      <c r="AW367" s="1779"/>
      <c r="AX367" s="1779"/>
      <c r="AY367" s="1779"/>
      <c r="AZ367" s="1779"/>
      <c r="BA367" s="1779"/>
      <c r="BB367" s="1779"/>
      <c r="BC367" s="1779"/>
      <c r="BD367" s="1779"/>
      <c r="BE367" s="1779"/>
      <c r="BF367" s="1779"/>
      <c r="BG367" s="1779"/>
      <c r="BH367" s="1779"/>
      <c r="BI367" s="1779"/>
      <c r="BJ367" s="1779"/>
      <c r="BK367" s="1779"/>
      <c r="BL367" s="1779"/>
      <c r="BM367" s="1779"/>
      <c r="BN367" s="1779"/>
      <c r="BO367" s="1779"/>
      <c r="BP367" s="1780"/>
      <c r="BQ367" s="1755"/>
      <c r="BR367" s="1755"/>
      <c r="BS367" s="1755"/>
      <c r="BT367" s="1755"/>
      <c r="BU367" s="1755"/>
      <c r="BV367" s="1755"/>
      <c r="BW367" s="1755"/>
      <c r="BX367" s="1755"/>
      <c r="BY367" s="1755"/>
      <c r="BZ367" s="1755"/>
      <c r="CA367" s="1755"/>
      <c r="CB367" s="1755"/>
      <c r="CC367" s="1755"/>
      <c r="CD367" s="1755"/>
      <c r="CE367" s="1755"/>
      <c r="CF367" s="1755"/>
      <c r="CG367" s="1755"/>
      <c r="CH367" s="1755"/>
      <c r="CI367" s="1755"/>
      <c r="CJ367" s="1755"/>
      <c r="CK367" s="1755"/>
      <c r="CL367" s="1755"/>
      <c r="CM367" s="1755"/>
      <c r="CN367" s="1756"/>
      <c r="CO367" s="1783"/>
    </row>
    <row r="368" spans="2:93" x14ac:dyDescent="0.2">
      <c r="B368" s="1707"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68" s="1703" t="s">
        <v>1079</v>
      </c>
      <c r="D368" s="1765" t="s">
        <v>1078</v>
      </c>
      <c r="E368" s="1714" t="s">
        <v>987</v>
      </c>
      <c r="F368" s="1747" t="str">
        <f>VLOOKUP(TBL5_OptBen[[#This Row],[Option Type (defined list)]],'Option Typs_Grps'!B$2:C$47, 2, FALSE)</f>
        <v>Customer Options</v>
      </c>
      <c r="G368" s="1747" t="s">
        <v>863</v>
      </c>
      <c r="H368" s="1707" t="s">
        <v>1459</v>
      </c>
      <c r="I368" s="1747" t="s">
        <v>102</v>
      </c>
      <c r="J368" s="1747" t="s">
        <v>236</v>
      </c>
      <c r="K368" s="1760">
        <v>2</v>
      </c>
      <c r="L368" s="1779"/>
      <c r="M368" s="1779"/>
      <c r="N368" s="1779">
        <v>0</v>
      </c>
      <c r="O368" s="1780">
        <v>0</v>
      </c>
      <c r="P368" s="1780">
        <v>0</v>
      </c>
      <c r="Q368" s="1779">
        <v>0</v>
      </c>
      <c r="R368" s="1779">
        <v>0</v>
      </c>
      <c r="S368" s="1779">
        <v>0</v>
      </c>
      <c r="T368" s="1779">
        <v>9.4103258283002589E-3</v>
      </c>
      <c r="U368" s="1779">
        <v>1.8758815812800478E-2</v>
      </c>
      <c r="V368" s="1779">
        <v>2.8041152727400487E-2</v>
      </c>
      <c r="W368" s="1779">
        <v>3.72156604469005E-2</v>
      </c>
      <c r="X368" s="1779">
        <v>4.6320273715700466E-2</v>
      </c>
      <c r="Y368" s="1779">
        <v>5.5352766276298482E-2</v>
      </c>
      <c r="Z368" s="1779">
        <v>7.4432272134398403E-2</v>
      </c>
      <c r="AA368" s="1779">
        <v>9.3388923077800001E-2</v>
      </c>
      <c r="AB368" s="1779">
        <v>0.11225156561260086</v>
      </c>
      <c r="AC368" s="1779">
        <v>0.13103614773550021</v>
      </c>
      <c r="AD368" s="1779">
        <v>0.14975844047660125</v>
      </c>
      <c r="AE368" s="1779">
        <v>0.16838205952520013</v>
      </c>
      <c r="AF368" s="1779">
        <v>0.18678872830479953</v>
      </c>
      <c r="AG368" s="1779">
        <v>0.20502825271989877</v>
      </c>
      <c r="AH368" s="1779">
        <v>0.22317353806890061</v>
      </c>
      <c r="AI368" s="1779">
        <v>0.24129542120090086</v>
      </c>
      <c r="AJ368" s="1779">
        <v>0.24692362060729955</v>
      </c>
      <c r="AK368" s="1779">
        <v>0.25259487094830035</v>
      </c>
      <c r="AL368" s="1779">
        <v>0.25821975220410032</v>
      </c>
      <c r="AM368" s="1779">
        <v>0.26382100824690013</v>
      </c>
      <c r="AN368" s="1779">
        <v>0.26950931389390043</v>
      </c>
      <c r="AO368" s="1779">
        <v>0.27527842000570146</v>
      </c>
      <c r="AP368" s="1779">
        <v>0.28111624695820048</v>
      </c>
      <c r="AQ368" s="1779"/>
      <c r="AR368" s="1779"/>
      <c r="AS368" s="1779"/>
      <c r="AT368" s="1779"/>
      <c r="AU368" s="1779"/>
      <c r="AV368" s="1779"/>
      <c r="AW368" s="1779"/>
      <c r="AX368" s="1779"/>
      <c r="AY368" s="1779"/>
      <c r="AZ368" s="1779"/>
      <c r="BA368" s="1779"/>
      <c r="BB368" s="1779"/>
      <c r="BC368" s="1779"/>
      <c r="BD368" s="1779"/>
      <c r="BE368" s="1779"/>
      <c r="BF368" s="1779"/>
      <c r="BG368" s="1779"/>
      <c r="BH368" s="1779"/>
      <c r="BI368" s="1779"/>
      <c r="BJ368" s="1779"/>
      <c r="BK368" s="1779"/>
      <c r="BL368" s="1779"/>
      <c r="BM368" s="1779"/>
      <c r="BN368" s="1779"/>
      <c r="BO368" s="1779"/>
      <c r="BP368" s="1780"/>
      <c r="BQ368" s="1755"/>
      <c r="BR368" s="1755"/>
      <c r="BS368" s="1755"/>
      <c r="BT368" s="1755"/>
      <c r="BU368" s="1755"/>
      <c r="BV368" s="1755"/>
      <c r="BW368" s="1755"/>
      <c r="BX368" s="1755"/>
      <c r="BY368" s="1755"/>
      <c r="BZ368" s="1755"/>
      <c r="CA368" s="1755"/>
      <c r="CB368" s="1755"/>
      <c r="CC368" s="1755"/>
      <c r="CD368" s="1755"/>
      <c r="CE368" s="1755"/>
      <c r="CF368" s="1755"/>
      <c r="CG368" s="1755"/>
      <c r="CH368" s="1755"/>
      <c r="CI368" s="1755"/>
      <c r="CJ368" s="1755"/>
      <c r="CK368" s="1755"/>
      <c r="CL368" s="1755"/>
      <c r="CM368" s="1755"/>
      <c r="CN368" s="1756"/>
      <c r="CO368" s="1783"/>
    </row>
    <row r="369" spans="2:93" x14ac:dyDescent="0.2">
      <c r="B369" s="1707"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69" s="1747" t="s">
        <v>1067</v>
      </c>
      <c r="D369" s="1747" t="s">
        <v>1066</v>
      </c>
      <c r="E369" s="1747" t="s">
        <v>1068</v>
      </c>
      <c r="F369" s="1747" t="str">
        <f>VLOOKUP(TBL5_OptBen[[#This Row],[Option Type (defined list)]],'Option Typs_Grps'!B$2:C$47, 2, FALSE)</f>
        <v>Customer Options</v>
      </c>
      <c r="G369" s="1747" t="s">
        <v>863</v>
      </c>
      <c r="H369" s="1707" t="s">
        <v>1459</v>
      </c>
      <c r="I369" s="1747" t="s">
        <v>105</v>
      </c>
      <c r="J369" s="1747" t="s">
        <v>236</v>
      </c>
      <c r="K369" s="1760">
        <v>2</v>
      </c>
      <c r="L369" s="1779"/>
      <c r="M369" s="1779"/>
      <c r="N369" s="1779">
        <v>0</v>
      </c>
      <c r="O369" s="1780">
        <v>0</v>
      </c>
      <c r="P369" s="1780">
        <v>0</v>
      </c>
      <c r="Q369" s="1779">
        <v>0</v>
      </c>
      <c r="R369" s="1779">
        <v>-3.0250176832678055E-2</v>
      </c>
      <c r="S369" s="1779">
        <v>0.22092509792618942</v>
      </c>
      <c r="T369" s="1779">
        <v>0.44180783531048951</v>
      </c>
      <c r="U369" s="1779">
        <v>0.65676649195386716</v>
      </c>
      <c r="V369" s="1779">
        <v>0.74603012807686042</v>
      </c>
      <c r="W369" s="1779">
        <v>0.67123336816176948</v>
      </c>
      <c r="X369" s="1779">
        <v>0.56160146727783111</v>
      </c>
      <c r="Y369" s="1779">
        <v>0.569141486410361</v>
      </c>
      <c r="Z369" s="1779">
        <v>0.56222283464014211</v>
      </c>
      <c r="AA369" s="1779">
        <v>0.57604467671953508</v>
      </c>
      <c r="AB369" s="1779">
        <v>0.58287426680638443</v>
      </c>
      <c r="AC369" s="1779">
        <v>0.5918935824934346</v>
      </c>
      <c r="AD369" s="1779">
        <v>0.60111067476332636</v>
      </c>
      <c r="AE369" s="1779">
        <v>0.61075432210265568</v>
      </c>
      <c r="AF369" s="1779">
        <v>0.62047119950066865</v>
      </c>
      <c r="AG369" s="1779">
        <v>0.62710990671047462</v>
      </c>
      <c r="AH369" s="1779">
        <v>0.63765170324713516</v>
      </c>
      <c r="AI369" s="1779">
        <v>0.64710000505310106</v>
      </c>
      <c r="AJ369" s="1779">
        <v>0.65750529700698657</v>
      </c>
      <c r="AK369" s="1779">
        <v>0.66793736733069409</v>
      </c>
      <c r="AL369" s="1779">
        <v>0.67795511886693127</v>
      </c>
      <c r="AM369" s="1779">
        <v>0.68819476295195159</v>
      </c>
      <c r="AN369" s="1779">
        <v>0.69833323270556491</v>
      </c>
      <c r="AO369" s="1779">
        <v>0.708452004238044</v>
      </c>
      <c r="AP369" s="1779">
        <v>0.71892658861624348</v>
      </c>
      <c r="AQ369" s="1779"/>
      <c r="AR369" s="1779"/>
      <c r="AS369" s="1779"/>
      <c r="AT369" s="1779"/>
      <c r="AU369" s="1779"/>
      <c r="AV369" s="1779"/>
      <c r="AW369" s="1779"/>
      <c r="AX369" s="1779"/>
      <c r="AY369" s="1779"/>
      <c r="AZ369" s="1779"/>
      <c r="BA369" s="1779"/>
      <c r="BB369" s="1779"/>
      <c r="BC369" s="1779"/>
      <c r="BD369" s="1779"/>
      <c r="BE369" s="1779"/>
      <c r="BF369" s="1779"/>
      <c r="BG369" s="1779"/>
      <c r="BH369" s="1779"/>
      <c r="BI369" s="1779"/>
      <c r="BJ369" s="1779"/>
      <c r="BK369" s="1779"/>
      <c r="BL369" s="1779"/>
      <c r="BM369" s="1779"/>
      <c r="BN369" s="1779"/>
      <c r="BO369" s="1779"/>
      <c r="BP369" s="1780"/>
      <c r="BQ369" s="1755"/>
      <c r="BR369" s="1755"/>
      <c r="BS369" s="1755"/>
      <c r="BT369" s="1755"/>
      <c r="BU369" s="1755"/>
      <c r="BV369" s="1755"/>
      <c r="BW369" s="1755"/>
      <c r="BX369" s="1755"/>
      <c r="BY369" s="1755"/>
      <c r="BZ369" s="1755"/>
      <c r="CA369" s="1755"/>
      <c r="CB369" s="1755"/>
      <c r="CC369" s="1755"/>
      <c r="CD369" s="1755"/>
      <c r="CE369" s="1755"/>
      <c r="CF369" s="1755"/>
      <c r="CG369" s="1755"/>
      <c r="CH369" s="1755"/>
      <c r="CI369" s="1755"/>
      <c r="CJ369" s="1755"/>
      <c r="CK369" s="1755"/>
      <c r="CL369" s="1755"/>
      <c r="CM369" s="1755"/>
      <c r="CN369" s="1756"/>
      <c r="CO369" s="1783"/>
    </row>
    <row r="370" spans="2:93" x14ac:dyDescent="0.2">
      <c r="B370" s="1707"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70" s="1703" t="s">
        <v>1033</v>
      </c>
      <c r="D370" s="1765" t="s">
        <v>1032</v>
      </c>
      <c r="E370" s="1747" t="s">
        <v>987</v>
      </c>
      <c r="F370" s="1747" t="str">
        <f>VLOOKUP(TBL5_OptBen[[#This Row],[Option Type (defined list)]],'Option Typs_Grps'!B$2:C$47, 2, FALSE)</f>
        <v>Customer Options</v>
      </c>
      <c r="G370" s="1747" t="s">
        <v>863</v>
      </c>
      <c r="H370" s="1707" t="s">
        <v>1459</v>
      </c>
      <c r="I370" s="1747" t="s">
        <v>105</v>
      </c>
      <c r="J370" s="1747" t="s">
        <v>236</v>
      </c>
      <c r="K370" s="1760">
        <v>2</v>
      </c>
      <c r="L370" s="1779"/>
      <c r="M370" s="1779"/>
      <c r="N370" s="1779">
        <v>0</v>
      </c>
      <c r="O370" s="1780">
        <v>0</v>
      </c>
      <c r="P370" s="1780">
        <v>0</v>
      </c>
      <c r="Q370" s="1779">
        <v>0</v>
      </c>
      <c r="R370" s="1779">
        <v>0.1135083901307965</v>
      </c>
      <c r="S370" s="1779">
        <v>0.22548141557989965</v>
      </c>
      <c r="T370" s="1779">
        <v>0.33689012300589383</v>
      </c>
      <c r="U370" s="1779">
        <v>0.44753852565330021</v>
      </c>
      <c r="V370" s="1779">
        <v>0.55721872061669586</v>
      </c>
      <c r="W370" s="1779">
        <v>0.65560177398630515</v>
      </c>
      <c r="X370" s="1779">
        <v>0.75361550646400133</v>
      </c>
      <c r="Y370" s="1779">
        <v>0.85099820090830036</v>
      </c>
      <c r="Z370" s="1779">
        <v>0.94790978333779918</v>
      </c>
      <c r="AA370" s="1779">
        <v>1.0447807834305038</v>
      </c>
      <c r="AB370" s="1779">
        <v>1.1343864178086989</v>
      </c>
      <c r="AC370" s="1779">
        <v>1.2234673654487978</v>
      </c>
      <c r="AD370" s="1779">
        <v>1.3121166614288953</v>
      </c>
      <c r="AE370" s="1779">
        <v>1.4008037933928961</v>
      </c>
      <c r="AF370" s="1779">
        <v>1.4899996587045976</v>
      </c>
      <c r="AG370" s="1779">
        <v>1.5742776101535014</v>
      </c>
      <c r="AH370" s="1779">
        <v>1.6582934966270955</v>
      </c>
      <c r="AI370" s="1779">
        <v>1.7421429507830979</v>
      </c>
      <c r="AJ370" s="1779">
        <v>1.8258937034483012</v>
      </c>
      <c r="AK370" s="1779">
        <v>1.9094344097942013</v>
      </c>
      <c r="AL370" s="1779">
        <v>1.9889853996144993</v>
      </c>
      <c r="AM370" s="1779">
        <v>2.0681211082020994</v>
      </c>
      <c r="AN370" s="1779">
        <v>2.1472451572826969</v>
      </c>
      <c r="AO370" s="1779">
        <v>2.2264543777109935</v>
      </c>
      <c r="AP370" s="1779">
        <v>2.3054880706360024</v>
      </c>
      <c r="AQ370" s="1779"/>
      <c r="AR370" s="1779"/>
      <c r="AS370" s="1779"/>
      <c r="AT370" s="1779"/>
      <c r="AU370" s="1779"/>
      <c r="AV370" s="1779"/>
      <c r="AW370" s="1779"/>
      <c r="AX370" s="1779"/>
      <c r="AY370" s="1779"/>
      <c r="AZ370" s="1779"/>
      <c r="BA370" s="1779"/>
      <c r="BB370" s="1779"/>
      <c r="BC370" s="1779"/>
      <c r="BD370" s="1779"/>
      <c r="BE370" s="1779"/>
      <c r="BF370" s="1779"/>
      <c r="BG370" s="1779"/>
      <c r="BH370" s="1779"/>
      <c r="BI370" s="1779"/>
      <c r="BJ370" s="1779"/>
      <c r="BK370" s="1779"/>
      <c r="BL370" s="1779"/>
      <c r="BM370" s="1779"/>
      <c r="BN370" s="1779"/>
      <c r="BO370" s="1779"/>
      <c r="BP370" s="1780"/>
      <c r="BQ370" s="1755"/>
      <c r="BR370" s="1755"/>
      <c r="BS370" s="1755"/>
      <c r="BT370" s="1755"/>
      <c r="BU370" s="1755"/>
      <c r="BV370" s="1755"/>
      <c r="BW370" s="1755"/>
      <c r="BX370" s="1755"/>
      <c r="BY370" s="1755"/>
      <c r="BZ370" s="1755"/>
      <c r="CA370" s="1755"/>
      <c r="CB370" s="1755"/>
      <c r="CC370" s="1755"/>
      <c r="CD370" s="1755"/>
      <c r="CE370" s="1755"/>
      <c r="CF370" s="1755"/>
      <c r="CG370" s="1755"/>
      <c r="CH370" s="1755"/>
      <c r="CI370" s="1755"/>
      <c r="CJ370" s="1755"/>
      <c r="CK370" s="1755"/>
      <c r="CL370" s="1755"/>
      <c r="CM370" s="1755"/>
      <c r="CN370" s="1756"/>
      <c r="CO370" s="1783"/>
    </row>
    <row r="371" spans="2:93" x14ac:dyDescent="0.2">
      <c r="B371" s="1707"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371" s="1747" t="s">
        <v>1082</v>
      </c>
      <c r="D371" s="1747" t="s">
        <v>1081</v>
      </c>
      <c r="E371" s="1747" t="s">
        <v>860</v>
      </c>
      <c r="F371" s="1747" t="str">
        <f>VLOOKUP(TBL5_OptBen[[#This Row],[Option Type (defined list)]],'Option Typs_Grps'!B$2:C$47, 2, FALSE)</f>
        <v>Distribution Options</v>
      </c>
      <c r="G371" s="1747" t="s">
        <v>863</v>
      </c>
      <c r="H371" s="1707" t="s">
        <v>1459</v>
      </c>
      <c r="I371" s="1747" t="s">
        <v>105</v>
      </c>
      <c r="J371" s="1747" t="s">
        <v>236</v>
      </c>
      <c r="K371" s="1760">
        <v>2</v>
      </c>
      <c r="L371" s="1779"/>
      <c r="M371" s="1779"/>
      <c r="N371" s="1779">
        <v>0</v>
      </c>
      <c r="O371" s="1780">
        <v>0</v>
      </c>
      <c r="P371" s="1780">
        <v>0</v>
      </c>
      <c r="Q371" s="1779">
        <v>0</v>
      </c>
      <c r="R371" s="1779">
        <v>2.0497010939743765E-2</v>
      </c>
      <c r="S371" s="1779">
        <v>2.8131052956422264E-2</v>
      </c>
      <c r="T371" s="1779">
        <v>9.7854674088195814E-3</v>
      </c>
      <c r="U371" s="1779">
        <v>-2.0179402831490112E-2</v>
      </c>
      <c r="V371" s="1779">
        <v>-3.3449196205928011E-2</v>
      </c>
      <c r="W371" s="1779">
        <v>-2.1372962654336192E-2</v>
      </c>
      <c r="X371" s="1779">
        <v>-6.954358139554806E-5</v>
      </c>
      <c r="Y371" s="1779">
        <v>2.1176585235679113E-2</v>
      </c>
      <c r="Z371" s="1779">
        <v>4.2354618941040423E-2</v>
      </c>
      <c r="AA371" s="1779">
        <v>6.3463175295519481E-2</v>
      </c>
      <c r="AB371" s="1779">
        <v>8.4468033114998065E-2</v>
      </c>
      <c r="AC371" s="1779">
        <v>0.10537309422437291</v>
      </c>
      <c r="AD371" s="1779">
        <v>0.12621569853705017</v>
      </c>
      <c r="AE371" s="1779">
        <v>0.14699737189668394</v>
      </c>
      <c r="AF371" s="1779">
        <v>0.16772764836791842</v>
      </c>
      <c r="AG371" s="1779">
        <v>0.18840041528255469</v>
      </c>
      <c r="AH371" s="1779">
        <v>0.20901849631826996</v>
      </c>
      <c r="AI371" s="1779">
        <v>0.22958098505130908</v>
      </c>
      <c r="AJ371" s="1779">
        <v>0.25008862554965239</v>
      </c>
      <c r="AK371" s="1779">
        <v>0.27054286884443735</v>
      </c>
      <c r="AL371" s="1779">
        <v>0.29094479727368583</v>
      </c>
      <c r="AM371" s="1779">
        <v>0.31129537924124362</v>
      </c>
      <c r="AN371" s="1779">
        <v>0.33159588466125323</v>
      </c>
      <c r="AO371" s="1779">
        <v>0.35184825930580232</v>
      </c>
      <c r="AP371" s="1779">
        <v>0.3720534466407468</v>
      </c>
      <c r="AQ371" s="1779"/>
      <c r="AR371" s="1779"/>
      <c r="AS371" s="1779"/>
      <c r="AT371" s="1779"/>
      <c r="AU371" s="1779"/>
      <c r="AV371" s="1779"/>
      <c r="AW371" s="1779"/>
      <c r="AX371" s="1779"/>
      <c r="AY371" s="1779"/>
      <c r="AZ371" s="1779"/>
      <c r="BA371" s="1779"/>
      <c r="BB371" s="1779"/>
      <c r="BC371" s="1779"/>
      <c r="BD371" s="1779"/>
      <c r="BE371" s="1779"/>
      <c r="BF371" s="1779"/>
      <c r="BG371" s="1779"/>
      <c r="BH371" s="1779"/>
      <c r="BI371" s="1779"/>
      <c r="BJ371" s="1779"/>
      <c r="BK371" s="1779"/>
      <c r="BL371" s="1779"/>
      <c r="BM371" s="1779"/>
      <c r="BN371" s="1779"/>
      <c r="BO371" s="1779"/>
      <c r="BP371" s="1780"/>
      <c r="BQ371" s="1755"/>
      <c r="BR371" s="1755"/>
      <c r="BS371" s="1755"/>
      <c r="BT371" s="1755"/>
      <c r="BU371" s="1755"/>
      <c r="BV371" s="1755"/>
      <c r="BW371" s="1755"/>
      <c r="BX371" s="1755"/>
      <c r="BY371" s="1755"/>
      <c r="BZ371" s="1755"/>
      <c r="CA371" s="1755"/>
      <c r="CB371" s="1755"/>
      <c r="CC371" s="1755"/>
      <c r="CD371" s="1755"/>
      <c r="CE371" s="1755"/>
      <c r="CF371" s="1755"/>
      <c r="CG371" s="1755"/>
      <c r="CH371" s="1755"/>
      <c r="CI371" s="1755"/>
      <c r="CJ371" s="1755"/>
      <c r="CK371" s="1755"/>
      <c r="CL371" s="1755"/>
      <c r="CM371" s="1755"/>
      <c r="CN371" s="1756"/>
      <c r="CO371" s="1783"/>
    </row>
    <row r="372" spans="2:93" x14ac:dyDescent="0.2">
      <c r="B372" s="1707"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72" s="1747" t="s">
        <v>1119</v>
      </c>
      <c r="D372" s="1747" t="s">
        <v>1118</v>
      </c>
      <c r="E372" s="1747" t="s">
        <v>1099</v>
      </c>
      <c r="F372" s="1747" t="str">
        <f>VLOOKUP(TBL5_OptBen[[#This Row],[Option Type (defined list)]],'Option Typs_Grps'!B$2:C$47, 2, FALSE)</f>
        <v>Customer Options</v>
      </c>
      <c r="G372" s="1747" t="s">
        <v>863</v>
      </c>
      <c r="H372" s="1707" t="s">
        <v>1459</v>
      </c>
      <c r="I372" s="1747" t="s">
        <v>105</v>
      </c>
      <c r="J372" s="1747" t="s">
        <v>236</v>
      </c>
      <c r="K372" s="1760">
        <v>2</v>
      </c>
      <c r="L372" s="1779"/>
      <c r="M372" s="1779"/>
      <c r="N372" s="1779">
        <v>0</v>
      </c>
      <c r="O372" s="1780">
        <v>0</v>
      </c>
      <c r="P372" s="1780">
        <v>0</v>
      </c>
      <c r="Q372" s="1779">
        <v>0</v>
      </c>
      <c r="R372" s="1779">
        <v>7.67658906025619E-3</v>
      </c>
      <c r="S372" s="1779">
        <v>2.8216147043577881E-2</v>
      </c>
      <c r="T372" s="1779">
        <v>7.4735332591180786E-2</v>
      </c>
      <c r="U372" s="1779">
        <v>0.13287380283149092</v>
      </c>
      <c r="V372" s="1779">
        <v>0.17431719620592837</v>
      </c>
      <c r="W372" s="1779">
        <v>0.19041456265433712</v>
      </c>
      <c r="X372" s="1779">
        <v>0.19728474358139669</v>
      </c>
      <c r="Y372" s="1779">
        <v>0.20421221476432208</v>
      </c>
      <c r="Z372" s="1779">
        <v>0.21120778105896068</v>
      </c>
      <c r="AA372" s="1779">
        <v>0.21827282470448189</v>
      </c>
      <c r="AB372" s="1779">
        <v>0.22544156688500333</v>
      </c>
      <c r="AC372" s="1779">
        <v>0.23271010577562865</v>
      </c>
      <c r="AD372" s="1779">
        <v>0.24004110146295188</v>
      </c>
      <c r="AE372" s="1779">
        <v>0.24743302810331808</v>
      </c>
      <c r="AF372" s="1779">
        <v>0.25487635163208355</v>
      </c>
      <c r="AG372" s="1779">
        <v>0.26237718471744731</v>
      </c>
      <c r="AH372" s="1779">
        <v>0.26993270368173239</v>
      </c>
      <c r="AI372" s="1779">
        <v>0.27754381494869351</v>
      </c>
      <c r="AJ372" s="1779">
        <v>0.28520977445035034</v>
      </c>
      <c r="AK372" s="1779">
        <v>0.29292913115556524</v>
      </c>
      <c r="AL372" s="1779">
        <v>0.30070080272631694</v>
      </c>
      <c r="AM372" s="1779">
        <v>0.30852382075875928</v>
      </c>
      <c r="AN372" s="1779">
        <v>0.31639691533875025</v>
      </c>
      <c r="AO372" s="1779">
        <v>0.32431814069420095</v>
      </c>
      <c r="AP372" s="1779">
        <v>0.33228655335925339</v>
      </c>
      <c r="AQ372" s="1779"/>
      <c r="AR372" s="1779"/>
      <c r="AS372" s="1779"/>
      <c r="AT372" s="1779"/>
      <c r="AU372" s="1779"/>
      <c r="AV372" s="1779"/>
      <c r="AW372" s="1779"/>
      <c r="AX372" s="1779"/>
      <c r="AY372" s="1779"/>
      <c r="AZ372" s="1779"/>
      <c r="BA372" s="1779"/>
      <c r="BB372" s="1779"/>
      <c r="BC372" s="1779"/>
      <c r="BD372" s="1779"/>
      <c r="BE372" s="1779"/>
      <c r="BF372" s="1779"/>
      <c r="BG372" s="1779"/>
      <c r="BH372" s="1779"/>
      <c r="BI372" s="1779"/>
      <c r="BJ372" s="1779"/>
      <c r="BK372" s="1779"/>
      <c r="BL372" s="1779"/>
      <c r="BM372" s="1779"/>
      <c r="BN372" s="1779"/>
      <c r="BO372" s="1779"/>
      <c r="BP372" s="1780"/>
      <c r="BQ372" s="1755"/>
      <c r="BR372" s="1755"/>
      <c r="BS372" s="1755"/>
      <c r="BT372" s="1755"/>
      <c r="BU372" s="1755"/>
      <c r="BV372" s="1755"/>
      <c r="BW372" s="1755"/>
      <c r="BX372" s="1755"/>
      <c r="BY372" s="1755"/>
      <c r="BZ372" s="1755"/>
      <c r="CA372" s="1755"/>
      <c r="CB372" s="1755"/>
      <c r="CC372" s="1755"/>
      <c r="CD372" s="1755"/>
      <c r="CE372" s="1755"/>
      <c r="CF372" s="1755"/>
      <c r="CG372" s="1755"/>
      <c r="CH372" s="1755"/>
      <c r="CI372" s="1755"/>
      <c r="CJ372" s="1755"/>
      <c r="CK372" s="1755"/>
      <c r="CL372" s="1755"/>
      <c r="CM372" s="1755"/>
      <c r="CN372" s="1756"/>
      <c r="CO372" s="1783"/>
    </row>
    <row r="373" spans="2:93" x14ac:dyDescent="0.2">
      <c r="B373" s="1707"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73" s="1707" t="s">
        <v>1084</v>
      </c>
      <c r="D373" s="1765" t="s">
        <v>1083</v>
      </c>
      <c r="E373" s="1747" t="s">
        <v>987</v>
      </c>
      <c r="F373" s="1747" t="str">
        <f>VLOOKUP(TBL5_OptBen[[#This Row],[Option Type (defined list)]],'Option Typs_Grps'!B$2:C$47, 2, FALSE)</f>
        <v>Customer Options</v>
      </c>
      <c r="G373" s="1747" t="s">
        <v>863</v>
      </c>
      <c r="H373" s="1707" t="s">
        <v>1459</v>
      </c>
      <c r="I373" s="1747" t="s">
        <v>105</v>
      </c>
      <c r="J373" s="1747" t="s">
        <v>236</v>
      </c>
      <c r="K373" s="1760">
        <v>2</v>
      </c>
      <c r="L373" s="1779"/>
      <c r="M373" s="1779"/>
      <c r="N373" s="1779">
        <v>0</v>
      </c>
      <c r="O373" s="1780">
        <v>0</v>
      </c>
      <c r="P373" s="1780">
        <v>0</v>
      </c>
      <c r="Q373" s="1779">
        <v>0</v>
      </c>
      <c r="R373" s="1779">
        <v>5.1146926793990133E-3</v>
      </c>
      <c r="S373" s="1779">
        <v>1.0229385358904608E-2</v>
      </c>
      <c r="T373" s="1779">
        <v>1.5344078038296516E-2</v>
      </c>
      <c r="U373" s="1779">
        <v>2.0458770717702635E-2</v>
      </c>
      <c r="V373" s="1779">
        <v>2.5573463397201124E-2</v>
      </c>
      <c r="W373" s="1779">
        <v>5.2077574476101063E-2</v>
      </c>
      <c r="X373" s="1779">
        <v>7.8581685554901526E-2</v>
      </c>
      <c r="Y373" s="1779">
        <v>0.10508579663370199</v>
      </c>
      <c r="Z373" s="1779">
        <v>0.13158990771250245</v>
      </c>
      <c r="AA373" s="1779">
        <v>0.15809401879130291</v>
      </c>
      <c r="AB373" s="1779">
        <v>0.19116013902969797</v>
      </c>
      <c r="AC373" s="1779">
        <v>0.22422625926810014</v>
      </c>
      <c r="AD373" s="1779">
        <v>0.25729237950639572</v>
      </c>
      <c r="AE373" s="1779">
        <v>0.25729237950639572</v>
      </c>
      <c r="AF373" s="1779">
        <v>0.25729237950639572</v>
      </c>
      <c r="AG373" s="1779">
        <v>0.25729237950640282</v>
      </c>
      <c r="AH373" s="1779">
        <v>0.25729237950639572</v>
      </c>
      <c r="AI373" s="1779">
        <v>0.25729237950640282</v>
      </c>
      <c r="AJ373" s="1779">
        <v>0.25729237950639572</v>
      </c>
      <c r="AK373" s="1779">
        <v>0.25729237950640282</v>
      </c>
      <c r="AL373" s="1779">
        <v>0.25729237950639572</v>
      </c>
      <c r="AM373" s="1779">
        <v>0.25729237950639572</v>
      </c>
      <c r="AN373" s="1779">
        <v>0.25729237950639572</v>
      </c>
      <c r="AO373" s="1779">
        <v>0.25729237950629624</v>
      </c>
      <c r="AP373" s="1779">
        <v>0.25729237950640282</v>
      </c>
      <c r="AQ373" s="1779"/>
      <c r="AR373" s="1779"/>
      <c r="AS373" s="1779"/>
      <c r="AT373" s="1779"/>
      <c r="AU373" s="1779"/>
      <c r="AV373" s="1779"/>
      <c r="AW373" s="1779"/>
      <c r="AX373" s="1779"/>
      <c r="AY373" s="1779"/>
      <c r="AZ373" s="1779"/>
      <c r="BA373" s="1779"/>
      <c r="BB373" s="1779"/>
      <c r="BC373" s="1779"/>
      <c r="BD373" s="1779"/>
      <c r="BE373" s="1779"/>
      <c r="BF373" s="1779"/>
      <c r="BG373" s="1779"/>
      <c r="BH373" s="1779"/>
      <c r="BI373" s="1779"/>
      <c r="BJ373" s="1779"/>
      <c r="BK373" s="1779"/>
      <c r="BL373" s="1779"/>
      <c r="BM373" s="1779"/>
      <c r="BN373" s="1779"/>
      <c r="BO373" s="1779"/>
      <c r="BP373" s="1780"/>
      <c r="BQ373" s="1755"/>
      <c r="BR373" s="1755"/>
      <c r="BS373" s="1755"/>
      <c r="BT373" s="1755"/>
      <c r="BU373" s="1755"/>
      <c r="BV373" s="1755"/>
      <c r="BW373" s="1755"/>
      <c r="BX373" s="1755"/>
      <c r="BY373" s="1755"/>
      <c r="BZ373" s="1755"/>
      <c r="CA373" s="1755"/>
      <c r="CB373" s="1755"/>
      <c r="CC373" s="1755"/>
      <c r="CD373" s="1755"/>
      <c r="CE373" s="1755"/>
      <c r="CF373" s="1755"/>
      <c r="CG373" s="1755"/>
      <c r="CH373" s="1755"/>
      <c r="CI373" s="1755"/>
      <c r="CJ373" s="1755"/>
      <c r="CK373" s="1755"/>
      <c r="CL373" s="1755"/>
      <c r="CM373" s="1755"/>
      <c r="CN373" s="1756"/>
      <c r="CO373" s="1783"/>
    </row>
    <row r="374" spans="2:93" x14ac:dyDescent="0.2">
      <c r="B374" s="1707"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74" s="1747" t="s">
        <v>1079</v>
      </c>
      <c r="D374" s="1747" t="s">
        <v>1078</v>
      </c>
      <c r="E374" s="1747" t="s">
        <v>987</v>
      </c>
      <c r="F374" s="1747" t="str">
        <f>VLOOKUP(TBL5_OptBen[[#This Row],[Option Type (defined list)]],'Option Typs_Grps'!B$2:C$47, 2, FALSE)</f>
        <v>Customer Options</v>
      </c>
      <c r="G374" s="1747" t="s">
        <v>863</v>
      </c>
      <c r="H374" s="1707" t="s">
        <v>1459</v>
      </c>
      <c r="I374" s="1747" t="s">
        <v>105</v>
      </c>
      <c r="J374" s="1747" t="s">
        <v>236</v>
      </c>
      <c r="K374" s="1760">
        <v>2</v>
      </c>
      <c r="L374" s="1779"/>
      <c r="M374" s="1779"/>
      <c r="N374" s="1779">
        <v>0</v>
      </c>
      <c r="O374" s="1780">
        <v>0</v>
      </c>
      <c r="P374" s="1780">
        <v>0</v>
      </c>
      <c r="Q374" s="1779">
        <v>0</v>
      </c>
      <c r="R374" s="1779">
        <v>0</v>
      </c>
      <c r="S374" s="1779">
        <v>0</v>
      </c>
      <c r="T374" s="1779">
        <v>7.3833501573595584E-2</v>
      </c>
      <c r="U374" s="1779">
        <v>0.1471215959892973</v>
      </c>
      <c r="V374" s="1779">
        <v>0.22002474649539749</v>
      </c>
      <c r="W374" s="1779">
        <v>0.2922773801037053</v>
      </c>
      <c r="X374" s="1779">
        <v>0.36418098416940126</v>
      </c>
      <c r="Y374" s="1779">
        <v>0.43562881924000152</v>
      </c>
      <c r="Z374" s="1779">
        <v>0.58633855384859856</v>
      </c>
      <c r="AA374" s="1779">
        <v>0.73653307793040312</v>
      </c>
      <c r="AB374" s="1779">
        <v>0.88591093485229777</v>
      </c>
      <c r="AC374" s="1779">
        <v>1.0346859498579946</v>
      </c>
      <c r="AD374" s="1779">
        <v>1.1825063035998937</v>
      </c>
      <c r="AE374" s="1779">
        <v>1.3300340927073009</v>
      </c>
      <c r="AF374" s="1779">
        <v>1.4777973911117002</v>
      </c>
      <c r="AG374" s="1779">
        <v>1.6253095885688964</v>
      </c>
      <c r="AH374" s="1779">
        <v>1.7723727303438963</v>
      </c>
      <c r="AI374" s="1779">
        <v>1.9193008627122978</v>
      </c>
      <c r="AJ374" s="1779">
        <v>1.9668881373080964</v>
      </c>
      <c r="AK374" s="1779">
        <v>2.0145719774967006</v>
      </c>
      <c r="AL374" s="1779">
        <v>2.0618569926542989</v>
      </c>
      <c r="AM374" s="1779">
        <v>2.1088184870127975</v>
      </c>
      <c r="AN374" s="1779">
        <v>2.1558672756962949</v>
      </c>
      <c r="AO374" s="1779">
        <v>2.2030882147346986</v>
      </c>
      <c r="AP374" s="1779">
        <v>2.2502157920711028</v>
      </c>
      <c r="AQ374" s="1779"/>
      <c r="AR374" s="1779"/>
      <c r="AS374" s="1779"/>
      <c r="AT374" s="1779"/>
      <c r="AU374" s="1779"/>
      <c r="AV374" s="1779"/>
      <c r="AW374" s="1779"/>
      <c r="AX374" s="1779"/>
      <c r="AY374" s="1779"/>
      <c r="AZ374" s="1779"/>
      <c r="BA374" s="1779"/>
      <c r="BB374" s="1779"/>
      <c r="BC374" s="1779"/>
      <c r="BD374" s="1779"/>
      <c r="BE374" s="1779"/>
      <c r="BF374" s="1779"/>
      <c r="BG374" s="1779"/>
      <c r="BH374" s="1779"/>
      <c r="BI374" s="1779"/>
      <c r="BJ374" s="1779"/>
      <c r="BK374" s="1779"/>
      <c r="BL374" s="1779"/>
      <c r="BM374" s="1779"/>
      <c r="BN374" s="1779"/>
      <c r="BO374" s="1779"/>
      <c r="BP374" s="1780"/>
      <c r="BQ374" s="1755"/>
      <c r="BR374" s="1755"/>
      <c r="BS374" s="1755"/>
      <c r="BT374" s="1755"/>
      <c r="BU374" s="1755"/>
      <c r="BV374" s="1755"/>
      <c r="BW374" s="1755"/>
      <c r="BX374" s="1755"/>
      <c r="BY374" s="1755"/>
      <c r="BZ374" s="1755"/>
      <c r="CA374" s="1755"/>
      <c r="CB374" s="1755"/>
      <c r="CC374" s="1755"/>
      <c r="CD374" s="1755"/>
      <c r="CE374" s="1755"/>
      <c r="CF374" s="1755"/>
      <c r="CG374" s="1755"/>
      <c r="CH374" s="1755"/>
      <c r="CI374" s="1755"/>
      <c r="CJ374" s="1755"/>
      <c r="CK374" s="1755"/>
      <c r="CL374" s="1755"/>
      <c r="CM374" s="1755"/>
      <c r="CN374" s="1756"/>
      <c r="CO374" s="1783"/>
    </row>
    <row r="375" spans="2:93" ht="28.5" x14ac:dyDescent="0.2">
      <c r="B375" s="1707"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75" s="1703" t="s">
        <v>972</v>
      </c>
      <c r="D375" s="1703" t="s">
        <v>1088</v>
      </c>
      <c r="E375" s="1707" t="s">
        <v>973</v>
      </c>
      <c r="F375" s="1747" t="str">
        <f>VLOOKUP(TBL5_OptBen[[#This Row],[Option Type (defined list)]],'Option Typs_Grps'!B$2:C$47, 2, FALSE)</f>
        <v>Customer Options</v>
      </c>
      <c r="G375" s="1747" t="s">
        <v>863</v>
      </c>
      <c r="H375" s="1707" t="s">
        <v>1459</v>
      </c>
      <c r="I375" s="1747" t="s">
        <v>102</v>
      </c>
      <c r="J375" s="1747" t="s">
        <v>236</v>
      </c>
      <c r="K375" s="1760">
        <v>2</v>
      </c>
      <c r="L375" s="1779"/>
      <c r="M375" s="1779"/>
      <c r="N375" s="1779">
        <v>0</v>
      </c>
      <c r="O375" s="1780">
        <v>4.2756956085342601</v>
      </c>
      <c r="P375" s="1780">
        <v>4.09987831560119</v>
      </c>
      <c r="Q375" s="1779">
        <v>4.0759494718184097</v>
      </c>
      <c r="R375" s="1779">
        <v>3.8978231189529904</v>
      </c>
      <c r="S375" s="1779">
        <v>3.8621878662638505</v>
      </c>
      <c r="T375" s="1779">
        <v>3.8730037458603306</v>
      </c>
      <c r="U375" s="1779">
        <v>3.8838711888694597</v>
      </c>
      <c r="V375" s="1779">
        <v>3.8941135151785602</v>
      </c>
      <c r="W375" s="1779">
        <v>3.9043053874683409</v>
      </c>
      <c r="X375" s="1779">
        <v>3.9143938815194712</v>
      </c>
      <c r="Y375" s="1779">
        <v>0</v>
      </c>
      <c r="Z375" s="1779">
        <v>0</v>
      </c>
      <c r="AA375" s="1779">
        <v>0</v>
      </c>
      <c r="AB375" s="1779">
        <v>0</v>
      </c>
      <c r="AC375" s="1779">
        <v>0</v>
      </c>
      <c r="AD375" s="1779">
        <v>0</v>
      </c>
      <c r="AE375" s="1779">
        <v>0</v>
      </c>
      <c r="AF375" s="1779">
        <v>0</v>
      </c>
      <c r="AG375" s="1779">
        <v>0</v>
      </c>
      <c r="AH375" s="1779">
        <v>0</v>
      </c>
      <c r="AI375" s="1779">
        <v>0</v>
      </c>
      <c r="AJ375" s="1779">
        <v>0</v>
      </c>
      <c r="AK375" s="1779">
        <v>0</v>
      </c>
      <c r="AL375" s="1779">
        <v>0</v>
      </c>
      <c r="AM375" s="1779">
        <v>0</v>
      </c>
      <c r="AN375" s="1779">
        <v>0</v>
      </c>
      <c r="AO375" s="1779">
        <v>0</v>
      </c>
      <c r="AP375" s="1779">
        <v>0</v>
      </c>
      <c r="AQ375" s="1779"/>
      <c r="AR375" s="1779"/>
      <c r="AS375" s="1779"/>
      <c r="AT375" s="1779"/>
      <c r="AU375" s="1779"/>
      <c r="AV375" s="1779"/>
      <c r="AW375" s="1779"/>
      <c r="AX375" s="1779"/>
      <c r="AY375" s="1779"/>
      <c r="AZ375" s="1779"/>
      <c r="BA375" s="1779"/>
      <c r="BB375" s="1779"/>
      <c r="BC375" s="1779"/>
      <c r="BD375" s="1779"/>
      <c r="BE375" s="1779"/>
      <c r="BF375" s="1779"/>
      <c r="BG375" s="1779"/>
      <c r="BH375" s="1779"/>
      <c r="BI375" s="1779"/>
      <c r="BJ375" s="1779"/>
      <c r="BK375" s="1779"/>
      <c r="BL375" s="1779"/>
      <c r="BM375" s="1779"/>
      <c r="BN375" s="1779"/>
      <c r="BO375" s="1779"/>
      <c r="BP375" s="1780"/>
      <c r="BQ375" s="1755"/>
      <c r="BR375" s="1755"/>
      <c r="BS375" s="1755"/>
      <c r="BT375" s="1755"/>
      <c r="BU375" s="1755"/>
      <c r="BV375" s="1755"/>
      <c r="BW375" s="1755"/>
      <c r="BX375" s="1755"/>
      <c r="BY375" s="1755"/>
      <c r="BZ375" s="1755"/>
      <c r="CA375" s="1755"/>
      <c r="CB375" s="1755"/>
      <c r="CC375" s="1755"/>
      <c r="CD375" s="1755"/>
      <c r="CE375" s="1755"/>
      <c r="CF375" s="1755"/>
      <c r="CG375" s="1755"/>
      <c r="CH375" s="1755"/>
      <c r="CI375" s="1755"/>
      <c r="CJ375" s="1755"/>
      <c r="CK375" s="1755"/>
      <c r="CL375" s="1755"/>
      <c r="CM375" s="1755"/>
      <c r="CN375" s="1756"/>
      <c r="CO375" s="1783"/>
    </row>
    <row r="376" spans="2:93" ht="15" x14ac:dyDescent="0.25">
      <c r="B376" s="1707"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76" s="1703" t="s">
        <v>1067</v>
      </c>
      <c r="D376" s="1765" t="s">
        <v>1066</v>
      </c>
      <c r="E376" s="1723" t="s">
        <v>1068</v>
      </c>
      <c r="F376" s="1747" t="str">
        <f>VLOOKUP(TBL5_OptBen[[#This Row],[Option Type (defined list)]],'Option Typs_Grps'!B$2:C$47, 2, FALSE)</f>
        <v>Customer Options</v>
      </c>
      <c r="G376" s="1747" t="s">
        <v>863</v>
      </c>
      <c r="H376" s="1747" t="s">
        <v>1458</v>
      </c>
      <c r="I376" s="1747" t="s">
        <v>88</v>
      </c>
      <c r="J376" s="1747" t="s">
        <v>236</v>
      </c>
      <c r="K376" s="1760">
        <v>2</v>
      </c>
      <c r="L376" s="1779"/>
      <c r="M376" s="1779"/>
      <c r="N376" s="1779">
        <v>0</v>
      </c>
      <c r="O376" s="1780">
        <v>0</v>
      </c>
      <c r="P376" s="1780">
        <v>0</v>
      </c>
      <c r="Q376" s="1779">
        <v>0</v>
      </c>
      <c r="R376" s="1779">
        <v>0.25548594418635373</v>
      </c>
      <c r="S376" s="1779">
        <v>-3.092069346680848E-2</v>
      </c>
      <c r="T376" s="1779">
        <v>8.884789488267586E-2</v>
      </c>
      <c r="U376" s="1779">
        <v>0.76192657355699822</v>
      </c>
      <c r="V376" s="1779">
        <v>1.3909079865855531</v>
      </c>
      <c r="W376" s="1779">
        <v>1.9029789757946176</v>
      </c>
      <c r="X376" s="1779">
        <v>2.3650971410544912</v>
      </c>
      <c r="Y376" s="1779">
        <v>2.7945724268152823</v>
      </c>
      <c r="Z376" s="1779">
        <v>3.1804383747871654</v>
      </c>
      <c r="AA376" s="1779">
        <v>3.5142260703109685</v>
      </c>
      <c r="AB376" s="1779">
        <v>3.3434916559364609</v>
      </c>
      <c r="AC376" s="1779">
        <v>3.0945582750446405</v>
      </c>
      <c r="AD376" s="1779">
        <v>2.9865524585861607</v>
      </c>
      <c r="AE376" s="1779">
        <v>2.8827633376370372</v>
      </c>
      <c r="AF376" s="1779">
        <v>2.782344085523988</v>
      </c>
      <c r="AG376" s="1779">
        <v>3.3149737036035347</v>
      </c>
      <c r="AH376" s="1779">
        <v>3.2089435296160147</v>
      </c>
      <c r="AI376" s="1779">
        <v>3.1079558430222036</v>
      </c>
      <c r="AJ376" s="1779">
        <v>3.0208934997324519</v>
      </c>
      <c r="AK376" s="1779">
        <v>2.9369146499209364</v>
      </c>
      <c r="AL376" s="1779">
        <v>2.3887513428359881</v>
      </c>
      <c r="AM376" s="1779">
        <v>3.2271296088724739</v>
      </c>
      <c r="AN376" s="1779">
        <v>3.1649748097323567</v>
      </c>
      <c r="AO376" s="1779">
        <v>3.5425899547780375</v>
      </c>
      <c r="AP376" s="1779">
        <v>3.480406096233537</v>
      </c>
      <c r="AQ376" s="1779"/>
      <c r="AR376" s="1779"/>
      <c r="AS376" s="1779"/>
      <c r="AT376" s="1779"/>
      <c r="AU376" s="1779"/>
      <c r="AV376" s="1779"/>
      <c r="AW376" s="1779"/>
      <c r="AX376" s="1779"/>
      <c r="AY376" s="1779"/>
      <c r="AZ376" s="1779"/>
      <c r="BA376" s="1779"/>
      <c r="BB376" s="1779"/>
      <c r="BC376" s="1779"/>
      <c r="BD376" s="1779"/>
      <c r="BE376" s="1779"/>
      <c r="BF376" s="1779"/>
      <c r="BG376" s="1779"/>
      <c r="BH376" s="1779"/>
      <c r="BI376" s="1779"/>
      <c r="BJ376" s="1779"/>
      <c r="BK376" s="1779"/>
      <c r="BL376" s="1779"/>
      <c r="BM376" s="1779"/>
      <c r="BN376" s="1779"/>
      <c r="BO376" s="1779"/>
      <c r="BP376" s="1780"/>
      <c r="BQ376" s="1755"/>
      <c r="BR376" s="1755"/>
      <c r="BS376" s="1755"/>
      <c r="BT376" s="1755"/>
      <c r="BU376" s="1755"/>
      <c r="BV376" s="1755"/>
      <c r="BW376" s="1755"/>
      <c r="BX376" s="1755"/>
      <c r="BY376" s="1755"/>
      <c r="BZ376" s="1755"/>
      <c r="CA376" s="1755"/>
      <c r="CB376" s="1755"/>
      <c r="CC376" s="1755"/>
      <c r="CD376" s="1755"/>
      <c r="CE376" s="1755"/>
      <c r="CF376" s="1755"/>
      <c r="CG376" s="1755"/>
      <c r="CH376" s="1755"/>
      <c r="CI376" s="1755"/>
      <c r="CJ376" s="1755"/>
      <c r="CK376" s="1755"/>
      <c r="CL376" s="1755"/>
      <c r="CM376" s="1755"/>
      <c r="CN376" s="1756"/>
      <c r="CO376" s="1783"/>
    </row>
    <row r="377" spans="2:93" ht="15" x14ac:dyDescent="0.25">
      <c r="B377" s="1707"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77" s="1703" t="s">
        <v>1075</v>
      </c>
      <c r="D377" s="1765" t="s">
        <v>1074</v>
      </c>
      <c r="E377" s="1723" t="s">
        <v>987</v>
      </c>
      <c r="F377" s="1747" t="str">
        <f>VLOOKUP(TBL5_OptBen[[#This Row],[Option Type (defined list)]],'Option Typs_Grps'!B$2:C$47, 2, FALSE)</f>
        <v>Customer Options</v>
      </c>
      <c r="G377" s="1747" t="s">
        <v>863</v>
      </c>
      <c r="H377" s="1747" t="s">
        <v>1458</v>
      </c>
      <c r="I377" s="1747" t="s">
        <v>88</v>
      </c>
      <c r="J377" s="1747" t="s">
        <v>236</v>
      </c>
      <c r="K377" s="1760">
        <v>2</v>
      </c>
      <c r="L377" s="1779"/>
      <c r="M377" s="1779"/>
      <c r="N377" s="1779">
        <v>0</v>
      </c>
      <c r="O377" s="1780">
        <v>0</v>
      </c>
      <c r="P377" s="1780">
        <v>0</v>
      </c>
      <c r="Q377" s="1779">
        <v>0</v>
      </c>
      <c r="R377" s="1779">
        <v>1.7845553514899848</v>
      </c>
      <c r="S377" s="1779">
        <v>3.5427161896240023</v>
      </c>
      <c r="T377" s="1779">
        <v>5.301341843348041</v>
      </c>
      <c r="U377" s="1779">
        <v>7.0548901413500289</v>
      </c>
      <c r="V377" s="1779">
        <v>8.8017889097570219</v>
      </c>
      <c r="W377" s="1779">
        <v>10.429981474727015</v>
      </c>
      <c r="X377" s="1779">
        <v>12.068957709225003</v>
      </c>
      <c r="Y377" s="1779">
        <v>13.674687179018008</v>
      </c>
      <c r="Z377" s="1779">
        <v>15.294847217407039</v>
      </c>
      <c r="AA377" s="1779">
        <v>16.879356808488012</v>
      </c>
      <c r="AB377" s="1779">
        <v>18.44385474211299</v>
      </c>
      <c r="AC377" s="1779">
        <v>20.00352694480398</v>
      </c>
      <c r="AD377" s="1779">
        <v>21.562955433935031</v>
      </c>
      <c r="AE377" s="1779">
        <v>23.122440401790982</v>
      </c>
      <c r="AF377" s="1779">
        <v>24.682466350742004</v>
      </c>
      <c r="AG377" s="1779">
        <v>25.957712072483048</v>
      </c>
      <c r="AH377" s="1779">
        <v>27.439454714885017</v>
      </c>
      <c r="AI377" s="1779">
        <v>28.918699829364982</v>
      </c>
      <c r="AJ377" s="1779">
        <v>30.404427840733035</v>
      </c>
      <c r="AK377" s="1779">
        <v>31.895840944686995</v>
      </c>
      <c r="AL377" s="1779">
        <v>31.788858451086014</v>
      </c>
      <c r="AM377" s="1779">
        <v>31.332790846662988</v>
      </c>
      <c r="AN377" s="1779">
        <v>31.309348296239989</v>
      </c>
      <c r="AO377" s="1779">
        <v>31.076947050443039</v>
      </c>
      <c r="AP377" s="1779">
        <v>31.057228542454993</v>
      </c>
      <c r="AQ377" s="1779"/>
      <c r="AR377" s="1779"/>
      <c r="AS377" s="1779"/>
      <c r="AT377" s="1779"/>
      <c r="AU377" s="1779"/>
      <c r="AV377" s="1779"/>
      <c r="AW377" s="1779"/>
      <c r="AX377" s="1779"/>
      <c r="AY377" s="1779"/>
      <c r="AZ377" s="1779"/>
      <c r="BA377" s="1779"/>
      <c r="BB377" s="1779"/>
      <c r="BC377" s="1779"/>
      <c r="BD377" s="1779"/>
      <c r="BE377" s="1779"/>
      <c r="BF377" s="1779"/>
      <c r="BG377" s="1779"/>
      <c r="BH377" s="1779"/>
      <c r="BI377" s="1779"/>
      <c r="BJ377" s="1779"/>
      <c r="BK377" s="1779"/>
      <c r="BL377" s="1779"/>
      <c r="BM377" s="1779"/>
      <c r="BN377" s="1779"/>
      <c r="BO377" s="1779"/>
      <c r="BP377" s="1780"/>
      <c r="BQ377" s="1755"/>
      <c r="BR377" s="1755"/>
      <c r="BS377" s="1755"/>
      <c r="BT377" s="1755"/>
      <c r="BU377" s="1755"/>
      <c r="BV377" s="1755"/>
      <c r="BW377" s="1755"/>
      <c r="BX377" s="1755"/>
      <c r="BY377" s="1755"/>
      <c r="BZ377" s="1755"/>
      <c r="CA377" s="1755"/>
      <c r="CB377" s="1755"/>
      <c r="CC377" s="1755"/>
      <c r="CD377" s="1755"/>
      <c r="CE377" s="1755"/>
      <c r="CF377" s="1755"/>
      <c r="CG377" s="1755"/>
      <c r="CH377" s="1755"/>
      <c r="CI377" s="1755"/>
      <c r="CJ377" s="1755"/>
      <c r="CK377" s="1755"/>
      <c r="CL377" s="1755"/>
      <c r="CM377" s="1755"/>
      <c r="CN377" s="1756"/>
      <c r="CO377" s="1783"/>
    </row>
    <row r="378" spans="2:93" x14ac:dyDescent="0.2">
      <c r="B378" s="1707"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78" s="1707" t="s">
        <v>1123</v>
      </c>
      <c r="D378" s="1765" t="s">
        <v>1122</v>
      </c>
      <c r="E378" s="1714" t="s">
        <v>987</v>
      </c>
      <c r="F378" s="1747" t="str">
        <f>VLOOKUP(TBL5_OptBen[[#This Row],[Option Type (defined list)]],'Option Typs_Grps'!B$2:C$47, 2, FALSE)</f>
        <v>Customer Options</v>
      </c>
      <c r="G378" s="1747" t="s">
        <v>863</v>
      </c>
      <c r="H378" s="1747" t="s">
        <v>1458</v>
      </c>
      <c r="I378" s="1747" t="s">
        <v>88</v>
      </c>
      <c r="J378" s="1747" t="s">
        <v>236</v>
      </c>
      <c r="K378" s="1760">
        <v>2</v>
      </c>
      <c r="L378" s="1779"/>
      <c r="M378" s="1779"/>
      <c r="N378" s="1779">
        <v>0</v>
      </c>
      <c r="O378" s="1780">
        <v>0</v>
      </c>
      <c r="P378" s="1780">
        <v>0</v>
      </c>
      <c r="Q378" s="1779">
        <v>0</v>
      </c>
      <c r="R378" s="1779">
        <v>0.3924923376629863</v>
      </c>
      <c r="S378" s="1779">
        <v>0.89869818923500588</v>
      </c>
      <c r="T378" s="1779">
        <v>1.4329337923949765</v>
      </c>
      <c r="U378" s="1779">
        <v>2.0498898722319723</v>
      </c>
      <c r="V378" s="1779">
        <v>2.6688176557329939</v>
      </c>
      <c r="W378" s="1779">
        <v>3.3308395793119985</v>
      </c>
      <c r="X378" s="1779">
        <v>3.9953987912889488</v>
      </c>
      <c r="Y378" s="1779">
        <v>4.6481904925039998</v>
      </c>
      <c r="Z378" s="1779">
        <v>5.3052100090949921</v>
      </c>
      <c r="AA378" s="1779">
        <v>5.9492754186389902</v>
      </c>
      <c r="AB378" s="1779">
        <v>5.9340687684090199</v>
      </c>
      <c r="AC378" s="1779">
        <v>5.9198723915180267</v>
      </c>
      <c r="AD378" s="1779">
        <v>5.9077166858349983</v>
      </c>
      <c r="AE378" s="1779">
        <v>5.897255206924001</v>
      </c>
      <c r="AF378" s="1779">
        <v>5.8882750428390409</v>
      </c>
      <c r="AG378" s="1779">
        <v>5.827184490149989</v>
      </c>
      <c r="AH378" s="1779">
        <v>5.8166739062820056</v>
      </c>
      <c r="AI378" s="1779">
        <v>5.8067710572390183</v>
      </c>
      <c r="AJ378" s="1779">
        <v>5.799097413977961</v>
      </c>
      <c r="AK378" s="1779">
        <v>5.7931888720469829</v>
      </c>
      <c r="AL378" s="1779">
        <v>5.77375781856</v>
      </c>
      <c r="AM378" s="1779">
        <v>5.690923013375027</v>
      </c>
      <c r="AN378" s="1779">
        <v>5.6866651816879994</v>
      </c>
      <c r="AO378" s="1779">
        <v>5.6444545275359701</v>
      </c>
      <c r="AP378" s="1779">
        <v>5.6408730875230049</v>
      </c>
      <c r="AQ378" s="1779"/>
      <c r="AR378" s="1779"/>
      <c r="AS378" s="1779"/>
      <c r="AT378" s="1779"/>
      <c r="AU378" s="1779"/>
      <c r="AV378" s="1779"/>
      <c r="AW378" s="1779"/>
      <c r="AX378" s="1779"/>
      <c r="AY378" s="1779"/>
      <c r="AZ378" s="1779"/>
      <c r="BA378" s="1779"/>
      <c r="BB378" s="1779"/>
      <c r="BC378" s="1779"/>
      <c r="BD378" s="1779"/>
      <c r="BE378" s="1779"/>
      <c r="BF378" s="1779"/>
      <c r="BG378" s="1779"/>
      <c r="BH378" s="1779"/>
      <c r="BI378" s="1779"/>
      <c r="BJ378" s="1779"/>
      <c r="BK378" s="1779"/>
      <c r="BL378" s="1779"/>
      <c r="BM378" s="1779"/>
      <c r="BN378" s="1779"/>
      <c r="BO378" s="1779"/>
      <c r="BP378" s="1780"/>
      <c r="BQ378" s="1755"/>
      <c r="BR378" s="1755"/>
      <c r="BS378" s="1755"/>
      <c r="BT378" s="1755"/>
      <c r="BU378" s="1755"/>
      <c r="BV378" s="1755"/>
      <c r="BW378" s="1755"/>
      <c r="BX378" s="1755"/>
      <c r="BY378" s="1755"/>
      <c r="BZ378" s="1755"/>
      <c r="CA378" s="1755"/>
      <c r="CB378" s="1755"/>
      <c r="CC378" s="1755"/>
      <c r="CD378" s="1755"/>
      <c r="CE378" s="1755"/>
      <c r="CF378" s="1755"/>
      <c r="CG378" s="1755"/>
      <c r="CH378" s="1755"/>
      <c r="CI378" s="1755"/>
      <c r="CJ378" s="1755"/>
      <c r="CK378" s="1755"/>
      <c r="CL378" s="1755"/>
      <c r="CM378" s="1755"/>
      <c r="CN378" s="1756"/>
      <c r="CO378" s="1783"/>
    </row>
    <row r="379" spans="2:93" x14ac:dyDescent="0.2">
      <c r="B379" s="1707"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379" s="1703" t="s">
        <v>1082</v>
      </c>
      <c r="D379" s="1765" t="s">
        <v>1081</v>
      </c>
      <c r="E379" s="1723" t="s">
        <v>860</v>
      </c>
      <c r="F379" s="1747" t="str">
        <f>VLOOKUP(TBL5_OptBen[[#This Row],[Option Type (defined list)]],'Option Typs_Grps'!B$2:C$47, 2, FALSE)</f>
        <v>Distribution Options</v>
      </c>
      <c r="G379" s="1747" t="s">
        <v>863</v>
      </c>
      <c r="H379" s="1747" t="s">
        <v>1458</v>
      </c>
      <c r="I379" s="1747" t="s">
        <v>88</v>
      </c>
      <c r="J379" s="1747" t="s">
        <v>236</v>
      </c>
      <c r="K379" s="1760">
        <v>2</v>
      </c>
      <c r="L379" s="1779"/>
      <c r="M379" s="1779"/>
      <c r="N379" s="1779">
        <v>0</v>
      </c>
      <c r="O379" s="1780">
        <v>0</v>
      </c>
      <c r="P379" s="1780">
        <v>0</v>
      </c>
      <c r="Q379" s="1779">
        <v>0</v>
      </c>
      <c r="R379" s="1779">
        <v>0.20073762673171558</v>
      </c>
      <c r="S379" s="1779">
        <v>0.29801494813901996</v>
      </c>
      <c r="T379" s="1779">
        <v>0.51191100626656549</v>
      </c>
      <c r="U379" s="1779">
        <v>0.75059362418681985</v>
      </c>
      <c r="V379" s="1779">
        <v>0.97522665298276934</v>
      </c>
      <c r="W379" s="1779">
        <v>1.2145459467451332</v>
      </c>
      <c r="X379" s="1779">
        <v>1.4687096962615058</v>
      </c>
      <c r="Y379" s="1779">
        <v>1.7256591258397194</v>
      </c>
      <c r="Z379" s="1779">
        <v>1.9857823804679029</v>
      </c>
      <c r="AA379" s="1779">
        <v>2.2479190307479442</v>
      </c>
      <c r="AB379" s="1779">
        <v>2.5806751697819195</v>
      </c>
      <c r="AC379" s="1779">
        <v>2.9813902851822078</v>
      </c>
      <c r="AD379" s="1779">
        <v>3.3809279878573832</v>
      </c>
      <c r="AE379" s="1779">
        <v>3.7792671091138459</v>
      </c>
      <c r="AF379" s="1779">
        <v>4.1763729228050295</v>
      </c>
      <c r="AG379" s="1779">
        <v>4.5722173257201035</v>
      </c>
      <c r="AH379" s="1779">
        <v>4.9667536497860567</v>
      </c>
      <c r="AI379" s="1779">
        <v>5.3599507409911631</v>
      </c>
      <c r="AJ379" s="1779">
        <v>5.751775386922688</v>
      </c>
      <c r="AK379" s="1779">
        <v>6.1421917847893326</v>
      </c>
      <c r="AL379" s="1779">
        <v>6.5311798575882065</v>
      </c>
      <c r="AM379" s="1779">
        <v>6.9187030262528495</v>
      </c>
      <c r="AN379" s="1779">
        <v>7.304730563180577</v>
      </c>
      <c r="AO379" s="1779">
        <v>7.689232706873689</v>
      </c>
      <c r="AP379" s="1779">
        <v>8.0721821576318078</v>
      </c>
      <c r="AQ379" s="1779"/>
      <c r="AR379" s="1779"/>
      <c r="AS379" s="1779"/>
      <c r="AT379" s="1779"/>
      <c r="AU379" s="1779"/>
      <c r="AV379" s="1779"/>
      <c r="AW379" s="1779"/>
      <c r="AX379" s="1779"/>
      <c r="AY379" s="1779"/>
      <c r="AZ379" s="1779"/>
      <c r="BA379" s="1779"/>
      <c r="BB379" s="1779"/>
      <c r="BC379" s="1779"/>
      <c r="BD379" s="1779"/>
      <c r="BE379" s="1779"/>
      <c r="BF379" s="1779"/>
      <c r="BG379" s="1779"/>
      <c r="BH379" s="1779"/>
      <c r="BI379" s="1779"/>
      <c r="BJ379" s="1779"/>
      <c r="BK379" s="1779"/>
      <c r="BL379" s="1779"/>
      <c r="BM379" s="1779"/>
      <c r="BN379" s="1779"/>
      <c r="BO379" s="1779"/>
      <c r="BP379" s="1780"/>
      <c r="BQ379" s="1755"/>
      <c r="BR379" s="1755"/>
      <c r="BS379" s="1755"/>
      <c r="BT379" s="1755"/>
      <c r="BU379" s="1755"/>
      <c r="BV379" s="1755"/>
      <c r="BW379" s="1755"/>
      <c r="BX379" s="1755"/>
      <c r="BY379" s="1755"/>
      <c r="BZ379" s="1755"/>
      <c r="CA379" s="1755"/>
      <c r="CB379" s="1755"/>
      <c r="CC379" s="1755"/>
      <c r="CD379" s="1755"/>
      <c r="CE379" s="1755"/>
      <c r="CF379" s="1755"/>
      <c r="CG379" s="1755"/>
      <c r="CH379" s="1755"/>
      <c r="CI379" s="1755"/>
      <c r="CJ379" s="1755"/>
      <c r="CK379" s="1755"/>
      <c r="CL379" s="1755"/>
      <c r="CM379" s="1755"/>
      <c r="CN379" s="1756"/>
      <c r="CO379" s="1783"/>
    </row>
    <row r="380" spans="2:93" ht="15" x14ac:dyDescent="0.25">
      <c r="B380" s="1707"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80" s="1703" t="s">
        <v>1119</v>
      </c>
      <c r="D380" s="1765" t="s">
        <v>1118</v>
      </c>
      <c r="E380" s="1723" t="s">
        <v>1099</v>
      </c>
      <c r="F380" s="1747" t="str">
        <f>VLOOKUP(TBL5_OptBen[[#This Row],[Option Type (defined list)]],'Option Typs_Grps'!B$2:C$47, 2, FALSE)</f>
        <v>Customer Options</v>
      </c>
      <c r="G380" s="1747" t="s">
        <v>863</v>
      </c>
      <c r="H380" s="1747" t="s">
        <v>1458</v>
      </c>
      <c r="I380" s="1747" t="s">
        <v>88</v>
      </c>
      <c r="J380" s="1747" t="s">
        <v>236</v>
      </c>
      <c r="K380" s="1760">
        <v>2</v>
      </c>
      <c r="L380" s="1779"/>
      <c r="M380" s="1779"/>
      <c r="N380" s="1779">
        <v>0</v>
      </c>
      <c r="O380" s="1780">
        <v>0</v>
      </c>
      <c r="P380" s="1780">
        <v>0</v>
      </c>
      <c r="Q380" s="1779">
        <v>0</v>
      </c>
      <c r="R380" s="1779">
        <v>0.29382917326828861</v>
      </c>
      <c r="S380" s="1779">
        <v>0.69111865186097721</v>
      </c>
      <c r="T380" s="1779">
        <v>0.97178939373343498</v>
      </c>
      <c r="U380" s="1779">
        <v>1.227673575813184</v>
      </c>
      <c r="V380" s="1779">
        <v>1.4976073470172411</v>
      </c>
      <c r="W380" s="1779">
        <v>1.7528548532548744</v>
      </c>
      <c r="X380" s="1779">
        <v>1.9932579037385003</v>
      </c>
      <c r="Y380" s="1779">
        <v>2.2308752741602946</v>
      </c>
      <c r="Z380" s="1779">
        <v>2.4653188195321061</v>
      </c>
      <c r="AA380" s="1779">
        <v>2.6977489692520633</v>
      </c>
      <c r="AB380" s="1779">
        <v>2.8595596302180972</v>
      </c>
      <c r="AC380" s="1779">
        <v>2.9534113148178083</v>
      </c>
      <c r="AD380" s="1779">
        <v>3.0484404121426358</v>
      </c>
      <c r="AE380" s="1779">
        <v>3.1446680908861695</v>
      </c>
      <c r="AF380" s="1779">
        <v>3.2421290771949862</v>
      </c>
      <c r="AG380" s="1779">
        <v>3.3408514742799129</v>
      </c>
      <c r="AH380" s="1779">
        <v>3.4408819502139698</v>
      </c>
      <c r="AI380" s="1779">
        <v>3.5422516590088637</v>
      </c>
      <c r="AJ380" s="1779">
        <v>3.6449938130773338</v>
      </c>
      <c r="AK380" s="1779">
        <v>3.7491442152106935</v>
      </c>
      <c r="AL380" s="1779">
        <v>3.8547229424118234</v>
      </c>
      <c r="AM380" s="1779">
        <v>3.9617665737471786</v>
      </c>
      <c r="AN380" s="1779">
        <v>4.0703058368194487</v>
      </c>
      <c r="AO380" s="1779">
        <v>4.1803704931263326</v>
      </c>
      <c r="AP380" s="1779">
        <v>4.2919878423681972</v>
      </c>
      <c r="AQ380" s="1779"/>
      <c r="AR380" s="1779"/>
      <c r="AS380" s="1779"/>
      <c r="AT380" s="1779"/>
      <c r="AU380" s="1779"/>
      <c r="AV380" s="1779"/>
      <c r="AW380" s="1779"/>
      <c r="AX380" s="1779"/>
      <c r="AY380" s="1779"/>
      <c r="AZ380" s="1779"/>
      <c r="BA380" s="1779"/>
      <c r="BB380" s="1779"/>
      <c r="BC380" s="1779"/>
      <c r="BD380" s="1779"/>
      <c r="BE380" s="1779"/>
      <c r="BF380" s="1779"/>
      <c r="BG380" s="1779"/>
      <c r="BH380" s="1779"/>
      <c r="BI380" s="1779"/>
      <c r="BJ380" s="1779"/>
      <c r="BK380" s="1779"/>
      <c r="BL380" s="1779"/>
      <c r="BM380" s="1779"/>
      <c r="BN380" s="1779"/>
      <c r="BO380" s="1779"/>
      <c r="BP380" s="1780"/>
      <c r="BQ380" s="1755"/>
      <c r="BR380" s="1755"/>
      <c r="BS380" s="1755"/>
      <c r="BT380" s="1755"/>
      <c r="BU380" s="1755"/>
      <c r="BV380" s="1755"/>
      <c r="BW380" s="1755"/>
      <c r="BX380" s="1755"/>
      <c r="BY380" s="1755"/>
      <c r="BZ380" s="1755"/>
      <c r="CA380" s="1755"/>
      <c r="CB380" s="1755"/>
      <c r="CC380" s="1755"/>
      <c r="CD380" s="1755"/>
      <c r="CE380" s="1755"/>
      <c r="CF380" s="1755"/>
      <c r="CG380" s="1755"/>
      <c r="CH380" s="1755"/>
      <c r="CI380" s="1755"/>
      <c r="CJ380" s="1755"/>
      <c r="CK380" s="1755"/>
      <c r="CL380" s="1755"/>
      <c r="CM380" s="1755"/>
      <c r="CN380" s="1756"/>
      <c r="CO380" s="1783"/>
    </row>
    <row r="381" spans="2:93" x14ac:dyDescent="0.2">
      <c r="B381" s="1707"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81" s="1707" t="s">
        <v>1125</v>
      </c>
      <c r="D381" s="1765" t="s">
        <v>1474</v>
      </c>
      <c r="E381" s="1714" t="s">
        <v>987</v>
      </c>
      <c r="F381" s="1747" t="str">
        <f>VLOOKUP(TBL5_OptBen[[#This Row],[Option Type (defined list)]],'Option Typs_Grps'!B$2:C$47, 2, FALSE)</f>
        <v>Customer Options</v>
      </c>
      <c r="G381" s="1747" t="s">
        <v>863</v>
      </c>
      <c r="H381" s="1747" t="s">
        <v>1458</v>
      </c>
      <c r="I381" s="1747" t="s">
        <v>88</v>
      </c>
      <c r="J381" s="1747" t="s">
        <v>236</v>
      </c>
      <c r="K381" s="1760">
        <v>2</v>
      </c>
      <c r="L381" s="1779"/>
      <c r="M381" s="1779"/>
      <c r="N381" s="1779">
        <v>0</v>
      </c>
      <c r="O381" s="1780">
        <v>0</v>
      </c>
      <c r="P381" s="1780">
        <v>0</v>
      </c>
      <c r="Q381" s="1779">
        <v>0</v>
      </c>
      <c r="R381" s="1779">
        <v>0.21881778981997968</v>
      </c>
      <c r="S381" s="1779">
        <v>0.4376355796400162</v>
      </c>
      <c r="T381" s="1779">
        <v>0.65645336946005273</v>
      </c>
      <c r="U381" s="1779">
        <v>0.87527115927997556</v>
      </c>
      <c r="V381" s="1779">
        <v>1.0940889491000121</v>
      </c>
      <c r="W381" s="1779">
        <v>1.5919921443120302</v>
      </c>
      <c r="X381" s="1779">
        <v>2.0898953395249578</v>
      </c>
      <c r="Y381" s="1779">
        <v>2.5877985347369759</v>
      </c>
      <c r="Z381" s="1779">
        <v>3.0857017299500171</v>
      </c>
      <c r="AA381" s="1779">
        <v>3.5836049251619784</v>
      </c>
      <c r="AB381" s="1779">
        <v>4.0541975499959904</v>
      </c>
      <c r="AC381" s="1779">
        <v>4.5247901748300023</v>
      </c>
      <c r="AD381" s="1779">
        <v>4.9953827996629911</v>
      </c>
      <c r="AE381" s="1779">
        <v>4.9953827996629911</v>
      </c>
      <c r="AF381" s="1779">
        <v>4.995382799663048</v>
      </c>
      <c r="AG381" s="1779">
        <v>4.9953827996620248</v>
      </c>
      <c r="AH381" s="1779">
        <v>4.9953827996620248</v>
      </c>
      <c r="AI381" s="1779">
        <v>4.9953827996629911</v>
      </c>
      <c r="AJ381" s="1779">
        <v>4.9953827996620248</v>
      </c>
      <c r="AK381" s="1779">
        <v>4.995382799661968</v>
      </c>
      <c r="AL381" s="1779">
        <v>4.9953827996629911</v>
      </c>
      <c r="AM381" s="1779">
        <v>4.995382799661968</v>
      </c>
      <c r="AN381" s="1779">
        <v>4.9953827996620248</v>
      </c>
      <c r="AO381" s="1779">
        <v>4.995382799663048</v>
      </c>
      <c r="AP381" s="1779">
        <v>4.9953827996620248</v>
      </c>
      <c r="AQ381" s="1779"/>
      <c r="AR381" s="1779"/>
      <c r="AS381" s="1779"/>
      <c r="AT381" s="1779"/>
      <c r="AU381" s="1779"/>
      <c r="AV381" s="1779"/>
      <c r="AW381" s="1779"/>
      <c r="AX381" s="1779"/>
      <c r="AY381" s="1779"/>
      <c r="AZ381" s="1779"/>
      <c r="BA381" s="1779"/>
      <c r="BB381" s="1779"/>
      <c r="BC381" s="1779"/>
      <c r="BD381" s="1779"/>
      <c r="BE381" s="1779"/>
      <c r="BF381" s="1779"/>
      <c r="BG381" s="1779"/>
      <c r="BH381" s="1779"/>
      <c r="BI381" s="1779"/>
      <c r="BJ381" s="1779"/>
      <c r="BK381" s="1779"/>
      <c r="BL381" s="1779"/>
      <c r="BM381" s="1779"/>
      <c r="BN381" s="1779"/>
      <c r="BO381" s="1779"/>
      <c r="BP381" s="1780"/>
      <c r="BQ381" s="1755"/>
      <c r="BR381" s="1755"/>
      <c r="BS381" s="1755"/>
      <c r="BT381" s="1755"/>
      <c r="BU381" s="1755"/>
      <c r="BV381" s="1755"/>
      <c r="BW381" s="1755"/>
      <c r="BX381" s="1755"/>
      <c r="BY381" s="1755"/>
      <c r="BZ381" s="1755"/>
      <c r="CA381" s="1755"/>
      <c r="CB381" s="1755"/>
      <c r="CC381" s="1755"/>
      <c r="CD381" s="1755"/>
      <c r="CE381" s="1755"/>
      <c r="CF381" s="1755"/>
      <c r="CG381" s="1755"/>
      <c r="CH381" s="1755"/>
      <c r="CI381" s="1755"/>
      <c r="CJ381" s="1755"/>
      <c r="CK381" s="1755"/>
      <c r="CL381" s="1755"/>
      <c r="CM381" s="1755"/>
      <c r="CN381" s="1756"/>
      <c r="CO381" s="1783"/>
    </row>
    <row r="382" spans="2:93" x14ac:dyDescent="0.2">
      <c r="B382" s="1707"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82" s="1703" t="s">
        <v>1079</v>
      </c>
      <c r="D382" s="1765" t="s">
        <v>1078</v>
      </c>
      <c r="E382" s="1714" t="s">
        <v>987</v>
      </c>
      <c r="F382" s="1747" t="str">
        <f>VLOOKUP(TBL5_OptBen[[#This Row],[Option Type (defined list)]],'Option Typs_Grps'!B$2:C$47, 2, FALSE)</f>
        <v>Customer Options</v>
      </c>
      <c r="G382" s="1747" t="s">
        <v>863</v>
      </c>
      <c r="H382" s="1747" t="s">
        <v>1458</v>
      </c>
      <c r="I382" s="1747" t="s">
        <v>88</v>
      </c>
      <c r="J382" s="1747" t="s">
        <v>236</v>
      </c>
      <c r="K382" s="1760">
        <v>2</v>
      </c>
      <c r="L382" s="1779"/>
      <c r="M382" s="1779"/>
      <c r="N382" s="1779">
        <v>0</v>
      </c>
      <c r="O382" s="1780">
        <v>0</v>
      </c>
      <c r="P382" s="1780">
        <v>0</v>
      </c>
      <c r="Q382" s="1779">
        <v>0</v>
      </c>
      <c r="R382" s="1779">
        <v>0</v>
      </c>
      <c r="S382" s="1779">
        <v>0</v>
      </c>
      <c r="T382" s="1779">
        <v>0.59987779025402688</v>
      </c>
      <c r="U382" s="1779">
        <v>1.1974770082609894</v>
      </c>
      <c r="V382" s="1779">
        <v>1.794592738115</v>
      </c>
      <c r="W382" s="1779">
        <v>2.3821657852000158</v>
      </c>
      <c r="X382" s="1779">
        <v>2.9708490950779947</v>
      </c>
      <c r="Y382" s="1779">
        <v>3.5502161519579545</v>
      </c>
      <c r="Z382" s="1779">
        <v>4.7817647159629928</v>
      </c>
      <c r="AA382" s="1779">
        <v>5.9977293890730152</v>
      </c>
      <c r="AB382" s="1779">
        <v>7.2140606238340297</v>
      </c>
      <c r="AC382" s="1779">
        <v>8.4272968684659872</v>
      </c>
      <c r="AD382" s="1779">
        <v>9.6362828601490378</v>
      </c>
      <c r="AE382" s="1779">
        <v>10.843386621460979</v>
      </c>
      <c r="AF382" s="1779">
        <v>12.049227284313019</v>
      </c>
      <c r="AG382" s="1779">
        <v>13.133936390835004</v>
      </c>
      <c r="AH382" s="1779">
        <v>14.317832073316026</v>
      </c>
      <c r="AI382" s="1779">
        <v>15.500731567574974</v>
      </c>
      <c r="AJ382" s="1779">
        <v>15.885754161050045</v>
      </c>
      <c r="AK382" s="1779">
        <v>16.276372133927964</v>
      </c>
      <c r="AL382" s="1779">
        <v>16.627234504373007</v>
      </c>
      <c r="AM382" s="1779">
        <v>16.788341602771993</v>
      </c>
      <c r="AN382" s="1779">
        <v>17.175152163831001</v>
      </c>
      <c r="AO382" s="1779">
        <v>17.444088101313014</v>
      </c>
      <c r="AP382" s="1779">
        <v>17.829206713579993</v>
      </c>
      <c r="AQ382" s="1779"/>
      <c r="AR382" s="1779"/>
      <c r="AS382" s="1779"/>
      <c r="AT382" s="1779"/>
      <c r="AU382" s="1779"/>
      <c r="AV382" s="1779"/>
      <c r="AW382" s="1779"/>
      <c r="AX382" s="1779"/>
      <c r="AY382" s="1779"/>
      <c r="AZ382" s="1779"/>
      <c r="BA382" s="1779"/>
      <c r="BB382" s="1779"/>
      <c r="BC382" s="1779"/>
      <c r="BD382" s="1779"/>
      <c r="BE382" s="1779"/>
      <c r="BF382" s="1779"/>
      <c r="BG382" s="1779"/>
      <c r="BH382" s="1779"/>
      <c r="BI382" s="1779"/>
      <c r="BJ382" s="1779"/>
      <c r="BK382" s="1779"/>
      <c r="BL382" s="1779"/>
      <c r="BM382" s="1779"/>
      <c r="BN382" s="1779"/>
      <c r="BO382" s="1779"/>
      <c r="BP382" s="1780"/>
      <c r="BQ382" s="1755"/>
      <c r="BR382" s="1755"/>
      <c r="BS382" s="1755"/>
      <c r="BT382" s="1755"/>
      <c r="BU382" s="1755"/>
      <c r="BV382" s="1755"/>
      <c r="BW382" s="1755"/>
      <c r="BX382" s="1755"/>
      <c r="BY382" s="1755"/>
      <c r="BZ382" s="1755"/>
      <c r="CA382" s="1755"/>
      <c r="CB382" s="1755"/>
      <c r="CC382" s="1755"/>
      <c r="CD382" s="1755"/>
      <c r="CE382" s="1755"/>
      <c r="CF382" s="1755"/>
      <c r="CG382" s="1755"/>
      <c r="CH382" s="1755"/>
      <c r="CI382" s="1755"/>
      <c r="CJ382" s="1755"/>
      <c r="CK382" s="1755"/>
      <c r="CL382" s="1755"/>
      <c r="CM382" s="1755"/>
      <c r="CN382" s="1756"/>
      <c r="CO382" s="1783"/>
    </row>
    <row r="383" spans="2:93" ht="15" x14ac:dyDescent="0.25">
      <c r="B383" s="1707"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83" s="1703" t="s">
        <v>1067</v>
      </c>
      <c r="D383" s="1765" t="s">
        <v>1066</v>
      </c>
      <c r="E383" s="1723" t="s">
        <v>1068</v>
      </c>
      <c r="F383" s="1747" t="str">
        <f>VLOOKUP(TBL5_OptBen[[#This Row],[Option Type (defined list)]],'Option Typs_Grps'!B$2:C$47, 2, FALSE)</f>
        <v>Customer Options</v>
      </c>
      <c r="G383" s="1747" t="s">
        <v>863</v>
      </c>
      <c r="H383" s="1747" t="s">
        <v>1458</v>
      </c>
      <c r="I383" s="1747" t="s">
        <v>93</v>
      </c>
      <c r="J383" s="1747" t="s">
        <v>236</v>
      </c>
      <c r="K383" s="1760">
        <v>2</v>
      </c>
      <c r="L383" s="1779"/>
      <c r="M383" s="1779"/>
      <c r="N383" s="1779">
        <v>0</v>
      </c>
      <c r="O383" s="1780">
        <v>0</v>
      </c>
      <c r="P383" s="1780">
        <v>0</v>
      </c>
      <c r="Q383" s="1779">
        <v>0</v>
      </c>
      <c r="R383" s="1779">
        <v>-1.239423019077545E-2</v>
      </c>
      <c r="S383" s="1779">
        <v>-2.6197635865993579E-2</v>
      </c>
      <c r="T383" s="1779">
        <v>-2.9348911188556148E-2</v>
      </c>
      <c r="U383" s="1779">
        <v>-3.2194129703357999E-2</v>
      </c>
      <c r="V383" s="1779">
        <v>-4.3354738690610239E-3</v>
      </c>
      <c r="W383" s="1779">
        <v>4.7866620393365089E-2</v>
      </c>
      <c r="X383" s="1779">
        <v>7.166159097846736E-2</v>
      </c>
      <c r="Y383" s="1779">
        <v>8.3740839638092646E-2</v>
      </c>
      <c r="Z383" s="1779">
        <v>9.435644887196748E-2</v>
      </c>
      <c r="AA383" s="1779">
        <v>0.10431333255891417</v>
      </c>
      <c r="AB383" s="1779">
        <v>0.10346768948320517</v>
      </c>
      <c r="AC383" s="1779">
        <v>0.10274879289052752</v>
      </c>
      <c r="AD383" s="1779">
        <v>0.1021515708056735</v>
      </c>
      <c r="AE383" s="1779">
        <v>0.1016145597188165</v>
      </c>
      <c r="AF383" s="1779">
        <v>0.10101919097799095</v>
      </c>
      <c r="AG383" s="1779">
        <v>0.1003093338119303</v>
      </c>
      <c r="AH383" s="1779">
        <v>9.983590642150042E-2</v>
      </c>
      <c r="AI383" s="1779">
        <v>9.942483494829335E-2</v>
      </c>
      <c r="AJ383" s="1779">
        <v>9.9409754245551651E-2</v>
      </c>
      <c r="AK383" s="1779">
        <v>9.9437109876129304E-2</v>
      </c>
      <c r="AL383" s="1779">
        <v>9.9466811409989475E-2</v>
      </c>
      <c r="AM383" s="1779">
        <v>9.9550088853337382E-2</v>
      </c>
      <c r="AN383" s="1779">
        <v>9.9652709035356724E-2</v>
      </c>
      <c r="AO383" s="1779">
        <v>9.9774774146949019E-2</v>
      </c>
      <c r="AP383" s="1779">
        <v>9.9895984993572107E-2</v>
      </c>
      <c r="AQ383" s="1779"/>
      <c r="AR383" s="1779"/>
      <c r="AS383" s="1779"/>
      <c r="AT383" s="1779"/>
      <c r="AU383" s="1779"/>
      <c r="AV383" s="1779"/>
      <c r="AW383" s="1779"/>
      <c r="AX383" s="1779"/>
      <c r="AY383" s="1779"/>
      <c r="AZ383" s="1779"/>
      <c r="BA383" s="1779"/>
      <c r="BB383" s="1779"/>
      <c r="BC383" s="1779"/>
      <c r="BD383" s="1779"/>
      <c r="BE383" s="1779"/>
      <c r="BF383" s="1779"/>
      <c r="BG383" s="1779"/>
      <c r="BH383" s="1779"/>
      <c r="BI383" s="1779"/>
      <c r="BJ383" s="1779"/>
      <c r="BK383" s="1779"/>
      <c r="BL383" s="1779"/>
      <c r="BM383" s="1779"/>
      <c r="BN383" s="1779"/>
      <c r="BO383" s="1779"/>
      <c r="BP383" s="1780"/>
      <c r="BQ383" s="1755"/>
      <c r="BR383" s="1755"/>
      <c r="BS383" s="1755"/>
      <c r="BT383" s="1755"/>
      <c r="BU383" s="1755"/>
      <c r="BV383" s="1755"/>
      <c r="BW383" s="1755"/>
      <c r="BX383" s="1755"/>
      <c r="BY383" s="1755"/>
      <c r="BZ383" s="1755"/>
      <c r="CA383" s="1755"/>
      <c r="CB383" s="1755"/>
      <c r="CC383" s="1755"/>
      <c r="CD383" s="1755"/>
      <c r="CE383" s="1755"/>
      <c r="CF383" s="1755"/>
      <c r="CG383" s="1755"/>
      <c r="CH383" s="1755"/>
      <c r="CI383" s="1755"/>
      <c r="CJ383" s="1755"/>
      <c r="CK383" s="1755"/>
      <c r="CL383" s="1755"/>
      <c r="CM383" s="1755"/>
      <c r="CN383" s="1756"/>
      <c r="CO383" s="1783"/>
    </row>
    <row r="384" spans="2:93" ht="15" x14ac:dyDescent="0.25">
      <c r="B384" s="1707"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84" s="1703" t="s">
        <v>1075</v>
      </c>
      <c r="D384" s="1765" t="s">
        <v>1074</v>
      </c>
      <c r="E384" s="1723" t="s">
        <v>987</v>
      </c>
      <c r="F384" s="1747" t="str">
        <f>VLOOKUP(TBL5_OptBen[[#This Row],[Option Type (defined list)]],'Option Typs_Grps'!B$2:C$47, 2, FALSE)</f>
        <v>Customer Options</v>
      </c>
      <c r="G384" s="1747" t="s">
        <v>863</v>
      </c>
      <c r="H384" s="1747" t="s">
        <v>1458</v>
      </c>
      <c r="I384" s="1747" t="s">
        <v>93</v>
      </c>
      <c r="J384" s="1747" t="s">
        <v>236</v>
      </c>
      <c r="K384" s="1760">
        <v>2</v>
      </c>
      <c r="L384" s="1779"/>
      <c r="M384" s="1779"/>
      <c r="N384" s="1779">
        <v>0</v>
      </c>
      <c r="O384" s="1780">
        <v>0</v>
      </c>
      <c r="P384" s="1780">
        <v>0</v>
      </c>
      <c r="Q384" s="1779">
        <v>0</v>
      </c>
      <c r="R384" s="1779">
        <v>3.5689960635599149E-2</v>
      </c>
      <c r="S384" s="1779">
        <v>7.0850369439400041E-2</v>
      </c>
      <c r="T384" s="1779">
        <v>0.10570749970590043</v>
      </c>
      <c r="U384" s="1779">
        <v>0.14014606036050026</v>
      </c>
      <c r="V384" s="1779">
        <v>0.17382879107720051</v>
      </c>
      <c r="W384" s="1779">
        <v>0.20583829676770016</v>
      </c>
      <c r="X384" s="1779">
        <v>0.23781771826189946</v>
      </c>
      <c r="Y384" s="1779">
        <v>0.26963649374980037</v>
      </c>
      <c r="Z384" s="1779">
        <v>0.3011656579377</v>
      </c>
      <c r="AA384" s="1779">
        <v>0.33249119538979954</v>
      </c>
      <c r="AB384" s="1779">
        <v>0.34078230931220155</v>
      </c>
      <c r="AC384" s="1779">
        <v>0.34896819786899869</v>
      </c>
      <c r="AD384" s="1779">
        <v>0.35726778101169998</v>
      </c>
      <c r="AE384" s="1779">
        <v>0.3656342848338987</v>
      </c>
      <c r="AF384" s="1779">
        <v>0.37379066380550086</v>
      </c>
      <c r="AG384" s="1779">
        <v>0.38159369376059971</v>
      </c>
      <c r="AH384" s="1779">
        <v>0.38953120982329992</v>
      </c>
      <c r="AI384" s="1779">
        <v>0.3974834677502006</v>
      </c>
      <c r="AJ384" s="1779">
        <v>0.40547642921410088</v>
      </c>
      <c r="AK384" s="1779">
        <v>0.41348851048780055</v>
      </c>
      <c r="AL384" s="1779">
        <v>0.42116409856060066</v>
      </c>
      <c r="AM384" s="1779">
        <v>0.42885439317410068</v>
      </c>
      <c r="AN384" s="1779">
        <v>0.4366501854895013</v>
      </c>
      <c r="AO384" s="1779">
        <v>0.44453823180630003</v>
      </c>
      <c r="AP384" s="1779">
        <v>0.44401369463800044</v>
      </c>
      <c r="AQ384" s="1779"/>
      <c r="AR384" s="1779"/>
      <c r="AS384" s="1779"/>
      <c r="AT384" s="1779"/>
      <c r="AU384" s="1779"/>
      <c r="AV384" s="1779"/>
      <c r="AW384" s="1779"/>
      <c r="AX384" s="1779"/>
      <c r="AY384" s="1779"/>
      <c r="AZ384" s="1779"/>
      <c r="BA384" s="1779"/>
      <c r="BB384" s="1779"/>
      <c r="BC384" s="1779"/>
      <c r="BD384" s="1779"/>
      <c r="BE384" s="1779"/>
      <c r="BF384" s="1779"/>
      <c r="BG384" s="1779"/>
      <c r="BH384" s="1779"/>
      <c r="BI384" s="1779"/>
      <c r="BJ384" s="1779"/>
      <c r="BK384" s="1779"/>
      <c r="BL384" s="1779"/>
      <c r="BM384" s="1779"/>
      <c r="BN384" s="1779"/>
      <c r="BO384" s="1779"/>
      <c r="BP384" s="1780"/>
      <c r="BQ384" s="1755"/>
      <c r="BR384" s="1755"/>
      <c r="BS384" s="1755"/>
      <c r="BT384" s="1755"/>
      <c r="BU384" s="1755"/>
      <c r="BV384" s="1755"/>
      <c r="BW384" s="1755"/>
      <c r="BX384" s="1755"/>
      <c r="BY384" s="1755"/>
      <c r="BZ384" s="1755"/>
      <c r="CA384" s="1755"/>
      <c r="CB384" s="1755"/>
      <c r="CC384" s="1755"/>
      <c r="CD384" s="1755"/>
      <c r="CE384" s="1755"/>
      <c r="CF384" s="1755"/>
      <c r="CG384" s="1755"/>
      <c r="CH384" s="1755"/>
      <c r="CI384" s="1755"/>
      <c r="CJ384" s="1755"/>
      <c r="CK384" s="1755"/>
      <c r="CL384" s="1755"/>
      <c r="CM384" s="1755"/>
      <c r="CN384" s="1756"/>
      <c r="CO384" s="1783"/>
    </row>
    <row r="385" spans="2:93" x14ac:dyDescent="0.2">
      <c r="B385" s="1707"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85" s="1707" t="s">
        <v>1123</v>
      </c>
      <c r="D385" s="1765" t="s">
        <v>1122</v>
      </c>
      <c r="E385" s="1714" t="s">
        <v>987</v>
      </c>
      <c r="F385" s="1747" t="str">
        <f>VLOOKUP(TBL5_OptBen[[#This Row],[Option Type (defined list)]],'Option Typs_Grps'!B$2:C$47, 2, FALSE)</f>
        <v>Customer Options</v>
      </c>
      <c r="G385" s="1747" t="s">
        <v>863</v>
      </c>
      <c r="H385" s="1747" t="s">
        <v>1458</v>
      </c>
      <c r="I385" s="1747" t="s">
        <v>93</v>
      </c>
      <c r="J385" s="1747" t="s">
        <v>236</v>
      </c>
      <c r="K385" s="1760">
        <v>2</v>
      </c>
      <c r="L385" s="1779"/>
      <c r="M385" s="1779"/>
      <c r="N385" s="1779">
        <v>0</v>
      </c>
      <c r="O385" s="1780">
        <v>0</v>
      </c>
      <c r="P385" s="1780">
        <v>0</v>
      </c>
      <c r="Q385" s="1779">
        <v>0</v>
      </c>
      <c r="R385" s="1779">
        <v>1.3178471333400665E-2</v>
      </c>
      <c r="S385" s="1779">
        <v>3.9369086072099435E-2</v>
      </c>
      <c r="T385" s="1779">
        <v>4.3887993163000516E-2</v>
      </c>
      <c r="U385" s="1779">
        <v>8.3937061854401307E-2</v>
      </c>
      <c r="V385" s="1779">
        <v>0.12562484537389906</v>
      </c>
      <c r="W385" s="1779">
        <v>0.14181290059669927</v>
      </c>
      <c r="X385" s="1779">
        <v>0.15804796262260012</v>
      </c>
      <c r="Y385" s="1779">
        <v>0.17419540958569968</v>
      </c>
      <c r="Z385" s="1779">
        <v>0.19019893628089868</v>
      </c>
      <c r="AA385" s="1779">
        <v>0.2060964717269993</v>
      </c>
      <c r="AB385" s="1779">
        <v>0.20549936133209989</v>
      </c>
      <c r="AC385" s="1779">
        <v>0.20485197174890146</v>
      </c>
      <c r="AD385" s="1779">
        <v>0.20427678766820101</v>
      </c>
      <c r="AE385" s="1779">
        <v>0.20376090528110069</v>
      </c>
      <c r="AF385" s="1779">
        <v>0.20317404311090037</v>
      </c>
      <c r="AG385" s="1779">
        <v>0.20256742403909911</v>
      </c>
      <c r="AH385" s="1779">
        <v>0.20204244947000127</v>
      </c>
      <c r="AI385" s="1779">
        <v>0.20154988315639955</v>
      </c>
      <c r="AJ385" s="1779">
        <v>0.20109600900439872</v>
      </c>
      <c r="AK385" s="1779">
        <v>0.2006715365935996</v>
      </c>
      <c r="AL385" s="1779">
        <v>0.20025402051919983</v>
      </c>
      <c r="AM385" s="1779">
        <v>0.19986082533180038</v>
      </c>
      <c r="AN385" s="1779">
        <v>0.19953306732709919</v>
      </c>
      <c r="AO385" s="1779">
        <v>0.19926368990329912</v>
      </c>
      <c r="AP385" s="1779">
        <v>0.20748931640120105</v>
      </c>
      <c r="AQ385" s="1779"/>
      <c r="AR385" s="1779"/>
      <c r="AS385" s="1779"/>
      <c r="AT385" s="1779"/>
      <c r="AU385" s="1779"/>
      <c r="AV385" s="1779"/>
      <c r="AW385" s="1779"/>
      <c r="AX385" s="1779"/>
      <c r="AY385" s="1779"/>
      <c r="AZ385" s="1779"/>
      <c r="BA385" s="1779"/>
      <c r="BB385" s="1779"/>
      <c r="BC385" s="1779"/>
      <c r="BD385" s="1779"/>
      <c r="BE385" s="1779"/>
      <c r="BF385" s="1779"/>
      <c r="BG385" s="1779"/>
      <c r="BH385" s="1779"/>
      <c r="BI385" s="1779"/>
      <c r="BJ385" s="1779"/>
      <c r="BK385" s="1779"/>
      <c r="BL385" s="1779"/>
      <c r="BM385" s="1779"/>
      <c r="BN385" s="1779"/>
      <c r="BO385" s="1779"/>
      <c r="BP385" s="1780"/>
      <c r="BQ385" s="1755"/>
      <c r="BR385" s="1755"/>
      <c r="BS385" s="1755"/>
      <c r="BT385" s="1755"/>
      <c r="BU385" s="1755"/>
      <c r="BV385" s="1755"/>
      <c r="BW385" s="1755"/>
      <c r="BX385" s="1755"/>
      <c r="BY385" s="1755"/>
      <c r="BZ385" s="1755"/>
      <c r="CA385" s="1755"/>
      <c r="CB385" s="1755"/>
      <c r="CC385" s="1755"/>
      <c r="CD385" s="1755"/>
      <c r="CE385" s="1755"/>
      <c r="CF385" s="1755"/>
      <c r="CG385" s="1755"/>
      <c r="CH385" s="1755"/>
      <c r="CI385" s="1755"/>
      <c r="CJ385" s="1755"/>
      <c r="CK385" s="1755"/>
      <c r="CL385" s="1755"/>
      <c r="CM385" s="1755"/>
      <c r="CN385" s="1756"/>
      <c r="CO385" s="1783"/>
    </row>
    <row r="386" spans="2:93" x14ac:dyDescent="0.2">
      <c r="B386" s="1707"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386" s="1703" t="s">
        <v>1082</v>
      </c>
      <c r="D386" s="1765" t="s">
        <v>1081</v>
      </c>
      <c r="E386" s="1723" t="s">
        <v>860</v>
      </c>
      <c r="F386" s="1747" t="str">
        <f>VLOOKUP(TBL5_OptBen[[#This Row],[Option Type (defined list)]],'Option Typs_Grps'!B$2:C$47, 2, FALSE)</f>
        <v>Distribution Options</v>
      </c>
      <c r="G386" s="1747" t="s">
        <v>863</v>
      </c>
      <c r="H386" s="1747" t="s">
        <v>1458</v>
      </c>
      <c r="I386" s="1747" t="s">
        <v>93</v>
      </c>
      <c r="J386" s="1747" t="s">
        <v>236</v>
      </c>
      <c r="K386" s="1760">
        <v>2</v>
      </c>
      <c r="L386" s="1779"/>
      <c r="M386" s="1779"/>
      <c r="N386" s="1779">
        <v>0</v>
      </c>
      <c r="O386" s="1780">
        <v>0</v>
      </c>
      <c r="P386" s="1780">
        <v>0</v>
      </c>
      <c r="Q386" s="1779">
        <v>0</v>
      </c>
      <c r="R386" s="1779">
        <v>1.6012833302289531E-2</v>
      </c>
      <c r="S386" s="1779">
        <v>3.2297784268105145E-2</v>
      </c>
      <c r="T386" s="1779">
        <v>4.6891326556159241E-2</v>
      </c>
      <c r="U386" s="1779">
        <v>6.1476061398944459E-2</v>
      </c>
      <c r="V386" s="1779">
        <v>6.7704838780245469E-2</v>
      </c>
      <c r="W386" s="1779">
        <v>6.8220328336446867E-2</v>
      </c>
      <c r="X386" s="1779">
        <v>7.6904546290095466E-2</v>
      </c>
      <c r="Y386" s="1779">
        <v>9.1173372840745115E-2</v>
      </c>
      <c r="Z386" s="1779">
        <v>0.10542791179829925</v>
      </c>
      <c r="AA386" s="1779">
        <v>0.11966776006978419</v>
      </c>
      <c r="AB386" s="1779">
        <v>0.1338935329489499</v>
      </c>
      <c r="AC386" s="1779">
        <v>0.14810483085964576</v>
      </c>
      <c r="AD386" s="1779">
        <v>0.16230273066300716</v>
      </c>
      <c r="AE386" s="1779">
        <v>0.17648917044213785</v>
      </c>
      <c r="AF386" s="1779">
        <v>0.19066368741453266</v>
      </c>
      <c r="AG386" s="1779">
        <v>0.20481992820443029</v>
      </c>
      <c r="AH386" s="1779">
        <v>0.21895815868837754</v>
      </c>
      <c r="AI386" s="1779">
        <v>0.23308594445252351</v>
      </c>
      <c r="AJ386" s="1779">
        <v>0.24720120862646122</v>
      </c>
      <c r="AK386" s="1779">
        <v>0.26130520094276699</v>
      </c>
      <c r="AL386" s="1779">
        <v>0.27539827539136907</v>
      </c>
      <c r="AM386" s="1779">
        <v>0.28948165215975519</v>
      </c>
      <c r="AN386" s="1779">
        <v>0.30355690303425731</v>
      </c>
      <c r="AO386" s="1779">
        <v>0.31762429344060794</v>
      </c>
      <c r="AP386" s="1779">
        <v>0.33168332357691122</v>
      </c>
      <c r="AQ386" s="1779"/>
      <c r="AR386" s="1779"/>
      <c r="AS386" s="1779"/>
      <c r="AT386" s="1779"/>
      <c r="AU386" s="1779"/>
      <c r="AV386" s="1779"/>
      <c r="AW386" s="1779"/>
      <c r="AX386" s="1779"/>
      <c r="AY386" s="1779"/>
      <c r="AZ386" s="1779"/>
      <c r="BA386" s="1779"/>
      <c r="BB386" s="1779"/>
      <c r="BC386" s="1779"/>
      <c r="BD386" s="1779"/>
      <c r="BE386" s="1779"/>
      <c r="BF386" s="1779"/>
      <c r="BG386" s="1779"/>
      <c r="BH386" s="1779"/>
      <c r="BI386" s="1779"/>
      <c r="BJ386" s="1779"/>
      <c r="BK386" s="1779"/>
      <c r="BL386" s="1779"/>
      <c r="BM386" s="1779"/>
      <c r="BN386" s="1779"/>
      <c r="BO386" s="1779"/>
      <c r="BP386" s="1780"/>
      <c r="BQ386" s="1755"/>
      <c r="BR386" s="1755"/>
      <c r="BS386" s="1755"/>
      <c r="BT386" s="1755"/>
      <c r="BU386" s="1755"/>
      <c r="BV386" s="1755"/>
      <c r="BW386" s="1755"/>
      <c r="BX386" s="1755"/>
      <c r="BY386" s="1755"/>
      <c r="BZ386" s="1755"/>
      <c r="CA386" s="1755"/>
      <c r="CB386" s="1755"/>
      <c r="CC386" s="1755"/>
      <c r="CD386" s="1755"/>
      <c r="CE386" s="1755"/>
      <c r="CF386" s="1755"/>
      <c r="CG386" s="1755"/>
      <c r="CH386" s="1755"/>
      <c r="CI386" s="1755"/>
      <c r="CJ386" s="1755"/>
      <c r="CK386" s="1755"/>
      <c r="CL386" s="1755"/>
      <c r="CM386" s="1755"/>
      <c r="CN386" s="1756"/>
      <c r="CO386" s="1783"/>
    </row>
    <row r="387" spans="2:93" ht="15" x14ac:dyDescent="0.25">
      <c r="B387" s="1707"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87" s="1703" t="s">
        <v>1119</v>
      </c>
      <c r="D387" s="1765" t="s">
        <v>1118</v>
      </c>
      <c r="E387" s="1723" t="s">
        <v>1099</v>
      </c>
      <c r="F387" s="1747" t="str">
        <f>VLOOKUP(TBL5_OptBen[[#This Row],[Option Type (defined list)]],'Option Typs_Grps'!B$2:C$47, 2, FALSE)</f>
        <v>Customer Options</v>
      </c>
      <c r="G387" s="1747" t="s">
        <v>863</v>
      </c>
      <c r="H387" s="1747" t="s">
        <v>1458</v>
      </c>
      <c r="I387" s="1747" t="s">
        <v>93</v>
      </c>
      <c r="J387" s="1747" t="s">
        <v>236</v>
      </c>
      <c r="K387" s="1760">
        <v>2</v>
      </c>
      <c r="L387" s="1779"/>
      <c r="M387" s="1779"/>
      <c r="N387" s="1779">
        <v>0</v>
      </c>
      <c r="O387" s="1780">
        <v>0</v>
      </c>
      <c r="P387" s="1780">
        <v>0</v>
      </c>
      <c r="Q387" s="1779">
        <v>0</v>
      </c>
      <c r="R387" s="1779">
        <v>-3.4263330228962406E-4</v>
      </c>
      <c r="S387" s="1779">
        <v>-9.5738426810537854E-4</v>
      </c>
      <c r="T387" s="1779">
        <v>1.192734438405299E-4</v>
      </c>
      <c r="U387" s="1779">
        <v>1.2047386010554384E-3</v>
      </c>
      <c r="V387" s="1779">
        <v>1.0646161219754301E-2</v>
      </c>
      <c r="W387" s="1779">
        <v>2.580087166355283E-2</v>
      </c>
      <c r="X387" s="1779">
        <v>3.2786853709904314E-2</v>
      </c>
      <c r="Y387" s="1779">
        <v>3.4188227159254521E-2</v>
      </c>
      <c r="Z387" s="1779">
        <v>3.5603888201700525E-2</v>
      </c>
      <c r="AA387" s="1779">
        <v>3.70342399302157E-2</v>
      </c>
      <c r="AB387" s="1779">
        <v>3.8478667051049797E-2</v>
      </c>
      <c r="AC387" s="1779">
        <v>3.9937569140353874E-2</v>
      </c>
      <c r="AD387" s="1779">
        <v>4.1409869336992353E-2</v>
      </c>
      <c r="AE387" s="1779">
        <v>4.2893629557861718E-2</v>
      </c>
      <c r="AF387" s="1779">
        <v>4.4389312585466904E-2</v>
      </c>
      <c r="AG387" s="1779">
        <v>4.5903271795569175E-2</v>
      </c>
      <c r="AH387" s="1779">
        <v>4.7435241311621787E-2</v>
      </c>
      <c r="AI387" s="1779">
        <v>4.897765554747599E-2</v>
      </c>
      <c r="AJ387" s="1779">
        <v>5.0532591373538299E-2</v>
      </c>
      <c r="AK387" s="1779">
        <v>5.209879905723229E-2</v>
      </c>
      <c r="AL387" s="1779">
        <v>5.3675924608630209E-2</v>
      </c>
      <c r="AM387" s="1779">
        <v>5.5262747840244097E-2</v>
      </c>
      <c r="AN387" s="1779">
        <v>5.6857696965741972E-2</v>
      </c>
      <c r="AO387" s="1779">
        <v>5.846050655939123E-2</v>
      </c>
      <c r="AP387" s="1779">
        <v>6.0071676423088909E-2</v>
      </c>
      <c r="AQ387" s="1779"/>
      <c r="AR387" s="1779"/>
      <c r="AS387" s="1779"/>
      <c r="AT387" s="1779"/>
      <c r="AU387" s="1779"/>
      <c r="AV387" s="1779"/>
      <c r="AW387" s="1779"/>
      <c r="AX387" s="1779"/>
      <c r="AY387" s="1779"/>
      <c r="AZ387" s="1779"/>
      <c r="BA387" s="1779"/>
      <c r="BB387" s="1779"/>
      <c r="BC387" s="1779"/>
      <c r="BD387" s="1779"/>
      <c r="BE387" s="1779"/>
      <c r="BF387" s="1779"/>
      <c r="BG387" s="1779"/>
      <c r="BH387" s="1779"/>
      <c r="BI387" s="1779"/>
      <c r="BJ387" s="1779"/>
      <c r="BK387" s="1779"/>
      <c r="BL387" s="1779"/>
      <c r="BM387" s="1779"/>
      <c r="BN387" s="1779"/>
      <c r="BO387" s="1779"/>
      <c r="BP387" s="1780"/>
      <c r="BQ387" s="1755"/>
      <c r="BR387" s="1755"/>
      <c r="BS387" s="1755"/>
      <c r="BT387" s="1755"/>
      <c r="BU387" s="1755"/>
      <c r="BV387" s="1755"/>
      <c r="BW387" s="1755"/>
      <c r="BX387" s="1755"/>
      <c r="BY387" s="1755"/>
      <c r="BZ387" s="1755"/>
      <c r="CA387" s="1755"/>
      <c r="CB387" s="1755"/>
      <c r="CC387" s="1755"/>
      <c r="CD387" s="1755"/>
      <c r="CE387" s="1755"/>
      <c r="CF387" s="1755"/>
      <c r="CG387" s="1755"/>
      <c r="CH387" s="1755"/>
      <c r="CI387" s="1755"/>
      <c r="CJ387" s="1755"/>
      <c r="CK387" s="1755"/>
      <c r="CL387" s="1755"/>
      <c r="CM387" s="1755"/>
      <c r="CN387" s="1756"/>
      <c r="CO387" s="1783"/>
    </row>
    <row r="388" spans="2:93" x14ac:dyDescent="0.2">
      <c r="B388" s="1707"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88" s="1707" t="s">
        <v>1125</v>
      </c>
      <c r="D388" s="1765" t="s">
        <v>1474</v>
      </c>
      <c r="E388" s="1714" t="s">
        <v>987</v>
      </c>
      <c r="F388" s="1747" t="str">
        <f>VLOOKUP(TBL5_OptBen[[#This Row],[Option Type (defined list)]],'Option Typs_Grps'!B$2:C$47, 2, FALSE)</f>
        <v>Customer Options</v>
      </c>
      <c r="G388" s="1747" t="s">
        <v>863</v>
      </c>
      <c r="H388" s="1747" t="s">
        <v>1458</v>
      </c>
      <c r="I388" s="1747" t="s">
        <v>93</v>
      </c>
      <c r="J388" s="1747" t="s">
        <v>236</v>
      </c>
      <c r="K388" s="1760">
        <v>2</v>
      </c>
      <c r="L388" s="1779"/>
      <c r="M388" s="1779"/>
      <c r="N388" s="1779">
        <v>0</v>
      </c>
      <c r="O388" s="1780">
        <v>0</v>
      </c>
      <c r="P388" s="1780">
        <v>0</v>
      </c>
      <c r="Q388" s="1779">
        <v>0</v>
      </c>
      <c r="R388" s="1779">
        <v>1.0144563675199336E-2</v>
      </c>
      <c r="S388" s="1779">
        <v>2.0289127350499925E-2</v>
      </c>
      <c r="T388" s="1779">
        <v>3.0433691025800513E-2</v>
      </c>
      <c r="U388" s="1779">
        <v>4.0578254701101102E-2</v>
      </c>
      <c r="V388" s="1779">
        <v>5.0722818376399914E-2</v>
      </c>
      <c r="W388" s="1779">
        <v>7.2467705815599359E-2</v>
      </c>
      <c r="X388" s="1779">
        <v>9.4212593254999533E-2</v>
      </c>
      <c r="Y388" s="1779">
        <v>0.11595748069419898</v>
      </c>
      <c r="Z388" s="1779">
        <v>0.13770236813349968</v>
      </c>
      <c r="AA388" s="1779">
        <v>0.1594472555727986</v>
      </c>
      <c r="AB388" s="1779">
        <v>0.17964585081410078</v>
      </c>
      <c r="AC388" s="1779">
        <v>0.19984444605529994</v>
      </c>
      <c r="AD388" s="1779">
        <v>0.22004304129650087</v>
      </c>
      <c r="AE388" s="1779">
        <v>0.2200430412964991</v>
      </c>
      <c r="AF388" s="1779">
        <v>0.22004304129650087</v>
      </c>
      <c r="AG388" s="1779">
        <v>0.2200430412964991</v>
      </c>
      <c r="AH388" s="1779">
        <v>0.22004304129650087</v>
      </c>
      <c r="AI388" s="1779">
        <v>0.22004304129650087</v>
      </c>
      <c r="AJ388" s="1779">
        <v>0.22004304129650087</v>
      </c>
      <c r="AK388" s="1779">
        <v>0.2200430412964991</v>
      </c>
      <c r="AL388" s="1779">
        <v>0.22004304129650087</v>
      </c>
      <c r="AM388" s="1779">
        <v>0.22004304129650087</v>
      </c>
      <c r="AN388" s="1779">
        <v>0.22004304129650087</v>
      </c>
      <c r="AO388" s="1779">
        <v>0.2200430412964991</v>
      </c>
      <c r="AP388" s="1779">
        <v>0.22004304129650087</v>
      </c>
      <c r="AQ388" s="1779"/>
      <c r="AR388" s="1779"/>
      <c r="AS388" s="1779"/>
      <c r="AT388" s="1779"/>
      <c r="AU388" s="1779"/>
      <c r="AV388" s="1779"/>
      <c r="AW388" s="1779"/>
      <c r="AX388" s="1779"/>
      <c r="AY388" s="1779"/>
      <c r="AZ388" s="1779"/>
      <c r="BA388" s="1779"/>
      <c r="BB388" s="1779"/>
      <c r="BC388" s="1779"/>
      <c r="BD388" s="1779"/>
      <c r="BE388" s="1779"/>
      <c r="BF388" s="1779"/>
      <c r="BG388" s="1779"/>
      <c r="BH388" s="1779"/>
      <c r="BI388" s="1779"/>
      <c r="BJ388" s="1779"/>
      <c r="BK388" s="1779"/>
      <c r="BL388" s="1779"/>
      <c r="BM388" s="1779"/>
      <c r="BN388" s="1779"/>
      <c r="BO388" s="1779"/>
      <c r="BP388" s="1780"/>
      <c r="BQ388" s="1755"/>
      <c r="BR388" s="1755"/>
      <c r="BS388" s="1755"/>
      <c r="BT388" s="1755"/>
      <c r="BU388" s="1755"/>
      <c r="BV388" s="1755"/>
      <c r="BW388" s="1755"/>
      <c r="BX388" s="1755"/>
      <c r="BY388" s="1755"/>
      <c r="BZ388" s="1755"/>
      <c r="CA388" s="1755"/>
      <c r="CB388" s="1755"/>
      <c r="CC388" s="1755"/>
      <c r="CD388" s="1755"/>
      <c r="CE388" s="1755"/>
      <c r="CF388" s="1755"/>
      <c r="CG388" s="1755"/>
      <c r="CH388" s="1755"/>
      <c r="CI388" s="1755"/>
      <c r="CJ388" s="1755"/>
      <c r="CK388" s="1755"/>
      <c r="CL388" s="1755"/>
      <c r="CM388" s="1755"/>
      <c r="CN388" s="1756"/>
      <c r="CO388" s="1783"/>
    </row>
    <row r="389" spans="2:93" x14ac:dyDescent="0.2">
      <c r="B389" s="1707"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89" s="1703" t="s">
        <v>1079</v>
      </c>
      <c r="D389" s="1765" t="s">
        <v>1078</v>
      </c>
      <c r="E389" s="1714" t="s">
        <v>987</v>
      </c>
      <c r="F389" s="1747" t="str">
        <f>VLOOKUP(TBL5_OptBen[[#This Row],[Option Type (defined list)]],'Option Typs_Grps'!B$2:C$47, 2, FALSE)</f>
        <v>Customer Options</v>
      </c>
      <c r="G389" s="1747" t="s">
        <v>863</v>
      </c>
      <c r="H389" s="1747" t="s">
        <v>1458</v>
      </c>
      <c r="I389" s="1747" t="s">
        <v>93</v>
      </c>
      <c r="J389" s="1747" t="s">
        <v>236</v>
      </c>
      <c r="K389" s="1760">
        <v>2</v>
      </c>
      <c r="L389" s="1779"/>
      <c r="M389" s="1779"/>
      <c r="N389" s="1779">
        <v>0</v>
      </c>
      <c r="O389" s="1780">
        <v>0</v>
      </c>
      <c r="P389" s="1780">
        <v>0</v>
      </c>
      <c r="Q389" s="1779">
        <v>0</v>
      </c>
      <c r="R389" s="1779">
        <v>0</v>
      </c>
      <c r="S389" s="1779">
        <v>0</v>
      </c>
      <c r="T389" s="1779">
        <v>1.2316154623000841E-2</v>
      </c>
      <c r="U389" s="1779">
        <v>2.4492761570900967E-2</v>
      </c>
      <c r="V389" s="1779">
        <v>3.6494205364698828E-2</v>
      </c>
      <c r="W389" s="1779">
        <v>4.840714577579952E-2</v>
      </c>
      <c r="X389" s="1779">
        <v>6.0274776207499769E-2</v>
      </c>
      <c r="Y389" s="1779">
        <v>7.2075016762699562E-2</v>
      </c>
      <c r="Z389" s="1779">
        <v>9.6940235992798662E-2</v>
      </c>
      <c r="AA389" s="1779">
        <v>0.12163387279989912</v>
      </c>
      <c r="AB389" s="1779">
        <v>0.14620955217790055</v>
      </c>
      <c r="AC389" s="1779">
        <v>0.17063373049670005</v>
      </c>
      <c r="AD389" s="1779">
        <v>0.19495479254990045</v>
      </c>
      <c r="AE389" s="1779">
        <v>0.2192086231135999</v>
      </c>
      <c r="AF389" s="1779">
        <v>0.2432107743487002</v>
      </c>
      <c r="AG389" s="1779">
        <v>0.26704516829710023</v>
      </c>
      <c r="AH389" s="1779">
        <v>0.29089161678320075</v>
      </c>
      <c r="AI389" s="1779">
        <v>0.31469205759239927</v>
      </c>
      <c r="AJ389" s="1779">
        <v>0.32222836230859997</v>
      </c>
      <c r="AK389" s="1779">
        <v>0.32981805983060042</v>
      </c>
      <c r="AL389" s="1779">
        <v>0.33738307145740087</v>
      </c>
      <c r="AM389" s="1779">
        <v>0.34497200784130122</v>
      </c>
      <c r="AN389" s="1779">
        <v>0.35268172673660025</v>
      </c>
      <c r="AO389" s="1779">
        <v>0.3604911591194</v>
      </c>
      <c r="AP389" s="1779">
        <v>0.36835618440450091</v>
      </c>
      <c r="AQ389" s="1779"/>
      <c r="AR389" s="1779"/>
      <c r="AS389" s="1779"/>
      <c r="AT389" s="1779"/>
      <c r="AU389" s="1779"/>
      <c r="AV389" s="1779"/>
      <c r="AW389" s="1779"/>
      <c r="AX389" s="1779"/>
      <c r="AY389" s="1779"/>
      <c r="AZ389" s="1779"/>
      <c r="BA389" s="1779"/>
      <c r="BB389" s="1779"/>
      <c r="BC389" s="1779"/>
      <c r="BD389" s="1779"/>
      <c r="BE389" s="1779"/>
      <c r="BF389" s="1779"/>
      <c r="BG389" s="1779"/>
      <c r="BH389" s="1779"/>
      <c r="BI389" s="1779"/>
      <c r="BJ389" s="1779"/>
      <c r="BK389" s="1779"/>
      <c r="BL389" s="1779"/>
      <c r="BM389" s="1779"/>
      <c r="BN389" s="1779"/>
      <c r="BO389" s="1779"/>
      <c r="BP389" s="1780"/>
      <c r="BQ389" s="1755"/>
      <c r="BR389" s="1755"/>
      <c r="BS389" s="1755"/>
      <c r="BT389" s="1755"/>
      <c r="BU389" s="1755"/>
      <c r="BV389" s="1755"/>
      <c r="BW389" s="1755"/>
      <c r="BX389" s="1755"/>
      <c r="BY389" s="1755"/>
      <c r="BZ389" s="1755"/>
      <c r="CA389" s="1755"/>
      <c r="CB389" s="1755"/>
      <c r="CC389" s="1755"/>
      <c r="CD389" s="1755"/>
      <c r="CE389" s="1755"/>
      <c r="CF389" s="1755"/>
      <c r="CG389" s="1755"/>
      <c r="CH389" s="1755"/>
      <c r="CI389" s="1755"/>
      <c r="CJ389" s="1755"/>
      <c r="CK389" s="1755"/>
      <c r="CL389" s="1755"/>
      <c r="CM389" s="1755"/>
      <c r="CN389" s="1756"/>
      <c r="CO389" s="1783"/>
    </row>
    <row r="390" spans="2:93" ht="15" x14ac:dyDescent="0.25">
      <c r="B390" s="1707"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90" s="1703" t="s">
        <v>1067</v>
      </c>
      <c r="D390" s="1765" t="s">
        <v>1066</v>
      </c>
      <c r="E390" s="1723" t="s">
        <v>1068</v>
      </c>
      <c r="F390" s="1747" t="str">
        <f>VLOOKUP(TBL5_OptBen[[#This Row],[Option Type (defined list)]],'Option Typs_Grps'!B$2:C$47, 2, FALSE)</f>
        <v>Customer Options</v>
      </c>
      <c r="G390" s="1747" t="s">
        <v>863</v>
      </c>
      <c r="H390" s="1747" t="s">
        <v>1458</v>
      </c>
      <c r="I390" s="1747" t="s">
        <v>102</v>
      </c>
      <c r="J390" s="1747" t="s">
        <v>236</v>
      </c>
      <c r="K390" s="1760">
        <v>2</v>
      </c>
      <c r="L390" s="1779"/>
      <c r="M390" s="1779"/>
      <c r="N390" s="1779">
        <v>0</v>
      </c>
      <c r="O390" s="1780">
        <v>2.5757174171303632E-14</v>
      </c>
      <c r="P390" s="1780">
        <v>4.0856207306205761E-14</v>
      </c>
      <c r="Q390" s="1779">
        <v>0</v>
      </c>
      <c r="R390" s="1779">
        <v>2.8222942254962025E-2</v>
      </c>
      <c r="S390" s="1779">
        <v>5.102355375825951E-2</v>
      </c>
      <c r="T390" s="1779">
        <v>-3.463498264699183E-2</v>
      </c>
      <c r="U390" s="1779">
        <v>-4.0982019910842382E-2</v>
      </c>
      <c r="V390" s="1779">
        <v>-4.4940511999577382E-2</v>
      </c>
      <c r="W390" s="1779">
        <v>-4.775765604458293E-2</v>
      </c>
      <c r="X390" s="1779">
        <v>-4.8309414629620129E-2</v>
      </c>
      <c r="Y390" s="1779">
        <v>-4.7194492905036134E-2</v>
      </c>
      <c r="Z390" s="1779">
        <v>-4.5687750903295077E-2</v>
      </c>
      <c r="AA390" s="1779">
        <v>-4.3850077526514042E-2</v>
      </c>
      <c r="AB390" s="1779">
        <v>-4.251077120807617E-2</v>
      </c>
      <c r="AC390" s="1779">
        <v>-4.0811700950468266E-2</v>
      </c>
      <c r="AD390" s="1779">
        <v>-3.8842439729724676E-2</v>
      </c>
      <c r="AE390" s="1779">
        <v>-3.6734993318920717E-2</v>
      </c>
      <c r="AF390" s="1779">
        <v>-3.4514656625783124E-2</v>
      </c>
      <c r="AG390" s="1779">
        <v>-3.2990954233751757E-2</v>
      </c>
      <c r="AH390" s="1779">
        <v>-3.0526067857536643E-2</v>
      </c>
      <c r="AI390" s="1779">
        <v>-2.828810780484603E-2</v>
      </c>
      <c r="AJ390" s="1779">
        <v>-2.6948396809237662E-2</v>
      </c>
      <c r="AK390" s="1779">
        <v>-2.6745392207197627E-2</v>
      </c>
      <c r="AL390" s="1779">
        <v>-2.6597930185511709E-2</v>
      </c>
      <c r="AM390" s="1779">
        <v>-2.6563086591654517E-2</v>
      </c>
      <c r="AN390" s="1779">
        <v>-2.6636264602878157E-2</v>
      </c>
      <c r="AO390" s="1779">
        <v>-2.6832454923069959E-2</v>
      </c>
      <c r="AP390" s="1779">
        <v>-2.6965253032190883E-2</v>
      </c>
      <c r="AQ390" s="1779"/>
      <c r="AR390" s="1779"/>
      <c r="AS390" s="1779"/>
      <c r="AT390" s="1779"/>
      <c r="AU390" s="1779"/>
      <c r="AV390" s="1779"/>
      <c r="AW390" s="1779"/>
      <c r="AX390" s="1779"/>
      <c r="AY390" s="1779"/>
      <c r="AZ390" s="1779"/>
      <c r="BA390" s="1779"/>
      <c r="BB390" s="1779"/>
      <c r="BC390" s="1779"/>
      <c r="BD390" s="1779"/>
      <c r="BE390" s="1779"/>
      <c r="BF390" s="1779"/>
      <c r="BG390" s="1779"/>
      <c r="BH390" s="1779"/>
      <c r="BI390" s="1779"/>
      <c r="BJ390" s="1779"/>
      <c r="BK390" s="1779"/>
      <c r="BL390" s="1779"/>
      <c r="BM390" s="1779"/>
      <c r="BN390" s="1779"/>
      <c r="BO390" s="1779"/>
      <c r="BP390" s="1780"/>
      <c r="BQ390" s="1755"/>
      <c r="BR390" s="1755"/>
      <c r="BS390" s="1755"/>
      <c r="BT390" s="1755"/>
      <c r="BU390" s="1755"/>
      <c r="BV390" s="1755"/>
      <c r="BW390" s="1755"/>
      <c r="BX390" s="1755"/>
      <c r="BY390" s="1755"/>
      <c r="BZ390" s="1755"/>
      <c r="CA390" s="1755"/>
      <c r="CB390" s="1755"/>
      <c r="CC390" s="1755"/>
      <c r="CD390" s="1755"/>
      <c r="CE390" s="1755"/>
      <c r="CF390" s="1755"/>
      <c r="CG390" s="1755"/>
      <c r="CH390" s="1755"/>
      <c r="CI390" s="1755"/>
      <c r="CJ390" s="1755"/>
      <c r="CK390" s="1755"/>
      <c r="CL390" s="1755"/>
      <c r="CM390" s="1755"/>
      <c r="CN390" s="1756"/>
      <c r="CO390" s="1783"/>
    </row>
    <row r="391" spans="2:93" ht="15" x14ac:dyDescent="0.25">
      <c r="B391" s="1707"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91" s="1703" t="s">
        <v>1075</v>
      </c>
      <c r="D391" s="1765" t="s">
        <v>1074</v>
      </c>
      <c r="E391" s="1723" t="s">
        <v>987</v>
      </c>
      <c r="F391" s="1747" t="str">
        <f>VLOOKUP(TBL5_OptBen[[#This Row],[Option Type (defined list)]],'Option Typs_Grps'!B$2:C$47, 2, FALSE)</f>
        <v>Customer Options</v>
      </c>
      <c r="G391" s="1747" t="s">
        <v>863</v>
      </c>
      <c r="H391" s="1747" t="s">
        <v>1458</v>
      </c>
      <c r="I391" s="1747" t="s">
        <v>102</v>
      </c>
      <c r="J391" s="1747" t="s">
        <v>236</v>
      </c>
      <c r="K391" s="1760">
        <v>2</v>
      </c>
      <c r="L391" s="1779"/>
      <c r="M391" s="1779"/>
      <c r="N391" s="1779">
        <v>0</v>
      </c>
      <c r="O391" s="1780">
        <v>0</v>
      </c>
      <c r="P391" s="1780">
        <v>0</v>
      </c>
      <c r="Q391" s="1779">
        <v>0</v>
      </c>
      <c r="R391" s="1779">
        <v>2.6466184574900353E-2</v>
      </c>
      <c r="S391" s="1779">
        <v>5.2703045370600776E-2</v>
      </c>
      <c r="T391" s="1779">
        <v>7.8838269622799828E-2</v>
      </c>
      <c r="U391" s="1779">
        <v>0.10477022753389953</v>
      </c>
      <c r="V391" s="1779">
        <v>0.13037979739119976</v>
      </c>
      <c r="W391" s="1779">
        <v>0.15447090153770127</v>
      </c>
      <c r="X391" s="1779">
        <v>0.178389663577601</v>
      </c>
      <c r="Y391" s="1779">
        <v>0.20212094995099861</v>
      </c>
      <c r="Z391" s="1779">
        <v>0.22569794914289965</v>
      </c>
      <c r="AA391" s="1779">
        <v>0.24915739999269881</v>
      </c>
      <c r="AB391" s="1779">
        <v>0.2720656474501002</v>
      </c>
      <c r="AC391" s="1779">
        <v>0.29486199233470067</v>
      </c>
      <c r="AD391" s="1779">
        <v>0.31768700526280114</v>
      </c>
      <c r="AE391" s="1779">
        <v>0.34038776342729982</v>
      </c>
      <c r="AF391" s="1779">
        <v>0.36273496351030055</v>
      </c>
      <c r="AG391" s="1779">
        <v>0.38414449070080003</v>
      </c>
      <c r="AH391" s="1779">
        <v>0.4054621388136006</v>
      </c>
      <c r="AI391" s="1779">
        <v>0.42676131530109984</v>
      </c>
      <c r="AJ391" s="1779">
        <v>0.44802374330889982</v>
      </c>
      <c r="AK391" s="1779">
        <v>0.44685892045979969</v>
      </c>
      <c r="AL391" s="1779">
        <v>0.44567043903500014</v>
      </c>
      <c r="AM391" s="1779">
        <v>0.4444983119407997</v>
      </c>
      <c r="AN391" s="1779">
        <v>0.44352353592370086</v>
      </c>
      <c r="AO391" s="1779">
        <v>0.44272260925770013</v>
      </c>
      <c r="AP391" s="1779">
        <v>0.4420649494759008</v>
      </c>
      <c r="AQ391" s="1779"/>
      <c r="AR391" s="1779"/>
      <c r="AS391" s="1779"/>
      <c r="AT391" s="1779"/>
      <c r="AU391" s="1779"/>
      <c r="AV391" s="1779"/>
      <c r="AW391" s="1779"/>
      <c r="AX391" s="1779"/>
      <c r="AY391" s="1779"/>
      <c r="AZ391" s="1779"/>
      <c r="BA391" s="1779"/>
      <c r="BB391" s="1779"/>
      <c r="BC391" s="1779"/>
      <c r="BD391" s="1779"/>
      <c r="BE391" s="1779"/>
      <c r="BF391" s="1779"/>
      <c r="BG391" s="1779"/>
      <c r="BH391" s="1779"/>
      <c r="BI391" s="1779"/>
      <c r="BJ391" s="1779"/>
      <c r="BK391" s="1779"/>
      <c r="BL391" s="1779"/>
      <c r="BM391" s="1779"/>
      <c r="BN391" s="1779"/>
      <c r="BO391" s="1779"/>
      <c r="BP391" s="1780"/>
      <c r="BQ391" s="1755"/>
      <c r="BR391" s="1755"/>
      <c r="BS391" s="1755"/>
      <c r="BT391" s="1755"/>
      <c r="BU391" s="1755"/>
      <c r="BV391" s="1755"/>
      <c r="BW391" s="1755"/>
      <c r="BX391" s="1755"/>
      <c r="BY391" s="1755"/>
      <c r="BZ391" s="1755"/>
      <c r="CA391" s="1755"/>
      <c r="CB391" s="1755"/>
      <c r="CC391" s="1755"/>
      <c r="CD391" s="1755"/>
      <c r="CE391" s="1755"/>
      <c r="CF391" s="1755"/>
      <c r="CG391" s="1755"/>
      <c r="CH391" s="1755"/>
      <c r="CI391" s="1755"/>
      <c r="CJ391" s="1755"/>
      <c r="CK391" s="1755"/>
      <c r="CL391" s="1755"/>
      <c r="CM391" s="1755"/>
      <c r="CN391" s="1756"/>
      <c r="CO391" s="1783"/>
    </row>
    <row r="392" spans="2:93" x14ac:dyDescent="0.2">
      <c r="B392" s="1707"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92" s="1707" t="s">
        <v>1123</v>
      </c>
      <c r="D392" s="1765" t="s">
        <v>1122</v>
      </c>
      <c r="E392" s="1714" t="s">
        <v>987</v>
      </c>
      <c r="F392" s="1747" t="str">
        <f>VLOOKUP(TBL5_OptBen[[#This Row],[Option Type (defined list)]],'Option Typs_Grps'!B$2:C$47, 2, FALSE)</f>
        <v>Customer Options</v>
      </c>
      <c r="G392" s="1747" t="s">
        <v>863</v>
      </c>
      <c r="H392" s="1747" t="s">
        <v>1458</v>
      </c>
      <c r="I392" s="1747" t="s">
        <v>102</v>
      </c>
      <c r="J392" s="1747" t="s">
        <v>236</v>
      </c>
      <c r="K392" s="1760">
        <v>2</v>
      </c>
      <c r="L392" s="1779"/>
      <c r="M392" s="1779"/>
      <c r="N392" s="1779">
        <v>0</v>
      </c>
      <c r="O392" s="1780">
        <v>0</v>
      </c>
      <c r="P392" s="1780">
        <v>0</v>
      </c>
      <c r="Q392" s="1779">
        <v>0</v>
      </c>
      <c r="R392" s="1779">
        <v>7.6893942480005251E-4</v>
      </c>
      <c r="S392" s="1779">
        <v>9.1903375258990394E-3</v>
      </c>
      <c r="T392" s="1779">
        <v>2.2905399728010423E-3</v>
      </c>
      <c r="U392" s="1779">
        <v>3.0439581597008214E-3</v>
      </c>
      <c r="V392" s="1779">
        <v>3.7880097950999669E-3</v>
      </c>
      <c r="W392" s="1779">
        <v>4.5072612840986181E-3</v>
      </c>
      <c r="X392" s="1779">
        <v>5.2213450049993781E-3</v>
      </c>
      <c r="Y392" s="1779">
        <v>5.9298262703002536E-3</v>
      </c>
      <c r="Z392" s="1779">
        <v>6.6336833909996784E-3</v>
      </c>
      <c r="AA392" s="1779">
        <v>7.3340038329998691E-3</v>
      </c>
      <c r="AB392" s="1779">
        <v>7.310275623499507E-3</v>
      </c>
      <c r="AC392" s="1779">
        <v>7.2875865650985361E-3</v>
      </c>
      <c r="AD392" s="1779">
        <v>7.2689216290005021E-3</v>
      </c>
      <c r="AE392" s="1779">
        <v>7.2501894383005805E-3</v>
      </c>
      <c r="AF392" s="1779">
        <v>7.2268345811998813E-3</v>
      </c>
      <c r="AG392" s="1779">
        <v>7.2018840931988848E-3</v>
      </c>
      <c r="AH392" s="1779">
        <v>7.1780868481994275E-3</v>
      </c>
      <c r="AI392" s="1779">
        <v>7.1564912776995726E-3</v>
      </c>
      <c r="AJ392" s="1779">
        <v>7.136475193899372E-3</v>
      </c>
      <c r="AK392" s="1779">
        <v>7.1179209777998409E-3</v>
      </c>
      <c r="AL392" s="1779">
        <v>7.0989899091991049E-3</v>
      </c>
      <c r="AM392" s="1779">
        <v>7.080319345300623E-3</v>
      </c>
      <c r="AN392" s="1779">
        <v>7.0647923447992866E-3</v>
      </c>
      <c r="AO392" s="1779">
        <v>7.052034553801434E-3</v>
      </c>
      <c r="AP392" s="1779">
        <v>7.0415588305987598E-3</v>
      </c>
      <c r="AQ392" s="1779"/>
      <c r="AR392" s="1779"/>
      <c r="AS392" s="1779"/>
      <c r="AT392" s="1779"/>
      <c r="AU392" s="1779"/>
      <c r="AV392" s="1779"/>
      <c r="AW392" s="1779"/>
      <c r="AX392" s="1779"/>
      <c r="AY392" s="1779"/>
      <c r="AZ392" s="1779"/>
      <c r="BA392" s="1779"/>
      <c r="BB392" s="1779"/>
      <c r="BC392" s="1779"/>
      <c r="BD392" s="1779"/>
      <c r="BE392" s="1779"/>
      <c r="BF392" s="1779"/>
      <c r="BG392" s="1779"/>
      <c r="BH392" s="1779"/>
      <c r="BI392" s="1779"/>
      <c r="BJ392" s="1779"/>
      <c r="BK392" s="1779"/>
      <c r="BL392" s="1779"/>
      <c r="BM392" s="1779"/>
      <c r="BN392" s="1779"/>
      <c r="BO392" s="1779"/>
      <c r="BP392" s="1780"/>
      <c r="BQ392" s="1755"/>
      <c r="BR392" s="1755"/>
      <c r="BS392" s="1755"/>
      <c r="BT392" s="1755"/>
      <c r="BU392" s="1755"/>
      <c r="BV392" s="1755"/>
      <c r="BW392" s="1755"/>
      <c r="BX392" s="1755"/>
      <c r="BY392" s="1755"/>
      <c r="BZ392" s="1755"/>
      <c r="CA392" s="1755"/>
      <c r="CB392" s="1755"/>
      <c r="CC392" s="1755"/>
      <c r="CD392" s="1755"/>
      <c r="CE392" s="1755"/>
      <c r="CF392" s="1755"/>
      <c r="CG392" s="1755"/>
      <c r="CH392" s="1755"/>
      <c r="CI392" s="1755"/>
      <c r="CJ392" s="1755"/>
      <c r="CK392" s="1755"/>
      <c r="CL392" s="1755"/>
      <c r="CM392" s="1755"/>
      <c r="CN392" s="1756"/>
      <c r="CO392" s="1783"/>
    </row>
    <row r="393" spans="2:93" x14ac:dyDescent="0.2">
      <c r="B393" s="1707"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393" s="1703" t="s">
        <v>1082</v>
      </c>
      <c r="D393" s="1765" t="s">
        <v>1081</v>
      </c>
      <c r="E393" s="1723" t="s">
        <v>860</v>
      </c>
      <c r="F393" s="1747" t="str">
        <f>VLOOKUP(TBL5_OptBen[[#This Row],[Option Type (defined list)]],'Option Typs_Grps'!B$2:C$47, 2, FALSE)</f>
        <v>Distribution Options</v>
      </c>
      <c r="G393" s="1747" t="s">
        <v>863</v>
      </c>
      <c r="H393" s="1747" t="s">
        <v>1458</v>
      </c>
      <c r="I393" s="1747" t="s">
        <v>102</v>
      </c>
      <c r="J393" s="1747" t="s">
        <v>236</v>
      </c>
      <c r="K393" s="1760">
        <v>2</v>
      </c>
      <c r="L393" s="1779"/>
      <c r="M393" s="1779"/>
      <c r="N393" s="1779">
        <v>0</v>
      </c>
      <c r="O393" s="1780">
        <v>0</v>
      </c>
      <c r="P393" s="1780">
        <v>0</v>
      </c>
      <c r="Q393" s="1779">
        <v>0</v>
      </c>
      <c r="R393" s="1779">
        <v>-1.6145513693702762E-3</v>
      </c>
      <c r="S393" s="1779">
        <v>-2.862783471225816E-3</v>
      </c>
      <c r="T393" s="1779">
        <v>4.2861807559981813E-3</v>
      </c>
      <c r="U393" s="1779">
        <v>1.1415347046815683E-2</v>
      </c>
      <c r="V393" s="1779">
        <v>1.8531374394505473E-2</v>
      </c>
      <c r="W393" s="1779">
        <v>2.5451428441384927E-2</v>
      </c>
      <c r="X393" s="1779">
        <v>3.2180298944493591E-2</v>
      </c>
      <c r="Y393" s="1779">
        <v>3.8899833363210901E-2</v>
      </c>
      <c r="Z393" s="1779">
        <v>4.5608061135080202E-2</v>
      </c>
      <c r="AA393" s="1779">
        <v>5.2304537552386288E-2</v>
      </c>
      <c r="AB393" s="1779">
        <v>5.8990056648910771E-2</v>
      </c>
      <c r="AC393" s="1779">
        <v>6.5666109426501196E-2</v>
      </c>
      <c r="AD393" s="1779">
        <v>7.2333316033205697E-2</v>
      </c>
      <c r="AE393" s="1779">
        <v>7.8990073448521048E-2</v>
      </c>
      <c r="AF393" s="1779">
        <v>8.5637468534773387E-2</v>
      </c>
      <c r="AG393" s="1779">
        <v>9.2272138106391566E-2</v>
      </c>
      <c r="AH393" s="1779">
        <v>9.8894373222669807E-2</v>
      </c>
      <c r="AI393" s="1779">
        <v>0.10550826501916322</v>
      </c>
      <c r="AJ393" s="1779">
        <v>0.11211449054613076</v>
      </c>
      <c r="AK393" s="1779">
        <v>0.11871315190985066</v>
      </c>
      <c r="AL393" s="1779">
        <v>0.1253036603091634</v>
      </c>
      <c r="AM393" s="1779">
        <v>0.13188627416948917</v>
      </c>
      <c r="AN393" s="1779">
        <v>0.13846030482426297</v>
      </c>
      <c r="AO393" s="1779">
        <v>0.14502519801332275</v>
      </c>
      <c r="AP393" s="1779">
        <v>0.15158118891372041</v>
      </c>
      <c r="AQ393" s="1779"/>
      <c r="AR393" s="1779"/>
      <c r="AS393" s="1779"/>
      <c r="AT393" s="1779"/>
      <c r="AU393" s="1779"/>
      <c r="AV393" s="1779"/>
      <c r="AW393" s="1779"/>
      <c r="AX393" s="1779"/>
      <c r="AY393" s="1779"/>
      <c r="AZ393" s="1779"/>
      <c r="BA393" s="1779"/>
      <c r="BB393" s="1779"/>
      <c r="BC393" s="1779"/>
      <c r="BD393" s="1779"/>
      <c r="BE393" s="1779"/>
      <c r="BF393" s="1779"/>
      <c r="BG393" s="1779"/>
      <c r="BH393" s="1779"/>
      <c r="BI393" s="1779"/>
      <c r="BJ393" s="1779"/>
      <c r="BK393" s="1779"/>
      <c r="BL393" s="1779"/>
      <c r="BM393" s="1779"/>
      <c r="BN393" s="1779"/>
      <c r="BO393" s="1779"/>
      <c r="BP393" s="1780"/>
      <c r="BQ393" s="1755"/>
      <c r="BR393" s="1755"/>
      <c r="BS393" s="1755"/>
      <c r="BT393" s="1755"/>
      <c r="BU393" s="1755"/>
      <c r="BV393" s="1755"/>
      <c r="BW393" s="1755"/>
      <c r="BX393" s="1755"/>
      <c r="BY393" s="1755"/>
      <c r="BZ393" s="1755"/>
      <c r="CA393" s="1755"/>
      <c r="CB393" s="1755"/>
      <c r="CC393" s="1755"/>
      <c r="CD393" s="1755"/>
      <c r="CE393" s="1755"/>
      <c r="CF393" s="1755"/>
      <c r="CG393" s="1755"/>
      <c r="CH393" s="1755"/>
      <c r="CI393" s="1755"/>
      <c r="CJ393" s="1755"/>
      <c r="CK393" s="1755"/>
      <c r="CL393" s="1755"/>
      <c r="CM393" s="1755"/>
      <c r="CN393" s="1756"/>
      <c r="CO393" s="1783"/>
    </row>
    <row r="394" spans="2:93" ht="15" x14ac:dyDescent="0.25">
      <c r="B394" s="1707"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94" s="1703" t="s">
        <v>1119</v>
      </c>
      <c r="D394" s="1765" t="s">
        <v>1118</v>
      </c>
      <c r="E394" s="1723" t="s">
        <v>1099</v>
      </c>
      <c r="F394" s="1747" t="str">
        <f>VLOOKUP(TBL5_OptBen[[#This Row],[Option Type (defined list)]],'Option Typs_Grps'!B$2:C$47, 2, FALSE)</f>
        <v>Customer Options</v>
      </c>
      <c r="G394" s="1747" t="s">
        <v>863</v>
      </c>
      <c r="H394" s="1747" t="s">
        <v>1458</v>
      </c>
      <c r="I394" s="1747" t="s">
        <v>102</v>
      </c>
      <c r="J394" s="1747" t="s">
        <v>236</v>
      </c>
      <c r="K394" s="1760">
        <v>2</v>
      </c>
      <c r="L394" s="1779"/>
      <c r="M394" s="1779"/>
      <c r="N394" s="1779">
        <v>0</v>
      </c>
      <c r="O394" s="1780">
        <v>0</v>
      </c>
      <c r="P394" s="1780">
        <v>0</v>
      </c>
      <c r="Q394" s="1779">
        <v>0</v>
      </c>
      <c r="R394" s="1779">
        <v>9.2039513693702429E-3</v>
      </c>
      <c r="S394" s="1779">
        <v>1.8041583471225781E-2</v>
      </c>
      <c r="T394" s="1779">
        <v>1.8482019244001648E-2</v>
      </c>
      <c r="U394" s="1779">
        <v>1.8942252953184201E-2</v>
      </c>
      <c r="V394" s="1779">
        <v>1.9415625605494376E-2</v>
      </c>
      <c r="W394" s="1779">
        <v>2.0084971558614897E-2</v>
      </c>
      <c r="X394" s="1779">
        <v>2.0945501055506202E-2</v>
      </c>
      <c r="Y394" s="1779">
        <v>2.1815366636788788E-2</v>
      </c>
      <c r="Z394" s="1779">
        <v>2.2696538864919541E-2</v>
      </c>
      <c r="AA394" s="1779">
        <v>2.358946244761341E-2</v>
      </c>
      <c r="AB394" s="1779">
        <v>2.4493343351088825E-2</v>
      </c>
      <c r="AC394" s="1779">
        <v>2.5406690573498487E-2</v>
      </c>
      <c r="AD394" s="1779">
        <v>2.6328883966793899E-2</v>
      </c>
      <c r="AE394" s="1779">
        <v>2.726152655147851E-2</v>
      </c>
      <c r="AF394" s="1779">
        <v>2.8203531465226167E-2</v>
      </c>
      <c r="AG394" s="1779">
        <v>2.9158261893607956E-2</v>
      </c>
      <c r="AH394" s="1779">
        <v>3.0125426777329566E-2</v>
      </c>
      <c r="AI394" s="1779">
        <v>3.110093498083619E-2</v>
      </c>
      <c r="AJ394" s="1779">
        <v>3.2084109453868609E-2</v>
      </c>
      <c r="AK394" s="1779">
        <v>3.3074848090148691E-2</v>
      </c>
      <c r="AL394" s="1779">
        <v>3.4073739690835922E-2</v>
      </c>
      <c r="AM394" s="1779">
        <v>3.5080525830510134E-2</v>
      </c>
      <c r="AN394" s="1779">
        <v>3.6095895175736276E-2</v>
      </c>
      <c r="AO394" s="1779">
        <v>3.7120401986676516E-2</v>
      </c>
      <c r="AP394" s="1779">
        <v>3.8153811086279611E-2</v>
      </c>
      <c r="AQ394" s="1779"/>
      <c r="AR394" s="1779"/>
      <c r="AS394" s="1779"/>
      <c r="AT394" s="1779"/>
      <c r="AU394" s="1779"/>
      <c r="AV394" s="1779"/>
      <c r="AW394" s="1779"/>
      <c r="AX394" s="1779"/>
      <c r="AY394" s="1779"/>
      <c r="AZ394" s="1779"/>
      <c r="BA394" s="1779"/>
      <c r="BB394" s="1779"/>
      <c r="BC394" s="1779"/>
      <c r="BD394" s="1779"/>
      <c r="BE394" s="1779"/>
      <c r="BF394" s="1779"/>
      <c r="BG394" s="1779"/>
      <c r="BH394" s="1779"/>
      <c r="BI394" s="1779"/>
      <c r="BJ394" s="1779"/>
      <c r="BK394" s="1779"/>
      <c r="BL394" s="1779"/>
      <c r="BM394" s="1779"/>
      <c r="BN394" s="1779"/>
      <c r="BO394" s="1779"/>
      <c r="BP394" s="1780"/>
      <c r="BQ394" s="1755"/>
      <c r="BR394" s="1755"/>
      <c r="BS394" s="1755"/>
      <c r="BT394" s="1755"/>
      <c r="BU394" s="1755"/>
      <c r="BV394" s="1755"/>
      <c r="BW394" s="1755"/>
      <c r="BX394" s="1755"/>
      <c r="BY394" s="1755"/>
      <c r="BZ394" s="1755"/>
      <c r="CA394" s="1755"/>
      <c r="CB394" s="1755"/>
      <c r="CC394" s="1755"/>
      <c r="CD394" s="1755"/>
      <c r="CE394" s="1755"/>
      <c r="CF394" s="1755"/>
      <c r="CG394" s="1755"/>
      <c r="CH394" s="1755"/>
      <c r="CI394" s="1755"/>
      <c r="CJ394" s="1755"/>
      <c r="CK394" s="1755"/>
      <c r="CL394" s="1755"/>
      <c r="CM394" s="1755"/>
      <c r="CN394" s="1756"/>
      <c r="CO394" s="1783"/>
    </row>
    <row r="395" spans="2:93" x14ac:dyDescent="0.2">
      <c r="B395" s="1707"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95" s="1707" t="s">
        <v>1125</v>
      </c>
      <c r="D395" s="1765" t="s">
        <v>1474</v>
      </c>
      <c r="E395" s="1714" t="s">
        <v>987</v>
      </c>
      <c r="F395" s="1747" t="str">
        <f>VLOOKUP(TBL5_OptBen[[#This Row],[Option Type (defined list)]],'Option Typs_Grps'!B$2:C$47, 2, FALSE)</f>
        <v>Customer Options</v>
      </c>
      <c r="G395" s="1747" t="s">
        <v>863</v>
      </c>
      <c r="H395" s="1747" t="s">
        <v>1458</v>
      </c>
      <c r="I395" s="1747" t="s">
        <v>102</v>
      </c>
      <c r="J395" s="1747" t="s">
        <v>236</v>
      </c>
      <c r="K395" s="1760">
        <v>2</v>
      </c>
      <c r="L395" s="1779"/>
      <c r="M395" s="1779"/>
      <c r="N395" s="1779">
        <v>0</v>
      </c>
      <c r="O395" s="1780">
        <v>0</v>
      </c>
      <c r="P395" s="1780">
        <v>0</v>
      </c>
      <c r="Q395" s="1779">
        <v>0</v>
      </c>
      <c r="R395" s="1779">
        <v>7.6395995637987824E-3</v>
      </c>
      <c r="S395" s="1779">
        <v>1.5279199127601117E-2</v>
      </c>
      <c r="T395" s="1779">
        <v>2.2918798691300424E-2</v>
      </c>
      <c r="U395" s="1779">
        <v>3.0558398255099206E-2</v>
      </c>
      <c r="V395" s="1779">
        <v>3.8197997818800289E-2</v>
      </c>
      <c r="W395" s="1779">
        <v>5.4573490931600688E-2</v>
      </c>
      <c r="X395" s="1779">
        <v>7.0948984044200358E-2</v>
      </c>
      <c r="Y395" s="1779">
        <v>8.7324477156998981E-2</v>
      </c>
      <c r="Z395" s="1779">
        <v>0.1036999702696999</v>
      </c>
      <c r="AA395" s="1779">
        <v>0.12007546338239905</v>
      </c>
      <c r="AB395" s="1779">
        <v>0.13528648519999997</v>
      </c>
      <c r="AC395" s="1779">
        <v>0.15049750701740017</v>
      </c>
      <c r="AD395" s="1779">
        <v>0.16570852883490161</v>
      </c>
      <c r="AE395" s="1779">
        <v>0.16570852883489984</v>
      </c>
      <c r="AF395" s="1779">
        <v>0.16570852883500109</v>
      </c>
      <c r="AG395" s="1779">
        <v>0.16570852883499931</v>
      </c>
      <c r="AH395" s="1779">
        <v>0.16570852883489984</v>
      </c>
      <c r="AI395" s="1779">
        <v>0.16570852883499931</v>
      </c>
      <c r="AJ395" s="1779">
        <v>0.16570852883489984</v>
      </c>
      <c r="AK395" s="1779">
        <v>0.16570852883499931</v>
      </c>
      <c r="AL395" s="1779">
        <v>0.16570852883499931</v>
      </c>
      <c r="AM395" s="1779">
        <v>0.16570852883489984</v>
      </c>
      <c r="AN395" s="1779">
        <v>0.16570852883500109</v>
      </c>
      <c r="AO395" s="1779">
        <v>0.16570852883489984</v>
      </c>
      <c r="AP395" s="1779">
        <v>0.16570852883500109</v>
      </c>
      <c r="AQ395" s="1779"/>
      <c r="AR395" s="1779"/>
      <c r="AS395" s="1779"/>
      <c r="AT395" s="1779"/>
      <c r="AU395" s="1779"/>
      <c r="AV395" s="1779"/>
      <c r="AW395" s="1779"/>
      <c r="AX395" s="1779"/>
      <c r="AY395" s="1779"/>
      <c r="AZ395" s="1779"/>
      <c r="BA395" s="1779"/>
      <c r="BB395" s="1779"/>
      <c r="BC395" s="1779"/>
      <c r="BD395" s="1779"/>
      <c r="BE395" s="1779"/>
      <c r="BF395" s="1779"/>
      <c r="BG395" s="1779"/>
      <c r="BH395" s="1779"/>
      <c r="BI395" s="1779"/>
      <c r="BJ395" s="1779"/>
      <c r="BK395" s="1779"/>
      <c r="BL395" s="1779"/>
      <c r="BM395" s="1779"/>
      <c r="BN395" s="1779"/>
      <c r="BO395" s="1779"/>
      <c r="BP395" s="1780"/>
      <c r="BQ395" s="1755"/>
      <c r="BR395" s="1755"/>
      <c r="BS395" s="1755"/>
      <c r="BT395" s="1755"/>
      <c r="BU395" s="1755"/>
      <c r="BV395" s="1755"/>
      <c r="BW395" s="1755"/>
      <c r="BX395" s="1755"/>
      <c r="BY395" s="1755"/>
      <c r="BZ395" s="1755"/>
      <c r="CA395" s="1755"/>
      <c r="CB395" s="1755"/>
      <c r="CC395" s="1755"/>
      <c r="CD395" s="1755"/>
      <c r="CE395" s="1755"/>
      <c r="CF395" s="1755"/>
      <c r="CG395" s="1755"/>
      <c r="CH395" s="1755"/>
      <c r="CI395" s="1755"/>
      <c r="CJ395" s="1755"/>
      <c r="CK395" s="1755"/>
      <c r="CL395" s="1755"/>
      <c r="CM395" s="1755"/>
      <c r="CN395" s="1756"/>
      <c r="CO395" s="1783"/>
    </row>
    <row r="396" spans="2:93" x14ac:dyDescent="0.2">
      <c r="B396" s="1707"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96" s="1703" t="s">
        <v>1079</v>
      </c>
      <c r="D396" s="1765" t="s">
        <v>1078</v>
      </c>
      <c r="E396" s="1714" t="s">
        <v>987</v>
      </c>
      <c r="F396" s="1747" t="str">
        <f>VLOOKUP(TBL5_OptBen[[#This Row],[Option Type (defined list)]],'Option Typs_Grps'!B$2:C$47, 2, FALSE)</f>
        <v>Customer Options</v>
      </c>
      <c r="G396" s="1747" t="s">
        <v>863</v>
      </c>
      <c r="H396" s="1747" t="s">
        <v>1458</v>
      </c>
      <c r="I396" s="1747" t="s">
        <v>102</v>
      </c>
      <c r="J396" s="1747" t="s">
        <v>236</v>
      </c>
      <c r="K396" s="1760">
        <v>2</v>
      </c>
      <c r="L396" s="1779"/>
      <c r="M396" s="1779"/>
      <c r="N396" s="1779">
        <v>0</v>
      </c>
      <c r="O396" s="1780">
        <v>0</v>
      </c>
      <c r="P396" s="1780">
        <v>0</v>
      </c>
      <c r="Q396" s="1779">
        <v>0</v>
      </c>
      <c r="R396" s="1779">
        <v>0</v>
      </c>
      <c r="S396" s="1779">
        <v>0</v>
      </c>
      <c r="T396" s="1779">
        <v>9.4103258283002589E-3</v>
      </c>
      <c r="U396" s="1779">
        <v>1.8758815812800478E-2</v>
      </c>
      <c r="V396" s="1779">
        <v>2.8041152727400487E-2</v>
      </c>
      <c r="W396" s="1779">
        <v>3.72156604469005E-2</v>
      </c>
      <c r="X396" s="1779">
        <v>4.6320273715700466E-2</v>
      </c>
      <c r="Y396" s="1779">
        <v>5.5352766276298482E-2</v>
      </c>
      <c r="Z396" s="1779">
        <v>7.4432272134398403E-2</v>
      </c>
      <c r="AA396" s="1779">
        <v>9.3388923077800001E-2</v>
      </c>
      <c r="AB396" s="1779">
        <v>0.11225156561260086</v>
      </c>
      <c r="AC396" s="1779">
        <v>0.13103614773550021</v>
      </c>
      <c r="AD396" s="1779">
        <v>0.14975844047660125</v>
      </c>
      <c r="AE396" s="1779">
        <v>0.16838205952520013</v>
      </c>
      <c r="AF396" s="1779">
        <v>0.18678872830479953</v>
      </c>
      <c r="AG396" s="1779">
        <v>0.20502825271989877</v>
      </c>
      <c r="AH396" s="1779">
        <v>0.22317353806890061</v>
      </c>
      <c r="AI396" s="1779">
        <v>0.24129542120090086</v>
      </c>
      <c r="AJ396" s="1779">
        <v>0.24692362060729955</v>
      </c>
      <c r="AK396" s="1779">
        <v>0.25259487094830035</v>
      </c>
      <c r="AL396" s="1779">
        <v>0.25821975220410032</v>
      </c>
      <c r="AM396" s="1779">
        <v>0.26382100824690013</v>
      </c>
      <c r="AN396" s="1779">
        <v>0.26950931389390043</v>
      </c>
      <c r="AO396" s="1779">
        <v>0.27527842000570146</v>
      </c>
      <c r="AP396" s="1779">
        <v>0.28111624695820048</v>
      </c>
      <c r="AQ396" s="1779"/>
      <c r="AR396" s="1779"/>
      <c r="AS396" s="1779"/>
      <c r="AT396" s="1779"/>
      <c r="AU396" s="1779"/>
      <c r="AV396" s="1779"/>
      <c r="AW396" s="1779"/>
      <c r="AX396" s="1779"/>
      <c r="AY396" s="1779"/>
      <c r="AZ396" s="1779"/>
      <c r="BA396" s="1779"/>
      <c r="BB396" s="1779"/>
      <c r="BC396" s="1779"/>
      <c r="BD396" s="1779"/>
      <c r="BE396" s="1779"/>
      <c r="BF396" s="1779"/>
      <c r="BG396" s="1779"/>
      <c r="BH396" s="1779"/>
      <c r="BI396" s="1779"/>
      <c r="BJ396" s="1779"/>
      <c r="BK396" s="1779"/>
      <c r="BL396" s="1779"/>
      <c r="BM396" s="1779"/>
      <c r="BN396" s="1779"/>
      <c r="BO396" s="1779"/>
      <c r="BP396" s="1780"/>
      <c r="BQ396" s="1755"/>
      <c r="BR396" s="1755"/>
      <c r="BS396" s="1755"/>
      <c r="BT396" s="1755"/>
      <c r="BU396" s="1755"/>
      <c r="BV396" s="1755"/>
      <c r="BW396" s="1755"/>
      <c r="BX396" s="1755"/>
      <c r="BY396" s="1755"/>
      <c r="BZ396" s="1755"/>
      <c r="CA396" s="1755"/>
      <c r="CB396" s="1755"/>
      <c r="CC396" s="1755"/>
      <c r="CD396" s="1755"/>
      <c r="CE396" s="1755"/>
      <c r="CF396" s="1755"/>
      <c r="CG396" s="1755"/>
      <c r="CH396" s="1755"/>
      <c r="CI396" s="1755"/>
      <c r="CJ396" s="1755"/>
      <c r="CK396" s="1755"/>
      <c r="CL396" s="1755"/>
      <c r="CM396" s="1755"/>
      <c r="CN396" s="1756"/>
      <c r="CO396" s="1783"/>
    </row>
    <row r="397" spans="2:93" x14ac:dyDescent="0.2">
      <c r="B397" s="1707"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97" s="1747" t="s">
        <v>1067</v>
      </c>
      <c r="D397" s="1747" t="s">
        <v>1066</v>
      </c>
      <c r="E397" s="1747" t="s">
        <v>1068</v>
      </c>
      <c r="F397" s="1747" t="str">
        <f>VLOOKUP(TBL5_OptBen[[#This Row],[Option Type (defined list)]],'Option Typs_Grps'!B$2:C$47, 2, FALSE)</f>
        <v>Customer Options</v>
      </c>
      <c r="G397" s="1747" t="s">
        <v>863</v>
      </c>
      <c r="H397" s="1747" t="s">
        <v>1458</v>
      </c>
      <c r="I397" s="1747" t="s">
        <v>105</v>
      </c>
      <c r="J397" s="1747" t="s">
        <v>236</v>
      </c>
      <c r="K397" s="1760">
        <v>2</v>
      </c>
      <c r="L397" s="1779"/>
      <c r="M397" s="1779"/>
      <c r="N397" s="1779">
        <v>0</v>
      </c>
      <c r="O397" s="1780">
        <v>0</v>
      </c>
      <c r="P397" s="1780">
        <v>0</v>
      </c>
      <c r="Q397" s="1779">
        <v>0</v>
      </c>
      <c r="R397" s="1779">
        <v>-3.0250176832678055E-2</v>
      </c>
      <c r="S397" s="1779">
        <v>0.22092509792618942</v>
      </c>
      <c r="T397" s="1779">
        <v>0.44180783531048951</v>
      </c>
      <c r="U397" s="1779">
        <v>0.65676649195386716</v>
      </c>
      <c r="V397" s="1779">
        <v>0.74603012807686042</v>
      </c>
      <c r="W397" s="1779">
        <v>0.67123336816176948</v>
      </c>
      <c r="X397" s="1779">
        <v>0.56160146727783111</v>
      </c>
      <c r="Y397" s="1779">
        <v>0.569141486410361</v>
      </c>
      <c r="Z397" s="1779">
        <v>0.56222283464014211</v>
      </c>
      <c r="AA397" s="1779">
        <v>0.57604467671953508</v>
      </c>
      <c r="AB397" s="1779">
        <v>0.58287426680638443</v>
      </c>
      <c r="AC397" s="1779">
        <v>0.5918935824934346</v>
      </c>
      <c r="AD397" s="1779">
        <v>0.60111067476332636</v>
      </c>
      <c r="AE397" s="1779">
        <v>0.61075432210265568</v>
      </c>
      <c r="AF397" s="1779">
        <v>0.62047119950066865</v>
      </c>
      <c r="AG397" s="1779">
        <v>0.62710990671047462</v>
      </c>
      <c r="AH397" s="1779">
        <v>0.63765170324713516</v>
      </c>
      <c r="AI397" s="1779">
        <v>0.64710000505310106</v>
      </c>
      <c r="AJ397" s="1779">
        <v>0.65750529700698657</v>
      </c>
      <c r="AK397" s="1779">
        <v>0.66793736733069409</v>
      </c>
      <c r="AL397" s="1779">
        <v>0.67795511886693127</v>
      </c>
      <c r="AM397" s="1779">
        <v>0.68819476295195159</v>
      </c>
      <c r="AN397" s="1779">
        <v>0.69833323270556491</v>
      </c>
      <c r="AO397" s="1779">
        <v>0.708452004238044</v>
      </c>
      <c r="AP397" s="1779">
        <v>0.71892658861624348</v>
      </c>
      <c r="AQ397" s="1779"/>
      <c r="AR397" s="1779"/>
      <c r="AS397" s="1779"/>
      <c r="AT397" s="1779"/>
      <c r="AU397" s="1779"/>
      <c r="AV397" s="1779"/>
      <c r="AW397" s="1779"/>
      <c r="AX397" s="1779"/>
      <c r="AY397" s="1779"/>
      <c r="AZ397" s="1779"/>
      <c r="BA397" s="1779"/>
      <c r="BB397" s="1779"/>
      <c r="BC397" s="1779"/>
      <c r="BD397" s="1779"/>
      <c r="BE397" s="1779"/>
      <c r="BF397" s="1779"/>
      <c r="BG397" s="1779"/>
      <c r="BH397" s="1779"/>
      <c r="BI397" s="1779"/>
      <c r="BJ397" s="1779"/>
      <c r="BK397" s="1779"/>
      <c r="BL397" s="1779"/>
      <c r="BM397" s="1779"/>
      <c r="BN397" s="1779"/>
      <c r="BO397" s="1779"/>
      <c r="BP397" s="1780"/>
      <c r="BQ397" s="1755"/>
      <c r="BR397" s="1755"/>
      <c r="BS397" s="1755"/>
      <c r="BT397" s="1755"/>
      <c r="BU397" s="1755"/>
      <c r="BV397" s="1755"/>
      <c r="BW397" s="1755"/>
      <c r="BX397" s="1755"/>
      <c r="BY397" s="1755"/>
      <c r="BZ397" s="1755"/>
      <c r="CA397" s="1755"/>
      <c r="CB397" s="1755"/>
      <c r="CC397" s="1755"/>
      <c r="CD397" s="1755"/>
      <c r="CE397" s="1755"/>
      <c r="CF397" s="1755"/>
      <c r="CG397" s="1755"/>
      <c r="CH397" s="1755"/>
      <c r="CI397" s="1755"/>
      <c r="CJ397" s="1755"/>
      <c r="CK397" s="1755"/>
      <c r="CL397" s="1755"/>
      <c r="CM397" s="1755"/>
      <c r="CN397" s="1756"/>
      <c r="CO397" s="1783"/>
    </row>
    <row r="398" spans="2:93" x14ac:dyDescent="0.2">
      <c r="B398" s="1707"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98" s="1747" t="s">
        <v>1075</v>
      </c>
      <c r="D398" s="1747" t="s">
        <v>1074</v>
      </c>
      <c r="E398" s="1747" t="s">
        <v>987</v>
      </c>
      <c r="F398" s="1747" t="str">
        <f>VLOOKUP(TBL5_OptBen[[#This Row],[Option Type (defined list)]],'Option Typs_Grps'!B$2:C$47, 2, FALSE)</f>
        <v>Customer Options</v>
      </c>
      <c r="G398" s="1747" t="s">
        <v>863</v>
      </c>
      <c r="H398" s="1747" t="s">
        <v>1458</v>
      </c>
      <c r="I398" s="1747" t="s">
        <v>105</v>
      </c>
      <c r="J398" s="1747" t="s">
        <v>236</v>
      </c>
      <c r="K398" s="1760">
        <v>2</v>
      </c>
      <c r="L398" s="1779"/>
      <c r="M398" s="1779"/>
      <c r="N398" s="1779">
        <v>0</v>
      </c>
      <c r="O398" s="1780">
        <v>0</v>
      </c>
      <c r="P398" s="1780">
        <v>0</v>
      </c>
      <c r="Q398" s="1779">
        <v>0</v>
      </c>
      <c r="R398" s="1779">
        <v>0.22449124655680208</v>
      </c>
      <c r="S398" s="1779">
        <v>0.44594592523610288</v>
      </c>
      <c r="T398" s="1779">
        <v>0.6662845238058992</v>
      </c>
      <c r="U398" s="1779">
        <v>0.88511942941270405</v>
      </c>
      <c r="V398" s="1779">
        <v>1.1020394620337015</v>
      </c>
      <c r="W398" s="1779">
        <v>1.3069039598269043</v>
      </c>
      <c r="X398" s="1779">
        <v>1.5109756718536005</v>
      </c>
      <c r="Y398" s="1779">
        <v>1.7137361579889046</v>
      </c>
      <c r="Z398" s="1779">
        <v>1.9155081107526968</v>
      </c>
      <c r="AA398" s="1779">
        <v>2.1171663775421052</v>
      </c>
      <c r="AB398" s="1779">
        <v>2.1854288201938985</v>
      </c>
      <c r="AC398" s="1779">
        <v>2.2525336110454006</v>
      </c>
      <c r="AD398" s="1779">
        <v>2.3186815926924993</v>
      </c>
      <c r="AE398" s="1779">
        <v>2.3845916997709011</v>
      </c>
      <c r="AF398" s="1779">
        <v>2.4508174073359967</v>
      </c>
      <c r="AG398" s="1779">
        <v>2.5142781679200965</v>
      </c>
      <c r="AH398" s="1779">
        <v>2.5768563611098969</v>
      </c>
      <c r="AI398" s="1779">
        <v>2.6386977728547976</v>
      </c>
      <c r="AJ398" s="1779">
        <v>2.6998942294479988</v>
      </c>
      <c r="AK398" s="1779">
        <v>2.7603311018409045</v>
      </c>
      <c r="AL398" s="1779">
        <v>2.8174101032381955</v>
      </c>
      <c r="AM398" s="1779">
        <v>2.8736127788586998</v>
      </c>
      <c r="AN398" s="1779">
        <v>2.9293708811567996</v>
      </c>
      <c r="AO398" s="1779">
        <v>2.9847736388110988</v>
      </c>
      <c r="AP398" s="1779">
        <v>2.9767429813442021</v>
      </c>
      <c r="AQ398" s="1779"/>
      <c r="AR398" s="1779"/>
      <c r="AS398" s="1779"/>
      <c r="AT398" s="1779"/>
      <c r="AU398" s="1779"/>
      <c r="AV398" s="1779"/>
      <c r="AW398" s="1779"/>
      <c r="AX398" s="1779"/>
      <c r="AY398" s="1779"/>
      <c r="AZ398" s="1779"/>
      <c r="BA398" s="1779"/>
      <c r="BB398" s="1779"/>
      <c r="BC398" s="1779"/>
      <c r="BD398" s="1779"/>
      <c r="BE398" s="1779"/>
      <c r="BF398" s="1779"/>
      <c r="BG398" s="1779"/>
      <c r="BH398" s="1779"/>
      <c r="BI398" s="1779"/>
      <c r="BJ398" s="1779"/>
      <c r="BK398" s="1779"/>
      <c r="BL398" s="1779"/>
      <c r="BM398" s="1779"/>
      <c r="BN398" s="1779"/>
      <c r="BO398" s="1779"/>
      <c r="BP398" s="1780"/>
      <c r="BQ398" s="1755"/>
      <c r="BR398" s="1755"/>
      <c r="BS398" s="1755"/>
      <c r="BT398" s="1755"/>
      <c r="BU398" s="1755"/>
      <c r="BV398" s="1755"/>
      <c r="BW398" s="1755"/>
      <c r="BX398" s="1755"/>
      <c r="BY398" s="1755"/>
      <c r="BZ398" s="1755"/>
      <c r="CA398" s="1755"/>
      <c r="CB398" s="1755"/>
      <c r="CC398" s="1755"/>
      <c r="CD398" s="1755"/>
      <c r="CE398" s="1755"/>
      <c r="CF398" s="1755"/>
      <c r="CG398" s="1755"/>
      <c r="CH398" s="1755"/>
      <c r="CI398" s="1755"/>
      <c r="CJ398" s="1755"/>
      <c r="CK398" s="1755"/>
      <c r="CL398" s="1755"/>
      <c r="CM398" s="1755"/>
      <c r="CN398" s="1756"/>
      <c r="CO398" s="1783"/>
    </row>
    <row r="399" spans="2:93" x14ac:dyDescent="0.2">
      <c r="B399" s="1707"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399" s="1747" t="s">
        <v>1123</v>
      </c>
      <c r="D399" s="1747" t="s">
        <v>1122</v>
      </c>
      <c r="E399" s="1747" t="s">
        <v>987</v>
      </c>
      <c r="F399" s="1747" t="str">
        <f>VLOOKUP(TBL5_OptBen[[#This Row],[Option Type (defined list)]],'Option Typs_Grps'!B$2:C$47, 2, FALSE)</f>
        <v>Customer Options</v>
      </c>
      <c r="G399" s="1747" t="s">
        <v>863</v>
      </c>
      <c r="H399" s="1747" t="s">
        <v>1458</v>
      </c>
      <c r="I399" s="1747" t="s">
        <v>105</v>
      </c>
      <c r="J399" s="1747" t="s">
        <v>236</v>
      </c>
      <c r="K399" s="1760">
        <v>2</v>
      </c>
      <c r="L399" s="1779"/>
      <c r="M399" s="1779"/>
      <c r="N399" s="1779">
        <v>0</v>
      </c>
      <c r="O399" s="1780">
        <v>0</v>
      </c>
      <c r="P399" s="1780">
        <v>0</v>
      </c>
      <c r="Q399" s="1779">
        <v>0</v>
      </c>
      <c r="R399" s="1779">
        <v>0.25285197876790022</v>
      </c>
      <c r="S399" s="1779">
        <v>0.28915600381380102</v>
      </c>
      <c r="T399" s="1779">
        <v>0.85611904685490003</v>
      </c>
      <c r="U399" s="1779">
        <v>1.1682636737810981</v>
      </c>
      <c r="V399" s="1779">
        <v>1.2988043173646986</v>
      </c>
      <c r="W399" s="1779">
        <v>1.3410526156413951</v>
      </c>
      <c r="X399" s="1779">
        <v>1.3833378679479011</v>
      </c>
      <c r="Y399" s="1779">
        <v>1.4249758066094955</v>
      </c>
      <c r="Z399" s="1779">
        <v>1.4661822578709049</v>
      </c>
      <c r="AA399" s="1779">
        <v>1.376736671158497</v>
      </c>
      <c r="AB399" s="1779">
        <v>1.3711449088019023</v>
      </c>
      <c r="AC399" s="1779">
        <v>1.3655705656969985</v>
      </c>
      <c r="AD399" s="1779">
        <v>1.3600865454248989</v>
      </c>
      <c r="AE399" s="1779">
        <v>1.3549934973377944</v>
      </c>
      <c r="AF399" s="1779">
        <v>1.3505218764641995</v>
      </c>
      <c r="AG399" s="1779">
        <v>1.3462455303585017</v>
      </c>
      <c r="AH399" s="1779">
        <v>1.3420285073993981</v>
      </c>
      <c r="AI399" s="1779">
        <v>1.3379199848717036</v>
      </c>
      <c r="AJ399" s="1779">
        <v>1.3339463027527998</v>
      </c>
      <c r="AK399" s="1779">
        <v>1.3300438899332008</v>
      </c>
      <c r="AL399" s="1779">
        <v>1.3260841828720018</v>
      </c>
      <c r="AM399" s="1779">
        <v>1.3221056454912983</v>
      </c>
      <c r="AN399" s="1779">
        <v>1.3182852448858</v>
      </c>
      <c r="AO399" s="1779">
        <v>1.3146506739254988</v>
      </c>
      <c r="AP399" s="1779">
        <v>1.3739241314790007</v>
      </c>
      <c r="AQ399" s="1779"/>
      <c r="AR399" s="1779"/>
      <c r="AS399" s="1779"/>
      <c r="AT399" s="1779"/>
      <c r="AU399" s="1779"/>
      <c r="AV399" s="1779"/>
      <c r="AW399" s="1779"/>
      <c r="AX399" s="1779"/>
      <c r="AY399" s="1779"/>
      <c r="AZ399" s="1779"/>
      <c r="BA399" s="1779"/>
      <c r="BB399" s="1779"/>
      <c r="BC399" s="1779"/>
      <c r="BD399" s="1779"/>
      <c r="BE399" s="1779"/>
      <c r="BF399" s="1779"/>
      <c r="BG399" s="1779"/>
      <c r="BH399" s="1779"/>
      <c r="BI399" s="1779"/>
      <c r="BJ399" s="1779"/>
      <c r="BK399" s="1779"/>
      <c r="BL399" s="1779"/>
      <c r="BM399" s="1779"/>
      <c r="BN399" s="1779"/>
      <c r="BO399" s="1779"/>
      <c r="BP399" s="1780"/>
      <c r="BQ399" s="1755"/>
      <c r="BR399" s="1755"/>
      <c r="BS399" s="1755"/>
      <c r="BT399" s="1755"/>
      <c r="BU399" s="1755"/>
      <c r="BV399" s="1755"/>
      <c r="BW399" s="1755"/>
      <c r="BX399" s="1755"/>
      <c r="BY399" s="1755"/>
      <c r="BZ399" s="1755"/>
      <c r="CA399" s="1755"/>
      <c r="CB399" s="1755"/>
      <c r="CC399" s="1755"/>
      <c r="CD399" s="1755"/>
      <c r="CE399" s="1755"/>
      <c r="CF399" s="1755"/>
      <c r="CG399" s="1755"/>
      <c r="CH399" s="1755"/>
      <c r="CI399" s="1755"/>
      <c r="CJ399" s="1755"/>
      <c r="CK399" s="1755"/>
      <c r="CL399" s="1755"/>
      <c r="CM399" s="1755"/>
      <c r="CN399" s="1756"/>
      <c r="CO399" s="1783"/>
    </row>
    <row r="400" spans="2:93" x14ac:dyDescent="0.2">
      <c r="B400" s="1707"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52cA</v>
      </c>
      <c r="C400" s="1747" t="s">
        <v>1082</v>
      </c>
      <c r="D400" s="1747" t="s">
        <v>1081</v>
      </c>
      <c r="E400" s="1747" t="s">
        <v>860</v>
      </c>
      <c r="F400" s="1747" t="str">
        <f>VLOOKUP(TBL5_OptBen[[#This Row],[Option Type (defined list)]],'Option Typs_Grps'!B$2:C$47, 2, FALSE)</f>
        <v>Distribution Options</v>
      </c>
      <c r="G400" s="1747" t="s">
        <v>863</v>
      </c>
      <c r="H400" s="1747" t="s">
        <v>1458</v>
      </c>
      <c r="I400" s="1747" t="s">
        <v>105</v>
      </c>
      <c r="J400" s="1747" t="s">
        <v>236</v>
      </c>
      <c r="K400" s="1760">
        <v>2</v>
      </c>
      <c r="L400" s="1779"/>
      <c r="M400" s="1779"/>
      <c r="N400" s="1779">
        <v>0</v>
      </c>
      <c r="O400" s="1780">
        <v>0</v>
      </c>
      <c r="P400" s="1780">
        <v>0</v>
      </c>
      <c r="Q400" s="1779">
        <v>0</v>
      </c>
      <c r="R400" s="1779">
        <v>2.0497010939743765E-2</v>
      </c>
      <c r="S400" s="1779">
        <v>2.8131052956422264E-2</v>
      </c>
      <c r="T400" s="1779">
        <v>9.7854674088195814E-3</v>
      </c>
      <c r="U400" s="1779">
        <v>-2.0179402831490112E-2</v>
      </c>
      <c r="V400" s="1779">
        <v>-3.3449196205928011E-2</v>
      </c>
      <c r="W400" s="1779">
        <v>-2.1372962654336192E-2</v>
      </c>
      <c r="X400" s="1779">
        <v>-6.954358139554806E-5</v>
      </c>
      <c r="Y400" s="1779">
        <v>2.1176585235679113E-2</v>
      </c>
      <c r="Z400" s="1779">
        <v>4.2354618941040423E-2</v>
      </c>
      <c r="AA400" s="1779">
        <v>6.3463175295519481E-2</v>
      </c>
      <c r="AB400" s="1779">
        <v>8.4468033114998065E-2</v>
      </c>
      <c r="AC400" s="1779">
        <v>0.10537309422437291</v>
      </c>
      <c r="AD400" s="1779">
        <v>0.12621569853705017</v>
      </c>
      <c r="AE400" s="1779">
        <v>0.14699737189668394</v>
      </c>
      <c r="AF400" s="1779">
        <v>0.16772764836791842</v>
      </c>
      <c r="AG400" s="1779">
        <v>0.18840041528255469</v>
      </c>
      <c r="AH400" s="1779">
        <v>0.20901849631826996</v>
      </c>
      <c r="AI400" s="1779">
        <v>0.22958098505130908</v>
      </c>
      <c r="AJ400" s="1779">
        <v>0.25008862554965239</v>
      </c>
      <c r="AK400" s="1779">
        <v>0.27054286884443735</v>
      </c>
      <c r="AL400" s="1779">
        <v>0.29094479727368583</v>
      </c>
      <c r="AM400" s="1779">
        <v>0.31129537924124362</v>
      </c>
      <c r="AN400" s="1779">
        <v>0.33159588466125323</v>
      </c>
      <c r="AO400" s="1779">
        <v>0.35184825930580232</v>
      </c>
      <c r="AP400" s="1779">
        <v>0.3720534466407468</v>
      </c>
      <c r="AQ400" s="1779"/>
      <c r="AR400" s="1779"/>
      <c r="AS400" s="1779"/>
      <c r="AT400" s="1779"/>
      <c r="AU400" s="1779"/>
      <c r="AV400" s="1779"/>
      <c r="AW400" s="1779"/>
      <c r="AX400" s="1779"/>
      <c r="AY400" s="1779"/>
      <c r="AZ400" s="1779"/>
      <c r="BA400" s="1779"/>
      <c r="BB400" s="1779"/>
      <c r="BC400" s="1779"/>
      <c r="BD400" s="1779"/>
      <c r="BE400" s="1779"/>
      <c r="BF400" s="1779"/>
      <c r="BG400" s="1779"/>
      <c r="BH400" s="1779"/>
      <c r="BI400" s="1779"/>
      <c r="BJ400" s="1779"/>
      <c r="BK400" s="1779"/>
      <c r="BL400" s="1779"/>
      <c r="BM400" s="1779"/>
      <c r="BN400" s="1779"/>
      <c r="BO400" s="1779"/>
      <c r="BP400" s="1780"/>
      <c r="BQ400" s="1776"/>
      <c r="BR400" s="1776"/>
      <c r="BS400" s="1776"/>
      <c r="BT400" s="1776"/>
      <c r="BU400" s="1755"/>
      <c r="BV400" s="1755"/>
      <c r="BW400" s="1755"/>
      <c r="BX400" s="1755"/>
      <c r="BY400" s="1755"/>
      <c r="BZ400" s="1755"/>
      <c r="CA400" s="1755"/>
      <c r="CB400" s="1755"/>
      <c r="CC400" s="1755"/>
      <c r="CD400" s="1755"/>
      <c r="CE400" s="1755"/>
      <c r="CF400" s="1755"/>
      <c r="CG400" s="1755"/>
      <c r="CH400" s="1755"/>
      <c r="CI400" s="1755"/>
      <c r="CJ400" s="1755"/>
      <c r="CK400" s="1755"/>
      <c r="CL400" s="1755"/>
      <c r="CM400" s="1755"/>
      <c r="CN400" s="1756"/>
      <c r="CO400" s="1783"/>
    </row>
    <row r="401" spans="2:93" x14ac:dyDescent="0.2">
      <c r="B401" s="1707"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401" s="1747" t="s">
        <v>1119</v>
      </c>
      <c r="D401" s="1747" t="s">
        <v>1118</v>
      </c>
      <c r="E401" s="1747" t="s">
        <v>1099</v>
      </c>
      <c r="F401" s="1747" t="str">
        <f>VLOOKUP(TBL5_OptBen[[#This Row],[Option Type (defined list)]],'Option Typs_Grps'!B$2:C$47, 2, FALSE)</f>
        <v>Customer Options</v>
      </c>
      <c r="G401" s="1747" t="s">
        <v>863</v>
      </c>
      <c r="H401" s="1747" t="s">
        <v>1458</v>
      </c>
      <c r="I401" s="1747" t="s">
        <v>105</v>
      </c>
      <c r="J401" s="1747" t="s">
        <v>236</v>
      </c>
      <c r="K401" s="1760">
        <v>2</v>
      </c>
      <c r="L401" s="1779"/>
      <c r="M401" s="1779"/>
      <c r="N401" s="1779">
        <v>0</v>
      </c>
      <c r="O401" s="1780">
        <v>0</v>
      </c>
      <c r="P401" s="1780">
        <v>0</v>
      </c>
      <c r="Q401" s="1779">
        <v>0</v>
      </c>
      <c r="R401" s="1779">
        <v>7.67658906025619E-3</v>
      </c>
      <c r="S401" s="1779">
        <v>2.8216147043577881E-2</v>
      </c>
      <c r="T401" s="1779">
        <v>7.4735332591180786E-2</v>
      </c>
      <c r="U401" s="1779">
        <v>0.13287380283149092</v>
      </c>
      <c r="V401" s="1779">
        <v>0.17431719620592837</v>
      </c>
      <c r="W401" s="1779">
        <v>0.19041456265433712</v>
      </c>
      <c r="X401" s="1779">
        <v>0.19728474358139669</v>
      </c>
      <c r="Y401" s="1779">
        <v>0.20421221476432208</v>
      </c>
      <c r="Z401" s="1779">
        <v>0.21120778105896068</v>
      </c>
      <c r="AA401" s="1779">
        <v>0.21827282470448189</v>
      </c>
      <c r="AB401" s="1779">
        <v>0.22544156688500333</v>
      </c>
      <c r="AC401" s="1779">
        <v>0.23271010577562865</v>
      </c>
      <c r="AD401" s="1779">
        <v>0.24004110146295188</v>
      </c>
      <c r="AE401" s="1779">
        <v>0.24743302810331808</v>
      </c>
      <c r="AF401" s="1779">
        <v>0.25487635163208355</v>
      </c>
      <c r="AG401" s="1779">
        <v>0.26237718471744731</v>
      </c>
      <c r="AH401" s="1779">
        <v>0.26993270368173239</v>
      </c>
      <c r="AI401" s="1779">
        <v>0.27754381494869351</v>
      </c>
      <c r="AJ401" s="1779">
        <v>0.28520977445035034</v>
      </c>
      <c r="AK401" s="1779">
        <v>0.29292913115556524</v>
      </c>
      <c r="AL401" s="1779">
        <v>0.30070080272631694</v>
      </c>
      <c r="AM401" s="1779">
        <v>0.30852382075875928</v>
      </c>
      <c r="AN401" s="1779">
        <v>0.31639691533875025</v>
      </c>
      <c r="AO401" s="1779">
        <v>0.32431814069420095</v>
      </c>
      <c r="AP401" s="1779">
        <v>0.33228655335925339</v>
      </c>
      <c r="AQ401" s="1779"/>
      <c r="AR401" s="1779"/>
      <c r="AS401" s="1779"/>
      <c r="AT401" s="1779"/>
      <c r="AU401" s="1779"/>
      <c r="AV401" s="1779"/>
      <c r="AW401" s="1779"/>
      <c r="AX401" s="1779"/>
      <c r="AY401" s="1779"/>
      <c r="AZ401" s="1779"/>
      <c r="BA401" s="1779"/>
      <c r="BB401" s="1779"/>
      <c r="BC401" s="1779"/>
      <c r="BD401" s="1779"/>
      <c r="BE401" s="1779"/>
      <c r="BF401" s="1779"/>
      <c r="BG401" s="1779"/>
      <c r="BH401" s="1779"/>
      <c r="BI401" s="1779"/>
      <c r="BJ401" s="1779"/>
      <c r="BK401" s="1779"/>
      <c r="BL401" s="1779"/>
      <c r="BM401" s="1779"/>
      <c r="BN401" s="1779"/>
      <c r="BO401" s="1779"/>
      <c r="BP401" s="1780"/>
      <c r="BQ401" s="1755"/>
      <c r="BR401" s="1755"/>
      <c r="BS401" s="1755"/>
      <c r="BT401" s="1755"/>
      <c r="BU401" s="1755"/>
      <c r="BV401" s="1755"/>
      <c r="BW401" s="1755"/>
      <c r="BX401" s="1755"/>
      <c r="BY401" s="1755"/>
      <c r="BZ401" s="1755"/>
      <c r="CA401" s="1755"/>
      <c r="CB401" s="1755"/>
      <c r="CC401" s="1755"/>
      <c r="CD401" s="1755"/>
      <c r="CE401" s="1755"/>
      <c r="CF401" s="1755"/>
      <c r="CG401" s="1755"/>
      <c r="CH401" s="1755"/>
      <c r="CI401" s="1755"/>
      <c r="CJ401" s="1755"/>
      <c r="CK401" s="1755"/>
      <c r="CL401" s="1755"/>
      <c r="CM401" s="1755"/>
      <c r="CN401" s="1756"/>
      <c r="CO401" s="1783"/>
    </row>
    <row r="402" spans="2:93" x14ac:dyDescent="0.2">
      <c r="B402" s="1707"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402" s="1747" t="s">
        <v>1125</v>
      </c>
      <c r="D402" s="1747" t="s">
        <v>1474</v>
      </c>
      <c r="E402" s="1747" t="s">
        <v>987</v>
      </c>
      <c r="F402" s="1747" t="str">
        <f>VLOOKUP(TBL5_OptBen[[#This Row],[Option Type (defined list)]],'Option Typs_Grps'!B$2:C$47, 2, FALSE)</f>
        <v>Customer Options</v>
      </c>
      <c r="G402" s="1747" t="s">
        <v>863</v>
      </c>
      <c r="H402" s="1747" t="s">
        <v>1458</v>
      </c>
      <c r="I402" s="1747" t="s">
        <v>105</v>
      </c>
      <c r="J402" s="1747" t="s">
        <v>236</v>
      </c>
      <c r="K402" s="1760">
        <v>2</v>
      </c>
      <c r="L402" s="1779"/>
      <c r="M402" s="1779"/>
      <c r="N402" s="1779">
        <v>0</v>
      </c>
      <c r="O402" s="1780">
        <v>0</v>
      </c>
      <c r="P402" s="1780">
        <v>0</v>
      </c>
      <c r="Q402" s="1779">
        <v>0</v>
      </c>
      <c r="R402" s="1779">
        <v>6.3419152100898657E-2</v>
      </c>
      <c r="S402" s="1779">
        <v>0.1268383042019039</v>
      </c>
      <c r="T402" s="1779">
        <v>0.19025745630289492</v>
      </c>
      <c r="U402" s="1779">
        <v>0.25367660840380069</v>
      </c>
      <c r="V402" s="1779">
        <v>0.31709576050479882</v>
      </c>
      <c r="W402" s="1779">
        <v>0.45303480806530416</v>
      </c>
      <c r="X402" s="1779">
        <v>0.5889738556258024</v>
      </c>
      <c r="Y402" s="1779">
        <v>0.72491290318630064</v>
      </c>
      <c r="Z402" s="1779">
        <v>0.8608519507466994</v>
      </c>
      <c r="AA402" s="1779">
        <v>0.99679099830720475</v>
      </c>
      <c r="AB402" s="1779">
        <v>1.1230633373484977</v>
      </c>
      <c r="AC402" s="1779">
        <v>1.2493356763897978</v>
      </c>
      <c r="AD402" s="1779">
        <v>1.3756080154310979</v>
      </c>
      <c r="AE402" s="1779">
        <v>1.3756080154309984</v>
      </c>
      <c r="AF402" s="1779">
        <v>1.3756080154309984</v>
      </c>
      <c r="AG402" s="1779">
        <v>1.3756080154309984</v>
      </c>
      <c r="AH402" s="1779">
        <v>1.3756080154309984</v>
      </c>
      <c r="AI402" s="1779">
        <v>1.3756080154309984</v>
      </c>
      <c r="AJ402" s="1779">
        <v>1.3756080154310979</v>
      </c>
      <c r="AK402" s="1779">
        <v>1.3756080154310055</v>
      </c>
      <c r="AL402" s="1779">
        <v>1.3756080154309984</v>
      </c>
      <c r="AM402" s="1779">
        <v>1.3756080154309984</v>
      </c>
      <c r="AN402" s="1779">
        <v>1.3756080154310979</v>
      </c>
      <c r="AO402" s="1779">
        <v>1.3756080154309984</v>
      </c>
      <c r="AP402" s="1779">
        <v>1.3756080154309984</v>
      </c>
      <c r="AQ402" s="1779"/>
      <c r="AR402" s="1779"/>
      <c r="AS402" s="1779"/>
      <c r="AT402" s="1779"/>
      <c r="AU402" s="1779"/>
      <c r="AV402" s="1779"/>
      <c r="AW402" s="1779"/>
      <c r="AX402" s="1779"/>
      <c r="AY402" s="1779"/>
      <c r="AZ402" s="1779"/>
      <c r="BA402" s="1779"/>
      <c r="BB402" s="1779"/>
      <c r="BC402" s="1779"/>
      <c r="BD402" s="1779"/>
      <c r="BE402" s="1779"/>
      <c r="BF402" s="1779"/>
      <c r="BG402" s="1779"/>
      <c r="BH402" s="1779"/>
      <c r="BI402" s="1779"/>
      <c r="BJ402" s="1779"/>
      <c r="BK402" s="1779"/>
      <c r="BL402" s="1779"/>
      <c r="BM402" s="1779"/>
      <c r="BN402" s="1779"/>
      <c r="BO402" s="1779"/>
      <c r="BP402" s="1780"/>
      <c r="BQ402" s="1755"/>
      <c r="BR402" s="1755"/>
      <c r="BS402" s="1755"/>
      <c r="BT402" s="1755"/>
      <c r="BU402" s="1755"/>
      <c r="BV402" s="1755"/>
      <c r="BW402" s="1755"/>
      <c r="BX402" s="1755"/>
      <c r="BY402" s="1755"/>
      <c r="BZ402" s="1755"/>
      <c r="CA402" s="1755"/>
      <c r="CB402" s="1755"/>
      <c r="CC402" s="1755"/>
      <c r="CD402" s="1755"/>
      <c r="CE402" s="1755"/>
      <c r="CF402" s="1755"/>
      <c r="CG402" s="1755"/>
      <c r="CH402" s="1755"/>
      <c r="CI402" s="1755"/>
      <c r="CJ402" s="1755"/>
      <c r="CK402" s="1755"/>
      <c r="CL402" s="1755"/>
      <c r="CM402" s="1755"/>
      <c r="CN402" s="1756"/>
      <c r="CO402" s="1783"/>
    </row>
    <row r="403" spans="2:93" x14ac:dyDescent="0.2">
      <c r="B403" s="1707"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403" s="1747" t="s">
        <v>1079</v>
      </c>
      <c r="D403" s="1747" t="s">
        <v>1078</v>
      </c>
      <c r="E403" s="1747" t="s">
        <v>987</v>
      </c>
      <c r="F403" s="1747" t="str">
        <f>VLOOKUP(TBL5_OptBen[[#This Row],[Option Type (defined list)]],'Option Typs_Grps'!B$2:C$47, 2, FALSE)</f>
        <v>Customer Options</v>
      </c>
      <c r="G403" s="1747" t="s">
        <v>863</v>
      </c>
      <c r="H403" s="1747" t="s">
        <v>1458</v>
      </c>
      <c r="I403" s="1747" t="s">
        <v>105</v>
      </c>
      <c r="J403" s="1747" t="s">
        <v>236</v>
      </c>
      <c r="K403" s="1760">
        <v>2</v>
      </c>
      <c r="L403" s="1779"/>
      <c r="M403" s="1779"/>
      <c r="N403" s="1779">
        <v>0</v>
      </c>
      <c r="O403" s="1780">
        <v>0</v>
      </c>
      <c r="P403" s="1780">
        <v>0</v>
      </c>
      <c r="Q403" s="1779">
        <v>0</v>
      </c>
      <c r="R403" s="1779">
        <v>0</v>
      </c>
      <c r="S403" s="1779">
        <v>0</v>
      </c>
      <c r="T403" s="1779">
        <v>7.3833501573595584E-2</v>
      </c>
      <c r="U403" s="1779">
        <v>0.1471215959892973</v>
      </c>
      <c r="V403" s="1779">
        <v>0.22002474649539749</v>
      </c>
      <c r="W403" s="1779">
        <v>0.2922773801037053</v>
      </c>
      <c r="X403" s="1779">
        <v>0.36418098416940126</v>
      </c>
      <c r="Y403" s="1779">
        <v>0.43562881924000152</v>
      </c>
      <c r="Z403" s="1779">
        <v>0.58633855384859856</v>
      </c>
      <c r="AA403" s="1779">
        <v>0.73653307793040312</v>
      </c>
      <c r="AB403" s="1779">
        <v>0.88591093485229777</v>
      </c>
      <c r="AC403" s="1779">
        <v>1.0346859498579946</v>
      </c>
      <c r="AD403" s="1779">
        <v>1.1825063035998937</v>
      </c>
      <c r="AE403" s="1779">
        <v>1.3300340927073009</v>
      </c>
      <c r="AF403" s="1779">
        <v>1.4777973911117002</v>
      </c>
      <c r="AG403" s="1779">
        <v>1.6253095885688964</v>
      </c>
      <c r="AH403" s="1779">
        <v>1.7723727303438963</v>
      </c>
      <c r="AI403" s="1779">
        <v>1.9193008627122978</v>
      </c>
      <c r="AJ403" s="1779">
        <v>1.9668881373080964</v>
      </c>
      <c r="AK403" s="1779">
        <v>2.0145719774967006</v>
      </c>
      <c r="AL403" s="1779">
        <v>2.0618569926542989</v>
      </c>
      <c r="AM403" s="1779">
        <v>2.1088184870127975</v>
      </c>
      <c r="AN403" s="1779">
        <v>2.1558672756962949</v>
      </c>
      <c r="AO403" s="1779">
        <v>2.2030882147346986</v>
      </c>
      <c r="AP403" s="1779">
        <v>2.2502157920711028</v>
      </c>
      <c r="AQ403" s="1779"/>
      <c r="AR403" s="1779"/>
      <c r="AS403" s="1779"/>
      <c r="AT403" s="1779"/>
      <c r="AU403" s="1779"/>
      <c r="AV403" s="1779"/>
      <c r="AW403" s="1779"/>
      <c r="AX403" s="1779"/>
      <c r="AY403" s="1779"/>
      <c r="AZ403" s="1779"/>
      <c r="BA403" s="1779"/>
      <c r="BB403" s="1779"/>
      <c r="BC403" s="1779"/>
      <c r="BD403" s="1779"/>
      <c r="BE403" s="1779"/>
      <c r="BF403" s="1779"/>
      <c r="BG403" s="1779"/>
      <c r="BH403" s="1779"/>
      <c r="BI403" s="1779"/>
      <c r="BJ403" s="1779"/>
      <c r="BK403" s="1779"/>
      <c r="BL403" s="1779"/>
      <c r="BM403" s="1779"/>
      <c r="BN403" s="1779"/>
      <c r="BO403" s="1779"/>
      <c r="BP403" s="1780"/>
      <c r="BQ403" s="1755"/>
      <c r="BR403" s="1755"/>
      <c r="BS403" s="1755"/>
      <c r="BT403" s="1755"/>
      <c r="BU403" s="1755"/>
      <c r="BV403" s="1755"/>
      <c r="BW403" s="1755"/>
      <c r="BX403" s="1755"/>
      <c r="BY403" s="1755"/>
      <c r="BZ403" s="1755"/>
      <c r="CA403" s="1755"/>
      <c r="CB403" s="1755"/>
      <c r="CC403" s="1755"/>
      <c r="CD403" s="1755"/>
      <c r="CE403" s="1755"/>
      <c r="CF403" s="1755"/>
      <c r="CG403" s="1755"/>
      <c r="CH403" s="1755"/>
      <c r="CI403" s="1755"/>
      <c r="CJ403" s="1755"/>
      <c r="CK403" s="1755"/>
      <c r="CL403" s="1755"/>
      <c r="CM403" s="1755"/>
      <c r="CN403" s="1756"/>
      <c r="CO403" s="1783"/>
    </row>
    <row r="404" spans="2:93" ht="28.5" x14ac:dyDescent="0.2">
      <c r="B404" s="1707" t="str">
        <f>CONCATENATE(IF(TBL5_OptBen[[#This Row],[Option Group]]="RESOURCE OPTIONS","52a",IF(TBL5_OptBen[[#This Row],[Option Group]]="PRODUCTION OPTIONS","52b",IF(TBL5_OptBen[[#This Row],[Option Group]]="DISTRIBUTION OPTIONS","52c",IF(TBL5_OptBen[[#This Row],[Option Group]]="CUSTOMER OPTIONS","52d","ERROR")))), IF(TBL5_OptBen[[#This Row],[Preferred (most likely), Least Cost, Ofwat Core or Alternative Programme]]="Preferred","P","A"))</f>
        <v>52dA</v>
      </c>
      <c r="C404" s="1703" t="s">
        <v>972</v>
      </c>
      <c r="D404" s="1703" t="s">
        <v>1088</v>
      </c>
      <c r="E404" s="1707" t="s">
        <v>973</v>
      </c>
      <c r="F404" s="1747" t="str">
        <f>VLOOKUP(TBL5_OptBen[[#This Row],[Option Type (defined list)]],'Option Typs_Grps'!B$2:C$47, 2, FALSE)</f>
        <v>Customer Options</v>
      </c>
      <c r="G404" s="1747" t="s">
        <v>863</v>
      </c>
      <c r="H404" s="1747" t="s">
        <v>1458</v>
      </c>
      <c r="I404" s="1747" t="s">
        <v>102</v>
      </c>
      <c r="J404" s="1747" t="s">
        <v>236</v>
      </c>
      <c r="K404" s="1760">
        <v>2</v>
      </c>
      <c r="L404" s="1779"/>
      <c r="M404" s="1779"/>
      <c r="N404" s="1779">
        <v>0</v>
      </c>
      <c r="O404" s="1780">
        <v>4.2756956085342601</v>
      </c>
      <c r="P404" s="1780">
        <v>4.09987831560119</v>
      </c>
      <c r="Q404" s="1779">
        <v>4.0759494718184097</v>
      </c>
      <c r="R404" s="1779">
        <v>3.8978231189529904</v>
      </c>
      <c r="S404" s="1779">
        <v>3.8621878662638505</v>
      </c>
      <c r="T404" s="1779">
        <v>3.8730037458603306</v>
      </c>
      <c r="U404" s="1779">
        <v>3.8838711888694597</v>
      </c>
      <c r="V404" s="1779">
        <v>3.8941135151785602</v>
      </c>
      <c r="W404" s="1779">
        <v>3.9043053874683409</v>
      </c>
      <c r="X404" s="1779">
        <v>3.9143938815194712</v>
      </c>
      <c r="Y404" s="1779">
        <v>0</v>
      </c>
      <c r="Z404" s="1779">
        <v>0</v>
      </c>
      <c r="AA404" s="1779">
        <v>0</v>
      </c>
      <c r="AB404" s="1779">
        <v>0</v>
      </c>
      <c r="AC404" s="1779">
        <v>0</v>
      </c>
      <c r="AD404" s="1779">
        <v>0</v>
      </c>
      <c r="AE404" s="1779">
        <v>0</v>
      </c>
      <c r="AF404" s="1779">
        <v>0</v>
      </c>
      <c r="AG404" s="1779">
        <v>0</v>
      </c>
      <c r="AH404" s="1779">
        <v>0</v>
      </c>
      <c r="AI404" s="1779">
        <v>0</v>
      </c>
      <c r="AJ404" s="1779">
        <v>0</v>
      </c>
      <c r="AK404" s="1779">
        <v>0</v>
      </c>
      <c r="AL404" s="1779">
        <v>0</v>
      </c>
      <c r="AM404" s="1779">
        <v>0</v>
      </c>
      <c r="AN404" s="1779">
        <v>0</v>
      </c>
      <c r="AO404" s="1779">
        <v>0</v>
      </c>
      <c r="AP404" s="1779">
        <v>0</v>
      </c>
      <c r="AQ404" s="1752"/>
      <c r="AR404" s="1752"/>
      <c r="AS404" s="1752"/>
      <c r="AT404" s="1752"/>
      <c r="AU404" s="1752"/>
      <c r="AV404" s="1752"/>
      <c r="AW404" s="1752"/>
      <c r="AX404" s="1752"/>
      <c r="AY404" s="1752"/>
      <c r="AZ404" s="1752"/>
      <c r="BA404" s="1752"/>
      <c r="BB404" s="1752"/>
      <c r="BC404" s="1752"/>
      <c r="BD404" s="1752"/>
      <c r="BE404" s="1752"/>
      <c r="BF404" s="1752"/>
      <c r="BG404" s="1752"/>
      <c r="BH404" s="1752"/>
      <c r="BI404" s="1752"/>
      <c r="BJ404" s="1752"/>
      <c r="BK404" s="1752"/>
      <c r="BL404" s="1752"/>
      <c r="BM404" s="1752"/>
      <c r="BN404" s="1752"/>
      <c r="BO404" s="1752"/>
      <c r="BP404" s="1754"/>
      <c r="BQ404" s="1755"/>
      <c r="BR404" s="1755"/>
      <c r="BS404" s="1755"/>
      <c r="BT404" s="1755"/>
      <c r="BU404" s="1755"/>
      <c r="BV404" s="1755"/>
      <c r="BW404" s="1755"/>
      <c r="BX404" s="1755"/>
      <c r="BY404" s="1755"/>
      <c r="BZ404" s="1755"/>
      <c r="CA404" s="1755"/>
      <c r="CB404" s="1755"/>
      <c r="CC404" s="1755"/>
      <c r="CD404" s="1755"/>
      <c r="CE404" s="1755"/>
      <c r="CF404" s="1755"/>
      <c r="CG404" s="1755"/>
      <c r="CH404" s="1755"/>
      <c r="CI404" s="1755"/>
      <c r="CJ404" s="1755"/>
      <c r="CK404" s="1755"/>
      <c r="CL404" s="1755"/>
      <c r="CM404" s="1755"/>
      <c r="CN404" s="1756"/>
      <c r="CO404" s="1783"/>
    </row>
    <row r="406" spans="2:93" x14ac:dyDescent="0.2">
      <c r="N406" s="1795"/>
      <c r="O406" s="1795"/>
      <c r="P406" s="1795"/>
      <c r="Q406" s="1795"/>
      <c r="R406" s="1795"/>
      <c r="S406" s="1795"/>
      <c r="T406" s="1795"/>
      <c r="U406" s="1795"/>
      <c r="V406" s="1795"/>
      <c r="W406" s="1795"/>
      <c r="X406" s="1795"/>
      <c r="Y406" s="1795"/>
      <c r="Z406" s="1795"/>
      <c r="AA406" s="1795"/>
      <c r="AB406" s="1795"/>
      <c r="AC406" s="1795"/>
      <c r="AD406" s="1795"/>
      <c r="AE406" s="1795"/>
      <c r="AF406" s="1795"/>
      <c r="AG406" s="1795"/>
      <c r="AH406" s="1795"/>
      <c r="AI406" s="1795"/>
      <c r="AJ406" s="1795"/>
      <c r="AK406" s="1795"/>
      <c r="AL406" s="1795"/>
      <c r="AM406" s="1795"/>
      <c r="AN406" s="1795"/>
      <c r="AO406" s="1795"/>
      <c r="AP406" s="1795"/>
    </row>
    <row r="407" spans="2:93" x14ac:dyDescent="0.2">
      <c r="Q407" s="1795"/>
      <c r="R407" s="1795"/>
      <c r="S407" s="1795"/>
      <c r="T407" s="1795"/>
    </row>
    <row r="408" spans="2:93" x14ac:dyDescent="0.2">
      <c r="Q408" s="1795"/>
      <c r="R408" s="1795"/>
      <c r="S408" s="1795"/>
      <c r="T408" s="1795"/>
      <c r="U408" s="1795"/>
      <c r="V408" s="1795"/>
      <c r="W408" s="1795"/>
      <c r="X408" s="1795"/>
      <c r="Y408" s="1795"/>
      <c r="Z408" s="1795"/>
      <c r="AA408" s="1795"/>
      <c r="AB408" s="1795"/>
      <c r="AC408" s="1795"/>
      <c r="AD408" s="1795"/>
      <c r="AE408" s="1795"/>
      <c r="AF408" s="1795"/>
      <c r="AG408" s="1795"/>
      <c r="AH408" s="1795"/>
      <c r="AI408" s="1795"/>
      <c r="AJ408" s="1795"/>
      <c r="AK408" s="1795"/>
      <c r="AL408" s="1795"/>
      <c r="AM408" s="1795"/>
      <c r="AN408" s="1795"/>
      <c r="AO408" s="1795"/>
      <c r="AP408" s="1795"/>
    </row>
  </sheetData>
  <mergeCells count="1">
    <mergeCell ref="L4:CN4"/>
  </mergeCells>
  <phoneticPr fontId="34" type="noConversion"/>
  <pageMargins left="0.7" right="0.7" top="0.75" bottom="0.75" header="0.3" footer="0.3"/>
  <pageSetup paperSize="9" orientation="portrait" horizontalDpi="90" verticalDpi="90" r:id="rId1"/>
  <legacyDrawing r:id="rId2"/>
  <tableParts count="1">
    <tablePart r:id="rId3"/>
  </tableParts>
  <extLst>
    <ext xmlns:x14="http://schemas.microsoft.com/office/spreadsheetml/2009/9/main" uri="{78C0D931-6437-407d-A8EE-F0AAD7539E65}">
      <x14:conditionalFormattings>
        <x14:conditionalFormatting xmlns:xm="http://schemas.microsoft.com/office/excel/2006/main">
          <x14:cfRule type="expression" priority="82" id="{358216E2-2F31-46D9-9F2F-BC025973BDE1}">
            <xm:f>NOT(IFERROR(MATCH($E177,'Option Typs_Grps'!$B$3:$B$132,0)&gt;0,FALSE))</xm:f>
            <x14:dxf>
              <font>
                <b/>
                <i val="0"/>
                <color theme="0"/>
              </font>
              <fill>
                <patternFill>
                  <bgColor rgb="FFFF0000"/>
                </patternFill>
              </fill>
            </x14:dxf>
          </x14:cfRule>
          <xm:sqref>E177:E178</xm:sqref>
        </x14:conditionalFormatting>
        <x14:conditionalFormatting xmlns:xm="http://schemas.microsoft.com/office/excel/2006/main">
          <x14:cfRule type="expression" priority="83" id="{9CF0853D-9181-4551-B337-5EAE56FE08E2}">
            <xm:f>NOT(IFERROR(MATCH($E181,'Option Typs_Grps'!$B$3:$B$132,0)&gt;0,FALSE))</xm:f>
            <x14:dxf>
              <font>
                <b/>
                <i val="0"/>
                <color theme="0"/>
              </font>
              <fill>
                <patternFill>
                  <bgColor rgb="FFFF0000"/>
                </patternFill>
              </fill>
            </x14:dxf>
          </x14:cfRule>
          <xm:sqref>E181</xm:sqref>
        </x14:conditionalFormatting>
        <x14:conditionalFormatting xmlns:xm="http://schemas.microsoft.com/office/excel/2006/main">
          <x14:cfRule type="expression" priority="81" id="{FF3A684C-B6D3-4B6C-AF39-D8ABE6A777F9}">
            <xm:f>NOT(IFERROR(MATCH($E184,'Option Typs_Grps'!$B$3:$B$132,0)&gt;0,FALSE))</xm:f>
            <x14:dxf>
              <font>
                <b/>
                <i val="0"/>
                <color theme="0"/>
              </font>
              <fill>
                <patternFill>
                  <bgColor rgb="FFFF0000"/>
                </patternFill>
              </fill>
            </x14:dxf>
          </x14:cfRule>
          <xm:sqref>E184</xm:sqref>
        </x14:conditionalFormatting>
        <x14:conditionalFormatting xmlns:xm="http://schemas.microsoft.com/office/excel/2006/main">
          <x14:cfRule type="expression" priority="79" id="{96C1E218-46F4-403B-B4C2-769D226BCF66}">
            <xm:f>NOT(IFERROR(MATCH($E187,'Option Typs_Grps'!$B$3:$B$132,0)&gt;0,FALSE))</xm:f>
            <x14:dxf>
              <font>
                <b/>
                <i val="0"/>
                <color theme="0"/>
              </font>
              <fill>
                <patternFill>
                  <bgColor rgb="FFFF0000"/>
                </patternFill>
              </fill>
            </x14:dxf>
          </x14:cfRule>
          <xm:sqref>E187:E188</xm:sqref>
        </x14:conditionalFormatting>
        <x14:conditionalFormatting xmlns:xm="http://schemas.microsoft.com/office/excel/2006/main">
          <x14:cfRule type="expression" priority="76" id="{2B5D28A9-266B-4EED-9FC4-D712A4882A5F}">
            <xm:f>NOT(IFERROR(MATCH($E191,'Option Typs_Grps'!$B$3:$B$132,0)&gt;0,FALSE))</xm:f>
            <x14:dxf>
              <font>
                <b/>
                <i val="0"/>
                <color theme="0"/>
              </font>
              <fill>
                <patternFill>
                  <bgColor rgb="FFFF0000"/>
                </patternFill>
              </fill>
            </x14:dxf>
          </x14:cfRule>
          <xm:sqref>E191:E192</xm:sqref>
        </x14:conditionalFormatting>
        <x14:conditionalFormatting xmlns:xm="http://schemas.microsoft.com/office/excel/2006/main">
          <x14:cfRule type="expression" priority="77" id="{B0F77172-1DFA-43A7-8175-5F069539046B}">
            <xm:f>NOT(IFERROR(MATCH($E195,'Option Typs_Grps'!$B$3:$B$132,0)&gt;0,FALSE))</xm:f>
            <x14:dxf>
              <font>
                <b/>
                <i val="0"/>
                <color theme="0"/>
              </font>
              <fill>
                <patternFill>
                  <bgColor rgb="FFFF0000"/>
                </patternFill>
              </fill>
            </x14:dxf>
          </x14:cfRule>
          <xm:sqref>E195</xm:sqref>
        </x14:conditionalFormatting>
        <x14:conditionalFormatting xmlns:xm="http://schemas.microsoft.com/office/excel/2006/main">
          <x14:cfRule type="expression" priority="75" id="{438C1D6C-32CB-474E-A276-C93566E9D9C2}">
            <xm:f>NOT(IFERROR(MATCH($E198,'Option Typs_Grps'!$B$3:$B$132,0)&gt;0,FALSE))</xm:f>
            <x14:dxf>
              <font>
                <b/>
                <i val="0"/>
                <color theme="0"/>
              </font>
              <fill>
                <patternFill>
                  <bgColor rgb="FFFF0000"/>
                </patternFill>
              </fill>
            </x14:dxf>
          </x14:cfRule>
          <xm:sqref>E198</xm:sqref>
        </x14:conditionalFormatting>
        <x14:conditionalFormatting xmlns:xm="http://schemas.microsoft.com/office/excel/2006/main">
          <x14:cfRule type="expression" priority="73" id="{D812AD68-CE5D-4557-B674-147650481B12}">
            <xm:f>NOT(IFERROR(MATCH($E201,'Option Typs_Grps'!$B$3:$B$132,0)&gt;0,FALSE))</xm:f>
            <x14:dxf>
              <font>
                <b/>
                <i val="0"/>
                <color theme="0"/>
              </font>
              <fill>
                <patternFill>
                  <bgColor rgb="FFFF0000"/>
                </patternFill>
              </fill>
            </x14:dxf>
          </x14:cfRule>
          <xm:sqref>E201:E202</xm:sqref>
        </x14:conditionalFormatting>
        <x14:conditionalFormatting xmlns:xm="http://schemas.microsoft.com/office/excel/2006/main">
          <x14:cfRule type="expression" priority="70" id="{97FA83B9-CDD6-4FD4-8A24-FE1DB5BB99A7}">
            <xm:f>NOT(IFERROR(MATCH($E205,'Option Typs_Grps'!$B$3:$B$132,0)&gt;0,FALSE))</xm:f>
            <x14:dxf>
              <font>
                <b/>
                <i val="0"/>
                <color theme="0"/>
              </font>
              <fill>
                <patternFill>
                  <bgColor rgb="FFFF0000"/>
                </patternFill>
              </fill>
            </x14:dxf>
          </x14:cfRule>
          <xm:sqref>E205:E206</xm:sqref>
        </x14:conditionalFormatting>
        <x14:conditionalFormatting xmlns:xm="http://schemas.microsoft.com/office/excel/2006/main">
          <x14:cfRule type="expression" priority="71" id="{DF217726-2A51-4752-8E7D-8DE52FBCEDAB}">
            <xm:f>NOT(IFERROR(MATCH($E209,'Option Typs_Grps'!$B$3:$B$132,0)&gt;0,FALSE))</xm:f>
            <x14:dxf>
              <font>
                <b/>
                <i val="0"/>
                <color theme="0"/>
              </font>
              <fill>
                <patternFill>
                  <bgColor rgb="FFFF0000"/>
                </patternFill>
              </fill>
            </x14:dxf>
          </x14:cfRule>
          <xm:sqref>E209</xm:sqref>
        </x14:conditionalFormatting>
        <x14:conditionalFormatting xmlns:xm="http://schemas.microsoft.com/office/excel/2006/main">
          <x14:cfRule type="expression" priority="69" id="{5B1F5093-B5B7-47BC-A9FB-712BC90DE10A}">
            <xm:f>NOT(IFERROR(MATCH($E212,'Option Typs_Grps'!$B$3:$B$132,0)&gt;0,FALSE))</xm:f>
            <x14:dxf>
              <font>
                <b/>
                <i val="0"/>
                <color theme="0"/>
              </font>
              <fill>
                <patternFill>
                  <bgColor rgb="FFFF0000"/>
                </patternFill>
              </fill>
            </x14:dxf>
          </x14:cfRule>
          <xm:sqref>E212</xm:sqref>
        </x14:conditionalFormatting>
        <x14:conditionalFormatting xmlns:xm="http://schemas.microsoft.com/office/excel/2006/main">
          <x14:cfRule type="expression" priority="67" id="{47CFDD0A-2B67-4D6E-A9E2-8ACF89BB78B2}">
            <xm:f>NOT(IFERROR(MATCH($E215,'Option Typs_Grps'!$B$3:$B$132,0)&gt;0,FALSE))</xm:f>
            <x14:dxf>
              <font>
                <b/>
                <i val="0"/>
                <color theme="0"/>
              </font>
              <fill>
                <patternFill>
                  <bgColor rgb="FFFF0000"/>
                </patternFill>
              </fill>
            </x14:dxf>
          </x14:cfRule>
          <xm:sqref>E215:E216</xm:sqref>
        </x14:conditionalFormatting>
        <x14:conditionalFormatting xmlns:xm="http://schemas.microsoft.com/office/excel/2006/main">
          <x14:cfRule type="expression" priority="64" id="{A5172767-7C1F-4522-A616-6D0DEFCC7531}">
            <xm:f>NOT(IFERROR(MATCH($E235,'Option Typs_Grps'!$B$3:$B$132,0)&gt;0,FALSE))</xm:f>
            <x14:dxf>
              <font>
                <b/>
                <i val="0"/>
                <color theme="0"/>
              </font>
              <fill>
                <patternFill>
                  <bgColor rgb="FFFF0000"/>
                </patternFill>
              </fill>
            </x14:dxf>
          </x14:cfRule>
          <xm:sqref>E235:E236</xm:sqref>
        </x14:conditionalFormatting>
        <x14:conditionalFormatting xmlns:xm="http://schemas.microsoft.com/office/excel/2006/main">
          <x14:cfRule type="expression" priority="65" id="{DE748FFD-BB73-4A14-B3E5-880A97C89763}">
            <xm:f>NOT(IFERROR(MATCH($E239,'Option Typs_Grps'!$B$3:$B$132,0)&gt;0,FALSE))</xm:f>
            <x14:dxf>
              <font>
                <b/>
                <i val="0"/>
                <color theme="0"/>
              </font>
              <fill>
                <patternFill>
                  <bgColor rgb="FFFF0000"/>
                </patternFill>
              </fill>
            </x14:dxf>
          </x14:cfRule>
          <xm:sqref>E239</xm:sqref>
        </x14:conditionalFormatting>
        <x14:conditionalFormatting xmlns:xm="http://schemas.microsoft.com/office/excel/2006/main">
          <x14:cfRule type="expression" priority="61" id="{734A685B-0CF3-457F-A8D9-93CE0FC6E529}">
            <xm:f>NOT(IFERROR(MATCH($E242,'Option Typs_Grps'!$B$3:$B$132,0)&gt;0,FALSE))</xm:f>
            <x14:dxf>
              <font>
                <b/>
                <i val="0"/>
                <color theme="0"/>
              </font>
              <fill>
                <patternFill>
                  <bgColor rgb="FFFF0000"/>
                </patternFill>
              </fill>
            </x14:dxf>
          </x14:cfRule>
          <xm:sqref>E242:E243</xm:sqref>
        </x14:conditionalFormatting>
        <x14:conditionalFormatting xmlns:xm="http://schemas.microsoft.com/office/excel/2006/main">
          <x14:cfRule type="expression" priority="62" id="{DDB0F99F-6F3B-4984-956E-2789E0D6903D}">
            <xm:f>NOT(IFERROR(MATCH($E246,'Option Typs_Grps'!$B$3:$B$132,0)&gt;0,FALSE))</xm:f>
            <x14:dxf>
              <font>
                <b/>
                <i val="0"/>
                <color theme="0"/>
              </font>
              <fill>
                <patternFill>
                  <bgColor rgb="FFFF0000"/>
                </patternFill>
              </fill>
            </x14:dxf>
          </x14:cfRule>
          <xm:sqref>E246</xm:sqref>
        </x14:conditionalFormatting>
        <x14:conditionalFormatting xmlns:xm="http://schemas.microsoft.com/office/excel/2006/main">
          <x14:cfRule type="expression" priority="58" id="{FCA7EB5E-2B61-4CB4-AFE3-8CD5BCE0289C}">
            <xm:f>NOT(IFERROR(MATCH($E249,'Option Typs_Grps'!$B$3:$B$132,0)&gt;0,FALSE))</xm:f>
            <x14:dxf>
              <font>
                <b/>
                <i val="0"/>
                <color theme="0"/>
              </font>
              <fill>
                <patternFill>
                  <bgColor rgb="FFFF0000"/>
                </patternFill>
              </fill>
            </x14:dxf>
          </x14:cfRule>
          <xm:sqref>E249:E250</xm:sqref>
        </x14:conditionalFormatting>
        <x14:conditionalFormatting xmlns:xm="http://schemas.microsoft.com/office/excel/2006/main">
          <x14:cfRule type="expression" priority="59" id="{1E760403-30EF-4053-8158-4F835F843C57}">
            <xm:f>NOT(IFERROR(MATCH($E253,'Option Typs_Grps'!$B$3:$B$132,0)&gt;0,FALSE))</xm:f>
            <x14:dxf>
              <font>
                <b/>
                <i val="0"/>
                <color theme="0"/>
              </font>
              <fill>
                <patternFill>
                  <bgColor rgb="FFFF0000"/>
                </patternFill>
              </fill>
            </x14:dxf>
          </x14:cfRule>
          <xm:sqref>E253</xm:sqref>
        </x14:conditionalFormatting>
        <x14:conditionalFormatting xmlns:xm="http://schemas.microsoft.com/office/excel/2006/main">
          <x14:cfRule type="expression" priority="55" id="{A84C95FC-11E5-4317-8FE6-51939B711D1A}">
            <xm:f>NOT(IFERROR(MATCH($E264,'Option Typs_Grps'!$B$3:$B$132,0)&gt;0,FALSE))</xm:f>
            <x14:dxf>
              <font>
                <b/>
                <i val="0"/>
                <color theme="0"/>
              </font>
              <fill>
                <patternFill>
                  <bgColor rgb="FFFF0000"/>
                </patternFill>
              </fill>
            </x14:dxf>
          </x14:cfRule>
          <xm:sqref>E264:E265</xm:sqref>
        </x14:conditionalFormatting>
        <x14:conditionalFormatting xmlns:xm="http://schemas.microsoft.com/office/excel/2006/main">
          <x14:cfRule type="expression" priority="56" id="{A48A46F6-50BA-433E-883E-911FE6C5F770}">
            <xm:f>NOT(IFERROR(MATCH($E268,'Option Typs_Grps'!$B$3:$B$132,0)&gt;0,FALSE))</xm:f>
            <x14:dxf>
              <font>
                <b/>
                <i val="0"/>
                <color theme="0"/>
              </font>
              <fill>
                <patternFill>
                  <bgColor rgb="FFFF0000"/>
                </patternFill>
              </fill>
            </x14:dxf>
          </x14:cfRule>
          <xm:sqref>E268</xm:sqref>
        </x14:conditionalFormatting>
        <x14:conditionalFormatting xmlns:xm="http://schemas.microsoft.com/office/excel/2006/main">
          <x14:cfRule type="expression" priority="52" id="{75BB1269-A5E5-4EA5-B8C1-8E6DF7307455}">
            <xm:f>NOT(IFERROR(MATCH($E271,'Option Typs_Grps'!$B$3:$B$132,0)&gt;0,FALSE))</xm:f>
            <x14:dxf>
              <font>
                <b/>
                <i val="0"/>
                <color theme="0"/>
              </font>
              <fill>
                <patternFill>
                  <bgColor rgb="FFFF0000"/>
                </patternFill>
              </fill>
            </x14:dxf>
          </x14:cfRule>
          <xm:sqref>E271:E272</xm:sqref>
        </x14:conditionalFormatting>
        <x14:conditionalFormatting xmlns:xm="http://schemas.microsoft.com/office/excel/2006/main">
          <x14:cfRule type="expression" priority="53" id="{47AF116E-5C68-4EB9-808D-E5F9F347227F}">
            <xm:f>NOT(IFERROR(MATCH($E275,'Option Typs_Grps'!$B$3:$B$132,0)&gt;0,FALSE))</xm:f>
            <x14:dxf>
              <font>
                <b/>
                <i val="0"/>
                <color theme="0"/>
              </font>
              <fill>
                <patternFill>
                  <bgColor rgb="FFFF0000"/>
                </patternFill>
              </fill>
            </x14:dxf>
          </x14:cfRule>
          <xm:sqref>E275</xm:sqref>
        </x14:conditionalFormatting>
        <x14:conditionalFormatting xmlns:xm="http://schemas.microsoft.com/office/excel/2006/main">
          <x14:cfRule type="expression" priority="49" id="{71116D66-51B5-410F-932C-2049DD823C27}">
            <xm:f>NOT(IFERROR(MATCH($E278,'Option Typs_Grps'!$B$3:$B$132,0)&gt;0,FALSE))</xm:f>
            <x14:dxf>
              <font>
                <b/>
                <i val="0"/>
                <color theme="0"/>
              </font>
              <fill>
                <patternFill>
                  <bgColor rgb="FFFF0000"/>
                </patternFill>
              </fill>
            </x14:dxf>
          </x14:cfRule>
          <xm:sqref>E278:E279</xm:sqref>
        </x14:conditionalFormatting>
        <x14:conditionalFormatting xmlns:xm="http://schemas.microsoft.com/office/excel/2006/main">
          <x14:cfRule type="expression" priority="50" id="{EF1CFF80-291D-43FE-898D-C2825A6C243D}">
            <xm:f>NOT(IFERROR(MATCH($E282,'Option Typs_Grps'!$B$3:$B$132,0)&gt;0,FALSE))</xm:f>
            <x14:dxf>
              <font>
                <b/>
                <i val="0"/>
                <color theme="0"/>
              </font>
              <fill>
                <patternFill>
                  <bgColor rgb="FFFF0000"/>
                </patternFill>
              </fill>
            </x14:dxf>
          </x14:cfRule>
          <xm:sqref>E282</xm:sqref>
        </x14:conditionalFormatting>
        <x14:conditionalFormatting xmlns:xm="http://schemas.microsoft.com/office/excel/2006/main">
          <x14:cfRule type="expression" priority="46" id="{27C21C94-2D9C-4AFE-93C2-392CF5E250BF}">
            <xm:f>NOT(IFERROR(MATCH($E293,'Option Typs_Grps'!$B$3:$B$132,0)&gt;0,FALSE))</xm:f>
            <x14:dxf>
              <font>
                <b/>
                <i val="0"/>
                <color theme="0"/>
              </font>
              <fill>
                <patternFill>
                  <bgColor rgb="FFFF0000"/>
                </patternFill>
              </fill>
            </x14:dxf>
          </x14:cfRule>
          <xm:sqref>E293:E294</xm:sqref>
        </x14:conditionalFormatting>
        <x14:conditionalFormatting xmlns:xm="http://schemas.microsoft.com/office/excel/2006/main">
          <x14:cfRule type="expression" priority="47" id="{3EC36E74-9013-44F3-9803-276F6B2963AA}">
            <xm:f>NOT(IFERROR(MATCH($E297,'Option Typs_Grps'!$B$3:$B$132,0)&gt;0,FALSE))</xm:f>
            <x14:dxf>
              <font>
                <b/>
                <i val="0"/>
                <color theme="0"/>
              </font>
              <fill>
                <patternFill>
                  <bgColor rgb="FFFF0000"/>
                </patternFill>
              </fill>
            </x14:dxf>
          </x14:cfRule>
          <xm:sqref>E297</xm:sqref>
        </x14:conditionalFormatting>
        <x14:conditionalFormatting xmlns:xm="http://schemas.microsoft.com/office/excel/2006/main">
          <x14:cfRule type="expression" priority="43" id="{899894FF-6C1B-4941-A2E2-336CAE44B358}">
            <xm:f>NOT(IFERROR(MATCH($E300,'Option Typs_Grps'!$B$3:$B$132,0)&gt;0,FALSE))</xm:f>
            <x14:dxf>
              <font>
                <b/>
                <i val="0"/>
                <color theme="0"/>
              </font>
              <fill>
                <patternFill>
                  <bgColor rgb="FFFF0000"/>
                </patternFill>
              </fill>
            </x14:dxf>
          </x14:cfRule>
          <xm:sqref>E300:E301</xm:sqref>
        </x14:conditionalFormatting>
        <x14:conditionalFormatting xmlns:xm="http://schemas.microsoft.com/office/excel/2006/main">
          <x14:cfRule type="expression" priority="44" id="{13FF6EB8-10EA-46F3-8D01-3B63453525E7}">
            <xm:f>NOT(IFERROR(MATCH($E304,'Option Typs_Grps'!$B$3:$B$132,0)&gt;0,FALSE))</xm:f>
            <x14:dxf>
              <font>
                <b/>
                <i val="0"/>
                <color theme="0"/>
              </font>
              <fill>
                <patternFill>
                  <bgColor rgb="FFFF0000"/>
                </patternFill>
              </fill>
            </x14:dxf>
          </x14:cfRule>
          <xm:sqref>E304</xm:sqref>
        </x14:conditionalFormatting>
        <x14:conditionalFormatting xmlns:xm="http://schemas.microsoft.com/office/excel/2006/main">
          <x14:cfRule type="expression" priority="40" id="{6F5A9182-5508-4891-AB6A-517621BD98F6}">
            <xm:f>NOT(IFERROR(MATCH($E307,'Option Typs_Grps'!$B$3:$B$132,0)&gt;0,FALSE))</xm:f>
            <x14:dxf>
              <font>
                <b/>
                <i val="0"/>
                <color theme="0"/>
              </font>
              <fill>
                <patternFill>
                  <bgColor rgb="FFFF0000"/>
                </patternFill>
              </fill>
            </x14:dxf>
          </x14:cfRule>
          <xm:sqref>E307:E308</xm:sqref>
        </x14:conditionalFormatting>
        <x14:conditionalFormatting xmlns:xm="http://schemas.microsoft.com/office/excel/2006/main">
          <x14:cfRule type="expression" priority="41" id="{D60D2D4F-E931-49F8-B3F4-4F8ADDF53C92}">
            <xm:f>NOT(IFERROR(MATCH($E311,'Option Typs_Grps'!$B$3:$B$132,0)&gt;0,FALSE))</xm:f>
            <x14:dxf>
              <font>
                <b/>
                <i val="0"/>
                <color theme="0"/>
              </font>
              <fill>
                <patternFill>
                  <bgColor rgb="FFFF0000"/>
                </patternFill>
              </fill>
            </x14:dxf>
          </x14:cfRule>
          <xm:sqref>E311</xm:sqref>
        </x14:conditionalFormatting>
        <x14:conditionalFormatting xmlns:xm="http://schemas.microsoft.com/office/excel/2006/main">
          <x14:cfRule type="expression" priority="37" id="{D2ADC3AF-6C9B-46AB-8B05-0A0B9C9F1C9A}">
            <xm:f>NOT(IFERROR(MATCH($E322,'Option Typs_Grps'!$B$3:$B$132,0)&gt;0,FALSE))</xm:f>
            <x14:dxf>
              <font>
                <b/>
                <i val="0"/>
                <color theme="0"/>
              </font>
              <fill>
                <patternFill>
                  <bgColor rgb="FFFF0000"/>
                </patternFill>
              </fill>
            </x14:dxf>
          </x14:cfRule>
          <xm:sqref>E322:E323</xm:sqref>
        </x14:conditionalFormatting>
        <x14:conditionalFormatting xmlns:xm="http://schemas.microsoft.com/office/excel/2006/main">
          <x14:cfRule type="expression" priority="38" id="{EC9967EE-E423-46AF-B20A-F1ECD3103A5B}">
            <xm:f>NOT(IFERROR(MATCH($E326,'Option Typs_Grps'!$B$3:$B$132,0)&gt;0,FALSE))</xm:f>
            <x14:dxf>
              <font>
                <b/>
                <i val="0"/>
                <color theme="0"/>
              </font>
              <fill>
                <patternFill>
                  <bgColor rgb="FFFF0000"/>
                </patternFill>
              </fill>
            </x14:dxf>
          </x14:cfRule>
          <xm:sqref>E326</xm:sqref>
        </x14:conditionalFormatting>
        <x14:conditionalFormatting xmlns:xm="http://schemas.microsoft.com/office/excel/2006/main">
          <x14:cfRule type="expression" priority="34" id="{DDB01ED1-D352-4C6E-A91F-713ADCAF702F}">
            <xm:f>NOT(IFERROR(MATCH($E329,'Option Typs_Grps'!$B$3:$B$132,0)&gt;0,FALSE))</xm:f>
            <x14:dxf>
              <font>
                <b/>
                <i val="0"/>
                <color theme="0"/>
              </font>
              <fill>
                <patternFill>
                  <bgColor rgb="FFFF0000"/>
                </patternFill>
              </fill>
            </x14:dxf>
          </x14:cfRule>
          <xm:sqref>E329:E330</xm:sqref>
        </x14:conditionalFormatting>
        <x14:conditionalFormatting xmlns:xm="http://schemas.microsoft.com/office/excel/2006/main">
          <x14:cfRule type="expression" priority="35" id="{D55BDF78-A53C-49D3-BA81-23A8B7045AE7}">
            <xm:f>NOT(IFERROR(MATCH($E333,'Option Typs_Grps'!$B$3:$B$132,0)&gt;0,FALSE))</xm:f>
            <x14:dxf>
              <font>
                <b/>
                <i val="0"/>
                <color theme="0"/>
              </font>
              <fill>
                <patternFill>
                  <bgColor rgb="FFFF0000"/>
                </patternFill>
              </fill>
            </x14:dxf>
          </x14:cfRule>
          <xm:sqref>E333</xm:sqref>
        </x14:conditionalFormatting>
        <x14:conditionalFormatting xmlns:xm="http://schemas.microsoft.com/office/excel/2006/main">
          <x14:cfRule type="expression" priority="31" id="{43EEB758-C3C5-47C3-A097-D2B5CD9AD500}">
            <xm:f>NOT(IFERROR(MATCH($E336,'Option Typs_Grps'!$B$3:$B$132,0)&gt;0,FALSE))</xm:f>
            <x14:dxf>
              <font>
                <b/>
                <i val="0"/>
                <color theme="0"/>
              </font>
              <fill>
                <patternFill>
                  <bgColor rgb="FFFF0000"/>
                </patternFill>
              </fill>
            </x14:dxf>
          </x14:cfRule>
          <xm:sqref>E336:E337</xm:sqref>
        </x14:conditionalFormatting>
        <x14:conditionalFormatting xmlns:xm="http://schemas.microsoft.com/office/excel/2006/main">
          <x14:cfRule type="expression" priority="32" id="{4F923D01-2685-4A09-A7F5-9EEAE9DCEDD7}">
            <xm:f>NOT(IFERROR(MATCH($E340,'Option Typs_Grps'!$B$3:$B$132,0)&gt;0,FALSE))</xm:f>
            <x14:dxf>
              <font>
                <b/>
                <i val="0"/>
                <color theme="0"/>
              </font>
              <fill>
                <patternFill>
                  <bgColor rgb="FFFF0000"/>
                </patternFill>
              </fill>
            </x14:dxf>
          </x14:cfRule>
          <xm:sqref>E340</xm:sqref>
        </x14:conditionalFormatting>
        <x14:conditionalFormatting xmlns:xm="http://schemas.microsoft.com/office/excel/2006/main">
          <x14:cfRule type="expression" priority="28" id="{7738B843-DDCA-4449-92A2-14C211FFE771}">
            <xm:f>NOT(IFERROR(MATCH($E351,'Option Typs_Grps'!$B$3:$B$132,0)&gt;0,FALSE))</xm:f>
            <x14:dxf>
              <font>
                <b/>
                <i val="0"/>
                <color theme="0"/>
              </font>
              <fill>
                <patternFill>
                  <bgColor rgb="FFFF0000"/>
                </patternFill>
              </fill>
            </x14:dxf>
          </x14:cfRule>
          <xm:sqref>E351:E352</xm:sqref>
        </x14:conditionalFormatting>
        <x14:conditionalFormatting xmlns:xm="http://schemas.microsoft.com/office/excel/2006/main">
          <x14:cfRule type="expression" priority="29" id="{28F4E238-BEC1-4F97-A870-58C92A14DD97}">
            <xm:f>NOT(IFERROR(MATCH($E354,'Option Typs_Grps'!$B$3:$B$132,0)&gt;0,FALSE))</xm:f>
            <x14:dxf>
              <font>
                <b/>
                <i val="0"/>
                <color theme="0"/>
              </font>
              <fill>
                <patternFill>
                  <bgColor rgb="FFFF0000"/>
                </patternFill>
              </fill>
            </x14:dxf>
          </x14:cfRule>
          <xm:sqref>E354</xm:sqref>
        </x14:conditionalFormatting>
        <x14:conditionalFormatting xmlns:xm="http://schemas.microsoft.com/office/excel/2006/main">
          <x14:cfRule type="expression" priority="25" id="{F995AF56-72D9-4B3A-846D-1C4B6CE1A9B2}">
            <xm:f>NOT(IFERROR(MATCH($E357,'Option Typs_Grps'!$B$3:$B$132,0)&gt;0,FALSE))</xm:f>
            <x14:dxf>
              <font>
                <b/>
                <i val="0"/>
                <color theme="0"/>
              </font>
              <fill>
                <patternFill>
                  <bgColor rgb="FFFF0000"/>
                </patternFill>
              </fill>
            </x14:dxf>
          </x14:cfRule>
          <xm:sqref>E357:E358</xm:sqref>
        </x14:conditionalFormatting>
        <x14:conditionalFormatting xmlns:xm="http://schemas.microsoft.com/office/excel/2006/main">
          <x14:cfRule type="expression" priority="26" id="{9A4D6959-9094-4688-8112-4F7CE201BA15}">
            <xm:f>NOT(IFERROR(MATCH($E360,'Option Typs_Grps'!$B$3:$B$132,0)&gt;0,FALSE))</xm:f>
            <x14:dxf>
              <font>
                <b/>
                <i val="0"/>
                <color theme="0"/>
              </font>
              <fill>
                <patternFill>
                  <bgColor rgb="FFFF0000"/>
                </patternFill>
              </fill>
            </x14:dxf>
          </x14:cfRule>
          <xm:sqref>E360</xm:sqref>
        </x14:conditionalFormatting>
        <x14:conditionalFormatting xmlns:xm="http://schemas.microsoft.com/office/excel/2006/main">
          <x14:cfRule type="expression" priority="22" id="{F763082E-3DEE-43FA-AB90-FED50338EAA3}">
            <xm:f>NOT(IFERROR(MATCH($E363,'Option Typs_Grps'!$B$3:$B$132,0)&gt;0,FALSE))</xm:f>
            <x14:dxf>
              <font>
                <b/>
                <i val="0"/>
                <color theme="0"/>
              </font>
              <fill>
                <patternFill>
                  <bgColor rgb="FFFF0000"/>
                </patternFill>
              </fill>
            </x14:dxf>
          </x14:cfRule>
          <xm:sqref>E363:E364</xm:sqref>
        </x14:conditionalFormatting>
        <x14:conditionalFormatting xmlns:xm="http://schemas.microsoft.com/office/excel/2006/main">
          <x14:cfRule type="expression" priority="23" id="{48F1C14B-6B5F-43AE-8602-50CA7E097640}">
            <xm:f>NOT(IFERROR(MATCH($E366,'Option Typs_Grps'!$B$3:$B$132,0)&gt;0,FALSE))</xm:f>
            <x14:dxf>
              <font>
                <b/>
                <i val="0"/>
                <color theme="0"/>
              </font>
              <fill>
                <patternFill>
                  <bgColor rgb="FFFF0000"/>
                </patternFill>
              </fill>
            </x14:dxf>
          </x14:cfRule>
          <xm:sqref>E366</xm:sqref>
        </x14:conditionalFormatting>
        <x14:conditionalFormatting xmlns:xm="http://schemas.microsoft.com/office/excel/2006/main">
          <x14:cfRule type="expression" priority="11" id="{2AFD6FE5-D64C-4B20-9D9B-350B0BEC3A79}">
            <xm:f>NOT(IFERROR(MATCH($E376,'Option Typs_Grps'!$B$3:$B$132,0)&gt;0,FALSE))</xm:f>
            <x14:dxf>
              <font>
                <b/>
                <i val="0"/>
                <color theme="0"/>
              </font>
              <fill>
                <patternFill>
                  <bgColor rgb="FFFF0000"/>
                </patternFill>
              </fill>
            </x14:dxf>
          </x14:cfRule>
          <xm:sqref>E376:E377</xm:sqref>
        </x14:conditionalFormatting>
        <x14:conditionalFormatting xmlns:xm="http://schemas.microsoft.com/office/excel/2006/main">
          <x14:cfRule type="expression" priority="12" id="{49F78923-F0C4-4A16-AB84-6F94C6C2B410}">
            <xm:f>NOT(IFERROR(MATCH($E380,'Option Typs_Grps'!$B$3:$B$132,0)&gt;0,FALSE))</xm:f>
            <x14:dxf>
              <font>
                <b/>
                <i val="0"/>
                <color theme="0"/>
              </font>
              <fill>
                <patternFill>
                  <bgColor rgb="FFFF0000"/>
                </patternFill>
              </fill>
            </x14:dxf>
          </x14:cfRule>
          <xm:sqref>E380</xm:sqref>
        </x14:conditionalFormatting>
        <x14:conditionalFormatting xmlns:xm="http://schemas.microsoft.com/office/excel/2006/main">
          <x14:cfRule type="expression" priority="9" id="{F7E160C8-956F-4BA3-B476-18D4C78F4FCE}">
            <xm:f>NOT(IFERROR(MATCH($E383,'Option Typs_Grps'!$B$3:$B$132,0)&gt;0,FALSE))</xm:f>
            <x14:dxf>
              <font>
                <b/>
                <i val="0"/>
                <color theme="0"/>
              </font>
              <fill>
                <patternFill>
                  <bgColor rgb="FFFF0000"/>
                </patternFill>
              </fill>
            </x14:dxf>
          </x14:cfRule>
          <xm:sqref>E383:E384</xm:sqref>
        </x14:conditionalFormatting>
        <x14:conditionalFormatting xmlns:xm="http://schemas.microsoft.com/office/excel/2006/main">
          <x14:cfRule type="expression" priority="10" id="{187C9649-5EDA-44DC-9B8F-CB63DE6EBE09}">
            <xm:f>NOT(IFERROR(MATCH($E387,'Option Typs_Grps'!$B$3:$B$132,0)&gt;0,FALSE))</xm:f>
            <x14:dxf>
              <font>
                <b/>
                <i val="0"/>
                <color theme="0"/>
              </font>
              <fill>
                <patternFill>
                  <bgColor rgb="FFFF0000"/>
                </patternFill>
              </fill>
            </x14:dxf>
          </x14:cfRule>
          <xm:sqref>E387</xm:sqref>
        </x14:conditionalFormatting>
        <x14:conditionalFormatting xmlns:xm="http://schemas.microsoft.com/office/excel/2006/main">
          <x14:cfRule type="expression" priority="7" id="{B265A7FA-7F7E-44A4-AFDE-1E41491D862E}">
            <xm:f>NOT(IFERROR(MATCH($E390,'Option Typs_Grps'!$B$3:$B$132,0)&gt;0,FALSE))</xm:f>
            <x14:dxf>
              <font>
                <b/>
                <i val="0"/>
                <color theme="0"/>
              </font>
              <fill>
                <patternFill>
                  <bgColor rgb="FFFF0000"/>
                </patternFill>
              </fill>
            </x14:dxf>
          </x14:cfRule>
          <xm:sqref>E390:E391</xm:sqref>
        </x14:conditionalFormatting>
        <x14:conditionalFormatting xmlns:xm="http://schemas.microsoft.com/office/excel/2006/main">
          <x14:cfRule type="expression" priority="8" id="{76972DC8-7910-429F-BA2C-DD5C6BEDAE86}">
            <xm:f>NOT(IFERROR(MATCH($E394,'Option Typs_Grps'!$B$3:$B$132,0)&gt;0,FALSE))</xm:f>
            <x14:dxf>
              <font>
                <b/>
                <i val="0"/>
                <color theme="0"/>
              </font>
              <fill>
                <patternFill>
                  <bgColor rgb="FFFF0000"/>
                </patternFill>
              </fill>
            </x14:dxf>
          </x14:cfRule>
          <xm:sqref>E394</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A4ABEBC0-93DB-4022-A002-290F736E0FBE}">
          <x14:formula1>
            <xm:f>'Option Typs_Grps'!$B$3:$B$47</xm:f>
          </x14:formula1>
          <xm:sqref>E177:E178 E181 E184 E187:E188 E191:E192 E195 E198 E201:E202 E205:E206 E209 E212 E215:E216 E235:E236 E239 E242:E243 E246 E249:E250 E253 E264:E265 E268 E271:E272 E275 E278:E279 E282 E293:E294 E297 E300:E301 E304 E307:E308 E311 E322:E323 E326 E329:E330 E333 E336:E337 E340 E351:E352 E354 E357:E358 E360 E363:E364 E366 E376:E377 E380 E383:E384 E387 E390:E391 E394</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1 6 " ? > < D a t a M a s h u p   x m l n s = " h t t p : / / s c h e m a s . m i c r o s o f t . c o m / D a t a M a s h u p " > A A A A A B U D A A B Q S w M E F A A C A A g A P G k B V 6 P j g e 6 l A A A A 9 g A A A B I A H A B D b 2 5 m a W c v U G F j a 2 F n Z S 5 4 b W w g o h g A K K A U A A A A A A A A A A A A A A A A A A A A A A A A A A A A h Y + 9 C s I w H M R f p W R v v l x K + T c F H V w s C I K 4 h j S 2 w T a V J j V 9 N w c f y V e w o l U 3 x 7 v 7 H d z d r z f I x 7 a J L r p 3 p r M Z Y p i i S F v V l c Z W G R r 8 M U 5 Q L m A r 1 U l W O p p g 6 9 L R m Q z V 3 p 9 T Q k I I O C x w 1 1 e E U 8 r I o d j s V K 1 b G R v r v L R K o 0 + r / N 9 C A v a v M Y J j x h L M K c c U y G x C Y e w X 4 N P e Z / p j w m p o / N B r o W 2 8 X g K Z J Z D 3 B / E A U E s D B B Q A A g A I A D x p A V c 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A 8 a Q F X K I p H u A 4 A A A A R A A A A E w A c A E Z v c m 1 1 b G F z L 1 N l Y 3 R p b 2 4 x L m 0 g o h g A K K A U A A A A A A A A A A A A A A A A A A A A A A A A A A A A K 0 5 N L s n M z 1 M I h t C G 1 g B Q S w E C L Q A U A A I A C A A 8 a Q F X o + O B 7 q U A A A D 2 A A A A E g A A A A A A A A A A A A A A A A A A A A A A Q 2 9 u Z m l n L 1 B h Y 2 t h Z 2 U u e G 1 s U E s B A i 0 A F A A C A A g A P G k B V w / K 6 a u k A A A A 6 Q A A A B M A A A A A A A A A A A A A A A A A 8 Q A A A F t D b 2 5 0 Z W 5 0 X 1 R 5 c G V z X S 5 4 b W x Q S w E C L Q A U A A I A C A A 8 a Q F X K I p H u A 4 A A A A R A A A A E w A A A A A A A A A A A A A A A A D i A Q A A R m 9 y b X V s Y X M v U 2 V j d G l v b j E u b V B L B Q Y A A A A A A w A D A M I A A A A 9 A g A A A A A Q A Q A A 7 7 u / P D 9 4 b W w g d m V y c 2 l v b j 0 i M S 4 w I i B l b m N v Z G l u Z z 0 i d X R m L T g i P z 4 8 U G V y b W l z c 2 l v b k x p c 3 Q g e G 1 s b n M 6 e H N p P S J o d H R w O i 8 v d 3 d 3 L n c z L m 9 y Z y 8 y M D A x L 1 h N T F N j a G V t Y S 1 p b n N 0 Y W 5 j Z S I g e G 1 s b n M 6 e H N k P S J o d H R w O i 8 v d 3 d 3 L n c z L m 9 y Z y 8 y M D A x L 1 h N T F N j a G V t Y S I + P E N h b k V 2 Y W x 1 Y X R l R n V 0 d X J l U G F j a 2 F n Z X M + Z m F s c 2 U 8 L 0 N h b k V 2 Y W x 1 Y X R l R n V 0 d X J l U G F j a 2 F n Z X M + P E Z p c m V 3 Y W x s R W 5 h Y m x l Z D 5 0 c n V l P C 9 G a X J l d 2 F s b E V u Y W J s Z W Q + P C 9 Q Z X J t a X N z a W 9 u T G l z d D 6 X A Q A A A A A A A H U B A A D v u 7 8 8 P 3 h t b C B 2 Z X J z a W 9 u P S I x L j A i I G V u Y 2 9 k a W 5 n P S J 1 d G Y t O C I / P j x M b 2 N h b F B h Y 2 t h Z 2 V N Z X R h Z G F 0 Y U Z p b G U g e G 1 s b n M 6 e H N p P S J o d H R w O i 8 v d 3 d 3 L n c z L m 9 y Z y 8 y M D A x L 1 h N T F N j a G V t Y S 1 p b n N 0 Y W 5 j Z S I g e G 1 s b n M 6 e H N k P S J o d H R w O i 8 v d 3 d 3 L n c z L m 9 y Z y 8 y M D A x L 1 h N T F N j a G V t Y 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D a A A A A A Q A A A N C M n d 8 B F d E R j H o A w E / C l + s B A A A A 6 R N R R H M 0 / 0 6 2 l T A g L 6 A V + A A A A A A C A A A A A A A D Z g A A w A A A A B A A A A C 7 n z 3 A J K A E u s t u m p r Q 1 B z O A A A A A A S A A A C g A A A A E A A A A H t 5 2 V 9 Y p a J 7 3 l L p Y o W 3 0 f h Q A A A A N 1 T o q u Y y F A d M z Z 3 V b a I A q i s c t + o x s E C b a C k o Q o u 8 G f w 8 2 0 4 f v z Z o 9 O K o W D p g W 2 B n t Z d t e s 4 Q 8 r R 6 T s k d o s z F R Z 6 I O 6 8 T B T D Y D 8 2 / 6 a Y I 6 P E U A A A A o j m R 5 i J I x g P P a T M r M 7 W u r X E P r 1 w = < / D a t a M a s h u p > 
</file>

<file path=customXml/item3.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4.xml><?xml version="1.0" encoding="utf-8"?>
<ct:contentTypeSchema xmlns:ct="http://schemas.microsoft.com/office/2006/metadata/contentType" xmlns:ma="http://schemas.microsoft.com/office/2006/metadata/properties/metaAttributes" ct:_="" ma:_="" ma:contentTypeName="Excel" ma:contentTypeID="0x010100AA05B90DBFE04643B9F9D96E9BC239560400852E6643333BA54597F3657B549D59BC" ma:contentTypeVersion="10" ma:contentTypeDescription="Create a new NWL Excel spreadsheet." ma:contentTypeScope="" ma:versionID="c6c0d00bc4c4fd3e95dc01c738ccfb33">
  <xsd:schema xmlns:xsd="http://www.w3.org/2001/XMLSchema" xmlns:xs="http://www.w3.org/2001/XMLSchema" xmlns:p="http://schemas.microsoft.com/office/2006/metadata/properties" xmlns:ns2="0509b246-36c9-4660-9234-ba10f3bf328d" xmlns:ns3="734c4073-7d5f-4b79-9025-c8fc99567a1e" xmlns:ns4="b06911f5-2148-444c-8586-fae6326f6f71" targetNamespace="http://schemas.microsoft.com/office/2006/metadata/properties" ma:root="true" ma:fieldsID="5588982510cf0d43156f1ede7c8ea68a" ns2:_="" ns3:_="" ns4:_="">
    <xsd:import namespace="0509b246-36c9-4660-9234-ba10f3bf328d"/>
    <xsd:import namespace="734c4073-7d5f-4b79-9025-c8fc99567a1e"/>
    <xsd:import namespace="b06911f5-2148-444c-8586-fae6326f6f71"/>
    <xsd:element name="properties">
      <xsd:complexType>
        <xsd:sequence>
          <xsd:element name="documentManagement">
            <xsd:complexType>
              <xsd:all>
                <xsd:element ref="ns2:l3972f04061e4d858d6635f7d5457806" minOccurs="0"/>
                <xsd:element ref="ns2:TaxCatchAll" minOccurs="0"/>
                <xsd:element ref="ns2:TaxCatchAllLabel" minOccurs="0"/>
                <xsd:element ref="ns2:i03de573c5a4430bac16d5438d06e2d3" minOccurs="0"/>
                <xsd:element ref="ns2:b1f4a786422146cca425852cd0e61580" minOccurs="0"/>
                <xsd:element ref="ns2:e16f5f8b5862493e8676b80ba43cabc3" minOccurs="0"/>
                <xsd:element ref="ns3:_dlc_DocId" minOccurs="0"/>
                <xsd:element ref="ns3:_dlc_DocIdUrl" minOccurs="0"/>
                <xsd:element ref="ns3:_dlc_DocIdPersistId" minOccurs="0"/>
                <xsd:element ref="ns4:lcf76f155ced4ddcb4097134ff3c332f"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509b246-36c9-4660-9234-ba10f3bf328d" elementFormDefault="qualified">
    <xsd:import namespace="http://schemas.microsoft.com/office/2006/documentManagement/types"/>
    <xsd:import namespace="http://schemas.microsoft.com/office/infopath/2007/PartnerControls"/>
    <xsd:element name="l3972f04061e4d858d6635f7d5457806" ma:index="8" ma:taxonomy="true" ma:internalName="l3972f04061e4d858d6635f7d5457806" ma:taxonomyFieldName="Data_x0020_Classification" ma:displayName="Data Classification" ma:readOnly="false" ma:default="1;#Internal|78588ca9-23cc-44a4-9006-95c2deff13a9" ma:fieldId="{53972f04-061e-4d85-8d66-35f7d5457806}" ma:sspId="3bffd374-f6e7-466c-9533-0f5f1a899a5e" ma:termSetId="d3387f67-baf8-4d0c-9ad8-793f5dceff91" ma:anchorId="00000000-0000-0000-0000-000000000000" ma:open="false" ma:isKeyword="false">
      <xsd:complexType>
        <xsd:sequence>
          <xsd:element ref="pc:Terms" minOccurs="0" maxOccurs="1"/>
        </xsd:sequence>
      </xsd:complexType>
    </xsd:element>
    <xsd:element name="TaxCatchAll" ma:index="9" nillable="true" ma:displayName="Taxonomy Catch All Column" ma:hidden="true" ma:list="{dca6b23b-df15-4b18-988b-9bc811c1f590}" ma:internalName="TaxCatchAll" ma:showField="CatchAllData" ma:web="734c4073-7d5f-4b79-9025-c8fc99567a1e">
      <xsd:complexType>
        <xsd:complexContent>
          <xsd:extension base="dms:MultiChoiceLookup">
            <xsd:sequence>
              <xsd:element name="Value" type="dms:Lookup" maxOccurs="unbounded" minOccurs="0" nillable="true"/>
            </xsd:sequence>
          </xsd:extension>
        </xsd:complexContent>
      </xsd:complexType>
    </xsd:element>
    <xsd:element name="TaxCatchAllLabel" ma:index="10" nillable="true" ma:displayName="Taxonomy Catch All Column1" ma:hidden="true" ma:list="{dca6b23b-df15-4b18-988b-9bc811c1f590}" ma:internalName="TaxCatchAllLabel" ma:readOnly="true" ma:showField="CatchAllDataLabel" ma:web="734c4073-7d5f-4b79-9025-c8fc99567a1e">
      <xsd:complexType>
        <xsd:complexContent>
          <xsd:extension base="dms:MultiChoiceLookup">
            <xsd:sequence>
              <xsd:element name="Value" type="dms:Lookup" maxOccurs="unbounded" minOccurs="0" nillable="true"/>
            </xsd:sequence>
          </xsd:extension>
        </xsd:complexContent>
      </xsd:complexType>
    </xsd:element>
    <xsd:element name="i03de573c5a4430bac16d5438d06e2d3" ma:index="12" ma:taxonomy="true" ma:internalName="i03de573c5a4430bac16d5438d06e2d3" ma:taxonomyFieldName="Data_x0020_Protection" ma:displayName="Data Protection" ma:readOnly="false" ma:default="4;#No Personal Information|741f19bf-af9a-4c82-8344-b64b74109fc2" ma:fieldId="{203de573-c5a4-430b-ac16-d5438d06e2d3}" ma:sspId="3bffd374-f6e7-466c-9533-0f5f1a899a5e" ma:termSetId="8e2a195f-a793-49a9-8c00-2f2d870b4491" ma:anchorId="00000000-0000-0000-0000-000000000000" ma:open="false" ma:isKeyword="false">
      <xsd:complexType>
        <xsd:sequence>
          <xsd:element ref="pc:Terms" minOccurs="0" maxOccurs="1"/>
        </xsd:sequence>
      </xsd:complexType>
    </xsd:element>
    <xsd:element name="b1f4a786422146cca425852cd0e61580" ma:index="14" nillable="true" ma:taxonomy="true" ma:internalName="b1f4a786422146cca425852cd0e61580" ma:taxonomyFieldName="Function" ma:displayName="Function" ma:default="6;#Water|e5e09829-778a-41c8-8941-852143a0bb63" ma:fieldId="{b1f4a786-4221-46cc-a425-852cd0e61580}" ma:sspId="3bffd374-f6e7-466c-9533-0f5f1a899a5e" ma:termSetId="da6acc4b-aae8-4cda-ab3f-b4d6d364d93d" ma:anchorId="00000000-0000-0000-0000-000000000000" ma:open="false" ma:isKeyword="false">
      <xsd:complexType>
        <xsd:sequence>
          <xsd:element ref="pc:Terms" minOccurs="0" maxOccurs="1"/>
        </xsd:sequence>
      </xsd:complexType>
    </xsd:element>
    <xsd:element name="e16f5f8b5862493e8676b80ba43cabc3" ma:index="16" ma:taxonomy="true" ma:internalName="e16f5f8b5862493e8676b80ba43cabc3" ma:taxonomyFieldName="Retention" ma:displayName="Retention" ma:readOnly="false" ma:default="5;#25|cf3b2b26-c251-4a42-8348-e3ebb5707dd2" ma:fieldId="{e16f5f8b-5862-493e-8676-b80ba43cabc3}" ma:sspId="3bffd374-f6e7-466c-9533-0f5f1a899a5e" ma:termSetId="00d61c90-6890-4d80-80e1-8fd8478caeab"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734c4073-7d5f-4b79-9025-c8fc99567a1e" elementFormDefault="qualified">
    <xsd:import namespace="http://schemas.microsoft.com/office/2006/documentManagement/types"/>
    <xsd:import namespace="http://schemas.microsoft.com/office/infopath/2007/PartnerControls"/>
    <xsd:element name="_dlc_DocId" ma:index="18" nillable="true" ma:displayName="Document ID Value" ma:description="The value of the document ID assigned to this item." ma:internalName="_dlc_DocId" ma:readOnly="true">
      <xsd:simpleType>
        <xsd:restriction base="dms:Text"/>
      </xsd:simpleType>
    </xsd:element>
    <xsd:element name="_dlc_DocIdUrl" ma:index="1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20" nillable="true" ma:displayName="Persist ID" ma:description="Keep ID on add." ma:hidden="true" ma:internalName="_dlc_DocIdPersistId" ma:readOnly="tru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b06911f5-2148-444c-8586-fae6326f6f71" elementFormDefault="qualified">
    <xsd:import namespace="http://schemas.microsoft.com/office/2006/documentManagement/types"/>
    <xsd:import namespace="http://schemas.microsoft.com/office/infopath/2007/PartnerControls"/>
    <xsd:element name="lcf76f155ced4ddcb4097134ff3c332f" ma:index="21" nillable="true" ma:displayName="Image Tags_0" ma:hidden="true" ma:internalName="lcf76f155ced4ddcb4097134ff3c332f">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5.xml><?xml version="1.0" encoding="utf-8"?>
<p:properties xmlns:p="http://schemas.microsoft.com/office/2006/metadata/properties" xmlns:xsi="http://www.w3.org/2001/XMLSchema-instance" xmlns:pc="http://schemas.microsoft.com/office/infopath/2007/PartnerControls">
  <documentManagement>
    <l3972f04061e4d858d6635f7d5457806 xmlns="0509b246-36c9-4660-9234-ba10f3bf328d">
      <Terms xmlns="http://schemas.microsoft.com/office/infopath/2007/PartnerControls">
        <TermInfo xmlns="http://schemas.microsoft.com/office/infopath/2007/PartnerControls">
          <TermName xmlns="http://schemas.microsoft.com/office/infopath/2007/PartnerControls">Internal</TermName>
          <TermId xmlns="http://schemas.microsoft.com/office/infopath/2007/PartnerControls">78588ca9-23cc-44a4-9006-95c2deff13a9</TermId>
        </TermInfo>
      </Terms>
    </l3972f04061e4d858d6635f7d5457806>
    <TaxCatchAll xmlns="0509b246-36c9-4660-9234-ba10f3bf328d">
      <Value>6</Value>
      <Value>5</Value>
      <Value>4</Value>
      <Value>1</Value>
    </TaxCatchAll>
    <b1f4a786422146cca425852cd0e61580 xmlns="0509b246-36c9-4660-9234-ba10f3bf328d">
      <Terms xmlns="http://schemas.microsoft.com/office/infopath/2007/PartnerControls">
        <TermInfo xmlns="http://schemas.microsoft.com/office/infopath/2007/PartnerControls">
          <TermName xmlns="http://schemas.microsoft.com/office/infopath/2007/PartnerControls">Water</TermName>
          <TermId xmlns="http://schemas.microsoft.com/office/infopath/2007/PartnerControls">e5e09829-778a-41c8-8941-852143a0bb63</TermId>
        </TermInfo>
      </Terms>
    </b1f4a786422146cca425852cd0e61580>
    <e16f5f8b5862493e8676b80ba43cabc3 xmlns="0509b246-36c9-4660-9234-ba10f3bf328d">
      <Terms xmlns="http://schemas.microsoft.com/office/infopath/2007/PartnerControls">
        <TermInfo xmlns="http://schemas.microsoft.com/office/infopath/2007/PartnerControls">
          <TermName xmlns="http://schemas.microsoft.com/office/infopath/2007/PartnerControls">25</TermName>
          <TermId xmlns="http://schemas.microsoft.com/office/infopath/2007/PartnerControls">cf3b2b26-c251-4a42-8348-e3ebb5707dd2</TermId>
        </TermInfo>
      </Terms>
    </e16f5f8b5862493e8676b80ba43cabc3>
    <i03de573c5a4430bac16d5438d06e2d3 xmlns="0509b246-36c9-4660-9234-ba10f3bf328d">
      <Terms xmlns="http://schemas.microsoft.com/office/infopath/2007/PartnerControls">
        <TermInfo xmlns="http://schemas.microsoft.com/office/infopath/2007/PartnerControls">
          <TermName xmlns="http://schemas.microsoft.com/office/infopath/2007/PartnerControls">No Personal Information</TermName>
          <TermId xmlns="http://schemas.microsoft.com/office/infopath/2007/PartnerControls">741f19bf-af9a-4c82-8344-b64b74109fc2</TermId>
        </TermInfo>
      </Terms>
    </i03de573c5a4430bac16d5438d06e2d3>
    <lcf76f155ced4ddcb4097134ff3c332f xmlns="b06911f5-2148-444c-8586-fae6326f6f71" xsi:nil="true"/>
    <_dlc_DocId xmlns="734c4073-7d5f-4b79-9025-c8fc99567a1e">NRDFKF75FUKE-759347149-361458</_dlc_DocId>
    <_dlc_DocIdUrl xmlns="734c4073-7d5f-4b79-9025-c8fc99567a1e">
      <Url>https://nwgcloud.sharepoint.com/sites/TD0086/_layouts/15/DocIdRedir.aspx?ID=NRDFKF75FUKE-759347149-361458</Url>
      <Description>NRDFKF75FUKE-759347149-361458</Description>
    </_dlc_DocIdUrl>
  </documentManagement>
</p:properties>
</file>

<file path=customXml/item6.xml><?xml version="1.0" encoding="utf-8"?>
<?mso-contentType ?>
<SharedContentType xmlns="Microsoft.SharePoint.Taxonomy.ContentTypeSync" SourceId="3bffd374-f6e7-466c-9533-0f5f1a899a5e" ContentTypeId="0x010100AA05B90DBFE04643B9F9D96E9BC2395604" PreviousValue="false"/>
</file>

<file path=customXml/itemProps1.xml><?xml version="1.0" encoding="utf-8"?>
<ds:datastoreItem xmlns:ds="http://schemas.openxmlformats.org/officeDocument/2006/customXml" ds:itemID="{8281477B-D0CC-491B-9E7D-92C5611CA758}">
  <ds:schemaRefs>
    <ds:schemaRef ds:uri="http://schemas.microsoft.com/sharepoint/v3/contenttype/forms"/>
  </ds:schemaRefs>
</ds:datastoreItem>
</file>

<file path=customXml/itemProps2.xml><?xml version="1.0" encoding="utf-8"?>
<ds:datastoreItem xmlns:ds="http://schemas.openxmlformats.org/officeDocument/2006/customXml" ds:itemID="{D3942584-0F7A-43FF-B239-D824C49E1708}">
  <ds:schemaRefs>
    <ds:schemaRef ds:uri="http://schemas.microsoft.com/DataMashup"/>
  </ds:schemaRefs>
</ds:datastoreItem>
</file>

<file path=customXml/itemProps3.xml><?xml version="1.0" encoding="utf-8"?>
<ds:datastoreItem xmlns:ds="http://schemas.openxmlformats.org/officeDocument/2006/customXml" ds:itemID="{D65FAEC3-8CB3-4A05-95D2-6BC19D81A9FC}">
  <ds:schemaRefs>
    <ds:schemaRef ds:uri="http://schemas.microsoft.com/sharepoint/events"/>
  </ds:schemaRefs>
</ds:datastoreItem>
</file>

<file path=customXml/itemProps4.xml><?xml version="1.0" encoding="utf-8"?>
<ds:datastoreItem xmlns:ds="http://schemas.openxmlformats.org/officeDocument/2006/customXml" ds:itemID="{51416352-286D-4DEB-B889-89BA4522573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509b246-36c9-4660-9234-ba10f3bf328d"/>
    <ds:schemaRef ds:uri="734c4073-7d5f-4b79-9025-c8fc99567a1e"/>
    <ds:schemaRef ds:uri="b06911f5-2148-444c-8586-fae6326f6f7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5.xml><?xml version="1.0" encoding="utf-8"?>
<ds:datastoreItem xmlns:ds="http://schemas.openxmlformats.org/officeDocument/2006/customXml" ds:itemID="{35D13314-7FB5-4A8C-BEB8-909D6C789D98}">
  <ds:schemaRefs>
    <ds:schemaRef ds:uri="http://schemas.microsoft.com/office/infopath/2007/PartnerControls"/>
    <ds:schemaRef ds:uri="http://schemas.microsoft.com/office/2006/documentManagement/types"/>
    <ds:schemaRef ds:uri="http://schemas.microsoft.com/office/2006/metadata/properties"/>
    <ds:schemaRef ds:uri="0509b246-36c9-4660-9234-ba10f3bf328d"/>
    <ds:schemaRef ds:uri="http://purl.org/dc/elements/1.1/"/>
    <ds:schemaRef ds:uri="http://purl.org/dc/dcmitype/"/>
    <ds:schemaRef ds:uri="734c4073-7d5f-4b79-9025-c8fc99567a1e"/>
    <ds:schemaRef ds:uri="http://www.w3.org/XML/1998/namespace"/>
    <ds:schemaRef ds:uri="http://schemas.openxmlformats.org/package/2006/metadata/core-properties"/>
    <ds:schemaRef ds:uri="b06911f5-2148-444c-8586-fae6326f6f71"/>
    <ds:schemaRef ds:uri="http://purl.org/dc/terms/"/>
  </ds:schemaRefs>
</ds:datastoreItem>
</file>

<file path=customXml/itemProps6.xml><?xml version="1.0" encoding="utf-8"?>
<ds:datastoreItem xmlns:ds="http://schemas.openxmlformats.org/officeDocument/2006/customXml" ds:itemID="{AF889F9B-28DF-413B-A250-510C439AB951}">
  <ds:schemaRefs>
    <ds:schemaRef ds:uri="Microsoft.SharePoint.Taxonomy.ContentTypeSync"/>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4" baseType="variant">
      <vt:variant>
        <vt:lpstr>Worksheets</vt:lpstr>
      </vt:variant>
      <vt:variant>
        <vt:i4>13</vt:i4>
      </vt:variant>
      <vt:variant>
        <vt:lpstr>Named Ranges</vt:lpstr>
      </vt:variant>
      <vt:variant>
        <vt:i4>8</vt:i4>
      </vt:variant>
    </vt:vector>
  </HeadingPairs>
  <TitlesOfParts>
    <vt:vector size="21" baseType="lpstr">
      <vt:lpstr>TITLE PAGE</vt:lpstr>
      <vt:lpstr>1. Base Year Licences</vt:lpstr>
      <vt:lpstr>2. WC Level Data</vt:lpstr>
      <vt:lpstr>ESWBLY</vt:lpstr>
      <vt:lpstr>ESWESX</vt:lpstr>
      <vt:lpstr>ESWHRT</vt:lpstr>
      <vt:lpstr>ESWNCT</vt:lpstr>
      <vt:lpstr>4. Options Appraisal Summary</vt:lpstr>
      <vt:lpstr>5. Options Benefits</vt:lpstr>
      <vt:lpstr>5a-5c. Cost Profiles</vt:lpstr>
      <vt:lpstr>6. Drought Plan Links</vt:lpstr>
      <vt:lpstr>7. Adaptive Programmes</vt:lpstr>
      <vt:lpstr>8. Business Plan Links </vt:lpstr>
      <vt:lpstr>rngOptions</vt:lpstr>
      <vt:lpstr>rngWRZ</vt:lpstr>
      <vt:lpstr>TBL2d_WCDYAABL</vt:lpstr>
      <vt:lpstr>TBL2e_WCDYAAFP</vt:lpstr>
      <vt:lpstr>ESWBLY!WRZ_DATA_T3A</vt:lpstr>
      <vt:lpstr>ESWESX!WRZ_DATA_T3A</vt:lpstr>
      <vt:lpstr>ESWHRT!WRZ_DATA_T3A</vt:lpstr>
      <vt:lpstr>ESWNCT!WRZ_DATA_T3A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Essex and Suffolk Water WRMP24 Tables</dc:title>
  <dc:subject>Water Resources</dc:subject>
  <dc:creator/>
  <cp:keywords/>
  <dc:description>Data tables for the 2024 Water Resources Management Plan for Essex and Suffolk Water</dc:description>
  <cp:lastModifiedBy/>
  <cp:revision/>
  <dcterms:created xsi:type="dcterms:W3CDTF">2016-06-02T10:12:30Z</dcterms:created>
  <dcterms:modified xsi:type="dcterms:W3CDTF">2024-11-07T08:58:43Z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0x010100AA05B90DBFE04643B9F9D96E9BC239560400852E6643333BA54597F3657B549D59BC</vt:lpwstr>
  </property>
  <property fmtid="{D5CDD505-2E9C-101B-9397-08002B2CF9AE}" pid="3" name="Function">
    <vt:lpwstr>6;#Water|e5e09829-778a-41c8-8941-852143a0bb63</vt:lpwstr>
  </property>
  <property fmtid="{D5CDD505-2E9C-101B-9397-08002B2CF9AE}" pid="4" name="Retention">
    <vt:lpwstr>5;#25|cf3b2b26-c251-4a42-8348-e3ebb5707dd2</vt:lpwstr>
  </property>
  <property fmtid="{D5CDD505-2E9C-101B-9397-08002B2CF9AE}" pid="5" name="_dlc_DocIdItemGuid">
    <vt:lpwstr>a80b1abe-3609-473a-bb08-12edd1b7f4bf</vt:lpwstr>
  </property>
  <property fmtid="{D5CDD505-2E9C-101B-9397-08002B2CF9AE}" pid="6" name="Data Classification">
    <vt:lpwstr>1;#Internal|78588ca9-23cc-44a4-9006-95c2deff13a9</vt:lpwstr>
  </property>
  <property fmtid="{D5CDD505-2E9C-101B-9397-08002B2CF9AE}" pid="7" name="Data Protection">
    <vt:lpwstr>4;#No Personal Information|741f19bf-af9a-4c82-8344-b64b74109fc2</vt:lpwstr>
  </property>
  <property fmtid="{D5CDD505-2E9C-101B-9397-08002B2CF9AE}" pid="8" name="BusinessSiteNameNew">
    <vt:lpwstr/>
  </property>
  <property fmtid="{D5CDD505-2E9C-101B-9397-08002B2CF9AE}" pid="9" name="AssetFunction">
    <vt:lpwstr/>
  </property>
  <property fmtid="{D5CDD505-2E9C-101B-9397-08002B2CF9AE}" pid="10" name="Region">
    <vt:lpwstr/>
  </property>
  <property fmtid="{D5CDD505-2E9C-101B-9397-08002B2CF9AE}" pid="11" name="MediaServiceImageTags">
    <vt:lpwstr/>
  </property>
  <property fmtid="{D5CDD505-2E9C-101B-9397-08002B2CF9AE}" pid="12" name="DrawingType">
    <vt:lpwstr/>
  </property>
  <property fmtid="{D5CDD505-2E9C-101B-9397-08002B2CF9AE}" pid="13" name="k50b07cece3d4027a8276cbbd76ec79c">
    <vt:lpwstr/>
  </property>
  <property fmtid="{D5CDD505-2E9C-101B-9397-08002B2CF9AE}" pid="14" name="ProcessType">
    <vt:lpwstr/>
  </property>
  <property fmtid="{D5CDD505-2E9C-101B-9397-08002B2CF9AE}" pid="15" name="bd904d859d1f43cdb6982f73fce91bd7">
    <vt:lpwstr/>
  </property>
  <property fmtid="{D5CDD505-2E9C-101B-9397-08002B2CF9AE}" pid="16" name="i7ccf6fcffed4efba460e12e153a1084">
    <vt:lpwstr/>
  </property>
  <property fmtid="{D5CDD505-2E9C-101B-9397-08002B2CF9AE}" pid="17" name="o5015b35b4e0458e84bc1cd8cc4e022d">
    <vt:lpwstr/>
  </property>
  <property fmtid="{D5CDD505-2E9C-101B-9397-08002B2CF9AE}" pid="18" name="o17bcf2fdb114551a388478223431a16">
    <vt:lpwstr/>
  </property>
  <property fmtid="{D5CDD505-2E9C-101B-9397-08002B2CF9AE}" pid="19" name="LocationType">
    <vt:lpwstr/>
  </property>
  <property fmtid="{D5CDD505-2E9C-101B-9397-08002B2CF9AE}" pid="20" name="k88dfe323d9f4023a932fb1225522335">
    <vt:lpwstr/>
  </property>
  <property fmtid="{D5CDD505-2E9C-101B-9397-08002B2CF9AE}" pid="21" name="Data_x0020_Classification">
    <vt:lpwstr>1;#Internal|78588ca9-23cc-44a4-9006-95c2deff13a9</vt:lpwstr>
  </property>
  <property fmtid="{D5CDD505-2E9C-101B-9397-08002B2CF9AE}" pid="22" name="Data_x0020_Protection">
    <vt:lpwstr>4;#No Personal Information|741f19bf-af9a-4c82-8344-b64b74109fc2</vt:lpwstr>
  </property>
</Properties>
</file>